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Questa_cartella_di_lavor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390032\projects\niche_iml_interface\"/>
    </mc:Choice>
  </mc:AlternateContent>
  <xr:revisionPtr revIDLastSave="0" documentId="13_ncr:1_{CCB5CA31-452C-456F-A2B0-88DDCEE46F6E}" xr6:coauthVersionLast="47" xr6:coauthVersionMax="47" xr10:uidLastSave="{00000000-0000-0000-0000-000000000000}"/>
  <bookViews>
    <workbookView xWindow="-110" yWindow="-110" windowWidth="19420" windowHeight="10420" tabRatio="964" activeTab="2" xr2:uid="{00000000-000D-0000-FFFF-FFFF00000000}"/>
  </bookViews>
  <sheets>
    <sheet name="Sanctioned_List" sheetId="45" r:id="rId1"/>
    <sheet name="Broker_List" sheetId="47" r:id="rId2"/>
    <sheet name="Pre-Check BUY" sheetId="25" r:id="rId3"/>
    <sheet name="Pre-check SELL" sheetId="24" r:id="rId4"/>
    <sheet name="TradesBond" sheetId="12" r:id="rId5"/>
    <sheet name="TradesEquity" sheetId="11" r:id="rId6"/>
    <sheet name="TradesFundETF" sheetId="23" r:id="rId7"/>
    <sheet name="Order_template" sheetId="54" r:id="rId8"/>
    <sheet name="MIFID" sheetId="60" r:id="rId9"/>
    <sheet name="PosAggregate" sheetId="2" r:id="rId10"/>
    <sheet name="Sub-Red" sheetId="63" r:id="rId11"/>
    <sheet name="CashFlow" sheetId="17" r:id="rId12"/>
    <sheet name="Cash Mgmt" sheetId="49" r:id="rId13"/>
    <sheet name="NAV" sheetId="68" r:id="rId14"/>
    <sheet name="POSIMS" sheetId="61" r:id="rId15"/>
    <sheet name="POSNAV" sheetId="62" r:id="rId16"/>
    <sheet name="Curr" sheetId="44" r:id="rId17"/>
    <sheet name="Dvd" sheetId="50" r:id="rId18"/>
    <sheet name="Forward" sheetId="48" r:id="rId19"/>
    <sheet name="ShrsOrdReg" sheetId="34" r:id="rId20"/>
    <sheet name="BondOrdReg" sheetId="36" r:id="rId21"/>
    <sheet name="FundOrdReg" sheetId="37" r:id="rId22"/>
    <sheet name="bic broker" sheetId="55" r:id="rId23"/>
    <sheet name="place of settlement" sheetId="56" r:id="rId24"/>
    <sheet name="DEPOSITARY" sheetId="58" r:id="rId25"/>
    <sheet name="DEPO" sheetId="65" r:id="rId26"/>
    <sheet name="Geographical risk matrix" sheetId="66" r:id="rId27"/>
    <sheet name="sample" sheetId="57" r:id="rId28"/>
  </sheets>
  <functionGroups builtInGroupCount="19"/>
  <externalReferences>
    <externalReference r:id="rId29"/>
  </externalReferences>
  <definedNames>
    <definedName name="_filtro" localSheetId="9" hidden="1">PosAggregate!$A$12:$CQ$43</definedName>
    <definedName name="_filtro" localSheetId="5" hidden="1">TradesEquity!$A$10:$BC$428</definedName>
    <definedName name="_xlnm._FilterDatabase" localSheetId="17" hidden="1">Dvd!$A$12:$AN$221</definedName>
    <definedName name="_xlnm._FilterDatabase" localSheetId="13" hidden="1">NAV!$A$1:$AA$87</definedName>
    <definedName name="_xlnm._FilterDatabase" localSheetId="9" hidden="1">PosAggregate!$A$10:$R$63</definedName>
    <definedName name="_xlnm._FilterDatabase" localSheetId="15" hidden="1">POSNAV!$A$1:$O$1</definedName>
    <definedName name="_xlnm._FilterDatabase" localSheetId="3" hidden="1">'Pre-check SELL'!$B$43:$C$52</definedName>
    <definedName name="_xlnm._FilterDatabase" localSheetId="5" hidden="1">TradesEquity!$A$10:$XFC$710</definedName>
    <definedName name="AsiaExposure" localSheetId="9">PosAggregate!$AZ$18</definedName>
    <definedName name="BrokerList" localSheetId="12">OFFSET([1]Broker_List!$A$14,1,0,COUNTA([1]Broker_List!$A:$A)-1,1)</definedName>
    <definedName name="BrokerList" localSheetId="17">OFFSET([1]Broker_List!$A$14,1,0,COUNTA([1]Broker_List!$A:$A)-1,1)</definedName>
    <definedName name="BrokerList" localSheetId="18">OFFSET([1]Broker_List!$A$14,1,0,COUNTA([1]Broker_List!$A:$A)-1,1)</definedName>
    <definedName name="BrokerList">OFFSET(Broker_List!$A$14,1,0,COUNTA(Broker_List!$A:$A)-1,1)</definedName>
    <definedName name="curr_Date" localSheetId="2">'Pre-Check BUY'!$B$8</definedName>
    <definedName name="curr_time" localSheetId="2">'Pre-Check BUY'!$D$23</definedName>
    <definedName name="DataAggiornamento">43482</definedName>
    <definedName name="eqt_brokerCheck" localSheetId="2">'Pre-Check BUY'!$C$78</definedName>
    <definedName name="eqt_cashOut" localSheetId="2">'Pre-Check BUY'!$C$32</definedName>
    <definedName name="eqt_crossRate" localSheetId="2">'Pre-Check BUY'!$C$25</definedName>
    <definedName name="eqt_fnd_postExposure" localSheetId="2">'Pre-Check BUY'!$C$63</definedName>
    <definedName name="eqt_percShareOS" comment="Trade should not exceed 9% of the total shares outstanding" localSheetId="2">'Pre-Check BUY'!$C$68</definedName>
    <definedName name="eqt_postTrade" localSheetId="2">'Pre-Check BUY'!$C$59</definedName>
    <definedName name="eqt_priceLocal" localSheetId="2">'Pre-Check BUY'!$C$22</definedName>
    <definedName name="eqt_psn_percNAV" localSheetId="2">'Pre-Check BUY'!$C$34</definedName>
    <definedName name="eqt_psn_postExposure" localSheetId="2">'Pre-Check BUY'!$C$57</definedName>
    <definedName name="eqt_Quantity" localSheetId="2">'Pre-Check BUY'!$C$29</definedName>
    <definedName name="eqt_regionCheck" localSheetId="2">'Pre-Check BUY'!$C$39</definedName>
    <definedName name="eqt_sanctionList" localSheetId="2">'Pre-Check BUY'!$C$37</definedName>
    <definedName name="eqt_Ticker" localSheetId="2">'Pre-Check BUY'!$C$20</definedName>
    <definedName name="EquityExposure" localSheetId="9">PosAggregate!$AV$9</definedName>
    <definedName name="fundMktVal" localSheetId="2">'Pre-Check BUY'!$K$10</definedName>
    <definedName name="FX_Rates">Order_template!$AV$12:$AX$21</definedName>
    <definedName name="trade_Type" localSheetId="2">'Pre-Check BUY'!$B$9</definedName>
    <definedName name="user_id" localSheetId="7">Order_template!#REF!</definedName>
  </definedNames>
  <calcPr calcId="191029"/>
  <pivotCaches>
    <pivotCache cacheId="5" r:id="rId30"/>
    <pivotCache cacheId="6" r:id="rId31"/>
    <pivotCache cacheId="7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2" i="65" l="1"/>
  <c r="A281" i="65"/>
  <c r="A268" i="65"/>
  <c r="A267" i="65"/>
  <c r="A266" i="65"/>
  <c r="A262" i="65"/>
  <c r="A261" i="65"/>
  <c r="A235" i="65"/>
  <c r="A233" i="65"/>
  <c r="A225" i="65"/>
  <c r="A206" i="65"/>
  <c r="A191" i="65"/>
  <c r="A126" i="65"/>
  <c r="A125" i="65"/>
  <c r="A58" i="65"/>
  <c r="A57" i="65"/>
  <c r="AP47" i="65"/>
  <c r="AO47" i="65"/>
  <c r="AL47" i="65"/>
  <c r="AI47" i="65"/>
  <c r="AE47" i="65"/>
  <c r="AF47" i="65" s="1"/>
  <c r="AG47" i="65" s="1"/>
  <c r="AH47" i="65" s="1"/>
  <c r="J47" i="65"/>
  <c r="I47" i="65"/>
  <c r="H47" i="65"/>
  <c r="F47" i="65"/>
  <c r="AP46" i="65"/>
  <c r="AO46" i="65"/>
  <c r="AL46" i="65"/>
  <c r="AI46" i="65"/>
  <c r="AE46" i="65"/>
  <c r="AF46" i="65" s="1"/>
  <c r="AG46" i="65" s="1"/>
  <c r="AH46" i="65" s="1"/>
  <c r="J46" i="65"/>
  <c r="I46" i="65"/>
  <c r="H46" i="65"/>
  <c r="F46" i="65"/>
  <c r="AP45" i="65"/>
  <c r="AO45" i="65"/>
  <c r="AL45" i="65"/>
  <c r="AI45" i="65"/>
  <c r="AE45" i="65"/>
  <c r="AF45" i="65" s="1"/>
  <c r="AG45" i="65" s="1"/>
  <c r="AH45" i="65" s="1"/>
  <c r="J45" i="65"/>
  <c r="I45" i="65"/>
  <c r="H45" i="65"/>
  <c r="F45" i="65"/>
  <c r="AP44" i="65"/>
  <c r="AO44" i="65"/>
  <c r="AL44" i="65"/>
  <c r="AI44" i="65"/>
  <c r="AE44" i="65"/>
  <c r="AF44" i="65" s="1"/>
  <c r="AG44" i="65" s="1"/>
  <c r="AH44" i="65" s="1"/>
  <c r="J44" i="65"/>
  <c r="I44" i="65"/>
  <c r="H44" i="65"/>
  <c r="F44" i="65"/>
  <c r="AP43" i="65"/>
  <c r="AO43" i="65"/>
  <c r="AL43" i="65"/>
  <c r="AI43" i="65"/>
  <c r="AE43" i="65"/>
  <c r="AF43" i="65" s="1"/>
  <c r="AG43" i="65" s="1"/>
  <c r="AH43" i="65" s="1"/>
  <c r="J43" i="65"/>
  <c r="I43" i="65"/>
  <c r="H43" i="65"/>
  <c r="F43" i="65"/>
  <c r="AP42" i="65"/>
  <c r="AO42" i="65"/>
  <c r="AL42" i="65"/>
  <c r="AI42" i="65"/>
  <c r="AE42" i="65"/>
  <c r="AF42" i="65" s="1"/>
  <c r="AG42" i="65" s="1"/>
  <c r="AH42" i="65" s="1"/>
  <c r="J42" i="65"/>
  <c r="I42" i="65"/>
  <c r="H42" i="65"/>
  <c r="F42" i="65"/>
  <c r="AP41" i="65"/>
  <c r="AO41" i="65"/>
  <c r="AL41" i="65"/>
  <c r="AI41" i="65"/>
  <c r="AE41" i="65"/>
  <c r="AF41" i="65" s="1"/>
  <c r="AG41" i="65" s="1"/>
  <c r="AH41" i="65" s="1"/>
  <c r="J41" i="65"/>
  <c r="I41" i="65"/>
  <c r="H41" i="65"/>
  <c r="F41" i="65"/>
  <c r="AP40" i="65"/>
  <c r="AO40" i="65"/>
  <c r="AL40" i="65"/>
  <c r="AI40" i="65"/>
  <c r="AE40" i="65"/>
  <c r="AF40" i="65" s="1"/>
  <c r="AG40" i="65" s="1"/>
  <c r="AH40" i="65" s="1"/>
  <c r="J40" i="65"/>
  <c r="I40" i="65"/>
  <c r="H40" i="65"/>
  <c r="F40" i="65"/>
  <c r="AP39" i="65"/>
  <c r="AO39" i="65"/>
  <c r="AL39" i="65"/>
  <c r="AI39" i="65"/>
  <c r="AE39" i="65"/>
  <c r="AF39" i="65" s="1"/>
  <c r="AG39" i="65" s="1"/>
  <c r="AH39" i="65" s="1"/>
  <c r="J39" i="65"/>
  <c r="I39" i="65"/>
  <c r="H39" i="65"/>
  <c r="F39" i="65"/>
  <c r="AP38" i="65"/>
  <c r="AO38" i="65"/>
  <c r="AL38" i="65"/>
  <c r="AI38" i="65"/>
  <c r="AE38" i="65"/>
  <c r="AF38" i="65" s="1"/>
  <c r="AG38" i="65" s="1"/>
  <c r="AH38" i="65" s="1"/>
  <c r="J38" i="65"/>
  <c r="I38" i="65"/>
  <c r="H38" i="65"/>
  <c r="F38" i="65"/>
  <c r="AP37" i="65"/>
  <c r="AO37" i="65"/>
  <c r="AL37" i="65"/>
  <c r="AI37" i="65"/>
  <c r="AE37" i="65"/>
  <c r="AF37" i="65" s="1"/>
  <c r="AG37" i="65" s="1"/>
  <c r="AH37" i="65" s="1"/>
  <c r="J37" i="65"/>
  <c r="I37" i="65"/>
  <c r="H37" i="65"/>
  <c r="F37" i="65"/>
  <c r="AP36" i="65"/>
  <c r="AO36" i="65"/>
  <c r="AL36" i="65"/>
  <c r="AI36" i="65"/>
  <c r="AE36" i="65"/>
  <c r="AF36" i="65" s="1"/>
  <c r="AG36" i="65" s="1"/>
  <c r="AH36" i="65" s="1"/>
  <c r="J36" i="65"/>
  <c r="I36" i="65"/>
  <c r="H36" i="65"/>
  <c r="F36" i="65"/>
  <c r="AP35" i="65"/>
  <c r="AO35" i="65"/>
  <c r="AL35" i="65"/>
  <c r="AI35" i="65"/>
  <c r="AE35" i="65"/>
  <c r="AF35" i="65" s="1"/>
  <c r="AG35" i="65" s="1"/>
  <c r="AH35" i="65" s="1"/>
  <c r="J35" i="65"/>
  <c r="I35" i="65"/>
  <c r="H35" i="65"/>
  <c r="F35" i="65"/>
  <c r="AP34" i="65"/>
  <c r="AO34" i="65"/>
  <c r="AL34" i="65"/>
  <c r="AI34" i="65"/>
  <c r="AE34" i="65"/>
  <c r="AF34" i="65" s="1"/>
  <c r="AG34" i="65" s="1"/>
  <c r="AH34" i="65" s="1"/>
  <c r="J34" i="65"/>
  <c r="I34" i="65"/>
  <c r="H34" i="65"/>
  <c r="F34" i="65"/>
  <c r="AP33" i="65"/>
  <c r="AO33" i="65"/>
  <c r="AL33" i="65"/>
  <c r="AI33" i="65"/>
  <c r="AE33" i="65"/>
  <c r="AF33" i="65" s="1"/>
  <c r="AG33" i="65" s="1"/>
  <c r="AH33" i="65" s="1"/>
  <c r="J33" i="65"/>
  <c r="I33" i="65"/>
  <c r="H33" i="65"/>
  <c r="F33" i="65"/>
  <c r="AP32" i="65"/>
  <c r="AO32" i="65"/>
  <c r="AL32" i="65"/>
  <c r="AI32" i="65"/>
  <c r="AE32" i="65"/>
  <c r="AF32" i="65" s="1"/>
  <c r="AG32" i="65" s="1"/>
  <c r="AH32" i="65" s="1"/>
  <c r="J32" i="65"/>
  <c r="I32" i="65"/>
  <c r="H32" i="65"/>
  <c r="F32" i="65"/>
  <c r="AP31" i="65"/>
  <c r="AO31" i="65"/>
  <c r="AL31" i="65"/>
  <c r="AI31" i="65"/>
  <c r="AE31" i="65"/>
  <c r="AF31" i="65" s="1"/>
  <c r="AG31" i="65" s="1"/>
  <c r="AH31" i="65" s="1"/>
  <c r="J31" i="65"/>
  <c r="I31" i="65"/>
  <c r="H31" i="65"/>
  <c r="F31" i="65"/>
  <c r="AP30" i="65"/>
  <c r="AO30" i="65"/>
  <c r="AL30" i="65"/>
  <c r="AI30" i="65"/>
  <c r="AE30" i="65"/>
  <c r="AF30" i="65" s="1"/>
  <c r="AG30" i="65" s="1"/>
  <c r="AH30" i="65" s="1"/>
  <c r="J30" i="65"/>
  <c r="I30" i="65"/>
  <c r="H30" i="65"/>
  <c r="F30" i="65"/>
  <c r="AP29" i="65"/>
  <c r="AO29" i="65"/>
  <c r="AL29" i="65"/>
  <c r="AI29" i="65"/>
  <c r="AE29" i="65"/>
  <c r="AF29" i="65" s="1"/>
  <c r="AG29" i="65" s="1"/>
  <c r="AH29" i="65" s="1"/>
  <c r="J29" i="65"/>
  <c r="I29" i="65"/>
  <c r="H29" i="65"/>
  <c r="F29" i="65"/>
  <c r="AP28" i="65"/>
  <c r="AO28" i="65"/>
  <c r="AL28" i="65"/>
  <c r="AI28" i="65"/>
  <c r="AE28" i="65"/>
  <c r="AF28" i="65" s="1"/>
  <c r="AG28" i="65" s="1"/>
  <c r="AH28" i="65" s="1"/>
  <c r="J28" i="65"/>
  <c r="I28" i="65"/>
  <c r="H28" i="65"/>
  <c r="F28" i="65"/>
  <c r="AP27" i="65"/>
  <c r="AO27" i="65"/>
  <c r="AL27" i="65"/>
  <c r="AI27" i="65"/>
  <c r="AE27" i="65"/>
  <c r="AF27" i="65" s="1"/>
  <c r="AG27" i="65" s="1"/>
  <c r="AH27" i="65" s="1"/>
  <c r="J27" i="65"/>
  <c r="I27" i="65"/>
  <c r="H27" i="65"/>
  <c r="F27" i="65"/>
  <c r="AP26" i="65"/>
  <c r="AO26" i="65"/>
  <c r="AL26" i="65"/>
  <c r="AI26" i="65"/>
  <c r="AE26" i="65"/>
  <c r="AF26" i="65" s="1"/>
  <c r="AG26" i="65" s="1"/>
  <c r="AH26" i="65" s="1"/>
  <c r="J26" i="65"/>
  <c r="I26" i="65"/>
  <c r="H26" i="65"/>
  <c r="F26" i="65"/>
  <c r="AP25" i="65"/>
  <c r="AO25" i="65"/>
  <c r="AL25" i="65"/>
  <c r="AI25" i="65"/>
  <c r="AE25" i="65"/>
  <c r="AF25" i="65" s="1"/>
  <c r="AG25" i="65" s="1"/>
  <c r="AH25" i="65" s="1"/>
  <c r="J25" i="65"/>
  <c r="I25" i="65"/>
  <c r="H25" i="65"/>
  <c r="F25" i="65"/>
  <c r="AP24" i="65"/>
  <c r="AO24" i="65"/>
  <c r="AL24" i="65"/>
  <c r="AI24" i="65"/>
  <c r="AE24" i="65"/>
  <c r="AF24" i="65" s="1"/>
  <c r="AG24" i="65" s="1"/>
  <c r="AH24" i="65" s="1"/>
  <c r="J24" i="65"/>
  <c r="I24" i="65"/>
  <c r="H24" i="65"/>
  <c r="F24" i="65"/>
  <c r="AP23" i="65"/>
  <c r="AO23" i="65"/>
  <c r="AL23" i="65"/>
  <c r="AI23" i="65"/>
  <c r="AE23" i="65"/>
  <c r="AF23" i="65" s="1"/>
  <c r="AG23" i="65" s="1"/>
  <c r="AH23" i="65" s="1"/>
  <c r="J23" i="65"/>
  <c r="I23" i="65"/>
  <c r="H23" i="65"/>
  <c r="F23" i="65"/>
  <c r="AP22" i="65"/>
  <c r="AO22" i="65"/>
  <c r="AL22" i="65"/>
  <c r="AI22" i="65"/>
  <c r="AE22" i="65"/>
  <c r="AF22" i="65" s="1"/>
  <c r="AG22" i="65" s="1"/>
  <c r="AH22" i="65" s="1"/>
  <c r="J22" i="65"/>
  <c r="I22" i="65"/>
  <c r="H22" i="65"/>
  <c r="F22" i="65"/>
  <c r="AP21" i="65"/>
  <c r="AO21" i="65"/>
  <c r="AL21" i="65"/>
  <c r="AI21" i="65"/>
  <c r="AE21" i="65"/>
  <c r="AF21" i="65" s="1"/>
  <c r="AG21" i="65" s="1"/>
  <c r="AH21" i="65" s="1"/>
  <c r="J21" i="65"/>
  <c r="I21" i="65"/>
  <c r="H21" i="65"/>
  <c r="F21" i="65"/>
  <c r="AP20" i="65"/>
  <c r="AO20" i="65"/>
  <c r="AL20" i="65"/>
  <c r="AI20" i="65"/>
  <c r="AF20" i="65"/>
  <c r="AG20" i="65" s="1"/>
  <c r="AH20" i="65" s="1"/>
  <c r="AE20" i="65"/>
  <c r="J20" i="65"/>
  <c r="I20" i="65"/>
  <c r="H20" i="65"/>
  <c r="F20" i="65"/>
  <c r="AP19" i="65"/>
  <c r="AO19" i="65"/>
  <c r="AL19" i="65"/>
  <c r="AI19" i="65"/>
  <c r="AE19" i="65"/>
  <c r="AF19" i="65" s="1"/>
  <c r="AG19" i="65" s="1"/>
  <c r="AH19" i="65" s="1"/>
  <c r="J19" i="65"/>
  <c r="I19" i="65"/>
  <c r="H19" i="65"/>
  <c r="F19" i="65"/>
  <c r="AP18" i="65"/>
  <c r="AO18" i="65"/>
  <c r="AL18" i="65"/>
  <c r="AI18" i="65"/>
  <c r="AE18" i="65"/>
  <c r="AF18" i="65" s="1"/>
  <c r="AG18" i="65" s="1"/>
  <c r="AH18" i="65" s="1"/>
  <c r="J18" i="65"/>
  <c r="I18" i="65"/>
  <c r="H18" i="65"/>
  <c r="F18" i="65"/>
  <c r="AP17" i="65"/>
  <c r="AO17" i="65"/>
  <c r="AL17" i="65"/>
  <c r="AI17" i="65"/>
  <c r="AE17" i="65"/>
  <c r="AF17" i="65" s="1"/>
  <c r="AG17" i="65" s="1"/>
  <c r="AH17" i="65" s="1"/>
  <c r="J17" i="65"/>
  <c r="I17" i="65"/>
  <c r="H17" i="65"/>
  <c r="F17" i="65"/>
  <c r="AP16" i="65"/>
  <c r="AO16" i="65"/>
  <c r="AL16" i="65"/>
  <c r="AI16" i="65"/>
  <c r="AE16" i="65"/>
  <c r="AF16" i="65" s="1"/>
  <c r="AG16" i="65" s="1"/>
  <c r="AH16" i="65" s="1"/>
  <c r="J16" i="65"/>
  <c r="I16" i="65"/>
  <c r="H16" i="65"/>
  <c r="F16" i="65"/>
  <c r="AP15" i="65"/>
  <c r="AO15" i="65"/>
  <c r="AL15" i="65"/>
  <c r="AI15" i="65"/>
  <c r="AE15" i="65"/>
  <c r="AF15" i="65" s="1"/>
  <c r="AG15" i="65" s="1"/>
  <c r="AH15" i="65" s="1"/>
  <c r="J15" i="65"/>
  <c r="I15" i="65"/>
  <c r="H15" i="65"/>
  <c r="F15" i="65"/>
  <c r="AP14" i="65"/>
  <c r="AO14" i="65"/>
  <c r="AL14" i="65"/>
  <c r="AI14" i="65"/>
  <c r="AE14" i="65"/>
  <c r="AF14" i="65" s="1"/>
  <c r="AG14" i="65" s="1"/>
  <c r="AH14" i="65" s="1"/>
  <c r="J14" i="65"/>
  <c r="I14" i="65"/>
  <c r="H14" i="65"/>
  <c r="F14" i="65"/>
  <c r="AP13" i="65"/>
  <c r="AO13" i="65"/>
  <c r="AL13" i="65"/>
  <c r="AI13" i="65"/>
  <c r="AE13" i="65"/>
  <c r="AF13" i="65" s="1"/>
  <c r="AG13" i="65" s="1"/>
  <c r="AH13" i="65" s="1"/>
  <c r="J13" i="65"/>
  <c r="I13" i="65"/>
  <c r="H13" i="65"/>
  <c r="F13" i="65"/>
  <c r="AP12" i="65"/>
  <c r="AO12" i="65"/>
  <c r="AL12" i="65"/>
  <c r="AI12" i="65"/>
  <c r="AE12" i="65"/>
  <c r="AF12" i="65" s="1"/>
  <c r="AG12" i="65" s="1"/>
  <c r="AH12" i="65" s="1"/>
  <c r="J12" i="65"/>
  <c r="I12" i="65"/>
  <c r="H12" i="65"/>
  <c r="F12" i="65"/>
  <c r="AP11" i="65"/>
  <c r="AO11" i="65"/>
  <c r="AL11" i="65"/>
  <c r="AI11" i="65"/>
  <c r="AE11" i="65"/>
  <c r="AF11" i="65" s="1"/>
  <c r="AG11" i="65" s="1"/>
  <c r="AH11" i="65" s="1"/>
  <c r="J11" i="65"/>
  <c r="I11" i="65"/>
  <c r="H11" i="65"/>
  <c r="F11" i="65"/>
  <c r="AP10" i="65"/>
  <c r="AO10" i="65"/>
  <c r="AL10" i="65"/>
  <c r="AI10" i="65"/>
  <c r="AE10" i="65"/>
  <c r="AF10" i="65" s="1"/>
  <c r="AG10" i="65" s="1"/>
  <c r="AH10" i="65" s="1"/>
  <c r="J10" i="65"/>
  <c r="I10" i="65"/>
  <c r="H10" i="65"/>
  <c r="F10" i="65"/>
  <c r="AP9" i="65"/>
  <c r="AO9" i="65"/>
  <c r="AL9" i="65"/>
  <c r="AI9" i="65"/>
  <c r="AE9" i="65"/>
  <c r="AF9" i="65" s="1"/>
  <c r="AG9" i="65" s="1"/>
  <c r="AH9" i="65" s="1"/>
  <c r="J9" i="65"/>
  <c r="I9" i="65"/>
  <c r="H9" i="65"/>
  <c r="F9" i="65"/>
  <c r="AP8" i="65"/>
  <c r="AO8" i="65"/>
  <c r="AL8" i="65"/>
  <c r="AI8" i="65"/>
  <c r="AE8" i="65"/>
  <c r="AF8" i="65" s="1"/>
  <c r="AG8" i="65" s="1"/>
  <c r="AH8" i="65" s="1"/>
  <c r="J8" i="65"/>
  <c r="I8" i="65"/>
  <c r="H8" i="65"/>
  <c r="F8" i="65"/>
  <c r="AP7" i="65"/>
  <c r="AO7" i="65"/>
  <c r="AL7" i="65"/>
  <c r="AI7" i="65"/>
  <c r="AE7" i="65"/>
  <c r="AF7" i="65" s="1"/>
  <c r="AG7" i="65" s="1"/>
  <c r="AH7" i="65" s="1"/>
  <c r="J7" i="65"/>
  <c r="I7" i="65"/>
  <c r="H7" i="65"/>
  <c r="F7" i="65"/>
  <c r="AP6" i="65"/>
  <c r="AO6" i="65"/>
  <c r="AL6" i="65"/>
  <c r="AI6" i="65"/>
  <c r="AE6" i="65"/>
  <c r="AF6" i="65" s="1"/>
  <c r="AG6" i="65" s="1"/>
  <c r="AH6" i="65" s="1"/>
  <c r="J6" i="65"/>
  <c r="I6" i="65"/>
  <c r="H6" i="65"/>
  <c r="F6" i="65"/>
  <c r="AP5" i="65"/>
  <c r="AO5" i="65"/>
  <c r="AL5" i="65"/>
  <c r="AI5" i="65"/>
  <c r="AE5" i="65"/>
  <c r="AF5" i="65" s="1"/>
  <c r="AG5" i="65" s="1"/>
  <c r="AH5" i="65" s="1"/>
  <c r="J5" i="65"/>
  <c r="I5" i="65"/>
  <c r="H5" i="65"/>
  <c r="F5" i="65"/>
  <c r="AP4" i="65"/>
  <c r="AO4" i="65"/>
  <c r="AL4" i="65"/>
  <c r="AI4" i="65"/>
  <c r="AE4" i="65"/>
  <c r="AF4" i="65" s="1"/>
  <c r="AG4" i="65" s="1"/>
  <c r="AH4" i="65" s="1"/>
  <c r="J4" i="65"/>
  <c r="I4" i="65"/>
  <c r="H4" i="65"/>
  <c r="F4" i="65"/>
  <c r="AP3" i="65"/>
  <c r="AO3" i="65"/>
  <c r="AL3" i="65"/>
  <c r="AI3" i="65"/>
  <c r="AE3" i="65"/>
  <c r="AF3" i="65" s="1"/>
  <c r="AG3" i="65" s="1"/>
  <c r="AH3" i="65" s="1"/>
  <c r="J3" i="65"/>
  <c r="I3" i="65"/>
  <c r="H3" i="65"/>
  <c r="F3" i="65"/>
  <c r="AP2" i="65"/>
  <c r="AO2" i="65"/>
  <c r="AL2" i="65"/>
  <c r="AI2" i="65"/>
  <c r="AE2" i="65"/>
  <c r="AF2" i="65" s="1"/>
  <c r="AG2" i="65" s="1"/>
  <c r="AH2" i="65" s="1"/>
  <c r="J2" i="65"/>
  <c r="I2" i="65"/>
  <c r="H2" i="65"/>
  <c r="F2" i="65"/>
  <c r="AY16" i="58"/>
  <c r="AX16" i="58"/>
  <c r="AW16" i="58"/>
  <c r="AM16" i="58"/>
  <c r="AK16" i="58"/>
  <c r="AJ16" i="58"/>
  <c r="L16" i="58"/>
  <c r="K16" i="58"/>
  <c r="D16" i="58"/>
  <c r="AY15" i="58"/>
  <c r="AX15" i="58"/>
  <c r="AW15" i="58"/>
  <c r="AM15" i="58"/>
  <c r="AK15" i="58"/>
  <c r="AJ15" i="58"/>
  <c r="L15" i="58"/>
  <c r="K15" i="58"/>
  <c r="D15" i="58"/>
  <c r="AY14" i="58"/>
  <c r="AX14" i="58"/>
  <c r="AW14" i="58"/>
  <c r="AM14" i="58"/>
  <c r="AK14" i="58"/>
  <c r="AJ14" i="58"/>
  <c r="L14" i="58"/>
  <c r="K14" i="58"/>
  <c r="D14" i="58"/>
  <c r="AY13" i="58"/>
  <c r="AX13" i="58"/>
  <c r="AW13" i="58"/>
  <c r="AM13" i="58"/>
  <c r="AK13" i="58"/>
  <c r="AJ13" i="58"/>
  <c r="L13" i="58"/>
  <c r="K13" i="58"/>
  <c r="D13" i="58"/>
  <c r="AY12" i="58"/>
  <c r="AX12" i="58"/>
  <c r="AW12" i="58"/>
  <c r="AM12" i="58"/>
  <c r="AK12" i="58"/>
  <c r="AJ12" i="58"/>
  <c r="L12" i="58"/>
  <c r="K12" i="58"/>
  <c r="D12" i="58"/>
  <c r="AY11" i="58"/>
  <c r="AX11" i="58"/>
  <c r="AW11" i="58"/>
  <c r="AM11" i="58"/>
  <c r="AK11" i="58"/>
  <c r="AJ11" i="58"/>
  <c r="L11" i="58"/>
  <c r="K11" i="58"/>
  <c r="D11" i="58"/>
  <c r="AY10" i="58"/>
  <c r="AX10" i="58"/>
  <c r="AW10" i="58"/>
  <c r="AM10" i="58"/>
  <c r="AK10" i="58"/>
  <c r="AJ10" i="58"/>
  <c r="L10" i="58"/>
  <c r="K10" i="58"/>
  <c r="D10" i="58"/>
  <c r="AY9" i="58"/>
  <c r="AX9" i="58"/>
  <c r="AW9" i="58"/>
  <c r="AM9" i="58"/>
  <c r="AK9" i="58"/>
  <c r="AJ9" i="58"/>
  <c r="L9" i="58"/>
  <c r="K9" i="58"/>
  <c r="D9" i="58"/>
  <c r="AY8" i="58"/>
  <c r="AX8" i="58"/>
  <c r="AW8" i="58"/>
  <c r="AM8" i="58"/>
  <c r="AK8" i="58"/>
  <c r="AJ8" i="58"/>
  <c r="L8" i="58"/>
  <c r="K8" i="58"/>
  <c r="D8" i="58"/>
  <c r="AY7" i="58"/>
  <c r="AX7" i="58"/>
  <c r="AW7" i="58"/>
  <c r="AM7" i="58"/>
  <c r="AK7" i="58"/>
  <c r="AJ7" i="58"/>
  <c r="L7" i="58"/>
  <c r="K7" i="58"/>
  <c r="D7" i="58"/>
  <c r="AY6" i="58"/>
  <c r="AX6" i="58"/>
  <c r="AW6" i="58"/>
  <c r="AM6" i="58"/>
  <c r="AK6" i="58"/>
  <c r="AJ6" i="58"/>
  <c r="L6" i="58"/>
  <c r="K6" i="58"/>
  <c r="D6" i="58"/>
  <c r="AY5" i="58"/>
  <c r="AX5" i="58"/>
  <c r="AW5" i="58"/>
  <c r="AM5" i="58"/>
  <c r="AK5" i="58"/>
  <c r="AJ5" i="58"/>
  <c r="L5" i="58"/>
  <c r="K5" i="58"/>
  <c r="D5" i="58"/>
  <c r="AY4" i="58"/>
  <c r="AX4" i="58"/>
  <c r="AW4" i="58"/>
  <c r="AM4" i="58"/>
  <c r="AK4" i="58"/>
  <c r="AJ4" i="58"/>
  <c r="L4" i="58"/>
  <c r="K4" i="58"/>
  <c r="D4" i="58"/>
  <c r="AY3" i="58"/>
  <c r="AX3" i="58"/>
  <c r="AW3" i="58"/>
  <c r="AM3" i="58"/>
  <c r="AK3" i="58"/>
  <c r="AJ3" i="58"/>
  <c r="L3" i="58"/>
  <c r="K3" i="58"/>
  <c r="D3" i="58"/>
  <c r="AY2" i="58"/>
  <c r="AX2" i="58"/>
  <c r="AW2" i="58"/>
  <c r="AM2" i="58"/>
  <c r="AK2" i="58"/>
  <c r="AJ2" i="58"/>
  <c r="L2" i="58"/>
  <c r="K2" i="58"/>
  <c r="D2" i="58"/>
  <c r="R54" i="34"/>
  <c r="N54" i="34"/>
  <c r="F54" i="34"/>
  <c r="N53" i="34"/>
  <c r="R53" i="34" s="1"/>
  <c r="F53" i="34"/>
  <c r="N52" i="34"/>
  <c r="R52" i="34" s="1"/>
  <c r="F52" i="34"/>
  <c r="N51" i="34"/>
  <c r="R51" i="34" s="1"/>
  <c r="F51" i="34"/>
  <c r="R50" i="34"/>
  <c r="N50" i="34"/>
  <c r="F50" i="34"/>
  <c r="N49" i="34"/>
  <c r="R49" i="34" s="1"/>
  <c r="F49" i="34"/>
  <c r="H135" i="48"/>
  <c r="H134" i="48"/>
  <c r="H131" i="48"/>
  <c r="H130" i="48"/>
  <c r="H126" i="48"/>
  <c r="H123" i="48"/>
  <c r="H122" i="48"/>
  <c r="H119" i="48"/>
  <c r="H118" i="48"/>
  <c r="H120" i="48" s="1"/>
  <c r="H115" i="48"/>
  <c r="H114" i="48"/>
  <c r="H116" i="48" s="1"/>
  <c r="H112" i="48"/>
  <c r="H111" i="48"/>
  <c r="H110" i="48"/>
  <c r="H107" i="48"/>
  <c r="H108" i="48" s="1"/>
  <c r="H106" i="48"/>
  <c r="H103" i="48"/>
  <c r="H102" i="48"/>
  <c r="H104" i="48" s="1"/>
  <c r="G99" i="48"/>
  <c r="H99" i="48" s="1"/>
  <c r="H98" i="48"/>
  <c r="G95" i="48"/>
  <c r="H95" i="48" s="1"/>
  <c r="H94" i="48"/>
  <c r="H96" i="48" s="1"/>
  <c r="G58" i="48"/>
  <c r="F58" i="48"/>
  <c r="E58" i="48"/>
  <c r="D58" i="48"/>
  <c r="C58" i="48"/>
  <c r="G57" i="48"/>
  <c r="F57" i="48"/>
  <c r="E57" i="48"/>
  <c r="D57" i="48"/>
  <c r="C57" i="48"/>
  <c r="G56" i="48"/>
  <c r="F56" i="48"/>
  <c r="E56" i="48"/>
  <c r="D56" i="48"/>
  <c r="C56" i="48"/>
  <c r="G55" i="48"/>
  <c r="F55" i="48"/>
  <c r="E55" i="48"/>
  <c r="D55" i="48"/>
  <c r="C55" i="48"/>
  <c r="G54" i="48"/>
  <c r="F54" i="48"/>
  <c r="E54" i="48"/>
  <c r="D54" i="48"/>
  <c r="C54" i="48"/>
  <c r="G53" i="48"/>
  <c r="F53" i="48"/>
  <c r="E53" i="48"/>
  <c r="D53" i="48"/>
  <c r="C53" i="48"/>
  <c r="G52" i="48"/>
  <c r="F52" i="48"/>
  <c r="E52" i="48"/>
  <c r="D52" i="48"/>
  <c r="C52" i="48"/>
  <c r="G51" i="48"/>
  <c r="F51" i="48"/>
  <c r="E51" i="48"/>
  <c r="D51" i="48"/>
  <c r="C51" i="48"/>
  <c r="G50" i="48"/>
  <c r="F50" i="48"/>
  <c r="E50" i="48"/>
  <c r="D50" i="48"/>
  <c r="C50" i="48"/>
  <c r="G49" i="48"/>
  <c r="F49" i="48"/>
  <c r="E49" i="48"/>
  <c r="D49" i="48"/>
  <c r="C49" i="48"/>
  <c r="G48" i="48"/>
  <c r="F48" i="48"/>
  <c r="E48" i="48"/>
  <c r="D48" i="48"/>
  <c r="C48" i="48"/>
  <c r="G47" i="48"/>
  <c r="F47" i="48"/>
  <c r="E47" i="48"/>
  <c r="D47" i="48"/>
  <c r="C47" i="48"/>
  <c r="G46" i="48"/>
  <c r="F46" i="48"/>
  <c r="E46" i="48"/>
  <c r="D46" i="48"/>
  <c r="C46" i="48"/>
  <c r="G45" i="48"/>
  <c r="F45" i="48"/>
  <c r="E45" i="48"/>
  <c r="D45" i="48"/>
  <c r="C45" i="48"/>
  <c r="G44" i="48"/>
  <c r="F44" i="48"/>
  <c r="E44" i="48"/>
  <c r="D44" i="48"/>
  <c r="C44" i="48"/>
  <c r="G43" i="48"/>
  <c r="F43" i="48"/>
  <c r="E43" i="48"/>
  <c r="D43" i="48"/>
  <c r="C43" i="48"/>
  <c r="G42" i="48"/>
  <c r="F42" i="48"/>
  <c r="E42" i="48"/>
  <c r="D42" i="48"/>
  <c r="C42" i="48"/>
  <c r="G41" i="48"/>
  <c r="F41" i="48"/>
  <c r="E41" i="48"/>
  <c r="D41" i="48"/>
  <c r="C41" i="48"/>
  <c r="G40" i="48"/>
  <c r="F40" i="48"/>
  <c r="E40" i="48"/>
  <c r="C78" i="48" s="1"/>
  <c r="D40" i="48"/>
  <c r="H30" i="48"/>
  <c r="G30" i="48"/>
  <c r="H29" i="48"/>
  <c r="H25" i="48"/>
  <c r="B7" i="48"/>
  <c r="C11" i="48" s="1"/>
  <c r="AL87" i="2"/>
  <c r="AB349" i="50"/>
  <c r="H100" i="48" l="1"/>
  <c r="C40" i="48"/>
  <c r="C79" i="48" s="1"/>
  <c r="C80" i="48" s="1"/>
  <c r="C82" i="48" s="1"/>
  <c r="A59" i="65"/>
  <c r="A127" i="65"/>
  <c r="A207" i="65"/>
  <c r="A192" i="65"/>
  <c r="A226" i="65"/>
  <c r="A293" i="65"/>
  <c r="A282" i="65"/>
  <c r="A269" i="65"/>
  <c r="AA349" i="50"/>
  <c r="Z349" i="50"/>
  <c r="AB348" i="50"/>
  <c r="A193" i="65" l="1"/>
  <c r="A283" i="65"/>
  <c r="A294" i="65"/>
  <c r="A208" i="65"/>
  <c r="A128" i="65"/>
  <c r="A60" i="65"/>
  <c r="A270" i="65"/>
  <c r="A227" i="65"/>
  <c r="AA348" i="50"/>
  <c r="Z348" i="50"/>
  <c r="AB347" i="50"/>
  <c r="A129" i="65" l="1"/>
  <c r="A284" i="65"/>
  <c r="A209" i="65"/>
  <c r="A295" i="65"/>
  <c r="A194" i="65"/>
  <c r="A228" i="65"/>
  <c r="AA347" i="50"/>
  <c r="Z347" i="50"/>
  <c r="AB346" i="50"/>
  <c r="A296" i="65" l="1"/>
  <c r="A210" i="65"/>
  <c r="A285" i="65"/>
  <c r="A130" i="65"/>
  <c r="A195" i="65"/>
  <c r="AA346" i="50"/>
  <c r="Z346" i="50"/>
  <c r="AB345" i="50"/>
  <c r="A196" i="65" l="1"/>
  <c r="A286" i="65"/>
  <c r="A297" i="65"/>
  <c r="A131" i="65"/>
  <c r="A211" i="65"/>
  <c r="AA345" i="50"/>
  <c r="Z345" i="50"/>
  <c r="AB344" i="50"/>
  <c r="A287" i="65" l="1"/>
  <c r="A212" i="65"/>
  <c r="A197" i="65"/>
  <c r="A132" i="65"/>
  <c r="AA344" i="50"/>
  <c r="Z344" i="50"/>
  <c r="AB343" i="50"/>
  <c r="A213" i="65" l="1"/>
  <c r="A288" i="65"/>
  <c r="A133" i="65"/>
  <c r="A198" i="65"/>
  <c r="AA343" i="50"/>
  <c r="Z343" i="50"/>
  <c r="AB342" i="50"/>
  <c r="A134" i="65" l="1"/>
  <c r="A289" i="65"/>
  <c r="A214" i="65"/>
  <c r="A199" i="65"/>
  <c r="AA342" i="50"/>
  <c r="Z342" i="50"/>
  <c r="AB341" i="50"/>
  <c r="A215" i="65" l="1"/>
  <c r="A135" i="65"/>
  <c r="A200" i="65"/>
  <c r="AA341" i="50"/>
  <c r="Z341" i="50"/>
  <c r="AB340" i="50"/>
  <c r="A136" i="65" l="1"/>
  <c r="A201" i="65"/>
  <c r="AA340" i="50"/>
  <c r="Z340" i="50"/>
  <c r="AB339" i="50"/>
  <c r="A137" i="65" l="1"/>
  <c r="A202" i="65"/>
  <c r="AA339" i="50"/>
  <c r="Z339" i="50"/>
  <c r="AB338" i="50"/>
  <c r="A203" i="65" l="1"/>
  <c r="A138" i="65"/>
  <c r="AA338" i="50"/>
  <c r="Z338" i="50"/>
  <c r="AB337" i="50"/>
  <c r="A139" i="65" l="1"/>
  <c r="A204" i="65"/>
  <c r="AA337" i="50"/>
  <c r="Z337" i="50"/>
  <c r="AB336" i="50"/>
  <c r="A140" i="65" l="1"/>
  <c r="AA336" i="50"/>
  <c r="Z336" i="50"/>
  <c r="AB335" i="50"/>
  <c r="A141" i="65" l="1"/>
  <c r="AA335" i="50"/>
  <c r="Z335" i="50"/>
  <c r="AB334" i="50"/>
  <c r="A142" i="65" l="1"/>
  <c r="AA334" i="50"/>
  <c r="Z334" i="50"/>
  <c r="AB333" i="50"/>
  <c r="A143" i="65" l="1"/>
  <c r="AA333" i="50"/>
  <c r="Z333" i="50"/>
  <c r="AB332" i="50"/>
  <c r="AA332" i="50" l="1"/>
  <c r="Z332" i="50"/>
  <c r="AB331" i="50"/>
  <c r="AA331" i="50"/>
  <c r="Z331" i="50"/>
  <c r="AB330" i="50"/>
  <c r="AA330" i="50"/>
  <c r="Z330" i="50"/>
  <c r="AB329" i="50"/>
  <c r="AA329" i="50"/>
  <c r="Z329" i="50"/>
  <c r="AB328" i="50"/>
  <c r="AA328" i="50"/>
  <c r="Z328" i="50"/>
  <c r="AB327" i="50"/>
  <c r="AA327" i="50"/>
  <c r="Z327" i="50"/>
  <c r="AB326" i="50"/>
  <c r="AA326" i="50"/>
  <c r="Z326" i="50"/>
  <c r="AB325" i="50"/>
  <c r="AA325" i="50"/>
  <c r="Z325" i="50"/>
  <c r="AB324" i="50"/>
  <c r="AA324" i="50"/>
  <c r="Z324" i="50"/>
  <c r="AB323" i="50"/>
  <c r="AA323" i="50"/>
  <c r="Z323" i="50"/>
  <c r="AB221" i="50"/>
  <c r="AA221" i="50"/>
  <c r="Z221" i="50"/>
  <c r="K221" i="50"/>
  <c r="H221" i="50"/>
  <c r="D221" i="50"/>
  <c r="AB220" i="50"/>
  <c r="G221" i="50" l="1"/>
  <c r="AA220" i="50"/>
  <c r="Z220" i="50"/>
  <c r="K220" i="50"/>
  <c r="H220" i="50"/>
  <c r="D220" i="50"/>
  <c r="AB219" i="50"/>
  <c r="G220" i="50" l="1"/>
  <c r="AA219" i="50"/>
  <c r="Z219" i="50"/>
  <c r="K219" i="50"/>
  <c r="H219" i="50"/>
  <c r="D219" i="50"/>
  <c r="AB218" i="50"/>
  <c r="G219" i="50" l="1"/>
  <c r="AA218" i="50"/>
  <c r="Z218" i="50"/>
  <c r="K218" i="50"/>
  <c r="H218" i="50"/>
  <c r="D218" i="50"/>
  <c r="AB217" i="50"/>
  <c r="G218" i="50" l="1"/>
  <c r="AA217" i="50"/>
  <c r="Z217" i="50"/>
  <c r="K217" i="50"/>
  <c r="H217" i="50"/>
  <c r="D217" i="50"/>
  <c r="AB216" i="50"/>
  <c r="G217" i="50" l="1"/>
  <c r="AA216" i="50"/>
  <c r="Z216" i="50"/>
  <c r="K216" i="50"/>
  <c r="H216" i="50"/>
  <c r="D216" i="50"/>
  <c r="AB215" i="50"/>
  <c r="G216" i="50" l="1"/>
  <c r="AA215" i="50"/>
  <c r="Z215" i="50"/>
  <c r="K215" i="50"/>
  <c r="H215" i="50"/>
  <c r="D215" i="50"/>
  <c r="AB214" i="50"/>
  <c r="G215" i="50" l="1"/>
  <c r="AA214" i="50"/>
  <c r="Z214" i="50"/>
  <c r="K214" i="50"/>
  <c r="H214" i="50"/>
  <c r="D214" i="50"/>
  <c r="AB213" i="50"/>
  <c r="G214" i="50" l="1"/>
  <c r="AA213" i="50"/>
  <c r="Z213" i="50"/>
  <c r="K213" i="50"/>
  <c r="H213" i="50"/>
  <c r="D213" i="50"/>
  <c r="AB212" i="50"/>
  <c r="G213" i="50" l="1"/>
  <c r="AA212" i="50"/>
  <c r="Z212" i="50"/>
  <c r="K212" i="50"/>
  <c r="H212" i="50"/>
  <c r="D212" i="50"/>
  <c r="AB211" i="50"/>
  <c r="G212" i="50" l="1"/>
  <c r="AA211" i="50"/>
  <c r="Z211" i="50"/>
  <c r="K211" i="50"/>
  <c r="H211" i="50"/>
  <c r="D211" i="50"/>
  <c r="AB210" i="50"/>
  <c r="G211" i="50" l="1"/>
  <c r="AA210" i="50"/>
  <c r="Z210" i="50"/>
  <c r="K210" i="50"/>
  <c r="H210" i="50"/>
  <c r="D210" i="50"/>
  <c r="AB209" i="50"/>
  <c r="G210" i="50" l="1"/>
  <c r="AA209" i="50"/>
  <c r="Z209" i="50"/>
  <c r="K209" i="50"/>
  <c r="H209" i="50"/>
  <c r="D209" i="50"/>
  <c r="AB208" i="50"/>
  <c r="G209" i="50" l="1"/>
  <c r="AA208" i="50"/>
  <c r="Z208" i="50"/>
  <c r="K208" i="50"/>
  <c r="H208" i="50"/>
  <c r="D208" i="50"/>
  <c r="AB207" i="50"/>
  <c r="G208" i="50" l="1"/>
  <c r="AA207" i="50"/>
  <c r="Z207" i="50"/>
  <c r="K207" i="50"/>
  <c r="H207" i="50"/>
  <c r="D207" i="50"/>
  <c r="AB206" i="50"/>
  <c r="G207" i="50" l="1"/>
  <c r="AA206" i="50"/>
  <c r="Z206" i="50"/>
  <c r="K206" i="50"/>
  <c r="H206" i="50"/>
  <c r="D206" i="50"/>
  <c r="AB205" i="50"/>
  <c r="G206" i="50" l="1"/>
  <c r="AA205" i="50"/>
  <c r="Z205" i="50"/>
  <c r="K205" i="50"/>
  <c r="H205" i="50"/>
  <c r="D205" i="50"/>
  <c r="AB204" i="50"/>
  <c r="G205" i="50" l="1"/>
  <c r="AA204" i="50"/>
  <c r="Z204" i="50"/>
  <c r="K204" i="50"/>
  <c r="H204" i="50"/>
  <c r="D204" i="50"/>
  <c r="AB203" i="50"/>
  <c r="G204" i="50" l="1"/>
  <c r="AA203" i="50"/>
  <c r="Z203" i="50"/>
  <c r="K203" i="50"/>
  <c r="H203" i="50"/>
  <c r="D203" i="50"/>
  <c r="AB202" i="50"/>
  <c r="G203" i="50" l="1"/>
  <c r="AA202" i="50"/>
  <c r="Z202" i="50"/>
  <c r="K202" i="50"/>
  <c r="H202" i="50"/>
  <c r="D202" i="50"/>
  <c r="AB201" i="50"/>
  <c r="G202" i="50" l="1"/>
  <c r="AA201" i="50"/>
  <c r="Z201" i="50"/>
  <c r="K201" i="50"/>
  <c r="H201" i="50"/>
  <c r="D201" i="50"/>
  <c r="AB200" i="50"/>
  <c r="G201" i="50" l="1"/>
  <c r="AA200" i="50"/>
  <c r="Z200" i="50"/>
  <c r="K200" i="50"/>
  <c r="H200" i="50"/>
  <c r="D200" i="50"/>
  <c r="AB199" i="50"/>
  <c r="G200" i="50" l="1"/>
  <c r="AA199" i="50"/>
  <c r="Z199" i="50"/>
  <c r="K199" i="50"/>
  <c r="H199" i="50"/>
  <c r="D199" i="50"/>
  <c r="AB198" i="50"/>
  <c r="G199" i="50" l="1"/>
  <c r="AA198" i="50"/>
  <c r="Z198" i="50"/>
  <c r="K198" i="50"/>
  <c r="H198" i="50"/>
  <c r="D198" i="50"/>
  <c r="AB197" i="50"/>
  <c r="G198" i="50" l="1"/>
  <c r="AA197" i="50"/>
  <c r="Z197" i="50"/>
  <c r="K197" i="50"/>
  <c r="H197" i="50"/>
  <c r="D197" i="50"/>
  <c r="AB196" i="50"/>
  <c r="G197" i="50" l="1"/>
  <c r="AA196" i="50"/>
  <c r="Z196" i="50"/>
  <c r="K196" i="50"/>
  <c r="H196" i="50"/>
  <c r="D196" i="50"/>
  <c r="AB195" i="50"/>
  <c r="G196" i="50" l="1"/>
  <c r="AA195" i="50"/>
  <c r="Z195" i="50"/>
  <c r="K195" i="50"/>
  <c r="H195" i="50"/>
  <c r="D195" i="50"/>
  <c r="AB194" i="50"/>
  <c r="G195" i="50" l="1"/>
  <c r="AA194" i="50"/>
  <c r="Z194" i="50"/>
  <c r="K194" i="50"/>
  <c r="H194" i="50"/>
  <c r="D194" i="50"/>
  <c r="AB193" i="50"/>
  <c r="G194" i="50" l="1"/>
  <c r="AA193" i="50"/>
  <c r="Z193" i="50"/>
  <c r="K193" i="50"/>
  <c r="H193" i="50"/>
  <c r="D193" i="50"/>
  <c r="AB192" i="50"/>
  <c r="G193" i="50" l="1"/>
  <c r="AA192" i="50"/>
  <c r="Z192" i="50"/>
  <c r="K192" i="50"/>
  <c r="H192" i="50"/>
  <c r="D192" i="50"/>
  <c r="AB191" i="50"/>
  <c r="G192" i="50" l="1"/>
  <c r="AA191" i="50"/>
  <c r="Z191" i="50"/>
  <c r="K191" i="50"/>
  <c r="H191" i="50"/>
  <c r="D191" i="50"/>
  <c r="AB190" i="50"/>
  <c r="G191" i="50" l="1"/>
  <c r="AA190" i="50"/>
  <c r="Z190" i="50"/>
  <c r="K190" i="50"/>
  <c r="H190" i="50"/>
  <c r="D190" i="50"/>
  <c r="AB189" i="50"/>
  <c r="G190" i="50" l="1"/>
  <c r="AA189" i="50"/>
  <c r="Z189" i="50"/>
  <c r="K189" i="50"/>
  <c r="H189" i="50"/>
  <c r="D189" i="50"/>
  <c r="AB188" i="50"/>
  <c r="G189" i="50" l="1"/>
  <c r="AA188" i="50"/>
  <c r="Z188" i="50"/>
  <c r="K188" i="50"/>
  <c r="H188" i="50"/>
  <c r="D188" i="50"/>
  <c r="AB187" i="50"/>
  <c r="G188" i="50" l="1"/>
  <c r="AA187" i="50"/>
  <c r="Z187" i="50"/>
  <c r="K187" i="50"/>
  <c r="H187" i="50"/>
  <c r="D187" i="50"/>
  <c r="AB186" i="50"/>
  <c r="G187" i="50" l="1"/>
  <c r="AA186" i="50"/>
  <c r="Z186" i="50"/>
  <c r="K186" i="50"/>
  <c r="H186" i="50"/>
  <c r="D186" i="50"/>
  <c r="AB185" i="50"/>
  <c r="G186" i="50" l="1"/>
  <c r="AA185" i="50"/>
  <c r="Z185" i="50"/>
  <c r="K185" i="50"/>
  <c r="H185" i="50"/>
  <c r="D185" i="50"/>
  <c r="AB184" i="50"/>
  <c r="G185" i="50" l="1"/>
  <c r="AA184" i="50"/>
  <c r="Z184" i="50"/>
  <c r="K184" i="50"/>
  <c r="H184" i="50"/>
  <c r="D184" i="50"/>
  <c r="AB183" i="50"/>
  <c r="G184" i="50" l="1"/>
  <c r="AA183" i="50"/>
  <c r="Z183" i="50"/>
  <c r="K183" i="50"/>
  <c r="H183" i="50"/>
  <c r="D183" i="50"/>
  <c r="AB182" i="50"/>
  <c r="G183" i="50" l="1"/>
  <c r="AA182" i="50"/>
  <c r="Z182" i="50"/>
  <c r="K182" i="50"/>
  <c r="H182" i="50"/>
  <c r="D182" i="50"/>
  <c r="AB181" i="50"/>
  <c r="G182" i="50" l="1"/>
  <c r="AA181" i="50"/>
  <c r="Z181" i="50"/>
  <c r="K181" i="50"/>
  <c r="H181" i="50"/>
  <c r="D181" i="50"/>
  <c r="AB180" i="50"/>
  <c r="G181" i="50" l="1"/>
  <c r="AA180" i="50"/>
  <c r="Z180" i="50"/>
  <c r="K180" i="50"/>
  <c r="H180" i="50"/>
  <c r="D180" i="50"/>
  <c r="AB179" i="50"/>
  <c r="G180" i="50" l="1"/>
  <c r="AA179" i="50"/>
  <c r="Z179" i="50"/>
  <c r="K179" i="50"/>
  <c r="H179" i="50"/>
  <c r="D179" i="50"/>
  <c r="AB178" i="50"/>
  <c r="G179" i="50" l="1"/>
  <c r="AA178" i="50"/>
  <c r="Z178" i="50"/>
  <c r="K178" i="50"/>
  <c r="H178" i="50"/>
  <c r="D178" i="50"/>
  <c r="AB177" i="50"/>
  <c r="G178" i="50" l="1"/>
  <c r="AA177" i="50"/>
  <c r="Z177" i="50"/>
  <c r="K177" i="50"/>
  <c r="H177" i="50"/>
  <c r="D177" i="50"/>
  <c r="AB176" i="50"/>
  <c r="G177" i="50" l="1"/>
  <c r="AA176" i="50"/>
  <c r="Z176" i="50"/>
  <c r="K176" i="50"/>
  <c r="H176" i="50"/>
  <c r="D176" i="50"/>
  <c r="AB175" i="50"/>
  <c r="G176" i="50" l="1"/>
  <c r="AA175" i="50"/>
  <c r="Z175" i="50"/>
  <c r="K175" i="50"/>
  <c r="H175" i="50"/>
  <c r="D175" i="50"/>
  <c r="AB174" i="50"/>
  <c r="G175" i="50" l="1"/>
  <c r="AA174" i="50"/>
  <c r="Z174" i="50"/>
  <c r="K174" i="50"/>
  <c r="H174" i="50"/>
  <c r="D174" i="50"/>
  <c r="AB173" i="50"/>
  <c r="G174" i="50" l="1"/>
  <c r="AA173" i="50"/>
  <c r="Z173" i="50"/>
  <c r="K173" i="50"/>
  <c r="H173" i="50"/>
  <c r="D173" i="50"/>
  <c r="AB172" i="50"/>
  <c r="G173" i="50" l="1"/>
  <c r="AA172" i="50"/>
  <c r="Z172" i="50"/>
  <c r="K172" i="50"/>
  <c r="H172" i="50"/>
  <c r="D172" i="50"/>
  <c r="AB171" i="50"/>
  <c r="G172" i="50" l="1"/>
  <c r="AA171" i="50"/>
  <c r="Z171" i="50"/>
  <c r="K171" i="50"/>
  <c r="H171" i="50"/>
  <c r="D171" i="50"/>
  <c r="AB170" i="50"/>
  <c r="G171" i="50" l="1"/>
  <c r="AA170" i="50"/>
  <c r="Z170" i="50"/>
  <c r="K170" i="50"/>
  <c r="H170" i="50"/>
  <c r="D170" i="50"/>
  <c r="AB169" i="50"/>
  <c r="G170" i="50" l="1"/>
  <c r="AA169" i="50"/>
  <c r="Z169" i="50"/>
  <c r="K169" i="50"/>
  <c r="H169" i="50"/>
  <c r="D169" i="50"/>
  <c r="AB168" i="50"/>
  <c r="G169" i="50" l="1"/>
  <c r="AA168" i="50"/>
  <c r="Z168" i="50"/>
  <c r="K168" i="50"/>
  <c r="H168" i="50"/>
  <c r="D168" i="50"/>
  <c r="AB167" i="50"/>
  <c r="G168" i="50" l="1"/>
  <c r="AA167" i="50"/>
  <c r="Z167" i="50"/>
  <c r="K167" i="50"/>
  <c r="H167" i="50"/>
  <c r="D167" i="50"/>
  <c r="AB166" i="50"/>
  <c r="G167" i="50" l="1"/>
  <c r="AA166" i="50"/>
  <c r="Z166" i="50"/>
  <c r="K166" i="50"/>
  <c r="H166" i="50"/>
  <c r="D166" i="50"/>
  <c r="AB165" i="50"/>
  <c r="G166" i="50" l="1"/>
  <c r="AA165" i="50"/>
  <c r="Z165" i="50"/>
  <c r="K165" i="50"/>
  <c r="H165" i="50"/>
  <c r="D165" i="50"/>
  <c r="AB164" i="50"/>
  <c r="G165" i="50" l="1"/>
  <c r="AA164" i="50"/>
  <c r="Z164" i="50"/>
  <c r="K164" i="50"/>
  <c r="H164" i="50"/>
  <c r="D164" i="50"/>
  <c r="AB163" i="50"/>
  <c r="G164" i="50" l="1"/>
  <c r="AA163" i="50"/>
  <c r="Z163" i="50"/>
  <c r="K163" i="50"/>
  <c r="H163" i="50"/>
  <c r="D163" i="50"/>
  <c r="AB162" i="50"/>
  <c r="G163" i="50" l="1"/>
  <c r="AA162" i="50"/>
  <c r="Z162" i="50"/>
  <c r="K162" i="50"/>
  <c r="H162" i="50"/>
  <c r="D162" i="50"/>
  <c r="AB161" i="50"/>
  <c r="G162" i="50" l="1"/>
  <c r="AA161" i="50"/>
  <c r="Z161" i="50"/>
  <c r="K161" i="50"/>
  <c r="H161" i="50"/>
  <c r="D161" i="50"/>
  <c r="AB160" i="50"/>
  <c r="G161" i="50" l="1"/>
  <c r="AA160" i="50"/>
  <c r="Z160" i="50"/>
  <c r="K160" i="50"/>
  <c r="H160" i="50"/>
  <c r="D160" i="50"/>
  <c r="AB159" i="50"/>
  <c r="G160" i="50" l="1"/>
  <c r="AA159" i="50"/>
  <c r="Z159" i="50"/>
  <c r="K159" i="50"/>
  <c r="H159" i="50"/>
  <c r="D159" i="50"/>
  <c r="AB158" i="50"/>
  <c r="G159" i="50" l="1"/>
  <c r="AA158" i="50"/>
  <c r="Z158" i="50"/>
  <c r="K158" i="50"/>
  <c r="H158" i="50"/>
  <c r="D158" i="50"/>
  <c r="AB157" i="50"/>
  <c r="G158" i="50" l="1"/>
  <c r="AA157" i="50"/>
  <c r="Z157" i="50"/>
  <c r="K157" i="50"/>
  <c r="H157" i="50"/>
  <c r="D157" i="50"/>
  <c r="AB156" i="50"/>
  <c r="G157" i="50" l="1"/>
  <c r="AA156" i="50"/>
  <c r="Z156" i="50"/>
  <c r="K156" i="50"/>
  <c r="H156" i="50"/>
  <c r="D156" i="50"/>
  <c r="AB155" i="50"/>
  <c r="G156" i="50" l="1"/>
  <c r="AA155" i="50"/>
  <c r="Z155" i="50"/>
  <c r="K155" i="50"/>
  <c r="H155" i="50"/>
  <c r="D155" i="50"/>
  <c r="AB154" i="50"/>
  <c r="G155" i="50" l="1"/>
  <c r="AA154" i="50"/>
  <c r="Z154" i="50"/>
  <c r="K154" i="50"/>
  <c r="H154" i="50"/>
  <c r="D154" i="50"/>
  <c r="AB153" i="50"/>
  <c r="G154" i="50" l="1"/>
  <c r="AA153" i="50"/>
  <c r="Z153" i="50"/>
  <c r="K153" i="50"/>
  <c r="H153" i="50"/>
  <c r="D153" i="50"/>
  <c r="AB152" i="50"/>
  <c r="G153" i="50" l="1"/>
  <c r="AA152" i="50"/>
  <c r="Z152" i="50"/>
  <c r="K152" i="50"/>
  <c r="H152" i="50"/>
  <c r="D152" i="50"/>
  <c r="AB151" i="50"/>
  <c r="G152" i="50" l="1"/>
  <c r="AA151" i="50"/>
  <c r="Z151" i="50"/>
  <c r="K151" i="50"/>
  <c r="H151" i="50"/>
  <c r="D151" i="50"/>
  <c r="AB150" i="50"/>
  <c r="G151" i="50" l="1"/>
  <c r="AA150" i="50"/>
  <c r="Z150" i="50"/>
  <c r="K150" i="50"/>
  <c r="H150" i="50"/>
  <c r="D150" i="50"/>
  <c r="AB149" i="50"/>
  <c r="G150" i="50" l="1"/>
  <c r="AA149" i="50"/>
  <c r="Z149" i="50"/>
  <c r="K149" i="50"/>
  <c r="H149" i="50"/>
  <c r="D149" i="50"/>
  <c r="AB148" i="50"/>
  <c r="G149" i="50" l="1"/>
  <c r="AA148" i="50"/>
  <c r="Z148" i="50"/>
  <c r="K148" i="50"/>
  <c r="H148" i="50"/>
  <c r="D148" i="50"/>
  <c r="AB147" i="50"/>
  <c r="G148" i="50" l="1"/>
  <c r="AA147" i="50"/>
  <c r="Z147" i="50"/>
  <c r="K147" i="50"/>
  <c r="H147" i="50"/>
  <c r="D147" i="50"/>
  <c r="AB146" i="50"/>
  <c r="G147" i="50" l="1"/>
  <c r="AA146" i="50"/>
  <c r="Z146" i="50"/>
  <c r="K146" i="50"/>
  <c r="H146" i="50"/>
  <c r="D146" i="50"/>
  <c r="AB145" i="50"/>
  <c r="G146" i="50" l="1"/>
  <c r="AA145" i="50"/>
  <c r="Z145" i="50"/>
  <c r="K145" i="50"/>
  <c r="H145" i="50"/>
  <c r="D145" i="50"/>
  <c r="AB144" i="50"/>
  <c r="G145" i="50" l="1"/>
  <c r="AA144" i="50"/>
  <c r="Z144" i="50"/>
  <c r="K144" i="50"/>
  <c r="H144" i="50"/>
  <c r="D144" i="50"/>
  <c r="AB143" i="50"/>
  <c r="G144" i="50" l="1"/>
  <c r="AA143" i="50"/>
  <c r="Z143" i="50"/>
  <c r="K143" i="50"/>
  <c r="H143" i="50"/>
  <c r="D143" i="50"/>
  <c r="AB142" i="50"/>
  <c r="G143" i="50" l="1"/>
  <c r="AA142" i="50"/>
  <c r="Z142" i="50"/>
  <c r="K142" i="50"/>
  <c r="H142" i="50"/>
  <c r="D142" i="50"/>
  <c r="AB141" i="50"/>
  <c r="G142" i="50" l="1"/>
  <c r="AA141" i="50"/>
  <c r="Z141" i="50"/>
  <c r="K141" i="50"/>
  <c r="H141" i="50"/>
  <c r="D141" i="50"/>
  <c r="AB140" i="50"/>
  <c r="G141" i="50" l="1"/>
  <c r="AA140" i="50"/>
  <c r="Z140" i="50"/>
  <c r="K140" i="50"/>
  <c r="H140" i="50"/>
  <c r="D140" i="50"/>
  <c r="AB139" i="50"/>
  <c r="G140" i="50" l="1"/>
  <c r="AA139" i="50"/>
  <c r="Z139" i="50"/>
  <c r="K139" i="50"/>
  <c r="H139" i="50"/>
  <c r="D139" i="50"/>
  <c r="AB138" i="50"/>
  <c r="G139" i="50" l="1"/>
  <c r="AA138" i="50"/>
  <c r="Z138" i="50"/>
  <c r="K138" i="50"/>
  <c r="H138" i="50"/>
  <c r="D138" i="50"/>
  <c r="AB137" i="50"/>
  <c r="G138" i="50" l="1"/>
  <c r="AA137" i="50"/>
  <c r="Z137" i="50"/>
  <c r="K137" i="50"/>
  <c r="H137" i="50"/>
  <c r="D137" i="50"/>
  <c r="AB136" i="50"/>
  <c r="G137" i="50" l="1"/>
  <c r="AA136" i="50"/>
  <c r="Z136" i="50"/>
  <c r="K136" i="50"/>
  <c r="H136" i="50"/>
  <c r="D136" i="50"/>
  <c r="AB135" i="50"/>
  <c r="G136" i="50" l="1"/>
  <c r="AA135" i="50"/>
  <c r="Z135" i="50"/>
  <c r="K135" i="50"/>
  <c r="H135" i="50"/>
  <c r="D135" i="50"/>
  <c r="AB134" i="50"/>
  <c r="G135" i="50" l="1"/>
  <c r="AA134" i="50"/>
  <c r="Z134" i="50"/>
  <c r="K134" i="50"/>
  <c r="H134" i="50"/>
  <c r="D134" i="50"/>
  <c r="AB133" i="50"/>
  <c r="G134" i="50" l="1"/>
  <c r="AA133" i="50"/>
  <c r="Z133" i="50"/>
  <c r="K133" i="50"/>
  <c r="H133" i="50"/>
  <c r="D133" i="50"/>
  <c r="AB132" i="50"/>
  <c r="G133" i="50" l="1"/>
  <c r="AA132" i="50"/>
  <c r="Z132" i="50"/>
  <c r="X132" i="50"/>
  <c r="K132" i="50"/>
  <c r="H132" i="50"/>
  <c r="D132" i="50"/>
  <c r="AB131" i="50"/>
  <c r="G132" i="50" l="1"/>
  <c r="AA131" i="50"/>
  <c r="Z131" i="50"/>
  <c r="K131" i="50"/>
  <c r="H131" i="50"/>
  <c r="D131" i="50"/>
  <c r="AB130" i="50"/>
  <c r="G131" i="50" l="1"/>
  <c r="AA130" i="50"/>
  <c r="Z130" i="50"/>
  <c r="K130" i="50"/>
  <c r="H130" i="50"/>
  <c r="D130" i="50"/>
  <c r="AB129" i="50"/>
  <c r="G130" i="50" l="1"/>
  <c r="AA129" i="50"/>
  <c r="Z129" i="50"/>
  <c r="K129" i="50"/>
  <c r="H129" i="50"/>
  <c r="D129" i="50"/>
  <c r="AB128" i="50"/>
  <c r="G129" i="50" l="1"/>
  <c r="AA128" i="50"/>
  <c r="Z128" i="50"/>
  <c r="K128" i="50"/>
  <c r="H128" i="50"/>
  <c r="D128" i="50"/>
  <c r="AB127" i="50"/>
  <c r="G128" i="50" l="1"/>
  <c r="AA127" i="50"/>
  <c r="Z127" i="50"/>
  <c r="K127" i="50"/>
  <c r="H127" i="50"/>
  <c r="D127" i="50"/>
  <c r="AB126" i="50"/>
  <c r="G127" i="50" l="1"/>
  <c r="AA126" i="50"/>
  <c r="Z126" i="50"/>
  <c r="K126" i="50"/>
  <c r="H126" i="50"/>
  <c r="D126" i="50"/>
  <c r="AB125" i="50"/>
  <c r="G126" i="50" l="1"/>
  <c r="AA125" i="50"/>
  <c r="Z125" i="50"/>
  <c r="K125" i="50"/>
  <c r="H125" i="50"/>
  <c r="D125" i="50"/>
  <c r="AB124" i="50"/>
  <c r="G125" i="50" l="1"/>
  <c r="AA124" i="50"/>
  <c r="Z124" i="50"/>
  <c r="K124" i="50"/>
  <c r="H124" i="50"/>
  <c r="D124" i="50"/>
  <c r="AB123" i="50"/>
  <c r="G124" i="50" l="1"/>
  <c r="AA123" i="50"/>
  <c r="Z123" i="50"/>
  <c r="K123" i="50"/>
  <c r="H123" i="50"/>
  <c r="D123" i="50"/>
  <c r="AB122" i="50"/>
  <c r="G123" i="50" l="1"/>
  <c r="AA122" i="50"/>
  <c r="Z122" i="50"/>
  <c r="K122" i="50"/>
  <c r="H122" i="50"/>
  <c r="D122" i="50"/>
  <c r="AB121" i="50"/>
  <c r="G122" i="50" l="1"/>
  <c r="AA121" i="50"/>
  <c r="Z121" i="50"/>
  <c r="K121" i="50"/>
  <c r="H121" i="50"/>
  <c r="D121" i="50"/>
  <c r="AB120" i="50"/>
  <c r="G121" i="50" l="1"/>
  <c r="AA120" i="50"/>
  <c r="Z120" i="50"/>
  <c r="K120" i="50"/>
  <c r="H120" i="50"/>
  <c r="D120" i="50"/>
  <c r="AB119" i="50"/>
  <c r="G120" i="50" l="1"/>
  <c r="AA119" i="50"/>
  <c r="Z119" i="50"/>
  <c r="K119" i="50"/>
  <c r="H119" i="50"/>
  <c r="D119" i="50"/>
  <c r="AB118" i="50"/>
  <c r="G119" i="50" l="1"/>
  <c r="AA118" i="50"/>
  <c r="Z118" i="50"/>
  <c r="K118" i="50"/>
  <c r="H118" i="50"/>
  <c r="D118" i="50"/>
  <c r="AB117" i="50"/>
  <c r="G118" i="50" l="1"/>
  <c r="AA117" i="50"/>
  <c r="Z117" i="50"/>
  <c r="K117" i="50"/>
  <c r="H117" i="50"/>
  <c r="D117" i="50"/>
  <c r="AB116" i="50"/>
  <c r="G117" i="50" l="1"/>
  <c r="AA116" i="50"/>
  <c r="Z116" i="50"/>
  <c r="K116" i="50"/>
  <c r="H116" i="50"/>
  <c r="D116" i="50"/>
  <c r="AB115" i="50"/>
  <c r="G116" i="50" l="1"/>
  <c r="AA115" i="50"/>
  <c r="Z115" i="50"/>
  <c r="K115" i="50"/>
  <c r="H115" i="50"/>
  <c r="D115" i="50"/>
  <c r="AB114" i="50"/>
  <c r="G115" i="50" l="1"/>
  <c r="AA114" i="50"/>
  <c r="Z114" i="50"/>
  <c r="K114" i="50"/>
  <c r="H114" i="50"/>
  <c r="D114" i="50"/>
  <c r="AB113" i="50"/>
  <c r="G114" i="50" l="1"/>
  <c r="AA113" i="50"/>
  <c r="Z113" i="50"/>
  <c r="K113" i="50"/>
  <c r="H113" i="50"/>
  <c r="D113" i="50"/>
  <c r="AB112" i="50"/>
  <c r="G113" i="50" l="1"/>
  <c r="AA112" i="50"/>
  <c r="Z112" i="50"/>
  <c r="K112" i="50"/>
  <c r="H112" i="50"/>
  <c r="D112" i="50"/>
  <c r="AB111" i="50"/>
  <c r="G112" i="50" l="1"/>
  <c r="AA111" i="50"/>
  <c r="Z111" i="50"/>
  <c r="K111" i="50"/>
  <c r="H111" i="50"/>
  <c r="D111" i="50"/>
  <c r="AB110" i="50"/>
  <c r="G111" i="50" l="1"/>
  <c r="AA110" i="50"/>
  <c r="Z110" i="50"/>
  <c r="K110" i="50"/>
  <c r="H110" i="50"/>
  <c r="D110" i="50"/>
  <c r="AB109" i="50"/>
  <c r="G110" i="50" l="1"/>
  <c r="AA109" i="50"/>
  <c r="Z109" i="50"/>
  <c r="K109" i="50"/>
  <c r="H109" i="50"/>
  <c r="D109" i="50"/>
  <c r="AB108" i="50"/>
  <c r="G109" i="50" l="1"/>
  <c r="AA108" i="50"/>
  <c r="Z108" i="50"/>
  <c r="K108" i="50"/>
  <c r="H108" i="50"/>
  <c r="D108" i="50"/>
  <c r="AB107" i="50"/>
  <c r="G108" i="50" l="1"/>
  <c r="AA107" i="50"/>
  <c r="Z107" i="50"/>
  <c r="K107" i="50"/>
  <c r="H107" i="50"/>
  <c r="D107" i="50"/>
  <c r="AB106" i="50"/>
  <c r="G107" i="50" l="1"/>
  <c r="AA106" i="50"/>
  <c r="Z106" i="50"/>
  <c r="K106" i="50"/>
  <c r="H106" i="50"/>
  <c r="D106" i="50"/>
  <c r="AB105" i="50"/>
  <c r="G106" i="50" l="1"/>
  <c r="AA105" i="50"/>
  <c r="Z105" i="50"/>
  <c r="K105" i="50"/>
  <c r="H105" i="50"/>
  <c r="D105" i="50"/>
  <c r="AB104" i="50"/>
  <c r="G105" i="50" l="1"/>
  <c r="AA104" i="50"/>
  <c r="Z104" i="50"/>
  <c r="K104" i="50"/>
  <c r="H104" i="50"/>
  <c r="D104" i="50"/>
  <c r="AB103" i="50"/>
  <c r="G104" i="50" l="1"/>
  <c r="AA103" i="50"/>
  <c r="Z103" i="50"/>
  <c r="K103" i="50"/>
  <c r="H103" i="50"/>
  <c r="D103" i="50"/>
  <c r="AB102" i="50"/>
  <c r="G103" i="50" l="1"/>
  <c r="AA102" i="50"/>
  <c r="Z102" i="50"/>
  <c r="K102" i="50"/>
  <c r="H102" i="50"/>
  <c r="D102" i="50"/>
  <c r="AB101" i="50"/>
  <c r="G102" i="50" l="1"/>
  <c r="AA101" i="50"/>
  <c r="Z101" i="50"/>
  <c r="K101" i="50"/>
  <c r="H101" i="50"/>
  <c r="D101" i="50"/>
  <c r="G101" i="50" l="1"/>
  <c r="K100" i="50"/>
  <c r="H100" i="50"/>
  <c r="C100" i="50"/>
  <c r="K99" i="50"/>
  <c r="H99" i="50"/>
  <c r="D100" i="50"/>
  <c r="G100" i="50" l="1"/>
  <c r="C99" i="50"/>
  <c r="K98" i="50"/>
  <c r="H98" i="50"/>
  <c r="D99" i="50"/>
  <c r="G99" i="50" l="1"/>
  <c r="C98" i="50"/>
  <c r="K97" i="50"/>
  <c r="H97" i="50"/>
  <c r="D98" i="50"/>
  <c r="G98" i="50" l="1"/>
  <c r="C97" i="50"/>
  <c r="K96" i="50"/>
  <c r="H96" i="50"/>
  <c r="D97" i="50"/>
  <c r="G97" i="50" l="1"/>
  <c r="C96" i="50"/>
  <c r="K95" i="50"/>
  <c r="H95" i="50"/>
  <c r="D96" i="50"/>
  <c r="G96" i="50" l="1"/>
  <c r="C95" i="50"/>
  <c r="K94" i="50"/>
  <c r="H94" i="50"/>
  <c r="D95" i="50"/>
  <c r="G95" i="50" l="1"/>
  <c r="C94" i="50"/>
  <c r="K93" i="50"/>
  <c r="H93" i="50"/>
  <c r="D94" i="50"/>
  <c r="G94" i="50" l="1"/>
  <c r="C93" i="50"/>
  <c r="K92" i="50"/>
  <c r="H92" i="50"/>
  <c r="D93" i="50"/>
  <c r="G93" i="50" l="1"/>
  <c r="C92" i="50"/>
  <c r="K91" i="50"/>
  <c r="H91" i="50"/>
  <c r="D92" i="50"/>
  <c r="G92" i="50" l="1"/>
  <c r="C91" i="50"/>
  <c r="K90" i="50"/>
  <c r="H90" i="50"/>
  <c r="D91" i="50"/>
  <c r="G91" i="50" l="1"/>
  <c r="C90" i="50"/>
  <c r="K89" i="50"/>
  <c r="H89" i="50"/>
  <c r="D90" i="50"/>
  <c r="G90" i="50" l="1"/>
  <c r="C89" i="50"/>
  <c r="K88" i="50"/>
  <c r="H88" i="50"/>
  <c r="D89" i="50"/>
  <c r="G89" i="50" l="1"/>
  <c r="C88" i="50"/>
  <c r="K87" i="50"/>
  <c r="H87" i="50"/>
  <c r="D88" i="50"/>
  <c r="G88" i="50" l="1"/>
  <c r="C87" i="50"/>
  <c r="K86" i="50"/>
  <c r="H86" i="50"/>
  <c r="D87" i="50"/>
  <c r="G87" i="50" l="1"/>
  <c r="C86" i="50"/>
  <c r="K85" i="50"/>
  <c r="H85" i="50"/>
  <c r="D86" i="50"/>
  <c r="G86" i="50" l="1"/>
  <c r="C85" i="50"/>
  <c r="K84" i="50"/>
  <c r="H84" i="50"/>
  <c r="D85" i="50"/>
  <c r="G85" i="50" l="1"/>
  <c r="C84" i="50"/>
  <c r="K83" i="50"/>
  <c r="H83" i="50"/>
  <c r="D84" i="50"/>
  <c r="G84" i="50" l="1"/>
  <c r="C83" i="50"/>
  <c r="K82" i="50"/>
  <c r="H82" i="50"/>
  <c r="D83" i="50"/>
  <c r="G83" i="50" l="1"/>
  <c r="C82" i="50"/>
  <c r="K81" i="50"/>
  <c r="H81" i="50"/>
  <c r="D82" i="50"/>
  <c r="G82" i="50" l="1"/>
  <c r="C81" i="50"/>
  <c r="K80" i="50"/>
  <c r="H80" i="50"/>
  <c r="D81" i="50"/>
  <c r="G81" i="50" l="1"/>
  <c r="C80" i="50"/>
  <c r="K79" i="50"/>
  <c r="H79" i="50"/>
  <c r="D80" i="50"/>
  <c r="G80" i="50" l="1"/>
  <c r="C79" i="50"/>
  <c r="K78" i="50"/>
  <c r="H78" i="50"/>
  <c r="D79" i="50"/>
  <c r="G79" i="50" l="1"/>
  <c r="C78" i="50"/>
  <c r="K77" i="50"/>
  <c r="H77" i="50"/>
  <c r="D78" i="50"/>
  <c r="G78" i="50" l="1"/>
  <c r="C77" i="50"/>
  <c r="K76" i="50"/>
  <c r="H76" i="50"/>
  <c r="D77" i="50"/>
  <c r="G77" i="50" l="1"/>
  <c r="C76" i="50"/>
  <c r="K75" i="50"/>
  <c r="H75" i="50"/>
  <c r="D76" i="50"/>
  <c r="G76" i="50" l="1"/>
  <c r="C75" i="50"/>
  <c r="K74" i="50"/>
  <c r="H74" i="50"/>
  <c r="D75" i="50"/>
  <c r="G75" i="50" l="1"/>
  <c r="C74" i="50"/>
  <c r="K73" i="50"/>
  <c r="H73" i="50"/>
  <c r="D74" i="50"/>
  <c r="G74" i="50" l="1"/>
  <c r="C73" i="50"/>
  <c r="K72" i="50"/>
  <c r="H72" i="50"/>
  <c r="D73" i="50"/>
  <c r="G73" i="50" l="1"/>
  <c r="C72" i="50"/>
  <c r="K71" i="50"/>
  <c r="H71" i="50"/>
  <c r="D72" i="50"/>
  <c r="G72" i="50" l="1"/>
  <c r="C71" i="50"/>
  <c r="K70" i="50"/>
  <c r="H70" i="50"/>
  <c r="D71" i="50"/>
  <c r="G71" i="50" l="1"/>
  <c r="C70" i="50"/>
  <c r="K69" i="50"/>
  <c r="H69" i="50"/>
  <c r="D70" i="50"/>
  <c r="G70" i="50" l="1"/>
  <c r="C69" i="50"/>
  <c r="K68" i="50"/>
  <c r="H68" i="50"/>
  <c r="D69" i="50"/>
  <c r="G69" i="50" l="1"/>
  <c r="C68" i="50"/>
  <c r="K67" i="50"/>
  <c r="H67" i="50"/>
  <c r="D68" i="50"/>
  <c r="G68" i="50" l="1"/>
  <c r="C67" i="50"/>
  <c r="K66" i="50"/>
  <c r="H66" i="50"/>
  <c r="D67" i="50"/>
  <c r="G67" i="50" l="1"/>
  <c r="C66" i="50"/>
  <c r="K65" i="50"/>
  <c r="H65" i="50"/>
  <c r="D66" i="50"/>
  <c r="G66" i="50" l="1"/>
  <c r="C65" i="50"/>
  <c r="K64" i="50"/>
  <c r="H64" i="50"/>
  <c r="D65" i="50"/>
  <c r="G65" i="50" l="1"/>
  <c r="C64" i="50"/>
  <c r="K63" i="50"/>
  <c r="H63" i="50"/>
  <c r="D64" i="50"/>
  <c r="G64" i="50" l="1"/>
  <c r="C63" i="50"/>
  <c r="K62" i="50"/>
  <c r="H62" i="50"/>
  <c r="D63" i="50"/>
  <c r="G63" i="50" l="1"/>
  <c r="C62" i="50"/>
  <c r="K61" i="50"/>
  <c r="H61" i="50"/>
  <c r="D62" i="50"/>
  <c r="G62" i="50" l="1"/>
  <c r="C61" i="50"/>
  <c r="K60" i="50"/>
  <c r="H60" i="50"/>
  <c r="D61" i="50"/>
  <c r="G61" i="50" l="1"/>
  <c r="C60" i="50"/>
  <c r="D60" i="50"/>
  <c r="AB59" i="50"/>
  <c r="G60" i="50" l="1"/>
  <c r="Z59" i="50"/>
  <c r="O59" i="50"/>
  <c r="C59" i="50"/>
  <c r="D59" i="50"/>
  <c r="E59" i="50"/>
  <c r="F59" i="50"/>
  <c r="I59" i="50"/>
  <c r="J59" i="50"/>
  <c r="L59" i="50"/>
  <c r="M59" i="50"/>
  <c r="N59" i="50"/>
  <c r="AB58" i="50"/>
  <c r="P59" i="50" l="1"/>
  <c r="AA59" i="50"/>
  <c r="K59" i="50"/>
  <c r="H59" i="50"/>
  <c r="U59" i="50"/>
  <c r="V59" i="50" s="1"/>
  <c r="G59" i="50"/>
  <c r="Q59" i="50"/>
  <c r="Z58" i="50"/>
  <c r="R59" i="50" l="1"/>
  <c r="S59" i="50" s="1"/>
  <c r="W59" i="50" s="1"/>
  <c r="O58" i="50"/>
  <c r="C58" i="50"/>
  <c r="D58" i="50"/>
  <c r="E58" i="50"/>
  <c r="F58" i="50"/>
  <c r="I58" i="50"/>
  <c r="J58" i="50"/>
  <c r="L58" i="50"/>
  <c r="M58" i="50"/>
  <c r="N58" i="50"/>
  <c r="AB57" i="50"/>
  <c r="P58" i="50" l="1"/>
  <c r="AA58" i="50"/>
  <c r="K58" i="50"/>
  <c r="H58" i="50"/>
  <c r="U58" i="50"/>
  <c r="V58" i="50" s="1"/>
  <c r="G58" i="50"/>
  <c r="Q58" i="50"/>
  <c r="Z57" i="50"/>
  <c r="R58" i="50" l="1"/>
  <c r="S58" i="50" s="1"/>
  <c r="W58" i="50" s="1"/>
  <c r="O57" i="50"/>
  <c r="C57" i="50"/>
  <c r="D57" i="50"/>
  <c r="E57" i="50"/>
  <c r="F57" i="50"/>
  <c r="I57" i="50"/>
  <c r="J57" i="50"/>
  <c r="L57" i="50"/>
  <c r="M57" i="50"/>
  <c r="N57" i="50"/>
  <c r="AB56" i="50"/>
  <c r="P57" i="50" l="1"/>
  <c r="AA57" i="50"/>
  <c r="K57" i="50"/>
  <c r="H57" i="50"/>
  <c r="U57" i="50"/>
  <c r="V57" i="50" s="1"/>
  <c r="G57" i="50"/>
  <c r="Q57" i="50"/>
  <c r="Z56" i="50"/>
  <c r="R57" i="50" l="1"/>
  <c r="S57" i="50" s="1"/>
  <c r="W57" i="50" s="1"/>
  <c r="O56" i="50"/>
  <c r="C56" i="50"/>
  <c r="D56" i="50"/>
  <c r="E56" i="50"/>
  <c r="F56" i="50"/>
  <c r="I56" i="50"/>
  <c r="J56" i="50"/>
  <c r="L56" i="50"/>
  <c r="M56" i="50"/>
  <c r="N56" i="50"/>
  <c r="AB55" i="50"/>
  <c r="P56" i="50" l="1"/>
  <c r="Q56" i="50" s="1"/>
  <c r="AA56" i="50"/>
  <c r="K56" i="50"/>
  <c r="H56" i="50"/>
  <c r="U56" i="50"/>
  <c r="V56" i="50" s="1"/>
  <c r="G56" i="50"/>
  <c r="Z55" i="50"/>
  <c r="R56" i="50" l="1"/>
  <c r="S56" i="50" s="1"/>
  <c r="W56" i="50" s="1"/>
  <c r="O55" i="50"/>
  <c r="C55" i="50"/>
  <c r="D55" i="50"/>
  <c r="E55" i="50"/>
  <c r="F55" i="50"/>
  <c r="I55" i="50"/>
  <c r="J55" i="50"/>
  <c r="L55" i="50"/>
  <c r="M55" i="50"/>
  <c r="N55" i="50"/>
  <c r="AB54" i="50"/>
  <c r="P55" i="50" l="1"/>
  <c r="AA55" i="50"/>
  <c r="K55" i="50"/>
  <c r="H55" i="50"/>
  <c r="U55" i="50"/>
  <c r="V55" i="50" s="1"/>
  <c r="G55" i="50"/>
  <c r="Q55" i="50"/>
  <c r="Z54" i="50"/>
  <c r="R55" i="50" l="1"/>
  <c r="S55" i="50" s="1"/>
  <c r="W55" i="50" s="1"/>
  <c r="O54" i="50"/>
  <c r="C54" i="50"/>
  <c r="D54" i="50"/>
  <c r="E54" i="50"/>
  <c r="F54" i="50"/>
  <c r="I54" i="50"/>
  <c r="J54" i="50"/>
  <c r="L54" i="50"/>
  <c r="M54" i="50"/>
  <c r="N54" i="50"/>
  <c r="AB53" i="50"/>
  <c r="P54" i="50" l="1"/>
  <c r="Q54" i="50" s="1"/>
  <c r="AA54" i="50"/>
  <c r="K54" i="50"/>
  <c r="H54" i="50"/>
  <c r="U54" i="50"/>
  <c r="V54" i="50" s="1"/>
  <c r="G54" i="50"/>
  <c r="Z53" i="50"/>
  <c r="R54" i="50" l="1"/>
  <c r="S54" i="50" s="1"/>
  <c r="W54" i="50" s="1"/>
  <c r="O53" i="50"/>
  <c r="C53" i="50"/>
  <c r="D53" i="50"/>
  <c r="E53" i="50"/>
  <c r="F53" i="50"/>
  <c r="I53" i="50"/>
  <c r="J53" i="50"/>
  <c r="L53" i="50"/>
  <c r="M53" i="50"/>
  <c r="N53" i="50"/>
  <c r="AB52" i="50"/>
  <c r="P53" i="50" l="1"/>
  <c r="Q53" i="50" s="1"/>
  <c r="AA53" i="50"/>
  <c r="K53" i="50"/>
  <c r="H53" i="50"/>
  <c r="U53" i="50"/>
  <c r="V53" i="50" s="1"/>
  <c r="G53" i="50"/>
  <c r="Z52" i="50"/>
  <c r="R53" i="50" l="1"/>
  <c r="S53" i="50" s="1"/>
  <c r="W53" i="50" s="1"/>
  <c r="O52" i="50"/>
  <c r="C52" i="50"/>
  <c r="D52" i="50"/>
  <c r="E52" i="50"/>
  <c r="F52" i="50"/>
  <c r="I52" i="50"/>
  <c r="J52" i="50"/>
  <c r="L52" i="50"/>
  <c r="M52" i="50"/>
  <c r="N52" i="50"/>
  <c r="AB51" i="50"/>
  <c r="P52" i="50" l="1"/>
  <c r="Q52" i="50" s="1"/>
  <c r="AA52" i="50"/>
  <c r="K52" i="50"/>
  <c r="H52" i="50"/>
  <c r="U52" i="50"/>
  <c r="V52" i="50" s="1"/>
  <c r="G52" i="50"/>
  <c r="Z51" i="50"/>
  <c r="R52" i="50" l="1"/>
  <c r="S52" i="50" s="1"/>
  <c r="W52" i="50" s="1"/>
  <c r="O51" i="50"/>
  <c r="C51" i="50"/>
  <c r="D51" i="50"/>
  <c r="E51" i="50"/>
  <c r="F51" i="50"/>
  <c r="I51" i="50"/>
  <c r="J51" i="50"/>
  <c r="L51" i="50"/>
  <c r="M51" i="50"/>
  <c r="N51" i="50"/>
  <c r="AB50" i="50"/>
  <c r="P51" i="50" l="1"/>
  <c r="Q51" i="50" s="1"/>
  <c r="AA51" i="50"/>
  <c r="K51" i="50"/>
  <c r="H51" i="50"/>
  <c r="U51" i="50"/>
  <c r="V51" i="50" s="1"/>
  <c r="G51" i="50"/>
  <c r="Z50" i="50"/>
  <c r="R51" i="50" l="1"/>
  <c r="S51" i="50" s="1"/>
  <c r="W51" i="50" s="1"/>
  <c r="O50" i="50"/>
  <c r="C50" i="50"/>
  <c r="D50" i="50"/>
  <c r="E50" i="50"/>
  <c r="F50" i="50"/>
  <c r="I50" i="50"/>
  <c r="J50" i="50"/>
  <c r="L50" i="50"/>
  <c r="M50" i="50"/>
  <c r="N50" i="50"/>
  <c r="AB49" i="50"/>
  <c r="P50" i="50" l="1"/>
  <c r="AA50" i="50"/>
  <c r="K50" i="50"/>
  <c r="H50" i="50"/>
  <c r="U50" i="50"/>
  <c r="V50" i="50" s="1"/>
  <c r="G50" i="50"/>
  <c r="Q50" i="50"/>
  <c r="Z49" i="50"/>
  <c r="R50" i="50" l="1"/>
  <c r="S50" i="50" s="1"/>
  <c r="W50" i="50" s="1"/>
  <c r="O49" i="50"/>
  <c r="C49" i="50"/>
  <c r="D49" i="50"/>
  <c r="E49" i="50"/>
  <c r="F49" i="50"/>
  <c r="I49" i="50"/>
  <c r="J49" i="50"/>
  <c r="L49" i="50"/>
  <c r="M49" i="50"/>
  <c r="N49" i="50"/>
  <c r="AB48" i="50"/>
  <c r="P49" i="50" l="1"/>
  <c r="AA49" i="50"/>
  <c r="K49" i="50"/>
  <c r="H49" i="50"/>
  <c r="U49" i="50"/>
  <c r="V49" i="50" s="1"/>
  <c r="G49" i="50"/>
  <c r="Q49" i="50"/>
  <c r="Z48" i="50"/>
  <c r="R49" i="50" l="1"/>
  <c r="S49" i="50" s="1"/>
  <c r="W49" i="50" s="1"/>
  <c r="O48" i="50"/>
  <c r="C48" i="50"/>
  <c r="D48" i="50"/>
  <c r="E48" i="50"/>
  <c r="F48" i="50"/>
  <c r="I48" i="50"/>
  <c r="J48" i="50"/>
  <c r="L48" i="50"/>
  <c r="M48" i="50"/>
  <c r="N48" i="50"/>
  <c r="AB47" i="50"/>
  <c r="P48" i="50" l="1"/>
  <c r="AA48" i="50"/>
  <c r="K48" i="50"/>
  <c r="H48" i="50"/>
  <c r="U48" i="50"/>
  <c r="V48" i="50" s="1"/>
  <c r="G48" i="50"/>
  <c r="Q48" i="50"/>
  <c r="Z47" i="50"/>
  <c r="R48" i="50" l="1"/>
  <c r="S48" i="50" s="1"/>
  <c r="W48" i="50" s="1"/>
  <c r="O47" i="50"/>
  <c r="C47" i="50"/>
  <c r="D47" i="50"/>
  <c r="E47" i="50"/>
  <c r="F47" i="50"/>
  <c r="I47" i="50"/>
  <c r="J47" i="50"/>
  <c r="L47" i="50"/>
  <c r="M47" i="50"/>
  <c r="N47" i="50"/>
  <c r="AB46" i="50"/>
  <c r="P47" i="50" l="1"/>
  <c r="AA47" i="50"/>
  <c r="K47" i="50"/>
  <c r="H47" i="50"/>
  <c r="U47" i="50"/>
  <c r="V47" i="50" s="1"/>
  <c r="G47" i="50"/>
  <c r="Q47" i="50"/>
  <c r="Z46" i="50"/>
  <c r="R47" i="50" l="1"/>
  <c r="S47" i="50" s="1"/>
  <c r="W47" i="50" s="1"/>
  <c r="O46" i="50"/>
  <c r="C46" i="50"/>
  <c r="D46" i="50"/>
  <c r="E46" i="50"/>
  <c r="F46" i="50"/>
  <c r="I46" i="50"/>
  <c r="J46" i="50"/>
  <c r="L46" i="50"/>
  <c r="M46" i="50"/>
  <c r="N46" i="50"/>
  <c r="AB45" i="50"/>
  <c r="P46" i="50" l="1"/>
  <c r="AA46" i="50"/>
  <c r="K46" i="50"/>
  <c r="H46" i="50"/>
  <c r="U46" i="50"/>
  <c r="V46" i="50" s="1"/>
  <c r="G46" i="50"/>
  <c r="Q46" i="50"/>
  <c r="Z45" i="50"/>
  <c r="R46" i="50" l="1"/>
  <c r="S46" i="50" s="1"/>
  <c r="W46" i="50" s="1"/>
  <c r="O45" i="50"/>
  <c r="C45" i="50"/>
  <c r="D45" i="50"/>
  <c r="E45" i="50"/>
  <c r="F45" i="50"/>
  <c r="I45" i="50"/>
  <c r="J45" i="50"/>
  <c r="L45" i="50"/>
  <c r="M45" i="50"/>
  <c r="N45" i="50"/>
  <c r="AB44" i="50"/>
  <c r="P45" i="50" l="1"/>
  <c r="AA45" i="50"/>
  <c r="K45" i="50"/>
  <c r="H45" i="50"/>
  <c r="U45" i="50"/>
  <c r="V45" i="50" s="1"/>
  <c r="G45" i="50"/>
  <c r="Q45" i="50"/>
  <c r="Z44" i="50"/>
  <c r="R45" i="50" l="1"/>
  <c r="S45" i="50" s="1"/>
  <c r="W45" i="50" s="1"/>
  <c r="O44" i="50"/>
  <c r="C44" i="50"/>
  <c r="D44" i="50"/>
  <c r="E44" i="50"/>
  <c r="F44" i="50"/>
  <c r="I44" i="50"/>
  <c r="J44" i="50"/>
  <c r="L44" i="50"/>
  <c r="M44" i="50"/>
  <c r="N44" i="50"/>
  <c r="AB43" i="50"/>
  <c r="P44" i="50" l="1"/>
  <c r="AA44" i="50"/>
  <c r="K44" i="50"/>
  <c r="H44" i="50"/>
  <c r="U44" i="50"/>
  <c r="V44" i="50" s="1"/>
  <c r="G44" i="50"/>
  <c r="Q44" i="50"/>
  <c r="Z43" i="50"/>
  <c r="R44" i="50" l="1"/>
  <c r="S44" i="50" s="1"/>
  <c r="W44" i="50" s="1"/>
  <c r="O43" i="50"/>
  <c r="C43" i="50"/>
  <c r="D43" i="50"/>
  <c r="E43" i="50"/>
  <c r="F43" i="50"/>
  <c r="I43" i="50"/>
  <c r="J43" i="50"/>
  <c r="L43" i="50"/>
  <c r="M43" i="50"/>
  <c r="N43" i="50"/>
  <c r="AB42" i="50"/>
  <c r="P43" i="50" l="1"/>
  <c r="AA43" i="50"/>
  <c r="K43" i="50"/>
  <c r="H43" i="50"/>
  <c r="U43" i="50"/>
  <c r="V43" i="50" s="1"/>
  <c r="G43" i="50"/>
  <c r="Q43" i="50"/>
  <c r="Z42" i="50"/>
  <c r="R43" i="50" l="1"/>
  <c r="S43" i="50" s="1"/>
  <c r="W43" i="50" s="1"/>
  <c r="O42" i="50"/>
  <c r="C42" i="50"/>
  <c r="D42" i="50"/>
  <c r="E42" i="50"/>
  <c r="F42" i="50"/>
  <c r="I42" i="50"/>
  <c r="J42" i="50"/>
  <c r="L42" i="50"/>
  <c r="M42" i="50"/>
  <c r="N42" i="50"/>
  <c r="AB41" i="50"/>
  <c r="P42" i="50" l="1"/>
  <c r="Q42" i="50" s="1"/>
  <c r="AA42" i="50"/>
  <c r="K42" i="50"/>
  <c r="H42" i="50"/>
  <c r="U42" i="50"/>
  <c r="V42" i="50" s="1"/>
  <c r="G42" i="50"/>
  <c r="Z41" i="50"/>
  <c r="R42" i="50" l="1"/>
  <c r="S42" i="50" s="1"/>
  <c r="W42" i="50" s="1"/>
  <c r="O41" i="50"/>
  <c r="C41" i="50"/>
  <c r="D41" i="50"/>
  <c r="E41" i="50"/>
  <c r="F41" i="50"/>
  <c r="I41" i="50"/>
  <c r="J41" i="50"/>
  <c r="L41" i="50"/>
  <c r="M41" i="50"/>
  <c r="N41" i="50"/>
  <c r="AB40" i="50"/>
  <c r="P41" i="50" l="1"/>
  <c r="AA41" i="50"/>
  <c r="K41" i="50"/>
  <c r="H41" i="50"/>
  <c r="U41" i="50"/>
  <c r="V41" i="50" s="1"/>
  <c r="G41" i="50"/>
  <c r="Q41" i="50"/>
  <c r="Z40" i="50"/>
  <c r="R41" i="50" l="1"/>
  <c r="S41" i="50" s="1"/>
  <c r="W41" i="50" s="1"/>
  <c r="O40" i="50"/>
  <c r="C40" i="50"/>
  <c r="D40" i="50"/>
  <c r="E40" i="50"/>
  <c r="F40" i="50"/>
  <c r="I40" i="50"/>
  <c r="J40" i="50"/>
  <c r="L40" i="50"/>
  <c r="M40" i="50"/>
  <c r="N40" i="50"/>
  <c r="AB39" i="50"/>
  <c r="P40" i="50" l="1"/>
  <c r="Q40" i="50" s="1"/>
  <c r="AA40" i="50"/>
  <c r="K40" i="50"/>
  <c r="H40" i="50"/>
  <c r="U40" i="50"/>
  <c r="V40" i="50" s="1"/>
  <c r="G40" i="50"/>
  <c r="Z39" i="50"/>
  <c r="R40" i="50" l="1"/>
  <c r="S40" i="50" s="1"/>
  <c r="W40" i="50" s="1"/>
  <c r="O39" i="50"/>
  <c r="C39" i="50"/>
  <c r="D39" i="50"/>
  <c r="E39" i="50"/>
  <c r="F39" i="50"/>
  <c r="I39" i="50"/>
  <c r="J39" i="50"/>
  <c r="L39" i="50"/>
  <c r="M39" i="50"/>
  <c r="N39" i="50"/>
  <c r="AB38" i="50"/>
  <c r="P39" i="50" l="1"/>
  <c r="Q39" i="50" s="1"/>
  <c r="AA39" i="50"/>
  <c r="K39" i="50"/>
  <c r="H39" i="50"/>
  <c r="U39" i="50"/>
  <c r="V39" i="50" s="1"/>
  <c r="G39" i="50"/>
  <c r="Z38" i="50"/>
  <c r="R39" i="50" l="1"/>
  <c r="S39" i="50" s="1"/>
  <c r="W39" i="50" s="1"/>
  <c r="O38" i="50"/>
  <c r="C38" i="50"/>
  <c r="D38" i="50"/>
  <c r="E38" i="50"/>
  <c r="F38" i="50"/>
  <c r="I38" i="50"/>
  <c r="J38" i="50"/>
  <c r="L38" i="50"/>
  <c r="M38" i="50"/>
  <c r="N38" i="50"/>
  <c r="AB37" i="50"/>
  <c r="P38" i="50" l="1"/>
  <c r="AA38" i="50"/>
  <c r="K38" i="50"/>
  <c r="H38" i="50"/>
  <c r="U38" i="50"/>
  <c r="V38" i="50" s="1"/>
  <c r="G38" i="50"/>
  <c r="Q38" i="50"/>
  <c r="Z37" i="50"/>
  <c r="R38" i="50" l="1"/>
  <c r="S38" i="50" s="1"/>
  <c r="W38" i="50" s="1"/>
  <c r="O37" i="50"/>
  <c r="C37" i="50"/>
  <c r="D37" i="50"/>
  <c r="E37" i="50"/>
  <c r="F37" i="50"/>
  <c r="I37" i="50"/>
  <c r="J37" i="50"/>
  <c r="L37" i="50"/>
  <c r="M37" i="50"/>
  <c r="N37" i="50"/>
  <c r="AB36" i="50"/>
  <c r="P37" i="50" l="1"/>
  <c r="Q37" i="50" s="1"/>
  <c r="AA37" i="50"/>
  <c r="K37" i="50"/>
  <c r="H37" i="50"/>
  <c r="U37" i="50"/>
  <c r="V37" i="50" s="1"/>
  <c r="G37" i="50"/>
  <c r="Z36" i="50"/>
  <c r="R37" i="50" l="1"/>
  <c r="S37" i="50" s="1"/>
  <c r="W37" i="50" s="1"/>
  <c r="O36" i="50"/>
  <c r="C36" i="50"/>
  <c r="D36" i="50"/>
  <c r="E36" i="50"/>
  <c r="F36" i="50"/>
  <c r="I36" i="50"/>
  <c r="J36" i="50"/>
  <c r="L36" i="50"/>
  <c r="M36" i="50"/>
  <c r="N36" i="50"/>
  <c r="AB35" i="50"/>
  <c r="P36" i="50" l="1"/>
  <c r="Q36" i="50" s="1"/>
  <c r="AA36" i="50"/>
  <c r="K36" i="50"/>
  <c r="H36" i="50"/>
  <c r="U36" i="50"/>
  <c r="V36" i="50" s="1"/>
  <c r="G36" i="50"/>
  <c r="Z35" i="50"/>
  <c r="R36" i="50" l="1"/>
  <c r="S36" i="50" s="1"/>
  <c r="W36" i="50" s="1"/>
  <c r="O35" i="50"/>
  <c r="C35" i="50"/>
  <c r="D35" i="50"/>
  <c r="E35" i="50"/>
  <c r="F35" i="50"/>
  <c r="I35" i="50"/>
  <c r="J35" i="50"/>
  <c r="L35" i="50"/>
  <c r="M35" i="50"/>
  <c r="N35" i="50"/>
  <c r="AB34" i="50"/>
  <c r="P35" i="50" l="1"/>
  <c r="Q35" i="50" s="1"/>
  <c r="AA35" i="50"/>
  <c r="K35" i="50"/>
  <c r="H35" i="50"/>
  <c r="U35" i="50"/>
  <c r="V35" i="50" s="1"/>
  <c r="G35" i="50"/>
  <c r="Z34" i="50"/>
  <c r="R35" i="50" l="1"/>
  <c r="S35" i="50" s="1"/>
  <c r="W35" i="50" s="1"/>
  <c r="O34" i="50"/>
  <c r="C34" i="50"/>
  <c r="D34" i="50"/>
  <c r="E34" i="50"/>
  <c r="F34" i="50"/>
  <c r="I34" i="50"/>
  <c r="J34" i="50"/>
  <c r="L34" i="50"/>
  <c r="M34" i="50"/>
  <c r="N34" i="50"/>
  <c r="AB33" i="50"/>
  <c r="P34" i="50" l="1"/>
  <c r="AA34" i="50"/>
  <c r="K34" i="50"/>
  <c r="H34" i="50"/>
  <c r="U34" i="50"/>
  <c r="V34" i="50" s="1"/>
  <c r="G34" i="50"/>
  <c r="Q34" i="50"/>
  <c r="Z33" i="50"/>
  <c r="R34" i="50" l="1"/>
  <c r="S34" i="50" s="1"/>
  <c r="W34" i="50" s="1"/>
  <c r="O33" i="50"/>
  <c r="C33" i="50"/>
  <c r="D33" i="50"/>
  <c r="E33" i="50"/>
  <c r="F33" i="50"/>
  <c r="I33" i="50"/>
  <c r="J33" i="50"/>
  <c r="L33" i="50"/>
  <c r="M33" i="50"/>
  <c r="N33" i="50"/>
  <c r="AB32" i="50"/>
  <c r="P33" i="50" l="1"/>
  <c r="AA33" i="50"/>
  <c r="K33" i="50"/>
  <c r="H33" i="50"/>
  <c r="U33" i="50"/>
  <c r="V33" i="50" s="1"/>
  <c r="G33" i="50"/>
  <c r="Q33" i="50"/>
  <c r="Z32" i="50"/>
  <c r="R33" i="50" l="1"/>
  <c r="S33" i="50" s="1"/>
  <c r="W33" i="50" s="1"/>
  <c r="O32" i="50"/>
  <c r="C32" i="50"/>
  <c r="D32" i="50"/>
  <c r="E32" i="50"/>
  <c r="F32" i="50"/>
  <c r="I32" i="50"/>
  <c r="J32" i="50"/>
  <c r="L32" i="50"/>
  <c r="M32" i="50"/>
  <c r="N32" i="50"/>
  <c r="AB31" i="50"/>
  <c r="P32" i="50" l="1"/>
  <c r="Q32" i="50" s="1"/>
  <c r="AA32" i="50"/>
  <c r="K32" i="50"/>
  <c r="H32" i="50"/>
  <c r="U32" i="50"/>
  <c r="V32" i="50" s="1"/>
  <c r="G32" i="50"/>
  <c r="Z31" i="50"/>
  <c r="R32" i="50" l="1"/>
  <c r="S32" i="50" s="1"/>
  <c r="W32" i="50" s="1"/>
  <c r="O31" i="50"/>
  <c r="C31" i="50"/>
  <c r="D31" i="50"/>
  <c r="E31" i="50"/>
  <c r="F31" i="50"/>
  <c r="I31" i="50"/>
  <c r="J31" i="50"/>
  <c r="L31" i="50"/>
  <c r="M31" i="50"/>
  <c r="N31" i="50"/>
  <c r="AB30" i="50"/>
  <c r="P31" i="50" l="1"/>
  <c r="Q31" i="50" s="1"/>
  <c r="AA31" i="50"/>
  <c r="K31" i="50"/>
  <c r="H31" i="50"/>
  <c r="U31" i="50"/>
  <c r="V31" i="50" s="1"/>
  <c r="G31" i="50"/>
  <c r="Z30" i="50"/>
  <c r="R31" i="50" l="1"/>
  <c r="S31" i="50" s="1"/>
  <c r="W31" i="50" s="1"/>
  <c r="O30" i="50"/>
  <c r="C30" i="50"/>
  <c r="D30" i="50"/>
  <c r="E30" i="50"/>
  <c r="F30" i="50"/>
  <c r="I30" i="50"/>
  <c r="J30" i="50"/>
  <c r="L30" i="50"/>
  <c r="M30" i="50"/>
  <c r="N30" i="50"/>
  <c r="AB29" i="50"/>
  <c r="P30" i="50" l="1"/>
  <c r="AA30" i="50"/>
  <c r="K30" i="50"/>
  <c r="H30" i="50"/>
  <c r="U30" i="50"/>
  <c r="V30" i="50" s="1"/>
  <c r="G30" i="50"/>
  <c r="Q30" i="50"/>
  <c r="Z29" i="50"/>
  <c r="R30" i="50" l="1"/>
  <c r="S30" i="50" s="1"/>
  <c r="W30" i="50" s="1"/>
  <c r="O29" i="50"/>
  <c r="C29" i="50"/>
  <c r="D29" i="50"/>
  <c r="E29" i="50"/>
  <c r="F29" i="50"/>
  <c r="I29" i="50"/>
  <c r="J29" i="50"/>
  <c r="L29" i="50"/>
  <c r="M29" i="50"/>
  <c r="N29" i="50"/>
  <c r="AB28" i="50"/>
  <c r="P29" i="50" l="1"/>
  <c r="AA29" i="50"/>
  <c r="K29" i="50"/>
  <c r="H29" i="50"/>
  <c r="U29" i="50"/>
  <c r="V29" i="50" s="1"/>
  <c r="G29" i="50"/>
  <c r="Q29" i="50"/>
  <c r="Z28" i="50"/>
  <c r="R29" i="50" l="1"/>
  <c r="S29" i="50" s="1"/>
  <c r="W29" i="50" s="1"/>
  <c r="O28" i="50"/>
  <c r="C28" i="50"/>
  <c r="D28" i="50"/>
  <c r="E28" i="50"/>
  <c r="F28" i="50"/>
  <c r="I28" i="50"/>
  <c r="J28" i="50"/>
  <c r="L28" i="50"/>
  <c r="M28" i="50"/>
  <c r="N28" i="50"/>
  <c r="AB27" i="50"/>
  <c r="P28" i="50" l="1"/>
  <c r="Q28" i="50" s="1"/>
  <c r="AA28" i="50"/>
  <c r="K28" i="50"/>
  <c r="H28" i="50"/>
  <c r="U28" i="50"/>
  <c r="V28" i="50" s="1"/>
  <c r="G28" i="50"/>
  <c r="Z27" i="50"/>
  <c r="R28" i="50" l="1"/>
  <c r="S28" i="50" s="1"/>
  <c r="W28" i="50" s="1"/>
  <c r="O27" i="50"/>
  <c r="C27" i="50"/>
  <c r="D27" i="50"/>
  <c r="E27" i="50"/>
  <c r="F27" i="50"/>
  <c r="I27" i="50"/>
  <c r="J27" i="50"/>
  <c r="L27" i="50"/>
  <c r="M27" i="50"/>
  <c r="N27" i="50"/>
  <c r="AB26" i="50"/>
  <c r="P27" i="50" l="1"/>
  <c r="AA27" i="50"/>
  <c r="K27" i="50"/>
  <c r="H27" i="50"/>
  <c r="U27" i="50"/>
  <c r="V27" i="50" s="1"/>
  <c r="G27" i="50"/>
  <c r="Q27" i="50"/>
  <c r="Z26" i="50"/>
  <c r="R27" i="50" l="1"/>
  <c r="S27" i="50" s="1"/>
  <c r="W27" i="50" s="1"/>
  <c r="O26" i="50"/>
  <c r="C26" i="50"/>
  <c r="D26" i="50"/>
  <c r="E26" i="50"/>
  <c r="F26" i="50"/>
  <c r="I26" i="50"/>
  <c r="J26" i="50"/>
  <c r="L26" i="50"/>
  <c r="M26" i="50"/>
  <c r="N26" i="50"/>
  <c r="AB25" i="50"/>
  <c r="P26" i="50" l="1"/>
  <c r="AA26" i="50"/>
  <c r="K26" i="50"/>
  <c r="H26" i="50"/>
  <c r="U26" i="50"/>
  <c r="V26" i="50" s="1"/>
  <c r="G26" i="50"/>
  <c r="Q26" i="50"/>
  <c r="Z25" i="50"/>
  <c r="R26" i="50" l="1"/>
  <c r="S26" i="50" s="1"/>
  <c r="W26" i="50" s="1"/>
  <c r="O25" i="50"/>
  <c r="C25" i="50"/>
  <c r="D25" i="50"/>
  <c r="E25" i="50"/>
  <c r="F25" i="50"/>
  <c r="I25" i="50"/>
  <c r="J25" i="50"/>
  <c r="L25" i="50"/>
  <c r="M25" i="50"/>
  <c r="N25" i="50"/>
  <c r="AB24" i="50"/>
  <c r="P25" i="50" l="1"/>
  <c r="AA25" i="50"/>
  <c r="K25" i="50"/>
  <c r="H25" i="50"/>
  <c r="U25" i="50"/>
  <c r="V25" i="50" s="1"/>
  <c r="G25" i="50"/>
  <c r="Q25" i="50"/>
  <c r="Z24" i="50"/>
  <c r="R25" i="50" l="1"/>
  <c r="S25" i="50" s="1"/>
  <c r="W25" i="50" s="1"/>
  <c r="O24" i="50"/>
  <c r="C24" i="50"/>
  <c r="D24" i="50"/>
  <c r="E24" i="50"/>
  <c r="F24" i="50"/>
  <c r="I24" i="50"/>
  <c r="J24" i="50"/>
  <c r="L24" i="50"/>
  <c r="M24" i="50"/>
  <c r="N24" i="50"/>
  <c r="AB23" i="50"/>
  <c r="P24" i="50" l="1"/>
  <c r="Q24" i="50" s="1"/>
  <c r="AA24" i="50"/>
  <c r="K24" i="50"/>
  <c r="H24" i="50"/>
  <c r="U24" i="50"/>
  <c r="V24" i="50" s="1"/>
  <c r="G24" i="50"/>
  <c r="Z23" i="50"/>
  <c r="R24" i="50" l="1"/>
  <c r="S24" i="50" s="1"/>
  <c r="W24" i="50" s="1"/>
  <c r="O23" i="50"/>
  <c r="C23" i="50"/>
  <c r="D23" i="50"/>
  <c r="E23" i="50"/>
  <c r="F23" i="50"/>
  <c r="I23" i="50"/>
  <c r="J23" i="50"/>
  <c r="L23" i="50"/>
  <c r="M23" i="50"/>
  <c r="N23" i="50"/>
  <c r="AB22" i="50"/>
  <c r="P23" i="50" l="1"/>
  <c r="Q23" i="50" s="1"/>
  <c r="AA23" i="50"/>
  <c r="K23" i="50"/>
  <c r="H23" i="50"/>
  <c r="U23" i="50"/>
  <c r="V23" i="50" s="1"/>
  <c r="G23" i="50"/>
  <c r="Z22" i="50"/>
  <c r="R23" i="50" l="1"/>
  <c r="S23" i="50" s="1"/>
  <c r="W23" i="50" s="1"/>
  <c r="O22" i="50"/>
  <c r="C22" i="50"/>
  <c r="D22" i="50"/>
  <c r="E22" i="50"/>
  <c r="F22" i="50"/>
  <c r="I22" i="50"/>
  <c r="J22" i="50"/>
  <c r="L22" i="50"/>
  <c r="M22" i="50"/>
  <c r="N22" i="50"/>
  <c r="AB21" i="50"/>
  <c r="P22" i="50" l="1"/>
  <c r="AA22" i="50"/>
  <c r="K22" i="50"/>
  <c r="H22" i="50"/>
  <c r="U22" i="50"/>
  <c r="V22" i="50" s="1"/>
  <c r="G22" i="50"/>
  <c r="Q22" i="50"/>
  <c r="Z21" i="50"/>
  <c r="R22" i="50" l="1"/>
  <c r="S22" i="50" s="1"/>
  <c r="W22" i="50" s="1"/>
  <c r="O21" i="50"/>
  <c r="C21" i="50"/>
  <c r="D21" i="50"/>
  <c r="E21" i="50"/>
  <c r="F21" i="50"/>
  <c r="I21" i="50"/>
  <c r="J21" i="50"/>
  <c r="L21" i="50"/>
  <c r="M21" i="50"/>
  <c r="N21" i="50"/>
  <c r="AB20" i="50"/>
  <c r="P21" i="50" l="1"/>
  <c r="AA21" i="50"/>
  <c r="K21" i="50"/>
  <c r="H21" i="50"/>
  <c r="U21" i="50"/>
  <c r="V21" i="50" s="1"/>
  <c r="G21" i="50"/>
  <c r="Q21" i="50"/>
  <c r="Z20" i="50"/>
  <c r="R21" i="50" l="1"/>
  <c r="S21" i="50" s="1"/>
  <c r="W21" i="50" s="1"/>
  <c r="O20" i="50"/>
  <c r="C20" i="50"/>
  <c r="D20" i="50"/>
  <c r="E20" i="50"/>
  <c r="F20" i="50"/>
  <c r="I20" i="50"/>
  <c r="J20" i="50"/>
  <c r="L20" i="50"/>
  <c r="M20" i="50"/>
  <c r="N20" i="50"/>
  <c r="AB19" i="50"/>
  <c r="P20" i="50" l="1"/>
  <c r="Q20" i="50" s="1"/>
  <c r="AA20" i="50"/>
  <c r="K20" i="50"/>
  <c r="H20" i="50"/>
  <c r="U20" i="50"/>
  <c r="V20" i="50" s="1"/>
  <c r="G20" i="50"/>
  <c r="Z19" i="50"/>
  <c r="R20" i="50" l="1"/>
  <c r="S20" i="50" s="1"/>
  <c r="W20" i="50" s="1"/>
  <c r="O19" i="50"/>
  <c r="C19" i="50"/>
  <c r="D19" i="50"/>
  <c r="E19" i="50"/>
  <c r="F19" i="50"/>
  <c r="I19" i="50"/>
  <c r="J19" i="50"/>
  <c r="L19" i="50"/>
  <c r="M19" i="50"/>
  <c r="N19" i="50"/>
  <c r="AB18" i="50"/>
  <c r="P19" i="50" l="1"/>
  <c r="Q19" i="50" s="1"/>
  <c r="AA19" i="50"/>
  <c r="K19" i="50"/>
  <c r="H19" i="50"/>
  <c r="U19" i="50"/>
  <c r="V19" i="50" s="1"/>
  <c r="G19" i="50"/>
  <c r="Z18" i="50"/>
  <c r="R19" i="50" l="1"/>
  <c r="S19" i="50" s="1"/>
  <c r="W19" i="50" s="1"/>
  <c r="O18" i="50"/>
  <c r="C18" i="50"/>
  <c r="D18" i="50"/>
  <c r="E18" i="50"/>
  <c r="F18" i="50"/>
  <c r="I18" i="50"/>
  <c r="J18" i="50"/>
  <c r="L18" i="50"/>
  <c r="M18" i="50"/>
  <c r="N18" i="50"/>
  <c r="AB17" i="50"/>
  <c r="P18" i="50" l="1"/>
  <c r="Q18" i="50" s="1"/>
  <c r="AA18" i="50"/>
  <c r="K18" i="50"/>
  <c r="H18" i="50"/>
  <c r="U18" i="50"/>
  <c r="V18" i="50" s="1"/>
  <c r="G18" i="50"/>
  <c r="Z17" i="50"/>
  <c r="R18" i="50" l="1"/>
  <c r="S18" i="50" s="1"/>
  <c r="W18" i="50" s="1"/>
  <c r="O17" i="50"/>
  <c r="C17" i="50"/>
  <c r="D17" i="50"/>
  <c r="E17" i="50"/>
  <c r="F17" i="50"/>
  <c r="I17" i="50"/>
  <c r="J17" i="50"/>
  <c r="L17" i="50"/>
  <c r="M17" i="50"/>
  <c r="N17" i="50"/>
  <c r="AB16" i="50"/>
  <c r="P17" i="50" l="1"/>
  <c r="AA17" i="50"/>
  <c r="K17" i="50"/>
  <c r="H17" i="50"/>
  <c r="U17" i="50"/>
  <c r="V17" i="50" s="1"/>
  <c r="G17" i="50"/>
  <c r="Q17" i="50"/>
  <c r="Z16" i="50"/>
  <c r="R17" i="50" l="1"/>
  <c r="S17" i="50" s="1"/>
  <c r="W17" i="50" s="1"/>
  <c r="O16" i="50"/>
  <c r="C16" i="50"/>
  <c r="D16" i="50"/>
  <c r="E16" i="50"/>
  <c r="F16" i="50"/>
  <c r="I16" i="50"/>
  <c r="J16" i="50"/>
  <c r="L16" i="50"/>
  <c r="M16" i="50"/>
  <c r="N16" i="50"/>
  <c r="AB15" i="50"/>
  <c r="P16" i="50" l="1"/>
  <c r="AA16" i="50"/>
  <c r="K16" i="50"/>
  <c r="H16" i="50"/>
  <c r="U16" i="50"/>
  <c r="V16" i="50" s="1"/>
  <c r="G16" i="50"/>
  <c r="Q16" i="50"/>
  <c r="Z15" i="50"/>
  <c r="R16" i="50" l="1"/>
  <c r="S16" i="50" s="1"/>
  <c r="W16" i="50" s="1"/>
  <c r="O15" i="50"/>
  <c r="C15" i="50"/>
  <c r="D15" i="50"/>
  <c r="E15" i="50"/>
  <c r="F15" i="50"/>
  <c r="I15" i="50"/>
  <c r="J15" i="50"/>
  <c r="L15" i="50"/>
  <c r="M15" i="50"/>
  <c r="N15" i="50"/>
  <c r="AB14" i="50"/>
  <c r="P15" i="50" l="1"/>
  <c r="Q15" i="50" s="1"/>
  <c r="AA15" i="50"/>
  <c r="K15" i="50"/>
  <c r="H15" i="50"/>
  <c r="U15" i="50"/>
  <c r="V15" i="50" s="1"/>
  <c r="G15" i="50"/>
  <c r="Z14" i="50"/>
  <c r="R15" i="50" l="1"/>
  <c r="S15" i="50" s="1"/>
  <c r="W15" i="50" s="1"/>
  <c r="O14" i="50"/>
  <c r="C14" i="50"/>
  <c r="D14" i="50"/>
  <c r="E14" i="50"/>
  <c r="F14" i="50"/>
  <c r="I14" i="50"/>
  <c r="J14" i="50"/>
  <c r="L14" i="50"/>
  <c r="M14" i="50"/>
  <c r="N14" i="50"/>
  <c r="AB13" i="50"/>
  <c r="P14" i="50" l="1"/>
  <c r="AA14" i="50"/>
  <c r="K14" i="50"/>
  <c r="H14" i="50"/>
  <c r="U14" i="50"/>
  <c r="V14" i="50" s="1"/>
  <c r="G14" i="50"/>
  <c r="Q14" i="50"/>
  <c r="Z13" i="50"/>
  <c r="R14" i="50" l="1"/>
  <c r="S14" i="50" s="1"/>
  <c r="W14" i="50" s="1"/>
  <c r="O13" i="50"/>
  <c r="C13" i="50"/>
  <c r="B9" i="50"/>
  <c r="D13" i="50"/>
  <c r="E13" i="50"/>
  <c r="F13" i="50"/>
  <c r="I13" i="50"/>
  <c r="J13" i="50"/>
  <c r="L13" i="50"/>
  <c r="M13" i="50"/>
  <c r="N13" i="50"/>
  <c r="D24" i="44"/>
  <c r="D25" i="44" l="1"/>
  <c r="P13" i="50"/>
  <c r="AA13" i="50"/>
  <c r="K13" i="50"/>
  <c r="X13" i="50" s="1"/>
  <c r="H13" i="50"/>
  <c r="U13" i="50"/>
  <c r="V13" i="50" s="1"/>
  <c r="G13" i="50"/>
  <c r="Y59" i="50"/>
  <c r="X59" i="50"/>
  <c r="X58" i="50"/>
  <c r="Y58" i="50"/>
  <c r="Y57" i="50"/>
  <c r="X57" i="50"/>
  <c r="Y56" i="50"/>
  <c r="X56" i="50"/>
  <c r="X55" i="50"/>
  <c r="Y55" i="50"/>
  <c r="X54" i="50"/>
  <c r="Y54" i="50"/>
  <c r="Y53" i="50"/>
  <c r="X53" i="50"/>
  <c r="Y52" i="50"/>
  <c r="X52" i="50"/>
  <c r="X51" i="50"/>
  <c r="Y51" i="50"/>
  <c r="Y50" i="50"/>
  <c r="X50" i="50"/>
  <c r="Y49" i="50"/>
  <c r="X49" i="50"/>
  <c r="Y48" i="50"/>
  <c r="X48" i="50"/>
  <c r="Y47" i="50"/>
  <c r="X47" i="50"/>
  <c r="Y46" i="50"/>
  <c r="X46" i="50"/>
  <c r="Y45" i="50"/>
  <c r="X45" i="50"/>
  <c r="X44" i="50"/>
  <c r="Y44" i="50"/>
  <c r="Y43" i="50"/>
  <c r="X43" i="50"/>
  <c r="Y42" i="50"/>
  <c r="X42" i="50"/>
  <c r="Y41" i="50"/>
  <c r="X41" i="50"/>
  <c r="Y40" i="50"/>
  <c r="X40" i="50"/>
  <c r="Y39" i="50"/>
  <c r="X39" i="50"/>
  <c r="X38" i="50"/>
  <c r="Y38" i="50"/>
  <c r="X37" i="50"/>
  <c r="Y37" i="50"/>
  <c r="X36" i="50"/>
  <c r="Y36" i="50"/>
  <c r="Y35" i="50"/>
  <c r="X35" i="50"/>
  <c r="Y34" i="50"/>
  <c r="X34" i="50"/>
  <c r="Y33" i="50"/>
  <c r="X33" i="50"/>
  <c r="Y32" i="50"/>
  <c r="X32" i="50"/>
  <c r="Y31" i="50"/>
  <c r="X31" i="50"/>
  <c r="Y30" i="50"/>
  <c r="X30" i="50"/>
  <c r="Y29" i="50"/>
  <c r="X29" i="50"/>
  <c r="Y28" i="50"/>
  <c r="X28" i="50"/>
  <c r="X27" i="50"/>
  <c r="Y27" i="50"/>
  <c r="Y26" i="50"/>
  <c r="X26" i="50"/>
  <c r="Y25" i="50"/>
  <c r="X25" i="50"/>
  <c r="Y24" i="50"/>
  <c r="X24" i="50"/>
  <c r="X23" i="50"/>
  <c r="Y23" i="50"/>
  <c r="Y22" i="50"/>
  <c r="X22" i="50"/>
  <c r="Y21" i="50"/>
  <c r="X21" i="50"/>
  <c r="Y20" i="50"/>
  <c r="X20" i="50"/>
  <c r="Y19" i="50"/>
  <c r="X19" i="50"/>
  <c r="Y18" i="50"/>
  <c r="X18" i="50"/>
  <c r="Y17" i="50"/>
  <c r="X17" i="50"/>
  <c r="X16" i="50"/>
  <c r="Y16" i="50"/>
  <c r="X15" i="50"/>
  <c r="Y15" i="50"/>
  <c r="Y14" i="50"/>
  <c r="X14" i="50"/>
  <c r="Q13" i="50"/>
  <c r="Y13" i="50" l="1"/>
  <c r="Y12" i="50" s="1"/>
  <c r="R13" i="50"/>
  <c r="S13" i="50" s="1"/>
  <c r="W13" i="50" s="1"/>
  <c r="X111" i="50"/>
  <c r="X12" i="50" s="1"/>
  <c r="B9" i="44"/>
  <c r="D27" i="44" s="1"/>
  <c r="A52" i="62"/>
  <c r="C51" i="62"/>
  <c r="B51" i="62"/>
  <c r="A51" i="62"/>
  <c r="C50" i="62"/>
  <c r="B50" i="62"/>
  <c r="A50" i="62"/>
  <c r="C49" i="62"/>
  <c r="B49" i="62"/>
  <c r="A49" i="62"/>
  <c r="C48" i="62"/>
  <c r="B48" i="62"/>
  <c r="A48" i="62"/>
  <c r="C47" i="62"/>
  <c r="B47" i="62"/>
  <c r="A47" i="62"/>
  <c r="C46" i="62"/>
  <c r="B46" i="62"/>
  <c r="A46" i="62"/>
  <c r="C45" i="62"/>
  <c r="B45" i="62"/>
  <c r="A45" i="62"/>
  <c r="C44" i="62"/>
  <c r="B44" i="62"/>
  <c r="A44" i="62"/>
  <c r="C43" i="62"/>
  <c r="B43" i="62"/>
  <c r="A43" i="62"/>
  <c r="C42" i="62"/>
  <c r="B42" i="62"/>
  <c r="A42" i="62"/>
  <c r="C41" i="62"/>
  <c r="B41" i="62"/>
  <c r="A41" i="62"/>
  <c r="C40" i="62"/>
  <c r="B40" i="62"/>
  <c r="A40" i="62"/>
  <c r="C39" i="62"/>
  <c r="B39" i="62"/>
  <c r="A39" i="62"/>
  <c r="C38" i="62"/>
  <c r="B38" i="62"/>
  <c r="A38" i="62"/>
  <c r="C37" i="62"/>
  <c r="B37" i="62"/>
  <c r="A37" i="62"/>
  <c r="C36" i="62"/>
  <c r="B36" i="62"/>
  <c r="A36" i="62"/>
  <c r="C35" i="62"/>
  <c r="B35" i="62"/>
  <c r="A35" i="62"/>
  <c r="C34" i="62"/>
  <c r="B34" i="62"/>
  <c r="A34" i="62"/>
  <c r="C33" i="62"/>
  <c r="B33" i="62"/>
  <c r="A33" i="62"/>
  <c r="C32" i="62"/>
  <c r="B32" i="62"/>
  <c r="A32" i="62"/>
  <c r="C31" i="62"/>
  <c r="B31" i="62"/>
  <c r="A31" i="62"/>
  <c r="C30" i="62"/>
  <c r="B30" i="62"/>
  <c r="A30" i="62"/>
  <c r="C29" i="62"/>
  <c r="B29" i="62"/>
  <c r="A29" i="62"/>
  <c r="C28" i="62"/>
  <c r="B28" i="62"/>
  <c r="A28" i="62"/>
  <c r="C27" i="62"/>
  <c r="B27" i="62"/>
  <c r="A27" i="62"/>
  <c r="C26" i="62"/>
  <c r="B26" i="62"/>
  <c r="A26" i="62"/>
  <c r="C25" i="62"/>
  <c r="B25" i="62"/>
  <c r="A25" i="62"/>
  <c r="C24" i="62"/>
  <c r="B24" i="62"/>
  <c r="A24" i="62"/>
  <c r="C23" i="62"/>
  <c r="B23" i="62"/>
  <c r="A23" i="62"/>
  <c r="C22" i="62"/>
  <c r="B22" i="62"/>
  <c r="A22" i="62"/>
  <c r="C21" i="62"/>
  <c r="B21" i="62"/>
  <c r="A21" i="62"/>
  <c r="C20" i="62"/>
  <c r="B20" i="62"/>
  <c r="A20" i="62"/>
  <c r="C19" i="62"/>
  <c r="B19" i="62"/>
  <c r="A19" i="62"/>
  <c r="C18" i="62"/>
  <c r="B18" i="62"/>
  <c r="A18" i="62"/>
  <c r="C17" i="62"/>
  <c r="B17" i="62"/>
  <c r="A17" i="62"/>
  <c r="C16" i="62"/>
  <c r="B16" i="62"/>
  <c r="A16" i="62"/>
  <c r="C15" i="62"/>
  <c r="B15" i="62"/>
  <c r="A15" i="62"/>
  <c r="C14" i="62"/>
  <c r="B14" i="62"/>
  <c r="A14" i="62"/>
  <c r="C13" i="62"/>
  <c r="B13" i="62"/>
  <c r="A13" i="62"/>
  <c r="C12" i="62"/>
  <c r="B12" i="62"/>
  <c r="A12" i="62"/>
  <c r="C11" i="62"/>
  <c r="B11" i="62"/>
  <c r="A11" i="62"/>
  <c r="C10" i="62"/>
  <c r="B10" i="62"/>
  <c r="A10" i="62"/>
  <c r="C9" i="62"/>
  <c r="B9" i="62"/>
  <c r="A9" i="62"/>
  <c r="C8" i="62"/>
  <c r="B8" i="62"/>
  <c r="A8" i="62"/>
  <c r="C7" i="62"/>
  <c r="B7" i="62"/>
  <c r="A7" i="62"/>
  <c r="C6" i="62"/>
  <c r="B6" i="62"/>
  <c r="A6" i="62"/>
  <c r="C5" i="62"/>
  <c r="B5" i="62"/>
  <c r="A5" i="62"/>
  <c r="C4" i="62"/>
  <c r="B4" i="62"/>
  <c r="A4" i="62"/>
  <c r="C3" i="62"/>
  <c r="B3" i="62"/>
  <c r="A3" i="62"/>
  <c r="C2" i="62"/>
  <c r="B2" i="62"/>
  <c r="A2" i="62"/>
  <c r="C146" i="61"/>
  <c r="B146" i="61"/>
  <c r="A146" i="61"/>
  <c r="B145" i="61"/>
  <c r="A145" i="61"/>
  <c r="C144" i="61"/>
  <c r="B144" i="61"/>
  <c r="A144" i="61"/>
  <c r="B143" i="61"/>
  <c r="A143" i="61"/>
  <c r="C142" i="61"/>
  <c r="B142" i="61"/>
  <c r="A142" i="61"/>
  <c r="E142" i="61" s="1"/>
  <c r="B141" i="61"/>
  <c r="A141" i="61"/>
  <c r="C140" i="61"/>
  <c r="B140" i="61"/>
  <c r="A140" i="61"/>
  <c r="B139" i="61"/>
  <c r="A139" i="61"/>
  <c r="C138" i="61"/>
  <c r="B138" i="61"/>
  <c r="A138" i="61"/>
  <c r="B137" i="61"/>
  <c r="A137" i="61"/>
  <c r="C136" i="61"/>
  <c r="B136" i="61"/>
  <c r="A136" i="61"/>
  <c r="B135" i="61"/>
  <c r="A135" i="61"/>
  <c r="C134" i="61"/>
  <c r="B134" i="61"/>
  <c r="A134" i="61"/>
  <c r="B133" i="61"/>
  <c r="A133" i="61"/>
  <c r="C132" i="61"/>
  <c r="B132" i="61"/>
  <c r="F132" i="61" s="1"/>
  <c r="A132" i="61"/>
  <c r="E132" i="61" s="1"/>
  <c r="B131" i="61"/>
  <c r="A131" i="61"/>
  <c r="C130" i="61"/>
  <c r="B130" i="61"/>
  <c r="A130" i="61"/>
  <c r="B129" i="61"/>
  <c r="A129" i="61"/>
  <c r="A128" i="61"/>
  <c r="E128" i="61" s="1"/>
  <c r="B127" i="61"/>
  <c r="A127" i="61"/>
  <c r="C126" i="61"/>
  <c r="B126" i="61"/>
  <c r="A126" i="61"/>
  <c r="B125" i="61"/>
  <c r="A125" i="61"/>
  <c r="C124" i="61"/>
  <c r="B124" i="61"/>
  <c r="A124" i="61"/>
  <c r="B123" i="61"/>
  <c r="A123" i="61"/>
  <c r="C122" i="61"/>
  <c r="B122" i="61"/>
  <c r="A122" i="61"/>
  <c r="B121" i="61"/>
  <c r="A121" i="61"/>
  <c r="C120" i="61"/>
  <c r="B120" i="61"/>
  <c r="A120" i="61"/>
  <c r="E120" i="61" s="1"/>
  <c r="B119" i="61"/>
  <c r="A119" i="61"/>
  <c r="C118" i="61"/>
  <c r="B118" i="61"/>
  <c r="A118" i="61"/>
  <c r="E118" i="61" s="1"/>
  <c r="B117" i="61"/>
  <c r="A117" i="61"/>
  <c r="C116" i="61"/>
  <c r="B116" i="61"/>
  <c r="A116" i="61"/>
  <c r="B115" i="61"/>
  <c r="A115" i="61"/>
  <c r="C114" i="61"/>
  <c r="B114" i="61"/>
  <c r="A114" i="61"/>
  <c r="E114" i="61" s="1"/>
  <c r="B113" i="61"/>
  <c r="A113" i="61"/>
  <c r="C112" i="61"/>
  <c r="B112" i="61"/>
  <c r="A112" i="61"/>
  <c r="E112" i="61" s="1"/>
  <c r="B111" i="61"/>
  <c r="A111" i="61"/>
  <c r="C110" i="61"/>
  <c r="B110" i="61"/>
  <c r="A110" i="61"/>
  <c r="E110" i="61" s="1"/>
  <c r="B109" i="61"/>
  <c r="A109" i="61"/>
  <c r="C108" i="61"/>
  <c r="B108" i="61"/>
  <c r="F108" i="61" s="1"/>
  <c r="A108" i="61"/>
  <c r="E108" i="61" s="1"/>
  <c r="B107" i="61"/>
  <c r="A107" i="61"/>
  <c r="D106" i="61"/>
  <c r="C106" i="61"/>
  <c r="B106" i="61"/>
  <c r="A106" i="61"/>
  <c r="E106" i="61" s="1"/>
  <c r="B105" i="61"/>
  <c r="A105" i="61"/>
  <c r="D104" i="61"/>
  <c r="C104" i="61"/>
  <c r="B104" i="61"/>
  <c r="F104" i="61" s="1"/>
  <c r="A104" i="61"/>
  <c r="E104" i="61" s="1"/>
  <c r="B103" i="61"/>
  <c r="A103" i="61"/>
  <c r="D102" i="61"/>
  <c r="C102" i="61"/>
  <c r="B102" i="61"/>
  <c r="A102" i="61"/>
  <c r="E102" i="61" s="1"/>
  <c r="B101" i="61"/>
  <c r="A101" i="61"/>
  <c r="D100" i="61"/>
  <c r="C100" i="61"/>
  <c r="B100" i="61"/>
  <c r="A100" i="61"/>
  <c r="E100" i="61" s="1"/>
  <c r="B99" i="61"/>
  <c r="A99" i="61"/>
  <c r="D98" i="61"/>
  <c r="C98" i="61"/>
  <c r="B98" i="61"/>
  <c r="A98" i="61"/>
  <c r="E98" i="61" s="1"/>
  <c r="B97" i="61"/>
  <c r="A97" i="61"/>
  <c r="D96" i="61"/>
  <c r="C96" i="61"/>
  <c r="B96" i="61"/>
  <c r="A96" i="61"/>
  <c r="B95" i="61"/>
  <c r="A95" i="61"/>
  <c r="D94" i="61"/>
  <c r="C94" i="61"/>
  <c r="B94" i="61"/>
  <c r="F94" i="61" s="1"/>
  <c r="A94" i="61"/>
  <c r="E94" i="61" s="1"/>
  <c r="B93" i="61"/>
  <c r="A93" i="61"/>
  <c r="D92" i="61"/>
  <c r="C92" i="61"/>
  <c r="B92" i="61"/>
  <c r="A92" i="61"/>
  <c r="E92" i="61" s="1"/>
  <c r="B91" i="61"/>
  <c r="A91" i="61"/>
  <c r="D90" i="61"/>
  <c r="C90" i="61"/>
  <c r="B90" i="61"/>
  <c r="A90" i="61"/>
  <c r="E90" i="61" s="1"/>
  <c r="E89" i="61"/>
  <c r="B89" i="61"/>
  <c r="A89" i="61"/>
  <c r="D88" i="61"/>
  <c r="C88" i="61"/>
  <c r="B88" i="61"/>
  <c r="A88" i="61"/>
  <c r="E88" i="61" s="1"/>
  <c r="E87" i="61"/>
  <c r="B87" i="61"/>
  <c r="A87" i="61"/>
  <c r="D86" i="61"/>
  <c r="C86" i="61"/>
  <c r="B86" i="61"/>
  <c r="F86" i="61" s="1"/>
  <c r="A86" i="61"/>
  <c r="E86" i="61" s="1"/>
  <c r="B85" i="61"/>
  <c r="A85" i="61"/>
  <c r="D84" i="61"/>
  <c r="C84" i="61"/>
  <c r="B84" i="61"/>
  <c r="F84" i="61" s="1"/>
  <c r="A84" i="61"/>
  <c r="E84" i="61" s="1"/>
  <c r="B83" i="61"/>
  <c r="A83" i="61"/>
  <c r="D82" i="61"/>
  <c r="C82" i="61"/>
  <c r="B82" i="61"/>
  <c r="A82" i="61"/>
  <c r="E82" i="61" s="1"/>
  <c r="B81" i="61"/>
  <c r="A81" i="61"/>
  <c r="D80" i="61"/>
  <c r="C80" i="61"/>
  <c r="B80" i="61"/>
  <c r="A80" i="61"/>
  <c r="E80" i="61" s="1"/>
  <c r="E79" i="61"/>
  <c r="B79" i="61"/>
  <c r="A79" i="61"/>
  <c r="C78" i="61"/>
  <c r="B78" i="61"/>
  <c r="A78" i="61"/>
  <c r="E78" i="61" s="1"/>
  <c r="B77" i="61"/>
  <c r="A77" i="61"/>
  <c r="B76" i="61"/>
  <c r="F76" i="61" s="1"/>
  <c r="A76" i="61"/>
  <c r="E76" i="61" s="1"/>
  <c r="E75" i="61"/>
  <c r="B75" i="61"/>
  <c r="A75" i="61"/>
  <c r="B74" i="61"/>
  <c r="A74" i="61"/>
  <c r="E74" i="61" s="1"/>
  <c r="B73" i="61"/>
  <c r="A73" i="61"/>
  <c r="D72" i="61"/>
  <c r="C72" i="61"/>
  <c r="B72" i="61"/>
  <c r="F72" i="61" s="1"/>
  <c r="A72" i="61"/>
  <c r="E72" i="61" s="1"/>
  <c r="E71" i="61"/>
  <c r="B71" i="61"/>
  <c r="A71" i="61"/>
  <c r="D70" i="61"/>
  <c r="C70" i="61"/>
  <c r="B70" i="61"/>
  <c r="F70" i="61" s="1"/>
  <c r="A70" i="61"/>
  <c r="E70" i="61" s="1"/>
  <c r="B69" i="61"/>
  <c r="A69" i="61"/>
  <c r="D68" i="61"/>
  <c r="B68" i="61"/>
  <c r="F68" i="61" s="1"/>
  <c r="A68" i="61"/>
  <c r="E68" i="61" s="1"/>
  <c r="B67" i="61"/>
  <c r="A67" i="61"/>
  <c r="B66" i="61"/>
  <c r="A66" i="61"/>
  <c r="E66" i="61" s="1"/>
  <c r="E65" i="61"/>
  <c r="B65" i="61"/>
  <c r="A65" i="61"/>
  <c r="B64" i="61"/>
  <c r="A64" i="61"/>
  <c r="E64" i="61" s="1"/>
  <c r="E63" i="61"/>
  <c r="B63" i="61"/>
  <c r="A63" i="61"/>
  <c r="C62" i="61"/>
  <c r="B62" i="61"/>
  <c r="F62" i="61" s="1"/>
  <c r="A62" i="61"/>
  <c r="E62" i="61" s="1"/>
  <c r="B61" i="61"/>
  <c r="A61" i="61"/>
  <c r="C60" i="61"/>
  <c r="B60" i="61"/>
  <c r="F60" i="61" s="1"/>
  <c r="A60" i="61"/>
  <c r="E60" i="61" s="1"/>
  <c r="B59" i="61"/>
  <c r="A59" i="61"/>
  <c r="D58" i="61"/>
  <c r="C58" i="61"/>
  <c r="B58" i="61"/>
  <c r="A58" i="61"/>
  <c r="E58" i="61" s="1"/>
  <c r="B57" i="61"/>
  <c r="A57" i="61"/>
  <c r="D56" i="61"/>
  <c r="C56" i="61"/>
  <c r="B56" i="61"/>
  <c r="A56" i="61"/>
  <c r="E56" i="61" s="1"/>
  <c r="E55" i="61"/>
  <c r="B55" i="61"/>
  <c r="A55" i="61"/>
  <c r="C54" i="61"/>
  <c r="B54" i="61"/>
  <c r="A54" i="61"/>
  <c r="E54" i="61" s="1"/>
  <c r="H51" i="49"/>
  <c r="H55" i="49" s="1"/>
  <c r="G51" i="49"/>
  <c r="G62" i="49" s="1"/>
  <c r="F51" i="49"/>
  <c r="F62" i="49" s="1"/>
  <c r="E51" i="49"/>
  <c r="E62" i="49" s="1"/>
  <c r="D51" i="49"/>
  <c r="E54" i="49" s="1"/>
  <c r="E50" i="49"/>
  <c r="F50" i="49" s="1"/>
  <c r="G50" i="49" s="1"/>
  <c r="H50" i="49" s="1"/>
  <c r="C46" i="49"/>
  <c r="C45" i="49"/>
  <c r="C42" i="49"/>
  <c r="C41" i="49"/>
  <c r="C39" i="49"/>
  <c r="D32" i="49"/>
  <c r="D54" i="49" l="1"/>
  <c r="I54" i="49" s="1"/>
  <c r="K54" i="49" s="1"/>
  <c r="D55" i="49"/>
  <c r="D56" i="49"/>
  <c r="D62" i="49"/>
  <c r="D55" i="61"/>
  <c r="C55" i="61"/>
  <c r="F65" i="61"/>
  <c r="D79" i="61"/>
  <c r="C79" i="61"/>
  <c r="F89" i="61"/>
  <c r="E127" i="61"/>
  <c r="D127" i="61"/>
  <c r="C127" i="61"/>
  <c r="F54" i="49"/>
  <c r="E56" i="49"/>
  <c r="F55" i="61"/>
  <c r="D69" i="61"/>
  <c r="C69" i="61"/>
  <c r="F79" i="61"/>
  <c r="D93" i="61"/>
  <c r="C93" i="61"/>
  <c r="F100" i="61"/>
  <c r="E113" i="61"/>
  <c r="F113" i="61" s="1"/>
  <c r="D113" i="61"/>
  <c r="C113" i="61"/>
  <c r="F127" i="61"/>
  <c r="E137" i="61"/>
  <c r="F137" i="61" s="1"/>
  <c r="D137" i="61"/>
  <c r="C137" i="61"/>
  <c r="F56" i="49"/>
  <c r="D83" i="61"/>
  <c r="C83" i="61"/>
  <c r="F118" i="61"/>
  <c r="E123" i="61"/>
  <c r="D123" i="61"/>
  <c r="C123" i="61"/>
  <c r="F142" i="61"/>
  <c r="D146" i="61"/>
  <c r="D144" i="61"/>
  <c r="D142" i="61"/>
  <c r="D140" i="61"/>
  <c r="D138" i="61"/>
  <c r="D136" i="61"/>
  <c r="D134" i="61"/>
  <c r="D132" i="61"/>
  <c r="D130" i="61"/>
  <c r="D128" i="61"/>
  <c r="D126" i="61"/>
  <c r="D124" i="61"/>
  <c r="D122" i="61"/>
  <c r="D120" i="61"/>
  <c r="D118" i="61"/>
  <c r="D116" i="61"/>
  <c r="D114" i="61"/>
  <c r="D112" i="61"/>
  <c r="D110" i="61"/>
  <c r="D108" i="61"/>
  <c r="D59" i="61"/>
  <c r="C59" i="61"/>
  <c r="G56" i="49"/>
  <c r="D62" i="61"/>
  <c r="F66" i="61"/>
  <c r="E69" i="61"/>
  <c r="F69" i="61" s="1"/>
  <c r="D73" i="61"/>
  <c r="C73" i="61"/>
  <c r="C76" i="61"/>
  <c r="F90" i="61"/>
  <c r="E93" i="61"/>
  <c r="F93" i="61" s="1"/>
  <c r="D97" i="61"/>
  <c r="C97" i="61"/>
  <c r="E109" i="61"/>
  <c r="D109" i="61"/>
  <c r="C109" i="61"/>
  <c r="F123" i="61"/>
  <c r="E133" i="61"/>
  <c r="D133" i="61"/>
  <c r="C133" i="61"/>
  <c r="E138" i="61"/>
  <c r="H56" i="49"/>
  <c r="F56" i="61"/>
  <c r="E59" i="61"/>
  <c r="F59" i="61" s="1"/>
  <c r="D63" i="61"/>
  <c r="C63" i="61"/>
  <c r="C66" i="61"/>
  <c r="D76" i="61"/>
  <c r="F80" i="61"/>
  <c r="E83" i="61"/>
  <c r="F83" i="61" s="1"/>
  <c r="D87" i="61"/>
  <c r="C87" i="61"/>
  <c r="F97" i="61"/>
  <c r="E101" i="61"/>
  <c r="F101" i="61" s="1"/>
  <c r="D101" i="61"/>
  <c r="C101" i="61"/>
  <c r="E105" i="61"/>
  <c r="F105" i="61" s="1"/>
  <c r="D105" i="61"/>
  <c r="C105" i="61"/>
  <c r="F109" i="61"/>
  <c r="F114" i="61"/>
  <c r="E119" i="61"/>
  <c r="F119" i="61" s="1"/>
  <c r="D119" i="61"/>
  <c r="C119" i="61"/>
  <c r="E124" i="61"/>
  <c r="F124" i="61" s="1"/>
  <c r="F133" i="61"/>
  <c r="F138" i="61"/>
  <c r="E143" i="61"/>
  <c r="D143" i="61"/>
  <c r="C143" i="61"/>
  <c r="F63" i="61"/>
  <c r="D66" i="61"/>
  <c r="E73" i="61"/>
  <c r="F73" i="61" s="1"/>
  <c r="D77" i="61"/>
  <c r="C77" i="61"/>
  <c r="F87" i="61"/>
  <c r="E97" i="61"/>
  <c r="E129" i="61"/>
  <c r="F129" i="61" s="1"/>
  <c r="D129" i="61"/>
  <c r="C129" i="61"/>
  <c r="E134" i="61"/>
  <c r="F134" i="61" s="1"/>
  <c r="F143" i="61"/>
  <c r="E55" i="49"/>
  <c r="D67" i="61"/>
  <c r="C67" i="61"/>
  <c r="F77" i="61"/>
  <c r="D91" i="61"/>
  <c r="C91" i="61"/>
  <c r="F110" i="61"/>
  <c r="E115" i="61"/>
  <c r="D115" i="61"/>
  <c r="C115" i="61"/>
  <c r="E139" i="61"/>
  <c r="D139" i="61"/>
  <c r="C139" i="61"/>
  <c r="E144" i="61"/>
  <c r="F144" i="61" s="1"/>
  <c r="F55" i="49"/>
  <c r="D57" i="61"/>
  <c r="C57" i="61"/>
  <c r="F74" i="61"/>
  <c r="E77" i="61"/>
  <c r="D81" i="61"/>
  <c r="C81" i="61"/>
  <c r="F98" i="61"/>
  <c r="F102" i="61"/>
  <c r="F106" i="61"/>
  <c r="F115" i="61"/>
  <c r="F120" i="61"/>
  <c r="E125" i="61"/>
  <c r="F125" i="61" s="1"/>
  <c r="D125" i="61"/>
  <c r="C125" i="61"/>
  <c r="E130" i="61"/>
  <c r="F139" i="61"/>
  <c r="G54" i="49"/>
  <c r="G55" i="49"/>
  <c r="D60" i="61"/>
  <c r="F64" i="61"/>
  <c r="E67" i="61"/>
  <c r="F67" i="61" s="1"/>
  <c r="D71" i="61"/>
  <c r="C71" i="61"/>
  <c r="C74" i="61"/>
  <c r="F88" i="61"/>
  <c r="E91" i="61"/>
  <c r="F91" i="61" s="1"/>
  <c r="D95" i="61"/>
  <c r="C95" i="61"/>
  <c r="E111" i="61"/>
  <c r="D111" i="61"/>
  <c r="C111" i="61"/>
  <c r="E116" i="61"/>
  <c r="F116" i="61" s="1"/>
  <c r="F130" i="61"/>
  <c r="E135" i="61"/>
  <c r="F135" i="61" s="1"/>
  <c r="D135" i="61"/>
  <c r="C135" i="61"/>
  <c r="E140" i="61"/>
  <c r="F140" i="61" s="1"/>
  <c r="F54" i="61"/>
  <c r="E57" i="61"/>
  <c r="F57" i="61" s="1"/>
  <c r="D61" i="61"/>
  <c r="C61" i="61"/>
  <c r="C64" i="61"/>
  <c r="F71" i="61"/>
  <c r="D74" i="61"/>
  <c r="F78" i="61"/>
  <c r="E81" i="61"/>
  <c r="F81" i="61" s="1"/>
  <c r="D85" i="61"/>
  <c r="C85" i="61"/>
  <c r="F111" i="61"/>
  <c r="E121" i="61"/>
  <c r="F121" i="61" s="1"/>
  <c r="D121" i="61"/>
  <c r="C121" i="61"/>
  <c r="E126" i="61"/>
  <c r="E145" i="61"/>
  <c r="D145" i="61"/>
  <c r="C145" i="61"/>
  <c r="D64" i="61"/>
  <c r="D75" i="61"/>
  <c r="C75" i="61"/>
  <c r="F92" i="61"/>
  <c r="E95" i="61"/>
  <c r="F95" i="61" s="1"/>
  <c r="E99" i="61"/>
  <c r="F99" i="61" s="1"/>
  <c r="D99" i="61"/>
  <c r="C99" i="61"/>
  <c r="E103" i="61"/>
  <c r="F103" i="61" s="1"/>
  <c r="D103" i="61"/>
  <c r="C103" i="61"/>
  <c r="E107" i="61"/>
  <c r="F107" i="61" s="1"/>
  <c r="D107" i="61"/>
  <c r="C107" i="61"/>
  <c r="F126" i="61"/>
  <c r="E131" i="61"/>
  <c r="F131" i="61" s="1"/>
  <c r="D131" i="61"/>
  <c r="C131" i="61"/>
  <c r="E136" i="61"/>
  <c r="F145" i="61"/>
  <c r="H54" i="49"/>
  <c r="D54" i="61"/>
  <c r="F58" i="61"/>
  <c r="E61" i="61"/>
  <c r="F61" i="61" s="1"/>
  <c r="D65" i="61"/>
  <c r="C65" i="61"/>
  <c r="C68" i="61"/>
  <c r="F75" i="61"/>
  <c r="D78" i="61"/>
  <c r="F82" i="61"/>
  <c r="E85" i="61"/>
  <c r="F85" i="61" s="1"/>
  <c r="D89" i="61"/>
  <c r="C89" i="61"/>
  <c r="E96" i="61"/>
  <c r="F96" i="61" s="1"/>
  <c r="F112" i="61"/>
  <c r="E117" i="61"/>
  <c r="F117" i="61" s="1"/>
  <c r="D117" i="61"/>
  <c r="C117" i="61"/>
  <c r="E122" i="61"/>
  <c r="F122" i="61" s="1"/>
  <c r="F136" i="61"/>
  <c r="E141" i="61"/>
  <c r="F141" i="61" s="1"/>
  <c r="D141" i="61"/>
  <c r="C141" i="61"/>
  <c r="E146" i="61"/>
  <c r="F146" i="61" s="1"/>
  <c r="B10" i="44"/>
  <c r="C32" i="49"/>
  <c r="E32" i="49" s="1"/>
  <c r="D31" i="49"/>
  <c r="I55" i="49" l="1"/>
  <c r="K55" i="49" s="1"/>
  <c r="I56" i="49"/>
  <c r="K56" i="49" s="1"/>
  <c r="C47" i="49"/>
  <c r="C31" i="49"/>
  <c r="E31" i="49" s="1"/>
  <c r="D30" i="49"/>
  <c r="C30" i="49"/>
  <c r="D29" i="49"/>
  <c r="C29" i="49"/>
  <c r="E29" i="49" s="1"/>
  <c r="E28" i="49"/>
  <c r="C12" i="49"/>
  <c r="D53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 s="1"/>
  <c r="B21" i="17"/>
  <c r="B20" i="17"/>
  <c r="B19" i="17"/>
  <c r="B18" i="17" s="1"/>
  <c r="D16" i="17"/>
  <c r="B14" i="17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69" i="2"/>
  <c r="E168" i="2"/>
  <c r="E167" i="2"/>
  <c r="E159" i="2"/>
  <c r="E158" i="2"/>
  <c r="AJ138" i="2"/>
  <c r="AI138" i="2"/>
  <c r="AH138" i="2"/>
  <c r="E30" i="49" l="1"/>
  <c r="E33" i="49" s="1"/>
  <c r="B47" i="17" s="1"/>
  <c r="AB138" i="2"/>
  <c r="AA138" i="2"/>
  <c r="S138" i="2"/>
  <c r="M138" i="2"/>
  <c r="H138" i="2" s="1"/>
  <c r="I138" i="2" s="1"/>
  <c r="L138" i="2"/>
  <c r="B128" i="61" s="1"/>
  <c r="F128" i="61" s="1"/>
  <c r="G138" i="2"/>
  <c r="E138" i="2"/>
  <c r="AJ137" i="2"/>
  <c r="AI137" i="2"/>
  <c r="AH137" i="2"/>
  <c r="U138" i="2" l="1"/>
  <c r="X138" i="2"/>
  <c r="C128" i="61"/>
  <c r="AQ138" i="2"/>
  <c r="AC138" i="2"/>
  <c r="AD138" i="2"/>
  <c r="AJ136" i="2"/>
  <c r="AI136" i="2"/>
  <c r="AH136" i="2"/>
  <c r="AP135" i="2"/>
  <c r="AO135" i="2"/>
  <c r="AN135" i="2"/>
  <c r="AM135" i="2"/>
  <c r="AL135" i="2"/>
  <c r="AJ135" i="2"/>
  <c r="AI135" i="2"/>
  <c r="AH135" i="2"/>
  <c r="AJ132" i="2"/>
  <c r="AI132" i="2"/>
  <c r="AH132" i="2"/>
  <c r="AJ131" i="2"/>
  <c r="AI131" i="2"/>
  <c r="AH131" i="2"/>
  <c r="AJ130" i="2"/>
  <c r="AI130" i="2"/>
  <c r="AH130" i="2"/>
  <c r="AJ129" i="2"/>
  <c r="AI129" i="2"/>
  <c r="AH129" i="2"/>
  <c r="AJ128" i="2"/>
  <c r="AI128" i="2"/>
  <c r="AH128" i="2"/>
  <c r="AJ127" i="2"/>
  <c r="AI127" i="2"/>
  <c r="AH127" i="2"/>
  <c r="AJ126" i="2"/>
  <c r="AI126" i="2"/>
  <c r="AH126" i="2"/>
  <c r="AJ125" i="2"/>
  <c r="AI125" i="2"/>
  <c r="AH125" i="2"/>
  <c r="AJ124" i="2"/>
  <c r="AI124" i="2"/>
  <c r="AH124" i="2"/>
  <c r="AJ121" i="2"/>
  <c r="AI121" i="2"/>
  <c r="AH121" i="2"/>
  <c r="AJ120" i="2"/>
  <c r="AI120" i="2"/>
  <c r="AH120" i="2"/>
  <c r="AJ119" i="2"/>
  <c r="AI119" i="2"/>
  <c r="AH119" i="2"/>
  <c r="AJ118" i="2"/>
  <c r="AI118" i="2"/>
  <c r="AH118" i="2"/>
  <c r="AJ117" i="2"/>
  <c r="AI117" i="2"/>
  <c r="AH117" i="2"/>
  <c r="E63" i="2"/>
  <c r="C63" i="2"/>
  <c r="D63" i="2"/>
  <c r="M63" i="2"/>
  <c r="N63" i="2"/>
  <c r="A63" i="2"/>
  <c r="A53" i="61" l="1"/>
  <c r="F63" i="2"/>
  <c r="X63" i="2"/>
  <c r="T63" i="2"/>
  <c r="G63" i="2"/>
  <c r="H63" i="2" l="1"/>
  <c r="I63" i="2" s="1"/>
  <c r="D53" i="61"/>
  <c r="E53" i="61"/>
  <c r="E62" i="2"/>
  <c r="AM62" i="2" l="1"/>
  <c r="C62" i="2"/>
  <c r="D62" i="2"/>
  <c r="M62" i="2"/>
  <c r="N62" i="2"/>
  <c r="AN62" i="2"/>
  <c r="AO62" i="2"/>
  <c r="A62" i="2"/>
  <c r="A52" i="61" l="1"/>
  <c r="AL62" i="2"/>
  <c r="AP62" i="2"/>
  <c r="F62" i="2"/>
  <c r="X62" i="2"/>
  <c r="T62" i="2"/>
  <c r="AI62" i="2"/>
  <c r="AH62" i="2"/>
  <c r="G62" i="2"/>
  <c r="H62" i="2" l="1"/>
  <c r="I62" i="2" s="1"/>
  <c r="E52" i="61"/>
  <c r="D52" i="61"/>
  <c r="E61" i="2"/>
  <c r="AM61" i="2" l="1"/>
  <c r="C61" i="2"/>
  <c r="D61" i="2"/>
  <c r="M61" i="2"/>
  <c r="N61" i="2"/>
  <c r="AN61" i="2"/>
  <c r="AO61" i="2"/>
  <c r="A61" i="2"/>
  <c r="A51" i="61" l="1"/>
  <c r="AL61" i="2"/>
  <c r="AP61" i="2"/>
  <c r="F61" i="2"/>
  <c r="X61" i="2"/>
  <c r="T61" i="2"/>
  <c r="AI61" i="2"/>
  <c r="AH61" i="2"/>
  <c r="G61" i="2"/>
  <c r="H61" i="2" l="1"/>
  <c r="I61" i="2" s="1"/>
  <c r="D51" i="61"/>
  <c r="E51" i="61"/>
  <c r="E60" i="2"/>
  <c r="AM60" i="2" l="1"/>
  <c r="C60" i="2"/>
  <c r="D60" i="2"/>
  <c r="M60" i="2"/>
  <c r="N60" i="2"/>
  <c r="AN60" i="2"/>
  <c r="AO60" i="2"/>
  <c r="A60" i="2"/>
  <c r="A50" i="61" l="1"/>
  <c r="AL60" i="2"/>
  <c r="AP60" i="2"/>
  <c r="F60" i="2"/>
  <c r="X60" i="2"/>
  <c r="T60" i="2"/>
  <c r="AH60" i="2"/>
  <c r="AI60" i="2"/>
  <c r="G60" i="2"/>
  <c r="H60" i="2" l="1"/>
  <c r="I60" i="2" s="1"/>
  <c r="E50" i="61"/>
  <c r="D50" i="61"/>
  <c r="E59" i="2"/>
  <c r="AM59" i="2" l="1"/>
  <c r="C59" i="2"/>
  <c r="D59" i="2"/>
  <c r="M59" i="2"/>
  <c r="N59" i="2"/>
  <c r="AN59" i="2"/>
  <c r="AO59" i="2"/>
  <c r="A59" i="2"/>
  <c r="A49" i="61" l="1"/>
  <c r="AL59" i="2"/>
  <c r="AP59" i="2"/>
  <c r="F59" i="2"/>
  <c r="X59" i="2"/>
  <c r="T59" i="2"/>
  <c r="AI59" i="2"/>
  <c r="AH59" i="2"/>
  <c r="G59" i="2"/>
  <c r="H59" i="2" l="1"/>
  <c r="I59" i="2" s="1"/>
  <c r="D49" i="61"/>
  <c r="E49" i="61"/>
  <c r="E58" i="2"/>
  <c r="AM58" i="2" l="1"/>
  <c r="C58" i="2"/>
  <c r="D58" i="2"/>
  <c r="M58" i="2"/>
  <c r="N58" i="2"/>
  <c r="AN58" i="2"/>
  <c r="AO58" i="2"/>
  <c r="A58" i="2"/>
  <c r="A48" i="61" l="1"/>
  <c r="AL58" i="2"/>
  <c r="AP58" i="2"/>
  <c r="F58" i="2"/>
  <c r="X58" i="2"/>
  <c r="T58" i="2"/>
  <c r="AH58" i="2"/>
  <c r="AI58" i="2"/>
  <c r="G58" i="2"/>
  <c r="H58" i="2" l="1"/>
  <c r="I58" i="2" s="1"/>
  <c r="E48" i="61"/>
  <c r="D48" i="61"/>
  <c r="E57" i="2"/>
  <c r="AM57" i="2" l="1"/>
  <c r="C57" i="2"/>
  <c r="D57" i="2"/>
  <c r="M57" i="2"/>
  <c r="N57" i="2"/>
  <c r="AN57" i="2"/>
  <c r="AO57" i="2"/>
  <c r="A57" i="2"/>
  <c r="A47" i="61" l="1"/>
  <c r="AL57" i="2"/>
  <c r="AP57" i="2"/>
  <c r="F57" i="2"/>
  <c r="X57" i="2"/>
  <c r="T57" i="2"/>
  <c r="AI57" i="2"/>
  <c r="AH57" i="2"/>
  <c r="G57" i="2"/>
  <c r="H57" i="2" l="1"/>
  <c r="I57" i="2" s="1"/>
  <c r="D47" i="61"/>
  <c r="E47" i="61"/>
  <c r="C56" i="2"/>
  <c r="D56" i="2"/>
  <c r="M56" i="2"/>
  <c r="N56" i="2"/>
  <c r="AN56" i="2"/>
  <c r="AO56" i="2"/>
  <c r="A56" i="2"/>
  <c r="E56" i="2" s="1"/>
  <c r="AM56" i="2" l="1"/>
  <c r="A46" i="61"/>
  <c r="AL56" i="2"/>
  <c r="AP56" i="2"/>
  <c r="F56" i="2"/>
  <c r="X56" i="2"/>
  <c r="T56" i="2"/>
  <c r="AI56" i="2"/>
  <c r="AH56" i="2"/>
  <c r="G56" i="2"/>
  <c r="H56" i="2" l="1"/>
  <c r="I56" i="2" s="1"/>
  <c r="E46" i="61"/>
  <c r="D46" i="61"/>
  <c r="C55" i="2"/>
  <c r="D55" i="2"/>
  <c r="M55" i="2"/>
  <c r="N55" i="2"/>
  <c r="AN55" i="2"/>
  <c r="AO55" i="2"/>
  <c r="A55" i="2"/>
  <c r="E55" i="2" s="1"/>
  <c r="AM55" i="2" l="1"/>
  <c r="A45" i="61"/>
  <c r="AL55" i="2"/>
  <c r="AP55" i="2"/>
  <c r="F55" i="2"/>
  <c r="X55" i="2"/>
  <c r="T55" i="2"/>
  <c r="AI55" i="2"/>
  <c r="AH55" i="2"/>
  <c r="G55" i="2"/>
  <c r="H55" i="2" l="1"/>
  <c r="I55" i="2" s="1"/>
  <c r="D45" i="61"/>
  <c r="E45" i="61"/>
  <c r="C54" i="2"/>
  <c r="D54" i="2"/>
  <c r="M54" i="2"/>
  <c r="N54" i="2"/>
  <c r="AN54" i="2"/>
  <c r="AO54" i="2"/>
  <c r="A54" i="2"/>
  <c r="E54" i="2" s="1"/>
  <c r="AM54" i="2" l="1"/>
  <c r="A44" i="61"/>
  <c r="AL54" i="2"/>
  <c r="AP54" i="2"/>
  <c r="F54" i="2"/>
  <c r="X54" i="2"/>
  <c r="T54" i="2"/>
  <c r="AI54" i="2"/>
  <c r="AH54" i="2"/>
  <c r="G54" i="2"/>
  <c r="H54" i="2" l="1"/>
  <c r="I54" i="2" s="1"/>
  <c r="E44" i="61"/>
  <c r="D44" i="61"/>
  <c r="C53" i="2"/>
  <c r="D53" i="2"/>
  <c r="M53" i="2"/>
  <c r="N53" i="2"/>
  <c r="AN53" i="2"/>
  <c r="AO53" i="2"/>
  <c r="A53" i="2"/>
  <c r="E53" i="2" s="1"/>
  <c r="AM53" i="2" l="1"/>
  <c r="A43" i="61"/>
  <c r="AL53" i="2"/>
  <c r="AP53" i="2"/>
  <c r="F53" i="2"/>
  <c r="X53" i="2"/>
  <c r="T53" i="2"/>
  <c r="AI53" i="2"/>
  <c r="AH53" i="2"/>
  <c r="G53" i="2"/>
  <c r="H53" i="2" l="1"/>
  <c r="I53" i="2" s="1"/>
  <c r="D43" i="61"/>
  <c r="E43" i="61"/>
  <c r="C52" i="2"/>
  <c r="D52" i="2"/>
  <c r="M52" i="2"/>
  <c r="N52" i="2"/>
  <c r="AN52" i="2"/>
  <c r="AO52" i="2"/>
  <c r="A52" i="2"/>
  <c r="E52" i="2" s="1"/>
  <c r="AM52" i="2" l="1"/>
  <c r="A42" i="61"/>
  <c r="AL52" i="2"/>
  <c r="AP52" i="2"/>
  <c r="F52" i="2"/>
  <c r="X52" i="2"/>
  <c r="T52" i="2"/>
  <c r="AI52" i="2"/>
  <c r="AH52" i="2"/>
  <c r="G52" i="2"/>
  <c r="H52" i="2" l="1"/>
  <c r="I52" i="2" s="1"/>
  <c r="E42" i="61"/>
  <c r="D42" i="61"/>
  <c r="C51" i="2"/>
  <c r="D51" i="2"/>
  <c r="M51" i="2"/>
  <c r="N51" i="2"/>
  <c r="AN51" i="2"/>
  <c r="AO51" i="2"/>
  <c r="A51" i="2"/>
  <c r="E51" i="2" s="1"/>
  <c r="AM51" i="2" l="1"/>
  <c r="A41" i="61"/>
  <c r="AL51" i="2"/>
  <c r="AP51" i="2"/>
  <c r="F51" i="2"/>
  <c r="X51" i="2"/>
  <c r="T51" i="2"/>
  <c r="AI51" i="2"/>
  <c r="AH51" i="2"/>
  <c r="G51" i="2"/>
  <c r="H51" i="2" l="1"/>
  <c r="I51" i="2" s="1"/>
  <c r="E41" i="61"/>
  <c r="D41" i="61"/>
  <c r="C50" i="2"/>
  <c r="D50" i="2"/>
  <c r="M50" i="2"/>
  <c r="N50" i="2"/>
  <c r="AN50" i="2"/>
  <c r="AO50" i="2"/>
  <c r="A50" i="2"/>
  <c r="E50" i="2" s="1"/>
  <c r="AM50" i="2" l="1"/>
  <c r="A40" i="61"/>
  <c r="AL50" i="2"/>
  <c r="AP50" i="2"/>
  <c r="F50" i="2"/>
  <c r="X50" i="2"/>
  <c r="T50" i="2"/>
  <c r="AI50" i="2"/>
  <c r="AH50" i="2"/>
  <c r="G50" i="2"/>
  <c r="H50" i="2" l="1"/>
  <c r="I50" i="2" s="1"/>
  <c r="E40" i="61"/>
  <c r="D40" i="61"/>
  <c r="C49" i="2"/>
  <c r="D49" i="2"/>
  <c r="M49" i="2"/>
  <c r="N49" i="2"/>
  <c r="AN49" i="2"/>
  <c r="AO49" i="2"/>
  <c r="A49" i="2"/>
  <c r="E49" i="2" s="1"/>
  <c r="AM49" i="2" l="1"/>
  <c r="A39" i="61"/>
  <c r="AL49" i="2"/>
  <c r="AP49" i="2"/>
  <c r="F49" i="2"/>
  <c r="X49" i="2"/>
  <c r="T49" i="2"/>
  <c r="AI49" i="2"/>
  <c r="AH49" i="2"/>
  <c r="G49" i="2"/>
  <c r="H49" i="2" l="1"/>
  <c r="I49" i="2" s="1"/>
  <c r="E39" i="61"/>
  <c r="D39" i="61"/>
  <c r="C48" i="2"/>
  <c r="D48" i="2"/>
  <c r="M48" i="2"/>
  <c r="N48" i="2"/>
  <c r="AN48" i="2"/>
  <c r="AO48" i="2"/>
  <c r="A48" i="2"/>
  <c r="E48" i="2" s="1"/>
  <c r="AM48" i="2" l="1"/>
  <c r="A38" i="61"/>
  <c r="AL48" i="2"/>
  <c r="AP48" i="2"/>
  <c r="F48" i="2"/>
  <c r="X48" i="2"/>
  <c r="T48" i="2"/>
  <c r="AI48" i="2"/>
  <c r="AH48" i="2"/>
  <c r="G48" i="2"/>
  <c r="H48" i="2" l="1"/>
  <c r="I48" i="2" s="1"/>
  <c r="E38" i="61"/>
  <c r="D38" i="61"/>
  <c r="C47" i="2"/>
  <c r="D47" i="2"/>
  <c r="M47" i="2"/>
  <c r="N47" i="2"/>
  <c r="AN47" i="2"/>
  <c r="AO47" i="2"/>
  <c r="A47" i="2"/>
  <c r="E47" i="2" s="1"/>
  <c r="AM47" i="2" l="1"/>
  <c r="A37" i="61"/>
  <c r="AL47" i="2"/>
  <c r="AP47" i="2"/>
  <c r="F47" i="2"/>
  <c r="X47" i="2"/>
  <c r="T47" i="2"/>
  <c r="AH47" i="2"/>
  <c r="AI47" i="2"/>
  <c r="G47" i="2"/>
  <c r="H47" i="2" l="1"/>
  <c r="I47" i="2" s="1"/>
  <c r="E37" i="61"/>
  <c r="D37" i="61"/>
  <c r="C46" i="2"/>
  <c r="D46" i="2"/>
  <c r="M46" i="2"/>
  <c r="N46" i="2"/>
  <c r="AN46" i="2"/>
  <c r="AO46" i="2"/>
  <c r="A46" i="2"/>
  <c r="E46" i="2" s="1"/>
  <c r="AM46" i="2" l="1"/>
  <c r="A36" i="61"/>
  <c r="AL46" i="2"/>
  <c r="AP46" i="2"/>
  <c r="F46" i="2"/>
  <c r="X46" i="2"/>
  <c r="T46" i="2"/>
  <c r="AI46" i="2"/>
  <c r="AH46" i="2"/>
  <c r="G46" i="2"/>
  <c r="H46" i="2" l="1"/>
  <c r="I46" i="2" s="1"/>
  <c r="E36" i="61"/>
  <c r="D36" i="61"/>
  <c r="C45" i="2"/>
  <c r="D45" i="2"/>
  <c r="M45" i="2"/>
  <c r="N45" i="2"/>
  <c r="AN45" i="2"/>
  <c r="AO45" i="2"/>
  <c r="A45" i="2"/>
  <c r="E45" i="2" s="1"/>
  <c r="AM45" i="2" l="1"/>
  <c r="A35" i="61"/>
  <c r="AL45" i="2"/>
  <c r="AP45" i="2"/>
  <c r="F45" i="2"/>
  <c r="X45" i="2"/>
  <c r="T45" i="2"/>
  <c r="AI45" i="2"/>
  <c r="AH45" i="2"/>
  <c r="G45" i="2"/>
  <c r="H45" i="2" l="1"/>
  <c r="I45" i="2" s="1"/>
  <c r="E35" i="61"/>
  <c r="D35" i="61"/>
  <c r="C44" i="2"/>
  <c r="D44" i="2"/>
  <c r="M44" i="2"/>
  <c r="N44" i="2"/>
  <c r="AN44" i="2"/>
  <c r="AO44" i="2"/>
  <c r="A44" i="2"/>
  <c r="E44" i="2" s="1"/>
  <c r="AM44" i="2" l="1"/>
  <c r="A34" i="61"/>
  <c r="AL44" i="2"/>
  <c r="AP44" i="2"/>
  <c r="F44" i="2"/>
  <c r="X44" i="2"/>
  <c r="T44" i="2"/>
  <c r="AH44" i="2"/>
  <c r="AI44" i="2"/>
  <c r="G44" i="2"/>
  <c r="H44" i="2" l="1"/>
  <c r="I44" i="2" s="1"/>
  <c r="E34" i="61"/>
  <c r="D34" i="61"/>
  <c r="C43" i="2"/>
  <c r="D43" i="2"/>
  <c r="M43" i="2"/>
  <c r="N43" i="2"/>
  <c r="AN43" i="2"/>
  <c r="AO43" i="2"/>
  <c r="A43" i="2"/>
  <c r="E43" i="2" s="1"/>
  <c r="AM43" i="2" l="1"/>
  <c r="A33" i="61"/>
  <c r="AL43" i="2"/>
  <c r="AP43" i="2"/>
  <c r="F43" i="2"/>
  <c r="X43" i="2"/>
  <c r="T43" i="2"/>
  <c r="AI43" i="2"/>
  <c r="AH43" i="2"/>
  <c r="G43" i="2"/>
  <c r="H43" i="2" l="1"/>
  <c r="I43" i="2" s="1"/>
  <c r="E33" i="61"/>
  <c r="D33" i="61"/>
  <c r="C42" i="2"/>
  <c r="D42" i="2"/>
  <c r="M42" i="2"/>
  <c r="N42" i="2"/>
  <c r="AN42" i="2"/>
  <c r="AO42" i="2"/>
  <c r="A42" i="2"/>
  <c r="E42" i="2" s="1"/>
  <c r="AM42" i="2" l="1"/>
  <c r="A32" i="61"/>
  <c r="AL42" i="2"/>
  <c r="AP42" i="2"/>
  <c r="F42" i="2"/>
  <c r="X42" i="2"/>
  <c r="T42" i="2"/>
  <c r="AI42" i="2"/>
  <c r="AH42" i="2"/>
  <c r="G42" i="2"/>
  <c r="H42" i="2" l="1"/>
  <c r="I42" i="2" s="1"/>
  <c r="E32" i="61"/>
  <c r="D32" i="61"/>
  <c r="C41" i="2"/>
  <c r="D41" i="2"/>
  <c r="M41" i="2"/>
  <c r="N41" i="2"/>
  <c r="AN41" i="2"/>
  <c r="AO41" i="2"/>
  <c r="A41" i="2"/>
  <c r="E41" i="2" s="1"/>
  <c r="AM41" i="2" l="1"/>
  <c r="A31" i="61"/>
  <c r="AL41" i="2"/>
  <c r="AP41" i="2"/>
  <c r="F41" i="2"/>
  <c r="X41" i="2"/>
  <c r="T41" i="2"/>
  <c r="AI41" i="2"/>
  <c r="AH41" i="2"/>
  <c r="G41" i="2"/>
  <c r="H41" i="2" l="1"/>
  <c r="I41" i="2" s="1"/>
  <c r="E31" i="61"/>
  <c r="D31" i="61"/>
  <c r="C40" i="2"/>
  <c r="D40" i="2"/>
  <c r="M40" i="2"/>
  <c r="N40" i="2"/>
  <c r="AN40" i="2"/>
  <c r="AO40" i="2"/>
  <c r="A40" i="2"/>
  <c r="E40" i="2" s="1"/>
  <c r="AM40" i="2" l="1"/>
  <c r="A30" i="61"/>
  <c r="AL40" i="2"/>
  <c r="AP40" i="2"/>
  <c r="F40" i="2"/>
  <c r="X40" i="2"/>
  <c r="T40" i="2"/>
  <c r="AI40" i="2"/>
  <c r="AH40" i="2"/>
  <c r="G40" i="2"/>
  <c r="H40" i="2" l="1"/>
  <c r="I40" i="2" s="1"/>
  <c r="E30" i="61"/>
  <c r="D30" i="61"/>
  <c r="C39" i="2"/>
  <c r="D39" i="2"/>
  <c r="M39" i="2"/>
  <c r="N39" i="2"/>
  <c r="AN39" i="2"/>
  <c r="AO39" i="2"/>
  <c r="A39" i="2"/>
  <c r="E39" i="2" s="1"/>
  <c r="AM39" i="2" l="1"/>
  <c r="A29" i="61"/>
  <c r="AL39" i="2"/>
  <c r="AP39" i="2"/>
  <c r="F39" i="2"/>
  <c r="X39" i="2"/>
  <c r="T39" i="2"/>
  <c r="AI39" i="2"/>
  <c r="AH39" i="2"/>
  <c r="G39" i="2"/>
  <c r="H39" i="2" l="1"/>
  <c r="E29" i="61"/>
  <c r="D29" i="61"/>
  <c r="C38" i="2"/>
  <c r="D38" i="2"/>
  <c r="M38" i="2"/>
  <c r="N38" i="2"/>
  <c r="AN38" i="2"/>
  <c r="AO38" i="2"/>
  <c r="A38" i="2"/>
  <c r="E38" i="2" s="1"/>
  <c r="AM38" i="2" l="1"/>
  <c r="A28" i="61"/>
  <c r="AL38" i="2"/>
  <c r="AP38" i="2"/>
  <c r="F38" i="2"/>
  <c r="X38" i="2"/>
  <c r="T38" i="2"/>
  <c r="AH38" i="2"/>
  <c r="AI38" i="2"/>
  <c r="G38" i="2"/>
  <c r="H38" i="2" l="1"/>
  <c r="I38" i="2" s="1"/>
  <c r="E28" i="61"/>
  <c r="D28" i="61"/>
  <c r="C37" i="2"/>
  <c r="D37" i="2"/>
  <c r="M37" i="2"/>
  <c r="N37" i="2"/>
  <c r="AN37" i="2"/>
  <c r="AO37" i="2"/>
  <c r="A37" i="2"/>
  <c r="E37" i="2" s="1"/>
  <c r="AM37" i="2" l="1"/>
  <c r="A27" i="61"/>
  <c r="AL37" i="2"/>
  <c r="AP37" i="2"/>
  <c r="F37" i="2"/>
  <c r="X37" i="2"/>
  <c r="T37" i="2"/>
  <c r="AI37" i="2"/>
  <c r="AH37" i="2"/>
  <c r="G37" i="2"/>
  <c r="H37" i="2" l="1"/>
  <c r="I37" i="2" s="1"/>
  <c r="E27" i="61"/>
  <c r="D27" i="61"/>
  <c r="C36" i="2"/>
  <c r="D36" i="2"/>
  <c r="M36" i="2"/>
  <c r="N36" i="2"/>
  <c r="AN36" i="2"/>
  <c r="AO36" i="2"/>
  <c r="A36" i="2"/>
  <c r="E36" i="2" s="1"/>
  <c r="AM36" i="2" l="1"/>
  <c r="A26" i="61"/>
  <c r="AL36" i="2"/>
  <c r="AP36" i="2"/>
  <c r="F36" i="2"/>
  <c r="X36" i="2"/>
  <c r="T36" i="2"/>
  <c r="AH36" i="2"/>
  <c r="AI36" i="2"/>
  <c r="G36" i="2"/>
  <c r="H36" i="2" l="1"/>
  <c r="I36" i="2" s="1"/>
  <c r="E26" i="61"/>
  <c r="D26" i="61"/>
  <c r="C35" i="2"/>
  <c r="D35" i="2"/>
  <c r="M35" i="2"/>
  <c r="N35" i="2"/>
  <c r="AN35" i="2"/>
  <c r="AO35" i="2"/>
  <c r="A35" i="2"/>
  <c r="E35" i="2" s="1"/>
  <c r="AM35" i="2" l="1"/>
  <c r="A25" i="61"/>
  <c r="AL35" i="2"/>
  <c r="AP35" i="2"/>
  <c r="F35" i="2"/>
  <c r="X35" i="2"/>
  <c r="T35" i="2"/>
  <c r="AI35" i="2"/>
  <c r="AH35" i="2"/>
  <c r="G35" i="2"/>
  <c r="H35" i="2" l="1"/>
  <c r="I35" i="2" s="1"/>
  <c r="E25" i="61"/>
  <c r="D25" i="61"/>
  <c r="C34" i="2"/>
  <c r="D34" i="2"/>
  <c r="M34" i="2"/>
  <c r="N34" i="2"/>
  <c r="AN34" i="2"/>
  <c r="AO34" i="2"/>
  <c r="A34" i="2"/>
  <c r="E34" i="2" s="1"/>
  <c r="AM34" i="2" l="1"/>
  <c r="A24" i="61"/>
  <c r="AL34" i="2"/>
  <c r="AP34" i="2"/>
  <c r="F34" i="2"/>
  <c r="X34" i="2"/>
  <c r="T34" i="2"/>
  <c r="AI34" i="2"/>
  <c r="AH34" i="2"/>
  <c r="G34" i="2"/>
  <c r="H34" i="2" l="1"/>
  <c r="I34" i="2" s="1"/>
  <c r="E24" i="61"/>
  <c r="D24" i="61"/>
  <c r="C33" i="2"/>
  <c r="D33" i="2"/>
  <c r="M33" i="2"/>
  <c r="N33" i="2"/>
  <c r="AN33" i="2"/>
  <c r="AO33" i="2"/>
  <c r="A33" i="2"/>
  <c r="E33" i="2" s="1"/>
  <c r="AM33" i="2" l="1"/>
  <c r="A23" i="61"/>
  <c r="AL33" i="2"/>
  <c r="AP33" i="2"/>
  <c r="F33" i="2"/>
  <c r="X33" i="2"/>
  <c r="T33" i="2"/>
  <c r="AI33" i="2"/>
  <c r="AH33" i="2"/>
  <c r="G33" i="2"/>
  <c r="H33" i="2" l="1"/>
  <c r="I33" i="2" s="1"/>
  <c r="E23" i="61"/>
  <c r="D23" i="61"/>
  <c r="C32" i="2"/>
  <c r="D32" i="2"/>
  <c r="M32" i="2"/>
  <c r="N32" i="2"/>
  <c r="AN32" i="2"/>
  <c r="AO32" i="2"/>
  <c r="A32" i="2"/>
  <c r="E32" i="2" s="1"/>
  <c r="AM32" i="2" l="1"/>
  <c r="A22" i="61"/>
  <c r="AL32" i="2"/>
  <c r="AP32" i="2"/>
  <c r="F32" i="2"/>
  <c r="X32" i="2"/>
  <c r="T32" i="2"/>
  <c r="AI32" i="2"/>
  <c r="AH32" i="2"/>
  <c r="G32" i="2"/>
  <c r="H32" i="2" l="1"/>
  <c r="I32" i="2" s="1"/>
  <c r="E22" i="61"/>
  <c r="D22" i="61"/>
  <c r="C31" i="2"/>
  <c r="D31" i="2"/>
  <c r="M31" i="2"/>
  <c r="N31" i="2"/>
  <c r="AN31" i="2"/>
  <c r="AO31" i="2"/>
  <c r="A31" i="2"/>
  <c r="E31" i="2" s="1"/>
  <c r="AM31" i="2" l="1"/>
  <c r="A21" i="61"/>
  <c r="AL31" i="2"/>
  <c r="AP31" i="2"/>
  <c r="F31" i="2"/>
  <c r="X31" i="2"/>
  <c r="T31" i="2"/>
  <c r="AI31" i="2"/>
  <c r="AH31" i="2"/>
  <c r="G31" i="2"/>
  <c r="H31" i="2" l="1"/>
  <c r="I31" i="2" s="1"/>
  <c r="E21" i="61"/>
  <c r="D21" i="61"/>
  <c r="C30" i="2"/>
  <c r="D30" i="2"/>
  <c r="M30" i="2"/>
  <c r="N30" i="2"/>
  <c r="AN30" i="2"/>
  <c r="AO30" i="2"/>
  <c r="A30" i="2"/>
  <c r="E30" i="2" s="1"/>
  <c r="AM30" i="2" l="1"/>
  <c r="A20" i="61"/>
  <c r="AL30" i="2"/>
  <c r="AP30" i="2"/>
  <c r="F30" i="2"/>
  <c r="X30" i="2"/>
  <c r="T30" i="2"/>
  <c r="AI30" i="2"/>
  <c r="AH30" i="2"/>
  <c r="G30" i="2"/>
  <c r="H30" i="2" l="1"/>
  <c r="I30" i="2" s="1"/>
  <c r="D20" i="61"/>
  <c r="E20" i="61"/>
  <c r="C29" i="2"/>
  <c r="D29" i="2"/>
  <c r="M29" i="2"/>
  <c r="N29" i="2"/>
  <c r="AN29" i="2"/>
  <c r="AO29" i="2"/>
  <c r="A29" i="2"/>
  <c r="E29" i="2" s="1"/>
  <c r="AM29" i="2" l="1"/>
  <c r="A19" i="61"/>
  <c r="AL29" i="2"/>
  <c r="AP29" i="2"/>
  <c r="F29" i="2"/>
  <c r="X29" i="2"/>
  <c r="T29" i="2"/>
  <c r="AI29" i="2"/>
  <c r="AH29" i="2"/>
  <c r="G29" i="2"/>
  <c r="H29" i="2" l="1"/>
  <c r="I29" i="2" s="1"/>
  <c r="E19" i="61"/>
  <c r="D19" i="61"/>
  <c r="C28" i="2"/>
  <c r="D28" i="2"/>
  <c r="M28" i="2"/>
  <c r="N28" i="2"/>
  <c r="AN28" i="2"/>
  <c r="AO28" i="2"/>
  <c r="A28" i="2"/>
  <c r="E28" i="2" s="1"/>
  <c r="AM28" i="2" l="1"/>
  <c r="A18" i="61"/>
  <c r="AL28" i="2"/>
  <c r="AP28" i="2"/>
  <c r="F28" i="2"/>
  <c r="X28" i="2"/>
  <c r="T28" i="2"/>
  <c r="AI28" i="2"/>
  <c r="AH28" i="2"/>
  <c r="G28" i="2"/>
  <c r="H28" i="2" l="1"/>
  <c r="I28" i="2" s="1"/>
  <c r="E18" i="61"/>
  <c r="D18" i="61"/>
  <c r="C27" i="2"/>
  <c r="D27" i="2"/>
  <c r="M27" i="2"/>
  <c r="N27" i="2"/>
  <c r="AN27" i="2"/>
  <c r="AO27" i="2"/>
  <c r="A27" i="2"/>
  <c r="E27" i="2" s="1"/>
  <c r="AM27" i="2" l="1"/>
  <c r="A17" i="61"/>
  <c r="AL27" i="2"/>
  <c r="AP27" i="2"/>
  <c r="F27" i="2"/>
  <c r="X27" i="2"/>
  <c r="T27" i="2"/>
  <c r="AI27" i="2"/>
  <c r="AH27" i="2"/>
  <c r="G27" i="2"/>
  <c r="H27" i="2" l="1"/>
  <c r="I27" i="2" s="1"/>
  <c r="E17" i="61"/>
  <c r="D17" i="61"/>
  <c r="C26" i="2"/>
  <c r="D26" i="2"/>
  <c r="M26" i="2"/>
  <c r="N26" i="2"/>
  <c r="AN26" i="2"/>
  <c r="AO26" i="2"/>
  <c r="A26" i="2"/>
  <c r="E26" i="2" s="1"/>
  <c r="AM26" i="2" l="1"/>
  <c r="A16" i="61"/>
  <c r="AL26" i="2"/>
  <c r="AP26" i="2"/>
  <c r="F26" i="2"/>
  <c r="X26" i="2"/>
  <c r="T26" i="2"/>
  <c r="AI26" i="2"/>
  <c r="AH26" i="2"/>
  <c r="G26" i="2"/>
  <c r="H26" i="2" l="1"/>
  <c r="I26" i="2" s="1"/>
  <c r="D16" i="61"/>
  <c r="E16" i="61"/>
  <c r="C25" i="2"/>
  <c r="D25" i="2"/>
  <c r="M25" i="2"/>
  <c r="N25" i="2"/>
  <c r="A25" i="2"/>
  <c r="E25" i="2" s="1"/>
  <c r="A15" i="61" l="1"/>
  <c r="F25" i="2"/>
  <c r="T25" i="2"/>
  <c r="X25" i="2"/>
  <c r="G25" i="2"/>
  <c r="H25" i="2" l="1"/>
  <c r="I25" i="2" s="1"/>
  <c r="E15" i="61"/>
  <c r="D15" i="61"/>
  <c r="C24" i="2"/>
  <c r="D24" i="2"/>
  <c r="M24" i="2"/>
  <c r="N24" i="2"/>
  <c r="AN24" i="2"/>
  <c r="AO24" i="2"/>
  <c r="A24" i="2"/>
  <c r="E24" i="2" s="1"/>
  <c r="AM24" i="2" l="1"/>
  <c r="A14" i="61"/>
  <c r="AL24" i="2"/>
  <c r="AP24" i="2"/>
  <c r="F24" i="2"/>
  <c r="X24" i="2"/>
  <c r="T24" i="2"/>
  <c r="AI24" i="2"/>
  <c r="AH24" i="2"/>
  <c r="G24" i="2"/>
  <c r="H24" i="2" l="1"/>
  <c r="I24" i="2" s="1"/>
  <c r="E14" i="61"/>
  <c r="D14" i="61"/>
  <c r="C23" i="2"/>
  <c r="D23" i="2"/>
  <c r="M23" i="2"/>
  <c r="N23" i="2"/>
  <c r="AN23" i="2"/>
  <c r="AO23" i="2"/>
  <c r="A23" i="2"/>
  <c r="E23" i="2" s="1"/>
  <c r="AM23" i="2" l="1"/>
  <c r="A13" i="61"/>
  <c r="AL23" i="2"/>
  <c r="AP23" i="2"/>
  <c r="F23" i="2"/>
  <c r="X23" i="2"/>
  <c r="T23" i="2"/>
  <c r="AI23" i="2"/>
  <c r="AH23" i="2"/>
  <c r="G23" i="2"/>
  <c r="H23" i="2" l="1"/>
  <c r="I23" i="2" s="1"/>
  <c r="E13" i="61"/>
  <c r="D13" i="61"/>
  <c r="C22" i="2"/>
  <c r="D22" i="2"/>
  <c r="M22" i="2"/>
  <c r="N22" i="2"/>
  <c r="AN22" i="2"/>
  <c r="AO22" i="2"/>
  <c r="A22" i="2"/>
  <c r="E22" i="2" s="1"/>
  <c r="AM22" i="2" l="1"/>
  <c r="A12" i="61"/>
  <c r="AL22" i="2"/>
  <c r="AP22" i="2"/>
  <c r="F22" i="2"/>
  <c r="X22" i="2"/>
  <c r="T22" i="2"/>
  <c r="AI22" i="2"/>
  <c r="AH22" i="2"/>
  <c r="G22" i="2"/>
  <c r="H22" i="2" l="1"/>
  <c r="I22" i="2" s="1"/>
  <c r="E12" i="61"/>
  <c r="D12" i="61"/>
  <c r="C21" i="2"/>
  <c r="D21" i="2"/>
  <c r="M21" i="2"/>
  <c r="N21" i="2"/>
  <c r="AN21" i="2"/>
  <c r="AO21" i="2"/>
  <c r="A21" i="2"/>
  <c r="E21" i="2" s="1"/>
  <c r="AM21" i="2" l="1"/>
  <c r="A11" i="61"/>
  <c r="AL21" i="2"/>
  <c r="AP21" i="2"/>
  <c r="F21" i="2"/>
  <c r="X21" i="2"/>
  <c r="T21" i="2"/>
  <c r="AI21" i="2"/>
  <c r="AH21" i="2"/>
  <c r="G21" i="2"/>
  <c r="H21" i="2" l="1"/>
  <c r="I21" i="2" s="1"/>
  <c r="E11" i="61"/>
  <c r="D11" i="61"/>
  <c r="C20" i="2"/>
  <c r="D20" i="2"/>
  <c r="M20" i="2"/>
  <c r="N20" i="2"/>
  <c r="AN20" i="2"/>
  <c r="AO20" i="2"/>
  <c r="A20" i="2"/>
  <c r="E20" i="2" s="1"/>
  <c r="AM20" i="2" l="1"/>
  <c r="A10" i="61"/>
  <c r="AL20" i="2"/>
  <c r="AP20" i="2"/>
  <c r="F20" i="2"/>
  <c r="X20" i="2"/>
  <c r="T20" i="2"/>
  <c r="AI20" i="2"/>
  <c r="AH20" i="2"/>
  <c r="G20" i="2"/>
  <c r="H20" i="2" l="1"/>
  <c r="I20" i="2" s="1"/>
  <c r="D10" i="61"/>
  <c r="E10" i="61"/>
  <c r="C19" i="2"/>
  <c r="D19" i="2"/>
  <c r="M19" i="2"/>
  <c r="N19" i="2"/>
  <c r="AN19" i="2"/>
  <c r="AO19" i="2"/>
  <c r="A19" i="2"/>
  <c r="E19" i="2" s="1"/>
  <c r="AM19" i="2" l="1"/>
  <c r="A9" i="61"/>
  <c r="AL19" i="2"/>
  <c r="AP19" i="2"/>
  <c r="F19" i="2"/>
  <c r="X19" i="2"/>
  <c r="T19" i="2"/>
  <c r="AI19" i="2"/>
  <c r="AH19" i="2"/>
  <c r="G19" i="2"/>
  <c r="H19" i="2" l="1"/>
  <c r="I19" i="2" s="1"/>
  <c r="E9" i="61"/>
  <c r="D9" i="61"/>
  <c r="C18" i="2"/>
  <c r="D18" i="2"/>
  <c r="M18" i="2"/>
  <c r="N18" i="2"/>
  <c r="AN18" i="2"/>
  <c r="AO18" i="2"/>
  <c r="A18" i="2"/>
  <c r="E18" i="2" s="1"/>
  <c r="AM18" i="2" l="1"/>
  <c r="A8" i="61"/>
  <c r="AL18" i="2"/>
  <c r="AP18" i="2"/>
  <c r="F18" i="2"/>
  <c r="X18" i="2"/>
  <c r="T18" i="2"/>
  <c r="AH18" i="2"/>
  <c r="AI18" i="2"/>
  <c r="G18" i="2"/>
  <c r="H18" i="2" l="1"/>
  <c r="I18" i="2" s="1"/>
  <c r="E8" i="61"/>
  <c r="D8" i="61"/>
  <c r="C17" i="2"/>
  <c r="D17" i="2"/>
  <c r="M17" i="2"/>
  <c r="N17" i="2"/>
  <c r="AN17" i="2"/>
  <c r="AO17" i="2"/>
  <c r="A17" i="2"/>
  <c r="E17" i="2" s="1"/>
  <c r="AM17" i="2" l="1"/>
  <c r="A7" i="61"/>
  <c r="AL17" i="2"/>
  <c r="AP17" i="2"/>
  <c r="F17" i="2"/>
  <c r="X17" i="2"/>
  <c r="T17" i="2"/>
  <c r="AI17" i="2"/>
  <c r="AH17" i="2"/>
  <c r="G17" i="2"/>
  <c r="H17" i="2" l="1"/>
  <c r="I17" i="2" s="1"/>
  <c r="E7" i="61"/>
  <c r="D7" i="61"/>
  <c r="C16" i="2"/>
  <c r="D16" i="2"/>
  <c r="M16" i="2"/>
  <c r="N16" i="2"/>
  <c r="AN16" i="2"/>
  <c r="AO16" i="2"/>
  <c r="A16" i="2"/>
  <c r="E16" i="2" s="1"/>
  <c r="AM16" i="2" l="1"/>
  <c r="A6" i="61"/>
  <c r="AL16" i="2"/>
  <c r="AP16" i="2"/>
  <c r="F16" i="2"/>
  <c r="X16" i="2"/>
  <c r="T16" i="2"/>
  <c r="AI16" i="2"/>
  <c r="AH16" i="2"/>
  <c r="G16" i="2"/>
  <c r="H16" i="2" l="1"/>
  <c r="I16" i="2" s="1"/>
  <c r="E6" i="61"/>
  <c r="D6" i="61"/>
  <c r="AL15" i="2"/>
  <c r="C15" i="2"/>
  <c r="D15" i="2"/>
  <c r="M15" i="2"/>
  <c r="N15" i="2"/>
  <c r="AN15" i="2"/>
  <c r="AO15" i="2"/>
  <c r="A15" i="2"/>
  <c r="E15" i="2" s="1"/>
  <c r="AM15" i="2" l="1"/>
  <c r="A5" i="61"/>
  <c r="AP15" i="2"/>
  <c r="F15" i="2"/>
  <c r="X15" i="2"/>
  <c r="T15" i="2"/>
  <c r="AI15" i="2"/>
  <c r="AH15" i="2"/>
  <c r="G15" i="2"/>
  <c r="H15" i="2" l="1"/>
  <c r="I15" i="2" s="1"/>
  <c r="E5" i="61"/>
  <c r="D5" i="61"/>
  <c r="C14" i="2"/>
  <c r="D14" i="2"/>
  <c r="M14" i="2"/>
  <c r="N14" i="2"/>
  <c r="AN14" i="2"/>
  <c r="AO14" i="2"/>
  <c r="A14" i="2"/>
  <c r="E14" i="2" s="1"/>
  <c r="AM14" i="2" l="1"/>
  <c r="A4" i="61"/>
  <c r="AL14" i="2"/>
  <c r="AP14" i="2"/>
  <c r="F14" i="2"/>
  <c r="X14" i="2"/>
  <c r="T14" i="2"/>
  <c r="AI14" i="2"/>
  <c r="AH14" i="2"/>
  <c r="G14" i="2"/>
  <c r="H14" i="2" l="1"/>
  <c r="I14" i="2" s="1"/>
  <c r="D4" i="61"/>
  <c r="E4" i="61"/>
  <c r="C13" i="2"/>
  <c r="D13" i="2"/>
  <c r="M13" i="2"/>
  <c r="N13" i="2"/>
  <c r="AN13" i="2"/>
  <c r="AO13" i="2"/>
  <c r="A13" i="2"/>
  <c r="E13" i="2" s="1"/>
  <c r="AM13" i="2" l="1"/>
  <c r="A3" i="61"/>
  <c r="AL13" i="2"/>
  <c r="K13" i="44" a="1"/>
  <c r="B17" i="49" a="1"/>
  <c r="D18" i="49" s="1"/>
  <c r="AP13" i="2"/>
  <c r="F13" i="2"/>
  <c r="X13" i="2"/>
  <c r="T13" i="2"/>
  <c r="AI13" i="2"/>
  <c r="AH13" i="2"/>
  <c r="AJ12" i="2"/>
  <c r="AI12" i="2"/>
  <c r="AE11" i="2"/>
  <c r="AA11" i="2"/>
  <c r="Y11" i="2"/>
  <c r="E8" i="2"/>
  <c r="E345" i="60"/>
  <c r="E344" i="60"/>
  <c r="E343" i="60"/>
  <c r="E342" i="60"/>
  <c r="E341" i="60"/>
  <c r="E340" i="60"/>
  <c r="E339" i="60"/>
  <c r="E338" i="60"/>
  <c r="E337" i="60"/>
  <c r="E336" i="60"/>
  <c r="E335" i="60"/>
  <c r="E334" i="60"/>
  <c r="E333" i="60"/>
  <c r="E332" i="60"/>
  <c r="E331" i="60"/>
  <c r="E330" i="60"/>
  <c r="E329" i="60"/>
  <c r="E328" i="60"/>
  <c r="E327" i="60"/>
  <c r="E326" i="60"/>
  <c r="E325" i="60"/>
  <c r="E324" i="60"/>
  <c r="E323" i="60"/>
  <c r="E322" i="60"/>
  <c r="E321" i="60"/>
  <c r="E320" i="60"/>
  <c r="E319" i="60"/>
  <c r="E318" i="60"/>
  <c r="E317" i="60"/>
  <c r="E316" i="60"/>
  <c r="E315" i="60"/>
  <c r="E314" i="60"/>
  <c r="E313" i="60"/>
  <c r="E312" i="60"/>
  <c r="E311" i="60"/>
  <c r="E310" i="60"/>
  <c r="E309" i="60"/>
  <c r="E308" i="60"/>
  <c r="E307" i="60"/>
  <c r="E306" i="60"/>
  <c r="E305" i="60"/>
  <c r="E304" i="60"/>
  <c r="E303" i="60"/>
  <c r="E302" i="60"/>
  <c r="E301" i="60"/>
  <c r="E300" i="60"/>
  <c r="E299" i="60"/>
  <c r="E298" i="60"/>
  <c r="E297" i="60"/>
  <c r="E296" i="60"/>
  <c r="E295" i="60"/>
  <c r="E294" i="60"/>
  <c r="E293" i="60"/>
  <c r="E292" i="60"/>
  <c r="E291" i="60"/>
  <c r="E290" i="60"/>
  <c r="E289" i="60"/>
  <c r="E288" i="60"/>
  <c r="E287" i="60"/>
  <c r="E286" i="60"/>
  <c r="E285" i="60"/>
  <c r="E284" i="60"/>
  <c r="E283" i="60"/>
  <c r="E282" i="60"/>
  <c r="E281" i="60"/>
  <c r="E280" i="60"/>
  <c r="E279" i="60"/>
  <c r="E278" i="60"/>
  <c r="E277" i="60"/>
  <c r="E276" i="60"/>
  <c r="E275" i="60"/>
  <c r="E274" i="60"/>
  <c r="E273" i="60"/>
  <c r="E272" i="60"/>
  <c r="E271" i="60"/>
  <c r="E270" i="60"/>
  <c r="E269" i="60"/>
  <c r="E268" i="60"/>
  <c r="E267" i="60"/>
  <c r="E266" i="60"/>
  <c r="E265" i="60"/>
  <c r="E264" i="60"/>
  <c r="E263" i="60"/>
  <c r="E262" i="60"/>
  <c r="E261" i="60"/>
  <c r="E260" i="60"/>
  <c r="E259" i="60"/>
  <c r="E258" i="60"/>
  <c r="E257" i="60"/>
  <c r="E256" i="60"/>
  <c r="E255" i="60"/>
  <c r="E254" i="60"/>
  <c r="E253" i="60"/>
  <c r="E252" i="60"/>
  <c r="E251" i="60"/>
  <c r="E250" i="60"/>
  <c r="E249" i="60"/>
  <c r="E248" i="60"/>
  <c r="E247" i="60"/>
  <c r="E246" i="60"/>
  <c r="E245" i="60"/>
  <c r="E244" i="60"/>
  <c r="E243" i="60"/>
  <c r="E242" i="60"/>
  <c r="E241" i="60"/>
  <c r="E240" i="60"/>
  <c r="E239" i="60"/>
  <c r="E238" i="60"/>
  <c r="E237" i="60"/>
  <c r="E236" i="60"/>
  <c r="E235" i="60"/>
  <c r="E234" i="60"/>
  <c r="E233" i="60"/>
  <c r="E232" i="60"/>
  <c r="E231" i="60"/>
  <c r="E230" i="60"/>
  <c r="E228" i="60"/>
  <c r="E227" i="60"/>
  <c r="E226" i="60"/>
  <c r="E225" i="60"/>
  <c r="E224" i="60"/>
  <c r="E223" i="60"/>
  <c r="E222" i="60"/>
  <c r="E221" i="60"/>
  <c r="E220" i="60"/>
  <c r="E219" i="60"/>
  <c r="E218" i="60"/>
  <c r="E217" i="60"/>
  <c r="E216" i="60"/>
  <c r="E215" i="60"/>
  <c r="E214" i="60"/>
  <c r="E213" i="60"/>
  <c r="E212" i="60"/>
  <c r="E211" i="60"/>
  <c r="E210" i="60"/>
  <c r="E209" i="60"/>
  <c r="E208" i="60"/>
  <c r="E207" i="60"/>
  <c r="E206" i="60"/>
  <c r="E205" i="60"/>
  <c r="E204" i="60"/>
  <c r="E203" i="60"/>
  <c r="E202" i="60"/>
  <c r="E201" i="60"/>
  <c r="E200" i="60"/>
  <c r="E199" i="60"/>
  <c r="E198" i="60"/>
  <c r="E197" i="60"/>
  <c r="E196" i="60"/>
  <c r="E195" i="60"/>
  <c r="E194" i="60"/>
  <c r="E193" i="60"/>
  <c r="E192" i="60"/>
  <c r="E191" i="60"/>
  <c r="E190" i="60"/>
  <c r="E189" i="60"/>
  <c r="E188" i="60"/>
  <c r="E187" i="60"/>
  <c r="E186" i="60"/>
  <c r="E185" i="60"/>
  <c r="E184" i="60"/>
  <c r="E183" i="60"/>
  <c r="E182" i="60"/>
  <c r="E181" i="60"/>
  <c r="E180" i="60"/>
  <c r="E179" i="60"/>
  <c r="E178" i="60"/>
  <c r="E177" i="60"/>
  <c r="E176" i="60"/>
  <c r="E175" i="60"/>
  <c r="E174" i="60"/>
  <c r="E173" i="60"/>
  <c r="E172" i="60"/>
  <c r="E171" i="60"/>
  <c r="E170" i="60"/>
  <c r="E169" i="60"/>
  <c r="E168" i="60"/>
  <c r="E167" i="60"/>
  <c r="E166" i="60"/>
  <c r="E165" i="60"/>
  <c r="E164" i="60"/>
  <c r="E163" i="60"/>
  <c r="E162" i="60"/>
  <c r="E161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E116" i="60"/>
  <c r="E115" i="60"/>
  <c r="E114" i="60"/>
  <c r="E113" i="60"/>
  <c r="E112" i="60"/>
  <c r="E111" i="60"/>
  <c r="E110" i="60"/>
  <c r="E109" i="60"/>
  <c r="E108" i="60"/>
  <c r="E107" i="60"/>
  <c r="E106" i="60"/>
  <c r="E105" i="60"/>
  <c r="E104" i="60"/>
  <c r="E103" i="60"/>
  <c r="E102" i="60"/>
  <c r="E101" i="60"/>
  <c r="E100" i="60"/>
  <c r="E99" i="60"/>
  <c r="E98" i="60"/>
  <c r="E97" i="60"/>
  <c r="E96" i="60"/>
  <c r="E95" i="60"/>
  <c r="E94" i="60"/>
  <c r="E93" i="60"/>
  <c r="E92" i="60"/>
  <c r="E91" i="60"/>
  <c r="E90" i="60"/>
  <c r="E89" i="60"/>
  <c r="E88" i="60"/>
  <c r="E87" i="60"/>
  <c r="E86" i="60"/>
  <c r="E85" i="60"/>
  <c r="E84" i="60"/>
  <c r="E83" i="60"/>
  <c r="E82" i="60"/>
  <c r="E81" i="60"/>
  <c r="E80" i="60"/>
  <c r="E79" i="60"/>
  <c r="E78" i="60"/>
  <c r="E77" i="60"/>
  <c r="E76" i="60"/>
  <c r="E75" i="60"/>
  <c r="E74" i="60"/>
  <c r="E73" i="60"/>
  <c r="E72" i="60"/>
  <c r="E71" i="60"/>
  <c r="E70" i="60"/>
  <c r="E69" i="60"/>
  <c r="E68" i="60"/>
  <c r="E67" i="60"/>
  <c r="E66" i="60"/>
  <c r="E65" i="60"/>
  <c r="E64" i="60"/>
  <c r="E63" i="60"/>
  <c r="E62" i="60"/>
  <c r="E61" i="60"/>
  <c r="E60" i="60"/>
  <c r="E59" i="60"/>
  <c r="E58" i="60"/>
  <c r="E57" i="60"/>
  <c r="E56" i="60"/>
  <c r="E55" i="60"/>
  <c r="E54" i="60"/>
  <c r="E53" i="60"/>
  <c r="E52" i="60"/>
  <c r="E51" i="60"/>
  <c r="E50" i="60"/>
  <c r="E49" i="60"/>
  <c r="E48" i="60"/>
  <c r="E47" i="60"/>
  <c r="E46" i="60"/>
  <c r="E45" i="60"/>
  <c r="E44" i="60"/>
  <c r="E43" i="60"/>
  <c r="E42" i="60"/>
  <c r="E41" i="60"/>
  <c r="E40" i="60"/>
  <c r="E39" i="60"/>
  <c r="E38" i="60"/>
  <c r="E37" i="60"/>
  <c r="E36" i="60"/>
  <c r="E35" i="60"/>
  <c r="E34" i="60"/>
  <c r="E33" i="60"/>
  <c r="E32" i="60"/>
  <c r="E31" i="60"/>
  <c r="E30" i="60"/>
  <c r="E29" i="60"/>
  <c r="E28" i="60"/>
  <c r="E27" i="60"/>
  <c r="E26" i="60"/>
  <c r="E25" i="60"/>
  <c r="E24" i="60"/>
  <c r="E23" i="60"/>
  <c r="E22" i="60"/>
  <c r="E21" i="60"/>
  <c r="E20" i="60"/>
  <c r="E19" i="60"/>
  <c r="E18" i="60"/>
  <c r="E17" i="60"/>
  <c r="E16" i="60"/>
  <c r="E15" i="60"/>
  <c r="E14" i="60"/>
  <c r="E13" i="60"/>
  <c r="E12" i="60"/>
  <c r="E11" i="60"/>
  <c r="E10" i="60"/>
  <c r="E9" i="60"/>
  <c r="E8" i="60"/>
  <c r="E7" i="60"/>
  <c r="E6" i="60"/>
  <c r="E5" i="60"/>
  <c r="E4" i="60"/>
  <c r="E3" i="60"/>
  <c r="S11" i="54"/>
  <c r="S8" i="54"/>
  <c r="S7" i="54"/>
  <c r="S6" i="54"/>
  <c r="S5" i="54"/>
  <c r="S4" i="54"/>
  <c r="Q22" i="23"/>
  <c r="J22" i="23"/>
  <c r="N22" i="23" s="1"/>
  <c r="P22" i="23" s="1"/>
  <c r="G22" i="23"/>
  <c r="F22" i="23"/>
  <c r="C22" i="23"/>
  <c r="E22" i="23" s="1"/>
  <c r="Q21" i="23"/>
  <c r="J21" i="23"/>
  <c r="N21" i="23" s="1"/>
  <c r="P21" i="23" s="1"/>
  <c r="G21" i="23"/>
  <c r="F21" i="23"/>
  <c r="C21" i="23"/>
  <c r="E21" i="23" s="1"/>
  <c r="Q20" i="23"/>
  <c r="J20" i="23"/>
  <c r="N20" i="23" s="1"/>
  <c r="P20" i="23" s="1"/>
  <c r="G20" i="23"/>
  <c r="F20" i="23"/>
  <c r="C20" i="23"/>
  <c r="E20" i="23" s="1"/>
  <c r="Q19" i="23"/>
  <c r="J19" i="23"/>
  <c r="N19" i="23" s="1"/>
  <c r="P19" i="23" s="1"/>
  <c r="G19" i="23"/>
  <c r="F19" i="23"/>
  <c r="C19" i="23"/>
  <c r="E19" i="23" s="1"/>
  <c r="Q18" i="23"/>
  <c r="J18" i="23"/>
  <c r="N18" i="23" s="1"/>
  <c r="P18" i="23" s="1"/>
  <c r="G18" i="23"/>
  <c r="F18" i="23"/>
  <c r="C18" i="23"/>
  <c r="E18" i="23" s="1"/>
  <c r="Q17" i="23"/>
  <c r="J17" i="23"/>
  <c r="N17" i="23" s="1"/>
  <c r="P17" i="23" s="1"/>
  <c r="G17" i="23"/>
  <c r="F17" i="23"/>
  <c r="C17" i="23"/>
  <c r="E17" i="23" s="1"/>
  <c r="Q16" i="23"/>
  <c r="J16" i="23"/>
  <c r="N16" i="23" s="1"/>
  <c r="P16" i="23" s="1"/>
  <c r="G16" i="23"/>
  <c r="F16" i="23"/>
  <c r="C16" i="23"/>
  <c r="E16" i="23" s="1"/>
  <c r="Q15" i="23"/>
  <c r="J15" i="23"/>
  <c r="N15" i="23" s="1"/>
  <c r="P15" i="23" s="1"/>
  <c r="G15" i="23"/>
  <c r="F15" i="23"/>
  <c r="C15" i="23"/>
  <c r="E15" i="23" s="1"/>
  <c r="Q14" i="23"/>
  <c r="J14" i="23"/>
  <c r="N14" i="23" s="1"/>
  <c r="P14" i="23" s="1"/>
  <c r="G14" i="23"/>
  <c r="F14" i="23"/>
  <c r="C14" i="23"/>
  <c r="E14" i="23" s="1"/>
  <c r="Q13" i="23"/>
  <c r="J13" i="23"/>
  <c r="N13" i="23" s="1"/>
  <c r="P13" i="23" s="1"/>
  <c r="G13" i="23"/>
  <c r="F13" i="23"/>
  <c r="C13" i="23"/>
  <c r="E13" i="23" s="1"/>
  <c r="Q12" i="23"/>
  <c r="J12" i="23"/>
  <c r="N12" i="23" s="1"/>
  <c r="P12" i="23" s="1"/>
  <c r="G12" i="23"/>
  <c r="F12" i="23"/>
  <c r="C12" i="23"/>
  <c r="E12" i="23" s="1"/>
  <c r="Q11" i="23"/>
  <c r="N11" i="23"/>
  <c r="J11" i="23"/>
  <c r="C11" i="23"/>
  <c r="E11" i="23" s="1"/>
  <c r="Y47" i="2"/>
  <c r="Y50" i="2"/>
  <c r="Y52" i="2"/>
  <c r="Y53" i="2"/>
  <c r="Y55" i="2"/>
  <c r="Y51" i="2"/>
  <c r="Y56" i="2"/>
  <c r="Y63" i="2"/>
  <c r="Y58" i="2"/>
  <c r="Y62" i="2"/>
  <c r="Y54" i="2"/>
  <c r="Y59" i="2"/>
  <c r="Y57" i="2"/>
  <c r="Y61" i="2"/>
  <c r="Y60" i="2"/>
  <c r="Y28" i="2"/>
  <c r="Y41" i="2"/>
  <c r="Y26" i="2"/>
  <c r="Y32" i="2"/>
  <c r="Y24" i="2"/>
  <c r="Y27" i="2"/>
  <c r="Y34" i="2"/>
  <c r="Y23" i="2"/>
  <c r="Y39" i="2"/>
  <c r="Y35" i="2"/>
  <c r="Y37" i="2"/>
  <c r="Y25" i="2"/>
  <c r="Y44" i="2"/>
  <c r="Y36" i="2"/>
  <c r="Y43" i="2"/>
  <c r="Y48" i="2"/>
  <c r="Y45" i="2"/>
  <c r="Y46" i="2"/>
  <c r="Y38" i="2"/>
  <c r="Y49" i="2"/>
  <c r="Y40" i="2"/>
  <c r="Y31" i="2"/>
  <c r="Y42" i="2"/>
  <c r="Y18" i="2"/>
  <c r="Y19" i="2"/>
  <c r="Y20" i="2"/>
  <c r="Y21" i="2"/>
  <c r="Y22" i="2"/>
  <c r="Y30" i="2"/>
  <c r="Y33" i="2"/>
  <c r="Y29" i="2"/>
  <c r="AA25" i="2"/>
  <c r="AA27" i="2"/>
  <c r="AA28" i="2"/>
  <c r="AA33" i="2"/>
  <c r="AA31" i="2"/>
  <c r="AA18" i="2"/>
  <c r="AA16" i="2"/>
  <c r="AA29" i="2"/>
  <c r="AA30" i="2"/>
  <c r="AA32" i="2"/>
  <c r="AA23" i="2"/>
  <c r="AA26" i="2"/>
  <c r="AA15" i="2"/>
  <c r="AA21" i="2"/>
  <c r="AA34" i="2"/>
  <c r="AA14" i="2"/>
  <c r="AA35" i="2"/>
  <c r="AA13" i="2"/>
  <c r="AA22" i="2"/>
  <c r="AA36" i="2"/>
  <c r="AA17" i="2"/>
  <c r="AA20" i="2"/>
  <c r="AA19" i="2"/>
  <c r="AA24" i="2"/>
  <c r="AA40" i="2"/>
  <c r="AA37" i="2"/>
  <c r="AA42" i="2"/>
  <c r="AA44" i="2"/>
  <c r="AA43" i="2"/>
  <c r="AA49" i="2"/>
  <c r="AA48" i="2"/>
  <c r="AA39" i="2"/>
  <c r="AA41" i="2"/>
  <c r="AA50" i="2"/>
  <c r="AA52" i="2"/>
  <c r="AA58" i="2"/>
  <c r="AA45" i="2"/>
  <c r="AA57" i="2"/>
  <c r="AA59" i="2"/>
  <c r="AA46" i="2"/>
  <c r="AA47" i="2"/>
  <c r="AA54" i="2"/>
  <c r="AA62" i="2"/>
  <c r="AA38" i="2"/>
  <c r="AA55" i="2"/>
  <c r="AA53" i="2"/>
  <c r="AA51" i="2"/>
  <c r="AA63" i="2"/>
  <c r="AA60" i="2"/>
  <c r="AA56" i="2"/>
  <c r="AA61" i="2"/>
  <c r="Y14" i="2"/>
  <c r="Y15" i="2"/>
  <c r="Y13" i="2"/>
  <c r="Y16" i="2"/>
  <c r="Y17" i="2"/>
  <c r="G13" i="2"/>
  <c r="I710" i="11"/>
  <c r="D19" i="49" l="1"/>
  <c r="D21" i="49"/>
  <c r="D20" i="49"/>
  <c r="L16" i="44"/>
  <c r="L19" i="44"/>
  <c r="L21" i="44"/>
  <c r="L17" i="44"/>
  <c r="L18" i="44"/>
  <c r="L20" i="44"/>
  <c r="L14" i="44"/>
  <c r="L15" i="44"/>
  <c r="D24" i="49"/>
  <c r="D23" i="49"/>
  <c r="D25" i="49"/>
  <c r="D22" i="49"/>
  <c r="C53" i="61"/>
  <c r="AC62" i="2"/>
  <c r="C52" i="61"/>
  <c r="AC61" i="2"/>
  <c r="C51" i="61"/>
  <c r="AC60" i="2"/>
  <c r="C50" i="61"/>
  <c r="F15" i="62" s="1"/>
  <c r="H15" i="62" s="1"/>
  <c r="AC59" i="2"/>
  <c r="C49" i="61"/>
  <c r="AC58" i="2"/>
  <c r="C48" i="61"/>
  <c r="AC57" i="2"/>
  <c r="C47" i="61"/>
  <c r="AC56" i="2"/>
  <c r="C46" i="61"/>
  <c r="AC55" i="2"/>
  <c r="C45" i="61"/>
  <c r="AC54" i="2"/>
  <c r="C44" i="61"/>
  <c r="F25" i="62" s="1"/>
  <c r="H25" i="62" s="1"/>
  <c r="AC53" i="2"/>
  <c r="C43" i="61"/>
  <c r="AC52" i="2"/>
  <c r="C42" i="61"/>
  <c r="AC51" i="2"/>
  <c r="C41" i="61"/>
  <c r="AC50" i="2"/>
  <c r="C40" i="61"/>
  <c r="AC49" i="2"/>
  <c r="C39" i="61"/>
  <c r="AC48" i="2"/>
  <c r="C38" i="61"/>
  <c r="F30" i="62" s="1"/>
  <c r="H30" i="62" s="1"/>
  <c r="AC47" i="2"/>
  <c r="C37" i="61"/>
  <c r="AC46" i="2"/>
  <c r="C36" i="61"/>
  <c r="AC45" i="2"/>
  <c r="C35" i="61"/>
  <c r="AC44" i="2"/>
  <c r="C34" i="61"/>
  <c r="AC43" i="2"/>
  <c r="C33" i="61"/>
  <c r="F45" i="62" s="1"/>
  <c r="H45" i="62" s="1"/>
  <c r="AC42" i="2"/>
  <c r="C32" i="61"/>
  <c r="F14" i="62" s="1"/>
  <c r="H14" i="62" s="1"/>
  <c r="AC41" i="2"/>
  <c r="C31" i="61"/>
  <c r="AC40" i="2"/>
  <c r="C30" i="61"/>
  <c r="AC39" i="2"/>
  <c r="C29" i="61"/>
  <c r="AC38" i="2"/>
  <c r="C28" i="61"/>
  <c r="AC37" i="2"/>
  <c r="C27" i="61"/>
  <c r="AC36" i="2"/>
  <c r="C26" i="61"/>
  <c r="F49" i="62" s="1"/>
  <c r="H49" i="62" s="1"/>
  <c r="AC35" i="2"/>
  <c r="C25" i="61"/>
  <c r="F48" i="62" s="1"/>
  <c r="H48" i="62" s="1"/>
  <c r="AC34" i="2"/>
  <c r="C24" i="61"/>
  <c r="AC33" i="2"/>
  <c r="C23" i="61"/>
  <c r="AC32" i="2"/>
  <c r="C22" i="61"/>
  <c r="AC31" i="2"/>
  <c r="C21" i="61"/>
  <c r="F6" i="62" s="1"/>
  <c r="H6" i="62" s="1"/>
  <c r="AC30" i="2"/>
  <c r="C20" i="61"/>
  <c r="F12" i="62" s="1"/>
  <c r="H12" i="62" s="1"/>
  <c r="AC29" i="2"/>
  <c r="C19" i="61"/>
  <c r="AC28" i="2"/>
  <c r="C18" i="61"/>
  <c r="AC27" i="2"/>
  <c r="C17" i="61"/>
  <c r="AC26" i="2"/>
  <c r="C16" i="61"/>
  <c r="AC25" i="2"/>
  <c r="C15" i="61"/>
  <c r="F46" i="62" s="1"/>
  <c r="H46" i="62" s="1"/>
  <c r="AC24" i="2"/>
  <c r="C14" i="61"/>
  <c r="F41" i="62" s="1"/>
  <c r="H41" i="62" s="1"/>
  <c r="AC23" i="2"/>
  <c r="C13" i="61"/>
  <c r="F43" i="62" s="1"/>
  <c r="H43" i="62" s="1"/>
  <c r="AC22" i="2"/>
  <c r="C12" i="61"/>
  <c r="AC21" i="2"/>
  <c r="C11" i="61"/>
  <c r="AC20" i="2"/>
  <c r="C10" i="61"/>
  <c r="AC19" i="2"/>
  <c r="C9" i="61"/>
  <c r="F33" i="62" s="1"/>
  <c r="H33" i="62" s="1"/>
  <c r="AC18" i="2"/>
  <c r="C8" i="61"/>
  <c r="F21" i="62" s="1"/>
  <c r="H21" i="62" s="1"/>
  <c r="AC17" i="2"/>
  <c r="C7" i="61"/>
  <c r="F31" i="62" s="1"/>
  <c r="H31" i="62" s="1"/>
  <c r="AC16" i="2"/>
  <c r="C6" i="61"/>
  <c r="AC15" i="2"/>
  <c r="C5" i="61"/>
  <c r="F27" i="62" s="1"/>
  <c r="H27" i="62" s="1"/>
  <c r="AC14" i="2"/>
  <c r="C4" i="61"/>
  <c r="AC13" i="2"/>
  <c r="H13" i="2"/>
  <c r="I13" i="2" s="1"/>
  <c r="AK167" i="2"/>
  <c r="AB11" i="2"/>
  <c r="C25" i="49"/>
  <c r="C24" i="49"/>
  <c r="E24" i="49" s="1"/>
  <c r="C23" i="49"/>
  <c r="C22" i="49"/>
  <c r="C21" i="49"/>
  <c r="E21" i="49" s="1"/>
  <c r="C20" i="49"/>
  <c r="E20" i="49" s="1"/>
  <c r="C19" i="49"/>
  <c r="E19" i="49" s="1"/>
  <c r="C18" i="49"/>
  <c r="E18" i="49" s="1"/>
  <c r="B17" i="49"/>
  <c r="D17" i="49" s="1"/>
  <c r="M21" i="44"/>
  <c r="O21" i="44"/>
  <c r="O20" i="44"/>
  <c r="M20" i="44"/>
  <c r="N20" i="44" s="1"/>
  <c r="O19" i="44"/>
  <c r="M19" i="44"/>
  <c r="N19" i="44" s="1"/>
  <c r="O18" i="44"/>
  <c r="M18" i="44"/>
  <c r="O17" i="44"/>
  <c r="M17" i="44"/>
  <c r="O16" i="44"/>
  <c r="M16" i="44"/>
  <c r="N16" i="44" s="1"/>
  <c r="O15" i="44"/>
  <c r="M15" i="44"/>
  <c r="N15" i="44" s="1"/>
  <c r="O14" i="44"/>
  <c r="M14" i="44"/>
  <c r="N14" i="44" s="1"/>
  <c r="K13" i="44"/>
  <c r="F51" i="62"/>
  <c r="H51" i="62" s="1"/>
  <c r="F42" i="62"/>
  <c r="H42" i="62" s="1"/>
  <c r="F39" i="62"/>
  <c r="H39" i="62" s="1"/>
  <c r="F36" i="62"/>
  <c r="H36" i="62" s="1"/>
  <c r="F24" i="62"/>
  <c r="H24" i="62" s="1"/>
  <c r="F18" i="62"/>
  <c r="H18" i="62" s="1"/>
  <c r="D51" i="62"/>
  <c r="D48" i="62"/>
  <c r="D45" i="62"/>
  <c r="D42" i="62"/>
  <c r="D39" i="62"/>
  <c r="D36" i="62"/>
  <c r="D33" i="62"/>
  <c r="D30" i="62"/>
  <c r="D27" i="62"/>
  <c r="D24" i="62"/>
  <c r="D21" i="62"/>
  <c r="D18" i="62"/>
  <c r="D15" i="62"/>
  <c r="F40" i="62"/>
  <c r="H40" i="62" s="1"/>
  <c r="F37" i="62"/>
  <c r="H37" i="62" s="1"/>
  <c r="F34" i="62"/>
  <c r="H34" i="62" s="1"/>
  <c r="D22" i="62"/>
  <c r="D25" i="62"/>
  <c r="C3" i="61"/>
  <c r="F38" i="62" s="1"/>
  <c r="H38" i="62" s="1"/>
  <c r="D28" i="62"/>
  <c r="E3" i="61"/>
  <c r="D31" i="62"/>
  <c r="D3" i="61"/>
  <c r="D34" i="62"/>
  <c r="D37" i="62"/>
  <c r="D40" i="62"/>
  <c r="D43" i="62"/>
  <c r="D46" i="62"/>
  <c r="D49" i="62"/>
  <c r="D16" i="62"/>
  <c r="D13" i="62"/>
  <c r="D10" i="62"/>
  <c r="D7" i="62"/>
  <c r="D4" i="62"/>
  <c r="D19" i="62"/>
  <c r="F4" i="62"/>
  <c r="H4" i="62" s="1"/>
  <c r="D9" i="62"/>
  <c r="D47" i="62"/>
  <c r="F10" i="62"/>
  <c r="H10" i="62" s="1"/>
  <c r="F13" i="62"/>
  <c r="H13" i="62" s="1"/>
  <c r="F16" i="62"/>
  <c r="H16" i="62" s="1"/>
  <c r="D23" i="62"/>
  <c r="F19" i="62"/>
  <c r="H19" i="62" s="1"/>
  <c r="D26" i="62"/>
  <c r="D8" i="62"/>
  <c r="F9" i="62"/>
  <c r="H9" i="62" s="1"/>
  <c r="F11" i="62"/>
  <c r="H11" i="62" s="1"/>
  <c r="D20" i="62"/>
  <c r="F20" i="62"/>
  <c r="H20" i="62" s="1"/>
  <c r="D11" i="62"/>
  <c r="F44" i="62"/>
  <c r="H44" i="62" s="1"/>
  <c r="F22" i="62"/>
  <c r="H22" i="62" s="1"/>
  <c r="D29" i="62"/>
  <c r="F28" i="62"/>
  <c r="H28" i="62" s="1"/>
  <c r="D35" i="62"/>
  <c r="F23" i="62"/>
  <c r="H23" i="62" s="1"/>
  <c r="D14" i="62"/>
  <c r="F26" i="62"/>
  <c r="H26" i="62" s="1"/>
  <c r="D32" i="62"/>
  <c r="F50" i="62"/>
  <c r="H50" i="62" s="1"/>
  <c r="D38" i="62"/>
  <c r="F35" i="62"/>
  <c r="H35" i="62" s="1"/>
  <c r="F29" i="62"/>
  <c r="H29" i="62" s="1"/>
  <c r="D6" i="62"/>
  <c r="D12" i="62"/>
  <c r="F32" i="62"/>
  <c r="H32" i="62" s="1"/>
  <c r="F5" i="62"/>
  <c r="H5" i="62" s="1"/>
  <c r="F17" i="62"/>
  <c r="H17" i="62" s="1"/>
  <c r="F47" i="62"/>
  <c r="H47" i="62" s="1"/>
  <c r="F2" i="62"/>
  <c r="H2" i="62" s="1"/>
  <c r="D44" i="62"/>
  <c r="F7" i="62"/>
  <c r="H7" i="62" s="1"/>
  <c r="D50" i="62"/>
  <c r="D17" i="62"/>
  <c r="D5" i="62"/>
  <c r="D3" i="62"/>
  <c r="D41" i="62"/>
  <c r="D2" i="62"/>
  <c r="F8" i="62"/>
  <c r="H8" i="62" s="1"/>
  <c r="F3" i="62"/>
  <c r="H3" i="62" s="1"/>
  <c r="D710" i="11"/>
  <c r="N709" i="11"/>
  <c r="X709" i="11" s="1"/>
  <c r="AB42" i="2"/>
  <c r="AB49" i="2"/>
  <c r="AB34" i="2"/>
  <c r="AB55" i="2"/>
  <c r="AB35" i="2"/>
  <c r="AB37" i="2"/>
  <c r="AB33" i="2"/>
  <c r="L13" i="44"/>
  <c r="AB13" i="2"/>
  <c r="AB14" i="2"/>
  <c r="AB15" i="2"/>
  <c r="AB16" i="2"/>
  <c r="AB17" i="2"/>
  <c r="AB18" i="2"/>
  <c r="AB19" i="2"/>
  <c r="AB20" i="2"/>
  <c r="AB21" i="2"/>
  <c r="AB22" i="2"/>
  <c r="AB38" i="2"/>
  <c r="AB40" i="2"/>
  <c r="AB46" i="2"/>
  <c r="AB47" i="2"/>
  <c r="AB48" i="2"/>
  <c r="AB50" i="2"/>
  <c r="AB51" i="2"/>
  <c r="AB52" i="2"/>
  <c r="AB53" i="2"/>
  <c r="AB54" i="2"/>
  <c r="AB56" i="2"/>
  <c r="AB57" i="2"/>
  <c r="AB59" i="2"/>
  <c r="AB60" i="2"/>
  <c r="AB61" i="2"/>
  <c r="AB62" i="2"/>
  <c r="AB63" i="2"/>
  <c r="AB36" i="2"/>
  <c r="AB39" i="2"/>
  <c r="AB23" i="2"/>
  <c r="AB24" i="2"/>
  <c r="AB25" i="2"/>
  <c r="AB26" i="2"/>
  <c r="AB27" i="2"/>
  <c r="AB43" i="2"/>
  <c r="AB44" i="2"/>
  <c r="AB45" i="2"/>
  <c r="AB28" i="2"/>
  <c r="AB29" i="2"/>
  <c r="AB30" i="2"/>
  <c r="AB31" i="2"/>
  <c r="AB32" i="2"/>
  <c r="AB41" i="2"/>
  <c r="AB58" i="2"/>
  <c r="J709" i="11"/>
  <c r="E22" i="49" l="1"/>
  <c r="N17" i="44"/>
  <c r="P17" i="44" s="1"/>
  <c r="N18" i="44"/>
  <c r="P18" i="44" s="1"/>
  <c r="N21" i="44"/>
  <c r="P21" i="44" s="1"/>
  <c r="E25" i="49"/>
  <c r="P15" i="44"/>
  <c r="P14" i="44"/>
  <c r="P20" i="44"/>
  <c r="R709" i="11"/>
  <c r="T709" i="11" s="1"/>
  <c r="P16" i="44"/>
  <c r="C17" i="49"/>
  <c r="E17" i="49" s="1"/>
  <c r="E34" i="49" s="1"/>
  <c r="P19" i="44"/>
  <c r="C13" i="48"/>
  <c r="E23" i="49"/>
  <c r="O13" i="44"/>
  <c r="O22" i="44" s="1"/>
  <c r="O23" i="44" s="1"/>
  <c r="M13" i="44"/>
  <c r="N13" i="44" s="1"/>
  <c r="E709" i="11"/>
  <c r="I709" i="11" s="1"/>
  <c r="AA709" i="11" l="1"/>
  <c r="C64" i="49"/>
  <c r="B13" i="17"/>
  <c r="P13" i="44"/>
  <c r="P22" i="44" s="1"/>
  <c r="P23" i="44" s="1"/>
  <c r="D709" i="11"/>
  <c r="F709" i="11" s="1"/>
  <c r="R708" i="11"/>
  <c r="T708" i="11" s="1"/>
  <c r="N708" i="11"/>
  <c r="X708" i="11" s="1"/>
  <c r="J708" i="11"/>
  <c r="Z709" i="11" l="1"/>
  <c r="AB709" i="11"/>
  <c r="E708" i="11"/>
  <c r="I708" i="11" s="1"/>
  <c r="AA708" i="11" l="1"/>
  <c r="AF709" i="11"/>
  <c r="AE709" i="11"/>
  <c r="AD709" i="11"/>
  <c r="AC709" i="11"/>
  <c r="D708" i="11"/>
  <c r="F708" i="11" s="1"/>
  <c r="N707" i="11"/>
  <c r="X707" i="11" s="1"/>
  <c r="J707" i="11"/>
  <c r="R707" i="11" l="1"/>
  <c r="T707" i="11" s="1"/>
  <c r="AB708" i="11"/>
  <c r="Z708" i="11"/>
  <c r="E707" i="11"/>
  <c r="I707" i="11" s="1"/>
  <c r="AA707" i="11" l="1"/>
  <c r="AF708" i="11"/>
  <c r="AE708" i="11"/>
  <c r="AD708" i="11"/>
  <c r="AC708" i="11"/>
  <c r="D707" i="11"/>
  <c r="F707" i="11" s="1"/>
  <c r="N706" i="11"/>
  <c r="X706" i="11" s="1"/>
  <c r="J706" i="11"/>
  <c r="R706" i="11" l="1"/>
  <c r="T706" i="11" s="1"/>
  <c r="Z707" i="11"/>
  <c r="AB707" i="11"/>
  <c r="E706" i="11"/>
  <c r="I706" i="11" s="1"/>
  <c r="AA706" i="11" l="1"/>
  <c r="AF707" i="11"/>
  <c r="AD707" i="11"/>
  <c r="AC707" i="11"/>
  <c r="AE707" i="11"/>
  <c r="D706" i="11"/>
  <c r="F706" i="11" s="1"/>
  <c r="N705" i="11"/>
  <c r="X705" i="11" s="1"/>
  <c r="J705" i="11"/>
  <c r="R705" i="11" l="1"/>
  <c r="T705" i="11" s="1"/>
  <c r="Z706" i="11"/>
  <c r="AB706" i="11"/>
  <c r="E705" i="11"/>
  <c r="I705" i="11" s="1"/>
  <c r="AA705" i="11" l="1"/>
  <c r="AF706" i="11"/>
  <c r="AE706" i="11"/>
  <c r="AD706" i="11"/>
  <c r="AC706" i="11"/>
  <c r="D705" i="11"/>
  <c r="F705" i="11" s="1"/>
  <c r="N704" i="11"/>
  <c r="X704" i="11" s="1"/>
  <c r="J704" i="11"/>
  <c r="R704" i="11" l="1"/>
  <c r="T704" i="11" s="1"/>
  <c r="Z705" i="11"/>
  <c r="AB705" i="11"/>
  <c r="E704" i="11"/>
  <c r="I704" i="11" s="1"/>
  <c r="AA704" i="11" l="1"/>
  <c r="AE705" i="11"/>
  <c r="AF705" i="11"/>
  <c r="AC705" i="11"/>
  <c r="AD705" i="11"/>
  <c r="D704" i="11"/>
  <c r="F704" i="11" s="1"/>
  <c r="N703" i="11"/>
  <c r="X703" i="11" s="1"/>
  <c r="J703" i="11"/>
  <c r="R703" i="11" l="1"/>
  <c r="T703" i="11" s="1"/>
  <c r="Z704" i="11"/>
  <c r="AB704" i="11"/>
  <c r="E703" i="11"/>
  <c r="I703" i="11" s="1"/>
  <c r="AA703" i="11" l="1"/>
  <c r="AE704" i="11"/>
  <c r="AC704" i="11"/>
  <c r="AF704" i="11"/>
  <c r="AD704" i="11"/>
  <c r="D703" i="11"/>
  <c r="F703" i="11" s="1"/>
  <c r="N702" i="11"/>
  <c r="X702" i="11" s="1"/>
  <c r="J702" i="11"/>
  <c r="R702" i="11" l="1"/>
  <c r="T702" i="11" s="1"/>
  <c r="Z703" i="11"/>
  <c r="AB703" i="11"/>
  <c r="E702" i="11"/>
  <c r="I702" i="11" s="1"/>
  <c r="AA702" i="11" l="1"/>
  <c r="AF703" i="11"/>
  <c r="AD703" i="11"/>
  <c r="AC703" i="11"/>
  <c r="AE703" i="11"/>
  <c r="D702" i="11"/>
  <c r="F702" i="11" s="1"/>
  <c r="N701" i="11"/>
  <c r="X701" i="11" s="1"/>
  <c r="J701" i="11"/>
  <c r="R701" i="11" l="1"/>
  <c r="T701" i="11" s="1"/>
  <c r="Z702" i="11"/>
  <c r="AB702" i="11"/>
  <c r="E701" i="11"/>
  <c r="I701" i="11" s="1"/>
  <c r="AA701" i="11" l="1"/>
  <c r="AC702" i="11"/>
  <c r="AF702" i="11"/>
  <c r="AE702" i="11"/>
  <c r="AD702" i="11"/>
  <c r="D701" i="11"/>
  <c r="F701" i="11" s="1"/>
  <c r="N700" i="11"/>
  <c r="X700" i="11" s="1"/>
  <c r="J700" i="11"/>
  <c r="R700" i="11" l="1"/>
  <c r="T700" i="11" s="1"/>
  <c r="Z701" i="11"/>
  <c r="AB701" i="11"/>
  <c r="E700" i="11"/>
  <c r="I700" i="11" s="1"/>
  <c r="AA700" i="11" l="1"/>
  <c r="AF701" i="11"/>
  <c r="AD701" i="11"/>
  <c r="AC701" i="11"/>
  <c r="AE701" i="11"/>
  <c r="D700" i="11"/>
  <c r="F700" i="11" s="1"/>
  <c r="N699" i="11"/>
  <c r="X699" i="11" s="1"/>
  <c r="J699" i="11"/>
  <c r="R699" i="11" l="1"/>
  <c r="T699" i="11" s="1"/>
  <c r="Z700" i="11"/>
  <c r="AB700" i="11"/>
  <c r="E699" i="11"/>
  <c r="I699" i="11" s="1"/>
  <c r="AA699" i="11" l="1"/>
  <c r="AC700" i="11"/>
  <c r="AF700" i="11"/>
  <c r="AE700" i="11"/>
  <c r="AD700" i="11"/>
  <c r="D699" i="11"/>
  <c r="F699" i="11" s="1"/>
  <c r="N698" i="11"/>
  <c r="X698" i="11" s="1"/>
  <c r="J698" i="11"/>
  <c r="R698" i="11" l="1"/>
  <c r="T698" i="11" s="1"/>
  <c r="Z699" i="11"/>
  <c r="AB699" i="11"/>
  <c r="E698" i="11"/>
  <c r="I698" i="11" s="1"/>
  <c r="AA698" i="11" l="1"/>
  <c r="AD699" i="11"/>
  <c r="AF699" i="11"/>
  <c r="AE699" i="11"/>
  <c r="AC699" i="11"/>
  <c r="D698" i="11"/>
  <c r="F698" i="11" s="1"/>
  <c r="N697" i="11"/>
  <c r="X697" i="11" s="1"/>
  <c r="J697" i="11"/>
  <c r="R697" i="11" l="1"/>
  <c r="T697" i="11" s="1"/>
  <c r="Z698" i="11"/>
  <c r="AB698" i="11"/>
  <c r="E697" i="11"/>
  <c r="I697" i="11" s="1"/>
  <c r="AA697" i="11" l="1"/>
  <c r="AD698" i="11"/>
  <c r="AF698" i="11"/>
  <c r="AE698" i="11"/>
  <c r="AC698" i="11"/>
  <c r="D697" i="11"/>
  <c r="F697" i="11" s="1"/>
  <c r="N696" i="11"/>
  <c r="X696" i="11" s="1"/>
  <c r="J696" i="11"/>
  <c r="R696" i="11" l="1"/>
  <c r="T696" i="11" s="1"/>
  <c r="Z697" i="11"/>
  <c r="AB697" i="11"/>
  <c r="E696" i="11"/>
  <c r="I696" i="11" s="1"/>
  <c r="AA696" i="11" l="1"/>
  <c r="AE697" i="11"/>
  <c r="AC697" i="11"/>
  <c r="AF697" i="11"/>
  <c r="AD697" i="11"/>
  <c r="D696" i="11"/>
  <c r="F696" i="11" s="1"/>
  <c r="N695" i="11"/>
  <c r="X695" i="11" s="1"/>
  <c r="J695" i="11"/>
  <c r="R695" i="11" l="1"/>
  <c r="T695" i="11" s="1"/>
  <c r="Z696" i="11"/>
  <c r="AB696" i="11"/>
  <c r="E695" i="11"/>
  <c r="I695" i="11" s="1"/>
  <c r="AA695" i="11" l="1"/>
  <c r="AF696" i="11"/>
  <c r="AE696" i="11"/>
  <c r="AD696" i="11"/>
  <c r="AC696" i="11"/>
  <c r="D695" i="11"/>
  <c r="F695" i="11" s="1"/>
  <c r="N694" i="11"/>
  <c r="X694" i="11" s="1"/>
  <c r="J694" i="11"/>
  <c r="R694" i="11" l="1"/>
  <c r="T694" i="11" s="1"/>
  <c r="Z695" i="11"/>
  <c r="AB695" i="11"/>
  <c r="E694" i="11"/>
  <c r="I694" i="11" s="1"/>
  <c r="AA694" i="11" l="1"/>
  <c r="AF695" i="11"/>
  <c r="AE695" i="11"/>
  <c r="AD695" i="11"/>
  <c r="AC695" i="11"/>
  <c r="D694" i="11"/>
  <c r="F694" i="11" s="1"/>
  <c r="N693" i="11"/>
  <c r="X693" i="11" s="1"/>
  <c r="J693" i="11"/>
  <c r="R693" i="11" l="1"/>
  <c r="T693" i="11" s="1"/>
  <c r="Z694" i="11"/>
  <c r="AB694" i="11"/>
  <c r="E693" i="11"/>
  <c r="I693" i="11" s="1"/>
  <c r="AA693" i="11" l="1"/>
  <c r="AE694" i="11"/>
  <c r="AC694" i="11"/>
  <c r="AF694" i="11"/>
  <c r="AD694" i="11"/>
  <c r="D693" i="11"/>
  <c r="F693" i="11" s="1"/>
  <c r="N692" i="11"/>
  <c r="X692" i="11" s="1"/>
  <c r="J692" i="11"/>
  <c r="R692" i="11" l="1"/>
  <c r="T692" i="11" s="1"/>
  <c r="Z693" i="11"/>
  <c r="AB693" i="11"/>
  <c r="E692" i="11"/>
  <c r="I692" i="11" s="1"/>
  <c r="AA692" i="11" l="1"/>
  <c r="AC693" i="11"/>
  <c r="AF693" i="11"/>
  <c r="AE693" i="11"/>
  <c r="AD693" i="11"/>
  <c r="D692" i="11"/>
  <c r="F692" i="11" s="1"/>
  <c r="N691" i="11"/>
  <c r="R691" i="11" s="1"/>
  <c r="T691" i="11" s="1"/>
  <c r="J691" i="11"/>
  <c r="X691" i="11" l="1"/>
  <c r="Z692" i="11"/>
  <c r="AB692" i="11"/>
  <c r="E691" i="11"/>
  <c r="I691" i="11" s="1"/>
  <c r="AA691" i="11" l="1"/>
  <c r="AF692" i="11"/>
  <c r="AE692" i="11"/>
  <c r="AD692" i="11"/>
  <c r="AC692" i="11"/>
  <c r="D691" i="11"/>
  <c r="F691" i="11" s="1"/>
  <c r="N690" i="11"/>
  <c r="X690" i="11" s="1"/>
  <c r="J690" i="11"/>
  <c r="AB691" i="11" l="1"/>
  <c r="Z691" i="11"/>
  <c r="R690" i="11"/>
  <c r="T690" i="11" s="1"/>
  <c r="E690" i="11"/>
  <c r="I690" i="11" s="1"/>
  <c r="AA690" i="11" l="1"/>
  <c r="AE691" i="11"/>
  <c r="AD691" i="11"/>
  <c r="AC691" i="11"/>
  <c r="AF691" i="11"/>
  <c r="D690" i="11"/>
  <c r="F690" i="11" s="1"/>
  <c r="N689" i="11"/>
  <c r="R689" i="11" s="1"/>
  <c r="T689" i="11" s="1"/>
  <c r="J689" i="11"/>
  <c r="X689" i="11" l="1"/>
  <c r="AB690" i="11"/>
  <c r="Z690" i="11"/>
  <c r="E689" i="11"/>
  <c r="I689" i="11" s="1"/>
  <c r="AA689" i="11" l="1"/>
  <c r="AF690" i="11"/>
  <c r="AE690" i="11"/>
  <c r="AD690" i="11"/>
  <c r="AC690" i="11"/>
  <c r="D689" i="11"/>
  <c r="F689" i="11" s="1"/>
  <c r="N688" i="11"/>
  <c r="X688" i="11" s="1"/>
  <c r="J688" i="11"/>
  <c r="Z689" i="11" l="1"/>
  <c r="AB689" i="11"/>
  <c r="R688" i="11"/>
  <c r="T688" i="11" s="1"/>
  <c r="E688" i="11"/>
  <c r="I688" i="11" s="1"/>
  <c r="AA688" i="11" l="1"/>
  <c r="AF689" i="11"/>
  <c r="AE689" i="11"/>
  <c r="AD689" i="11"/>
  <c r="AC689" i="11"/>
  <c r="D688" i="11"/>
  <c r="F688" i="11" s="1"/>
  <c r="N687" i="11"/>
  <c r="X687" i="11" s="1"/>
  <c r="J687" i="11"/>
  <c r="AB688" i="11" l="1"/>
  <c r="Z688" i="11"/>
  <c r="R687" i="11"/>
  <c r="T687" i="11" s="1"/>
  <c r="E687" i="11"/>
  <c r="I687" i="11" s="1"/>
  <c r="AA687" i="11" l="1"/>
  <c r="AF688" i="11"/>
  <c r="AE688" i="11"/>
  <c r="AD688" i="11"/>
  <c r="AC688" i="11"/>
  <c r="D687" i="11"/>
  <c r="F687" i="11" s="1"/>
  <c r="R686" i="11"/>
  <c r="T686" i="11" s="1"/>
  <c r="N686" i="11"/>
  <c r="X686" i="11" s="1"/>
  <c r="J686" i="11"/>
  <c r="AB687" i="11" l="1"/>
  <c r="Z687" i="11"/>
  <c r="E686" i="11"/>
  <c r="I686" i="11" s="1"/>
  <c r="AA686" i="11" l="1"/>
  <c r="AF687" i="11"/>
  <c r="AE687" i="11"/>
  <c r="AD687" i="11"/>
  <c r="AC687" i="11"/>
  <c r="D686" i="11"/>
  <c r="F686" i="11" s="1"/>
  <c r="N685" i="11"/>
  <c r="X685" i="11" s="1"/>
  <c r="J685" i="11"/>
  <c r="R685" i="11" l="1"/>
  <c r="T685" i="11" s="1"/>
  <c r="AB686" i="11"/>
  <c r="Z686" i="11"/>
  <c r="E685" i="11"/>
  <c r="I685" i="11" s="1"/>
  <c r="AA685" i="11" l="1"/>
  <c r="AF686" i="11"/>
  <c r="AE686" i="11"/>
  <c r="AD686" i="11"/>
  <c r="AC686" i="11"/>
  <c r="D685" i="11"/>
  <c r="F685" i="11" s="1"/>
  <c r="N684" i="11"/>
  <c r="X684" i="11" s="1"/>
  <c r="J684" i="11"/>
  <c r="Z685" i="11" l="1"/>
  <c r="AB685" i="11"/>
  <c r="R684" i="11"/>
  <c r="T684" i="11" s="1"/>
  <c r="E684" i="11"/>
  <c r="I684" i="11" s="1"/>
  <c r="AA684" i="11" l="1"/>
  <c r="AN685" i="11"/>
  <c r="AE685" i="11"/>
  <c r="AD685" i="11"/>
  <c r="AC685" i="11"/>
  <c r="AF685" i="11"/>
  <c r="D684" i="11"/>
  <c r="F684" i="11" s="1"/>
  <c r="N683" i="11"/>
  <c r="X683" i="11" s="1"/>
  <c r="J683" i="11"/>
  <c r="R683" i="11" l="1"/>
  <c r="T683" i="11" s="1"/>
  <c r="Z684" i="11"/>
  <c r="AB684" i="11"/>
  <c r="E683" i="11"/>
  <c r="I683" i="11" s="1"/>
  <c r="AA683" i="11" l="1"/>
  <c r="AN684" i="11"/>
  <c r="AF684" i="11"/>
  <c r="AE684" i="11"/>
  <c r="AC684" i="11"/>
  <c r="AD684" i="11"/>
  <c r="D683" i="11"/>
  <c r="F683" i="11" s="1"/>
  <c r="X682" i="11"/>
  <c r="R682" i="11"/>
  <c r="T682" i="11" s="1"/>
  <c r="N682" i="11"/>
  <c r="J682" i="11"/>
  <c r="AB683" i="11" l="1"/>
  <c r="Z683" i="11"/>
  <c r="E682" i="11"/>
  <c r="I682" i="11" s="1"/>
  <c r="AA682" i="11" l="1"/>
  <c r="AN683" i="11"/>
  <c r="AF683" i="11"/>
  <c r="AE683" i="11"/>
  <c r="AD683" i="11"/>
  <c r="AC683" i="11"/>
  <c r="D682" i="11"/>
  <c r="F682" i="11" s="1"/>
  <c r="N681" i="11"/>
  <c r="X681" i="11" s="1"/>
  <c r="J681" i="11"/>
  <c r="AB682" i="11" l="1"/>
  <c r="Z682" i="11"/>
  <c r="R681" i="11"/>
  <c r="T681" i="11" s="1"/>
  <c r="E681" i="11"/>
  <c r="I681" i="11" s="1"/>
  <c r="AA681" i="11" l="1"/>
  <c r="AN682" i="11"/>
  <c r="AF682" i="11"/>
  <c r="AE682" i="11"/>
  <c r="AD682" i="11"/>
  <c r="AC682" i="11"/>
  <c r="D681" i="11"/>
  <c r="F681" i="11" s="1"/>
  <c r="N680" i="11"/>
  <c r="X680" i="11" s="1"/>
  <c r="J680" i="11"/>
  <c r="Z681" i="11" l="1"/>
  <c r="AB681" i="11"/>
  <c r="R680" i="11"/>
  <c r="T680" i="11" s="1"/>
  <c r="E680" i="11"/>
  <c r="I680" i="11" s="1"/>
  <c r="AA680" i="11" l="1"/>
  <c r="AN681" i="11"/>
  <c r="AE681" i="11"/>
  <c r="AD681" i="11"/>
  <c r="AC681" i="11"/>
  <c r="AF681" i="11"/>
  <c r="D680" i="11"/>
  <c r="F680" i="11" s="1"/>
  <c r="N679" i="11"/>
  <c r="R679" i="11" s="1"/>
  <c r="T679" i="11" s="1"/>
  <c r="J679" i="11"/>
  <c r="X679" i="11" l="1"/>
  <c r="Z680" i="11"/>
  <c r="AB680" i="11"/>
  <c r="E679" i="11"/>
  <c r="I679" i="11" s="1"/>
  <c r="AA679" i="11" l="1"/>
  <c r="AN680" i="11"/>
  <c r="AF680" i="11"/>
  <c r="AE680" i="11"/>
  <c r="AD680" i="11"/>
  <c r="AC680" i="11"/>
  <c r="D679" i="11"/>
  <c r="F679" i="11" s="1"/>
  <c r="N678" i="11"/>
  <c r="X678" i="11" s="1"/>
  <c r="J678" i="11"/>
  <c r="AB679" i="11" l="1"/>
  <c r="Z679" i="11"/>
  <c r="R678" i="11"/>
  <c r="T678" i="11" s="1"/>
  <c r="E678" i="11"/>
  <c r="I678" i="11" s="1"/>
  <c r="AA678" i="11" l="1"/>
  <c r="AN679" i="11"/>
  <c r="AE679" i="11"/>
  <c r="AD679" i="11"/>
  <c r="AF679" i="11"/>
  <c r="AC679" i="11"/>
  <c r="D678" i="11"/>
  <c r="F678" i="11" s="1"/>
  <c r="N677" i="11"/>
  <c r="X677" i="11" s="1"/>
  <c r="J677" i="11"/>
  <c r="AB678" i="11" l="1"/>
  <c r="Z678" i="11"/>
  <c r="R677" i="11"/>
  <c r="T677" i="11" s="1"/>
  <c r="E677" i="11"/>
  <c r="I677" i="11" s="1"/>
  <c r="AA677" i="11" l="1"/>
  <c r="AN678" i="11"/>
  <c r="AF678" i="11"/>
  <c r="AE678" i="11"/>
  <c r="AD678" i="11"/>
  <c r="AC678" i="11"/>
  <c r="D677" i="11"/>
  <c r="F677" i="11" s="1"/>
  <c r="R676" i="11"/>
  <c r="T676" i="11" s="1"/>
  <c r="N676" i="11"/>
  <c r="X676" i="11" s="1"/>
  <c r="J676" i="11"/>
  <c r="Z677" i="11" l="1"/>
  <c r="AB677" i="11"/>
  <c r="E676" i="11"/>
  <c r="I676" i="11" s="1"/>
  <c r="AA676" i="11" l="1"/>
  <c r="AN677" i="11"/>
  <c r="AF677" i="11"/>
  <c r="AE677" i="11"/>
  <c r="AD677" i="11"/>
  <c r="AC677" i="11"/>
  <c r="D676" i="11"/>
  <c r="F676" i="11" s="1"/>
  <c r="N675" i="11"/>
  <c r="X675" i="11" s="1"/>
  <c r="J675" i="11"/>
  <c r="R675" i="11" l="1"/>
  <c r="T675" i="11" s="1"/>
  <c r="AB676" i="11"/>
  <c r="Z676" i="11"/>
  <c r="E675" i="11"/>
  <c r="I675" i="11" s="1"/>
  <c r="AA675" i="11" l="1"/>
  <c r="AN676" i="11"/>
  <c r="AE676" i="11"/>
  <c r="AC676" i="11"/>
  <c r="AD676" i="11"/>
  <c r="AF676" i="11"/>
  <c r="D675" i="11"/>
  <c r="F675" i="11" s="1"/>
  <c r="N674" i="11"/>
  <c r="R674" i="11" s="1"/>
  <c r="T674" i="11" s="1"/>
  <c r="J674" i="11"/>
  <c r="X674" i="11" l="1"/>
  <c r="AB675" i="11"/>
  <c r="Z675" i="11"/>
  <c r="E674" i="11"/>
  <c r="I674" i="11" s="1"/>
  <c r="AA674" i="11" l="1"/>
  <c r="AN675" i="11"/>
  <c r="AF675" i="11"/>
  <c r="AE675" i="11"/>
  <c r="AD675" i="11"/>
  <c r="AC675" i="11"/>
  <c r="D674" i="11"/>
  <c r="F674" i="11" s="1"/>
  <c r="R673" i="11"/>
  <c r="T673" i="11" s="1"/>
  <c r="N673" i="11"/>
  <c r="X673" i="11" s="1"/>
  <c r="J673" i="11"/>
  <c r="AB674" i="11" l="1"/>
  <c r="Z674" i="11"/>
  <c r="E673" i="11"/>
  <c r="I673" i="11" s="1"/>
  <c r="AA673" i="11" l="1"/>
  <c r="AN674" i="11"/>
  <c r="AE674" i="11"/>
  <c r="AD674" i="11"/>
  <c r="AC674" i="11"/>
  <c r="AF674" i="11"/>
  <c r="D673" i="11"/>
  <c r="F673" i="11" s="1"/>
  <c r="N672" i="11"/>
  <c r="X672" i="11" s="1"/>
  <c r="J672" i="11"/>
  <c r="AB673" i="11" l="1"/>
  <c r="Z673" i="11"/>
  <c r="R672" i="11"/>
  <c r="T672" i="11" s="1"/>
  <c r="E672" i="11"/>
  <c r="I672" i="11" s="1"/>
  <c r="AA672" i="11" l="1"/>
  <c r="AN673" i="11"/>
  <c r="AF673" i="11"/>
  <c r="AE673" i="11"/>
  <c r="AD673" i="11"/>
  <c r="AC673" i="11"/>
  <c r="D672" i="11"/>
  <c r="F672" i="11" s="1"/>
  <c r="R671" i="11"/>
  <c r="T671" i="11" s="1"/>
  <c r="N671" i="11"/>
  <c r="X671" i="11" s="1"/>
  <c r="J671" i="11"/>
  <c r="Z672" i="11" l="1"/>
  <c r="AB672" i="11"/>
  <c r="E671" i="11"/>
  <c r="I671" i="11" s="1"/>
  <c r="AA671" i="11" l="1"/>
  <c r="AN672" i="11"/>
  <c r="AF672" i="11"/>
  <c r="AE672" i="11"/>
  <c r="AC672" i="11"/>
  <c r="AD672" i="11"/>
  <c r="D671" i="11"/>
  <c r="F671" i="11" s="1"/>
  <c r="R670" i="11"/>
  <c r="T670" i="11" s="1"/>
  <c r="N670" i="11"/>
  <c r="X670" i="11" s="1"/>
  <c r="J670" i="11"/>
  <c r="Z671" i="11" l="1"/>
  <c r="AB671" i="11"/>
  <c r="E670" i="11"/>
  <c r="I670" i="11" s="1"/>
  <c r="AA670" i="11" l="1"/>
  <c r="AN671" i="11"/>
  <c r="AF671" i="11"/>
  <c r="AE671" i="11"/>
  <c r="AC671" i="11"/>
  <c r="AD671" i="11"/>
  <c r="D670" i="11"/>
  <c r="F670" i="11" s="1"/>
  <c r="N669" i="11"/>
  <c r="X669" i="11" s="1"/>
  <c r="J669" i="11"/>
  <c r="R669" i="11" l="1"/>
  <c r="T669" i="11" s="1"/>
  <c r="AB670" i="11"/>
  <c r="Z670" i="11"/>
  <c r="E669" i="11"/>
  <c r="I669" i="11" s="1"/>
  <c r="AA669" i="11" l="1"/>
  <c r="AN670" i="11"/>
  <c r="AF670" i="11"/>
  <c r="AE670" i="11"/>
  <c r="AD670" i="11"/>
  <c r="AC670" i="11"/>
  <c r="D669" i="11"/>
  <c r="F669" i="11" s="1"/>
  <c r="N668" i="11"/>
  <c r="X668" i="11" s="1"/>
  <c r="J668" i="11"/>
  <c r="R668" i="11" l="1"/>
  <c r="T668" i="11" s="1"/>
  <c r="Z669" i="11"/>
  <c r="AB669" i="11"/>
  <c r="E668" i="11"/>
  <c r="I668" i="11" s="1"/>
  <c r="AA668" i="11" l="1"/>
  <c r="AN669" i="11"/>
  <c r="AF669" i="11"/>
  <c r="AE669" i="11"/>
  <c r="AD669" i="11"/>
  <c r="AC669" i="11"/>
  <c r="D668" i="11"/>
  <c r="F668" i="11" s="1"/>
  <c r="X667" i="11"/>
  <c r="N667" i="11"/>
  <c r="R667" i="11" s="1"/>
  <c r="T667" i="11" s="1"/>
  <c r="J667" i="11"/>
  <c r="AB668" i="11" l="1"/>
  <c r="Z668" i="11"/>
  <c r="E667" i="11"/>
  <c r="I667" i="11" s="1"/>
  <c r="AA667" i="11" l="1"/>
  <c r="AN668" i="11"/>
  <c r="AF668" i="11"/>
  <c r="AC668" i="11"/>
  <c r="AE668" i="11"/>
  <c r="AD668" i="11"/>
  <c r="D667" i="11"/>
  <c r="F667" i="11" s="1"/>
  <c r="N666" i="11"/>
  <c r="X666" i="11" s="1"/>
  <c r="J666" i="11"/>
  <c r="R666" i="11" l="1"/>
  <c r="T666" i="11" s="1"/>
  <c r="Z667" i="11"/>
  <c r="AB667" i="11"/>
  <c r="E666" i="11"/>
  <c r="I666" i="11" s="1"/>
  <c r="AA666" i="11" l="1"/>
  <c r="AN667" i="11"/>
  <c r="AF667" i="11"/>
  <c r="AE667" i="11"/>
  <c r="AD667" i="11"/>
  <c r="AC667" i="11"/>
  <c r="D666" i="11"/>
  <c r="F666" i="11" s="1"/>
  <c r="N665" i="11"/>
  <c r="X665" i="11" s="1"/>
  <c r="J665" i="11"/>
  <c r="R665" i="11" l="1"/>
  <c r="T665" i="11" s="1"/>
  <c r="Z666" i="11"/>
  <c r="AB666" i="11"/>
  <c r="E665" i="11"/>
  <c r="I665" i="11" s="1"/>
  <c r="AA665" i="11" l="1"/>
  <c r="AN666" i="11"/>
  <c r="AF666" i="11"/>
  <c r="AE666" i="11"/>
  <c r="AD666" i="11"/>
  <c r="AC666" i="11"/>
  <c r="D665" i="11"/>
  <c r="F665" i="11" s="1"/>
  <c r="R664" i="11"/>
  <c r="T664" i="11" s="1"/>
  <c r="N664" i="11"/>
  <c r="X664" i="11" s="1"/>
  <c r="J664" i="11"/>
  <c r="AB665" i="11" l="1"/>
  <c r="Z665" i="11"/>
  <c r="E664" i="11"/>
  <c r="I664" i="11" s="1"/>
  <c r="AA664" i="11" l="1"/>
  <c r="AD665" i="11"/>
  <c r="AC665" i="11"/>
  <c r="AN665" i="11"/>
  <c r="AF665" i="11"/>
  <c r="AE665" i="11"/>
  <c r="D664" i="11"/>
  <c r="F664" i="11" s="1"/>
  <c r="N663" i="11"/>
  <c r="X663" i="11" s="1"/>
  <c r="J663" i="11"/>
  <c r="R663" i="11" l="1"/>
  <c r="T663" i="11" s="1"/>
  <c r="AB664" i="11"/>
  <c r="Z664" i="11"/>
  <c r="E663" i="11"/>
  <c r="I663" i="11" s="1"/>
  <c r="AA663" i="11" l="1"/>
  <c r="AN664" i="11"/>
  <c r="AF664" i="11"/>
  <c r="AE664" i="11"/>
  <c r="AC664" i="11"/>
  <c r="AD664" i="11"/>
  <c r="D663" i="11"/>
  <c r="F663" i="11" s="1"/>
  <c r="N662" i="11"/>
  <c r="X662" i="11" s="1"/>
  <c r="J662" i="11"/>
  <c r="R662" i="11" l="1"/>
  <c r="T662" i="11" s="1"/>
  <c r="Z663" i="11"/>
  <c r="AB663" i="11"/>
  <c r="E662" i="11"/>
  <c r="I662" i="11" s="1"/>
  <c r="AA662" i="11" l="1"/>
  <c r="AN663" i="11"/>
  <c r="AF663" i="11"/>
  <c r="AD663" i="11"/>
  <c r="AE663" i="11"/>
  <c r="AC663" i="11"/>
  <c r="D662" i="11"/>
  <c r="F662" i="11" s="1"/>
  <c r="N661" i="11"/>
  <c r="X661" i="11" s="1"/>
  <c r="J661" i="11"/>
  <c r="R661" i="11" l="1"/>
  <c r="T661" i="11" s="1"/>
  <c r="AB662" i="11"/>
  <c r="Z662" i="11"/>
  <c r="E661" i="11"/>
  <c r="I661" i="11" s="1"/>
  <c r="AA661" i="11" l="1"/>
  <c r="AF662" i="11"/>
  <c r="AD662" i="11"/>
  <c r="AN662" i="11"/>
  <c r="AE662" i="11"/>
  <c r="AC662" i="11"/>
  <c r="D661" i="11"/>
  <c r="F661" i="11" s="1"/>
  <c r="N660" i="11"/>
  <c r="X660" i="11" s="1"/>
  <c r="J660" i="11"/>
  <c r="R660" i="11" l="1"/>
  <c r="T660" i="11" s="1"/>
  <c r="AB661" i="11"/>
  <c r="Z661" i="11"/>
  <c r="E660" i="11"/>
  <c r="I660" i="11" s="1"/>
  <c r="AA660" i="11" l="1"/>
  <c r="AF661" i="11"/>
  <c r="AD661" i="11"/>
  <c r="AN661" i="11"/>
  <c r="AE661" i="11"/>
  <c r="AC661" i="11"/>
  <c r="D660" i="11"/>
  <c r="F660" i="11" s="1"/>
  <c r="N659" i="11"/>
  <c r="X659" i="11" s="1"/>
  <c r="J659" i="11"/>
  <c r="R659" i="11" l="1"/>
  <c r="T659" i="11" s="1"/>
  <c r="AB660" i="11"/>
  <c r="Z660" i="11"/>
  <c r="E659" i="11"/>
  <c r="I659" i="11" s="1"/>
  <c r="AA659" i="11" l="1"/>
  <c r="AF660" i="11"/>
  <c r="AC660" i="11"/>
  <c r="AD660" i="11"/>
  <c r="AN660" i="11"/>
  <c r="AE660" i="11"/>
  <c r="D659" i="11"/>
  <c r="F659" i="11" s="1"/>
  <c r="N658" i="11"/>
  <c r="R658" i="11" s="1"/>
  <c r="T658" i="11" s="1"/>
  <c r="J658" i="11"/>
  <c r="X658" i="11" l="1"/>
  <c r="AB659" i="11"/>
  <c r="Z659" i="11"/>
  <c r="E658" i="11"/>
  <c r="I658" i="11" s="1"/>
  <c r="AA658" i="11" l="1"/>
  <c r="AN659" i="11"/>
  <c r="AE659" i="11"/>
  <c r="AD659" i="11"/>
  <c r="AC659" i="11"/>
  <c r="AF659" i="11"/>
  <c r="D658" i="11"/>
  <c r="F658" i="11" s="1"/>
  <c r="N657" i="11"/>
  <c r="X657" i="11" s="1"/>
  <c r="J657" i="11"/>
  <c r="R657" i="11" l="1"/>
  <c r="T657" i="11" s="1"/>
  <c r="AB658" i="11"/>
  <c r="Z658" i="11"/>
  <c r="E657" i="11"/>
  <c r="I657" i="11" s="1"/>
  <c r="AA657" i="11" l="1"/>
  <c r="AF658" i="11"/>
  <c r="AC658" i="11"/>
  <c r="AE658" i="11"/>
  <c r="AN658" i="11"/>
  <c r="AD658" i="11"/>
  <c r="D657" i="11"/>
  <c r="F657" i="11" s="1"/>
  <c r="N656" i="11"/>
  <c r="X656" i="11" s="1"/>
  <c r="J656" i="11"/>
  <c r="R656" i="11" l="1"/>
  <c r="T656" i="11" s="1"/>
  <c r="AB657" i="11"/>
  <c r="Z657" i="11"/>
  <c r="E656" i="11"/>
  <c r="I656" i="11" s="1"/>
  <c r="AA656" i="11" l="1"/>
  <c r="AN657" i="11"/>
  <c r="AF657" i="11"/>
  <c r="AD657" i="11"/>
  <c r="AC657" i="11"/>
  <c r="AE657" i="11"/>
  <c r="D656" i="11"/>
  <c r="F656" i="11" s="1"/>
  <c r="N655" i="11"/>
  <c r="X655" i="11" s="1"/>
  <c r="J655" i="11"/>
  <c r="R655" i="11" l="1"/>
  <c r="T655" i="11" s="1"/>
  <c r="AB656" i="11"/>
  <c r="Z656" i="11"/>
  <c r="E655" i="11"/>
  <c r="I655" i="11" s="1"/>
  <c r="AA655" i="11" l="1"/>
  <c r="AF656" i="11"/>
  <c r="AC656" i="11"/>
  <c r="AE656" i="11"/>
  <c r="AN656" i="11"/>
  <c r="AD656" i="11"/>
  <c r="D655" i="11"/>
  <c r="F655" i="11" s="1"/>
  <c r="N654" i="11"/>
  <c r="X654" i="11" s="1"/>
  <c r="J654" i="11"/>
  <c r="R654" i="11" l="1"/>
  <c r="T654" i="11" s="1"/>
  <c r="AB655" i="11"/>
  <c r="Z655" i="11"/>
  <c r="E654" i="11"/>
  <c r="I654" i="11" s="1"/>
  <c r="AA654" i="11" l="1"/>
  <c r="AF655" i="11"/>
  <c r="AD655" i="11"/>
  <c r="AN655" i="11"/>
  <c r="AC655" i="11"/>
  <c r="AE655" i="11"/>
  <c r="D654" i="11"/>
  <c r="F654" i="11" s="1"/>
  <c r="N653" i="11"/>
  <c r="X653" i="11" s="1"/>
  <c r="J653" i="11"/>
  <c r="R653" i="11" l="1"/>
  <c r="T653" i="11" s="1"/>
  <c r="AB654" i="11"/>
  <c r="Z654" i="11"/>
  <c r="E653" i="11"/>
  <c r="I653" i="11" s="1"/>
  <c r="AA653" i="11" l="1"/>
  <c r="AE654" i="11"/>
  <c r="AD654" i="11"/>
  <c r="AN654" i="11"/>
  <c r="AC654" i="11"/>
  <c r="AF654" i="11"/>
  <c r="D653" i="11"/>
  <c r="F653" i="11" s="1"/>
  <c r="N652" i="11"/>
  <c r="X652" i="11" s="1"/>
  <c r="J652" i="11"/>
  <c r="R652" i="11" l="1"/>
  <c r="T652" i="11" s="1"/>
  <c r="AB653" i="11"/>
  <c r="Z653" i="11"/>
  <c r="E652" i="11"/>
  <c r="I652" i="11" s="1"/>
  <c r="AA652" i="11" l="1"/>
  <c r="AE653" i="11"/>
  <c r="AC653" i="11"/>
  <c r="AF653" i="11"/>
  <c r="AD653" i="11"/>
  <c r="AN653" i="11"/>
  <c r="D652" i="11"/>
  <c r="F652" i="11" s="1"/>
  <c r="N651" i="11"/>
  <c r="R651" i="11" s="1"/>
  <c r="T651" i="11" s="1"/>
  <c r="J651" i="11"/>
  <c r="X651" i="11" l="1"/>
  <c r="AB652" i="11"/>
  <c r="Z652" i="11"/>
  <c r="E651" i="11"/>
  <c r="I651" i="11" s="1"/>
  <c r="AA651" i="11" l="1"/>
  <c r="AN652" i="11"/>
  <c r="AD652" i="11"/>
  <c r="AF652" i="11"/>
  <c r="AE652" i="11"/>
  <c r="AC652" i="11"/>
  <c r="D651" i="11"/>
  <c r="F651" i="11" s="1"/>
  <c r="N650" i="11"/>
  <c r="X650" i="11" s="1"/>
  <c r="J650" i="11"/>
  <c r="R650" i="11" l="1"/>
  <c r="T650" i="11" s="1"/>
  <c r="AB651" i="11"/>
  <c r="Z651" i="11"/>
  <c r="E650" i="11"/>
  <c r="I650" i="11" s="1"/>
  <c r="AA650" i="11" l="1"/>
  <c r="AN651" i="11"/>
  <c r="AE651" i="11"/>
  <c r="AF651" i="11"/>
  <c r="AC651" i="11"/>
  <c r="AD651" i="11"/>
  <c r="D650" i="11"/>
  <c r="F650" i="11" s="1"/>
  <c r="N649" i="11"/>
  <c r="X649" i="11" s="1"/>
  <c r="J649" i="11"/>
  <c r="AB650" i="11" l="1"/>
  <c r="Z650" i="11"/>
  <c r="R649" i="11"/>
  <c r="T649" i="11" s="1"/>
  <c r="E649" i="11"/>
  <c r="I649" i="11" s="1"/>
  <c r="AA649" i="11" l="1"/>
  <c r="AN650" i="11"/>
  <c r="AF650" i="11"/>
  <c r="AE650" i="11"/>
  <c r="AD650" i="11"/>
  <c r="AC650" i="11"/>
  <c r="D649" i="11"/>
  <c r="F649" i="11" s="1"/>
  <c r="N648" i="11"/>
  <c r="X648" i="11" s="1"/>
  <c r="J648" i="11"/>
  <c r="R648" i="11" l="1"/>
  <c r="T648" i="11" s="1"/>
  <c r="Z649" i="11"/>
  <c r="AB649" i="11"/>
  <c r="E648" i="11"/>
  <c r="I648" i="11" s="1"/>
  <c r="AA648" i="11" l="1"/>
  <c r="AF649" i="11"/>
  <c r="AN649" i="11"/>
  <c r="AE649" i="11"/>
  <c r="AD649" i="11"/>
  <c r="AC649" i="11"/>
  <c r="D648" i="11"/>
  <c r="F648" i="11" s="1"/>
  <c r="X647" i="11"/>
  <c r="N647" i="11"/>
  <c r="R647" i="11" s="1"/>
  <c r="T647" i="11" s="1"/>
  <c r="J647" i="11"/>
  <c r="Z648" i="11" l="1"/>
  <c r="AB648" i="11"/>
  <c r="E647" i="11"/>
  <c r="I647" i="11" s="1"/>
  <c r="AA647" i="11" l="1"/>
  <c r="AN648" i="11"/>
  <c r="AC648" i="11"/>
  <c r="AF648" i="11"/>
  <c r="AE648" i="11"/>
  <c r="AD648" i="11"/>
  <c r="D647" i="11"/>
  <c r="F647" i="11" s="1"/>
  <c r="N646" i="11"/>
  <c r="R646" i="11" s="1"/>
  <c r="T646" i="11" s="1"/>
  <c r="J646" i="11"/>
  <c r="X646" i="11" l="1"/>
  <c r="Z647" i="11"/>
  <c r="AB647" i="11"/>
  <c r="E646" i="11"/>
  <c r="I646" i="11" s="1"/>
  <c r="AA646" i="11" l="1"/>
  <c r="AN647" i="11"/>
  <c r="AF647" i="11"/>
  <c r="AE647" i="11"/>
  <c r="AD647" i="11"/>
  <c r="AC647" i="11"/>
  <c r="D646" i="11"/>
  <c r="F646" i="11" s="1"/>
  <c r="N645" i="11"/>
  <c r="X645" i="11" s="1"/>
  <c r="J645" i="11"/>
  <c r="R645" i="11" l="1"/>
  <c r="T645" i="11" s="1"/>
  <c r="AB646" i="11"/>
  <c r="Z646" i="11"/>
  <c r="E645" i="11"/>
  <c r="I645" i="11" s="1"/>
  <c r="AA645" i="11" l="1"/>
  <c r="AN646" i="11"/>
  <c r="AF646" i="11"/>
  <c r="AE646" i="11"/>
  <c r="AD646" i="11"/>
  <c r="AC646" i="11"/>
  <c r="D645" i="11"/>
  <c r="F645" i="11" s="1"/>
  <c r="N644" i="11"/>
  <c r="R644" i="11" s="1"/>
  <c r="T644" i="11" s="1"/>
  <c r="J644" i="11"/>
  <c r="X644" i="11" l="1"/>
  <c r="AB645" i="11"/>
  <c r="Z645" i="11"/>
  <c r="E644" i="11"/>
  <c r="I644" i="11" s="1"/>
  <c r="AA644" i="11" l="1"/>
  <c r="AN645" i="11"/>
  <c r="AF645" i="11"/>
  <c r="AE645" i="11"/>
  <c r="AD645" i="11"/>
  <c r="AC645" i="11"/>
  <c r="D644" i="11"/>
  <c r="F644" i="11" s="1"/>
  <c r="N643" i="11"/>
  <c r="X643" i="11" s="1"/>
  <c r="J643" i="11"/>
  <c r="R643" i="11" l="1"/>
  <c r="T643" i="11" s="1"/>
  <c r="AB644" i="11"/>
  <c r="Z644" i="11"/>
  <c r="E643" i="11"/>
  <c r="I643" i="11" s="1"/>
  <c r="AA643" i="11" l="1"/>
  <c r="AN644" i="11"/>
  <c r="AF644" i="11"/>
  <c r="AE644" i="11"/>
  <c r="AD644" i="11"/>
  <c r="AC644" i="11"/>
  <c r="D643" i="11"/>
  <c r="F643" i="11" s="1"/>
  <c r="N642" i="11"/>
  <c r="X642" i="11" s="1"/>
  <c r="J642" i="11"/>
  <c r="R642" i="11" l="1"/>
  <c r="T642" i="11" s="1"/>
  <c r="AB643" i="11"/>
  <c r="Z643" i="11"/>
  <c r="E642" i="11"/>
  <c r="I642" i="11" s="1"/>
  <c r="AA642" i="11" l="1"/>
  <c r="AN643" i="11"/>
  <c r="AE643" i="11"/>
  <c r="AF643" i="11"/>
  <c r="AC643" i="11"/>
  <c r="AD643" i="11"/>
  <c r="D642" i="11"/>
  <c r="F642" i="11" s="1"/>
  <c r="N641" i="11"/>
  <c r="X641" i="11" s="1"/>
  <c r="J641" i="11"/>
  <c r="R641" i="11" l="1"/>
  <c r="T641" i="11" s="1"/>
  <c r="AB642" i="11"/>
  <c r="Z642" i="11"/>
  <c r="E641" i="11"/>
  <c r="I641" i="11" s="1"/>
  <c r="AA641" i="11" l="1"/>
  <c r="AN642" i="11"/>
  <c r="AE642" i="11"/>
  <c r="AC642" i="11"/>
  <c r="AF642" i="11"/>
  <c r="AD642" i="11"/>
  <c r="D641" i="11"/>
  <c r="F641" i="11" s="1"/>
  <c r="N640" i="11"/>
  <c r="X640" i="11" s="1"/>
  <c r="J640" i="11"/>
  <c r="R640" i="11" l="1"/>
  <c r="T640" i="11" s="1"/>
  <c r="AB641" i="11"/>
  <c r="Z641" i="11"/>
  <c r="E640" i="11"/>
  <c r="I640" i="11" s="1"/>
  <c r="AA640" i="11" l="1"/>
  <c r="AE641" i="11"/>
  <c r="AC641" i="11"/>
  <c r="AN641" i="11"/>
  <c r="AD641" i="11"/>
  <c r="AF641" i="11"/>
  <c r="D640" i="11"/>
  <c r="F640" i="11" s="1"/>
  <c r="N639" i="11"/>
  <c r="R639" i="11" s="1"/>
  <c r="T639" i="11" s="1"/>
  <c r="J639" i="11"/>
  <c r="X639" i="11" l="1"/>
  <c r="AB640" i="11"/>
  <c r="Z640" i="11"/>
  <c r="E639" i="11"/>
  <c r="I639" i="11" s="1"/>
  <c r="AA639" i="11" l="1"/>
  <c r="AD640" i="11"/>
  <c r="AN640" i="11"/>
  <c r="AF640" i="11"/>
  <c r="AE640" i="11"/>
  <c r="AC640" i="11"/>
  <c r="D639" i="11"/>
  <c r="F639" i="11" s="1"/>
  <c r="N638" i="11"/>
  <c r="X638" i="11" s="1"/>
  <c r="J638" i="11"/>
  <c r="R638" i="11" l="1"/>
  <c r="T638" i="11" s="1"/>
  <c r="AB639" i="11"/>
  <c r="Z639" i="11"/>
  <c r="E638" i="11"/>
  <c r="I638" i="11" s="1"/>
  <c r="AA638" i="11" l="1"/>
  <c r="AF639" i="11"/>
  <c r="AE639" i="11"/>
  <c r="AD639" i="11"/>
  <c r="AN639" i="11"/>
  <c r="AC639" i="11"/>
  <c r="D638" i="11"/>
  <c r="F638" i="11" s="1"/>
  <c r="N637" i="11"/>
  <c r="X637" i="11" s="1"/>
  <c r="J637" i="11"/>
  <c r="AB638" i="11" l="1"/>
  <c r="Z638" i="11"/>
  <c r="R637" i="11"/>
  <c r="T637" i="11" s="1"/>
  <c r="E637" i="11"/>
  <c r="I637" i="11" s="1"/>
  <c r="AA637" i="11" l="1"/>
  <c r="AF638" i="11"/>
  <c r="AC638" i="11"/>
  <c r="AD638" i="11"/>
  <c r="AN638" i="11"/>
  <c r="AE638" i="11"/>
  <c r="D637" i="11"/>
  <c r="F637" i="11" s="1"/>
  <c r="N636" i="11"/>
  <c r="X636" i="11" s="1"/>
  <c r="J636" i="11"/>
  <c r="Z637" i="11" l="1"/>
  <c r="AB637" i="11"/>
  <c r="R636" i="11"/>
  <c r="T636" i="11" s="1"/>
  <c r="E636" i="11"/>
  <c r="I636" i="11" s="1"/>
  <c r="AA636" i="11" l="1"/>
  <c r="AD637" i="11"/>
  <c r="AE637" i="11"/>
  <c r="AC637" i="11"/>
  <c r="AN637" i="11"/>
  <c r="AF637" i="11"/>
  <c r="D636" i="11"/>
  <c r="F636" i="11" s="1"/>
  <c r="N635" i="11"/>
  <c r="X635" i="11" s="1"/>
  <c r="J635" i="11"/>
  <c r="R635" i="11" l="1"/>
  <c r="T635" i="11" s="1"/>
  <c r="Z636" i="11"/>
  <c r="AB636" i="11"/>
  <c r="E635" i="11"/>
  <c r="I635" i="11" s="1"/>
  <c r="AA635" i="11" l="1"/>
  <c r="AE636" i="11"/>
  <c r="AD636" i="11"/>
  <c r="AN636" i="11"/>
  <c r="AC636" i="11"/>
  <c r="AF636" i="11"/>
  <c r="D635" i="11"/>
  <c r="F635" i="11" s="1"/>
  <c r="N634" i="11"/>
  <c r="R634" i="11" s="1"/>
  <c r="T634" i="11" s="1"/>
  <c r="J634" i="11"/>
  <c r="X634" i="11" l="1"/>
  <c r="AB635" i="11"/>
  <c r="Z635" i="11"/>
  <c r="E634" i="11"/>
  <c r="I634" i="11" s="1"/>
  <c r="AA634" i="11" l="1"/>
  <c r="AE635" i="11"/>
  <c r="AC635" i="11"/>
  <c r="AD635" i="11"/>
  <c r="AN635" i="11"/>
  <c r="AF635" i="11"/>
  <c r="D634" i="11"/>
  <c r="F634" i="11" s="1"/>
  <c r="N633" i="11"/>
  <c r="X633" i="11" s="1"/>
  <c r="J633" i="11"/>
  <c r="R633" i="11" l="1"/>
  <c r="T633" i="11" s="1"/>
  <c r="Z634" i="11"/>
  <c r="AB634" i="11"/>
  <c r="E633" i="11"/>
  <c r="I633" i="11" s="1"/>
  <c r="AA633" i="11" l="1"/>
  <c r="AN634" i="11"/>
  <c r="AD634" i="11"/>
  <c r="AC634" i="11"/>
  <c r="AF634" i="11"/>
  <c r="AE634" i="11"/>
  <c r="D633" i="11"/>
  <c r="F633" i="11" s="1"/>
  <c r="N632" i="11"/>
  <c r="R632" i="11" s="1"/>
  <c r="T632" i="11" s="1"/>
  <c r="J632" i="11"/>
  <c r="X632" i="11" l="1"/>
  <c r="AB633" i="11"/>
  <c r="Z633" i="11"/>
  <c r="E632" i="11"/>
  <c r="I632" i="11" s="1"/>
  <c r="AA632" i="11" l="1"/>
  <c r="AN633" i="11"/>
  <c r="AE633" i="11"/>
  <c r="AC633" i="11"/>
  <c r="AF633" i="11"/>
  <c r="AD633" i="11"/>
  <c r="D632" i="11"/>
  <c r="F632" i="11" s="1"/>
  <c r="N631" i="11"/>
  <c r="X631" i="11" s="1"/>
  <c r="J631" i="11"/>
  <c r="R631" i="11" l="1"/>
  <c r="T631" i="11" s="1"/>
  <c r="AB632" i="11"/>
  <c r="Z632" i="11"/>
  <c r="E631" i="11"/>
  <c r="I631" i="11" s="1"/>
  <c r="AA631" i="11" l="1"/>
  <c r="AF632" i="11"/>
  <c r="AN632" i="11"/>
  <c r="AE632" i="11"/>
  <c r="AC632" i="11"/>
  <c r="AD632" i="11"/>
  <c r="D631" i="11"/>
  <c r="F631" i="11" s="1"/>
  <c r="N630" i="11"/>
  <c r="R630" i="11" s="1"/>
  <c r="T630" i="11" s="1"/>
  <c r="J630" i="11"/>
  <c r="X630" i="11" l="1"/>
  <c r="AB631" i="11"/>
  <c r="Z631" i="11"/>
  <c r="E630" i="11"/>
  <c r="I630" i="11" s="1"/>
  <c r="AA630" i="11" l="1"/>
  <c r="AF631" i="11"/>
  <c r="AC631" i="11"/>
  <c r="AN631" i="11"/>
  <c r="AE631" i="11"/>
  <c r="AD631" i="11"/>
  <c r="D630" i="11"/>
  <c r="F630" i="11" s="1"/>
  <c r="N629" i="11"/>
  <c r="X629" i="11" s="1"/>
  <c r="J629" i="11"/>
  <c r="R629" i="11" l="1"/>
  <c r="T629" i="11" s="1"/>
  <c r="AB630" i="11"/>
  <c r="Z630" i="11"/>
  <c r="E629" i="11"/>
  <c r="I629" i="11" s="1"/>
  <c r="AA629" i="11" l="1"/>
  <c r="AE630" i="11"/>
  <c r="AC630" i="11"/>
  <c r="AF630" i="11"/>
  <c r="AD630" i="11"/>
  <c r="AN630" i="11"/>
  <c r="D629" i="11"/>
  <c r="F629" i="11" s="1"/>
  <c r="N628" i="11"/>
  <c r="X628" i="11" s="1"/>
  <c r="J628" i="11"/>
  <c r="R628" i="11" l="1"/>
  <c r="T628" i="11" s="1"/>
  <c r="AB629" i="11"/>
  <c r="Z629" i="11"/>
  <c r="E628" i="11"/>
  <c r="I628" i="11" s="1"/>
  <c r="AA628" i="11" l="1"/>
  <c r="AF629" i="11"/>
  <c r="AD629" i="11"/>
  <c r="AN629" i="11"/>
  <c r="AC629" i="11"/>
  <c r="AE629" i="11"/>
  <c r="D628" i="11"/>
  <c r="F628" i="11" s="1"/>
  <c r="N627" i="11"/>
  <c r="X627" i="11" s="1"/>
  <c r="J627" i="11"/>
  <c r="R627" i="11" l="1"/>
  <c r="T627" i="11" s="1"/>
  <c r="AB628" i="11"/>
  <c r="Z628" i="11"/>
  <c r="E627" i="11"/>
  <c r="I627" i="11" s="1"/>
  <c r="AA627" i="11" l="1"/>
  <c r="AF628" i="11"/>
  <c r="AE628" i="11"/>
  <c r="AC628" i="11"/>
  <c r="AN628" i="11"/>
  <c r="AD628" i="11"/>
  <c r="D627" i="11"/>
  <c r="F627" i="11" s="1"/>
  <c r="N626" i="11"/>
  <c r="X626" i="11" s="1"/>
  <c r="J626" i="11"/>
  <c r="R626" i="11" l="1"/>
  <c r="T626" i="11" s="1"/>
  <c r="AB627" i="11"/>
  <c r="Z627" i="11"/>
  <c r="E626" i="11"/>
  <c r="I626" i="11" s="1"/>
  <c r="AA626" i="11" l="1"/>
  <c r="AF627" i="11"/>
  <c r="AC627" i="11"/>
  <c r="AD627" i="11"/>
  <c r="AN627" i="11"/>
  <c r="AE627" i="11"/>
  <c r="D626" i="11"/>
  <c r="F626" i="11" s="1"/>
  <c r="N625" i="11"/>
  <c r="X625" i="11" s="1"/>
  <c r="J625" i="11"/>
  <c r="R625" i="11" l="1"/>
  <c r="T625" i="11" s="1"/>
  <c r="AB626" i="11"/>
  <c r="Z626" i="11"/>
  <c r="E625" i="11"/>
  <c r="I625" i="11" s="1"/>
  <c r="AA625" i="11" l="1"/>
  <c r="AD626" i="11"/>
  <c r="AE626" i="11"/>
  <c r="AN626" i="11"/>
  <c r="AF626" i="11"/>
  <c r="AC626" i="11"/>
  <c r="D625" i="11"/>
  <c r="F625" i="11" s="1"/>
  <c r="N624" i="11"/>
  <c r="X624" i="11" s="1"/>
  <c r="J624" i="11"/>
  <c r="R624" i="11" l="1"/>
  <c r="T624" i="11" s="1"/>
  <c r="AB625" i="11"/>
  <c r="Z625" i="11"/>
  <c r="E624" i="11"/>
  <c r="I624" i="11" s="1"/>
  <c r="AA624" i="11" l="1"/>
  <c r="AD625" i="11"/>
  <c r="AN625" i="11"/>
  <c r="AE625" i="11"/>
  <c r="AF625" i="11"/>
  <c r="AC625" i="11"/>
  <c r="D624" i="11"/>
  <c r="F624" i="11" s="1"/>
  <c r="N623" i="11"/>
  <c r="X623" i="11" s="1"/>
  <c r="J623" i="11"/>
  <c r="R623" i="11" l="1"/>
  <c r="T623" i="11" s="1"/>
  <c r="AB624" i="11"/>
  <c r="Z624" i="11"/>
  <c r="E623" i="11"/>
  <c r="I623" i="11" s="1"/>
  <c r="AA623" i="11" l="1"/>
  <c r="AC624" i="11"/>
  <c r="AD624" i="11"/>
  <c r="AN624" i="11"/>
  <c r="AE624" i="11"/>
  <c r="AF624" i="11"/>
  <c r="D623" i="11"/>
  <c r="F623" i="11" s="1"/>
  <c r="N622" i="11"/>
  <c r="X622" i="11" s="1"/>
  <c r="J622" i="11"/>
  <c r="R622" i="11" l="1"/>
  <c r="T622" i="11" s="1"/>
  <c r="AB623" i="11"/>
  <c r="Z623" i="11"/>
  <c r="E622" i="11"/>
  <c r="I622" i="11" s="1"/>
  <c r="AA622" i="11" l="1"/>
  <c r="AN623" i="11"/>
  <c r="AD623" i="11"/>
  <c r="AF623" i="11"/>
  <c r="AC623" i="11"/>
  <c r="AE623" i="11"/>
  <c r="D622" i="11"/>
  <c r="F622" i="11" s="1"/>
  <c r="N621" i="11"/>
  <c r="X621" i="11" s="1"/>
  <c r="J621" i="11"/>
  <c r="R621" i="11" l="1"/>
  <c r="T621" i="11" s="1"/>
  <c r="AB622" i="11"/>
  <c r="Z622" i="11"/>
  <c r="E621" i="11"/>
  <c r="I621" i="11" s="1"/>
  <c r="AA621" i="11" l="1"/>
  <c r="AN622" i="11"/>
  <c r="AC622" i="11"/>
  <c r="AF622" i="11"/>
  <c r="AE622" i="11"/>
  <c r="AD622" i="11"/>
  <c r="D621" i="11"/>
  <c r="F621" i="11" s="1"/>
  <c r="N620" i="11"/>
  <c r="R620" i="11" s="1"/>
  <c r="T620" i="11" s="1"/>
  <c r="J620" i="11"/>
  <c r="X620" i="11" l="1"/>
  <c r="AB621" i="11"/>
  <c r="Z621" i="11"/>
  <c r="E620" i="11"/>
  <c r="I620" i="11" s="1"/>
  <c r="AA620" i="11" l="1"/>
  <c r="AD621" i="11"/>
  <c r="AF621" i="11"/>
  <c r="AN621" i="11"/>
  <c r="AE621" i="11"/>
  <c r="AC621" i="11"/>
  <c r="D620" i="11"/>
  <c r="F620" i="11" s="1"/>
  <c r="N619" i="11"/>
  <c r="R619" i="11" s="1"/>
  <c r="T619" i="11" s="1"/>
  <c r="J619" i="11"/>
  <c r="X619" i="11" l="1"/>
  <c r="AB620" i="11"/>
  <c r="Z620" i="11"/>
  <c r="E619" i="11"/>
  <c r="I619" i="11" s="1"/>
  <c r="AA619" i="11" l="1"/>
  <c r="AF620" i="11"/>
  <c r="AC620" i="11"/>
  <c r="AE620" i="11"/>
  <c r="AN620" i="11"/>
  <c r="AD620" i="11"/>
  <c r="D619" i="11"/>
  <c r="F619" i="11" s="1"/>
  <c r="N618" i="11"/>
  <c r="R618" i="11" s="1"/>
  <c r="T618" i="11" s="1"/>
  <c r="J618" i="11"/>
  <c r="X618" i="11" l="1"/>
  <c r="AB619" i="11"/>
  <c r="Z619" i="11"/>
  <c r="E618" i="11"/>
  <c r="I618" i="11" s="1"/>
  <c r="AA618" i="11" l="1"/>
  <c r="AN619" i="11"/>
  <c r="AF619" i="11"/>
  <c r="AD619" i="11"/>
  <c r="AC619" i="11"/>
  <c r="AE619" i="11"/>
  <c r="D618" i="11"/>
  <c r="F618" i="11" s="1"/>
  <c r="N617" i="11"/>
  <c r="R617" i="11" s="1"/>
  <c r="T617" i="11" s="1"/>
  <c r="J617" i="11"/>
  <c r="X617" i="11" l="1"/>
  <c r="AB618" i="11"/>
  <c r="Z618" i="11"/>
  <c r="E617" i="11"/>
  <c r="I617" i="11" s="1"/>
  <c r="AA617" i="11" l="1"/>
  <c r="AD618" i="11"/>
  <c r="AN618" i="11"/>
  <c r="AF618" i="11"/>
  <c r="AC618" i="11"/>
  <c r="AE618" i="11"/>
  <c r="D617" i="11"/>
  <c r="F617" i="11" s="1"/>
  <c r="N616" i="11"/>
  <c r="X616" i="11" s="1"/>
  <c r="J616" i="11"/>
  <c r="R616" i="11" l="1"/>
  <c r="T616" i="11" s="1"/>
  <c r="AB617" i="11"/>
  <c r="Z617" i="11"/>
  <c r="E616" i="11"/>
  <c r="I616" i="11" s="1"/>
  <c r="AA616" i="11" l="1"/>
  <c r="AE617" i="11"/>
  <c r="AN617" i="11"/>
  <c r="AF617" i="11"/>
  <c r="AD617" i="11"/>
  <c r="AC617" i="11"/>
  <c r="D616" i="11"/>
  <c r="F616" i="11" s="1"/>
  <c r="N615" i="11"/>
  <c r="X615" i="11" s="1"/>
  <c r="J615" i="11"/>
  <c r="R615" i="11" l="1"/>
  <c r="T615" i="11" s="1"/>
  <c r="AB616" i="11"/>
  <c r="Z616" i="11"/>
  <c r="E615" i="11"/>
  <c r="I615" i="11" s="1"/>
  <c r="AA615" i="11" l="1"/>
  <c r="AD616" i="11"/>
  <c r="AN616" i="11"/>
  <c r="AE616" i="11"/>
  <c r="AC616" i="11"/>
  <c r="AF616" i="11"/>
  <c r="D615" i="11"/>
  <c r="F615" i="11" s="1"/>
  <c r="N614" i="11"/>
  <c r="R614" i="11" s="1"/>
  <c r="T614" i="11" s="1"/>
  <c r="J614" i="11"/>
  <c r="X614" i="11" l="1"/>
  <c r="AB615" i="11"/>
  <c r="Z615" i="11"/>
  <c r="E614" i="11"/>
  <c r="I614" i="11" s="1"/>
  <c r="AA614" i="11" l="1"/>
  <c r="AE615" i="11"/>
  <c r="AC615" i="11"/>
  <c r="AF615" i="11"/>
  <c r="AD615" i="11"/>
  <c r="AN615" i="11"/>
  <c r="D614" i="11"/>
  <c r="F614" i="11" s="1"/>
  <c r="N613" i="11"/>
  <c r="R613" i="11" s="1"/>
  <c r="T613" i="11" s="1"/>
  <c r="J613" i="11"/>
  <c r="X613" i="11" l="1"/>
  <c r="AB614" i="11"/>
  <c r="Z614" i="11"/>
  <c r="E613" i="11"/>
  <c r="I613" i="11" s="1"/>
  <c r="AA613" i="11" l="1"/>
  <c r="AF614" i="11"/>
  <c r="AD614" i="11"/>
  <c r="AN614" i="11"/>
  <c r="AE614" i="11"/>
  <c r="AC614" i="11"/>
  <c r="D613" i="11"/>
  <c r="F613" i="11" s="1"/>
  <c r="N612" i="11"/>
  <c r="X612" i="11" s="1"/>
  <c r="J612" i="11"/>
  <c r="R612" i="11" l="1"/>
  <c r="T612" i="11" s="1"/>
  <c r="AB613" i="11"/>
  <c r="Z613" i="11"/>
  <c r="E612" i="11"/>
  <c r="I612" i="11" s="1"/>
  <c r="AA612" i="11" l="1"/>
  <c r="AN613" i="11"/>
  <c r="AD613" i="11"/>
  <c r="AC613" i="11"/>
  <c r="AE613" i="11"/>
  <c r="AF613" i="11"/>
  <c r="D612" i="11"/>
  <c r="F612" i="11" s="1"/>
  <c r="N611" i="11"/>
  <c r="X611" i="11" s="1"/>
  <c r="J611" i="11"/>
  <c r="R611" i="11" l="1"/>
  <c r="T611" i="11" s="1"/>
  <c r="AB612" i="11"/>
  <c r="Z612" i="11"/>
  <c r="E611" i="11"/>
  <c r="I611" i="11" s="1"/>
  <c r="AA611" i="11" l="1"/>
  <c r="AN612" i="11"/>
  <c r="AD612" i="11"/>
  <c r="AF612" i="11"/>
  <c r="AE612" i="11"/>
  <c r="AC612" i="11"/>
  <c r="D611" i="11"/>
  <c r="F611" i="11" s="1"/>
  <c r="N610" i="11"/>
  <c r="X610" i="11" s="1"/>
  <c r="J610" i="11"/>
  <c r="R610" i="11" l="1"/>
  <c r="T610" i="11" s="1"/>
  <c r="AB611" i="11"/>
  <c r="Z611" i="11"/>
  <c r="E610" i="11"/>
  <c r="I610" i="11" s="1"/>
  <c r="AA610" i="11" l="1"/>
  <c r="AN611" i="11"/>
  <c r="AF611" i="11"/>
  <c r="AE611" i="11"/>
  <c r="AD611" i="11"/>
  <c r="AC611" i="11"/>
  <c r="D610" i="11"/>
  <c r="F610" i="11" s="1"/>
  <c r="N609" i="11"/>
  <c r="X609" i="11" s="1"/>
  <c r="J609" i="11"/>
  <c r="R609" i="11" l="1"/>
  <c r="T609" i="11" s="1"/>
  <c r="AB610" i="11"/>
  <c r="Z610" i="11"/>
  <c r="E609" i="11"/>
  <c r="I609" i="11" s="1"/>
  <c r="AA609" i="11" l="1"/>
  <c r="AN610" i="11"/>
  <c r="AE610" i="11"/>
  <c r="AC610" i="11"/>
  <c r="AD610" i="11"/>
  <c r="AF610" i="11"/>
  <c r="D609" i="11"/>
  <c r="F609" i="11" s="1"/>
  <c r="N608" i="11"/>
  <c r="X608" i="11" s="1"/>
  <c r="J608" i="11"/>
  <c r="R608" i="11" l="1"/>
  <c r="T608" i="11" s="1"/>
  <c r="AB609" i="11"/>
  <c r="Z609" i="11"/>
  <c r="E608" i="11"/>
  <c r="I608" i="11" s="1"/>
  <c r="AA608" i="11" l="1"/>
  <c r="AC609" i="11"/>
  <c r="AN609" i="11"/>
  <c r="AF609" i="11"/>
  <c r="AE609" i="11"/>
  <c r="AD609" i="11"/>
  <c r="D608" i="11"/>
  <c r="F608" i="11" s="1"/>
  <c r="N607" i="11"/>
  <c r="X607" i="11" s="1"/>
  <c r="J607" i="11"/>
  <c r="R607" i="11" l="1"/>
  <c r="T607" i="11" s="1"/>
  <c r="AB608" i="11"/>
  <c r="Z608" i="11"/>
  <c r="E607" i="11"/>
  <c r="I607" i="11" s="1"/>
  <c r="AA607" i="11" l="1"/>
  <c r="AN608" i="11"/>
  <c r="AD608" i="11"/>
  <c r="AE608" i="11"/>
  <c r="AF608" i="11"/>
  <c r="AC608" i="11"/>
  <c r="D607" i="11"/>
  <c r="F607" i="11" s="1"/>
  <c r="N606" i="11"/>
  <c r="X606" i="11" s="1"/>
  <c r="J606" i="11"/>
  <c r="R606" i="11" l="1"/>
  <c r="T606" i="11" s="1"/>
  <c r="AB607" i="11"/>
  <c r="Z607" i="11"/>
  <c r="E606" i="11"/>
  <c r="I606" i="11" s="1"/>
  <c r="AA606" i="11" l="1"/>
  <c r="AF607" i="11"/>
  <c r="AC607" i="11"/>
  <c r="AN607" i="11"/>
  <c r="AE607" i="11"/>
  <c r="AD607" i="11"/>
  <c r="D606" i="11"/>
  <c r="F606" i="11" s="1"/>
  <c r="N605" i="11"/>
  <c r="R605" i="11" s="1"/>
  <c r="T605" i="11" s="1"/>
  <c r="J605" i="11"/>
  <c r="X605" i="11" l="1"/>
  <c r="AB606" i="11"/>
  <c r="Z606" i="11"/>
  <c r="E605" i="11"/>
  <c r="I605" i="11" s="1"/>
  <c r="AA605" i="11" l="1"/>
  <c r="AF606" i="11"/>
  <c r="AN606" i="11"/>
  <c r="AE606" i="11"/>
  <c r="AD606" i="11"/>
  <c r="AC606" i="11"/>
  <c r="D605" i="11"/>
  <c r="F605" i="11" s="1"/>
  <c r="N604" i="11"/>
  <c r="X604" i="11" s="1"/>
  <c r="J604" i="11"/>
  <c r="R604" i="11" l="1"/>
  <c r="T604" i="11" s="1"/>
  <c r="AB605" i="11"/>
  <c r="Z605" i="11"/>
  <c r="E604" i="11"/>
  <c r="I604" i="11" s="1"/>
  <c r="AA604" i="11" l="1"/>
  <c r="AF605" i="11"/>
  <c r="AN605" i="11"/>
  <c r="AE605" i="11"/>
  <c r="AC605" i="11"/>
  <c r="AD605" i="11"/>
  <c r="D604" i="11"/>
  <c r="F604" i="11" s="1"/>
  <c r="N603" i="11"/>
  <c r="X603" i="11" s="1"/>
  <c r="J603" i="11"/>
  <c r="R603" i="11" l="1"/>
  <c r="T603" i="11" s="1"/>
  <c r="AB604" i="11"/>
  <c r="Z604" i="11"/>
  <c r="E603" i="11"/>
  <c r="I603" i="11" s="1"/>
  <c r="AA603" i="11" l="1"/>
  <c r="AN604" i="11"/>
  <c r="AF604" i="11"/>
  <c r="AD604" i="11"/>
  <c r="AE604" i="11"/>
  <c r="AC604" i="11"/>
  <c r="D603" i="11"/>
  <c r="F603" i="11" s="1"/>
  <c r="N602" i="11"/>
  <c r="X602" i="11" s="1"/>
  <c r="J602" i="11"/>
  <c r="R602" i="11" l="1"/>
  <c r="T602" i="11" s="1"/>
  <c r="AB603" i="11"/>
  <c r="Z603" i="11"/>
  <c r="E602" i="11"/>
  <c r="I602" i="11" s="1"/>
  <c r="AA602" i="11" l="1"/>
  <c r="AF603" i="11"/>
  <c r="AC603" i="11"/>
  <c r="AD603" i="11"/>
  <c r="AN603" i="11"/>
  <c r="AE603" i="11"/>
  <c r="D602" i="11"/>
  <c r="F602" i="11" s="1"/>
  <c r="N601" i="11"/>
  <c r="X601" i="11" s="1"/>
  <c r="J601" i="11"/>
  <c r="R601" i="11" l="1"/>
  <c r="T601" i="11" s="1"/>
  <c r="AB602" i="11"/>
  <c r="Z602" i="11"/>
  <c r="E601" i="11"/>
  <c r="I601" i="11" s="1"/>
  <c r="AA601" i="11" l="1"/>
  <c r="AE602" i="11"/>
  <c r="AC602" i="11"/>
  <c r="AF602" i="11"/>
  <c r="AD602" i="11"/>
  <c r="AN602" i="11"/>
  <c r="D601" i="11"/>
  <c r="F601" i="11" s="1"/>
  <c r="N600" i="11"/>
  <c r="X600" i="11" s="1"/>
  <c r="J600" i="11"/>
  <c r="R600" i="11" l="1"/>
  <c r="T600" i="11" s="1"/>
  <c r="AB601" i="11"/>
  <c r="Z601" i="11"/>
  <c r="E600" i="11"/>
  <c r="I600" i="11" s="1"/>
  <c r="AA600" i="11" l="1"/>
  <c r="AE601" i="11"/>
  <c r="AF601" i="11"/>
  <c r="AC601" i="11"/>
  <c r="AN601" i="11"/>
  <c r="AD601" i="11"/>
  <c r="D600" i="11"/>
  <c r="F600" i="11" s="1"/>
  <c r="N599" i="11"/>
  <c r="R599" i="11" s="1"/>
  <c r="T599" i="11" s="1"/>
  <c r="J599" i="11"/>
  <c r="X599" i="11" l="1"/>
  <c r="AB600" i="11"/>
  <c r="Z600" i="11"/>
  <c r="E599" i="11"/>
  <c r="I599" i="11" s="1"/>
  <c r="AA599" i="11" l="1"/>
  <c r="AC600" i="11"/>
  <c r="AN600" i="11"/>
  <c r="AD600" i="11"/>
  <c r="AE600" i="11"/>
  <c r="AF600" i="11"/>
  <c r="D599" i="11"/>
  <c r="F599" i="11" s="1"/>
  <c r="A599" i="11"/>
  <c r="A600" i="11" s="1"/>
  <c r="A601" i="11" s="1"/>
  <c r="N598" i="11"/>
  <c r="X598" i="11" s="1"/>
  <c r="J598" i="11"/>
  <c r="R598" i="11" l="1"/>
  <c r="T598" i="11" s="1"/>
  <c r="AB599" i="11"/>
  <c r="Z599" i="11"/>
  <c r="E598" i="11"/>
  <c r="I598" i="11" s="1"/>
  <c r="AA598" i="11" l="1"/>
  <c r="AC599" i="11"/>
  <c r="AN599" i="11"/>
  <c r="AE599" i="11"/>
  <c r="AD599" i="11"/>
  <c r="AF599" i="11"/>
  <c r="D598" i="11"/>
  <c r="F598" i="11" s="1"/>
  <c r="AN597" i="11"/>
  <c r="AF597" i="11"/>
  <c r="AE597" i="11"/>
  <c r="AD597" i="11"/>
  <c r="AC597" i="11"/>
  <c r="AB597" i="11"/>
  <c r="Z597" i="11"/>
  <c r="N597" i="11"/>
  <c r="X597" i="11" s="1"/>
  <c r="J597" i="11"/>
  <c r="R597" i="11" l="1"/>
  <c r="T597" i="11" s="1"/>
  <c r="AB598" i="11"/>
  <c r="Z598" i="11"/>
  <c r="E597" i="11"/>
  <c r="I597" i="11" s="1"/>
  <c r="AC598" i="11" l="1"/>
  <c r="AN598" i="11"/>
  <c r="AF598" i="11"/>
  <c r="AE598" i="11"/>
  <c r="AD598" i="11"/>
  <c r="D597" i="11"/>
  <c r="F597" i="11" s="1"/>
  <c r="N596" i="11"/>
  <c r="X596" i="11" s="1"/>
  <c r="J596" i="11"/>
  <c r="R596" i="11" l="1"/>
  <c r="T596" i="11" s="1"/>
  <c r="E596" i="11"/>
  <c r="I596" i="11" s="1"/>
  <c r="AA596" i="11" l="1"/>
  <c r="D596" i="11"/>
  <c r="F596" i="11" s="1"/>
  <c r="X595" i="11"/>
  <c r="N595" i="11"/>
  <c r="R595" i="11" s="1"/>
  <c r="T595" i="11" s="1"/>
  <c r="J595" i="11"/>
  <c r="Z596" i="11" l="1"/>
  <c r="AB596" i="11"/>
  <c r="E595" i="11"/>
  <c r="I595" i="11" s="1"/>
  <c r="AA595" i="11" l="1"/>
  <c r="AN596" i="11"/>
  <c r="AE596" i="11"/>
  <c r="AD596" i="11"/>
  <c r="AF596" i="11"/>
  <c r="AC596" i="11"/>
  <c r="D595" i="11"/>
  <c r="F595" i="11" s="1"/>
  <c r="N594" i="11"/>
  <c r="X594" i="11" s="1"/>
  <c r="J594" i="11"/>
  <c r="R594" i="11" l="1"/>
  <c r="T594" i="11" s="1"/>
  <c r="AB595" i="11"/>
  <c r="Z595" i="11"/>
  <c r="E594" i="11"/>
  <c r="I594" i="11" s="1"/>
  <c r="AA594" i="11" l="1"/>
  <c r="AF595" i="11"/>
  <c r="AD595" i="11"/>
  <c r="AN595" i="11"/>
  <c r="AE595" i="11"/>
  <c r="AC595" i="11"/>
  <c r="D594" i="11"/>
  <c r="F594" i="11" s="1"/>
  <c r="N593" i="11"/>
  <c r="R593" i="11" s="1"/>
  <c r="T593" i="11" s="1"/>
  <c r="J593" i="11"/>
  <c r="X593" i="11" l="1"/>
  <c r="AB594" i="11"/>
  <c r="Z594" i="11"/>
  <c r="E593" i="11"/>
  <c r="I593" i="11" s="1"/>
  <c r="AA593" i="11" l="1"/>
  <c r="AE594" i="11"/>
  <c r="AF594" i="11"/>
  <c r="AN594" i="11"/>
  <c r="AD594" i="11"/>
  <c r="AC594" i="11"/>
  <c r="D593" i="11"/>
  <c r="F593" i="11" s="1"/>
  <c r="J592" i="11"/>
  <c r="E592" i="11"/>
  <c r="I592" i="11" s="1"/>
  <c r="AB593" i="11" l="1"/>
  <c r="Z593" i="11"/>
  <c r="AN591" i="11"/>
  <c r="D591" i="11"/>
  <c r="F591" i="11" s="1"/>
  <c r="AN590" i="11"/>
  <c r="D590" i="11"/>
  <c r="F590" i="11" s="1"/>
  <c r="AN589" i="11"/>
  <c r="D589" i="11"/>
  <c r="F589" i="11" s="1"/>
  <c r="AN588" i="11"/>
  <c r="D588" i="11"/>
  <c r="F588" i="11" s="1"/>
  <c r="AN587" i="11"/>
  <c r="D587" i="11"/>
  <c r="F587" i="11" s="1"/>
  <c r="AN586" i="11"/>
  <c r="D586" i="11"/>
  <c r="F586" i="11" s="1"/>
  <c r="AN585" i="11"/>
  <c r="D585" i="11"/>
  <c r="F585" i="11" s="1"/>
  <c r="AN584" i="11"/>
  <c r="D584" i="11"/>
  <c r="F584" i="11" s="1"/>
  <c r="AN583" i="11"/>
  <c r="D583" i="11"/>
  <c r="F583" i="11" s="1"/>
  <c r="AN582" i="11"/>
  <c r="D582" i="11"/>
  <c r="F582" i="11" s="1"/>
  <c r="AN581" i="11"/>
  <c r="D581" i="11"/>
  <c r="F581" i="11" s="1"/>
  <c r="AN580" i="11"/>
  <c r="D580" i="11"/>
  <c r="F580" i="11" s="1"/>
  <c r="AN579" i="11"/>
  <c r="D579" i="11"/>
  <c r="F579" i="11" s="1"/>
  <c r="AN578" i="11"/>
  <c r="D578" i="11"/>
  <c r="F578" i="11" s="1"/>
  <c r="AN577" i="11"/>
  <c r="D577" i="11"/>
  <c r="F577" i="11" s="1"/>
  <c r="N576" i="11"/>
  <c r="X576" i="11" s="1"/>
  <c r="J576" i="11"/>
  <c r="R576" i="11" l="1"/>
  <c r="T576" i="11" s="1"/>
  <c r="AF593" i="11"/>
  <c r="AD593" i="11"/>
  <c r="AN593" i="11"/>
  <c r="AE593" i="11"/>
  <c r="AC593" i="11"/>
  <c r="E576" i="11"/>
  <c r="I576" i="11" s="1"/>
  <c r="AA576" i="11" l="1"/>
  <c r="D576" i="11"/>
  <c r="F576" i="11" s="1"/>
  <c r="X575" i="11"/>
  <c r="N575" i="11"/>
  <c r="R575" i="11" s="1"/>
  <c r="T575" i="11" s="1"/>
  <c r="J575" i="11"/>
  <c r="AB576" i="11" l="1"/>
  <c r="Z576" i="11"/>
  <c r="E575" i="11"/>
  <c r="I575" i="11" s="1"/>
  <c r="AA575" i="11" l="1"/>
  <c r="AF576" i="11"/>
  <c r="AD576" i="11"/>
  <c r="AE576" i="11"/>
  <c r="AC576" i="11"/>
  <c r="AN576" i="11"/>
  <c r="D575" i="11"/>
  <c r="F575" i="11" s="1"/>
  <c r="AN574" i="11"/>
  <c r="AF574" i="11"/>
  <c r="AE574" i="11"/>
  <c r="AD574" i="11"/>
  <c r="AC574" i="11"/>
  <c r="N574" i="11"/>
  <c r="X574" i="11" s="1"/>
  <c r="J574" i="11"/>
  <c r="R574" i="11" l="1"/>
  <c r="T574" i="11" s="1"/>
  <c r="AB575" i="11"/>
  <c r="Z575" i="11"/>
  <c r="E574" i="11"/>
  <c r="I574" i="11" s="1"/>
  <c r="AA574" i="11" l="1"/>
  <c r="Z574" i="11" s="1"/>
  <c r="AF575" i="11"/>
  <c r="AE575" i="11"/>
  <c r="AC575" i="11"/>
  <c r="AN575" i="11"/>
  <c r="AD575" i="11"/>
  <c r="D574" i="11"/>
  <c r="F574" i="11" s="1"/>
  <c r="N573" i="11"/>
  <c r="X573" i="11" s="1"/>
  <c r="J573" i="11"/>
  <c r="R573" i="11" l="1"/>
  <c r="T573" i="11" s="1"/>
  <c r="E573" i="11"/>
  <c r="I573" i="11" s="1"/>
  <c r="AA573" i="11" l="1"/>
  <c r="D573" i="11"/>
  <c r="F573" i="11" s="1"/>
  <c r="AA572" i="11"/>
  <c r="Z572" i="11" s="1"/>
  <c r="X572" i="11"/>
  <c r="N572" i="11"/>
  <c r="R572" i="11" s="1"/>
  <c r="T572" i="11" s="1"/>
  <c r="I572" i="11"/>
  <c r="AB572" i="11" l="1"/>
  <c r="Z573" i="11"/>
  <c r="AB573" i="11"/>
  <c r="D572" i="11"/>
  <c r="F572" i="11" s="1"/>
  <c r="AN571" i="11"/>
  <c r="AF571" i="11"/>
  <c r="AE571" i="11"/>
  <c r="AD571" i="11"/>
  <c r="AC571" i="11"/>
  <c r="N571" i="11"/>
  <c r="X571" i="11" s="1"/>
  <c r="J571" i="11"/>
  <c r="R571" i="11" l="1"/>
  <c r="T571" i="11" s="1"/>
  <c r="AC573" i="11"/>
  <c r="AN573" i="11"/>
  <c r="AF573" i="11"/>
  <c r="AE573" i="11"/>
  <c r="AD573" i="11"/>
  <c r="AE572" i="11"/>
  <c r="AC572" i="11"/>
  <c r="AN572" i="11"/>
  <c r="AF572" i="11"/>
  <c r="AD572" i="11"/>
  <c r="E571" i="11"/>
  <c r="I571" i="11" s="1"/>
  <c r="AA571" i="11" l="1"/>
  <c r="Z571" i="11" s="1"/>
  <c r="D571" i="11"/>
  <c r="F571" i="11" s="1"/>
  <c r="X570" i="11"/>
  <c r="R570" i="11"/>
  <c r="T570" i="11" s="1"/>
  <c r="N570" i="11"/>
  <c r="J570" i="11"/>
  <c r="E570" i="11"/>
  <c r="I570" i="11" s="1"/>
  <c r="AA570" i="11" l="1"/>
  <c r="D570" i="11"/>
  <c r="F570" i="11" s="1"/>
  <c r="X569" i="11"/>
  <c r="N569" i="11"/>
  <c r="R569" i="11" s="1"/>
  <c r="T569" i="11" s="1"/>
  <c r="J569" i="11"/>
  <c r="AB570" i="11" l="1"/>
  <c r="Z570" i="11"/>
  <c r="E569" i="11"/>
  <c r="I569" i="11" s="1"/>
  <c r="AA569" i="11" l="1"/>
  <c r="AF570" i="11"/>
  <c r="AE570" i="11"/>
  <c r="AC570" i="11"/>
  <c r="AN570" i="11"/>
  <c r="AD570" i="11"/>
  <c r="D569" i="11"/>
  <c r="F569" i="11" s="1"/>
  <c r="N568" i="11"/>
  <c r="X568" i="11" s="1"/>
  <c r="J568" i="11"/>
  <c r="R568" i="11" l="1"/>
  <c r="T568" i="11" s="1"/>
  <c r="Z569" i="11"/>
  <c r="AB569" i="11"/>
  <c r="E568" i="11"/>
  <c r="I568" i="11" s="1"/>
  <c r="AA568" i="11" l="1"/>
  <c r="AN569" i="11"/>
  <c r="AE569" i="11"/>
  <c r="AC569" i="11"/>
  <c r="AF569" i="11"/>
  <c r="AD569" i="11"/>
  <c r="D568" i="11"/>
  <c r="F568" i="11" s="1"/>
  <c r="N567" i="11"/>
  <c r="X567" i="11" s="1"/>
  <c r="J567" i="11"/>
  <c r="R567" i="11" l="1"/>
  <c r="T567" i="11" s="1"/>
  <c r="AB568" i="11"/>
  <c r="Z568" i="11"/>
  <c r="E567" i="11"/>
  <c r="I567" i="11" s="1"/>
  <c r="AA567" i="11" l="1"/>
  <c r="AC568" i="11"/>
  <c r="AN568" i="11"/>
  <c r="AF568" i="11"/>
  <c r="AE568" i="11"/>
  <c r="AD568" i="11"/>
  <c r="D567" i="11"/>
  <c r="F567" i="11" s="1"/>
  <c r="N566" i="11"/>
  <c r="X566" i="11" s="1"/>
  <c r="J566" i="11"/>
  <c r="R566" i="11" l="1"/>
  <c r="T566" i="11" s="1"/>
  <c r="AB567" i="11"/>
  <c r="Z567" i="11"/>
  <c r="E566" i="11"/>
  <c r="I566" i="11" s="1"/>
  <c r="AA566" i="11" l="1"/>
  <c r="AC567" i="11"/>
  <c r="AF567" i="11"/>
  <c r="AD567" i="11"/>
  <c r="AN567" i="11"/>
  <c r="AE567" i="11"/>
  <c r="D566" i="11"/>
  <c r="F566" i="11" s="1"/>
  <c r="N565" i="11"/>
  <c r="X565" i="11" s="1"/>
  <c r="J565" i="11"/>
  <c r="R565" i="11" l="1"/>
  <c r="T565" i="11" s="1"/>
  <c r="AB566" i="11"/>
  <c r="Z566" i="11"/>
  <c r="E565" i="11"/>
  <c r="I565" i="11" s="1"/>
  <c r="AA565" i="11" l="1"/>
  <c r="AC566" i="11"/>
  <c r="AF566" i="11"/>
  <c r="AN566" i="11"/>
  <c r="AE566" i="11"/>
  <c r="AD566" i="11"/>
  <c r="D565" i="11"/>
  <c r="F565" i="11" s="1"/>
  <c r="N564" i="11"/>
  <c r="X564" i="11" s="1"/>
  <c r="J564" i="11"/>
  <c r="R564" i="11" l="1"/>
  <c r="T564" i="11" s="1"/>
  <c r="AB565" i="11"/>
  <c r="Z565" i="11"/>
  <c r="E564" i="11"/>
  <c r="I564" i="11" s="1"/>
  <c r="AA564" i="11" l="1"/>
  <c r="AC565" i="11"/>
  <c r="AE565" i="11"/>
  <c r="AF565" i="11"/>
  <c r="AN565" i="11"/>
  <c r="AD565" i="11"/>
  <c r="D564" i="11"/>
  <c r="F564" i="11" s="1"/>
  <c r="AN563" i="11"/>
  <c r="AM563" i="11"/>
  <c r="AL563" i="11"/>
  <c r="AF563" i="11"/>
  <c r="AE563" i="11"/>
  <c r="AD563" i="11"/>
  <c r="AC563" i="11"/>
  <c r="N563" i="11"/>
  <c r="X563" i="11" s="1"/>
  <c r="J563" i="11"/>
  <c r="R563" i="11" l="1"/>
  <c r="T563" i="11" s="1"/>
  <c r="AB564" i="11"/>
  <c r="Z564" i="11"/>
  <c r="E563" i="11"/>
  <c r="I563" i="11" s="1"/>
  <c r="AA563" i="11" l="1"/>
  <c r="Z563" i="11" s="1"/>
  <c r="AC564" i="11"/>
  <c r="AN564" i="11"/>
  <c r="AD564" i="11"/>
  <c r="AE564" i="11"/>
  <c r="AF564" i="11"/>
  <c r="D563" i="11"/>
  <c r="F563" i="11" s="1"/>
  <c r="N562" i="11"/>
  <c r="R562" i="11" s="1"/>
  <c r="T562" i="11" s="1"/>
  <c r="J562" i="11"/>
  <c r="X562" i="11" l="1"/>
  <c r="E562" i="11"/>
  <c r="I562" i="11" s="1"/>
  <c r="AA562" i="11" l="1"/>
  <c r="D562" i="11"/>
  <c r="F562" i="11" s="1"/>
  <c r="N561" i="11"/>
  <c r="X561" i="11" s="1"/>
  <c r="J561" i="11"/>
  <c r="R561" i="11" l="1"/>
  <c r="T561" i="11" s="1"/>
  <c r="AB562" i="11"/>
  <c r="Z562" i="11"/>
  <c r="E561" i="11"/>
  <c r="I561" i="11" s="1"/>
  <c r="AA561" i="11" l="1"/>
  <c r="AE562" i="11"/>
  <c r="AD562" i="11"/>
  <c r="AC562" i="11"/>
  <c r="AN562" i="11"/>
  <c r="AL562" i="11"/>
  <c r="AM562" i="11"/>
  <c r="AF562" i="11"/>
  <c r="D561" i="11"/>
  <c r="F561" i="11" s="1"/>
  <c r="AN560" i="11"/>
  <c r="AM560" i="11"/>
  <c r="AB560" i="11"/>
  <c r="AL560" i="11" s="1"/>
  <c r="Z560" i="11"/>
  <c r="R560" i="11"/>
  <c r="T560" i="11" s="1"/>
  <c r="N560" i="11"/>
  <c r="X560" i="11" s="1"/>
  <c r="J560" i="11"/>
  <c r="AC560" i="11" l="1"/>
  <c r="AD560" i="11"/>
  <c r="AE560" i="11"/>
  <c r="AF560" i="11"/>
  <c r="Z561" i="11"/>
  <c r="AB561" i="11"/>
  <c r="E560" i="11"/>
  <c r="I560" i="11" s="1"/>
  <c r="AE561" i="11" l="1"/>
  <c r="AD561" i="11"/>
  <c r="AN561" i="11"/>
  <c r="AL561" i="11"/>
  <c r="AF561" i="11"/>
  <c r="AM561" i="11"/>
  <c r="AC561" i="11"/>
  <c r="D560" i="11"/>
  <c r="F560" i="11" s="1"/>
  <c r="R559" i="11"/>
  <c r="T559" i="11" s="1"/>
  <c r="N559" i="11"/>
  <c r="X559" i="11" s="1"/>
  <c r="J559" i="11"/>
  <c r="E559" i="11"/>
  <c r="I559" i="11" s="1"/>
  <c r="AA559" i="11" l="1"/>
  <c r="D559" i="11"/>
  <c r="F559" i="11" s="1"/>
  <c r="AN558" i="11"/>
  <c r="AM558" i="11"/>
  <c r="AL558" i="11"/>
  <c r="AF558" i="11"/>
  <c r="AE558" i="11"/>
  <c r="AD558" i="11"/>
  <c r="AC558" i="11"/>
  <c r="N558" i="11"/>
  <c r="X558" i="11" s="1"/>
  <c r="J558" i="11"/>
  <c r="R558" i="11" l="1"/>
  <c r="T558" i="11" s="1"/>
  <c r="AB559" i="11"/>
  <c r="Z559" i="11"/>
  <c r="E558" i="11"/>
  <c r="I558" i="11" s="1"/>
  <c r="AA558" i="11" l="1"/>
  <c r="Z558" i="11" s="1"/>
  <c r="AF559" i="11"/>
  <c r="AE559" i="11"/>
  <c r="AD559" i="11"/>
  <c r="AC559" i="11"/>
  <c r="AM559" i="11"/>
  <c r="AN559" i="11"/>
  <c r="AL559" i="11"/>
  <c r="D558" i="11"/>
  <c r="F558" i="11" s="1"/>
  <c r="N557" i="11"/>
  <c r="X557" i="11" s="1"/>
  <c r="J557" i="11"/>
  <c r="R557" i="11" l="1"/>
  <c r="T557" i="11" s="1"/>
  <c r="E557" i="11"/>
  <c r="I557" i="11" s="1"/>
  <c r="AA557" i="11" l="1"/>
  <c r="D557" i="11"/>
  <c r="F557" i="11" s="1"/>
  <c r="N556" i="11"/>
  <c r="X556" i="11" s="1"/>
  <c r="J556" i="11"/>
  <c r="R556" i="11" l="1"/>
  <c r="T556" i="11" s="1"/>
  <c r="AB557" i="11"/>
  <c r="Z557" i="11"/>
  <c r="E556" i="11"/>
  <c r="I556" i="11" s="1"/>
  <c r="AA556" i="11" l="1"/>
  <c r="AL557" i="11"/>
  <c r="AF557" i="11"/>
  <c r="AE557" i="11"/>
  <c r="AD557" i="11"/>
  <c r="AC557" i="11"/>
  <c r="AM557" i="11"/>
  <c r="AN557" i="11"/>
  <c r="D556" i="11"/>
  <c r="F556" i="11" s="1"/>
  <c r="N555" i="11"/>
  <c r="R555" i="11" s="1"/>
  <c r="T555" i="11" s="1"/>
  <c r="J555" i="11"/>
  <c r="X555" i="11" l="1"/>
  <c r="Z556" i="11"/>
  <c r="AB556" i="11"/>
  <c r="F555" i="11"/>
  <c r="E555" i="11"/>
  <c r="I555" i="11" s="1"/>
  <c r="AA555" i="11" l="1"/>
  <c r="AN556" i="11"/>
  <c r="AL556" i="11"/>
  <c r="AD556" i="11"/>
  <c r="AM556" i="11"/>
  <c r="AE556" i="11"/>
  <c r="AC556" i="11"/>
  <c r="AF556" i="11"/>
  <c r="R554" i="11"/>
  <c r="T554" i="11" s="1"/>
  <c r="N554" i="11"/>
  <c r="X554" i="11" s="1"/>
  <c r="J554" i="11"/>
  <c r="Z555" i="11" l="1"/>
  <c r="AB555" i="11"/>
  <c r="F554" i="11"/>
  <c r="E554" i="11"/>
  <c r="I554" i="11" s="1"/>
  <c r="AA554" i="11" l="1"/>
  <c r="AL555" i="11"/>
  <c r="AF555" i="11"/>
  <c r="AE555" i="11"/>
  <c r="AN555" i="11"/>
  <c r="AD555" i="11"/>
  <c r="AC555" i="11"/>
  <c r="AM555" i="11"/>
  <c r="N553" i="11"/>
  <c r="X553" i="11" s="1"/>
  <c r="J553" i="11"/>
  <c r="R553" i="11" l="1"/>
  <c r="T553" i="11" s="1"/>
  <c r="AB554" i="11"/>
  <c r="Z554" i="11"/>
  <c r="E553" i="11"/>
  <c r="I553" i="11" s="1"/>
  <c r="AA553" i="11" l="1"/>
  <c r="AF554" i="11"/>
  <c r="AE554" i="11"/>
  <c r="AD554" i="11"/>
  <c r="AN554" i="11"/>
  <c r="AL554" i="11"/>
  <c r="AC554" i="11"/>
  <c r="AM554" i="11"/>
  <c r="D553" i="11"/>
  <c r="F553" i="11" s="1"/>
  <c r="N552" i="11"/>
  <c r="X552" i="11" s="1"/>
  <c r="J552" i="11"/>
  <c r="R552" i="11" l="1"/>
  <c r="T552" i="11" s="1"/>
  <c r="AB553" i="11"/>
  <c r="Z553" i="11"/>
  <c r="E552" i="11"/>
  <c r="I552" i="11" s="1"/>
  <c r="AA552" i="11" l="1"/>
  <c r="AF553" i="11"/>
  <c r="AE553" i="11"/>
  <c r="AD553" i="11"/>
  <c r="AC553" i="11"/>
  <c r="AN553" i="11"/>
  <c r="AM553" i="11"/>
  <c r="AL553" i="11"/>
  <c r="D552" i="11"/>
  <c r="F552" i="11" s="1"/>
  <c r="N551" i="11"/>
  <c r="X551" i="11" s="1"/>
  <c r="J551" i="11"/>
  <c r="R551" i="11" l="1"/>
  <c r="T551" i="11" s="1"/>
  <c r="Z552" i="11"/>
  <c r="AB552" i="11"/>
  <c r="E551" i="11"/>
  <c r="I551" i="11" s="1"/>
  <c r="AA551" i="11" l="1"/>
  <c r="AL552" i="11"/>
  <c r="AF552" i="11"/>
  <c r="AE552" i="11"/>
  <c r="AN552" i="11"/>
  <c r="AM552" i="11"/>
  <c r="AD552" i="11"/>
  <c r="AC552" i="11"/>
  <c r="D551" i="11"/>
  <c r="F551" i="11" s="1"/>
  <c r="N550" i="11"/>
  <c r="X550" i="11" s="1"/>
  <c r="J550" i="11"/>
  <c r="R550" i="11" l="1"/>
  <c r="T550" i="11" s="1"/>
  <c r="Z551" i="11"/>
  <c r="AB551" i="11"/>
  <c r="E550" i="11"/>
  <c r="I550" i="11" s="1"/>
  <c r="AA550" i="11" l="1"/>
  <c r="AL551" i="11"/>
  <c r="AF551" i="11"/>
  <c r="AN551" i="11"/>
  <c r="AM551" i="11"/>
  <c r="AE551" i="11"/>
  <c r="AD551" i="11"/>
  <c r="AC551" i="11"/>
  <c r="D550" i="11"/>
  <c r="F550" i="11" s="1"/>
  <c r="N549" i="11"/>
  <c r="R549" i="11" s="1"/>
  <c r="T549" i="11" s="1"/>
  <c r="J549" i="11"/>
  <c r="X549" i="11" l="1"/>
  <c r="AB550" i="11"/>
  <c r="Z550" i="11"/>
  <c r="E549" i="11"/>
  <c r="I549" i="11" s="1"/>
  <c r="AA549" i="11" l="1"/>
  <c r="AL550" i="11"/>
  <c r="AF550" i="11"/>
  <c r="AE550" i="11"/>
  <c r="AD550" i="11"/>
  <c r="AN550" i="11"/>
  <c r="AM550" i="11"/>
  <c r="AC550" i="11"/>
  <c r="D549" i="11"/>
  <c r="F549" i="11" s="1"/>
  <c r="N548" i="11"/>
  <c r="R548" i="11" s="1"/>
  <c r="T548" i="11" s="1"/>
  <c r="J548" i="11"/>
  <c r="X548" i="11" l="1"/>
  <c r="AB549" i="11"/>
  <c r="Z549" i="11"/>
  <c r="E548" i="11"/>
  <c r="I548" i="11" s="1"/>
  <c r="AA548" i="11" l="1"/>
  <c r="AL549" i="11"/>
  <c r="AF549" i="11"/>
  <c r="AM549" i="11"/>
  <c r="AC549" i="11"/>
  <c r="AN549" i="11"/>
  <c r="AE549" i="11"/>
  <c r="AD549" i="11"/>
  <c r="D548" i="11"/>
  <c r="F548" i="11" s="1"/>
  <c r="N547" i="11"/>
  <c r="X547" i="11" s="1"/>
  <c r="J547" i="11"/>
  <c r="R547" i="11" l="1"/>
  <c r="T547" i="11" s="1"/>
  <c r="AB548" i="11"/>
  <c r="Z548" i="11"/>
  <c r="E547" i="11"/>
  <c r="I547" i="11" s="1"/>
  <c r="AA547" i="11" l="1"/>
  <c r="AL548" i="11"/>
  <c r="AF548" i="11"/>
  <c r="AE548" i="11"/>
  <c r="AD548" i="11"/>
  <c r="AC548" i="11"/>
  <c r="AN548" i="11"/>
  <c r="AM548" i="11"/>
  <c r="D547" i="11"/>
  <c r="F547" i="11" s="1"/>
  <c r="N546" i="11"/>
  <c r="X546" i="11" s="1"/>
  <c r="J546" i="11"/>
  <c r="R546" i="11" l="1"/>
  <c r="T546" i="11" s="1"/>
  <c r="AB547" i="11"/>
  <c r="Z547" i="11"/>
  <c r="F546" i="11"/>
  <c r="E546" i="11"/>
  <c r="I546" i="11" s="1"/>
  <c r="AA546" i="11" l="1"/>
  <c r="AL547" i="11"/>
  <c r="AD547" i="11"/>
  <c r="AF547" i="11"/>
  <c r="AE547" i="11"/>
  <c r="AC547" i="11"/>
  <c r="AN547" i="11"/>
  <c r="AM547" i="11"/>
  <c r="N545" i="11"/>
  <c r="X545" i="11" s="1"/>
  <c r="J545" i="11"/>
  <c r="R545" i="11" l="1"/>
  <c r="T545" i="11" s="1"/>
  <c r="AB546" i="11"/>
  <c r="Z546" i="11"/>
  <c r="F545" i="11"/>
  <c r="E545" i="11"/>
  <c r="I545" i="11" s="1"/>
  <c r="AA545" i="11" l="1"/>
  <c r="AL546" i="11"/>
  <c r="AF546" i="11"/>
  <c r="AE546" i="11"/>
  <c r="AD546" i="11"/>
  <c r="AC546" i="11"/>
  <c r="AN546" i="11"/>
  <c r="AM546" i="11"/>
  <c r="N544" i="11"/>
  <c r="R544" i="11" s="1"/>
  <c r="T544" i="11" s="1"/>
  <c r="J544" i="11"/>
  <c r="X544" i="11" l="1"/>
  <c r="Z545" i="11"/>
  <c r="AB545" i="11"/>
  <c r="E544" i="11"/>
  <c r="I544" i="11" s="1"/>
  <c r="AA544" i="11" l="1"/>
  <c r="AF545" i="11"/>
  <c r="AE545" i="11"/>
  <c r="AL545" i="11"/>
  <c r="AD545" i="11"/>
  <c r="AC545" i="11"/>
  <c r="AN545" i="11"/>
  <c r="AM545" i="11"/>
  <c r="D544" i="11"/>
  <c r="F544" i="11" s="1"/>
  <c r="N543" i="11"/>
  <c r="X543" i="11" s="1"/>
  <c r="J543" i="11"/>
  <c r="R543" i="11" l="1"/>
  <c r="T543" i="11" s="1"/>
  <c r="Z544" i="11"/>
  <c r="AB544" i="11"/>
  <c r="E543" i="11"/>
  <c r="I543" i="11" s="1"/>
  <c r="AA543" i="11" l="1"/>
  <c r="AF544" i="11"/>
  <c r="AE544" i="11"/>
  <c r="AD544" i="11"/>
  <c r="AN544" i="11"/>
  <c r="AM544" i="11"/>
  <c r="AC544" i="11"/>
  <c r="AL544" i="11"/>
  <c r="D543" i="11"/>
  <c r="F543" i="11" s="1"/>
  <c r="N542" i="11"/>
  <c r="X542" i="11" s="1"/>
  <c r="J542" i="11"/>
  <c r="R542" i="11" l="1"/>
  <c r="T542" i="11" s="1"/>
  <c r="AB543" i="11"/>
  <c r="Z543" i="11"/>
  <c r="E542" i="11"/>
  <c r="I542" i="11" s="1"/>
  <c r="AA542" i="11" l="1"/>
  <c r="AL543" i="11"/>
  <c r="AF543" i="11"/>
  <c r="AE543" i="11"/>
  <c r="AN543" i="11"/>
  <c r="AD543" i="11"/>
  <c r="AC543" i="11"/>
  <c r="AM543" i="11"/>
  <c r="D542" i="11"/>
  <c r="F542" i="11" s="1"/>
  <c r="N541" i="11"/>
  <c r="X541" i="11" s="1"/>
  <c r="J541" i="11"/>
  <c r="R541" i="11" l="1"/>
  <c r="T541" i="11" s="1"/>
  <c r="Z542" i="11"/>
  <c r="AB542" i="11"/>
  <c r="E541" i="11"/>
  <c r="I541" i="11" s="1"/>
  <c r="AA541" i="11" l="1"/>
  <c r="AL542" i="11"/>
  <c r="AF542" i="11"/>
  <c r="AM542" i="11"/>
  <c r="AE542" i="11"/>
  <c r="AD542" i="11"/>
  <c r="AC542" i="11"/>
  <c r="AN542" i="11"/>
  <c r="D541" i="11"/>
  <c r="F541" i="11" s="1"/>
  <c r="N540" i="11"/>
  <c r="X540" i="11" s="1"/>
  <c r="J540" i="11"/>
  <c r="R540" i="11" l="1"/>
  <c r="T540" i="11" s="1"/>
  <c r="Z541" i="11"/>
  <c r="AB541" i="11"/>
  <c r="E540" i="11"/>
  <c r="I540" i="11" s="1"/>
  <c r="AA540" i="11" l="1"/>
  <c r="AL541" i="11"/>
  <c r="AF541" i="11"/>
  <c r="AC541" i="11"/>
  <c r="AN541" i="11"/>
  <c r="AM541" i="11"/>
  <c r="AE541" i="11"/>
  <c r="AD541" i="11"/>
  <c r="D540" i="11"/>
  <c r="F540" i="11" s="1"/>
  <c r="AN539" i="11"/>
  <c r="AM539" i="11"/>
  <c r="AB539" i="11"/>
  <c r="AL539" i="11" s="1"/>
  <c r="Z539" i="11"/>
  <c r="N539" i="11"/>
  <c r="X539" i="11" s="1"/>
  <c r="J539" i="11"/>
  <c r="R539" i="11" l="1"/>
  <c r="T539" i="11" s="1"/>
  <c r="AC539" i="11"/>
  <c r="AD539" i="11"/>
  <c r="AE539" i="11"/>
  <c r="AF539" i="11"/>
  <c r="Z540" i="11"/>
  <c r="AB540" i="11"/>
  <c r="E539" i="11"/>
  <c r="I539" i="11" s="1"/>
  <c r="AL540" i="11" l="1"/>
  <c r="AF540" i="11"/>
  <c r="AE540" i="11"/>
  <c r="AD540" i="11"/>
  <c r="AC540" i="11"/>
  <c r="AN540" i="11"/>
  <c r="AM540" i="11"/>
  <c r="D539" i="11"/>
  <c r="F539" i="11" s="1"/>
  <c r="N538" i="11"/>
  <c r="X538" i="11" s="1"/>
  <c r="J538" i="11"/>
  <c r="R538" i="11" l="1"/>
  <c r="T538" i="11" s="1"/>
  <c r="E538" i="11"/>
  <c r="I538" i="11" s="1"/>
  <c r="AA538" i="11" l="1"/>
  <c r="D538" i="11"/>
  <c r="F538" i="11" s="1"/>
  <c r="N537" i="11"/>
  <c r="X537" i="11" s="1"/>
  <c r="J537" i="11"/>
  <c r="R537" i="11" l="1"/>
  <c r="T537" i="11" s="1"/>
  <c r="AB538" i="11"/>
  <c r="Z538" i="11"/>
  <c r="E537" i="11"/>
  <c r="I537" i="11" s="1"/>
  <c r="AA537" i="11" l="1"/>
  <c r="AF538" i="11"/>
  <c r="AE538" i="11"/>
  <c r="AD538" i="11"/>
  <c r="AC538" i="11"/>
  <c r="AN538" i="11"/>
  <c r="AM538" i="11"/>
  <c r="AL538" i="11"/>
  <c r="D537" i="11"/>
  <c r="F537" i="11" s="1"/>
  <c r="N536" i="11"/>
  <c r="R536" i="11" s="1"/>
  <c r="T536" i="11" s="1"/>
  <c r="J536" i="11"/>
  <c r="X536" i="11" l="1"/>
  <c r="Z537" i="11"/>
  <c r="AB537" i="11"/>
  <c r="E536" i="11"/>
  <c r="I536" i="11" s="1"/>
  <c r="AA536" i="11" l="1"/>
  <c r="AL537" i="11"/>
  <c r="AE537" i="11"/>
  <c r="AM537" i="11"/>
  <c r="AD537" i="11"/>
  <c r="AN537" i="11"/>
  <c r="AF537" i="11"/>
  <c r="AC537" i="11"/>
  <c r="D536" i="11"/>
  <c r="F536" i="11" s="1"/>
  <c r="R535" i="11"/>
  <c r="T535" i="11" s="1"/>
  <c r="N535" i="11"/>
  <c r="X535" i="11" s="1"/>
  <c r="J535" i="11"/>
  <c r="AB536" i="11" l="1"/>
  <c r="Z536" i="11"/>
  <c r="E535" i="11"/>
  <c r="I535" i="11" s="1"/>
  <c r="AA535" i="11" l="1"/>
  <c r="AL536" i="11"/>
  <c r="AF536" i="11"/>
  <c r="AC536" i="11"/>
  <c r="AM536" i="11"/>
  <c r="AE536" i="11"/>
  <c r="AD536" i="11"/>
  <c r="AN536" i="11"/>
  <c r="D535" i="11"/>
  <c r="F535" i="11" s="1"/>
  <c r="AM534" i="11"/>
  <c r="AL534" i="11"/>
  <c r="N534" i="11"/>
  <c r="D534" i="11"/>
  <c r="R533" i="11"/>
  <c r="T533" i="11" s="1"/>
  <c r="N533" i="11"/>
  <c r="X533" i="11" s="1"/>
  <c r="J533" i="11"/>
  <c r="AB535" i="11" l="1"/>
  <c r="Z535" i="11"/>
  <c r="F533" i="11"/>
  <c r="E533" i="11"/>
  <c r="I533" i="11" s="1"/>
  <c r="AA533" i="11" l="1"/>
  <c r="AL535" i="11"/>
  <c r="AF535" i="11"/>
  <c r="AE535" i="11"/>
  <c r="AC535" i="11"/>
  <c r="AM535" i="11"/>
  <c r="AD535" i="11"/>
  <c r="AN535" i="11"/>
  <c r="N532" i="11"/>
  <c r="R532" i="11" s="1"/>
  <c r="T532" i="11" s="1"/>
  <c r="J532" i="11"/>
  <c r="X532" i="11" l="1"/>
  <c r="Z533" i="11"/>
  <c r="AB533" i="11"/>
  <c r="E532" i="11"/>
  <c r="I532" i="11" s="1"/>
  <c r="AA532" i="11" l="1"/>
  <c r="AN533" i="11"/>
  <c r="AM533" i="11"/>
  <c r="AL533" i="11"/>
  <c r="AD533" i="11"/>
  <c r="AC533" i="11"/>
  <c r="AF533" i="11"/>
  <c r="AE533" i="11"/>
  <c r="D532" i="11"/>
  <c r="F532" i="11" s="1"/>
  <c r="N531" i="11"/>
  <c r="X531" i="11" s="1"/>
  <c r="J531" i="11"/>
  <c r="R531" i="11" l="1"/>
  <c r="T531" i="11" s="1"/>
  <c r="Z532" i="11"/>
  <c r="AB532" i="11"/>
  <c r="E531" i="11"/>
  <c r="I531" i="11" s="1"/>
  <c r="AA531" i="11" l="1"/>
  <c r="AF532" i="11"/>
  <c r="AE532" i="11"/>
  <c r="AD532" i="11"/>
  <c r="AC532" i="11"/>
  <c r="AN532" i="11"/>
  <c r="AM532" i="11"/>
  <c r="AL532" i="11"/>
  <c r="D531" i="11"/>
  <c r="F531" i="11" s="1"/>
  <c r="N530" i="11"/>
  <c r="R530" i="11" s="1"/>
  <c r="T530" i="11" s="1"/>
  <c r="J530" i="11"/>
  <c r="X530" i="11" l="1"/>
  <c r="AB531" i="11"/>
  <c r="Z531" i="11"/>
  <c r="E530" i="11"/>
  <c r="I530" i="11" s="1"/>
  <c r="AA530" i="11" l="1"/>
  <c r="AL531" i="11"/>
  <c r="AF531" i="11"/>
  <c r="AE531" i="11"/>
  <c r="AM531" i="11"/>
  <c r="AD531" i="11"/>
  <c r="AC531" i="11"/>
  <c r="AN531" i="11"/>
  <c r="D530" i="11"/>
  <c r="F530" i="11" s="1"/>
  <c r="N529" i="11"/>
  <c r="X529" i="11" s="1"/>
  <c r="J529" i="11"/>
  <c r="R529" i="11" l="1"/>
  <c r="T529" i="11" s="1"/>
  <c r="Z530" i="11"/>
  <c r="AB530" i="11"/>
  <c r="E529" i="11"/>
  <c r="I529" i="11" s="1"/>
  <c r="AA529" i="11" l="1"/>
  <c r="AL530" i="11"/>
  <c r="AF530" i="11"/>
  <c r="AE530" i="11"/>
  <c r="AD530" i="11"/>
  <c r="AN530" i="11"/>
  <c r="AC530" i="11"/>
  <c r="AM530" i="11"/>
  <c r="D529" i="11"/>
  <c r="F529" i="11" s="1"/>
  <c r="N528" i="11"/>
  <c r="X528" i="11" s="1"/>
  <c r="J528" i="11"/>
  <c r="R528" i="11" l="1"/>
  <c r="T528" i="11" s="1"/>
  <c r="AB529" i="11"/>
  <c r="Z529" i="11"/>
  <c r="E528" i="11"/>
  <c r="I528" i="11" s="1"/>
  <c r="AA528" i="11" l="1"/>
  <c r="AL529" i="11"/>
  <c r="AF529" i="11"/>
  <c r="AE529" i="11"/>
  <c r="AD529" i="11"/>
  <c r="AC529" i="11"/>
  <c r="AN529" i="11"/>
  <c r="AM529" i="11"/>
  <c r="D528" i="11"/>
  <c r="F528" i="11" s="1"/>
  <c r="N527" i="11"/>
  <c r="X527" i="11" s="1"/>
  <c r="J527" i="11"/>
  <c r="R527" i="11" l="1"/>
  <c r="T527" i="11" s="1"/>
  <c r="AB528" i="11"/>
  <c r="Z528" i="11"/>
  <c r="E527" i="11"/>
  <c r="I527" i="11" s="1"/>
  <c r="AA527" i="11" l="1"/>
  <c r="AL528" i="11"/>
  <c r="AF528" i="11"/>
  <c r="AM528" i="11"/>
  <c r="AE528" i="11"/>
  <c r="AD528" i="11"/>
  <c r="AC528" i="11"/>
  <c r="AN528" i="11"/>
  <c r="D527" i="11"/>
  <c r="F527" i="11" s="1"/>
  <c r="N526" i="11"/>
  <c r="X526" i="11" s="1"/>
  <c r="J526" i="11"/>
  <c r="R526" i="11" l="1"/>
  <c r="T526" i="11" s="1"/>
  <c r="AB527" i="11"/>
  <c r="Z527" i="11"/>
  <c r="F526" i="11"/>
  <c r="E526" i="11"/>
  <c r="I526" i="11" s="1"/>
  <c r="AA526" i="11" l="1"/>
  <c r="AL527" i="11"/>
  <c r="AF527" i="11"/>
  <c r="AD527" i="11"/>
  <c r="AE527" i="11"/>
  <c r="AC527" i="11"/>
  <c r="AM527" i="11"/>
  <c r="AN527" i="11"/>
  <c r="N525" i="11"/>
  <c r="X525" i="11" s="1"/>
  <c r="J525" i="11"/>
  <c r="R525" i="11" l="1"/>
  <c r="T525" i="11" s="1"/>
  <c r="AB526" i="11"/>
  <c r="Z526" i="11"/>
  <c r="E525" i="11"/>
  <c r="I525" i="11" s="1"/>
  <c r="AA525" i="11" l="1"/>
  <c r="AL526" i="11"/>
  <c r="AF526" i="11"/>
  <c r="AN526" i="11"/>
  <c r="AM526" i="11"/>
  <c r="AE526" i="11"/>
  <c r="AD526" i="11"/>
  <c r="AC526" i="11"/>
  <c r="D525" i="11"/>
  <c r="F525" i="11" s="1"/>
  <c r="AN524" i="11"/>
  <c r="AM524" i="11"/>
  <c r="AL524" i="11"/>
  <c r="AF524" i="11"/>
  <c r="AE524" i="11"/>
  <c r="AD524" i="11"/>
  <c r="AC524" i="11"/>
  <c r="N524" i="11"/>
  <c r="X524" i="11" s="1"/>
  <c r="J524" i="11"/>
  <c r="R524" i="11" l="1"/>
  <c r="T524" i="11" s="1"/>
  <c r="AB525" i="11"/>
  <c r="Z525" i="11"/>
  <c r="E524" i="11"/>
  <c r="I524" i="11" s="1"/>
  <c r="AA524" i="11" l="1"/>
  <c r="Z524" i="11" s="1"/>
  <c r="AF525" i="11"/>
  <c r="AE525" i="11"/>
  <c r="AD525" i="11"/>
  <c r="AL525" i="11"/>
  <c r="AC525" i="11"/>
  <c r="AN525" i="11"/>
  <c r="AM525" i="11"/>
  <c r="D524" i="11"/>
  <c r="F524" i="11" s="1"/>
  <c r="AN523" i="11"/>
  <c r="AM523" i="11"/>
  <c r="AL523" i="11"/>
  <c r="AF523" i="11"/>
  <c r="AE523" i="11"/>
  <c r="AD523" i="11"/>
  <c r="AC523" i="11"/>
  <c r="N523" i="11"/>
  <c r="X523" i="11" s="1"/>
  <c r="J523" i="11"/>
  <c r="R523" i="11" l="1"/>
  <c r="T523" i="11" s="1"/>
  <c r="E523" i="11"/>
  <c r="I523" i="11" s="1"/>
  <c r="AA523" i="11" l="1"/>
  <c r="Z523" i="11" s="1"/>
  <c r="D523" i="11"/>
  <c r="F523" i="11" s="1"/>
  <c r="X522" i="11"/>
  <c r="R522" i="11"/>
  <c r="T522" i="11" s="1"/>
  <c r="N522" i="11"/>
  <c r="J522" i="11"/>
  <c r="E522" i="11"/>
  <c r="I522" i="11" s="1"/>
  <c r="AA522" i="11" l="1"/>
  <c r="D522" i="11"/>
  <c r="F522" i="11" s="1"/>
  <c r="N521" i="11"/>
  <c r="X521" i="11" s="1"/>
  <c r="J521" i="11"/>
  <c r="R521" i="11" l="1"/>
  <c r="T521" i="11" s="1"/>
  <c r="Z522" i="11"/>
  <c r="AB522" i="11"/>
  <c r="E521" i="11"/>
  <c r="I521" i="11" s="1"/>
  <c r="AA521" i="11" l="1"/>
  <c r="AN522" i="11"/>
  <c r="AM522" i="11"/>
  <c r="AL522" i="11"/>
  <c r="AF522" i="11"/>
  <c r="AE522" i="11"/>
  <c r="AD522" i="11"/>
  <c r="AC522" i="11"/>
  <c r="D521" i="11"/>
  <c r="F521" i="11" s="1"/>
  <c r="N520" i="11"/>
  <c r="R520" i="11" s="1"/>
  <c r="T520" i="11" s="1"/>
  <c r="J520" i="11"/>
  <c r="X520" i="11" l="1"/>
  <c r="Z521" i="11"/>
  <c r="AB521" i="11"/>
  <c r="E520" i="11"/>
  <c r="I520" i="11" s="1"/>
  <c r="AA520" i="11" l="1"/>
  <c r="AL521" i="11"/>
  <c r="AC521" i="11"/>
  <c r="AN521" i="11"/>
  <c r="AM521" i="11"/>
  <c r="AF521" i="11"/>
  <c r="AD521" i="11"/>
  <c r="AE521" i="11"/>
  <c r="D520" i="11"/>
  <c r="F520" i="11" s="1"/>
  <c r="N519" i="11"/>
  <c r="R519" i="11" s="1"/>
  <c r="T519" i="11" s="1"/>
  <c r="J519" i="11"/>
  <c r="X519" i="11" l="1"/>
  <c r="AB520" i="11"/>
  <c r="Z520" i="11"/>
  <c r="E519" i="11"/>
  <c r="I519" i="11" s="1"/>
  <c r="AA519" i="11" l="1"/>
  <c r="AL520" i="11"/>
  <c r="AF520" i="11"/>
  <c r="AE520" i="11"/>
  <c r="AN520" i="11"/>
  <c r="AM520" i="11"/>
  <c r="AD520" i="11"/>
  <c r="AC520" i="11"/>
  <c r="D519" i="11"/>
  <c r="F519" i="11" s="1"/>
  <c r="N518" i="11"/>
  <c r="R518" i="11" s="1"/>
  <c r="T518" i="11" s="1"/>
  <c r="J518" i="11"/>
  <c r="X518" i="11" l="1"/>
  <c r="AB519" i="11"/>
  <c r="Z519" i="11"/>
  <c r="E518" i="11"/>
  <c r="I518" i="11" s="1"/>
  <c r="AA518" i="11" l="1"/>
  <c r="AL519" i="11"/>
  <c r="AF519" i="11"/>
  <c r="AC519" i="11"/>
  <c r="AN519" i="11"/>
  <c r="AM519" i="11"/>
  <c r="AE519" i="11"/>
  <c r="AD519" i="11"/>
  <c r="D518" i="11"/>
  <c r="F518" i="11" s="1"/>
  <c r="N517" i="11"/>
  <c r="R517" i="11" s="1"/>
  <c r="J517" i="11"/>
  <c r="X517" i="11" l="1"/>
  <c r="Z518" i="11"/>
  <c r="AB518" i="11"/>
  <c r="E517" i="11"/>
  <c r="I517" i="11" s="1"/>
  <c r="AA517" i="11" l="1"/>
  <c r="AL518" i="11"/>
  <c r="AF518" i="11"/>
  <c r="AE518" i="11"/>
  <c r="AD518" i="11"/>
  <c r="AC518" i="11"/>
  <c r="AM518" i="11"/>
  <c r="AN518" i="11"/>
  <c r="D517" i="11"/>
  <c r="F517" i="11" s="1"/>
  <c r="N516" i="11"/>
  <c r="X516" i="11" s="1"/>
  <c r="J516" i="11"/>
  <c r="R516" i="11" l="1"/>
  <c r="AB517" i="11"/>
  <c r="Z517" i="11"/>
  <c r="E516" i="11"/>
  <c r="I516" i="11" s="1"/>
  <c r="AA516" i="11" l="1"/>
  <c r="AL517" i="11"/>
  <c r="AF517" i="11"/>
  <c r="AE517" i="11"/>
  <c r="AD517" i="11"/>
  <c r="AC517" i="11"/>
  <c r="AN517" i="11"/>
  <c r="AM517" i="11"/>
  <c r="D516" i="11"/>
  <c r="F516" i="11" s="1"/>
  <c r="N515" i="11"/>
  <c r="R515" i="11" s="1"/>
  <c r="J515" i="11"/>
  <c r="X515" i="11" l="1"/>
  <c r="Z516" i="11"/>
  <c r="AB516" i="11"/>
  <c r="E515" i="11"/>
  <c r="I515" i="11" s="1"/>
  <c r="AA515" i="11" l="1"/>
  <c r="AL516" i="11"/>
  <c r="AF516" i="11"/>
  <c r="AE516" i="11"/>
  <c r="AN516" i="11"/>
  <c r="AD516" i="11"/>
  <c r="AC516" i="11"/>
  <c r="AM516" i="11"/>
  <c r="D515" i="11"/>
  <c r="F515" i="11" s="1"/>
  <c r="N514" i="11"/>
  <c r="X514" i="11" s="1"/>
  <c r="J514" i="11"/>
  <c r="R514" i="11" l="1"/>
  <c r="AB515" i="11"/>
  <c r="Z515" i="11"/>
  <c r="E514" i="11"/>
  <c r="I514" i="11" s="1"/>
  <c r="AA514" i="11" l="1"/>
  <c r="AL515" i="11"/>
  <c r="AF515" i="11"/>
  <c r="AE515" i="11"/>
  <c r="AD515" i="11"/>
  <c r="AM515" i="11"/>
  <c r="AC515" i="11"/>
  <c r="AN515" i="11"/>
  <c r="D514" i="11"/>
  <c r="F514" i="11" s="1"/>
  <c r="N513" i="11"/>
  <c r="X513" i="11" s="1"/>
  <c r="J513" i="11"/>
  <c r="R513" i="11" l="1"/>
  <c r="T513" i="11" s="1"/>
  <c r="AB514" i="11"/>
  <c r="Z514" i="11"/>
  <c r="E513" i="11"/>
  <c r="I513" i="11" s="1"/>
  <c r="AA513" i="11" l="1"/>
  <c r="AL514" i="11"/>
  <c r="AF514" i="11"/>
  <c r="AE514" i="11"/>
  <c r="AN514" i="11"/>
  <c r="AD514" i="11"/>
  <c r="AC514" i="11"/>
  <c r="AM514" i="11"/>
  <c r="D513" i="11"/>
  <c r="F513" i="11" s="1"/>
  <c r="N512" i="11"/>
  <c r="R512" i="11" s="1"/>
  <c r="T512" i="11" s="1"/>
  <c r="J512" i="11"/>
  <c r="X512" i="11" l="1"/>
  <c r="Z513" i="11"/>
  <c r="AB513" i="11"/>
  <c r="E512" i="11"/>
  <c r="I512" i="11" s="1"/>
  <c r="AA512" i="11" l="1"/>
  <c r="AL513" i="11"/>
  <c r="AF513" i="11"/>
  <c r="AE513" i="11"/>
  <c r="AN513" i="11"/>
  <c r="AM513" i="11"/>
  <c r="AD513" i="11"/>
  <c r="AC513" i="11"/>
  <c r="D512" i="11"/>
  <c r="F512" i="11" s="1"/>
  <c r="N511" i="11"/>
  <c r="X511" i="11" s="1"/>
  <c r="J511" i="11"/>
  <c r="R511" i="11" l="1"/>
  <c r="T511" i="11" s="1"/>
  <c r="AB512" i="11"/>
  <c r="Z512" i="11"/>
  <c r="E511" i="11"/>
  <c r="I511" i="11" s="1"/>
  <c r="AA511" i="11" l="1"/>
  <c r="AL512" i="11"/>
  <c r="AF512" i="11"/>
  <c r="AE512" i="11"/>
  <c r="AN512" i="11"/>
  <c r="AM512" i="11"/>
  <c r="AD512" i="11"/>
  <c r="AC512" i="11"/>
  <c r="D511" i="11"/>
  <c r="F511" i="11" s="1"/>
  <c r="N510" i="11"/>
  <c r="X510" i="11" s="1"/>
  <c r="J510" i="11"/>
  <c r="R510" i="11" l="1"/>
  <c r="T510" i="11" s="1"/>
  <c r="AB511" i="11"/>
  <c r="Z511" i="11"/>
  <c r="F510" i="11"/>
  <c r="E510" i="11"/>
  <c r="I510" i="11" s="1"/>
  <c r="AA510" i="11" l="1"/>
  <c r="AL511" i="11"/>
  <c r="AC511" i="11"/>
  <c r="AN511" i="11"/>
  <c r="AF511" i="11"/>
  <c r="AE511" i="11"/>
  <c r="AD511" i="11"/>
  <c r="AM511" i="11"/>
  <c r="A510" i="1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N509" i="11"/>
  <c r="R509" i="11" s="1"/>
  <c r="T509" i="11" s="1"/>
  <c r="J509" i="11"/>
  <c r="X509" i="11" l="1"/>
  <c r="AB510" i="11"/>
  <c r="Z510" i="11"/>
  <c r="E509" i="11"/>
  <c r="I509" i="11" s="1"/>
  <c r="AA509" i="11" l="1"/>
  <c r="AL510" i="11"/>
  <c r="AF510" i="11"/>
  <c r="AC510" i="11"/>
  <c r="AE510" i="11"/>
  <c r="AD510" i="11"/>
  <c r="AM510" i="11"/>
  <c r="AN510" i="11"/>
  <c r="D509" i="11"/>
  <c r="F509" i="11" s="1"/>
  <c r="N508" i="11"/>
  <c r="R508" i="11" s="1"/>
  <c r="T508" i="11" s="1"/>
  <c r="J508" i="11"/>
  <c r="X508" i="11" l="1"/>
  <c r="Z509" i="11"/>
  <c r="AB509" i="11"/>
  <c r="E508" i="11"/>
  <c r="I508" i="11" s="1"/>
  <c r="AA508" i="11" l="1"/>
  <c r="AF509" i="11"/>
  <c r="AE509" i="11"/>
  <c r="AD509" i="11"/>
  <c r="AC509" i="11"/>
  <c r="AM509" i="11"/>
  <c r="AN509" i="11"/>
  <c r="AL509" i="11"/>
  <c r="D508" i="11"/>
  <c r="F508" i="11" s="1"/>
  <c r="N507" i="11"/>
  <c r="R507" i="11" s="1"/>
  <c r="T507" i="11" s="1"/>
  <c r="J507" i="11"/>
  <c r="X507" i="11" l="1"/>
  <c r="AB508" i="11"/>
  <c r="Z508" i="11"/>
  <c r="E507" i="11"/>
  <c r="I507" i="11" s="1"/>
  <c r="AA507" i="11" l="1"/>
  <c r="AF508" i="11"/>
  <c r="AE508" i="11"/>
  <c r="AD508" i="11"/>
  <c r="AN508" i="11"/>
  <c r="AM508" i="11"/>
  <c r="AC508" i="11"/>
  <c r="AL508" i="11"/>
  <c r="D507" i="11"/>
  <c r="F507" i="11" s="1"/>
  <c r="N506" i="11"/>
  <c r="R506" i="11" s="1"/>
  <c r="T506" i="11" s="1"/>
  <c r="J506" i="11"/>
  <c r="X506" i="11" l="1"/>
  <c r="AB507" i="11"/>
  <c r="Z507" i="11"/>
  <c r="F506" i="11"/>
  <c r="E506" i="11"/>
  <c r="I506" i="11" s="1"/>
  <c r="AA506" i="11" l="1"/>
  <c r="AF507" i="11"/>
  <c r="AD507" i="11"/>
  <c r="AC507" i="11"/>
  <c r="AE507" i="11"/>
  <c r="AL507" i="11"/>
  <c r="AN507" i="11"/>
  <c r="AM507" i="11"/>
  <c r="R505" i="11"/>
  <c r="T505" i="11" s="1"/>
  <c r="N505" i="11"/>
  <c r="X505" i="11" s="1"/>
  <c r="J505" i="11"/>
  <c r="AB506" i="11" l="1"/>
  <c r="Z506" i="11"/>
  <c r="E505" i="11"/>
  <c r="I505" i="11" s="1"/>
  <c r="AA505" i="11" l="1"/>
  <c r="AF506" i="11"/>
  <c r="AE506" i="11"/>
  <c r="AD506" i="11"/>
  <c r="AC506" i="11"/>
  <c r="AN506" i="11"/>
  <c r="AM506" i="11"/>
  <c r="AL506" i="11"/>
  <c r="D505" i="11"/>
  <c r="F505" i="11" s="1"/>
  <c r="N504" i="11"/>
  <c r="X504" i="11" s="1"/>
  <c r="J504" i="11"/>
  <c r="R504" i="11" l="1"/>
  <c r="T504" i="11" s="1"/>
  <c r="AB505" i="11"/>
  <c r="Z505" i="11"/>
  <c r="F504" i="11"/>
  <c r="E504" i="11"/>
  <c r="I504" i="11" s="1"/>
  <c r="AA504" i="11" l="1"/>
  <c r="AE505" i="11"/>
  <c r="AD505" i="11"/>
  <c r="AN505" i="11"/>
  <c r="AF505" i="11"/>
  <c r="AM505" i="11"/>
  <c r="AC505" i="11"/>
  <c r="AL505" i="11"/>
  <c r="N503" i="11"/>
  <c r="X503" i="11" s="1"/>
  <c r="J503" i="11"/>
  <c r="R503" i="11" l="1"/>
  <c r="T503" i="11" s="1"/>
  <c r="AB504" i="11"/>
  <c r="Z504" i="11"/>
  <c r="E503" i="11"/>
  <c r="I503" i="11" s="1"/>
  <c r="AA503" i="11" l="1"/>
  <c r="AL504" i="11"/>
  <c r="AF504" i="11"/>
  <c r="AN504" i="11"/>
  <c r="AM504" i="11"/>
  <c r="AE504" i="11"/>
  <c r="AD504" i="11"/>
  <c r="AC504" i="11"/>
  <c r="D503" i="11"/>
  <c r="F503" i="11" s="1"/>
  <c r="N502" i="11"/>
  <c r="X502" i="11" s="1"/>
  <c r="J502" i="11"/>
  <c r="R502" i="11" l="1"/>
  <c r="T502" i="11" s="1"/>
  <c r="AB503" i="11"/>
  <c r="Z503" i="11"/>
  <c r="E502" i="11"/>
  <c r="I502" i="11" s="1"/>
  <c r="AA502" i="11" l="1"/>
  <c r="AF503" i="11"/>
  <c r="AE503" i="11"/>
  <c r="AD503" i="11"/>
  <c r="AC503" i="11"/>
  <c r="AN503" i="11"/>
  <c r="AL503" i="11"/>
  <c r="AM503" i="11"/>
  <c r="D502" i="11"/>
  <c r="F502" i="11" s="1"/>
  <c r="N501" i="11"/>
  <c r="X501" i="11" s="1"/>
  <c r="J501" i="11"/>
  <c r="R501" i="11" l="1"/>
  <c r="T501" i="11" s="1"/>
  <c r="AB502" i="11"/>
  <c r="Z502" i="11"/>
  <c r="E501" i="11"/>
  <c r="I501" i="11" s="1"/>
  <c r="AA501" i="11" l="1"/>
  <c r="AL502" i="11"/>
  <c r="AF502" i="11"/>
  <c r="AE502" i="11"/>
  <c r="AC502" i="11"/>
  <c r="AM502" i="11"/>
  <c r="AD502" i="11"/>
  <c r="AN502" i="11"/>
  <c r="D501" i="11"/>
  <c r="F501" i="11" s="1"/>
  <c r="N500" i="11"/>
  <c r="X500" i="11" s="1"/>
  <c r="J500" i="11"/>
  <c r="R500" i="11" l="1"/>
  <c r="T500" i="11" s="1"/>
  <c r="AB501" i="11"/>
  <c r="Z501" i="11"/>
  <c r="E500" i="11"/>
  <c r="I500" i="11" s="1"/>
  <c r="AA500" i="11" l="1"/>
  <c r="AL501" i="11"/>
  <c r="AF501" i="11"/>
  <c r="AD501" i="11"/>
  <c r="AE501" i="11"/>
  <c r="AC501" i="11"/>
  <c r="AM501" i="11"/>
  <c r="AN501" i="11"/>
  <c r="D500" i="11"/>
  <c r="F500" i="11" s="1"/>
  <c r="N499" i="11"/>
  <c r="R499" i="11" s="1"/>
  <c r="T499" i="11" s="1"/>
  <c r="J499" i="11"/>
  <c r="X499" i="11" l="1"/>
  <c r="AB500" i="11"/>
  <c r="Z500" i="11"/>
  <c r="E499" i="11"/>
  <c r="I499" i="11" s="1"/>
  <c r="AA499" i="11" l="1"/>
  <c r="AL500" i="11"/>
  <c r="AF500" i="11"/>
  <c r="AE500" i="11"/>
  <c r="AD500" i="11"/>
  <c r="AC500" i="11"/>
  <c r="AM500" i="11"/>
  <c r="AN500" i="11"/>
  <c r="D499" i="11"/>
  <c r="F499" i="11" s="1"/>
  <c r="A499" i="11"/>
  <c r="A500" i="11" s="1"/>
  <c r="A501" i="11" s="1"/>
  <c r="A502" i="11" s="1"/>
  <c r="A503" i="11" s="1"/>
  <c r="A504" i="11" s="1"/>
  <c r="A505" i="11" s="1"/>
  <c r="N498" i="11"/>
  <c r="X498" i="11" s="1"/>
  <c r="J498" i="11"/>
  <c r="R498" i="11" l="1"/>
  <c r="T498" i="11" s="1"/>
  <c r="AB499" i="11"/>
  <c r="Z499" i="11"/>
  <c r="E498" i="11"/>
  <c r="I498" i="11" s="1"/>
  <c r="AA498" i="11" l="1"/>
  <c r="AL499" i="11"/>
  <c r="AF499" i="11"/>
  <c r="AE499" i="11"/>
  <c r="AC499" i="11"/>
  <c r="AM499" i="11"/>
  <c r="AD499" i="11"/>
  <c r="AN499" i="11"/>
  <c r="D498" i="11"/>
  <c r="F498" i="11" s="1"/>
  <c r="N497" i="11"/>
  <c r="R497" i="11" s="1"/>
  <c r="T497" i="11" s="1"/>
  <c r="J497" i="11"/>
  <c r="X497" i="11" l="1"/>
  <c r="AB498" i="11"/>
  <c r="Z498" i="11"/>
  <c r="E497" i="11"/>
  <c r="I497" i="11" s="1"/>
  <c r="AA497" i="11" l="1"/>
  <c r="AL498" i="11"/>
  <c r="AF498" i="11"/>
  <c r="AE498" i="11"/>
  <c r="AD498" i="11"/>
  <c r="AN498" i="11"/>
  <c r="AC498" i="11"/>
  <c r="AM498" i="11"/>
  <c r="D497" i="11"/>
  <c r="F497" i="11" s="1"/>
  <c r="N496" i="11"/>
  <c r="X496" i="11" s="1"/>
  <c r="J496" i="11"/>
  <c r="R496" i="11" l="1"/>
  <c r="T496" i="11" s="1"/>
  <c r="AB497" i="11"/>
  <c r="Z497" i="11"/>
  <c r="E496" i="11"/>
  <c r="I496" i="11" s="1"/>
  <c r="AA496" i="11" l="1"/>
  <c r="AF497" i="11"/>
  <c r="AE497" i="11"/>
  <c r="AD497" i="11"/>
  <c r="AN497" i="11"/>
  <c r="AM497" i="11"/>
  <c r="AL497" i="11"/>
  <c r="AC497" i="11"/>
  <c r="D496" i="11"/>
  <c r="F496" i="11" s="1"/>
  <c r="N495" i="11"/>
  <c r="R495" i="11" s="1"/>
  <c r="T495" i="11" s="1"/>
  <c r="J495" i="11"/>
  <c r="X495" i="11" l="1"/>
  <c r="Z496" i="11"/>
  <c r="AB496" i="11"/>
  <c r="F495" i="11"/>
  <c r="E495" i="11"/>
  <c r="I495" i="11" s="1"/>
  <c r="AA495" i="11" l="1"/>
  <c r="AL496" i="11"/>
  <c r="AF496" i="11"/>
  <c r="AE496" i="11"/>
  <c r="AN496" i="11"/>
  <c r="AM496" i="11"/>
  <c r="AD496" i="11"/>
  <c r="AC496" i="11"/>
  <c r="R494" i="11"/>
  <c r="T494" i="11" s="1"/>
  <c r="N494" i="11"/>
  <c r="X494" i="11" s="1"/>
  <c r="J494" i="11"/>
  <c r="AB495" i="11" l="1"/>
  <c r="Z495" i="11"/>
  <c r="E494" i="11"/>
  <c r="AA494" i="11" l="1"/>
  <c r="AL495" i="11"/>
  <c r="AF495" i="11"/>
  <c r="AE495" i="11"/>
  <c r="AD495" i="11"/>
  <c r="AC495" i="11"/>
  <c r="AN495" i="11"/>
  <c r="AM495" i="11"/>
  <c r="D494" i="11"/>
  <c r="F494" i="11" s="1"/>
  <c r="N493" i="11"/>
  <c r="R493" i="11" s="1"/>
  <c r="T493" i="11" s="1"/>
  <c r="J493" i="11"/>
  <c r="X493" i="11" l="1"/>
  <c r="AB494" i="11"/>
  <c r="Z494" i="11"/>
  <c r="E493" i="11"/>
  <c r="AA493" i="11" l="1"/>
  <c r="AF494" i="11"/>
  <c r="AD494" i="11"/>
  <c r="AC494" i="11"/>
  <c r="AE494" i="11"/>
  <c r="AM494" i="11"/>
  <c r="AL494" i="11"/>
  <c r="AN494" i="11"/>
  <c r="D493" i="11"/>
  <c r="F493" i="11" s="1"/>
  <c r="N492" i="11"/>
  <c r="X492" i="11" s="1"/>
  <c r="J492" i="11"/>
  <c r="E492" i="11"/>
  <c r="AA492" i="11" l="1"/>
  <c r="R492" i="11"/>
  <c r="T492" i="11" s="1"/>
  <c r="Z493" i="11"/>
  <c r="AB493" i="11"/>
  <c r="D492" i="11"/>
  <c r="A492" i="11"/>
  <c r="A493" i="11" s="1"/>
  <c r="A494" i="11" s="1"/>
  <c r="A495" i="11" s="1"/>
  <c r="A496" i="11" s="1"/>
  <c r="A497" i="11" s="1"/>
  <c r="N491" i="11"/>
  <c r="X491" i="11" s="1"/>
  <c r="J491" i="11"/>
  <c r="E491" i="11"/>
  <c r="AA491" i="11" l="1"/>
  <c r="R491" i="11"/>
  <c r="T491" i="11" s="1"/>
  <c r="AL493" i="11"/>
  <c r="AF493" i="11"/>
  <c r="AE493" i="11"/>
  <c r="AD493" i="11"/>
  <c r="AC493" i="11"/>
  <c r="AN493" i="11"/>
  <c r="AM493" i="11"/>
  <c r="AB492" i="11"/>
  <c r="Z492" i="11"/>
  <c r="D491" i="11"/>
  <c r="X490" i="11"/>
  <c r="N490" i="11"/>
  <c r="R490" i="11" s="1"/>
  <c r="T490" i="11" s="1"/>
  <c r="J490" i="11"/>
  <c r="AL492" i="11" l="1"/>
  <c r="AF492" i="11"/>
  <c r="AE492" i="11"/>
  <c r="AC492" i="11"/>
  <c r="AN492" i="11"/>
  <c r="AD492" i="11"/>
  <c r="AM492" i="11"/>
  <c r="AB491" i="11"/>
  <c r="Z491" i="11"/>
  <c r="E490" i="11"/>
  <c r="AA490" i="11" l="1"/>
  <c r="AC491" i="11"/>
  <c r="AM491" i="11"/>
  <c r="AF491" i="11"/>
  <c r="AE491" i="11"/>
  <c r="AN491" i="11"/>
  <c r="AD491" i="11"/>
  <c r="AL491" i="11"/>
  <c r="D490" i="11"/>
  <c r="F490" i="11" s="1"/>
  <c r="N489" i="11"/>
  <c r="X489" i="11" s="1"/>
  <c r="J489" i="11"/>
  <c r="R489" i="11" l="1"/>
  <c r="T489" i="11" s="1"/>
  <c r="AB490" i="11"/>
  <c r="Z490" i="11"/>
  <c r="E489" i="11"/>
  <c r="AA489" i="11" l="1"/>
  <c r="AN490" i="11"/>
  <c r="AM490" i="11"/>
  <c r="AL490" i="11"/>
  <c r="AF490" i="11"/>
  <c r="AE490" i="11"/>
  <c r="AD490" i="11"/>
  <c r="AC490" i="11"/>
  <c r="D489" i="11"/>
  <c r="F489" i="11" s="1"/>
  <c r="N488" i="11"/>
  <c r="R488" i="11" s="1"/>
  <c r="T488" i="11" s="1"/>
  <c r="J488" i="11"/>
  <c r="X488" i="11" l="1"/>
  <c r="AB489" i="11"/>
  <c r="Z489" i="11"/>
  <c r="E488" i="11"/>
  <c r="AA488" i="11" l="1"/>
  <c r="AF489" i="11"/>
  <c r="AE489" i="11"/>
  <c r="AD489" i="11"/>
  <c r="AM489" i="11"/>
  <c r="AL489" i="11"/>
  <c r="AC489" i="11"/>
  <c r="AN489" i="11"/>
  <c r="D488" i="11"/>
  <c r="F488" i="11" s="1"/>
  <c r="N487" i="11"/>
  <c r="X487" i="11" s="1"/>
  <c r="J487" i="11"/>
  <c r="E487" i="11"/>
  <c r="AA487" i="11" l="1"/>
  <c r="R487" i="11"/>
  <c r="T487" i="11" s="1"/>
  <c r="AB488" i="11"/>
  <c r="Z488" i="11"/>
  <c r="D487" i="11"/>
  <c r="N486" i="11"/>
  <c r="X486" i="11" s="1"/>
  <c r="E486" i="11"/>
  <c r="AA486" i="11" l="1"/>
  <c r="R486" i="11"/>
  <c r="AF488" i="11"/>
  <c r="AE488" i="11"/>
  <c r="AD488" i="11"/>
  <c r="AC488" i="11"/>
  <c r="AM488" i="11"/>
  <c r="AN488" i="11"/>
  <c r="AL488" i="11"/>
  <c r="AB487" i="11"/>
  <c r="Z487" i="11"/>
  <c r="D486" i="11"/>
  <c r="F486" i="11" s="1"/>
  <c r="X485" i="11"/>
  <c r="T485" i="11"/>
  <c r="R485" i="11"/>
  <c r="N485" i="11"/>
  <c r="E485" i="11"/>
  <c r="AA485" i="11" l="1"/>
  <c r="AF487" i="11"/>
  <c r="AE487" i="11"/>
  <c r="AD487" i="11"/>
  <c r="AC487" i="11"/>
  <c r="AL487" i="11"/>
  <c r="AM487" i="11"/>
  <c r="AN487" i="11"/>
  <c r="AB486" i="11"/>
  <c r="Z486" i="11"/>
  <c r="D485" i="11"/>
  <c r="F485" i="11" s="1"/>
  <c r="X484" i="11"/>
  <c r="R484" i="11"/>
  <c r="T484" i="11" s="1"/>
  <c r="N484" i="11"/>
  <c r="F484" i="11"/>
  <c r="E484" i="11"/>
  <c r="AA484" i="11" l="1"/>
  <c r="AC486" i="11"/>
  <c r="AE486" i="11"/>
  <c r="AN486" i="11"/>
  <c r="AM486" i="11"/>
  <c r="AL486" i="11"/>
  <c r="AF486" i="11"/>
  <c r="AD486" i="11"/>
  <c r="Z485" i="11"/>
  <c r="AB485" i="11"/>
  <c r="N483" i="11"/>
  <c r="X483" i="11" s="1"/>
  <c r="E483" i="11"/>
  <c r="AA483" i="11" l="1"/>
  <c r="AN485" i="11"/>
  <c r="AF485" i="11"/>
  <c r="AE485" i="11"/>
  <c r="AM485" i="11"/>
  <c r="AL485" i="11"/>
  <c r="AC485" i="11"/>
  <c r="AD485" i="11"/>
  <c r="R483" i="11"/>
  <c r="T483" i="11" s="1"/>
  <c r="AB484" i="11"/>
  <c r="Z484" i="11"/>
  <c r="D483" i="11"/>
  <c r="F483" i="11" s="1"/>
  <c r="T482" i="11"/>
  <c r="E482" i="11"/>
  <c r="AA482" i="11" l="1"/>
  <c r="AM484" i="11"/>
  <c r="AL484" i="11"/>
  <c r="AF484" i="11"/>
  <c r="AE484" i="11"/>
  <c r="AD484" i="11"/>
  <c r="AN484" i="11"/>
  <c r="AC484" i="11"/>
  <c r="AB483" i="11"/>
  <c r="Z483" i="11"/>
  <c r="N481" i="11"/>
  <c r="X481" i="11" s="1"/>
  <c r="I481" i="11"/>
  <c r="AL483" i="11" l="1"/>
  <c r="AF483" i="11"/>
  <c r="AE483" i="11"/>
  <c r="AD483" i="11"/>
  <c r="AC483" i="11"/>
  <c r="AM483" i="11"/>
  <c r="AN483" i="11"/>
  <c r="R481" i="11"/>
  <c r="T481" i="11" s="1"/>
  <c r="AB482" i="11"/>
  <c r="Z482" i="11"/>
  <c r="E481" i="11"/>
  <c r="L63" i="2" l="1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AA481" i="11"/>
  <c r="AN482" i="11"/>
  <c r="AM482" i="11"/>
  <c r="AE482" i="11"/>
  <c r="AL482" i="11"/>
  <c r="AF482" i="11"/>
  <c r="AD482" i="11"/>
  <c r="AC482" i="11"/>
  <c r="D481" i="11"/>
  <c r="F481" i="11" s="1"/>
  <c r="AN480" i="11"/>
  <c r="AB480" i="11"/>
  <c r="AA480" i="11"/>
  <c r="Z480" i="11"/>
  <c r="R480" i="11"/>
  <c r="T480" i="11" s="1"/>
  <c r="N480" i="11"/>
  <c r="X480" i="11" s="1"/>
  <c r="F480" i="11"/>
  <c r="D480" i="11"/>
  <c r="AA479" i="11"/>
  <c r="X479" i="11"/>
  <c r="R479" i="11"/>
  <c r="T479" i="11" s="1"/>
  <c r="N479" i="11"/>
  <c r="D479" i="11"/>
  <c r="F479" i="11" s="1"/>
  <c r="AA478" i="11"/>
  <c r="AB478" i="11" s="1"/>
  <c r="X478" i="11"/>
  <c r="T478" i="11"/>
  <c r="N478" i="11"/>
  <c r="R478" i="11" s="1"/>
  <c r="D478" i="11"/>
  <c r="F478" i="11" s="1"/>
  <c r="AB477" i="11"/>
  <c r="AA477" i="11"/>
  <c r="Z477" i="11"/>
  <c r="R477" i="11"/>
  <c r="T477" i="11" s="1"/>
  <c r="N477" i="11"/>
  <c r="X477" i="11" s="1"/>
  <c r="F477" i="11"/>
  <c r="D477" i="11"/>
  <c r="AA476" i="11"/>
  <c r="X476" i="11"/>
  <c r="R476" i="11"/>
  <c r="T476" i="11" s="1"/>
  <c r="N476" i="11"/>
  <c r="D476" i="11"/>
  <c r="F476" i="11" s="1"/>
  <c r="AA475" i="11"/>
  <c r="AB475" i="11" s="1"/>
  <c r="X475" i="11"/>
  <c r="T475" i="11"/>
  <c r="N475" i="11"/>
  <c r="R475" i="11" s="1"/>
  <c r="D475" i="11"/>
  <c r="F475" i="11" s="1"/>
  <c r="AB474" i="11"/>
  <c r="AA474" i="11"/>
  <c r="Z474" i="11"/>
  <c r="N474" i="11"/>
  <c r="F474" i="11"/>
  <c r="D474" i="11"/>
  <c r="AE473" i="11"/>
  <c r="AA473" i="11"/>
  <c r="AB473" i="11" s="1"/>
  <c r="Z473" i="11"/>
  <c r="X473" i="11"/>
  <c r="N473" i="11"/>
  <c r="R473" i="11" s="1"/>
  <c r="T473" i="11" s="1"/>
  <c r="D473" i="11"/>
  <c r="F473" i="11" s="1"/>
  <c r="AN472" i="11"/>
  <c r="AD472" i="11"/>
  <c r="AB472" i="11"/>
  <c r="AC472" i="11" s="1"/>
  <c r="AA472" i="11"/>
  <c r="Z472" i="11"/>
  <c r="R472" i="11"/>
  <c r="T472" i="11" s="1"/>
  <c r="N472" i="11"/>
  <c r="X472" i="11" s="1"/>
  <c r="D472" i="11"/>
  <c r="F472" i="11" s="1"/>
  <c r="AA471" i="11"/>
  <c r="N471" i="11"/>
  <c r="D471" i="11"/>
  <c r="F471" i="11" s="1"/>
  <c r="AE470" i="11"/>
  <c r="AA470" i="11"/>
  <c r="AB470" i="11" s="1"/>
  <c r="Z470" i="11"/>
  <c r="X470" i="11"/>
  <c r="N470" i="11"/>
  <c r="R470" i="11" s="1"/>
  <c r="T470" i="11" s="1"/>
  <c r="D470" i="11"/>
  <c r="F470" i="11" s="1"/>
  <c r="AN469" i="11"/>
  <c r="AD469" i="11"/>
  <c r="AB469" i="11"/>
  <c r="AC469" i="11" s="1"/>
  <c r="AA469" i="11"/>
  <c r="Z469" i="11"/>
  <c r="R469" i="11"/>
  <c r="T469" i="11" s="1"/>
  <c r="N469" i="11"/>
  <c r="X469" i="11" s="1"/>
  <c r="D469" i="11"/>
  <c r="F469" i="11" s="1"/>
  <c r="AN468" i="11"/>
  <c r="AB468" i="11"/>
  <c r="AA468" i="11"/>
  <c r="Z468" i="11"/>
  <c r="R468" i="11"/>
  <c r="T468" i="11" s="1"/>
  <c r="N468" i="11"/>
  <c r="X468" i="11" s="1"/>
  <c r="F468" i="11"/>
  <c r="D468" i="11"/>
  <c r="AL467" i="11"/>
  <c r="AB467" i="11"/>
  <c r="AA467" i="11"/>
  <c r="Z467" i="11"/>
  <c r="N467" i="11"/>
  <c r="X467" i="11" s="1"/>
  <c r="F467" i="11"/>
  <c r="D467" i="11"/>
  <c r="AE466" i="11"/>
  <c r="AA466" i="11"/>
  <c r="AB466" i="11" s="1"/>
  <c r="AL466" i="11" s="1"/>
  <c r="Z466" i="11"/>
  <c r="R466" i="11"/>
  <c r="T466" i="11" s="1"/>
  <c r="N466" i="11"/>
  <c r="X466" i="11" s="1"/>
  <c r="F466" i="11"/>
  <c r="D466" i="11"/>
  <c r="AF465" i="11"/>
  <c r="AE465" i="11"/>
  <c r="AB465" i="11"/>
  <c r="AN465" i="11" s="1"/>
  <c r="AA465" i="11"/>
  <c r="Z465" i="11"/>
  <c r="X465" i="11"/>
  <c r="T465" i="11"/>
  <c r="N465" i="11"/>
  <c r="R465" i="11" s="1"/>
  <c r="D465" i="11"/>
  <c r="F465" i="11" s="1"/>
  <c r="AA464" i="11"/>
  <c r="AB464" i="11" s="1"/>
  <c r="X464" i="11"/>
  <c r="T464" i="11"/>
  <c r="N464" i="11"/>
  <c r="R464" i="11" s="1"/>
  <c r="D464" i="11"/>
  <c r="F464" i="11" s="1"/>
  <c r="A464" i="11"/>
  <c r="A465" i="11" s="1"/>
  <c r="A466" i="11" s="1"/>
  <c r="A467" i="11" s="1"/>
  <c r="A468" i="11" s="1"/>
  <c r="A469" i="11" s="1"/>
  <c r="AM463" i="11"/>
  <c r="AA463" i="11"/>
  <c r="AB463" i="11" s="1"/>
  <c r="Z463" i="11"/>
  <c r="N463" i="11"/>
  <c r="D463" i="11"/>
  <c r="F463" i="11" s="1"/>
  <c r="AA462" i="11"/>
  <c r="N462" i="11"/>
  <c r="D462" i="11"/>
  <c r="F462" i="11" s="1"/>
  <c r="AN461" i="11"/>
  <c r="AM461" i="11"/>
  <c r="AL461" i="11"/>
  <c r="AF461" i="11"/>
  <c r="AE461" i="11"/>
  <c r="AD461" i="11"/>
  <c r="AC461" i="11"/>
  <c r="AA461" i="11"/>
  <c r="Z461" i="11"/>
  <c r="N461" i="11"/>
  <c r="X461" i="11" s="1"/>
  <c r="F461" i="11"/>
  <c r="D461" i="11"/>
  <c r="A461" i="11"/>
  <c r="A462" i="11" s="1"/>
  <c r="A463" i="11" s="1"/>
  <c r="AN460" i="11"/>
  <c r="AM460" i="11"/>
  <c r="AL460" i="11"/>
  <c r="AF460" i="11"/>
  <c r="AE460" i="11"/>
  <c r="AD460" i="11"/>
  <c r="AC460" i="11"/>
  <c r="AA460" i="11"/>
  <c r="Z460" i="11"/>
  <c r="X460" i="11"/>
  <c r="R460" i="11"/>
  <c r="T460" i="11" s="1"/>
  <c r="N460" i="11"/>
  <c r="F460" i="11"/>
  <c r="D460" i="11"/>
  <c r="A460" i="11"/>
  <c r="AN459" i="11"/>
  <c r="AM459" i="11"/>
  <c r="AL459" i="11"/>
  <c r="AF459" i="11"/>
  <c r="AE459" i="11"/>
  <c r="AD459" i="11"/>
  <c r="AC459" i="11"/>
  <c r="AA459" i="11"/>
  <c r="Z459" i="11" s="1"/>
  <c r="N459" i="11"/>
  <c r="D459" i="11"/>
  <c r="F459" i="11" s="1"/>
  <c r="A459" i="11"/>
  <c r="AA458" i="11"/>
  <c r="N458" i="11"/>
  <c r="D458" i="11"/>
  <c r="F458" i="11" s="1"/>
  <c r="AE457" i="11"/>
  <c r="AA457" i="11"/>
  <c r="AB457" i="11" s="1"/>
  <c r="Z457" i="11"/>
  <c r="X457" i="11"/>
  <c r="T457" i="11"/>
  <c r="N457" i="11"/>
  <c r="R457" i="11" s="1"/>
  <c r="D457" i="11"/>
  <c r="F457" i="11" s="1"/>
  <c r="AD456" i="11"/>
  <c r="AB456" i="11"/>
  <c r="AA456" i="11"/>
  <c r="Z456" i="11"/>
  <c r="R456" i="11"/>
  <c r="T456" i="11" s="1"/>
  <c r="N456" i="11"/>
  <c r="X456" i="11" s="1"/>
  <c r="D456" i="11"/>
  <c r="F456" i="11" s="1"/>
  <c r="AA455" i="11"/>
  <c r="N455" i="11"/>
  <c r="D455" i="11"/>
  <c r="F455" i="11" s="1"/>
  <c r="AE454" i="11"/>
  <c r="AA454" i="11"/>
  <c r="AB454" i="11" s="1"/>
  <c r="Z454" i="11"/>
  <c r="X454" i="11"/>
  <c r="T454" i="11"/>
  <c r="N454" i="11"/>
  <c r="R454" i="11" s="1"/>
  <c r="D454" i="11"/>
  <c r="F454" i="11" s="1"/>
  <c r="AN453" i="11"/>
  <c r="AD453" i="11"/>
  <c r="AB453" i="11"/>
  <c r="AA453" i="11"/>
  <c r="Z453" i="11"/>
  <c r="R453" i="11"/>
  <c r="T453" i="11" s="1"/>
  <c r="N453" i="11"/>
  <c r="X453" i="11" s="1"/>
  <c r="D453" i="11"/>
  <c r="F453" i="11" s="1"/>
  <c r="AA452" i="11"/>
  <c r="N452" i="11"/>
  <c r="D452" i="11"/>
  <c r="F452" i="11" s="1"/>
  <c r="AE451" i="11"/>
  <c r="AA451" i="11"/>
  <c r="AB451" i="11" s="1"/>
  <c r="Z451" i="11"/>
  <c r="X451" i="11"/>
  <c r="T451" i="11"/>
  <c r="N451" i="11"/>
  <c r="R451" i="11" s="1"/>
  <c r="D451" i="11"/>
  <c r="F451" i="11" s="1"/>
  <c r="AD450" i="11"/>
  <c r="AB450" i="11"/>
  <c r="AA450" i="11"/>
  <c r="Z450" i="11"/>
  <c r="R450" i="11"/>
  <c r="T450" i="11" s="1"/>
  <c r="N450" i="11"/>
  <c r="X450" i="11" s="1"/>
  <c r="D450" i="11"/>
  <c r="F450" i="11" s="1"/>
  <c r="AA449" i="11"/>
  <c r="N449" i="11"/>
  <c r="D449" i="11"/>
  <c r="F449" i="11" s="1"/>
  <c r="A449" i="11"/>
  <c r="AA448" i="11"/>
  <c r="X448" i="11"/>
  <c r="R448" i="11"/>
  <c r="T448" i="11" s="1"/>
  <c r="N448" i="11"/>
  <c r="D448" i="11"/>
  <c r="F448" i="11" s="1"/>
  <c r="AC447" i="11"/>
  <c r="AA447" i="11"/>
  <c r="AB447" i="11" s="1"/>
  <c r="X447" i="11"/>
  <c r="R447" i="11"/>
  <c r="N447" i="11"/>
  <c r="F447" i="11"/>
  <c r="AL446" i="11"/>
  <c r="AE446" i="11"/>
  <c r="AA446" i="11"/>
  <c r="AB446" i="11" s="1"/>
  <c r="Z446" i="11"/>
  <c r="N446" i="11"/>
  <c r="X446" i="11" s="1"/>
  <c r="F446" i="11"/>
  <c r="AB445" i="11"/>
  <c r="AA445" i="11"/>
  <c r="Z445" i="11"/>
  <c r="R445" i="11"/>
  <c r="T445" i="11" s="1"/>
  <c r="N445" i="11"/>
  <c r="X445" i="11" s="1"/>
  <c r="F445" i="11"/>
  <c r="D445" i="11"/>
  <c r="AA444" i="11"/>
  <c r="X444" i="11"/>
  <c r="R444" i="11"/>
  <c r="T444" i="11" s="1"/>
  <c r="N444" i="11"/>
  <c r="D444" i="11"/>
  <c r="F444" i="11" s="1"/>
  <c r="AN443" i="11"/>
  <c r="AM443" i="11"/>
  <c r="AL443" i="11"/>
  <c r="AF443" i="11"/>
  <c r="AE443" i="11"/>
  <c r="AD443" i="11"/>
  <c r="AB443" i="11"/>
  <c r="AC443" i="11" s="1"/>
  <c r="AA443" i="11"/>
  <c r="Z443" i="11"/>
  <c r="X443" i="11"/>
  <c r="N443" i="11"/>
  <c r="R443" i="11" s="1"/>
  <c r="T443" i="11" s="1"/>
  <c r="F443" i="11"/>
  <c r="D443" i="11"/>
  <c r="AN442" i="11"/>
  <c r="AD442" i="11"/>
  <c r="AA442" i="11"/>
  <c r="AB442" i="11" s="1"/>
  <c r="Z442" i="11"/>
  <c r="X442" i="11"/>
  <c r="R442" i="11"/>
  <c r="T442" i="11" s="1"/>
  <c r="N442" i="11"/>
  <c r="F442" i="11"/>
  <c r="D442" i="11"/>
  <c r="AB441" i="11"/>
  <c r="AA441" i="11"/>
  <c r="Z441" i="11"/>
  <c r="R441" i="11"/>
  <c r="T441" i="11" s="1"/>
  <c r="N441" i="11"/>
  <c r="X441" i="11" s="1"/>
  <c r="D441" i="11"/>
  <c r="F441" i="11" s="1"/>
  <c r="AL440" i="11"/>
  <c r="AB440" i="11"/>
  <c r="AA440" i="11"/>
  <c r="Z440" i="11"/>
  <c r="T440" i="11"/>
  <c r="R440" i="11"/>
  <c r="N440" i="11"/>
  <c r="X440" i="11" s="1"/>
  <c r="F440" i="11"/>
  <c r="D440" i="11"/>
  <c r="AL439" i="11"/>
  <c r="AC439" i="11"/>
  <c r="AB439" i="11"/>
  <c r="AA439" i="11"/>
  <c r="Z439" i="11"/>
  <c r="N439" i="11"/>
  <c r="X439" i="11" s="1"/>
  <c r="F439" i="11"/>
  <c r="D439" i="11"/>
  <c r="AM438" i="11"/>
  <c r="AL438" i="11"/>
  <c r="AE438" i="11"/>
  <c r="AA438" i="11"/>
  <c r="AB438" i="11" s="1"/>
  <c r="Z438" i="11"/>
  <c r="N438" i="11"/>
  <c r="F438" i="11"/>
  <c r="D438" i="11"/>
  <c r="AE437" i="11"/>
  <c r="AA437" i="11"/>
  <c r="AB437" i="11" s="1"/>
  <c r="Z437" i="11"/>
  <c r="X437" i="11"/>
  <c r="T437" i="11"/>
  <c r="N437" i="11"/>
  <c r="R437" i="11" s="1"/>
  <c r="D437" i="11"/>
  <c r="F437" i="11" s="1"/>
  <c r="AF436" i="11"/>
  <c r="AC436" i="11"/>
  <c r="AA436" i="11"/>
  <c r="AB436" i="11" s="1"/>
  <c r="X436" i="11"/>
  <c r="N436" i="11"/>
  <c r="R436" i="11" s="1"/>
  <c r="T436" i="11" s="1"/>
  <c r="D436" i="11"/>
  <c r="F436" i="11" s="1"/>
  <c r="AN435" i="11"/>
  <c r="AM435" i="11"/>
  <c r="AL435" i="11"/>
  <c r="AF435" i="11"/>
  <c r="AD435" i="11"/>
  <c r="AC435" i="11"/>
  <c r="AB435" i="11"/>
  <c r="AE435" i="11" s="1"/>
  <c r="Z435" i="11"/>
  <c r="R435" i="11"/>
  <c r="T435" i="11" s="1"/>
  <c r="N435" i="11"/>
  <c r="X435" i="11" s="1"/>
  <c r="F435" i="11"/>
  <c r="D435" i="11"/>
  <c r="AL434" i="11"/>
  <c r="AB434" i="11"/>
  <c r="AA434" i="11"/>
  <c r="Z434" i="11"/>
  <c r="N434" i="11"/>
  <c r="X434" i="11" s="1"/>
  <c r="F434" i="11"/>
  <c r="D434" i="11"/>
  <c r="AM433" i="11"/>
  <c r="AL433" i="11"/>
  <c r="AE433" i="11"/>
  <c r="AA433" i="11"/>
  <c r="AB433" i="11" s="1"/>
  <c r="Z433" i="11"/>
  <c r="N433" i="11"/>
  <c r="F433" i="11"/>
  <c r="D433" i="11"/>
  <c r="AA432" i="11"/>
  <c r="X432" i="11"/>
  <c r="T432" i="11"/>
  <c r="N432" i="11"/>
  <c r="R432" i="11" s="1"/>
  <c r="D432" i="11"/>
  <c r="F432" i="11" s="1"/>
  <c r="AF431" i="11"/>
  <c r="AE431" i="11"/>
  <c r="AC431" i="11"/>
  <c r="AA431" i="11"/>
  <c r="AB431" i="11" s="1"/>
  <c r="X431" i="11"/>
  <c r="N431" i="11"/>
  <c r="R431" i="11" s="1"/>
  <c r="T431" i="11" s="1"/>
  <c r="D431" i="11"/>
  <c r="F431" i="11" s="1"/>
  <c r="AN430" i="11"/>
  <c r="AM430" i="11"/>
  <c r="AA430" i="11"/>
  <c r="AB430" i="11" s="1"/>
  <c r="Z430" i="11"/>
  <c r="X430" i="11"/>
  <c r="R430" i="11"/>
  <c r="T430" i="11" s="1"/>
  <c r="N430" i="11"/>
  <c r="D430" i="11"/>
  <c r="F430" i="11" s="1"/>
  <c r="AM429" i="11"/>
  <c r="AD429" i="11"/>
  <c r="AC429" i="11"/>
  <c r="AB429" i="11"/>
  <c r="AA429" i="11"/>
  <c r="Z429" i="11" s="1"/>
  <c r="N429" i="11"/>
  <c r="D429" i="11"/>
  <c r="F429" i="11" s="1"/>
  <c r="AA428" i="11"/>
  <c r="R428" i="11"/>
  <c r="T428" i="11" s="1"/>
  <c r="N428" i="11"/>
  <c r="X428" i="11" s="1"/>
  <c r="F428" i="11"/>
  <c r="D428" i="11"/>
  <c r="AB427" i="11"/>
  <c r="Z427" i="11"/>
  <c r="X427" i="11"/>
  <c r="N427" i="11"/>
  <c r="R427" i="11" s="1"/>
  <c r="T427" i="11" s="1"/>
  <c r="D427" i="11"/>
  <c r="F427" i="11" s="1"/>
  <c r="AF426" i="11"/>
  <c r="AE426" i="11"/>
  <c r="AD426" i="11"/>
  <c r="AC426" i="11"/>
  <c r="AA426" i="11"/>
  <c r="AB426" i="11" s="1"/>
  <c r="X426" i="11"/>
  <c r="N426" i="11"/>
  <c r="R426" i="11" s="1"/>
  <c r="T426" i="11" s="1"/>
  <c r="D426" i="11"/>
  <c r="F426" i="11" s="1"/>
  <c r="A426" i="1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M425" i="11"/>
  <c r="AC425" i="11"/>
  <c r="AA425" i="11"/>
  <c r="AB425" i="11" s="1"/>
  <c r="Z425" i="11"/>
  <c r="X425" i="11"/>
  <c r="R425" i="11"/>
  <c r="T425" i="11" s="1"/>
  <c r="N425" i="11"/>
  <c r="D425" i="11"/>
  <c r="F425" i="11" s="1"/>
  <c r="AB424" i="11"/>
  <c r="AA424" i="11"/>
  <c r="Z424" i="11" s="1"/>
  <c r="N424" i="11"/>
  <c r="D424" i="11"/>
  <c r="F424" i="11" s="1"/>
  <c r="A424" i="11"/>
  <c r="A425" i="11" s="1"/>
  <c r="AA423" i="11"/>
  <c r="R423" i="11"/>
  <c r="T423" i="11" s="1"/>
  <c r="N423" i="11"/>
  <c r="X423" i="11" s="1"/>
  <c r="D423" i="11"/>
  <c r="F423" i="11" s="1"/>
  <c r="A423" i="11"/>
  <c r="AF422" i="11"/>
  <c r="AB422" i="11"/>
  <c r="AA422" i="11"/>
  <c r="Z422" i="11"/>
  <c r="X422" i="11"/>
  <c r="R422" i="11"/>
  <c r="T422" i="11" s="1"/>
  <c r="N422" i="11"/>
  <c r="D422" i="11"/>
  <c r="F422" i="11" s="1"/>
  <c r="AE421" i="11"/>
  <c r="AD421" i="11"/>
  <c r="AC421" i="11"/>
  <c r="AA421" i="11"/>
  <c r="AB421" i="11" s="1"/>
  <c r="AF421" i="11" s="1"/>
  <c r="X421" i="11"/>
  <c r="N421" i="11"/>
  <c r="R421" i="11" s="1"/>
  <c r="T421" i="11" s="1"/>
  <c r="D421" i="11"/>
  <c r="F421" i="11" s="1"/>
  <c r="AN420" i="11"/>
  <c r="AL420" i="11"/>
  <c r="AB420" i="11"/>
  <c r="AA420" i="11"/>
  <c r="Z420" i="11"/>
  <c r="T420" i="11"/>
  <c r="R420" i="11"/>
  <c r="N420" i="11"/>
  <c r="X420" i="11" s="1"/>
  <c r="F420" i="11"/>
  <c r="D420" i="11"/>
  <c r="AB419" i="11"/>
  <c r="AA419" i="11"/>
  <c r="Z419" i="11"/>
  <c r="X419" i="11"/>
  <c r="R419" i="11"/>
  <c r="T419" i="11" s="1"/>
  <c r="N419" i="11"/>
  <c r="D419" i="11"/>
  <c r="F419" i="11" s="1"/>
  <c r="AF418" i="11"/>
  <c r="AE418" i="11"/>
  <c r="AD418" i="11"/>
  <c r="AC418" i="11"/>
  <c r="AA418" i="11"/>
  <c r="AB418" i="11" s="1"/>
  <c r="X418" i="11"/>
  <c r="N418" i="11"/>
  <c r="R418" i="11" s="1"/>
  <c r="T418" i="11" s="1"/>
  <c r="D418" i="11"/>
  <c r="F418" i="11" s="1"/>
  <c r="AN417" i="11"/>
  <c r="AM417" i="11"/>
  <c r="AL417" i="11"/>
  <c r="AB417" i="11"/>
  <c r="AA417" i="11"/>
  <c r="Z417" i="11"/>
  <c r="R417" i="11"/>
  <c r="N417" i="11"/>
  <c r="X417" i="11" s="1"/>
  <c r="F417" i="11"/>
  <c r="AN416" i="11"/>
  <c r="AE416" i="11"/>
  <c r="AD416" i="11"/>
  <c r="AB416" i="11"/>
  <c r="AM416" i="11" s="1"/>
  <c r="AA416" i="11"/>
  <c r="Z416" i="11"/>
  <c r="X416" i="11"/>
  <c r="T416" i="11"/>
  <c r="R416" i="11"/>
  <c r="N416" i="11"/>
  <c r="F416" i="11"/>
  <c r="D416" i="11"/>
  <c r="AD415" i="11"/>
  <c r="AB415" i="11"/>
  <c r="AA415" i="11"/>
  <c r="Z415" i="11" s="1"/>
  <c r="N415" i="11"/>
  <c r="D415" i="11"/>
  <c r="F415" i="11" s="1"/>
  <c r="AM414" i="11"/>
  <c r="AF414" i="11"/>
  <c r="AA414" i="11"/>
  <c r="AB414" i="11" s="1"/>
  <c r="Z414" i="11"/>
  <c r="N414" i="11"/>
  <c r="D414" i="11"/>
  <c r="F414" i="11" s="1"/>
  <c r="AN413" i="11"/>
  <c r="AE413" i="11"/>
  <c r="AD413" i="11"/>
  <c r="AB413" i="11"/>
  <c r="AM413" i="11" s="1"/>
  <c r="AA413" i="11"/>
  <c r="Z413" i="11"/>
  <c r="X413" i="11"/>
  <c r="T413" i="11"/>
  <c r="R413" i="11"/>
  <c r="N413" i="11"/>
  <c r="F413" i="11"/>
  <c r="D413" i="11"/>
  <c r="AA412" i="11"/>
  <c r="Z412" i="11" s="1"/>
  <c r="N412" i="11"/>
  <c r="X412" i="11" s="1"/>
  <c r="D412" i="11"/>
  <c r="F412" i="11" s="1"/>
  <c r="AM411" i="11"/>
  <c r="AF411" i="11"/>
  <c r="AE411" i="11"/>
  <c r="AA411" i="11"/>
  <c r="AB411" i="11" s="1"/>
  <c r="N411" i="11"/>
  <c r="D411" i="11"/>
  <c r="F411" i="11" s="1"/>
  <c r="AN410" i="11"/>
  <c r="AM410" i="11"/>
  <c r="AL410" i="11"/>
  <c r="AF410" i="11"/>
  <c r="AE410" i="11"/>
  <c r="AD410" i="11"/>
  <c r="AC410" i="11"/>
  <c r="AA410" i="11"/>
  <c r="Z410" i="11" s="1"/>
  <c r="X410" i="11"/>
  <c r="N410" i="11"/>
  <c r="R410" i="11" s="1"/>
  <c r="T410" i="11" s="1"/>
  <c r="D410" i="11"/>
  <c r="F410" i="11" s="1"/>
  <c r="AA409" i="11"/>
  <c r="AB409" i="11" s="1"/>
  <c r="Z409" i="11"/>
  <c r="N409" i="11"/>
  <c r="F409" i="11"/>
  <c r="D409" i="11"/>
  <c r="AN408" i="11"/>
  <c r="AL408" i="11"/>
  <c r="AF408" i="11"/>
  <c r="AE408" i="11"/>
  <c r="AD408" i="11"/>
  <c r="AB408" i="11"/>
  <c r="AC408" i="11" s="1"/>
  <c r="AA408" i="11"/>
  <c r="Z408" i="11"/>
  <c r="X408" i="11"/>
  <c r="R408" i="11"/>
  <c r="T408" i="11" s="1"/>
  <c r="N408" i="11"/>
  <c r="F408" i="11"/>
  <c r="D408" i="11"/>
  <c r="AA407" i="11"/>
  <c r="AB407" i="11" s="1"/>
  <c r="T407" i="11"/>
  <c r="R407" i="11"/>
  <c r="N407" i="11"/>
  <c r="X407" i="11" s="1"/>
  <c r="D407" i="11"/>
  <c r="F407" i="11" s="1"/>
  <c r="AA406" i="11"/>
  <c r="AB406" i="11" s="1"/>
  <c r="N406" i="11"/>
  <c r="F406" i="11"/>
  <c r="D406" i="11"/>
  <c r="AN405" i="11"/>
  <c r="AL405" i="11"/>
  <c r="AF405" i="11"/>
  <c r="AE405" i="11"/>
  <c r="AD405" i="11"/>
  <c r="AB405" i="11"/>
  <c r="AC405" i="11" s="1"/>
  <c r="AA405" i="11"/>
  <c r="Z405" i="11"/>
  <c r="X405" i="11"/>
  <c r="R405" i="11"/>
  <c r="T405" i="11" s="1"/>
  <c r="N405" i="11"/>
  <c r="D405" i="11"/>
  <c r="F405" i="11" s="1"/>
  <c r="AN404" i="11"/>
  <c r="AM404" i="11"/>
  <c r="AD404" i="11"/>
  <c r="AA404" i="11"/>
  <c r="AB404" i="11" s="1"/>
  <c r="N404" i="11"/>
  <c r="D404" i="11"/>
  <c r="F404" i="11" s="1"/>
  <c r="AM403" i="11"/>
  <c r="AL403" i="11"/>
  <c r="AC403" i="11"/>
  <c r="AB403" i="11"/>
  <c r="AA403" i="11"/>
  <c r="Z403" i="11" s="1"/>
  <c r="N403" i="11"/>
  <c r="F403" i="11"/>
  <c r="D403" i="11"/>
  <c r="AN402" i="11"/>
  <c r="AL402" i="11"/>
  <c r="AF402" i="11"/>
  <c r="AE402" i="11"/>
  <c r="AD402" i="11"/>
  <c r="AB402" i="11"/>
  <c r="AC402" i="11" s="1"/>
  <c r="AA402" i="11"/>
  <c r="Z402" i="11"/>
  <c r="X402" i="11"/>
  <c r="R402" i="11"/>
  <c r="T402" i="11" s="1"/>
  <c r="N402" i="11"/>
  <c r="F402" i="11"/>
  <c r="D402" i="11"/>
  <c r="AN401" i="11"/>
  <c r="AD401" i="11"/>
  <c r="AC401" i="11"/>
  <c r="AA401" i="11"/>
  <c r="AB401" i="11" s="1"/>
  <c r="X401" i="11"/>
  <c r="N401" i="11"/>
  <c r="R401" i="11" s="1"/>
  <c r="T401" i="11" s="1"/>
  <c r="D401" i="11"/>
  <c r="F401" i="11" s="1"/>
  <c r="AA400" i="11"/>
  <c r="N400" i="11"/>
  <c r="F400" i="11"/>
  <c r="D400" i="11"/>
  <c r="AN399" i="11"/>
  <c r="AL399" i="11"/>
  <c r="AF399" i="11"/>
  <c r="AE399" i="11"/>
  <c r="AD399" i="11"/>
  <c r="AB399" i="11"/>
  <c r="AC399" i="11" s="1"/>
  <c r="AA399" i="11"/>
  <c r="Z399" i="11"/>
  <c r="X399" i="11"/>
  <c r="R399" i="11"/>
  <c r="T399" i="11" s="1"/>
  <c r="N399" i="11"/>
  <c r="F399" i="11"/>
  <c r="D399" i="11"/>
  <c r="AA398" i="11"/>
  <c r="AB398" i="11" s="1"/>
  <c r="T398" i="11"/>
  <c r="R398" i="11"/>
  <c r="N398" i="11"/>
  <c r="X398" i="11" s="1"/>
  <c r="D398" i="11"/>
  <c r="F398" i="11" s="1"/>
  <c r="AM397" i="11"/>
  <c r="AE397" i="11"/>
  <c r="AB397" i="11"/>
  <c r="AA397" i="11"/>
  <c r="Z397" i="11"/>
  <c r="N397" i="11"/>
  <c r="F397" i="11"/>
  <c r="D397" i="11"/>
  <c r="AN396" i="11"/>
  <c r="AL396" i="11"/>
  <c r="AF396" i="11"/>
  <c r="AE396" i="11"/>
  <c r="AD396" i="11"/>
  <c r="AB396" i="11"/>
  <c r="AC396" i="11" s="1"/>
  <c r="AA396" i="11"/>
  <c r="Z396" i="11"/>
  <c r="X396" i="11"/>
  <c r="R396" i="11"/>
  <c r="T396" i="11" s="1"/>
  <c r="N396" i="11"/>
  <c r="F396" i="11"/>
  <c r="D396" i="11"/>
  <c r="AA395" i="11"/>
  <c r="X395" i="11"/>
  <c r="R395" i="11"/>
  <c r="T395" i="11" s="1"/>
  <c r="N395" i="11"/>
  <c r="D395" i="11"/>
  <c r="F395" i="11" s="1"/>
  <c r="AA394" i="11"/>
  <c r="AB394" i="11" s="1"/>
  <c r="N394" i="11"/>
  <c r="F394" i="11"/>
  <c r="D394" i="11"/>
  <c r="AN393" i="11"/>
  <c r="AL393" i="11"/>
  <c r="AF393" i="11"/>
  <c r="AE393" i="11"/>
  <c r="AD393" i="11"/>
  <c r="AB393" i="11"/>
  <c r="AA393" i="11"/>
  <c r="Z393" i="11"/>
  <c r="X393" i="11"/>
  <c r="R393" i="11"/>
  <c r="T393" i="11" s="1"/>
  <c r="N393" i="11"/>
  <c r="D393" i="11"/>
  <c r="F393" i="11" s="1"/>
  <c r="AA392" i="11"/>
  <c r="N392" i="11"/>
  <c r="D392" i="11"/>
  <c r="F392" i="11" s="1"/>
  <c r="AM391" i="11"/>
  <c r="AL391" i="11"/>
  <c r="AE391" i="11"/>
  <c r="AC391" i="11"/>
  <c r="AB391" i="11"/>
  <c r="AA391" i="11"/>
  <c r="Z391" i="11"/>
  <c r="N391" i="11"/>
  <c r="F391" i="11"/>
  <c r="D391" i="11"/>
  <c r="AL390" i="11"/>
  <c r="AF390" i="11"/>
  <c r="AE390" i="11"/>
  <c r="AD390" i="11"/>
  <c r="AB390" i="11"/>
  <c r="AN390" i="11" s="1"/>
  <c r="AA390" i="11"/>
  <c r="Z390" i="11"/>
  <c r="X390" i="11"/>
  <c r="R390" i="11"/>
  <c r="T390" i="11" s="1"/>
  <c r="N390" i="11"/>
  <c r="F390" i="11"/>
  <c r="D390" i="11"/>
  <c r="AA389" i="11"/>
  <c r="X389" i="11"/>
  <c r="R389" i="11"/>
  <c r="T389" i="11" s="1"/>
  <c r="N389" i="11"/>
  <c r="D389" i="11"/>
  <c r="F389" i="11" s="1"/>
  <c r="AL388" i="11"/>
  <c r="AE388" i="11"/>
  <c r="AC388" i="11"/>
  <c r="AB388" i="11"/>
  <c r="AM388" i="11" s="1"/>
  <c r="AA388" i="11"/>
  <c r="Z388" i="11" s="1"/>
  <c r="N388" i="11"/>
  <c r="F388" i="11"/>
  <c r="D388" i="11"/>
  <c r="AN387" i="11"/>
  <c r="AF387" i="11"/>
  <c r="AE387" i="11"/>
  <c r="AD387" i="11"/>
  <c r="AB387" i="11"/>
  <c r="AL387" i="11" s="1"/>
  <c r="AA387" i="11"/>
  <c r="Z387" i="11"/>
  <c r="X387" i="11"/>
  <c r="R387" i="11"/>
  <c r="T387" i="11" s="1"/>
  <c r="N387" i="11"/>
  <c r="D387" i="11"/>
  <c r="F387" i="11" s="1"/>
  <c r="AA386" i="11"/>
  <c r="X386" i="11"/>
  <c r="N386" i="11"/>
  <c r="R386" i="11" s="1"/>
  <c r="T386" i="11" s="1"/>
  <c r="D386" i="11"/>
  <c r="F386" i="11" s="1"/>
  <c r="AM385" i="11"/>
  <c r="AC385" i="11"/>
  <c r="AB385" i="11"/>
  <c r="AA385" i="11"/>
  <c r="Z385" i="11" s="1"/>
  <c r="N385" i="11"/>
  <c r="F385" i="11"/>
  <c r="D385" i="11"/>
  <c r="AE384" i="11"/>
  <c r="AD384" i="11"/>
  <c r="AB384" i="11"/>
  <c r="AA384" i="11"/>
  <c r="Z384" i="11"/>
  <c r="X384" i="11"/>
  <c r="R384" i="11"/>
  <c r="T384" i="11" s="1"/>
  <c r="N384" i="11"/>
  <c r="F384" i="11"/>
  <c r="D384" i="11"/>
  <c r="AA383" i="11"/>
  <c r="X383" i="11"/>
  <c r="R383" i="11"/>
  <c r="T383" i="11" s="1"/>
  <c r="N383" i="11"/>
  <c r="D383" i="11"/>
  <c r="F383" i="11" s="1"/>
  <c r="AB382" i="11"/>
  <c r="AA382" i="11"/>
  <c r="Z382" i="11" s="1"/>
  <c r="N382" i="11"/>
  <c r="F382" i="11"/>
  <c r="D382" i="11"/>
  <c r="AD381" i="11"/>
  <c r="AB381" i="11"/>
  <c r="AA381" i="11"/>
  <c r="Z381" i="11"/>
  <c r="X381" i="11"/>
  <c r="R381" i="11"/>
  <c r="T381" i="11" s="1"/>
  <c r="N381" i="11"/>
  <c r="D381" i="11"/>
  <c r="F381" i="11" s="1"/>
  <c r="AA380" i="11"/>
  <c r="X380" i="11"/>
  <c r="N380" i="11"/>
  <c r="R380" i="11" s="1"/>
  <c r="T380" i="11" s="1"/>
  <c r="D380" i="11"/>
  <c r="F380" i="11" s="1"/>
  <c r="AB379" i="11"/>
  <c r="AA379" i="11"/>
  <c r="Z379" i="11"/>
  <c r="N379" i="11"/>
  <c r="F379" i="11"/>
  <c r="D379" i="11"/>
  <c r="AE378" i="11"/>
  <c r="AB378" i="11"/>
  <c r="AA378" i="11"/>
  <c r="Z378" i="11"/>
  <c r="X378" i="11"/>
  <c r="T378" i="11"/>
  <c r="R378" i="11"/>
  <c r="N378" i="11"/>
  <c r="D378" i="11"/>
  <c r="F378" i="11" s="1"/>
  <c r="AB377" i="11"/>
  <c r="AA377" i="11"/>
  <c r="Z377" i="11" s="1"/>
  <c r="X377" i="11"/>
  <c r="R377" i="11"/>
  <c r="T377" i="11" s="1"/>
  <c r="N377" i="11"/>
  <c r="D377" i="11"/>
  <c r="F377" i="11" s="1"/>
  <c r="AL376" i="11"/>
  <c r="AC376" i="11"/>
  <c r="AB376" i="11"/>
  <c r="AE376" i="11" s="1"/>
  <c r="AA376" i="11"/>
  <c r="Z376" i="11" s="1"/>
  <c r="N376" i="11"/>
  <c r="D376" i="11"/>
  <c r="F376" i="11" s="1"/>
  <c r="AB375" i="11"/>
  <c r="AA375" i="11"/>
  <c r="Z375" i="11"/>
  <c r="X375" i="11"/>
  <c r="T375" i="11"/>
  <c r="R375" i="11"/>
  <c r="N375" i="11"/>
  <c r="D375" i="11"/>
  <c r="F375" i="11" s="1"/>
  <c r="AM374" i="11"/>
  <c r="AF374" i="11"/>
  <c r="AD374" i="11"/>
  <c r="AC374" i="11"/>
  <c r="AB374" i="11"/>
  <c r="AN374" i="11" s="1"/>
  <c r="AA374" i="11"/>
  <c r="Z374" i="11" s="1"/>
  <c r="X374" i="11"/>
  <c r="R374" i="11"/>
  <c r="T374" i="11" s="1"/>
  <c r="N374" i="11"/>
  <c r="D374" i="11"/>
  <c r="F374" i="11" s="1"/>
  <c r="D373" i="11"/>
  <c r="F373" i="11" s="1"/>
  <c r="AN372" i="11"/>
  <c r="AM372" i="11"/>
  <c r="AL372" i="11"/>
  <c r="AE372" i="11"/>
  <c r="AD372" i="11"/>
  <c r="AB372" i="11"/>
  <c r="AF372" i="11" s="1"/>
  <c r="AA372" i="11"/>
  <c r="Z372" i="11"/>
  <c r="R372" i="11"/>
  <c r="T372" i="11" s="1"/>
  <c r="N372" i="11"/>
  <c r="X372" i="11" s="1"/>
  <c r="F372" i="11"/>
  <c r="D372" i="11"/>
  <c r="AN371" i="11"/>
  <c r="AM371" i="11"/>
  <c r="AE371" i="11"/>
  <c r="AB371" i="11"/>
  <c r="AA371" i="11"/>
  <c r="Z371" i="11"/>
  <c r="R371" i="11"/>
  <c r="T371" i="11" s="1"/>
  <c r="N371" i="11"/>
  <c r="X371" i="11" s="1"/>
  <c r="F371" i="11"/>
  <c r="D371" i="11"/>
  <c r="AB370" i="11"/>
  <c r="AA370" i="11"/>
  <c r="Z370" i="11"/>
  <c r="N370" i="11"/>
  <c r="F370" i="11"/>
  <c r="D370" i="11"/>
  <c r="AM369" i="11"/>
  <c r="AF369" i="11"/>
  <c r="AC369" i="11"/>
  <c r="AA369" i="11"/>
  <c r="AB369" i="11" s="1"/>
  <c r="Z369" i="11"/>
  <c r="X369" i="11"/>
  <c r="T369" i="11"/>
  <c r="N369" i="11"/>
  <c r="R369" i="11" s="1"/>
  <c r="F369" i="11"/>
  <c r="D369" i="11"/>
  <c r="AA368" i="11"/>
  <c r="AB368" i="11" s="1"/>
  <c r="Z368" i="11"/>
  <c r="X368" i="11"/>
  <c r="T368" i="11"/>
  <c r="N368" i="11"/>
  <c r="R368" i="11" s="1"/>
  <c r="D368" i="11"/>
  <c r="F368" i="11" s="1"/>
  <c r="AA367" i="11"/>
  <c r="X367" i="11"/>
  <c r="T367" i="11"/>
  <c r="R367" i="11"/>
  <c r="N367" i="11"/>
  <c r="D367" i="11"/>
  <c r="F367" i="11" s="1"/>
  <c r="AB366" i="11"/>
  <c r="AA366" i="11"/>
  <c r="Z366" i="11" s="1"/>
  <c r="X366" i="11"/>
  <c r="N366" i="11"/>
  <c r="R366" i="11" s="1"/>
  <c r="T366" i="11" s="1"/>
  <c r="D366" i="11"/>
  <c r="F366" i="11" s="1"/>
  <c r="AB365" i="11"/>
  <c r="AA365" i="11"/>
  <c r="Z365" i="11" s="1"/>
  <c r="X365" i="11"/>
  <c r="N365" i="11"/>
  <c r="R365" i="11" s="1"/>
  <c r="T365" i="11" s="1"/>
  <c r="D365" i="11"/>
  <c r="F365" i="11" s="1"/>
  <c r="A365" i="11"/>
  <c r="A366" i="11" s="1"/>
  <c r="A367" i="11" s="1"/>
  <c r="A368" i="11" s="1"/>
  <c r="A369" i="11" s="1"/>
  <c r="A370" i="11" s="1"/>
  <c r="A371" i="11" s="1"/>
  <c r="A372" i="11" s="1"/>
  <c r="AN364" i="11"/>
  <c r="AL364" i="11"/>
  <c r="AF364" i="11"/>
  <c r="AD364" i="11"/>
  <c r="AB364" i="11"/>
  <c r="AM364" i="11" s="1"/>
  <c r="AA364" i="11"/>
  <c r="Z364" i="11" s="1"/>
  <c r="X364" i="11"/>
  <c r="N364" i="11"/>
  <c r="R364" i="11" s="1"/>
  <c r="T364" i="11" s="1"/>
  <c r="D364" i="11"/>
  <c r="F364" i="11" s="1"/>
  <c r="AF363" i="11"/>
  <c r="AE363" i="11"/>
  <c r="AD363" i="11"/>
  <c r="AC363" i="11"/>
  <c r="AA363" i="11"/>
  <c r="AB363" i="11" s="1"/>
  <c r="AM363" i="11" s="1"/>
  <c r="X363" i="11"/>
  <c r="N363" i="11"/>
  <c r="R363" i="11" s="1"/>
  <c r="T363" i="11" s="1"/>
  <c r="D363" i="11"/>
  <c r="F363" i="11" s="1"/>
  <c r="AN362" i="11"/>
  <c r="AL362" i="11"/>
  <c r="AE362" i="11"/>
  <c r="AD362" i="11"/>
  <c r="AC362" i="11"/>
  <c r="AB362" i="11"/>
  <c r="AF362" i="11" s="1"/>
  <c r="AA362" i="11"/>
  <c r="Z362" i="11"/>
  <c r="R362" i="11"/>
  <c r="T362" i="11" s="1"/>
  <c r="N362" i="11"/>
  <c r="X362" i="11" s="1"/>
  <c r="F362" i="11"/>
  <c r="D362" i="11"/>
  <c r="AN361" i="11"/>
  <c r="AM361" i="11"/>
  <c r="AL361" i="11"/>
  <c r="AE361" i="11"/>
  <c r="AB361" i="11"/>
  <c r="AA361" i="11"/>
  <c r="Z361" i="11"/>
  <c r="R361" i="11"/>
  <c r="T361" i="11" s="1"/>
  <c r="N361" i="11"/>
  <c r="X361" i="11" s="1"/>
  <c r="F361" i="11"/>
  <c r="D361" i="11"/>
  <c r="AM360" i="11"/>
  <c r="AL360" i="11"/>
  <c r="AE360" i="11"/>
  <c r="AB360" i="11"/>
  <c r="Z360" i="11"/>
  <c r="P360" i="11"/>
  <c r="N360" i="11"/>
  <c r="R360" i="11" s="1"/>
  <c r="T360" i="11" s="1"/>
  <c r="F360" i="11"/>
  <c r="D360" i="11"/>
  <c r="AA359" i="11"/>
  <c r="N359" i="11"/>
  <c r="R359" i="11" s="1"/>
  <c r="T359" i="11" s="1"/>
  <c r="F359" i="11"/>
  <c r="D359" i="11"/>
  <c r="AM358" i="11"/>
  <c r="AE358" i="11"/>
  <c r="AC358" i="11"/>
  <c r="AA358" i="11"/>
  <c r="AB358" i="11" s="1"/>
  <c r="Z358" i="11"/>
  <c r="X358" i="11"/>
  <c r="T358" i="11"/>
  <c r="N358" i="11"/>
  <c r="R358" i="11" s="1"/>
  <c r="D358" i="11"/>
  <c r="F358" i="11" s="1"/>
  <c r="AA357" i="11"/>
  <c r="X357" i="11"/>
  <c r="T357" i="11"/>
  <c r="R357" i="11"/>
  <c r="N357" i="11"/>
  <c r="D357" i="11"/>
  <c r="F357" i="11" s="1"/>
  <c r="A357" i="11"/>
  <c r="A358" i="11" s="1"/>
  <c r="A359" i="11" s="1"/>
  <c r="A360" i="11" s="1"/>
  <c r="A361" i="11" s="1"/>
  <c r="A362" i="11" s="1"/>
  <c r="AA356" i="11"/>
  <c r="Z356" i="11" s="1"/>
  <c r="X356" i="11"/>
  <c r="T356" i="11"/>
  <c r="R356" i="11"/>
  <c r="N356" i="11"/>
  <c r="D356" i="11"/>
  <c r="F356" i="11" s="1"/>
  <c r="AA355" i="11"/>
  <c r="Z355" i="11" s="1"/>
  <c r="X355" i="11"/>
  <c r="R355" i="11"/>
  <c r="T355" i="11" s="1"/>
  <c r="N355" i="11"/>
  <c r="F355" i="11"/>
  <c r="D355" i="11"/>
  <c r="A355" i="11"/>
  <c r="A356" i="11" s="1"/>
  <c r="AF354" i="11"/>
  <c r="AB354" i="11"/>
  <c r="AM354" i="11" s="1"/>
  <c r="Z354" i="11"/>
  <c r="X354" i="11"/>
  <c r="N354" i="11"/>
  <c r="R354" i="11" s="1"/>
  <c r="T354" i="11" s="1"/>
  <c r="D354" i="11"/>
  <c r="F354" i="11" s="1"/>
  <c r="AB353" i="11"/>
  <c r="AA353" i="11"/>
  <c r="Z353" i="11"/>
  <c r="X353" i="11"/>
  <c r="T353" i="11"/>
  <c r="R353" i="11"/>
  <c r="N353" i="11"/>
  <c r="F353" i="11"/>
  <c r="D353" i="11"/>
  <c r="AA352" i="11"/>
  <c r="Z352" i="11" s="1"/>
  <c r="R352" i="11"/>
  <c r="T352" i="11" s="1"/>
  <c r="N352" i="11"/>
  <c r="X352" i="11" s="1"/>
  <c r="F352" i="11"/>
  <c r="D352" i="11"/>
  <c r="AM351" i="11"/>
  <c r="AL351" i="11"/>
  <c r="AF351" i="11"/>
  <c r="AE351" i="11"/>
  <c r="AC351" i="11"/>
  <c r="AA351" i="11"/>
  <c r="AB351" i="11" s="1"/>
  <c r="Z351" i="11"/>
  <c r="T351" i="11"/>
  <c r="N351" i="11"/>
  <c r="R351" i="11" s="1"/>
  <c r="F351" i="11"/>
  <c r="D351" i="11"/>
  <c r="AN350" i="11"/>
  <c r="AL350" i="11"/>
  <c r="AE350" i="11"/>
  <c r="AD350" i="11"/>
  <c r="AC350" i="11"/>
  <c r="AB350" i="11"/>
  <c r="AA350" i="11"/>
  <c r="Z350" i="11"/>
  <c r="X350" i="11"/>
  <c r="R350" i="11"/>
  <c r="T350" i="11" s="1"/>
  <c r="N350" i="11"/>
  <c r="F350" i="11"/>
  <c r="D350" i="11"/>
  <c r="AN349" i="11"/>
  <c r="AM349" i="11"/>
  <c r="AL349" i="11"/>
  <c r="AD349" i="11"/>
  <c r="AB349" i="11"/>
  <c r="AE349" i="11" s="1"/>
  <c r="AA349" i="11"/>
  <c r="Z349" i="11" s="1"/>
  <c r="N349" i="11"/>
  <c r="R349" i="11" s="1"/>
  <c r="T349" i="11" s="1"/>
  <c r="D349" i="11"/>
  <c r="F349" i="11" s="1"/>
  <c r="AM348" i="11"/>
  <c r="AL348" i="11"/>
  <c r="AE348" i="11"/>
  <c r="AA348" i="11"/>
  <c r="AB348" i="11" s="1"/>
  <c r="X348" i="11"/>
  <c r="N348" i="11"/>
  <c r="R348" i="11" s="1"/>
  <c r="T348" i="11" s="1"/>
  <c r="D348" i="11"/>
  <c r="F348" i="11" s="1"/>
  <c r="AN347" i="11"/>
  <c r="AL347" i="11"/>
  <c r="AD347" i="11"/>
  <c r="AB347" i="11"/>
  <c r="AA347" i="11"/>
  <c r="Z347" i="11"/>
  <c r="X347" i="11"/>
  <c r="T347" i="11"/>
  <c r="R347" i="11"/>
  <c r="N347" i="11"/>
  <c r="F347" i="11"/>
  <c r="D347" i="11"/>
  <c r="AA346" i="11"/>
  <c r="X346" i="11"/>
  <c r="R346" i="11"/>
  <c r="T346" i="11" s="1"/>
  <c r="N346" i="11"/>
  <c r="D346" i="11"/>
  <c r="F346" i="11" s="1"/>
  <c r="AN345" i="11"/>
  <c r="AM345" i="11"/>
  <c r="AL345" i="11"/>
  <c r="AF345" i="11"/>
  <c r="AE345" i="11"/>
  <c r="AC345" i="11"/>
  <c r="AB345" i="11"/>
  <c r="AD345" i="11" s="1"/>
  <c r="Z345" i="11"/>
  <c r="N345" i="11"/>
  <c r="D345" i="11"/>
  <c r="F345" i="11" s="1"/>
  <c r="AF344" i="11"/>
  <c r="AB344" i="11"/>
  <c r="AA344" i="11"/>
  <c r="Z344" i="11" s="1"/>
  <c r="X344" i="11"/>
  <c r="R344" i="11"/>
  <c r="N344" i="11"/>
  <c r="F344" i="11"/>
  <c r="D344" i="11"/>
  <c r="AN343" i="11"/>
  <c r="AL343" i="11"/>
  <c r="AF343" i="11"/>
  <c r="AE343" i="11"/>
  <c r="AD343" i="11"/>
  <c r="AC343" i="11"/>
  <c r="AB343" i="11"/>
  <c r="AM343" i="11" s="1"/>
  <c r="AA343" i="11"/>
  <c r="Z343" i="11"/>
  <c r="N343" i="11"/>
  <c r="R343" i="11" s="1"/>
  <c r="D343" i="11"/>
  <c r="F343" i="11" s="1"/>
  <c r="AN342" i="11"/>
  <c r="AM342" i="11"/>
  <c r="AL342" i="11"/>
  <c r="AF342" i="11"/>
  <c r="AE342" i="11"/>
  <c r="AD342" i="11"/>
  <c r="AC342" i="11"/>
  <c r="AB342" i="11"/>
  <c r="AA342" i="11"/>
  <c r="Z342" i="11"/>
  <c r="N342" i="11"/>
  <c r="F342" i="11"/>
  <c r="D342" i="11"/>
  <c r="AB341" i="11"/>
  <c r="AA341" i="11"/>
  <c r="Z341" i="11" s="1"/>
  <c r="N341" i="11"/>
  <c r="X341" i="11" s="1"/>
  <c r="D341" i="11"/>
  <c r="F341" i="11" s="1"/>
  <c r="AM340" i="11"/>
  <c r="AF340" i="11"/>
  <c r="AD340" i="11"/>
  <c r="AC340" i="11"/>
  <c r="AB340" i="11"/>
  <c r="AA340" i="11"/>
  <c r="Z340" i="11"/>
  <c r="N340" i="11"/>
  <c r="R340" i="11" s="1"/>
  <c r="T340" i="11" s="1"/>
  <c r="D340" i="11"/>
  <c r="F340" i="11" s="1"/>
  <c r="AB339" i="11"/>
  <c r="AA339" i="11"/>
  <c r="Z339" i="11"/>
  <c r="R339" i="11"/>
  <c r="T339" i="11" s="1"/>
  <c r="N339" i="11"/>
  <c r="X339" i="11" s="1"/>
  <c r="F339" i="11"/>
  <c r="D339" i="11"/>
  <c r="AB338" i="11"/>
  <c r="AA338" i="11"/>
  <c r="Z338" i="11" s="1"/>
  <c r="N338" i="11"/>
  <c r="F338" i="11"/>
  <c r="D338" i="11"/>
  <c r="AM337" i="11"/>
  <c r="AF337" i="11"/>
  <c r="AE337" i="11"/>
  <c r="AD337" i="11"/>
  <c r="AC337" i="11"/>
  <c r="AB337" i="11"/>
  <c r="AL337" i="11" s="1"/>
  <c r="AA337" i="11"/>
  <c r="Z337" i="11" s="1"/>
  <c r="X337" i="11"/>
  <c r="T337" i="11"/>
  <c r="R337" i="11"/>
  <c r="N337" i="11"/>
  <c r="D337" i="11"/>
  <c r="F337" i="11" s="1"/>
  <c r="AB336" i="11"/>
  <c r="AA336" i="11"/>
  <c r="Z336" i="11" s="1"/>
  <c r="R336" i="11"/>
  <c r="T336" i="11" s="1"/>
  <c r="N336" i="11"/>
  <c r="X336" i="11" s="1"/>
  <c r="D336" i="11"/>
  <c r="F336" i="11" s="1"/>
  <c r="AN335" i="11"/>
  <c r="AM335" i="11"/>
  <c r="AL335" i="11"/>
  <c r="AE335" i="11"/>
  <c r="AD335" i="11"/>
  <c r="AB335" i="11"/>
  <c r="AC335" i="11" s="1"/>
  <c r="AA335" i="11"/>
  <c r="Z335" i="11"/>
  <c r="X335" i="11"/>
  <c r="N335" i="11"/>
  <c r="R335" i="11" s="1"/>
  <c r="T335" i="11" s="1"/>
  <c r="F335" i="11"/>
  <c r="D335" i="11"/>
  <c r="AA334" i="11"/>
  <c r="AB334" i="11" s="1"/>
  <c r="X334" i="11"/>
  <c r="T334" i="11"/>
  <c r="R334" i="11"/>
  <c r="N334" i="11"/>
  <c r="D334" i="11"/>
  <c r="F334" i="11" s="1"/>
  <c r="AB333" i="11"/>
  <c r="AA333" i="11"/>
  <c r="Z333" i="11" s="1"/>
  <c r="R333" i="11"/>
  <c r="T333" i="11" s="1"/>
  <c r="N333" i="11"/>
  <c r="X333" i="11" s="1"/>
  <c r="F333" i="11"/>
  <c r="D333" i="11"/>
  <c r="AN332" i="11"/>
  <c r="AM332" i="11"/>
  <c r="AL332" i="11"/>
  <c r="AF332" i="11"/>
  <c r="AE332" i="11"/>
  <c r="AD332" i="11"/>
  <c r="AB332" i="11"/>
  <c r="AC332" i="11" s="1"/>
  <c r="AA332" i="11"/>
  <c r="Z332" i="11"/>
  <c r="X332" i="11"/>
  <c r="N332" i="11"/>
  <c r="R332" i="11" s="1"/>
  <c r="T332" i="11" s="1"/>
  <c r="D332" i="11"/>
  <c r="F332" i="11" s="1"/>
  <c r="AN331" i="11"/>
  <c r="AM331" i="11"/>
  <c r="AL331" i="11"/>
  <c r="AF331" i="11"/>
  <c r="AD331" i="11"/>
  <c r="AC331" i="11"/>
  <c r="AB331" i="11"/>
  <c r="AE331" i="11" s="1"/>
  <c r="AA331" i="11"/>
  <c r="Z331" i="11"/>
  <c r="R331" i="11"/>
  <c r="T331" i="11" s="1"/>
  <c r="N331" i="11"/>
  <c r="X331" i="11" s="1"/>
  <c r="F331" i="11"/>
  <c r="D331" i="11"/>
  <c r="AN330" i="11"/>
  <c r="AM330" i="11"/>
  <c r="AL330" i="11"/>
  <c r="AF330" i="11"/>
  <c r="AE330" i="11"/>
  <c r="AD330" i="11"/>
  <c r="AC330" i="11"/>
  <c r="AA330" i="11"/>
  <c r="Z330" i="11"/>
  <c r="X330" i="11"/>
  <c r="T330" i="11"/>
  <c r="R330" i="11"/>
  <c r="N330" i="11"/>
  <c r="D330" i="11"/>
  <c r="F330" i="11" s="1"/>
  <c r="AL329" i="11"/>
  <c r="AF329" i="11"/>
  <c r="AE329" i="11"/>
  <c r="AD329" i="11"/>
  <c r="AC329" i="11"/>
  <c r="AB329" i="11"/>
  <c r="AN329" i="11" s="1"/>
  <c r="Z329" i="11"/>
  <c r="R329" i="11"/>
  <c r="T329" i="11" s="1"/>
  <c r="N329" i="11"/>
  <c r="X329" i="11" s="1"/>
  <c r="D329" i="11"/>
  <c r="F329" i="11" s="1"/>
  <c r="AN328" i="11"/>
  <c r="AM328" i="11"/>
  <c r="AL328" i="11"/>
  <c r="AF328" i="11"/>
  <c r="AB328" i="11"/>
  <c r="AA328" i="11"/>
  <c r="Z328" i="11" s="1"/>
  <c r="T328" i="11"/>
  <c r="R328" i="11"/>
  <c r="N328" i="11"/>
  <c r="X328" i="11" s="1"/>
  <c r="D328" i="11"/>
  <c r="F328" i="11" s="1"/>
  <c r="AA327" i="11"/>
  <c r="X327" i="11"/>
  <c r="T327" i="11"/>
  <c r="R327" i="11"/>
  <c r="N327" i="11"/>
  <c r="D327" i="11"/>
  <c r="F327" i="11" s="1"/>
  <c r="AB326" i="11"/>
  <c r="AA326" i="11"/>
  <c r="Z326" i="11" s="1"/>
  <c r="R326" i="11"/>
  <c r="T326" i="11" s="1"/>
  <c r="N326" i="11"/>
  <c r="X326" i="11" s="1"/>
  <c r="D326" i="11"/>
  <c r="F326" i="11" s="1"/>
  <c r="AB325" i="11"/>
  <c r="AA325" i="11"/>
  <c r="Z325" i="11" s="1"/>
  <c r="T325" i="11"/>
  <c r="R325" i="11"/>
  <c r="N325" i="11"/>
  <c r="X325" i="11" s="1"/>
  <c r="D325" i="11"/>
  <c r="F325" i="11" s="1"/>
  <c r="AA324" i="11"/>
  <c r="AB324" i="11" s="1"/>
  <c r="Z324" i="11"/>
  <c r="X324" i="11"/>
  <c r="T324" i="11"/>
  <c r="R324" i="11"/>
  <c r="N324" i="11"/>
  <c r="D324" i="11"/>
  <c r="F324" i="11" s="1"/>
  <c r="AF323" i="11"/>
  <c r="AE323" i="11"/>
  <c r="AB323" i="11"/>
  <c r="AA323" i="11"/>
  <c r="Z323" i="11" s="1"/>
  <c r="T323" i="11"/>
  <c r="R323" i="11"/>
  <c r="N323" i="11"/>
  <c r="X323" i="11" s="1"/>
  <c r="D323" i="11"/>
  <c r="F323" i="11" s="1"/>
  <c r="AN322" i="11"/>
  <c r="AL322" i="11"/>
  <c r="AF322" i="11"/>
  <c r="AB322" i="11"/>
  <c r="AA322" i="11"/>
  <c r="Z322" i="11" s="1"/>
  <c r="N322" i="11"/>
  <c r="X322" i="11" s="1"/>
  <c r="D322" i="11"/>
  <c r="F322" i="11" s="1"/>
  <c r="AA321" i="11"/>
  <c r="AB321" i="11" s="1"/>
  <c r="X321" i="11"/>
  <c r="T321" i="11"/>
  <c r="R321" i="11"/>
  <c r="N321" i="11"/>
  <c r="D321" i="11"/>
  <c r="F321" i="11" s="1"/>
  <c r="AF320" i="11"/>
  <c r="AB320" i="11"/>
  <c r="AN320" i="11" s="1"/>
  <c r="AA320" i="11"/>
  <c r="Z320" i="11" s="1"/>
  <c r="R320" i="11"/>
  <c r="T320" i="11" s="1"/>
  <c r="N320" i="11"/>
  <c r="X320" i="11" s="1"/>
  <c r="D320" i="11"/>
  <c r="F320" i="11" s="1"/>
  <c r="AN319" i="11"/>
  <c r="AL319" i="11"/>
  <c r="AF319" i="11"/>
  <c r="AB319" i="11"/>
  <c r="AM319" i="11" s="1"/>
  <c r="AA319" i="11"/>
  <c r="Z319" i="11" s="1"/>
  <c r="T319" i="11"/>
  <c r="R319" i="11"/>
  <c r="N319" i="11"/>
  <c r="X319" i="11" s="1"/>
  <c r="D319" i="11"/>
  <c r="F319" i="11" s="1"/>
  <c r="AA318" i="11"/>
  <c r="X318" i="11"/>
  <c r="R318" i="11"/>
  <c r="N318" i="11"/>
  <c r="F318" i="11"/>
  <c r="D318" i="11"/>
  <c r="AB317" i="11"/>
  <c r="AA317" i="11"/>
  <c r="Z317" i="11" s="1"/>
  <c r="N317" i="11"/>
  <c r="F317" i="11"/>
  <c r="D317" i="11"/>
  <c r="AA316" i="11"/>
  <c r="AB316" i="11" s="1"/>
  <c r="X316" i="11"/>
  <c r="R316" i="11"/>
  <c r="T316" i="11" s="1"/>
  <c r="N316" i="11"/>
  <c r="F316" i="11"/>
  <c r="D316" i="11"/>
  <c r="AA315" i="11"/>
  <c r="Z315" i="11" s="1"/>
  <c r="N315" i="11"/>
  <c r="X315" i="11" s="1"/>
  <c r="D315" i="11"/>
  <c r="F315" i="11" s="1"/>
  <c r="AM314" i="11"/>
  <c r="AA314" i="11"/>
  <c r="AB314" i="11" s="1"/>
  <c r="AN314" i="11" s="1"/>
  <c r="N314" i="11"/>
  <c r="X314" i="11" s="1"/>
  <c r="D314" i="11"/>
  <c r="F314" i="11" s="1"/>
  <c r="AN313" i="11"/>
  <c r="AD313" i="11"/>
  <c r="AA313" i="11"/>
  <c r="AB313" i="11" s="1"/>
  <c r="AE313" i="11" s="1"/>
  <c r="X313" i="11"/>
  <c r="T313" i="11"/>
  <c r="R313" i="11"/>
  <c r="N313" i="11"/>
  <c r="F313" i="11"/>
  <c r="D313" i="11"/>
  <c r="AN312" i="11"/>
  <c r="AM312" i="11"/>
  <c r="AD312" i="11"/>
  <c r="AC312" i="11"/>
  <c r="AB312" i="11"/>
  <c r="AE312" i="11" s="1"/>
  <c r="AA312" i="11"/>
  <c r="Z312" i="11" s="1"/>
  <c r="R312" i="11"/>
  <c r="T312" i="11" s="1"/>
  <c r="N312" i="11"/>
  <c r="X312" i="11" s="1"/>
  <c r="D312" i="11"/>
  <c r="F312" i="11" s="1"/>
  <c r="AA311" i="11"/>
  <c r="N311" i="11"/>
  <c r="X311" i="11" s="1"/>
  <c r="F311" i="11"/>
  <c r="D311" i="11"/>
  <c r="AN310" i="11"/>
  <c r="AM310" i="11"/>
  <c r="AL310" i="11"/>
  <c r="AC310" i="11"/>
  <c r="X310" i="11"/>
  <c r="N310" i="11"/>
  <c r="R310" i="11" s="1"/>
  <c r="T310" i="11" s="1"/>
  <c r="F310" i="11"/>
  <c r="D310" i="11"/>
  <c r="AN309" i="11"/>
  <c r="AM309" i="11"/>
  <c r="AL309" i="11"/>
  <c r="AB309" i="11"/>
  <c r="AA309" i="11"/>
  <c r="Z309" i="11"/>
  <c r="Y309" i="11"/>
  <c r="T309" i="11"/>
  <c r="R309" i="11"/>
  <c r="N309" i="11"/>
  <c r="X309" i="11" s="1"/>
  <c r="F309" i="11"/>
  <c r="D309" i="11"/>
  <c r="AA308" i="11"/>
  <c r="AB308" i="11" s="1"/>
  <c r="Y308" i="11"/>
  <c r="R308" i="11"/>
  <c r="T308" i="11" s="1"/>
  <c r="N308" i="11"/>
  <c r="X308" i="11" s="1"/>
  <c r="D308" i="11"/>
  <c r="F308" i="11" s="1"/>
  <c r="AN307" i="11"/>
  <c r="AM307" i="11"/>
  <c r="AA307" i="11"/>
  <c r="AB307" i="11" s="1"/>
  <c r="Z307" i="11"/>
  <c r="Y307" i="11"/>
  <c r="T307" i="11"/>
  <c r="R307" i="11"/>
  <c r="N307" i="11"/>
  <c r="X307" i="11" s="1"/>
  <c r="D307" i="11"/>
  <c r="F307" i="11" s="1"/>
  <c r="AA306" i="11"/>
  <c r="AB306" i="11" s="1"/>
  <c r="Z306" i="11"/>
  <c r="Y306" i="11"/>
  <c r="X306" i="11"/>
  <c r="T306" i="11"/>
  <c r="R306" i="11"/>
  <c r="N306" i="11"/>
  <c r="D306" i="11"/>
  <c r="F306" i="11" s="1"/>
  <c r="AL305" i="11"/>
  <c r="AF305" i="11"/>
  <c r="AE305" i="11"/>
  <c r="AD305" i="11"/>
  <c r="AC305" i="11"/>
  <c r="AB305" i="11"/>
  <c r="AN305" i="11" s="1"/>
  <c r="AA305" i="11"/>
  <c r="Z305" i="11" s="1"/>
  <c r="Y305" i="11"/>
  <c r="X305" i="11"/>
  <c r="N305" i="11"/>
  <c r="R305" i="11" s="1"/>
  <c r="T305" i="11" s="1"/>
  <c r="D305" i="11"/>
  <c r="F305" i="11" s="1"/>
  <c r="AN304" i="11"/>
  <c r="AA304" i="11"/>
  <c r="AB304" i="11" s="1"/>
  <c r="Z304" i="11"/>
  <c r="Y304" i="11"/>
  <c r="X304" i="11"/>
  <c r="T304" i="11"/>
  <c r="R304" i="11"/>
  <c r="N304" i="11"/>
  <c r="F304" i="11"/>
  <c r="D304" i="11"/>
  <c r="AA303" i="11"/>
  <c r="R303" i="11"/>
  <c r="T303" i="11" s="1"/>
  <c r="N303" i="11"/>
  <c r="X303" i="11" s="1"/>
  <c r="D303" i="11"/>
  <c r="F303" i="11" s="1"/>
  <c r="AN302" i="11"/>
  <c r="AM302" i="11"/>
  <c r="AL302" i="11"/>
  <c r="AF302" i="11"/>
  <c r="AE302" i="11"/>
  <c r="AD302" i="11"/>
  <c r="AC302" i="11"/>
  <c r="AB302" i="11"/>
  <c r="Z302" i="11"/>
  <c r="Y302" i="11"/>
  <c r="R302" i="11"/>
  <c r="T302" i="11" s="1"/>
  <c r="N302" i="11"/>
  <c r="X302" i="11" s="1"/>
  <c r="F302" i="11"/>
  <c r="D302" i="11"/>
  <c r="AA301" i="11"/>
  <c r="AB301" i="11" s="1"/>
  <c r="Z301" i="11"/>
  <c r="Y301" i="11"/>
  <c r="X301" i="11"/>
  <c r="T301" i="11"/>
  <c r="R301" i="11"/>
  <c r="N301" i="11"/>
  <c r="D301" i="11"/>
  <c r="F301" i="11" s="1"/>
  <c r="AB300" i="11"/>
  <c r="AA300" i="11"/>
  <c r="Z300" i="11" s="1"/>
  <c r="Y300" i="11"/>
  <c r="X300" i="11"/>
  <c r="N300" i="11"/>
  <c r="R300" i="11" s="1"/>
  <c r="T300" i="11" s="1"/>
  <c r="F300" i="11"/>
  <c r="D300" i="11"/>
  <c r="AB299" i="11"/>
  <c r="AA299" i="11"/>
  <c r="Z299" i="11"/>
  <c r="Y299" i="11"/>
  <c r="R299" i="11"/>
  <c r="T299" i="11" s="1"/>
  <c r="N299" i="11"/>
  <c r="X299" i="11" s="1"/>
  <c r="F299" i="11"/>
  <c r="D299" i="11"/>
  <c r="N298" i="11"/>
  <c r="R298" i="11" s="1"/>
  <c r="T298" i="11" s="1"/>
  <c r="D298" i="11"/>
  <c r="F298" i="11" s="1"/>
  <c r="R297" i="11"/>
  <c r="T297" i="11" s="1"/>
  <c r="N297" i="11"/>
  <c r="D297" i="11"/>
  <c r="F297" i="11" s="1"/>
  <c r="AA296" i="11"/>
  <c r="AB296" i="11" s="1"/>
  <c r="Y296" i="11"/>
  <c r="X296" i="11"/>
  <c r="T296" i="11"/>
  <c r="R296" i="11"/>
  <c r="N296" i="11"/>
  <c r="D296" i="11"/>
  <c r="F296" i="11" s="1"/>
  <c r="R295" i="11"/>
  <c r="T295" i="11" s="1"/>
  <c r="N295" i="11"/>
  <c r="X295" i="11" s="1"/>
  <c r="D295" i="11"/>
  <c r="F295" i="11" s="1"/>
  <c r="AE294" i="11"/>
  <c r="AD294" i="11"/>
  <c r="AA294" i="11"/>
  <c r="AB294" i="11" s="1"/>
  <c r="Z294" i="11"/>
  <c r="Y294" i="11"/>
  <c r="X294" i="11"/>
  <c r="T294" i="11"/>
  <c r="R294" i="11"/>
  <c r="N294" i="11"/>
  <c r="D294" i="11"/>
  <c r="F294" i="11" s="1"/>
  <c r="AB293" i="11"/>
  <c r="AA293" i="11"/>
  <c r="Z293" i="11" s="1"/>
  <c r="Y293" i="11"/>
  <c r="X293" i="11"/>
  <c r="T293" i="11"/>
  <c r="N293" i="11"/>
  <c r="R293" i="11" s="1"/>
  <c r="D293" i="11"/>
  <c r="F293" i="11" s="1"/>
  <c r="AB292" i="11"/>
  <c r="AA292" i="11"/>
  <c r="Z292" i="11"/>
  <c r="Y292" i="11"/>
  <c r="X292" i="11"/>
  <c r="N292" i="11"/>
  <c r="R292" i="11" s="1"/>
  <c r="T292" i="11" s="1"/>
  <c r="F292" i="11"/>
  <c r="D292" i="11"/>
  <c r="AA291" i="11"/>
  <c r="AB291" i="11" s="1"/>
  <c r="Z291" i="11"/>
  <c r="Y291" i="11"/>
  <c r="N291" i="11"/>
  <c r="X291" i="11" s="1"/>
  <c r="D291" i="11"/>
  <c r="F291" i="11" s="1"/>
  <c r="AN290" i="11"/>
  <c r="AM290" i="11"/>
  <c r="AL290" i="11"/>
  <c r="AF290" i="11"/>
  <c r="AE290" i="11"/>
  <c r="AA290" i="11"/>
  <c r="AB290" i="11" s="1"/>
  <c r="Z290" i="11"/>
  <c r="Y290" i="11"/>
  <c r="N290" i="11"/>
  <c r="X290" i="11" s="1"/>
  <c r="D290" i="11"/>
  <c r="F290" i="11" s="1"/>
  <c r="AB289" i="11"/>
  <c r="AA289" i="11"/>
  <c r="Z289" i="11" s="1"/>
  <c r="Y289" i="11"/>
  <c r="X289" i="11"/>
  <c r="T289" i="11"/>
  <c r="R289" i="11"/>
  <c r="N289" i="11"/>
  <c r="D289" i="11"/>
  <c r="F289" i="11" s="1"/>
  <c r="AL288" i="11"/>
  <c r="AF288" i="11"/>
  <c r="AE288" i="11"/>
  <c r="AD288" i="11"/>
  <c r="AC288" i="11"/>
  <c r="AB288" i="11"/>
  <c r="AN288" i="11" s="1"/>
  <c r="AA288" i="11"/>
  <c r="Z288" i="11" s="1"/>
  <c r="Y288" i="11"/>
  <c r="N288" i="11"/>
  <c r="R288" i="11" s="1"/>
  <c r="T288" i="11" s="1"/>
  <c r="D288" i="11"/>
  <c r="F288" i="11" s="1"/>
  <c r="AN287" i="11"/>
  <c r="AM287" i="11"/>
  <c r="AD287" i="11"/>
  <c r="AC287" i="11"/>
  <c r="AA287" i="11"/>
  <c r="AB287" i="11" s="1"/>
  <c r="Z287" i="11"/>
  <c r="Y287" i="11"/>
  <c r="X287" i="11"/>
  <c r="R287" i="11"/>
  <c r="T287" i="11" s="1"/>
  <c r="N287" i="11"/>
  <c r="F287" i="11"/>
  <c r="D287" i="11"/>
  <c r="AM286" i="11"/>
  <c r="AB286" i="11"/>
  <c r="AN286" i="11" s="1"/>
  <c r="AA286" i="11"/>
  <c r="Z286" i="11" s="1"/>
  <c r="Y286" i="11"/>
  <c r="T286" i="11"/>
  <c r="R286" i="11"/>
  <c r="N286" i="11"/>
  <c r="X286" i="11" s="1"/>
  <c r="D286" i="11"/>
  <c r="F286" i="11" s="1"/>
  <c r="AA285" i="11"/>
  <c r="Z285" i="11" s="1"/>
  <c r="Y285" i="11"/>
  <c r="N285" i="11"/>
  <c r="X285" i="11" s="1"/>
  <c r="F285" i="11"/>
  <c r="D285" i="11"/>
  <c r="AA284" i="11"/>
  <c r="AB284" i="11" s="1"/>
  <c r="Y284" i="11"/>
  <c r="N284" i="11"/>
  <c r="F284" i="11"/>
  <c r="D284" i="11"/>
  <c r="AM283" i="11"/>
  <c r="AL283" i="11"/>
  <c r="AF283" i="11"/>
  <c r="AE283" i="11"/>
  <c r="AD283" i="11"/>
  <c r="AC283" i="11"/>
  <c r="AB283" i="11"/>
  <c r="AN283" i="11" s="1"/>
  <c r="AA283" i="11"/>
  <c r="Z283" i="11"/>
  <c r="Y283" i="11"/>
  <c r="N283" i="11"/>
  <c r="X283" i="11" s="1"/>
  <c r="F283" i="11"/>
  <c r="D283" i="11"/>
  <c r="AN282" i="11"/>
  <c r="AA282" i="11"/>
  <c r="AB282" i="11" s="1"/>
  <c r="Z282" i="11"/>
  <c r="Y282" i="11"/>
  <c r="X282" i="11"/>
  <c r="T282" i="11"/>
  <c r="R282" i="11"/>
  <c r="N282" i="11"/>
  <c r="D282" i="11"/>
  <c r="F282" i="11" s="1"/>
  <c r="AF281" i="11"/>
  <c r="AB281" i="11"/>
  <c r="AN281" i="11" s="1"/>
  <c r="AA281" i="11"/>
  <c r="Z281" i="11" s="1"/>
  <c r="Y281" i="11"/>
  <c r="X281" i="11"/>
  <c r="N281" i="11"/>
  <c r="R281" i="11" s="1"/>
  <c r="T281" i="11" s="1"/>
  <c r="F281" i="11"/>
  <c r="D281" i="11"/>
  <c r="AN280" i="11"/>
  <c r="AC280" i="11"/>
  <c r="AB280" i="11"/>
  <c r="AA280" i="11"/>
  <c r="Z280" i="11"/>
  <c r="Y280" i="11"/>
  <c r="R280" i="11"/>
  <c r="T280" i="11" s="1"/>
  <c r="N280" i="11"/>
  <c r="X280" i="11" s="1"/>
  <c r="F280" i="11"/>
  <c r="D280" i="11"/>
  <c r="AA279" i="11"/>
  <c r="AB279" i="11" s="1"/>
  <c r="Y279" i="11"/>
  <c r="R279" i="11"/>
  <c r="T279" i="11" s="1"/>
  <c r="N279" i="11"/>
  <c r="X279" i="11" s="1"/>
  <c r="D279" i="11"/>
  <c r="F279" i="11" s="1"/>
  <c r="AN278" i="11"/>
  <c r="AL278" i="11"/>
  <c r="AF278" i="11"/>
  <c r="AE278" i="11"/>
  <c r="AA278" i="11"/>
  <c r="AB278" i="11" s="1"/>
  <c r="Z278" i="11"/>
  <c r="Y278" i="11"/>
  <c r="R278" i="11"/>
  <c r="T278" i="11" s="1"/>
  <c r="N278" i="11"/>
  <c r="X278" i="11" s="1"/>
  <c r="F278" i="11"/>
  <c r="D278" i="11"/>
  <c r="AB277" i="11"/>
  <c r="AA277" i="11"/>
  <c r="Z277" i="11" s="1"/>
  <c r="Y277" i="11"/>
  <c r="X277" i="11"/>
  <c r="T277" i="11"/>
  <c r="R277" i="11"/>
  <c r="N277" i="11"/>
  <c r="F277" i="11"/>
  <c r="D277" i="11"/>
  <c r="AL276" i="11"/>
  <c r="AF276" i="11"/>
  <c r="AE276" i="11"/>
  <c r="AD276" i="11"/>
  <c r="AC276" i="11"/>
  <c r="AB276" i="11"/>
  <c r="AN276" i="11" s="1"/>
  <c r="AA276" i="11"/>
  <c r="Z276" i="11" s="1"/>
  <c r="Y276" i="11"/>
  <c r="X276" i="11"/>
  <c r="N276" i="11"/>
  <c r="R276" i="11" s="1"/>
  <c r="T276" i="11" s="1"/>
  <c r="F276" i="11"/>
  <c r="D276" i="11"/>
  <c r="AM275" i="11"/>
  <c r="AD275" i="11"/>
  <c r="AC275" i="11"/>
  <c r="AA275" i="11"/>
  <c r="AB275" i="11" s="1"/>
  <c r="Z275" i="11"/>
  <c r="Y275" i="11"/>
  <c r="X275" i="11"/>
  <c r="R275" i="11"/>
  <c r="N275" i="11"/>
  <c r="F275" i="11"/>
  <c r="D275" i="11"/>
  <c r="AA274" i="11"/>
  <c r="AB274" i="11" s="1"/>
  <c r="Y274" i="11"/>
  <c r="N274" i="11"/>
  <c r="F274" i="11"/>
  <c r="D274" i="11"/>
  <c r="AM273" i="11"/>
  <c r="AL273" i="11"/>
  <c r="AF273" i="11"/>
  <c r="AE273" i="11"/>
  <c r="AD273" i="11"/>
  <c r="AC273" i="11"/>
  <c r="AB273" i="11"/>
  <c r="AN273" i="11" s="1"/>
  <c r="AA273" i="11"/>
  <c r="Z273" i="11"/>
  <c r="Y273" i="11"/>
  <c r="N273" i="11"/>
  <c r="F273" i="11"/>
  <c r="D273" i="11"/>
  <c r="AA272" i="11"/>
  <c r="AB272" i="11" s="1"/>
  <c r="Y272" i="11"/>
  <c r="X272" i="11"/>
  <c r="T272" i="11"/>
  <c r="R272" i="11"/>
  <c r="N272" i="11"/>
  <c r="D272" i="11"/>
  <c r="F272" i="11" s="1"/>
  <c r="AM271" i="11"/>
  <c r="AL271" i="11"/>
  <c r="AF271" i="11"/>
  <c r="AE271" i="11"/>
  <c r="AD271" i="11"/>
  <c r="AC271" i="11"/>
  <c r="AB271" i="11"/>
  <c r="AN271" i="11" s="1"/>
  <c r="AA271" i="11"/>
  <c r="Z271" i="11"/>
  <c r="Y271" i="11"/>
  <c r="N271" i="11"/>
  <c r="X271" i="11" s="1"/>
  <c r="F271" i="11"/>
  <c r="D271" i="11"/>
  <c r="AA270" i="11"/>
  <c r="AB270" i="11" s="1"/>
  <c r="Y270" i="11"/>
  <c r="X270" i="11"/>
  <c r="T270" i="11"/>
  <c r="R270" i="11"/>
  <c r="N270" i="11"/>
  <c r="F270" i="11"/>
  <c r="D270" i="11"/>
  <c r="AM269" i="11"/>
  <c r="AL269" i="11"/>
  <c r="AF269" i="11"/>
  <c r="AE269" i="11"/>
  <c r="AD269" i="11"/>
  <c r="AC269" i="11"/>
  <c r="AB269" i="11"/>
  <c r="AN269" i="11" s="1"/>
  <c r="AA269" i="11"/>
  <c r="Z269" i="11"/>
  <c r="Y269" i="11"/>
  <c r="R269" i="11"/>
  <c r="T269" i="11" s="1"/>
  <c r="N269" i="11"/>
  <c r="X269" i="11" s="1"/>
  <c r="F269" i="11"/>
  <c r="D269" i="11"/>
  <c r="A269" i="11"/>
  <c r="A270" i="11" s="1"/>
  <c r="A271" i="11" s="1"/>
  <c r="A272" i="11" s="1"/>
  <c r="A273" i="11" s="1"/>
  <c r="AB268" i="11"/>
  <c r="AA268" i="11"/>
  <c r="Z268" i="11" s="1"/>
  <c r="Y268" i="11"/>
  <c r="X268" i="11"/>
  <c r="T268" i="11"/>
  <c r="R268" i="11"/>
  <c r="N268" i="11"/>
  <c r="D268" i="11"/>
  <c r="F268" i="11" s="1"/>
  <c r="A268" i="11"/>
  <c r="AM267" i="11"/>
  <c r="AL267" i="11"/>
  <c r="AF267" i="11"/>
  <c r="AE267" i="11"/>
  <c r="AD267" i="11"/>
  <c r="AC267" i="11"/>
  <c r="AB267" i="11"/>
  <c r="AN267" i="11" s="1"/>
  <c r="AA267" i="11"/>
  <c r="Z267" i="11"/>
  <c r="Y267" i="11"/>
  <c r="N267" i="11"/>
  <c r="X267" i="11" s="1"/>
  <c r="D267" i="11"/>
  <c r="F267" i="11" s="1"/>
  <c r="AA266" i="11"/>
  <c r="AB266" i="11" s="1"/>
  <c r="Y266" i="11"/>
  <c r="X266" i="11"/>
  <c r="T266" i="11"/>
  <c r="R266" i="11"/>
  <c r="N266" i="11"/>
  <c r="D266" i="11"/>
  <c r="F266" i="11" s="1"/>
  <c r="X265" i="11"/>
  <c r="N265" i="11"/>
  <c r="R265" i="11" s="1"/>
  <c r="T265" i="11" s="1"/>
  <c r="D265" i="11"/>
  <c r="F265" i="11" s="1"/>
  <c r="Y264" i="11"/>
  <c r="T264" i="11"/>
  <c r="F264" i="11"/>
  <c r="D264" i="11"/>
  <c r="AB263" i="11"/>
  <c r="AA263" i="11"/>
  <c r="Z263" i="11" s="1"/>
  <c r="Y263" i="11"/>
  <c r="R263" i="11"/>
  <c r="T263" i="11" s="1"/>
  <c r="N263" i="11"/>
  <c r="X263" i="11" s="1"/>
  <c r="D263" i="11"/>
  <c r="F263" i="11" s="1"/>
  <c r="AA262" i="11"/>
  <c r="Y262" i="11"/>
  <c r="R262" i="11"/>
  <c r="T262" i="11" s="1"/>
  <c r="N262" i="11"/>
  <c r="X262" i="11" s="1"/>
  <c r="D262" i="11"/>
  <c r="F262" i="11" s="1"/>
  <c r="AA261" i="11"/>
  <c r="Y261" i="11"/>
  <c r="X261" i="11"/>
  <c r="T261" i="11"/>
  <c r="R261" i="11"/>
  <c r="N261" i="11"/>
  <c r="F261" i="11"/>
  <c r="D261" i="11"/>
  <c r="AL260" i="11"/>
  <c r="AF260" i="11"/>
  <c r="AE260" i="11"/>
  <c r="AD260" i="11"/>
  <c r="AC260" i="11"/>
  <c r="AB260" i="11"/>
  <c r="AA260" i="11"/>
  <c r="Z260" i="11" s="1"/>
  <c r="Y260" i="11"/>
  <c r="X260" i="11"/>
  <c r="N260" i="11"/>
  <c r="R260" i="11" s="1"/>
  <c r="T260" i="11" s="1"/>
  <c r="F260" i="11"/>
  <c r="D260" i="11"/>
  <c r="A260" i="11"/>
  <c r="AN259" i="11"/>
  <c r="BK47" i="65" s="1"/>
  <c r="AM259" i="11"/>
  <c r="BJ47" i="65" s="1"/>
  <c r="AE259" i="11"/>
  <c r="BB47" i="65" s="1"/>
  <c r="AD259" i="11"/>
  <c r="BA47" i="65" s="1"/>
  <c r="AA259" i="11"/>
  <c r="AB259" i="11" s="1"/>
  <c r="Z259" i="11"/>
  <c r="Y259" i="11"/>
  <c r="X259" i="11"/>
  <c r="R259" i="11"/>
  <c r="AV47" i="65" s="1"/>
  <c r="N259" i="11"/>
  <c r="AN47" i="65" s="1"/>
  <c r="D259" i="11"/>
  <c r="F259" i="11" s="1"/>
  <c r="AA258" i="11"/>
  <c r="Z258" i="11" s="1"/>
  <c r="Y258" i="11"/>
  <c r="X258" i="11"/>
  <c r="N258" i="11"/>
  <c r="AN46" i="65" s="1"/>
  <c r="D258" i="11"/>
  <c r="F258" i="11" s="1"/>
  <c r="AN257" i="11"/>
  <c r="BK45" i="65" s="1"/>
  <c r="AM257" i="11"/>
  <c r="BJ45" i="65" s="1"/>
  <c r="AL257" i="11"/>
  <c r="BI45" i="65" s="1"/>
  <c r="AB257" i="11"/>
  <c r="AA257" i="11"/>
  <c r="Z257" i="11"/>
  <c r="Y257" i="11"/>
  <c r="R257" i="11"/>
  <c r="AV45" i="65" s="1"/>
  <c r="N257" i="11"/>
  <c r="AN45" i="65" s="1"/>
  <c r="F257" i="11"/>
  <c r="D257" i="11"/>
  <c r="AA256" i="11"/>
  <c r="AB256" i="11" s="1"/>
  <c r="Y256" i="11"/>
  <c r="R256" i="11"/>
  <c r="N256" i="11"/>
  <c r="D256" i="11"/>
  <c r="F256" i="11" s="1"/>
  <c r="AA255" i="11"/>
  <c r="AB255" i="11" s="1"/>
  <c r="AC255" i="11" s="1"/>
  <c r="AZ43" i="65" s="1"/>
  <c r="Y255" i="11"/>
  <c r="N255" i="11"/>
  <c r="F255" i="11"/>
  <c r="D255" i="11"/>
  <c r="AA254" i="11"/>
  <c r="AB254" i="11" s="1"/>
  <c r="Y254" i="11"/>
  <c r="X254" i="11"/>
  <c r="T254" i="11"/>
  <c r="R254" i="11"/>
  <c r="AV42" i="65" s="1"/>
  <c r="N254" i="11"/>
  <c r="AN42" i="65" s="1"/>
  <c r="D254" i="11"/>
  <c r="F254" i="11" s="1"/>
  <c r="AA253" i="11"/>
  <c r="Z253" i="11" s="1"/>
  <c r="Y253" i="11"/>
  <c r="X253" i="11"/>
  <c r="N253" i="11"/>
  <c r="D253" i="11"/>
  <c r="F253" i="11" s="1"/>
  <c r="AF252" i="11"/>
  <c r="BC40" i="65" s="1"/>
  <c r="AA252" i="11"/>
  <c r="AB252" i="11" s="1"/>
  <c r="AE252" i="11" s="1"/>
  <c r="BB40" i="65" s="1"/>
  <c r="Z252" i="11"/>
  <c r="Y252" i="11"/>
  <c r="X252" i="11"/>
  <c r="N252" i="11"/>
  <c r="AN40" i="65" s="1"/>
  <c r="F252" i="11"/>
  <c r="D252" i="11"/>
  <c r="AB251" i="11"/>
  <c r="AA251" i="11"/>
  <c r="Z251" i="11" s="1"/>
  <c r="Y251" i="11"/>
  <c r="X251" i="11"/>
  <c r="T251" i="11"/>
  <c r="R251" i="11"/>
  <c r="N251" i="11"/>
  <c r="D251" i="11"/>
  <c r="F251" i="11" s="1"/>
  <c r="AA250" i="11"/>
  <c r="Z250" i="11" s="1"/>
  <c r="Y250" i="11"/>
  <c r="N250" i="11"/>
  <c r="AN39" i="65" s="1"/>
  <c r="F250" i="11"/>
  <c r="D250" i="11"/>
  <c r="AN249" i="11"/>
  <c r="BK38" i="65" s="1"/>
  <c r="AL249" i="11"/>
  <c r="BI38" i="65" s="1"/>
  <c r="AB249" i="11"/>
  <c r="AA249" i="11"/>
  <c r="Z249" i="11" s="1"/>
  <c r="Y249" i="11"/>
  <c r="N249" i="11"/>
  <c r="F249" i="11"/>
  <c r="D249" i="11"/>
  <c r="AB248" i="11"/>
  <c r="AA248" i="11"/>
  <c r="Z248" i="11"/>
  <c r="Y248" i="11"/>
  <c r="N248" i="11"/>
  <c r="F248" i="11"/>
  <c r="D248" i="11"/>
  <c r="AN247" i="11"/>
  <c r="BK36" i="65" s="1"/>
  <c r="AM247" i="11"/>
  <c r="BJ36" i="65" s="1"/>
  <c r="AL247" i="11"/>
  <c r="BI36" i="65" s="1"/>
  <c r="AD247" i="11"/>
  <c r="BA36" i="65" s="1"/>
  <c r="AA247" i="11"/>
  <c r="AB247" i="11" s="1"/>
  <c r="Z247" i="11"/>
  <c r="Y247" i="11"/>
  <c r="X247" i="11"/>
  <c r="T247" i="11"/>
  <c r="R247" i="11"/>
  <c r="AV36" i="65" s="1"/>
  <c r="N247" i="11"/>
  <c r="AN36" i="65" s="1"/>
  <c r="D247" i="11"/>
  <c r="F247" i="11" s="1"/>
  <c r="AA246" i="11"/>
  <c r="AB246" i="11" s="1"/>
  <c r="Y246" i="11"/>
  <c r="X246" i="11"/>
  <c r="N246" i="11"/>
  <c r="AN35" i="65" s="1"/>
  <c r="F246" i="11"/>
  <c r="D246" i="11"/>
  <c r="AB245" i="11"/>
  <c r="AA245" i="11"/>
  <c r="Z245" i="11"/>
  <c r="Y245" i="11"/>
  <c r="N245" i="11"/>
  <c r="D245" i="11"/>
  <c r="F245" i="11" s="1"/>
  <c r="AE244" i="11"/>
  <c r="BB33" i="65" s="1"/>
  <c r="AA244" i="11"/>
  <c r="AB244" i="11" s="1"/>
  <c r="Y244" i="11"/>
  <c r="X244" i="11"/>
  <c r="N244" i="11"/>
  <c r="AN33" i="65" s="1"/>
  <c r="D244" i="11"/>
  <c r="F244" i="11" s="1"/>
  <c r="AN243" i="11"/>
  <c r="BK32" i="65" s="1"/>
  <c r="AM243" i="11"/>
  <c r="BJ32" i="65" s="1"/>
  <c r="AL243" i="11"/>
  <c r="BI32" i="65" s="1"/>
  <c r="AF243" i="11"/>
  <c r="BC32" i="65" s="1"/>
  <c r="AE243" i="11"/>
  <c r="BB32" i="65" s="1"/>
  <c r="AD243" i="11"/>
  <c r="BA32" i="65" s="1"/>
  <c r="AC243" i="11"/>
  <c r="AZ32" i="65" s="1"/>
  <c r="AA243" i="11"/>
  <c r="AB243" i="11" s="1"/>
  <c r="Z243" i="11"/>
  <c r="Y243" i="11"/>
  <c r="N243" i="11"/>
  <c r="F243" i="11"/>
  <c r="D243" i="11"/>
  <c r="AA242" i="11"/>
  <c r="AB242" i="11" s="1"/>
  <c r="Z242" i="11"/>
  <c r="Y242" i="11"/>
  <c r="X242" i="11"/>
  <c r="T242" i="11"/>
  <c r="R242" i="11"/>
  <c r="AV31" i="65" s="1"/>
  <c r="N242" i="11"/>
  <c r="AN31" i="65" s="1"/>
  <c r="F242" i="11"/>
  <c r="D242" i="11"/>
  <c r="AB241" i="11"/>
  <c r="AA241" i="11"/>
  <c r="Z241" i="11" s="1"/>
  <c r="Y241" i="11"/>
  <c r="R241" i="11"/>
  <c r="N241" i="11"/>
  <c r="AN30" i="65" s="1"/>
  <c r="D241" i="11"/>
  <c r="F241" i="11" s="1"/>
  <c r="AL240" i="11"/>
  <c r="BI29" i="65" s="1"/>
  <c r="AF240" i="11"/>
  <c r="BC29" i="65" s="1"/>
  <c r="AD240" i="11"/>
  <c r="BA29" i="65" s="1"/>
  <c r="AC240" i="11"/>
  <c r="AZ29" i="65" s="1"/>
  <c r="AA240" i="11"/>
  <c r="AB240" i="11" s="1"/>
  <c r="AE240" i="11" s="1"/>
  <c r="BB29" i="65" s="1"/>
  <c r="Y240" i="11"/>
  <c r="X240" i="11"/>
  <c r="R240" i="11"/>
  <c r="N240" i="11"/>
  <c r="AN29" i="65" s="1"/>
  <c r="F240" i="11"/>
  <c r="D240" i="11"/>
  <c r="AN239" i="11"/>
  <c r="BK28" i="65" s="1"/>
  <c r="AM239" i="11"/>
  <c r="BJ28" i="65" s="1"/>
  <c r="AF239" i="11"/>
  <c r="BC28" i="65" s="1"/>
  <c r="AE239" i="11"/>
  <c r="BB28" i="65" s="1"/>
  <c r="AC239" i="11"/>
  <c r="AZ28" i="65" s="1"/>
  <c r="AB239" i="11"/>
  <c r="AL239" i="11" s="1"/>
  <c r="BI28" i="65" s="1"/>
  <c r="AA239" i="11"/>
  <c r="Z239" i="11"/>
  <c r="Y239" i="11"/>
  <c r="X239" i="11"/>
  <c r="T239" i="11"/>
  <c r="R239" i="11"/>
  <c r="AV28" i="65" s="1"/>
  <c r="N239" i="11"/>
  <c r="AN28" i="65" s="1"/>
  <c r="F239" i="11"/>
  <c r="D239" i="11"/>
  <c r="AA238" i="11"/>
  <c r="Z238" i="11" s="1"/>
  <c r="Y238" i="11"/>
  <c r="X238" i="11"/>
  <c r="T238" i="11"/>
  <c r="R238" i="11"/>
  <c r="AV27" i="65" s="1"/>
  <c r="N238" i="11"/>
  <c r="AN27" i="65" s="1"/>
  <c r="F238" i="11"/>
  <c r="D238" i="11"/>
  <c r="AA237" i="11"/>
  <c r="Y237" i="11"/>
  <c r="N237" i="11"/>
  <c r="F237" i="11"/>
  <c r="D237" i="11"/>
  <c r="AL236" i="11"/>
  <c r="BI25" i="65" s="1"/>
  <c r="AF236" i="11"/>
  <c r="BC25" i="65" s="1"/>
  <c r="AE236" i="11"/>
  <c r="BB25" i="65" s="1"/>
  <c r="AD236" i="11"/>
  <c r="BA25" i="65" s="1"/>
  <c r="AC236" i="11"/>
  <c r="AZ25" i="65" s="1"/>
  <c r="AB236" i="11"/>
  <c r="AN236" i="11" s="1"/>
  <c r="BK25" i="65" s="1"/>
  <c r="AA236" i="11"/>
  <c r="Z236" i="11"/>
  <c r="Y236" i="11"/>
  <c r="N236" i="11"/>
  <c r="F236" i="11"/>
  <c r="D236" i="11"/>
  <c r="AN235" i="11"/>
  <c r="BK24" i="65" s="1"/>
  <c r="AM235" i="11"/>
  <c r="BJ24" i="65" s="1"/>
  <c r="AL235" i="11"/>
  <c r="BI24" i="65" s="1"/>
  <c r="AD235" i="11"/>
  <c r="BA24" i="65" s="1"/>
  <c r="AB235" i="11"/>
  <c r="AA235" i="11"/>
  <c r="Z235" i="11"/>
  <c r="Y235" i="11"/>
  <c r="N235" i="11"/>
  <c r="D235" i="11"/>
  <c r="F235" i="11" s="1"/>
  <c r="AA234" i="11"/>
  <c r="AB234" i="11" s="1"/>
  <c r="Z234" i="11"/>
  <c r="Y234" i="11"/>
  <c r="X234" i="11"/>
  <c r="N234" i="11"/>
  <c r="D234" i="11"/>
  <c r="F234" i="11" s="1"/>
  <c r="AL233" i="11"/>
  <c r="BI22" i="65" s="1"/>
  <c r="AC233" i="11"/>
  <c r="AZ22" i="65" s="1"/>
  <c r="AB233" i="11"/>
  <c r="AD233" i="11" s="1"/>
  <c r="BA22" i="65" s="1"/>
  <c r="AA233" i="11"/>
  <c r="Z233" i="11"/>
  <c r="Y233" i="11"/>
  <c r="X233" i="11"/>
  <c r="T233" i="11"/>
  <c r="R233" i="11"/>
  <c r="AV22" i="65" s="1"/>
  <c r="N233" i="11"/>
  <c r="AN22" i="65" s="1"/>
  <c r="F233" i="11"/>
  <c r="D233" i="11"/>
  <c r="AL232" i="11"/>
  <c r="BI21" i="65" s="1"/>
  <c r="AE232" i="11"/>
  <c r="BB21" i="65" s="1"/>
  <c r="AD232" i="11"/>
  <c r="BA21" i="65" s="1"/>
  <c r="AC232" i="11"/>
  <c r="AZ21" i="65" s="1"/>
  <c r="AB232" i="11"/>
  <c r="AM232" i="11" s="1"/>
  <c r="BJ21" i="65" s="1"/>
  <c r="AA232" i="11"/>
  <c r="Z232" i="11"/>
  <c r="Y232" i="11"/>
  <c r="R232" i="11"/>
  <c r="N232" i="11"/>
  <c r="AN21" i="65" s="1"/>
  <c r="D232" i="11"/>
  <c r="F232" i="11" s="1"/>
  <c r="AN231" i="11"/>
  <c r="BK19" i="65" s="1"/>
  <c r="AM231" i="11"/>
  <c r="BJ19" i="65" s="1"/>
  <c r="AL231" i="11"/>
  <c r="BI19" i="65" s="1"/>
  <c r="AF231" i="11"/>
  <c r="BC19" i="65" s="1"/>
  <c r="AE231" i="11"/>
  <c r="BB19" i="65" s="1"/>
  <c r="AC231" i="11"/>
  <c r="AZ19" i="65" s="1"/>
  <c r="AA231" i="11"/>
  <c r="AB231" i="11" s="1"/>
  <c r="AD231" i="11" s="1"/>
  <c r="BA19" i="65" s="1"/>
  <c r="Y231" i="11"/>
  <c r="R231" i="11"/>
  <c r="AV19" i="65" s="1"/>
  <c r="N231" i="11"/>
  <c r="AN19" i="65" s="1"/>
  <c r="D231" i="11"/>
  <c r="F231" i="11" s="1"/>
  <c r="AB230" i="11"/>
  <c r="AA230" i="11"/>
  <c r="Z230" i="11"/>
  <c r="Y230" i="11"/>
  <c r="X230" i="11"/>
  <c r="R230" i="11"/>
  <c r="AV18" i="65" s="1"/>
  <c r="N230" i="11"/>
  <c r="AN18" i="65" s="1"/>
  <c r="D230" i="11"/>
  <c r="F230" i="11" s="1"/>
  <c r="AA229" i="11"/>
  <c r="Y229" i="11"/>
  <c r="X229" i="11"/>
  <c r="R229" i="11"/>
  <c r="N229" i="11"/>
  <c r="AN20" i="65" s="1"/>
  <c r="F229" i="11"/>
  <c r="D229" i="11"/>
  <c r="AA228" i="11"/>
  <c r="AB228" i="11" s="1"/>
  <c r="Z228" i="11"/>
  <c r="Y228" i="11"/>
  <c r="N228" i="11"/>
  <c r="F228" i="11"/>
  <c r="D228" i="11"/>
  <c r="AN227" i="11"/>
  <c r="BK16" i="65" s="1"/>
  <c r="AM227" i="11"/>
  <c r="BJ16" i="65" s="1"/>
  <c r="AF227" i="11"/>
  <c r="BC16" i="65" s="1"/>
  <c r="AE227" i="11"/>
  <c r="BB16" i="65" s="1"/>
  <c r="AD227" i="11"/>
  <c r="BA16" i="65" s="1"/>
  <c r="AC227" i="11"/>
  <c r="AZ16" i="65" s="1"/>
  <c r="AB227" i="11"/>
  <c r="AL227" i="11" s="1"/>
  <c r="BI16" i="65" s="1"/>
  <c r="AA227" i="11"/>
  <c r="Z227" i="11" s="1"/>
  <c r="Y227" i="11"/>
  <c r="X227" i="11"/>
  <c r="R227" i="11"/>
  <c r="AV16" i="65" s="1"/>
  <c r="N227" i="11"/>
  <c r="AN16" i="65" s="1"/>
  <c r="D227" i="11"/>
  <c r="F227" i="11" s="1"/>
  <c r="AA226" i="11"/>
  <c r="Z226" i="11" s="1"/>
  <c r="Y226" i="11"/>
  <c r="R226" i="11"/>
  <c r="N226" i="11"/>
  <c r="F226" i="11"/>
  <c r="D226" i="11"/>
  <c r="AF225" i="11"/>
  <c r="BC14" i="65" s="1"/>
  <c r="AB225" i="11"/>
  <c r="AA225" i="11"/>
  <c r="Z225" i="11"/>
  <c r="Y225" i="11"/>
  <c r="X225" i="11"/>
  <c r="N225" i="11"/>
  <c r="F225" i="11"/>
  <c r="D225" i="11"/>
  <c r="AD224" i="11"/>
  <c r="BA13" i="65" s="1"/>
  <c r="AC224" i="11"/>
  <c r="AZ13" i="65" s="1"/>
  <c r="AB224" i="11"/>
  <c r="AN224" i="11" s="1"/>
  <c r="BK13" i="65" s="1"/>
  <c r="AA224" i="11"/>
  <c r="Z224" i="11"/>
  <c r="Y224" i="11"/>
  <c r="R224" i="11"/>
  <c r="N224" i="11"/>
  <c r="D224" i="11"/>
  <c r="F224" i="11" s="1"/>
  <c r="AN223" i="11"/>
  <c r="BK12" i="65" s="1"/>
  <c r="AM223" i="11"/>
  <c r="BJ12" i="65" s="1"/>
  <c r="AL223" i="11"/>
  <c r="BI12" i="65" s="1"/>
  <c r="AE223" i="11"/>
  <c r="BB12" i="65" s="1"/>
  <c r="AD223" i="11"/>
  <c r="BA12" i="65" s="1"/>
  <c r="AB223" i="11"/>
  <c r="AA223" i="11"/>
  <c r="Z223" i="11" s="1"/>
  <c r="Y223" i="11"/>
  <c r="R223" i="11"/>
  <c r="N223" i="11"/>
  <c r="AN12" i="65" s="1"/>
  <c r="D223" i="11"/>
  <c r="F223" i="11" s="1"/>
  <c r="AN222" i="11"/>
  <c r="BK11" i="65" s="1"/>
  <c r="AL222" i="11"/>
  <c r="BI11" i="65" s="1"/>
  <c r="AB222" i="11"/>
  <c r="AA222" i="11"/>
  <c r="Z222" i="11"/>
  <c r="Y222" i="11"/>
  <c r="N222" i="11"/>
  <c r="F222" i="11"/>
  <c r="D222" i="11"/>
  <c r="AB221" i="11"/>
  <c r="AA221" i="11"/>
  <c r="Z221" i="11"/>
  <c r="Y221" i="11"/>
  <c r="X221" i="11"/>
  <c r="T221" i="11"/>
  <c r="R221" i="11"/>
  <c r="AV10" i="65" s="1"/>
  <c r="N221" i="11"/>
  <c r="AN10" i="65" s="1"/>
  <c r="D221" i="11"/>
  <c r="F221" i="11" s="1"/>
  <c r="AA220" i="11"/>
  <c r="Z220" i="11" s="1"/>
  <c r="Y220" i="11"/>
  <c r="X220" i="11"/>
  <c r="R220" i="11"/>
  <c r="N220" i="11"/>
  <c r="AN9" i="65" s="1"/>
  <c r="D220" i="11"/>
  <c r="F220" i="11" s="1"/>
  <c r="AN219" i="11"/>
  <c r="BK8" i="65" s="1"/>
  <c r="AM219" i="11"/>
  <c r="BJ8" i="65" s="1"/>
  <c r="AL219" i="11"/>
  <c r="BI8" i="65" s="1"/>
  <c r="AF219" i="11"/>
  <c r="BC8" i="65" s="1"/>
  <c r="AE219" i="11"/>
  <c r="BB8" i="65" s="1"/>
  <c r="AD219" i="11"/>
  <c r="BA8" i="65" s="1"/>
  <c r="AC219" i="11"/>
  <c r="AZ8" i="65" s="1"/>
  <c r="AB219" i="11"/>
  <c r="AA219" i="11"/>
  <c r="Z219" i="11"/>
  <c r="Y219" i="11"/>
  <c r="N219" i="11"/>
  <c r="D219" i="11"/>
  <c r="F219" i="11" s="1"/>
  <c r="AB218" i="11"/>
  <c r="AA218" i="11"/>
  <c r="Z218" i="11"/>
  <c r="Y218" i="11"/>
  <c r="X218" i="11"/>
  <c r="T218" i="11"/>
  <c r="R218" i="11"/>
  <c r="AV7" i="65" s="1"/>
  <c r="N218" i="11"/>
  <c r="AN7" i="65" s="1"/>
  <c r="D218" i="11"/>
  <c r="F218" i="11" s="1"/>
  <c r="AL217" i="11"/>
  <c r="AF217" i="11"/>
  <c r="BC6" i="65" s="1"/>
  <c r="AE217" i="11"/>
  <c r="BB6" i="65" s="1"/>
  <c r="AD217" i="11"/>
  <c r="BA6" i="65" s="1"/>
  <c r="AC217" i="11"/>
  <c r="AZ6" i="65" s="1"/>
  <c r="AB217" i="11"/>
  <c r="AN217" i="11" s="1"/>
  <c r="BK6" i="65" s="1"/>
  <c r="AA217" i="11"/>
  <c r="Z217" i="11" s="1"/>
  <c r="Y217" i="11"/>
  <c r="N217" i="11"/>
  <c r="D217" i="11"/>
  <c r="F217" i="11" s="1"/>
  <c r="AN216" i="11"/>
  <c r="AC216" i="11"/>
  <c r="AZ5" i="65" s="1"/>
  <c r="AA216" i="11"/>
  <c r="AB216" i="11" s="1"/>
  <c r="Z216" i="11"/>
  <c r="Y216" i="11"/>
  <c r="X216" i="11"/>
  <c r="R216" i="11"/>
  <c r="N216" i="11"/>
  <c r="AN5" i="65" s="1"/>
  <c r="F216" i="11"/>
  <c r="D216" i="11"/>
  <c r="AA215" i="11"/>
  <c r="Z215" i="11" s="1"/>
  <c r="Y215" i="11"/>
  <c r="X215" i="11"/>
  <c r="R215" i="11"/>
  <c r="N215" i="11"/>
  <c r="AN4" i="65" s="1"/>
  <c r="D215" i="11"/>
  <c r="F215" i="11" s="1"/>
  <c r="AA214" i="11"/>
  <c r="Y214" i="11"/>
  <c r="X214" i="11"/>
  <c r="R214" i="11"/>
  <c r="N214" i="11"/>
  <c r="AN3" i="65" s="1"/>
  <c r="F214" i="11"/>
  <c r="D214" i="11"/>
  <c r="AN213" i="11"/>
  <c r="BK2" i="65" s="1"/>
  <c r="AM213" i="11"/>
  <c r="BJ2" i="65" s="1"/>
  <c r="AL213" i="11"/>
  <c r="BI2" i="65" s="1"/>
  <c r="AF213" i="11"/>
  <c r="BC2" i="65" s="1"/>
  <c r="AE213" i="11"/>
  <c r="BB2" i="65" s="1"/>
  <c r="AD213" i="11"/>
  <c r="BA2" i="65" s="1"/>
  <c r="AC213" i="11"/>
  <c r="AZ2" i="65" s="1"/>
  <c r="AA213" i="11"/>
  <c r="Z213" i="11"/>
  <c r="Y213" i="11"/>
  <c r="X213" i="11"/>
  <c r="T213" i="11"/>
  <c r="R213" i="11"/>
  <c r="AV2" i="65" s="1"/>
  <c r="N213" i="11"/>
  <c r="AN2" i="65" s="1"/>
  <c r="D213" i="11"/>
  <c r="F213" i="11" s="1"/>
  <c r="AL212" i="11"/>
  <c r="AE212" i="11"/>
  <c r="AC212" i="11"/>
  <c r="AA212" i="11"/>
  <c r="AB212" i="11" s="1"/>
  <c r="Y212" i="11"/>
  <c r="N212" i="11"/>
  <c r="D212" i="11"/>
  <c r="F212" i="11" s="1"/>
  <c r="AN211" i="11"/>
  <c r="AA211" i="11"/>
  <c r="AB211" i="11" s="1"/>
  <c r="Z211" i="11"/>
  <c r="Y211" i="11"/>
  <c r="X211" i="11"/>
  <c r="R211" i="11"/>
  <c r="T211" i="11" s="1"/>
  <c r="N211" i="11"/>
  <c r="F211" i="11"/>
  <c r="D211" i="11"/>
  <c r="AA210" i="11"/>
  <c r="Y210" i="11"/>
  <c r="X210" i="11"/>
  <c r="R210" i="11"/>
  <c r="T210" i="11" s="1"/>
  <c r="N210" i="11"/>
  <c r="D210" i="11"/>
  <c r="F210" i="11" s="1"/>
  <c r="AA209" i="11"/>
  <c r="Y209" i="11"/>
  <c r="X209" i="11"/>
  <c r="R209" i="11"/>
  <c r="T209" i="11" s="1"/>
  <c r="N209" i="11"/>
  <c r="F209" i="11"/>
  <c r="D209" i="11"/>
  <c r="AA208" i="11"/>
  <c r="Y208" i="11"/>
  <c r="X208" i="11"/>
  <c r="T208" i="11"/>
  <c r="R208" i="11"/>
  <c r="N208" i="11"/>
  <c r="F208" i="11"/>
  <c r="D208" i="11"/>
  <c r="AM207" i="11"/>
  <c r="AL207" i="11"/>
  <c r="AF207" i="11"/>
  <c r="AE207" i="11"/>
  <c r="AD207" i="11"/>
  <c r="AB207" i="11"/>
  <c r="AC207" i="11" s="1"/>
  <c r="AA207" i="11"/>
  <c r="Z207" i="11" s="1"/>
  <c r="Y207" i="11"/>
  <c r="R207" i="11"/>
  <c r="T207" i="11" s="1"/>
  <c r="N207" i="11"/>
  <c r="X207" i="11" s="1"/>
  <c r="D207" i="11"/>
  <c r="F207" i="11" s="1"/>
  <c r="AD206" i="11"/>
  <c r="AA206" i="11"/>
  <c r="AB206" i="11" s="1"/>
  <c r="Z206" i="11"/>
  <c r="Y206" i="11"/>
  <c r="X206" i="11"/>
  <c r="N206" i="11"/>
  <c r="R206" i="11" s="1"/>
  <c r="T206" i="11" s="1"/>
  <c r="F206" i="11"/>
  <c r="D206" i="11"/>
  <c r="AB205" i="11"/>
  <c r="AA205" i="11"/>
  <c r="Z205" i="11" s="1"/>
  <c r="Y205" i="11"/>
  <c r="N205" i="11"/>
  <c r="X205" i="11" s="1"/>
  <c r="D205" i="11"/>
  <c r="F205" i="11" s="1"/>
  <c r="AM204" i="11"/>
  <c r="AB204" i="11"/>
  <c r="AA204" i="11"/>
  <c r="Z204" i="11"/>
  <c r="Y204" i="11"/>
  <c r="X204" i="11"/>
  <c r="N204" i="11"/>
  <c r="R204" i="11" s="1"/>
  <c r="T204" i="11" s="1"/>
  <c r="D204" i="11"/>
  <c r="F204" i="11" s="1"/>
  <c r="AD203" i="11"/>
  <c r="AB203" i="11"/>
  <c r="AA203" i="11"/>
  <c r="Z203" i="11"/>
  <c r="Y203" i="11"/>
  <c r="N203" i="11"/>
  <c r="D203" i="11"/>
  <c r="F203" i="11" s="1"/>
  <c r="AN202" i="11"/>
  <c r="AM202" i="11"/>
  <c r="AL202" i="11"/>
  <c r="AF202" i="11"/>
  <c r="AE202" i="11"/>
  <c r="AD202" i="11"/>
  <c r="AC202" i="11"/>
  <c r="AB202" i="11"/>
  <c r="AA202" i="11"/>
  <c r="Z202" i="11"/>
  <c r="Y202" i="11"/>
  <c r="N202" i="11"/>
  <c r="X202" i="11" s="1"/>
  <c r="F202" i="11"/>
  <c r="D202" i="11"/>
  <c r="AA201" i="11"/>
  <c r="AB201" i="11" s="1"/>
  <c r="Y201" i="11"/>
  <c r="X201" i="11"/>
  <c r="R201" i="11"/>
  <c r="T201" i="11" s="1"/>
  <c r="N201" i="11"/>
  <c r="D201" i="11"/>
  <c r="F201" i="11" s="1"/>
  <c r="AL200" i="11"/>
  <c r="AF200" i="11"/>
  <c r="AD200" i="11"/>
  <c r="AA200" i="11"/>
  <c r="AB200" i="11" s="1"/>
  <c r="Y200" i="11"/>
  <c r="X200" i="11"/>
  <c r="N200" i="11"/>
  <c r="R200" i="11" s="1"/>
  <c r="T200" i="11" s="1"/>
  <c r="F200" i="11"/>
  <c r="D200" i="11"/>
  <c r="AN199" i="11"/>
  <c r="AM199" i="11"/>
  <c r="AC199" i="11"/>
  <c r="AA199" i="11"/>
  <c r="AB199" i="11" s="1"/>
  <c r="Z199" i="11"/>
  <c r="Y199" i="11"/>
  <c r="X199" i="11"/>
  <c r="R199" i="11"/>
  <c r="T199" i="11" s="1"/>
  <c r="N199" i="11"/>
  <c r="F199" i="11"/>
  <c r="D199" i="11"/>
  <c r="AE198" i="11"/>
  <c r="AD198" i="11"/>
  <c r="AB198" i="11"/>
  <c r="AM198" i="11" s="1"/>
  <c r="AA198" i="11"/>
  <c r="Z198" i="11" s="1"/>
  <c r="Y198" i="11"/>
  <c r="X198" i="11"/>
  <c r="R198" i="11"/>
  <c r="T198" i="11" s="1"/>
  <c r="N198" i="11"/>
  <c r="D198" i="11"/>
  <c r="F198" i="11" s="1"/>
  <c r="AA197" i="11"/>
  <c r="Y197" i="11"/>
  <c r="N197" i="11"/>
  <c r="F197" i="11"/>
  <c r="D197" i="11"/>
  <c r="AA196" i="11"/>
  <c r="Y196" i="11"/>
  <c r="X196" i="11"/>
  <c r="T196" i="11"/>
  <c r="R196" i="11"/>
  <c r="N196" i="11"/>
  <c r="F196" i="11"/>
  <c r="D196" i="11"/>
  <c r="AM195" i="11"/>
  <c r="AL195" i="11"/>
  <c r="AF195" i="11"/>
  <c r="AE195" i="11"/>
  <c r="AD195" i="11"/>
  <c r="AB195" i="11"/>
  <c r="AC195" i="11" s="1"/>
  <c r="AA195" i="11"/>
  <c r="Z195" i="11" s="1"/>
  <c r="Y195" i="11"/>
  <c r="N195" i="11"/>
  <c r="D195" i="11"/>
  <c r="F195" i="11" s="1"/>
  <c r="AA194" i="11"/>
  <c r="AB194" i="11" s="1"/>
  <c r="Z194" i="11"/>
  <c r="Y194" i="11"/>
  <c r="X194" i="11"/>
  <c r="N194" i="11"/>
  <c r="R194" i="11" s="1"/>
  <c r="T194" i="11" s="1"/>
  <c r="F194" i="11"/>
  <c r="AA193" i="11"/>
  <c r="Z193" i="11" s="1"/>
  <c r="Y193" i="11"/>
  <c r="X193" i="11"/>
  <c r="R193" i="11"/>
  <c r="T193" i="11" s="1"/>
  <c r="N193" i="11"/>
  <c r="D193" i="11"/>
  <c r="F193" i="11" s="1"/>
  <c r="AA192" i="11"/>
  <c r="Y192" i="11"/>
  <c r="X192" i="11"/>
  <c r="R192" i="11"/>
  <c r="T192" i="11" s="1"/>
  <c r="N192" i="11"/>
  <c r="F192" i="11"/>
  <c r="D192" i="11"/>
  <c r="AN191" i="11"/>
  <c r="AC191" i="11"/>
  <c r="AA191" i="11"/>
  <c r="AB191" i="11" s="1"/>
  <c r="Z191" i="11"/>
  <c r="Y191" i="11"/>
  <c r="X191" i="11"/>
  <c r="T191" i="11"/>
  <c r="R191" i="11"/>
  <c r="N191" i="11"/>
  <c r="F191" i="11"/>
  <c r="D191" i="11"/>
  <c r="AB190" i="11"/>
  <c r="AA190" i="11"/>
  <c r="Z190" i="11" s="1"/>
  <c r="Y190" i="11"/>
  <c r="N190" i="11"/>
  <c r="X190" i="11" s="1"/>
  <c r="D190" i="11"/>
  <c r="F190" i="11" s="1"/>
  <c r="AN189" i="11"/>
  <c r="AL189" i="11"/>
  <c r="AA189" i="11"/>
  <c r="AB189" i="11" s="1"/>
  <c r="Z189" i="11"/>
  <c r="Y189" i="11"/>
  <c r="T189" i="11"/>
  <c r="N189" i="11"/>
  <c r="R189" i="11" s="1"/>
  <c r="F189" i="11"/>
  <c r="D189" i="11"/>
  <c r="AA188" i="11"/>
  <c r="Y188" i="11"/>
  <c r="N188" i="11"/>
  <c r="X188" i="11" s="1"/>
  <c r="D188" i="11"/>
  <c r="F188" i="11" s="1"/>
  <c r="AM187" i="11"/>
  <c r="AB187" i="11"/>
  <c r="AA187" i="11"/>
  <c r="Z187" i="11"/>
  <c r="Y187" i="11"/>
  <c r="R187" i="11"/>
  <c r="T187" i="11" s="1"/>
  <c r="N187" i="11"/>
  <c r="X187" i="11" s="1"/>
  <c r="F187" i="11"/>
  <c r="D187" i="11"/>
  <c r="AA186" i="11"/>
  <c r="AB186" i="11" s="1"/>
  <c r="Y186" i="11"/>
  <c r="N186" i="11"/>
  <c r="D186" i="11"/>
  <c r="F186" i="11" s="1"/>
  <c r="AN185" i="11"/>
  <c r="AM185" i="11"/>
  <c r="AL185" i="11"/>
  <c r="AF185" i="11"/>
  <c r="AE185" i="11"/>
  <c r="AD185" i="11"/>
  <c r="AC185" i="11"/>
  <c r="AB185" i="11"/>
  <c r="AA185" i="11"/>
  <c r="Z185" i="11"/>
  <c r="Y185" i="11"/>
  <c r="R185" i="11"/>
  <c r="T185" i="11" s="1"/>
  <c r="N185" i="11"/>
  <c r="X185" i="11" s="1"/>
  <c r="D185" i="11"/>
  <c r="F185" i="11" s="1"/>
  <c r="AN184" i="11"/>
  <c r="AA184" i="11"/>
  <c r="AB184" i="11" s="1"/>
  <c r="Y184" i="11"/>
  <c r="X184" i="11"/>
  <c r="T184" i="11"/>
  <c r="R184" i="11"/>
  <c r="N184" i="11"/>
  <c r="D184" i="11"/>
  <c r="F184" i="11" s="1"/>
  <c r="AA183" i="11"/>
  <c r="Y183" i="11"/>
  <c r="X183" i="11"/>
  <c r="N183" i="11"/>
  <c r="R183" i="11" s="1"/>
  <c r="T183" i="11" s="1"/>
  <c r="D183" i="11"/>
  <c r="F183" i="11" s="1"/>
  <c r="AN182" i="11"/>
  <c r="AL182" i="11"/>
  <c r="AF182" i="11"/>
  <c r="AC182" i="11"/>
  <c r="AA182" i="11"/>
  <c r="AB182" i="11" s="1"/>
  <c r="Z182" i="11"/>
  <c r="Y182" i="11"/>
  <c r="X182" i="11"/>
  <c r="N182" i="11"/>
  <c r="R182" i="11" s="1"/>
  <c r="T182" i="11" s="1"/>
  <c r="F182" i="11"/>
  <c r="D182" i="11"/>
  <c r="AB181" i="11"/>
  <c r="AA181" i="11"/>
  <c r="Z181" i="11"/>
  <c r="Y181" i="11"/>
  <c r="X181" i="11"/>
  <c r="R181" i="11"/>
  <c r="T181" i="11" s="1"/>
  <c r="N181" i="11"/>
  <c r="D181" i="11"/>
  <c r="F181" i="11" s="1"/>
  <c r="AA180" i="11"/>
  <c r="Y180" i="11"/>
  <c r="R180" i="11"/>
  <c r="T180" i="11" s="1"/>
  <c r="N180" i="11"/>
  <c r="X180" i="11" s="1"/>
  <c r="F180" i="11"/>
  <c r="D180" i="11"/>
  <c r="AA179" i="11"/>
  <c r="Y179" i="11"/>
  <c r="X179" i="11"/>
  <c r="T179" i="11"/>
  <c r="R179" i="11"/>
  <c r="N179" i="11"/>
  <c r="D179" i="11"/>
  <c r="F179" i="11" s="1"/>
  <c r="AL178" i="11"/>
  <c r="AE178" i="11"/>
  <c r="AB178" i="11"/>
  <c r="AN178" i="11" s="1"/>
  <c r="AA178" i="11"/>
  <c r="Z178" i="11" s="1"/>
  <c r="Y178" i="11"/>
  <c r="X178" i="11"/>
  <c r="N178" i="11"/>
  <c r="R178" i="11" s="1"/>
  <c r="T178" i="11" s="1"/>
  <c r="D178" i="11"/>
  <c r="F178" i="11" s="1"/>
  <c r="AA177" i="11"/>
  <c r="Y177" i="11"/>
  <c r="N177" i="11"/>
  <c r="F177" i="11"/>
  <c r="D177" i="11"/>
  <c r="AA176" i="11"/>
  <c r="AB176" i="11" s="1"/>
  <c r="AE176" i="11" s="1"/>
  <c r="Y176" i="11"/>
  <c r="R176" i="11"/>
  <c r="T176" i="11" s="1"/>
  <c r="N176" i="11"/>
  <c r="X176" i="11" s="1"/>
  <c r="D176" i="11"/>
  <c r="F176" i="11" s="1"/>
  <c r="AA175" i="11"/>
  <c r="Y175" i="11"/>
  <c r="X175" i="11"/>
  <c r="N175" i="11"/>
  <c r="R175" i="11" s="1"/>
  <c r="T175" i="11" s="1"/>
  <c r="F175" i="11"/>
  <c r="D175" i="11"/>
  <c r="AB174" i="11"/>
  <c r="AA174" i="11"/>
  <c r="Z174" i="11"/>
  <c r="Y174" i="11"/>
  <c r="N174" i="11"/>
  <c r="R174" i="11" s="1"/>
  <c r="T174" i="11" s="1"/>
  <c r="F174" i="11"/>
  <c r="D174" i="11"/>
  <c r="AN173" i="11"/>
  <c r="AM173" i="11"/>
  <c r="AL173" i="11"/>
  <c r="AF173" i="11"/>
  <c r="AE173" i="11"/>
  <c r="AD173" i="11"/>
  <c r="AC173" i="11"/>
  <c r="AB173" i="11"/>
  <c r="AA173" i="11"/>
  <c r="Z173" i="11"/>
  <c r="Y173" i="11"/>
  <c r="R173" i="11"/>
  <c r="T173" i="11" s="1"/>
  <c r="N173" i="11"/>
  <c r="X173" i="11" s="1"/>
  <c r="F173" i="11"/>
  <c r="D173" i="11"/>
  <c r="AN172" i="11"/>
  <c r="AA172" i="11"/>
  <c r="AB172" i="11" s="1"/>
  <c r="AE172" i="11" s="1"/>
  <c r="Z172" i="11"/>
  <c r="Y172" i="11"/>
  <c r="X172" i="11"/>
  <c r="R172" i="11"/>
  <c r="T172" i="11" s="1"/>
  <c r="N172" i="11"/>
  <c r="D172" i="11"/>
  <c r="F172" i="11" s="1"/>
  <c r="AA171" i="11"/>
  <c r="Z171" i="11" s="1"/>
  <c r="Y171" i="11"/>
  <c r="N171" i="11"/>
  <c r="D171" i="11"/>
  <c r="F171" i="11" s="1"/>
  <c r="AL170" i="11"/>
  <c r="AF170" i="11"/>
  <c r="AB170" i="11"/>
  <c r="AN170" i="11" s="1"/>
  <c r="AA170" i="11"/>
  <c r="Z170" i="11"/>
  <c r="Y170" i="11"/>
  <c r="X170" i="11"/>
  <c r="R170" i="11"/>
  <c r="T170" i="11" s="1"/>
  <c r="N170" i="11"/>
  <c r="F170" i="11"/>
  <c r="D170" i="11"/>
  <c r="AA169" i="11"/>
  <c r="Y169" i="11"/>
  <c r="N169" i="11"/>
  <c r="X169" i="11" s="1"/>
  <c r="D169" i="11"/>
  <c r="F169" i="11" s="1"/>
  <c r="AA168" i="11"/>
  <c r="Y168" i="11"/>
  <c r="N168" i="11"/>
  <c r="D168" i="11"/>
  <c r="F168" i="11" s="1"/>
  <c r="AA167" i="11"/>
  <c r="Y167" i="11"/>
  <c r="X167" i="11"/>
  <c r="T167" i="11"/>
  <c r="R167" i="11"/>
  <c r="N167" i="11"/>
  <c r="D167" i="11"/>
  <c r="F167" i="11" s="1"/>
  <c r="AL166" i="11"/>
  <c r="AE166" i="11"/>
  <c r="AB166" i="11"/>
  <c r="AN166" i="11" s="1"/>
  <c r="AA166" i="11"/>
  <c r="Z166" i="11" s="1"/>
  <c r="Y166" i="11"/>
  <c r="X166" i="11"/>
  <c r="N166" i="11"/>
  <c r="R166" i="11" s="1"/>
  <c r="T166" i="11" s="1"/>
  <c r="D166" i="11"/>
  <c r="F166" i="11" s="1"/>
  <c r="AA165" i="11"/>
  <c r="Y165" i="11"/>
  <c r="N165" i="11"/>
  <c r="F165" i="11"/>
  <c r="D165" i="11"/>
  <c r="AA164" i="11"/>
  <c r="AB164" i="11" s="1"/>
  <c r="Y164" i="11"/>
  <c r="R164" i="11"/>
  <c r="T164" i="11" s="1"/>
  <c r="N164" i="11"/>
  <c r="X164" i="11" s="1"/>
  <c r="D164" i="11"/>
  <c r="F164" i="11" s="1"/>
  <c r="AA163" i="11"/>
  <c r="Y163" i="11"/>
  <c r="X163" i="11"/>
  <c r="N163" i="11"/>
  <c r="R163" i="11" s="1"/>
  <c r="T163" i="11" s="1"/>
  <c r="F163" i="11"/>
  <c r="D163" i="11"/>
  <c r="AB162" i="11"/>
  <c r="AA162" i="11"/>
  <c r="Z162" i="11"/>
  <c r="Y162" i="11"/>
  <c r="N162" i="11"/>
  <c r="R162" i="11" s="1"/>
  <c r="T162" i="11" s="1"/>
  <c r="F162" i="11"/>
  <c r="D162" i="11"/>
  <c r="AN161" i="11"/>
  <c r="AM161" i="11"/>
  <c r="AL161" i="11"/>
  <c r="AF161" i="11"/>
  <c r="AE161" i="11"/>
  <c r="AD161" i="11"/>
  <c r="AC161" i="11"/>
  <c r="AB161" i="11"/>
  <c r="AA161" i="11"/>
  <c r="Z161" i="11"/>
  <c r="Y161" i="11"/>
  <c r="R161" i="11"/>
  <c r="T161" i="11" s="1"/>
  <c r="N161" i="11"/>
  <c r="X161" i="11" s="1"/>
  <c r="F161" i="11"/>
  <c r="D161" i="11"/>
  <c r="AA160" i="11"/>
  <c r="AB160" i="11" s="1"/>
  <c r="Z160" i="11"/>
  <c r="Y160" i="11"/>
  <c r="X160" i="11"/>
  <c r="R160" i="11"/>
  <c r="T160" i="11" s="1"/>
  <c r="N160" i="11"/>
  <c r="D160" i="11"/>
  <c r="F160" i="11" s="1"/>
  <c r="AA159" i="11"/>
  <c r="Z159" i="11" s="1"/>
  <c r="Y159" i="11"/>
  <c r="N159" i="11"/>
  <c r="D159" i="11"/>
  <c r="F159" i="11" s="1"/>
  <c r="AL158" i="11"/>
  <c r="AF158" i="11"/>
  <c r="AB158" i="11"/>
  <c r="AN158" i="11" s="1"/>
  <c r="AA158" i="11"/>
  <c r="Z158" i="11"/>
  <c r="Y158" i="11"/>
  <c r="X158" i="11"/>
  <c r="R158" i="11"/>
  <c r="T158" i="11" s="1"/>
  <c r="N158" i="11"/>
  <c r="F158" i="11"/>
  <c r="D158" i="11"/>
  <c r="AA157" i="11"/>
  <c r="Y157" i="11"/>
  <c r="N157" i="11"/>
  <c r="X157" i="11" s="1"/>
  <c r="D157" i="11"/>
  <c r="F157" i="11" s="1"/>
  <c r="F156" i="11"/>
  <c r="D156" i="11"/>
  <c r="AC155" i="11"/>
  <c r="AB155" i="11"/>
  <c r="AA155" i="11"/>
  <c r="Z155" i="11"/>
  <c r="Y155" i="11"/>
  <c r="X155" i="11"/>
  <c r="T155" i="11"/>
  <c r="N155" i="11"/>
  <c r="R155" i="11" s="1"/>
  <c r="F155" i="11"/>
  <c r="D155" i="11"/>
  <c r="AL154" i="11"/>
  <c r="AD154" i="11"/>
  <c r="AA154" i="11"/>
  <c r="AB154" i="11" s="1"/>
  <c r="Z154" i="11"/>
  <c r="Y154" i="11"/>
  <c r="R154" i="11"/>
  <c r="T154" i="11" s="1"/>
  <c r="N154" i="11"/>
  <c r="X154" i="11" s="1"/>
  <c r="D154" i="11"/>
  <c r="F154" i="11" s="1"/>
  <c r="AM153" i="11"/>
  <c r="AF153" i="11"/>
  <c r="AA153" i="11"/>
  <c r="AB153" i="11" s="1"/>
  <c r="AC153" i="11" s="1"/>
  <c r="Z153" i="11"/>
  <c r="Y153" i="11"/>
  <c r="X153" i="11"/>
  <c r="R153" i="11"/>
  <c r="T153" i="11" s="1"/>
  <c r="N153" i="11"/>
  <c r="F153" i="11"/>
  <c r="D153" i="11"/>
  <c r="AB152" i="11"/>
  <c r="AA152" i="11"/>
  <c r="Z152" i="11"/>
  <c r="Y152" i="11"/>
  <c r="X152" i="11"/>
  <c r="T152" i="11"/>
  <c r="R152" i="11"/>
  <c r="N152" i="11"/>
  <c r="F152" i="11"/>
  <c r="D152" i="11"/>
  <c r="AL151" i="11"/>
  <c r="AF151" i="11"/>
  <c r="AD151" i="11"/>
  <c r="AB151" i="11"/>
  <c r="AN151" i="11" s="1"/>
  <c r="AA151" i="11"/>
  <c r="Z151" i="11" s="1"/>
  <c r="Y151" i="11"/>
  <c r="X151" i="11"/>
  <c r="R151" i="11"/>
  <c r="T151" i="11" s="1"/>
  <c r="N151" i="11"/>
  <c r="D151" i="11"/>
  <c r="F151" i="11" s="1"/>
  <c r="AN150" i="11"/>
  <c r="AL150" i="11"/>
  <c r="AC150" i="11"/>
  <c r="AA150" i="11"/>
  <c r="AB150" i="11" s="1"/>
  <c r="Z150" i="11"/>
  <c r="Y150" i="11"/>
  <c r="X150" i="11"/>
  <c r="N150" i="11"/>
  <c r="R150" i="11" s="1"/>
  <c r="T150" i="11" s="1"/>
  <c r="F150" i="11"/>
  <c r="D150" i="11"/>
  <c r="AD149" i="11"/>
  <c r="AB149" i="11"/>
  <c r="AA149" i="11"/>
  <c r="Z149" i="11" s="1"/>
  <c r="Y149" i="11"/>
  <c r="T149" i="11"/>
  <c r="R149" i="11"/>
  <c r="N149" i="11"/>
  <c r="X149" i="11" s="1"/>
  <c r="D149" i="11"/>
  <c r="F149" i="11" s="1"/>
  <c r="AA148" i="11"/>
  <c r="Z148" i="11" s="1"/>
  <c r="Y148" i="11"/>
  <c r="N148" i="11"/>
  <c r="X148" i="11" s="1"/>
  <c r="D148" i="11"/>
  <c r="F148" i="11" s="1"/>
  <c r="AA147" i="11"/>
  <c r="Y147" i="11"/>
  <c r="N147" i="11"/>
  <c r="R147" i="11" s="1"/>
  <c r="T147" i="11" s="1"/>
  <c r="F147" i="11"/>
  <c r="D147" i="11"/>
  <c r="AN146" i="11"/>
  <c r="AM146" i="11"/>
  <c r="AL146" i="11"/>
  <c r="AF146" i="11"/>
  <c r="AE146" i="11"/>
  <c r="AD146" i="11"/>
  <c r="AC146" i="11"/>
  <c r="AB146" i="11"/>
  <c r="AA146" i="11"/>
  <c r="Z146" i="11"/>
  <c r="Y146" i="11"/>
  <c r="N146" i="11"/>
  <c r="D146" i="11"/>
  <c r="F146" i="11" s="1"/>
  <c r="AA145" i="11"/>
  <c r="AB145" i="11" s="1"/>
  <c r="Y145" i="11"/>
  <c r="X145" i="11"/>
  <c r="T145" i="11"/>
  <c r="R145" i="11"/>
  <c r="N145" i="11"/>
  <c r="D145" i="11"/>
  <c r="F145" i="11" s="1"/>
  <c r="AN144" i="11"/>
  <c r="AB144" i="11"/>
  <c r="AA144" i="11"/>
  <c r="Z144" i="11" s="1"/>
  <c r="Y144" i="11"/>
  <c r="N144" i="11"/>
  <c r="R144" i="11" s="1"/>
  <c r="T144" i="11" s="1"/>
  <c r="F144" i="11"/>
  <c r="D144" i="11"/>
  <c r="AC143" i="11"/>
  <c r="AB143" i="11"/>
  <c r="AA143" i="11"/>
  <c r="Z143" i="11"/>
  <c r="Y143" i="11"/>
  <c r="X143" i="11"/>
  <c r="T143" i="11"/>
  <c r="N143" i="11"/>
  <c r="R143" i="11" s="1"/>
  <c r="F143" i="11"/>
  <c r="D143" i="11"/>
  <c r="AL142" i="11"/>
  <c r="AA142" i="11"/>
  <c r="AB142" i="11" s="1"/>
  <c r="Z142" i="11"/>
  <c r="Y142" i="11"/>
  <c r="R142" i="11"/>
  <c r="T142" i="11" s="1"/>
  <c r="N142" i="11"/>
  <c r="X142" i="11" s="1"/>
  <c r="D142" i="11"/>
  <c r="F142" i="11" s="1"/>
  <c r="AM141" i="11"/>
  <c r="AF141" i="11"/>
  <c r="AA141" i="11"/>
  <c r="AB141" i="11" s="1"/>
  <c r="AC141" i="11" s="1"/>
  <c r="Z141" i="11"/>
  <c r="Y141" i="11"/>
  <c r="X141" i="11"/>
  <c r="R141" i="11"/>
  <c r="T141" i="11" s="1"/>
  <c r="N141" i="11"/>
  <c r="F141" i="11"/>
  <c r="D141" i="11"/>
  <c r="AB140" i="11"/>
  <c r="AA140" i="11"/>
  <c r="Z140" i="11"/>
  <c r="Y140" i="11"/>
  <c r="X140" i="11"/>
  <c r="T140" i="11"/>
  <c r="R140" i="11"/>
  <c r="N140" i="11"/>
  <c r="F140" i="11"/>
  <c r="D140" i="11"/>
  <c r="AL139" i="11"/>
  <c r="AF139" i="11"/>
  <c r="AD139" i="11"/>
  <c r="AB139" i="11"/>
  <c r="AN139" i="11" s="1"/>
  <c r="AA139" i="11"/>
  <c r="Z139" i="11" s="1"/>
  <c r="Y139" i="11"/>
  <c r="X139" i="11"/>
  <c r="R139" i="11"/>
  <c r="T139" i="11" s="1"/>
  <c r="N139" i="11"/>
  <c r="D139" i="11"/>
  <c r="F139" i="11" s="1"/>
  <c r="AN138" i="11"/>
  <c r="AM138" i="11"/>
  <c r="AL138" i="11"/>
  <c r="AC138" i="11"/>
  <c r="AA138" i="11"/>
  <c r="AB138" i="11" s="1"/>
  <c r="Z138" i="11"/>
  <c r="Y138" i="11"/>
  <c r="X138" i="11"/>
  <c r="N138" i="11"/>
  <c r="R138" i="11" s="1"/>
  <c r="T138" i="11" s="1"/>
  <c r="F138" i="11"/>
  <c r="D138" i="11"/>
  <c r="AB137" i="11"/>
  <c r="AA137" i="11"/>
  <c r="Z137" i="11" s="1"/>
  <c r="Y137" i="11"/>
  <c r="T137" i="11"/>
  <c r="R137" i="11"/>
  <c r="N137" i="11"/>
  <c r="X137" i="11" s="1"/>
  <c r="D137" i="11"/>
  <c r="F137" i="11" s="1"/>
  <c r="AA136" i="11"/>
  <c r="Z136" i="11" s="1"/>
  <c r="Y136" i="11"/>
  <c r="N136" i="11"/>
  <c r="X136" i="11" s="1"/>
  <c r="D136" i="11"/>
  <c r="F136" i="11" s="1"/>
  <c r="AA135" i="11"/>
  <c r="Y135" i="11"/>
  <c r="N135" i="11"/>
  <c r="R135" i="11" s="1"/>
  <c r="T135" i="11" s="1"/>
  <c r="F135" i="11"/>
  <c r="D135" i="11"/>
  <c r="AN134" i="11"/>
  <c r="AM134" i="11"/>
  <c r="AE134" i="11"/>
  <c r="AD134" i="11"/>
  <c r="AB134" i="11"/>
  <c r="AC134" i="11" s="1"/>
  <c r="AA134" i="11"/>
  <c r="Z134" i="11"/>
  <c r="Y134" i="11"/>
  <c r="N134" i="11"/>
  <c r="D134" i="11"/>
  <c r="F134" i="11" s="1"/>
  <c r="AN133" i="11"/>
  <c r="AM133" i="11"/>
  <c r="AB133" i="11"/>
  <c r="AA133" i="11"/>
  <c r="Z133" i="11"/>
  <c r="Y133" i="11"/>
  <c r="X133" i="11"/>
  <c r="N133" i="11"/>
  <c r="R133" i="11" s="1"/>
  <c r="T133" i="11" s="1"/>
  <c r="D133" i="11"/>
  <c r="F133" i="11" s="1"/>
  <c r="AA132" i="11"/>
  <c r="Y132" i="11"/>
  <c r="X132" i="11"/>
  <c r="T132" i="11"/>
  <c r="N132" i="11"/>
  <c r="R132" i="11" s="1"/>
  <c r="F132" i="11"/>
  <c r="D132" i="11"/>
  <c r="AN131" i="11"/>
  <c r="AM131" i="11"/>
  <c r="AL131" i="11"/>
  <c r="AF131" i="11"/>
  <c r="AE131" i="11"/>
  <c r="AB131" i="11"/>
  <c r="AD131" i="11" s="1"/>
  <c r="AA131" i="11"/>
  <c r="Z131" i="11"/>
  <c r="Y131" i="11"/>
  <c r="X131" i="11"/>
  <c r="R131" i="11"/>
  <c r="T131" i="11" s="1"/>
  <c r="N131" i="11"/>
  <c r="F131" i="11"/>
  <c r="D131" i="11"/>
  <c r="AA130" i="11"/>
  <c r="AB130" i="11" s="1"/>
  <c r="Y130" i="11"/>
  <c r="R130" i="11"/>
  <c r="T130" i="11" s="1"/>
  <c r="N130" i="11"/>
  <c r="X130" i="11" s="1"/>
  <c r="D130" i="11"/>
  <c r="F130" i="11" s="1"/>
  <c r="AL129" i="11"/>
  <c r="AF129" i="11"/>
  <c r="AA129" i="11"/>
  <c r="AB129" i="11" s="1"/>
  <c r="AE129" i="11" s="1"/>
  <c r="Y129" i="11"/>
  <c r="X129" i="11"/>
  <c r="N129" i="11"/>
  <c r="R129" i="11" s="1"/>
  <c r="T129" i="11" s="1"/>
  <c r="D129" i="11"/>
  <c r="F129" i="11" s="1"/>
  <c r="AB128" i="11"/>
  <c r="AA128" i="11"/>
  <c r="Z128" i="11"/>
  <c r="Y128" i="11"/>
  <c r="X128" i="11"/>
  <c r="R128" i="11"/>
  <c r="T128" i="11" s="1"/>
  <c r="N128" i="11"/>
  <c r="F128" i="11"/>
  <c r="D128" i="11"/>
  <c r="AA127" i="11"/>
  <c r="Z127" i="11" s="1"/>
  <c r="Y127" i="11"/>
  <c r="X127" i="11"/>
  <c r="R127" i="11"/>
  <c r="T127" i="11" s="1"/>
  <c r="N127" i="11"/>
  <c r="F127" i="11"/>
  <c r="D127" i="11"/>
  <c r="AA126" i="11"/>
  <c r="Y126" i="11"/>
  <c r="N126" i="11"/>
  <c r="F126" i="11"/>
  <c r="D126" i="11"/>
  <c r="AE125" i="11"/>
  <c r="AA125" i="11"/>
  <c r="AB125" i="11" s="1"/>
  <c r="Y125" i="11"/>
  <c r="R125" i="11"/>
  <c r="T125" i="11" s="1"/>
  <c r="N125" i="11"/>
  <c r="X125" i="11" s="1"/>
  <c r="D125" i="11"/>
  <c r="F125" i="11" s="1"/>
  <c r="AB124" i="11"/>
  <c r="AA124" i="11"/>
  <c r="Z124" i="11" s="1"/>
  <c r="Y124" i="11"/>
  <c r="N124" i="11"/>
  <c r="X124" i="11" s="1"/>
  <c r="D124" i="11"/>
  <c r="F124" i="11" s="1"/>
  <c r="AB123" i="11"/>
  <c r="AD123" i="11" s="1"/>
  <c r="AA123" i="11"/>
  <c r="Z123" i="11"/>
  <c r="Y123" i="11"/>
  <c r="X123" i="11"/>
  <c r="N123" i="11"/>
  <c r="R123" i="11" s="1"/>
  <c r="T123" i="11" s="1"/>
  <c r="F123" i="11"/>
  <c r="D123" i="11"/>
  <c r="AM122" i="11"/>
  <c r="AF122" i="11"/>
  <c r="AC122" i="11"/>
  <c r="AB122" i="11"/>
  <c r="AA122" i="11"/>
  <c r="Z122" i="11"/>
  <c r="Y122" i="11"/>
  <c r="N122" i="11"/>
  <c r="D122" i="11"/>
  <c r="F122" i="11" s="1"/>
  <c r="AL121" i="11"/>
  <c r="AE121" i="11"/>
  <c r="AB121" i="11"/>
  <c r="AN121" i="11" s="1"/>
  <c r="AA121" i="11"/>
  <c r="Z121" i="11"/>
  <c r="Y121" i="11"/>
  <c r="X121" i="11"/>
  <c r="R121" i="11"/>
  <c r="T121" i="11" s="1"/>
  <c r="N121" i="11"/>
  <c r="D121" i="11"/>
  <c r="F121" i="11" s="1"/>
  <c r="AA120" i="11"/>
  <c r="Y120" i="11"/>
  <c r="N120" i="11"/>
  <c r="F120" i="11"/>
  <c r="D120" i="11"/>
  <c r="AE119" i="11"/>
  <c r="AB119" i="11"/>
  <c r="AA119" i="11"/>
  <c r="Z119" i="11"/>
  <c r="Y119" i="11"/>
  <c r="X119" i="11"/>
  <c r="R119" i="11"/>
  <c r="T119" i="11" s="1"/>
  <c r="N119" i="11"/>
  <c r="F119" i="11"/>
  <c r="D119" i="11"/>
  <c r="AE118" i="11"/>
  <c r="AB118" i="11"/>
  <c r="AA118" i="11"/>
  <c r="Z118" i="11" s="1"/>
  <c r="Y118" i="11"/>
  <c r="R118" i="11"/>
  <c r="T118" i="11" s="1"/>
  <c r="N118" i="11"/>
  <c r="X118" i="11" s="1"/>
  <c r="F118" i="11"/>
  <c r="D118" i="11"/>
  <c r="AN117" i="11"/>
  <c r="AL117" i="11"/>
  <c r="AF117" i="11"/>
  <c r="AE117" i="11"/>
  <c r="AD117" i="11"/>
  <c r="AC117" i="11"/>
  <c r="AA117" i="11"/>
  <c r="AB117" i="11" s="1"/>
  <c r="AM117" i="11" s="1"/>
  <c r="Z117" i="11"/>
  <c r="Y117" i="11"/>
  <c r="X117" i="11"/>
  <c r="R117" i="11"/>
  <c r="T117" i="11" s="1"/>
  <c r="N117" i="11"/>
  <c r="D117" i="11"/>
  <c r="F117" i="11" s="1"/>
  <c r="AB116" i="11"/>
  <c r="AA116" i="11"/>
  <c r="Z116" i="11"/>
  <c r="Y116" i="11"/>
  <c r="X116" i="11"/>
  <c r="T116" i="11"/>
  <c r="R116" i="11"/>
  <c r="N116" i="11"/>
  <c r="F116" i="11"/>
  <c r="D116" i="11"/>
  <c r="AA115" i="11"/>
  <c r="Z115" i="11" s="1"/>
  <c r="Y115" i="11"/>
  <c r="X115" i="11"/>
  <c r="R115" i="11"/>
  <c r="T115" i="11" s="1"/>
  <c r="N115" i="11"/>
  <c r="F115" i="11"/>
  <c r="D115" i="11"/>
  <c r="AN114" i="11"/>
  <c r="AF114" i="11"/>
  <c r="AE114" i="11"/>
  <c r="AA114" i="11"/>
  <c r="AB114" i="11" s="1"/>
  <c r="Y114" i="11"/>
  <c r="X114" i="11"/>
  <c r="T114" i="11"/>
  <c r="N114" i="11"/>
  <c r="R114" i="11" s="1"/>
  <c r="D114" i="11"/>
  <c r="F114" i="11" s="1"/>
  <c r="AB113" i="11"/>
  <c r="AA113" i="11"/>
  <c r="Z113" i="11"/>
  <c r="Y113" i="11"/>
  <c r="X113" i="11"/>
  <c r="R113" i="11"/>
  <c r="T113" i="11" s="1"/>
  <c r="N113" i="11"/>
  <c r="F113" i="11"/>
  <c r="D113" i="11"/>
  <c r="AA112" i="11"/>
  <c r="AB112" i="11" s="1"/>
  <c r="AN112" i="11" s="1"/>
  <c r="Y112" i="11"/>
  <c r="N112" i="11"/>
  <c r="D112" i="11"/>
  <c r="F112" i="11" s="1"/>
  <c r="AM111" i="11"/>
  <c r="AB111" i="11"/>
  <c r="AA111" i="11"/>
  <c r="Z111" i="11"/>
  <c r="Y111" i="11"/>
  <c r="X111" i="11"/>
  <c r="T111" i="11"/>
  <c r="R111" i="11"/>
  <c r="N111" i="11"/>
  <c r="F111" i="11"/>
  <c r="D111" i="11"/>
  <c r="AE110" i="11"/>
  <c r="AB110" i="11"/>
  <c r="AA110" i="11"/>
  <c r="Z110" i="11" s="1"/>
  <c r="Y110" i="11"/>
  <c r="N110" i="11"/>
  <c r="D110" i="11"/>
  <c r="F110" i="11" s="1"/>
  <c r="AL109" i="11"/>
  <c r="AF109" i="11"/>
  <c r="AB109" i="11"/>
  <c r="AE109" i="11" s="1"/>
  <c r="AA109" i="11"/>
  <c r="Z109" i="11"/>
  <c r="Y109" i="11"/>
  <c r="X109" i="11"/>
  <c r="N109" i="11"/>
  <c r="R109" i="11" s="1"/>
  <c r="T109" i="11" s="1"/>
  <c r="F109" i="11"/>
  <c r="D109" i="11"/>
  <c r="AA108" i="11"/>
  <c r="AB108" i="11" s="1"/>
  <c r="Z108" i="11"/>
  <c r="Y108" i="11"/>
  <c r="N108" i="11"/>
  <c r="X108" i="11" s="1"/>
  <c r="D108" i="11"/>
  <c r="F108" i="11" s="1"/>
  <c r="AN107" i="11"/>
  <c r="AM107" i="11"/>
  <c r="AE107" i="11"/>
  <c r="AD107" i="11"/>
  <c r="AB107" i="11"/>
  <c r="AC107" i="11" s="1"/>
  <c r="AA107" i="11"/>
  <c r="Z107" i="11"/>
  <c r="Y107" i="11"/>
  <c r="X107" i="11"/>
  <c r="R107" i="11"/>
  <c r="T107" i="11" s="1"/>
  <c r="N107" i="11"/>
  <c r="D107" i="11"/>
  <c r="F107" i="11" s="1"/>
  <c r="AA106" i="11"/>
  <c r="Y106" i="11"/>
  <c r="X106" i="11"/>
  <c r="P106" i="11"/>
  <c r="R106" i="11" s="1"/>
  <c r="T106" i="11" s="1"/>
  <c r="D106" i="11"/>
  <c r="F106" i="11" s="1"/>
  <c r="AM105" i="11"/>
  <c r="AF105" i="11"/>
  <c r="AB105" i="11"/>
  <c r="AA105" i="11"/>
  <c r="Z105" i="11"/>
  <c r="Y105" i="11"/>
  <c r="R105" i="11"/>
  <c r="T105" i="11" s="1"/>
  <c r="N105" i="11"/>
  <c r="X105" i="11" s="1"/>
  <c r="F105" i="11"/>
  <c r="D105" i="11"/>
  <c r="AA104" i="11"/>
  <c r="Y104" i="11"/>
  <c r="R104" i="11"/>
  <c r="T104" i="11" s="1"/>
  <c r="N104" i="11"/>
  <c r="X104" i="11" s="1"/>
  <c r="D104" i="11"/>
  <c r="F104" i="11" s="1"/>
  <c r="AF103" i="11"/>
  <c r="AA103" i="11"/>
  <c r="AB103" i="11" s="1"/>
  <c r="AD103" i="11" s="1"/>
  <c r="Y103" i="11"/>
  <c r="X103" i="11"/>
  <c r="R103" i="11"/>
  <c r="T103" i="11" s="1"/>
  <c r="N103" i="11"/>
  <c r="F103" i="11"/>
  <c r="D103" i="11"/>
  <c r="AF102" i="11"/>
  <c r="AE102" i="11"/>
  <c r="AA102" i="11"/>
  <c r="AB102" i="11" s="1"/>
  <c r="Y102" i="11"/>
  <c r="X102" i="11"/>
  <c r="N102" i="11"/>
  <c r="R102" i="11" s="1"/>
  <c r="T102" i="11" s="1"/>
  <c r="D102" i="11"/>
  <c r="F102" i="11" s="1"/>
  <c r="AB101" i="11"/>
  <c r="AA101" i="11"/>
  <c r="Z101" i="11"/>
  <c r="Y101" i="11"/>
  <c r="X101" i="11"/>
  <c r="R101" i="11"/>
  <c r="T101" i="11" s="1"/>
  <c r="N101" i="11"/>
  <c r="F101" i="11"/>
  <c r="D101" i="11"/>
  <c r="AN100" i="11"/>
  <c r="AL100" i="11"/>
  <c r="AC100" i="11"/>
  <c r="AA100" i="11"/>
  <c r="AB100" i="11" s="1"/>
  <c r="Y100" i="11"/>
  <c r="N100" i="11"/>
  <c r="D100" i="11"/>
  <c r="F100" i="11" s="1"/>
  <c r="AB99" i="11"/>
  <c r="AA99" i="11"/>
  <c r="Z99" i="11"/>
  <c r="Y99" i="11"/>
  <c r="X99" i="11"/>
  <c r="R99" i="11"/>
  <c r="T99" i="11" s="1"/>
  <c r="N99" i="11"/>
  <c r="F99" i="11"/>
  <c r="D99" i="11"/>
  <c r="AA98" i="11"/>
  <c r="Z98" i="11" s="1"/>
  <c r="Y98" i="11"/>
  <c r="N98" i="11"/>
  <c r="D98" i="11"/>
  <c r="F98" i="11" s="1"/>
  <c r="AL97" i="11"/>
  <c r="AF97" i="11"/>
  <c r="AB97" i="11"/>
  <c r="AE97" i="11" s="1"/>
  <c r="AA97" i="11"/>
  <c r="Z97" i="11"/>
  <c r="Y97" i="11"/>
  <c r="N97" i="11"/>
  <c r="R97" i="11" s="1"/>
  <c r="T97" i="11" s="1"/>
  <c r="F97" i="11"/>
  <c r="D97" i="11"/>
  <c r="AD96" i="11"/>
  <c r="AC96" i="11"/>
  <c r="AA96" i="11"/>
  <c r="AB96" i="11" s="1"/>
  <c r="Z96" i="11"/>
  <c r="Y96" i="11"/>
  <c r="N96" i="11"/>
  <c r="X96" i="11" s="1"/>
  <c r="D96" i="11"/>
  <c r="F96" i="11" s="1"/>
  <c r="AN95" i="11"/>
  <c r="AM95" i="11"/>
  <c r="AE95" i="11"/>
  <c r="AD95" i="11"/>
  <c r="AB95" i="11"/>
  <c r="AC95" i="11" s="1"/>
  <c r="AA95" i="11"/>
  <c r="Z95" i="11"/>
  <c r="Y95" i="11"/>
  <c r="X95" i="11"/>
  <c r="R95" i="11"/>
  <c r="T95" i="11" s="1"/>
  <c r="N95" i="11"/>
  <c r="D95" i="11"/>
  <c r="F95" i="11" s="1"/>
  <c r="AA94" i="11"/>
  <c r="Z94" i="11" s="1"/>
  <c r="Y94" i="11"/>
  <c r="X94" i="11"/>
  <c r="N94" i="11"/>
  <c r="R94" i="11" s="1"/>
  <c r="T94" i="11" s="1"/>
  <c r="D94" i="11"/>
  <c r="F94" i="11" s="1"/>
  <c r="AM93" i="11"/>
  <c r="AL93" i="11"/>
  <c r="AF93" i="11"/>
  <c r="AC93" i="11"/>
  <c r="AB93" i="11"/>
  <c r="AA93" i="11"/>
  <c r="Z93" i="11"/>
  <c r="Y93" i="11"/>
  <c r="R93" i="11"/>
  <c r="T93" i="11" s="1"/>
  <c r="N93" i="11"/>
  <c r="X93" i="11" s="1"/>
  <c r="F93" i="11"/>
  <c r="D93" i="11"/>
  <c r="AA92" i="11"/>
  <c r="AB92" i="11" s="1"/>
  <c r="Z92" i="11"/>
  <c r="Y92" i="11"/>
  <c r="N92" i="11"/>
  <c r="X92" i="11" s="1"/>
  <c r="D92" i="11"/>
  <c r="F92" i="11" s="1"/>
  <c r="AF91" i="11"/>
  <c r="AE91" i="11"/>
  <c r="AD91" i="11"/>
  <c r="AA91" i="11"/>
  <c r="AB91" i="11" s="1"/>
  <c r="Z91" i="11"/>
  <c r="Y91" i="11"/>
  <c r="X91" i="11"/>
  <c r="R91" i="11"/>
  <c r="T91" i="11" s="1"/>
  <c r="N91" i="11"/>
  <c r="D91" i="11"/>
  <c r="F91" i="11" s="1"/>
  <c r="AN90" i="11"/>
  <c r="AF90" i="11"/>
  <c r="AA90" i="11"/>
  <c r="AB90" i="11" s="1"/>
  <c r="AE90" i="11" s="1"/>
  <c r="Y90" i="11"/>
  <c r="X90" i="11"/>
  <c r="N90" i="11"/>
  <c r="R90" i="11" s="1"/>
  <c r="T90" i="11" s="1"/>
  <c r="F90" i="11"/>
  <c r="D90" i="11"/>
  <c r="AC89" i="11"/>
  <c r="AB89" i="11"/>
  <c r="AA89" i="11"/>
  <c r="Z89" i="11"/>
  <c r="Y89" i="11"/>
  <c r="X89" i="11"/>
  <c r="R89" i="11"/>
  <c r="T89" i="11" s="1"/>
  <c r="N89" i="11"/>
  <c r="F89" i="11"/>
  <c r="D89" i="11"/>
  <c r="AL88" i="11"/>
  <c r="AD88" i="11"/>
  <c r="AA88" i="11"/>
  <c r="AB88" i="11" s="1"/>
  <c r="AN88" i="11" s="1"/>
  <c r="Y88" i="11"/>
  <c r="N88" i="11"/>
  <c r="X88" i="11" s="1"/>
  <c r="D88" i="11"/>
  <c r="F88" i="11" s="1"/>
  <c r="AB87" i="11"/>
  <c r="AA87" i="11"/>
  <c r="Z87" i="11" s="1"/>
  <c r="Y87" i="11"/>
  <c r="X87" i="11"/>
  <c r="R87" i="11"/>
  <c r="T87" i="11" s="1"/>
  <c r="N87" i="11"/>
  <c r="F87" i="11"/>
  <c r="D87" i="11"/>
  <c r="AA86" i="11"/>
  <c r="Z86" i="11" s="1"/>
  <c r="Y86" i="11"/>
  <c r="N86" i="11"/>
  <c r="D86" i="11"/>
  <c r="F86" i="11" s="1"/>
  <c r="AB85" i="11"/>
  <c r="AA85" i="11"/>
  <c r="Z85" i="11"/>
  <c r="Y85" i="11"/>
  <c r="X85" i="11"/>
  <c r="N85" i="11"/>
  <c r="R85" i="11" s="1"/>
  <c r="T85" i="11" s="1"/>
  <c r="F85" i="11"/>
  <c r="D85" i="11"/>
  <c r="F84" i="11"/>
  <c r="D84" i="11"/>
  <c r="AE83" i="11"/>
  <c r="AB83" i="11"/>
  <c r="AA83" i="11"/>
  <c r="Z83" i="11" s="1"/>
  <c r="Y83" i="11"/>
  <c r="N83" i="11"/>
  <c r="D83" i="11"/>
  <c r="F83" i="11" s="1"/>
  <c r="D82" i="11"/>
  <c r="F82" i="11" s="1"/>
  <c r="AB81" i="11"/>
  <c r="AA81" i="11"/>
  <c r="Z81" i="11" s="1"/>
  <c r="Y81" i="11"/>
  <c r="X81" i="11"/>
  <c r="R81" i="11"/>
  <c r="T81" i="11" s="1"/>
  <c r="N81" i="11"/>
  <c r="F81" i="11"/>
  <c r="D81" i="11"/>
  <c r="AA80" i="11"/>
  <c r="Z80" i="11" s="1"/>
  <c r="Y80" i="11"/>
  <c r="N80" i="11"/>
  <c r="D80" i="11"/>
  <c r="F80" i="11" s="1"/>
  <c r="AB79" i="11"/>
  <c r="AA79" i="11"/>
  <c r="Z79" i="11"/>
  <c r="Y79" i="11"/>
  <c r="X79" i="11"/>
  <c r="N79" i="11"/>
  <c r="R79" i="11" s="1"/>
  <c r="T79" i="11" s="1"/>
  <c r="F79" i="11"/>
  <c r="D79" i="11"/>
  <c r="AL78" i="11"/>
  <c r="AE78" i="11"/>
  <c r="AA78" i="11"/>
  <c r="AB78" i="11" s="1"/>
  <c r="Z78" i="11"/>
  <c r="Y78" i="11"/>
  <c r="N78" i="11"/>
  <c r="D78" i="11"/>
  <c r="F78" i="11" s="1"/>
  <c r="AN77" i="11"/>
  <c r="AM77" i="11"/>
  <c r="AE77" i="11"/>
  <c r="AD77" i="11"/>
  <c r="AB77" i="11"/>
  <c r="AC77" i="11" s="1"/>
  <c r="AA77" i="11"/>
  <c r="Z77" i="11"/>
  <c r="Y77" i="11"/>
  <c r="X77" i="11"/>
  <c r="T77" i="11"/>
  <c r="R77" i="11"/>
  <c r="N77" i="11"/>
  <c r="D77" i="11"/>
  <c r="F77" i="11" s="1"/>
  <c r="AB76" i="11"/>
  <c r="AA76" i="11"/>
  <c r="Z76" i="11" s="1"/>
  <c r="Y76" i="11"/>
  <c r="X76" i="11"/>
  <c r="T76" i="11"/>
  <c r="N76" i="11"/>
  <c r="R76" i="11" s="1"/>
  <c r="D76" i="11"/>
  <c r="F76" i="11" s="1"/>
  <c r="AB75" i="11"/>
  <c r="AA75" i="11"/>
  <c r="Z75" i="11"/>
  <c r="Y75" i="11"/>
  <c r="R75" i="11"/>
  <c r="T75" i="11" s="1"/>
  <c r="N75" i="11"/>
  <c r="X75" i="11" s="1"/>
  <c r="F75" i="11"/>
  <c r="D75" i="11"/>
  <c r="AA74" i="11"/>
  <c r="AB74" i="11" s="1"/>
  <c r="Y74" i="11"/>
  <c r="N74" i="11"/>
  <c r="X74" i="11" s="1"/>
  <c r="D74" i="11"/>
  <c r="F74" i="11" s="1"/>
  <c r="AA73" i="11"/>
  <c r="AB73" i="11" s="1"/>
  <c r="AM73" i="11" s="1"/>
  <c r="Z73" i="11"/>
  <c r="Y73" i="11"/>
  <c r="X73" i="11"/>
  <c r="R73" i="11"/>
  <c r="T73" i="11" s="1"/>
  <c r="N73" i="11"/>
  <c r="F73" i="11"/>
  <c r="D73" i="11"/>
  <c r="AA72" i="11"/>
  <c r="Y72" i="11"/>
  <c r="X72" i="11"/>
  <c r="N72" i="11"/>
  <c r="R72" i="11" s="1"/>
  <c r="T72" i="11" s="1"/>
  <c r="D72" i="11"/>
  <c r="F72" i="11" s="1"/>
  <c r="AM71" i="11"/>
  <c r="AF71" i="11"/>
  <c r="AD71" i="11"/>
  <c r="AB71" i="11"/>
  <c r="AA71" i="11"/>
  <c r="Z71" i="11"/>
  <c r="Y71" i="11"/>
  <c r="X71" i="11"/>
  <c r="R71" i="11"/>
  <c r="T71" i="11" s="1"/>
  <c r="N71" i="11"/>
  <c r="F71" i="11"/>
  <c r="D71" i="11"/>
  <c r="AA70" i="11"/>
  <c r="Y70" i="11"/>
  <c r="N70" i="11"/>
  <c r="X70" i="11" s="1"/>
  <c r="D70" i="11"/>
  <c r="F70" i="11" s="1"/>
  <c r="AA69" i="11"/>
  <c r="AB69" i="11" s="1"/>
  <c r="Z69" i="11"/>
  <c r="Y69" i="11"/>
  <c r="X69" i="11"/>
  <c r="R69" i="11"/>
  <c r="T69" i="11" s="1"/>
  <c r="N69" i="11"/>
  <c r="F69" i="11"/>
  <c r="D69" i="11"/>
  <c r="AA68" i="11"/>
  <c r="Z68" i="11" s="1"/>
  <c r="Y68" i="11"/>
  <c r="N68" i="11"/>
  <c r="F68" i="11"/>
  <c r="D68" i="11"/>
  <c r="AL67" i="11"/>
  <c r="AF67" i="11"/>
  <c r="AB67" i="11"/>
  <c r="AA67" i="11"/>
  <c r="Z67" i="11"/>
  <c r="Y67" i="11"/>
  <c r="N67" i="11"/>
  <c r="R67" i="11" s="1"/>
  <c r="T67" i="11" s="1"/>
  <c r="F67" i="11"/>
  <c r="D67" i="11"/>
  <c r="AN66" i="11"/>
  <c r="AA66" i="11"/>
  <c r="AB66" i="11" s="1"/>
  <c r="AL66" i="11" s="1"/>
  <c r="Z66" i="11"/>
  <c r="Y66" i="11"/>
  <c r="N66" i="11"/>
  <c r="D66" i="11"/>
  <c r="F66" i="11" s="1"/>
  <c r="AN65" i="11"/>
  <c r="AM65" i="11"/>
  <c r="AE65" i="11"/>
  <c r="AD65" i="11"/>
  <c r="AB65" i="11"/>
  <c r="AA65" i="11"/>
  <c r="Z65" i="11"/>
  <c r="Y65" i="11"/>
  <c r="X65" i="11"/>
  <c r="R65" i="11"/>
  <c r="T65" i="11" s="1"/>
  <c r="N65" i="11"/>
  <c r="D65" i="11"/>
  <c r="F65" i="11" s="1"/>
  <c r="AA64" i="11"/>
  <c r="Z64" i="11" s="1"/>
  <c r="Y64" i="11"/>
  <c r="X64" i="11"/>
  <c r="N64" i="11"/>
  <c r="R64" i="11" s="1"/>
  <c r="T64" i="11" s="1"/>
  <c r="D64" i="11"/>
  <c r="F64" i="11" s="1"/>
  <c r="AM63" i="11"/>
  <c r="AL63" i="11"/>
  <c r="AF63" i="11"/>
  <c r="AC63" i="11"/>
  <c r="AB63" i="11"/>
  <c r="AA63" i="11"/>
  <c r="Z63" i="11"/>
  <c r="Y63" i="11"/>
  <c r="X63" i="11"/>
  <c r="N63" i="11"/>
  <c r="R63" i="11" s="1"/>
  <c r="T63" i="11" s="1"/>
  <c r="F63" i="11"/>
  <c r="D63" i="11"/>
  <c r="AM62" i="11"/>
  <c r="AL62" i="11"/>
  <c r="AE62" i="11"/>
  <c r="AA62" i="11"/>
  <c r="AB62" i="11" s="1"/>
  <c r="Z62" i="11"/>
  <c r="Y62" i="11"/>
  <c r="R62" i="11"/>
  <c r="T62" i="11" s="1"/>
  <c r="N62" i="11"/>
  <c r="X62" i="11" s="1"/>
  <c r="D62" i="11"/>
  <c r="F62" i="11" s="1"/>
  <c r="AF61" i="11"/>
  <c r="AE61" i="11"/>
  <c r="AA61" i="11"/>
  <c r="AB61" i="11" s="1"/>
  <c r="AM61" i="11" s="1"/>
  <c r="Y61" i="11"/>
  <c r="X61" i="11"/>
  <c r="R61" i="11"/>
  <c r="T61" i="11" s="1"/>
  <c r="N61" i="11"/>
  <c r="D61" i="11"/>
  <c r="F61" i="11" s="1"/>
  <c r="AA60" i="11"/>
  <c r="Y60" i="11"/>
  <c r="X60" i="11"/>
  <c r="N60" i="11"/>
  <c r="R60" i="11" s="1"/>
  <c r="T60" i="11" s="1"/>
  <c r="F60" i="11"/>
  <c r="D60" i="11"/>
  <c r="AD59" i="11"/>
  <c r="AC59" i="11"/>
  <c r="AB59" i="11"/>
  <c r="AA59" i="11"/>
  <c r="Z59" i="11"/>
  <c r="Y59" i="11"/>
  <c r="X59" i="11"/>
  <c r="R59" i="11"/>
  <c r="T59" i="11" s="1"/>
  <c r="N59" i="11"/>
  <c r="F59" i="11"/>
  <c r="D59" i="11"/>
  <c r="AA58" i="11"/>
  <c r="Y58" i="11"/>
  <c r="N58" i="11"/>
  <c r="X58" i="11" s="1"/>
  <c r="D58" i="11"/>
  <c r="F58" i="11" s="1"/>
  <c r="AA57" i="11"/>
  <c r="Z57" i="11" s="1"/>
  <c r="Y57" i="11"/>
  <c r="X57" i="11"/>
  <c r="R57" i="11"/>
  <c r="T57" i="11" s="1"/>
  <c r="N57" i="11"/>
  <c r="F57" i="11"/>
  <c r="D57" i="11"/>
  <c r="AA56" i="11"/>
  <c r="Z56" i="11" s="1"/>
  <c r="Y56" i="11"/>
  <c r="N56" i="11"/>
  <c r="D56" i="11"/>
  <c r="F56" i="11" s="1"/>
  <c r="AF55" i="11"/>
  <c r="AD55" i="11"/>
  <c r="AB55" i="11"/>
  <c r="AA55" i="11"/>
  <c r="Z55" i="11"/>
  <c r="Y55" i="11"/>
  <c r="N55" i="11"/>
  <c r="R55" i="11" s="1"/>
  <c r="T55" i="11" s="1"/>
  <c r="F55" i="11"/>
  <c r="D55" i="11"/>
  <c r="AE54" i="11"/>
  <c r="AD54" i="11"/>
  <c r="AA54" i="11"/>
  <c r="AB54" i="11" s="1"/>
  <c r="AN54" i="11" s="1"/>
  <c r="Z54" i="11"/>
  <c r="Y54" i="11"/>
  <c r="N54" i="11"/>
  <c r="D54" i="11"/>
  <c r="F54" i="11" s="1"/>
  <c r="AB53" i="11"/>
  <c r="AA53" i="11"/>
  <c r="Z53" i="11"/>
  <c r="Y53" i="11"/>
  <c r="X53" i="11"/>
  <c r="R53" i="11"/>
  <c r="T53" i="11" s="1"/>
  <c r="N53" i="11"/>
  <c r="D53" i="11"/>
  <c r="F53" i="11" s="1"/>
  <c r="AA52" i="11"/>
  <c r="Z52" i="11" s="1"/>
  <c r="Y52" i="11"/>
  <c r="N52" i="11"/>
  <c r="R52" i="11" s="1"/>
  <c r="T52" i="11" s="1"/>
  <c r="D52" i="11"/>
  <c r="F52" i="11" s="1"/>
  <c r="AB51" i="11"/>
  <c r="AA51" i="11"/>
  <c r="Z51" i="11"/>
  <c r="Y51" i="11"/>
  <c r="N51" i="11"/>
  <c r="X51" i="11" s="1"/>
  <c r="F51" i="11"/>
  <c r="D51" i="11"/>
  <c r="AE50" i="11"/>
  <c r="AC50" i="11"/>
  <c r="AA50" i="11"/>
  <c r="AB50" i="11" s="1"/>
  <c r="Z50" i="11"/>
  <c r="Y50" i="11"/>
  <c r="N50" i="11"/>
  <c r="X50" i="11" s="1"/>
  <c r="D50" i="11"/>
  <c r="F50" i="11" s="1"/>
  <c r="AM49" i="11"/>
  <c r="AA49" i="11"/>
  <c r="AB49" i="11" s="1"/>
  <c r="AE49" i="11" s="1"/>
  <c r="Z49" i="11"/>
  <c r="Y49" i="11"/>
  <c r="X49" i="11"/>
  <c r="R49" i="11"/>
  <c r="T49" i="11" s="1"/>
  <c r="N49" i="11"/>
  <c r="D49" i="11"/>
  <c r="F49" i="11" s="1"/>
  <c r="AA48" i="11"/>
  <c r="Y48" i="11"/>
  <c r="X48" i="11"/>
  <c r="T48" i="11"/>
  <c r="N48" i="11"/>
  <c r="R48" i="11" s="1"/>
  <c r="D48" i="11"/>
  <c r="F48" i="11" s="1"/>
  <c r="AM47" i="11"/>
  <c r="AF47" i="11"/>
  <c r="AB47" i="11"/>
  <c r="AA47" i="11"/>
  <c r="Z47" i="11"/>
  <c r="Y47" i="11"/>
  <c r="X47" i="11"/>
  <c r="R47" i="11"/>
  <c r="T47" i="11" s="1"/>
  <c r="N47" i="11"/>
  <c r="F47" i="11"/>
  <c r="D47" i="11"/>
  <c r="AA46" i="11"/>
  <c r="Y46" i="11"/>
  <c r="N46" i="11"/>
  <c r="X46" i="11" s="1"/>
  <c r="D46" i="11"/>
  <c r="F46" i="11" s="1"/>
  <c r="AA45" i="11"/>
  <c r="AB45" i="11" s="1"/>
  <c r="Z45" i="11"/>
  <c r="Y45" i="11"/>
  <c r="X45" i="11"/>
  <c r="R45" i="11"/>
  <c r="T45" i="11" s="1"/>
  <c r="N45" i="11"/>
  <c r="F45" i="11"/>
  <c r="D45" i="11"/>
  <c r="AB44" i="11"/>
  <c r="AA44" i="11"/>
  <c r="Z44" i="11" s="1"/>
  <c r="Y44" i="11"/>
  <c r="N44" i="11"/>
  <c r="D44" i="11"/>
  <c r="F44" i="11" s="1"/>
  <c r="AL43" i="11"/>
  <c r="AB43" i="11"/>
  <c r="AA43" i="11"/>
  <c r="Z43" i="11"/>
  <c r="Y43" i="11"/>
  <c r="X43" i="11"/>
  <c r="N43" i="11"/>
  <c r="R43" i="11" s="1"/>
  <c r="T43" i="11" s="1"/>
  <c r="F43" i="11"/>
  <c r="D43" i="11"/>
  <c r="AL42" i="11"/>
  <c r="AA42" i="11"/>
  <c r="AB42" i="11" s="1"/>
  <c r="Z42" i="11"/>
  <c r="Y42" i="11"/>
  <c r="N42" i="11"/>
  <c r="D42" i="11"/>
  <c r="F42" i="11" s="1"/>
  <c r="AN41" i="11"/>
  <c r="AM41" i="11"/>
  <c r="AE41" i="11"/>
  <c r="AB41" i="11"/>
  <c r="AA41" i="11"/>
  <c r="Z41" i="11"/>
  <c r="Y41" i="11"/>
  <c r="X41" i="11"/>
  <c r="T41" i="11"/>
  <c r="R41" i="11"/>
  <c r="N41" i="11"/>
  <c r="D41" i="11"/>
  <c r="F41" i="11" s="1"/>
  <c r="AA40" i="11"/>
  <c r="Z40" i="11" s="1"/>
  <c r="Y40" i="11"/>
  <c r="X40" i="11"/>
  <c r="T40" i="11"/>
  <c r="N40" i="11"/>
  <c r="R40" i="11" s="1"/>
  <c r="D40" i="11"/>
  <c r="F40" i="11" s="1"/>
  <c r="AM39" i="11"/>
  <c r="AL39" i="11"/>
  <c r="AF39" i="11"/>
  <c r="AB39" i="11"/>
  <c r="AA39" i="11"/>
  <c r="Z39" i="11"/>
  <c r="Y39" i="11"/>
  <c r="X39" i="11"/>
  <c r="R39" i="11"/>
  <c r="T39" i="11" s="1"/>
  <c r="N39" i="11"/>
  <c r="F39" i="11"/>
  <c r="D39" i="11"/>
  <c r="AM38" i="11"/>
  <c r="AL38" i="11"/>
  <c r="AA38" i="11"/>
  <c r="AB38" i="11" s="1"/>
  <c r="Z38" i="11"/>
  <c r="Y38" i="11"/>
  <c r="N38" i="11"/>
  <c r="X38" i="11" s="1"/>
  <c r="D38" i="11"/>
  <c r="F38" i="11" s="1"/>
  <c r="AM37" i="11"/>
  <c r="AF37" i="11"/>
  <c r="AE37" i="11"/>
  <c r="AD37" i="11"/>
  <c r="AA37" i="11"/>
  <c r="AB37" i="11" s="1"/>
  <c r="Z37" i="11"/>
  <c r="Y37" i="11"/>
  <c r="X37" i="11"/>
  <c r="R37" i="11"/>
  <c r="T37" i="11" s="1"/>
  <c r="N37" i="11"/>
  <c r="F37" i="11"/>
  <c r="D37" i="11"/>
  <c r="AA36" i="11"/>
  <c r="Y36" i="11"/>
  <c r="X36" i="11"/>
  <c r="N36" i="11"/>
  <c r="R36" i="11" s="1"/>
  <c r="T36" i="11" s="1"/>
  <c r="D36" i="11"/>
  <c r="F36" i="11" s="1"/>
  <c r="AB35" i="11"/>
  <c r="AM35" i="11" s="1"/>
  <c r="AA35" i="11"/>
  <c r="Z35" i="11"/>
  <c r="Y35" i="11"/>
  <c r="X35" i="11"/>
  <c r="R35" i="11"/>
  <c r="T35" i="11" s="1"/>
  <c r="N35" i="11"/>
  <c r="F35" i="11"/>
  <c r="D35" i="11"/>
  <c r="AA34" i="11"/>
  <c r="Y34" i="11"/>
  <c r="R34" i="11"/>
  <c r="T34" i="11" s="1"/>
  <c r="N34" i="11"/>
  <c r="X34" i="11" s="1"/>
  <c r="D34" i="11"/>
  <c r="F34" i="11" s="1"/>
  <c r="AB33" i="11"/>
  <c r="AA33" i="11"/>
  <c r="Z33" i="11"/>
  <c r="Y33" i="11"/>
  <c r="X33" i="11"/>
  <c r="T33" i="11"/>
  <c r="R33" i="11"/>
  <c r="N33" i="11"/>
  <c r="F33" i="11"/>
  <c r="D33" i="11"/>
  <c r="AA32" i="11"/>
  <c r="Z32" i="11" s="1"/>
  <c r="Y32" i="11"/>
  <c r="N32" i="11"/>
  <c r="D32" i="11"/>
  <c r="F32" i="11" s="1"/>
  <c r="AM31" i="11"/>
  <c r="AL31" i="11"/>
  <c r="AF31" i="11"/>
  <c r="AB31" i="11"/>
  <c r="AA31" i="11"/>
  <c r="Z31" i="11"/>
  <c r="Y31" i="11"/>
  <c r="X31" i="11"/>
  <c r="R31" i="11"/>
  <c r="T31" i="11" s="1"/>
  <c r="N31" i="11"/>
  <c r="F31" i="11"/>
  <c r="D31" i="11"/>
  <c r="AN30" i="11"/>
  <c r="AL30" i="11"/>
  <c r="AA30" i="11"/>
  <c r="AB30" i="11" s="1"/>
  <c r="AC30" i="11" s="1"/>
  <c r="Z30" i="11"/>
  <c r="Y30" i="11"/>
  <c r="N30" i="11"/>
  <c r="D30" i="11"/>
  <c r="F30" i="11" s="1"/>
  <c r="AN29" i="11"/>
  <c r="AM29" i="11"/>
  <c r="AF29" i="11"/>
  <c r="AD29" i="11"/>
  <c r="AB29" i="11"/>
  <c r="AA29" i="11"/>
  <c r="Z29" i="11"/>
  <c r="Y29" i="11"/>
  <c r="X29" i="11"/>
  <c r="R29" i="11"/>
  <c r="T29" i="11" s="1"/>
  <c r="N29" i="11"/>
  <c r="D29" i="11"/>
  <c r="F29" i="11" s="1"/>
  <c r="AA28" i="11"/>
  <c r="Z28" i="11" s="1"/>
  <c r="Y28" i="11"/>
  <c r="N28" i="11"/>
  <c r="R28" i="11" s="1"/>
  <c r="T28" i="11" s="1"/>
  <c r="F28" i="11"/>
  <c r="D28" i="11"/>
  <c r="AF27" i="11"/>
  <c r="AD27" i="11"/>
  <c r="AB27" i="11"/>
  <c r="AA27" i="11"/>
  <c r="Z27" i="11"/>
  <c r="Y27" i="11"/>
  <c r="X27" i="11"/>
  <c r="R27" i="11"/>
  <c r="T27" i="11" s="1"/>
  <c r="N27" i="11"/>
  <c r="F27" i="11"/>
  <c r="D27" i="11"/>
  <c r="AN26" i="11"/>
  <c r="AM26" i="11"/>
  <c r="AA26" i="11"/>
  <c r="AB26" i="11" s="1"/>
  <c r="AF26" i="11" s="1"/>
  <c r="Z26" i="11"/>
  <c r="Y26" i="11"/>
  <c r="N26" i="11"/>
  <c r="X26" i="11" s="1"/>
  <c r="D26" i="11"/>
  <c r="F26" i="11" s="1"/>
  <c r="AB25" i="11"/>
  <c r="AL25" i="11" s="1"/>
  <c r="AA25" i="11"/>
  <c r="Z25" i="11"/>
  <c r="Y25" i="11"/>
  <c r="X25" i="11"/>
  <c r="N25" i="11"/>
  <c r="R25" i="11" s="1"/>
  <c r="T25" i="11" s="1"/>
  <c r="D25" i="11"/>
  <c r="F25" i="11" s="1"/>
  <c r="AL24" i="11"/>
  <c r="AB24" i="11"/>
  <c r="AN24" i="11" s="1"/>
  <c r="AA24" i="11"/>
  <c r="Z24" i="11"/>
  <c r="Y24" i="11"/>
  <c r="N24" i="11"/>
  <c r="R24" i="11" s="1"/>
  <c r="T24" i="11" s="1"/>
  <c r="D24" i="11"/>
  <c r="F24" i="11" s="1"/>
  <c r="AA23" i="11"/>
  <c r="AB23" i="11" s="1"/>
  <c r="Z23" i="11"/>
  <c r="Y23" i="11"/>
  <c r="N23" i="11"/>
  <c r="X23" i="11" s="1"/>
  <c r="D23" i="11"/>
  <c r="F23" i="11" s="1"/>
  <c r="AA22" i="11"/>
  <c r="AB22" i="11" s="1"/>
  <c r="Z22" i="11"/>
  <c r="Y22" i="11"/>
  <c r="N22" i="11"/>
  <c r="X22" i="11" s="1"/>
  <c r="D22" i="11"/>
  <c r="F22" i="11" s="1"/>
  <c r="AA21" i="11"/>
  <c r="AB21" i="11" s="1"/>
  <c r="Z21" i="11"/>
  <c r="Y21" i="11"/>
  <c r="X21" i="11"/>
  <c r="R21" i="11"/>
  <c r="T21" i="11" s="1"/>
  <c r="N21" i="11"/>
  <c r="D21" i="11"/>
  <c r="F21" i="11" s="1"/>
  <c r="AA20" i="11"/>
  <c r="AB20" i="11" s="1"/>
  <c r="Y20" i="11"/>
  <c r="X20" i="11"/>
  <c r="R20" i="11"/>
  <c r="T20" i="11" s="1"/>
  <c r="N20" i="11"/>
  <c r="D20" i="11"/>
  <c r="F20" i="11" s="1"/>
  <c r="AA19" i="11"/>
  <c r="Z19" i="11" s="1"/>
  <c r="Y19" i="11"/>
  <c r="X19" i="11"/>
  <c r="R19" i="11"/>
  <c r="T19" i="11" s="1"/>
  <c r="N19" i="11"/>
  <c r="F19" i="11"/>
  <c r="D19" i="11"/>
  <c r="AA18" i="11"/>
  <c r="AB18" i="11" s="1"/>
  <c r="Y18" i="11"/>
  <c r="R18" i="11"/>
  <c r="T18" i="11" s="1"/>
  <c r="N18" i="11"/>
  <c r="X18" i="11" s="1"/>
  <c r="F18" i="11"/>
  <c r="D18" i="11"/>
  <c r="AA17" i="11"/>
  <c r="AB17" i="11" s="1"/>
  <c r="Y17" i="11"/>
  <c r="N17" i="11"/>
  <c r="X17" i="11" s="1"/>
  <c r="F17" i="11"/>
  <c r="D17" i="11"/>
  <c r="AA16" i="11"/>
  <c r="AB16" i="11" s="1"/>
  <c r="Z16" i="11"/>
  <c r="Y16" i="11"/>
  <c r="N16" i="11"/>
  <c r="X16" i="11" s="1"/>
  <c r="F16" i="11"/>
  <c r="D16" i="11"/>
  <c r="AN15" i="11"/>
  <c r="AL15" i="11"/>
  <c r="AF15" i="11"/>
  <c r="AE15" i="11"/>
  <c r="AD15" i="11"/>
  <c r="AB15" i="11"/>
  <c r="AM15" i="11" s="1"/>
  <c r="AA15" i="11"/>
  <c r="Z15" i="11"/>
  <c r="Y15" i="11"/>
  <c r="N15" i="11"/>
  <c r="R15" i="11" s="1"/>
  <c r="T15" i="11" s="1"/>
  <c r="D15" i="11"/>
  <c r="F15" i="11" s="1"/>
  <c r="AN14" i="11"/>
  <c r="AE14" i="11"/>
  <c r="AD14" i="11"/>
  <c r="AB14" i="11"/>
  <c r="AM14" i="11" s="1"/>
  <c r="AA14" i="11"/>
  <c r="Z14" i="11"/>
  <c r="Y14" i="11"/>
  <c r="X14" i="11"/>
  <c r="N14" i="11"/>
  <c r="R14" i="11" s="1"/>
  <c r="T14" i="11" s="1"/>
  <c r="D14" i="11"/>
  <c r="F14" i="11" s="1"/>
  <c r="AB13" i="11"/>
  <c r="AD13" i="11" s="1"/>
  <c r="AA13" i="11"/>
  <c r="Z13" i="11"/>
  <c r="Y13" i="11"/>
  <c r="X13" i="11"/>
  <c r="N13" i="11"/>
  <c r="R13" i="11" s="1"/>
  <c r="T13" i="11" s="1"/>
  <c r="D13" i="11"/>
  <c r="F13" i="11" s="1"/>
  <c r="AL12" i="11"/>
  <c r="AB12" i="11"/>
  <c r="AN12" i="11" s="1"/>
  <c r="AA12" i="11"/>
  <c r="Z12" i="11"/>
  <c r="Y12" i="11"/>
  <c r="N12" i="11"/>
  <c r="R12" i="11" s="1"/>
  <c r="T12" i="11" s="1"/>
  <c r="D12" i="11"/>
  <c r="F12" i="11" s="1"/>
  <c r="AA11" i="11"/>
  <c r="AB11" i="11" s="1"/>
  <c r="Y11" i="11"/>
  <c r="N11" i="11"/>
  <c r="X11" i="11" s="1"/>
  <c r="D11" i="11"/>
  <c r="F11" i="11" s="1"/>
  <c r="U3" i="11"/>
  <c r="J65" i="12"/>
  <c r="O65" i="12" s="1"/>
  <c r="Q65" i="12" s="1"/>
  <c r="G65" i="12"/>
  <c r="F65" i="12"/>
  <c r="AM17" i="11" l="1"/>
  <c r="AN17" i="11"/>
  <c r="AL17" i="11"/>
  <c r="AF17" i="11"/>
  <c r="AE17" i="11"/>
  <c r="AD17" i="11"/>
  <c r="AC17" i="11"/>
  <c r="AD23" i="11"/>
  <c r="AC23" i="11"/>
  <c r="AL23" i="11"/>
  <c r="AN23" i="11"/>
  <c r="AM23" i="11"/>
  <c r="AF23" i="11"/>
  <c r="AE23" i="11"/>
  <c r="AC21" i="11"/>
  <c r="AN21" i="11"/>
  <c r="AM21" i="11"/>
  <c r="AF21" i="11"/>
  <c r="AL21" i="11"/>
  <c r="AE21" i="11"/>
  <c r="AD21" i="11"/>
  <c r="AF18" i="11"/>
  <c r="AE18" i="11"/>
  <c r="AD18" i="11"/>
  <c r="AC18" i="11"/>
  <c r="AM18" i="11"/>
  <c r="AN18" i="11"/>
  <c r="AL18" i="11"/>
  <c r="AL45" i="11"/>
  <c r="AE45" i="11"/>
  <c r="AC45" i="11"/>
  <c r="AN45" i="11"/>
  <c r="AM45" i="11"/>
  <c r="AF45" i="11"/>
  <c r="AD45" i="11"/>
  <c r="AD11" i="11"/>
  <c r="AC11" i="11"/>
  <c r="AN11" i="11"/>
  <c r="AL11" i="11"/>
  <c r="AM11" i="11"/>
  <c r="AF11" i="11"/>
  <c r="AE11" i="11"/>
  <c r="AD16" i="11"/>
  <c r="AC16" i="11"/>
  <c r="AN16" i="11"/>
  <c r="AM16" i="11"/>
  <c r="AL16" i="11"/>
  <c r="AF16" i="11"/>
  <c r="AE16" i="11"/>
  <c r="AM20" i="11"/>
  <c r="AC20" i="11"/>
  <c r="AL20" i="11"/>
  <c r="AF20" i="11"/>
  <c r="AE20" i="11"/>
  <c r="AD20" i="11"/>
  <c r="AN20" i="11"/>
  <c r="AN22" i="11"/>
  <c r="AM22" i="11"/>
  <c r="AL22" i="11"/>
  <c r="AF22" i="11"/>
  <c r="AE22" i="11"/>
  <c r="AD22" i="11"/>
  <c r="AC22" i="11"/>
  <c r="AL69" i="11"/>
  <c r="AE69" i="11"/>
  <c r="AC69" i="11"/>
  <c r="AF69" i="11"/>
  <c r="AD69" i="11"/>
  <c r="AN69" i="11"/>
  <c r="AM69" i="11"/>
  <c r="AL13" i="11"/>
  <c r="AN27" i="11"/>
  <c r="AE27" i="11"/>
  <c r="AM13" i="11"/>
  <c r="AC14" i="11"/>
  <c r="X15" i="11"/>
  <c r="Z17" i="11"/>
  <c r="AB19" i="11"/>
  <c r="AN25" i="11"/>
  <c r="AL26" i="11"/>
  <c r="AC27" i="11"/>
  <c r="AB28" i="11"/>
  <c r="R38" i="11"/>
  <c r="T38" i="11" s="1"/>
  <c r="AF50" i="11"/>
  <c r="AD50" i="11"/>
  <c r="AN50" i="11"/>
  <c r="AB52" i="11"/>
  <c r="AC54" i="11"/>
  <c r="AE55" i="11"/>
  <c r="AC55" i="11"/>
  <c r="AN55" i="11"/>
  <c r="AM55" i="11"/>
  <c r="AB57" i="11"/>
  <c r="AN59" i="11"/>
  <c r="AL59" i="11"/>
  <c r="AE59" i="11"/>
  <c r="AD61" i="11"/>
  <c r="X78" i="11"/>
  <c r="R78" i="11"/>
  <c r="T78" i="11" s="1"/>
  <c r="AB80" i="11"/>
  <c r="AB86" i="11"/>
  <c r="AC88" i="11"/>
  <c r="AN96" i="11"/>
  <c r="AM96" i="11"/>
  <c r="AL96" i="11"/>
  <c r="AF96" i="11"/>
  <c r="X100" i="11"/>
  <c r="R100" i="11"/>
  <c r="T100" i="11" s="1"/>
  <c r="AD102" i="11"/>
  <c r="AC102" i="11"/>
  <c r="AM102" i="11"/>
  <c r="AL102" i="11"/>
  <c r="AD119" i="11"/>
  <c r="AN119" i="11"/>
  <c r="AM119" i="11"/>
  <c r="AL119" i="11"/>
  <c r="AF119" i="11"/>
  <c r="AC119" i="11"/>
  <c r="AN122" i="11"/>
  <c r="AL122" i="11"/>
  <c r="AE122" i="11"/>
  <c r="AD122" i="11"/>
  <c r="AL125" i="11"/>
  <c r="AD125" i="11"/>
  <c r="AC125" i="11"/>
  <c r="AN125" i="11"/>
  <c r="AM125" i="11"/>
  <c r="AF125" i="11"/>
  <c r="X146" i="11"/>
  <c r="R146" i="11"/>
  <c r="T146" i="11" s="1"/>
  <c r="AB167" i="11"/>
  <c r="Z167" i="11"/>
  <c r="R171" i="11"/>
  <c r="T171" i="11" s="1"/>
  <c r="X171" i="11"/>
  <c r="AM191" i="11"/>
  <c r="AL191" i="11"/>
  <c r="AE191" i="11"/>
  <c r="AD191" i="11"/>
  <c r="AF191" i="11"/>
  <c r="AN201" i="11"/>
  <c r="AM201" i="11"/>
  <c r="AL201" i="11"/>
  <c r="AF201" i="11"/>
  <c r="AD201" i="11"/>
  <c r="AC201" i="11"/>
  <c r="AE201" i="11"/>
  <c r="AB400" i="11"/>
  <c r="Z400" i="11"/>
  <c r="AN13" i="11"/>
  <c r="AM44" i="11"/>
  <c r="AD44" i="11"/>
  <c r="AC44" i="11"/>
  <c r="AB46" i="11"/>
  <c r="Z46" i="11"/>
  <c r="AN51" i="11"/>
  <c r="AE51" i="11"/>
  <c r="AD51" i="11"/>
  <c r="AC53" i="11"/>
  <c r="AL53" i="11"/>
  <c r="AF53" i="11"/>
  <c r="AM83" i="11"/>
  <c r="AD83" i="11"/>
  <c r="AC83" i="11"/>
  <c r="AN89" i="11"/>
  <c r="AM89" i="11"/>
  <c r="AL89" i="11"/>
  <c r="AE89" i="11"/>
  <c r="AB106" i="11"/>
  <c r="Z106" i="11"/>
  <c r="AN110" i="11"/>
  <c r="AM110" i="11"/>
  <c r="AF110" i="11"/>
  <c r="AD110" i="11"/>
  <c r="AC110" i="11"/>
  <c r="AL111" i="11"/>
  <c r="AF111" i="11"/>
  <c r="AE111" i="11"/>
  <c r="AD111" i="11"/>
  <c r="AC111" i="11"/>
  <c r="AN118" i="11"/>
  <c r="AF118" i="11"/>
  <c r="AL118" i="11"/>
  <c r="AD118" i="11"/>
  <c r="AC118" i="11"/>
  <c r="AM144" i="11"/>
  <c r="AL144" i="11"/>
  <c r="AF144" i="11"/>
  <c r="AE144" i="11"/>
  <c r="AD144" i="11"/>
  <c r="AC144" i="11"/>
  <c r="AB157" i="11"/>
  <c r="Z157" i="11"/>
  <c r="AN181" i="11"/>
  <c r="AL181" i="11"/>
  <c r="AF181" i="11"/>
  <c r="AM181" i="11"/>
  <c r="AE181" i="11"/>
  <c r="AD181" i="11"/>
  <c r="AC181" i="11"/>
  <c r="AL184" i="11"/>
  <c r="AF184" i="11"/>
  <c r="AD184" i="11"/>
  <c r="AC184" i="11"/>
  <c r="AM184" i="11"/>
  <c r="AE184" i="11"/>
  <c r="AB208" i="11"/>
  <c r="Z208" i="11"/>
  <c r="Z237" i="11"/>
  <c r="AB237" i="11"/>
  <c r="AN296" i="11"/>
  <c r="AM296" i="11"/>
  <c r="AL296" i="11"/>
  <c r="AD296" i="11"/>
  <c r="AC296" i="11"/>
  <c r="AF296" i="11"/>
  <c r="AE296" i="11"/>
  <c r="R11" i="11"/>
  <c r="T11" i="11" s="1"/>
  <c r="AC12" i="11"/>
  <c r="AM42" i="11"/>
  <c r="AF42" i="11"/>
  <c r="AD53" i="11"/>
  <c r="AL81" i="11"/>
  <c r="AF81" i="11"/>
  <c r="AE81" i="11"/>
  <c r="AC81" i="11"/>
  <c r="AL87" i="11"/>
  <c r="AF87" i="11"/>
  <c r="AE87" i="11"/>
  <c r="AC87" i="11"/>
  <c r="AL128" i="11"/>
  <c r="AD128" i="11"/>
  <c r="AN128" i="11"/>
  <c r="AM128" i="11"/>
  <c r="AF128" i="11"/>
  <c r="AE128" i="11"/>
  <c r="AC128" i="11"/>
  <c r="AB132" i="11"/>
  <c r="Z132" i="11"/>
  <c r="X134" i="11"/>
  <c r="R134" i="11"/>
  <c r="T134" i="11" s="1"/>
  <c r="AM140" i="11"/>
  <c r="AL140" i="11"/>
  <c r="AD140" i="11"/>
  <c r="AF140" i="11"/>
  <c r="AE140" i="11"/>
  <c r="AC140" i="11"/>
  <c r="AM152" i="11"/>
  <c r="AL152" i="11"/>
  <c r="AD152" i="11"/>
  <c r="AF152" i="11"/>
  <c r="AE152" i="11"/>
  <c r="AC152" i="11"/>
  <c r="AL160" i="11"/>
  <c r="AF160" i="11"/>
  <c r="AC160" i="11"/>
  <c r="AM160" i="11"/>
  <c r="AD160" i="11"/>
  <c r="AN162" i="11"/>
  <c r="AM162" i="11"/>
  <c r="AE162" i="11"/>
  <c r="AL162" i="11"/>
  <c r="AF162" i="11"/>
  <c r="AD162" i="11"/>
  <c r="AC162" i="11"/>
  <c r="AL164" i="11"/>
  <c r="AD164" i="11"/>
  <c r="AC164" i="11"/>
  <c r="AN164" i="11"/>
  <c r="AM164" i="11"/>
  <c r="AF164" i="11"/>
  <c r="AC190" i="11"/>
  <c r="AN190" i="11"/>
  <c r="AM190" i="11"/>
  <c r="AF190" i="11"/>
  <c r="AE190" i="11"/>
  <c r="AD190" i="11"/>
  <c r="AL242" i="11"/>
  <c r="BI31" i="65" s="1"/>
  <c r="AD242" i="11"/>
  <c r="BA31" i="65" s="1"/>
  <c r="AN242" i="11"/>
  <c r="BK31" i="65" s="1"/>
  <c r="AM242" i="11"/>
  <c r="BJ31" i="65" s="1"/>
  <c r="AF242" i="11"/>
  <c r="BC31" i="65" s="1"/>
  <c r="AE242" i="11"/>
  <c r="BB31" i="65" s="1"/>
  <c r="AC242" i="11"/>
  <c r="AZ31" i="65" s="1"/>
  <c r="AN291" i="11"/>
  <c r="AF291" i="11"/>
  <c r="AE291" i="11"/>
  <c r="AC291" i="11"/>
  <c r="AM291" i="11"/>
  <c r="AL291" i="11"/>
  <c r="AD291" i="11"/>
  <c r="R23" i="11"/>
  <c r="T23" i="11" s="1"/>
  <c r="AB48" i="11"/>
  <c r="Z48" i="11"/>
  <c r="AD12" i="11"/>
  <c r="AF14" i="11"/>
  <c r="R16" i="11"/>
  <c r="T16" i="11" s="1"/>
  <c r="Z20" i="11"/>
  <c r="AD24" i="11"/>
  <c r="R26" i="11"/>
  <c r="T26" i="11" s="1"/>
  <c r="AL27" i="11"/>
  <c r="AC29" i="11"/>
  <c r="AL29" i="11"/>
  <c r="AB32" i="11"/>
  <c r="AF38" i="11"/>
  <c r="AD38" i="11"/>
  <c r="AN38" i="11"/>
  <c r="AB40" i="11"/>
  <c r="AC42" i="11"/>
  <c r="AE43" i="11"/>
  <c r="AC43" i="11"/>
  <c r="AN43" i="11"/>
  <c r="AM43" i="11"/>
  <c r="AF44" i="11"/>
  <c r="AN47" i="11"/>
  <c r="AL47" i="11"/>
  <c r="AE47" i="11"/>
  <c r="AD49" i="11"/>
  <c r="AL50" i="11"/>
  <c r="AF51" i="11"/>
  <c r="AE53" i="11"/>
  <c r="AL54" i="11"/>
  <c r="AL55" i="11"/>
  <c r="AF59" i="11"/>
  <c r="X68" i="11"/>
  <c r="R68" i="11"/>
  <c r="T68" i="11" s="1"/>
  <c r="R74" i="11"/>
  <c r="T74" i="11" s="1"/>
  <c r="AN78" i="11"/>
  <c r="AM78" i="11"/>
  <c r="AF78" i="11"/>
  <c r="AE79" i="11"/>
  <c r="AD79" i="11"/>
  <c r="AC79" i="11"/>
  <c r="AN79" i="11"/>
  <c r="AM79" i="11"/>
  <c r="AD81" i="11"/>
  <c r="AF83" i="11"/>
  <c r="AE85" i="11"/>
  <c r="AD85" i="11"/>
  <c r="AC85" i="11"/>
  <c r="AN85" i="11"/>
  <c r="AM85" i="11"/>
  <c r="AD87" i="11"/>
  <c r="AM88" i="11"/>
  <c r="AD89" i="11"/>
  <c r="AE96" i="11"/>
  <c r="AM100" i="11"/>
  <c r="AF100" i="11"/>
  <c r="AE100" i="11"/>
  <c r="AN102" i="11"/>
  <c r="AL110" i="11"/>
  <c r="AN111" i="11"/>
  <c r="AM118" i="11"/>
  <c r="R124" i="11"/>
  <c r="T124" i="11" s="1"/>
  <c r="AN130" i="11"/>
  <c r="AF130" i="11"/>
  <c r="AL130" i="11"/>
  <c r="AE130" i="11"/>
  <c r="AD130" i="11"/>
  <c r="AN140" i="11"/>
  <c r="AN152" i="11"/>
  <c r="R159" i="11"/>
  <c r="T159" i="11" s="1"/>
  <c r="X159" i="11"/>
  <c r="AE160" i="11"/>
  <c r="AE164" i="11"/>
  <c r="X168" i="11"/>
  <c r="R168" i="11"/>
  <c r="T168" i="11" s="1"/>
  <c r="X177" i="11"/>
  <c r="R177" i="11"/>
  <c r="T177" i="11" s="1"/>
  <c r="AL190" i="11"/>
  <c r="X195" i="11"/>
  <c r="R195" i="11"/>
  <c r="T195" i="11" s="1"/>
  <c r="AM30" i="11"/>
  <c r="AF30" i="11"/>
  <c r="AE44" i="11"/>
  <c r="AL14" i="11"/>
  <c r="AE24" i="11"/>
  <c r="AM27" i="11"/>
  <c r="AD30" i="11"/>
  <c r="AE31" i="11"/>
  <c r="AC31" i="11"/>
  <c r="AN31" i="11"/>
  <c r="AB34" i="11"/>
  <c r="Z34" i="11"/>
  <c r="AC38" i="11"/>
  <c r="AN39" i="11"/>
  <c r="AE39" i="11"/>
  <c r="AD39" i="11"/>
  <c r="AC41" i="11"/>
  <c r="AL41" i="11"/>
  <c r="AF41" i="11"/>
  <c r="AD42" i="11"/>
  <c r="AD43" i="11"/>
  <c r="AL44" i="11"/>
  <c r="AC47" i="11"/>
  <c r="AM50" i="11"/>
  <c r="AL51" i="11"/>
  <c r="AM53" i="11"/>
  <c r="AM59" i="11"/>
  <c r="X66" i="11"/>
  <c r="R66" i="11"/>
  <c r="T66" i="11" s="1"/>
  <c r="R70" i="11"/>
  <c r="T70" i="11" s="1"/>
  <c r="AC78" i="11"/>
  <c r="AF79" i="11"/>
  <c r="AM81" i="11"/>
  <c r="AL83" i="11"/>
  <c r="AF85" i="11"/>
  <c r="AM87" i="11"/>
  <c r="AF89" i="11"/>
  <c r="R92" i="11"/>
  <c r="T92" i="11" s="1"/>
  <c r="AB94" i="11"/>
  <c r="X98" i="11"/>
  <c r="R98" i="11"/>
  <c r="T98" i="11" s="1"/>
  <c r="AN101" i="11"/>
  <c r="AM101" i="11"/>
  <c r="AL101" i="11"/>
  <c r="AF101" i="11"/>
  <c r="AE101" i="11"/>
  <c r="AC101" i="11"/>
  <c r="AN105" i="11"/>
  <c r="AL105" i="11"/>
  <c r="AE105" i="11"/>
  <c r="AD105" i="11"/>
  <c r="AB115" i="11"/>
  <c r="AL116" i="11"/>
  <c r="AM116" i="11"/>
  <c r="AF116" i="11"/>
  <c r="AE116" i="11"/>
  <c r="AD116" i="11"/>
  <c r="AC116" i="11"/>
  <c r="R120" i="11"/>
  <c r="T120" i="11" s="1"/>
  <c r="X120" i="11"/>
  <c r="X126" i="11"/>
  <c r="R126" i="11"/>
  <c r="T126" i="11" s="1"/>
  <c r="AC130" i="11"/>
  <c r="Z135" i="11"/>
  <c r="AB135" i="11"/>
  <c r="AN160" i="11"/>
  <c r="AB180" i="11"/>
  <c r="Z180" i="11"/>
  <c r="X203" i="11"/>
  <c r="R203" i="11"/>
  <c r="T203" i="11" s="1"/>
  <c r="Z210" i="11"/>
  <c r="AB210" i="11"/>
  <c r="R212" i="11"/>
  <c r="T212" i="11" s="1"/>
  <c r="X212" i="11"/>
  <c r="X273" i="11"/>
  <c r="R273" i="11"/>
  <c r="T273" i="11" s="1"/>
  <c r="AN284" i="11"/>
  <c r="AM284" i="11"/>
  <c r="AE284" i="11"/>
  <c r="AD284" i="11"/>
  <c r="AF284" i="11"/>
  <c r="AC284" i="11"/>
  <c r="AL284" i="11"/>
  <c r="Z11" i="11"/>
  <c r="AC24" i="11"/>
  <c r="AN49" i="11"/>
  <c r="AL49" i="11"/>
  <c r="AC49" i="11"/>
  <c r="AC51" i="11"/>
  <c r="AE12" i="11"/>
  <c r="AF12" i="11"/>
  <c r="AC15" i="11"/>
  <c r="Z18" i="11"/>
  <c r="AF24" i="11"/>
  <c r="AE29" i="11"/>
  <c r="AE30" i="11"/>
  <c r="AD31" i="11"/>
  <c r="AB36" i="11"/>
  <c r="Z36" i="11"/>
  <c r="AN37" i="11"/>
  <c r="AL37" i="11"/>
  <c r="AC37" i="11"/>
  <c r="AE38" i="11"/>
  <c r="AC39" i="11"/>
  <c r="AD41" i="11"/>
  <c r="AE42" i="11"/>
  <c r="AF43" i="11"/>
  <c r="AN44" i="11"/>
  <c r="AD47" i="11"/>
  <c r="AF49" i="11"/>
  <c r="AM51" i="11"/>
  <c r="AN53" i="11"/>
  <c r="X67" i="11"/>
  <c r="Z74" i="11"/>
  <c r="AD78" i="11"/>
  <c r="AL79" i="11"/>
  <c r="AN81" i="11"/>
  <c r="AN83" i="11"/>
  <c r="AL85" i="11"/>
  <c r="AN87" i="11"/>
  <c r="AN93" i="11"/>
  <c r="AE93" i="11"/>
  <c r="AD93" i="11"/>
  <c r="AD100" i="11"/>
  <c r="AD101" i="11"/>
  <c r="AC105" i="11"/>
  <c r="X112" i="11"/>
  <c r="R112" i="11"/>
  <c r="T112" i="11" s="1"/>
  <c r="AD114" i="11"/>
  <c r="AC114" i="11"/>
  <c r="AM114" i="11"/>
  <c r="AL114" i="11"/>
  <c r="AN116" i="11"/>
  <c r="AM130" i="11"/>
  <c r="Z147" i="11"/>
  <c r="AB147" i="11"/>
  <c r="AB168" i="11"/>
  <c r="Z168" i="11"/>
  <c r="Z175" i="11"/>
  <c r="AB175" i="11"/>
  <c r="AB177" i="11"/>
  <c r="Z177" i="11"/>
  <c r="Z183" i="11"/>
  <c r="AB183" i="11"/>
  <c r="AD187" i="11"/>
  <c r="AC187" i="11"/>
  <c r="AN187" i="11"/>
  <c r="AL187" i="11"/>
  <c r="AF187" i="11"/>
  <c r="AE187" i="11"/>
  <c r="AM293" i="11"/>
  <c r="AL293" i="11"/>
  <c r="AN293" i="11"/>
  <c r="BK70" i="65" s="1"/>
  <c r="AF293" i="11"/>
  <c r="AE293" i="11"/>
  <c r="AD293" i="11"/>
  <c r="AC293" i="11"/>
  <c r="AN382" i="11"/>
  <c r="AF382" i="11"/>
  <c r="AD382" i="11"/>
  <c r="AM382" i="11"/>
  <c r="AE382" i="11"/>
  <c r="AL382" i="11"/>
  <c r="AC382" i="11"/>
  <c r="AL33" i="11"/>
  <c r="AE33" i="11"/>
  <c r="AC33" i="11"/>
  <c r="X56" i="11"/>
  <c r="R56" i="11"/>
  <c r="T56" i="11" s="1"/>
  <c r="AF74" i="11"/>
  <c r="AD74" i="11"/>
  <c r="AN74" i="11"/>
  <c r="AM76" i="11"/>
  <c r="AL76" i="11"/>
  <c r="AF76" i="11"/>
  <c r="AD76" i="11"/>
  <c r="AB104" i="11"/>
  <c r="Z104" i="11"/>
  <c r="AB120" i="11"/>
  <c r="Z120" i="11"/>
  <c r="AC124" i="11"/>
  <c r="AM124" i="11"/>
  <c r="AL124" i="11"/>
  <c r="AF124" i="11"/>
  <c r="AE124" i="11"/>
  <c r="AD124" i="11"/>
  <c r="AB126" i="11"/>
  <c r="Z126" i="11"/>
  <c r="AL137" i="11"/>
  <c r="AN137" i="11"/>
  <c r="AM137" i="11"/>
  <c r="AF137" i="11"/>
  <c r="AE137" i="11"/>
  <c r="AC137" i="11"/>
  <c r="X165" i="11"/>
  <c r="R165" i="11"/>
  <c r="T165" i="11" s="1"/>
  <c r="R186" i="11"/>
  <c r="T186" i="11" s="1"/>
  <c r="X186" i="11"/>
  <c r="AV15" i="65"/>
  <c r="T226" i="11"/>
  <c r="AL230" i="11"/>
  <c r="BI18" i="65" s="1"/>
  <c r="AD230" i="11"/>
  <c r="BA18" i="65" s="1"/>
  <c r="AM230" i="11"/>
  <c r="BJ18" i="65" s="1"/>
  <c r="AF230" i="11"/>
  <c r="BC18" i="65" s="1"/>
  <c r="AE230" i="11"/>
  <c r="BB18" i="65" s="1"/>
  <c r="AC230" i="11"/>
  <c r="AZ18" i="65" s="1"/>
  <c r="AN230" i="11"/>
  <c r="BK18" i="65" s="1"/>
  <c r="AM24" i="11"/>
  <c r="AD33" i="11"/>
  <c r="AC35" i="11"/>
  <c r="AN42" i="11"/>
  <c r="X54" i="11"/>
  <c r="R54" i="11"/>
  <c r="T54" i="11" s="1"/>
  <c r="R58" i="11"/>
  <c r="T58" i="11" s="1"/>
  <c r="AB68" i="11"/>
  <c r="AB70" i="11"/>
  <c r="Z70" i="11"/>
  <c r="AC74" i="11"/>
  <c r="AN75" i="11"/>
  <c r="AE75" i="11"/>
  <c r="AD75" i="11"/>
  <c r="AC76" i="11"/>
  <c r="AF92" i="11"/>
  <c r="AE92" i="11"/>
  <c r="AD92" i="11"/>
  <c r="AC92" i="11"/>
  <c r="AN92" i="11"/>
  <c r="X97" i="11"/>
  <c r="AB98" i="11"/>
  <c r="AN124" i="11"/>
  <c r="AD137" i="11"/>
  <c r="AN142" i="11"/>
  <c r="AF142" i="11"/>
  <c r="AM142" i="11"/>
  <c r="AE142" i="11"/>
  <c r="AC142" i="11"/>
  <c r="AL149" i="11"/>
  <c r="AN149" i="11"/>
  <c r="AM149" i="11"/>
  <c r="AF149" i="11"/>
  <c r="AE149" i="11"/>
  <c r="AC149" i="11"/>
  <c r="AN154" i="11"/>
  <c r="AF154" i="11"/>
  <c r="AM154" i="11"/>
  <c r="AE154" i="11"/>
  <c r="AC154" i="11"/>
  <c r="Z196" i="11"/>
  <c r="AB196" i="11"/>
  <c r="AV5" i="65"/>
  <c r="T216" i="11"/>
  <c r="AF33" i="11"/>
  <c r="AD35" i="11"/>
  <c r="R51" i="11"/>
  <c r="T51" i="11" s="1"/>
  <c r="X55" i="11"/>
  <c r="AM66" i="11"/>
  <c r="AF66" i="11"/>
  <c r="AB72" i="11"/>
  <c r="Z72" i="11"/>
  <c r="AN73" i="11"/>
  <c r="AL73" i="11"/>
  <c r="AC73" i="11"/>
  <c r="AE74" i="11"/>
  <c r="AC75" i="11"/>
  <c r="AE76" i="11"/>
  <c r="X80" i="11"/>
  <c r="R80" i="11"/>
  <c r="T80" i="11" s="1"/>
  <c r="X86" i="11"/>
  <c r="R86" i="11"/>
  <c r="T86" i="11" s="1"/>
  <c r="R88" i="11"/>
  <c r="T88" i="11" s="1"/>
  <c r="AL92" i="11"/>
  <c r="AL99" i="11"/>
  <c r="AF99" i="11"/>
  <c r="AE99" i="11"/>
  <c r="AD99" i="11"/>
  <c r="AC99" i="11"/>
  <c r="AN108" i="11"/>
  <c r="AM108" i="11"/>
  <c r="AL108" i="11"/>
  <c r="AF108" i="11"/>
  <c r="AD108" i="11"/>
  <c r="AM112" i="11"/>
  <c r="AF112" i="11"/>
  <c r="AE112" i="11"/>
  <c r="X122" i="11"/>
  <c r="R122" i="11"/>
  <c r="T122" i="11" s="1"/>
  <c r="AD142" i="11"/>
  <c r="Z163" i="11"/>
  <c r="AB163" i="11"/>
  <c r="AB165" i="11"/>
  <c r="Z165" i="11"/>
  <c r="AN186" i="11"/>
  <c r="AM186" i="11"/>
  <c r="AF186" i="11"/>
  <c r="AE186" i="11"/>
  <c r="AL186" i="11"/>
  <c r="AD186" i="11"/>
  <c r="AV21" i="65"/>
  <c r="T232" i="11"/>
  <c r="Z261" i="11"/>
  <c r="AB261" i="11"/>
  <c r="AC13" i="11"/>
  <c r="AD25" i="11"/>
  <c r="X12" i="11"/>
  <c r="AE13" i="11"/>
  <c r="R22" i="11"/>
  <c r="T22" i="11" s="1"/>
  <c r="X24" i="11"/>
  <c r="AE25" i="11"/>
  <c r="X28" i="11"/>
  <c r="AM33" i="11"/>
  <c r="AF35" i="11"/>
  <c r="X44" i="11"/>
  <c r="R44" i="11"/>
  <c r="T44" i="11" s="1"/>
  <c r="R50" i="11"/>
  <c r="T50" i="11" s="1"/>
  <c r="X52" i="11"/>
  <c r="AF62" i="11"/>
  <c r="AD62" i="11"/>
  <c r="AN62" i="11"/>
  <c r="AB64" i="11"/>
  <c r="AC66" i="11"/>
  <c r="AE67" i="11"/>
  <c r="AC67" i="11"/>
  <c r="AN67" i="11"/>
  <c r="AM67" i="11"/>
  <c r="AN71" i="11"/>
  <c r="AL71" i="11"/>
  <c r="AE71" i="11"/>
  <c r="AD73" i="11"/>
  <c r="AL74" i="11"/>
  <c r="AF75" i="11"/>
  <c r="AN76" i="11"/>
  <c r="X83" i="11"/>
  <c r="R83" i="11"/>
  <c r="T83" i="11" s="1"/>
  <c r="AM92" i="11"/>
  <c r="AM99" i="11"/>
  <c r="AC108" i="11"/>
  <c r="AC112" i="11"/>
  <c r="AN113" i="11"/>
  <c r="AM113" i="11"/>
  <c r="AL113" i="11"/>
  <c r="AF113" i="11"/>
  <c r="AE113" i="11"/>
  <c r="AC113" i="11"/>
  <c r="AL145" i="11"/>
  <c r="AF145" i="11"/>
  <c r="AC145" i="11"/>
  <c r="AE145" i="11"/>
  <c r="AD145" i="11"/>
  <c r="AN145" i="11"/>
  <c r="AB179" i="11"/>
  <c r="Z179" i="11"/>
  <c r="AC186" i="11"/>
  <c r="AC25" i="11"/>
  <c r="R17" i="11"/>
  <c r="T17" i="11" s="1"/>
  <c r="AC26" i="11"/>
  <c r="AF13" i="11"/>
  <c r="AF25" i="11"/>
  <c r="AD26" i="11"/>
  <c r="X30" i="11"/>
  <c r="R30" i="11"/>
  <c r="T30" i="11" s="1"/>
  <c r="AN33" i="11"/>
  <c r="X42" i="11"/>
  <c r="R42" i="11"/>
  <c r="T42" i="11" s="1"/>
  <c r="R46" i="11"/>
  <c r="T46" i="11" s="1"/>
  <c r="AB56" i="11"/>
  <c r="AB58" i="11"/>
  <c r="Z58" i="11"/>
  <c r="Z61" i="11"/>
  <c r="AC62" i="11"/>
  <c r="AN63" i="11"/>
  <c r="AE63" i="11"/>
  <c r="AD63" i="11"/>
  <c r="AC65" i="11"/>
  <c r="AL65" i="11"/>
  <c r="AF65" i="11"/>
  <c r="AD66" i="11"/>
  <c r="AD67" i="11"/>
  <c r="AC71" i="11"/>
  <c r="AE73" i="11"/>
  <c r="AM74" i="11"/>
  <c r="AL75" i="11"/>
  <c r="AN91" i="11"/>
  <c r="AM91" i="11"/>
  <c r="AL91" i="11"/>
  <c r="AC91" i="11"/>
  <c r="AN99" i="11"/>
  <c r="Z103" i="11"/>
  <c r="AE108" i="11"/>
  <c r="X110" i="11"/>
  <c r="R110" i="11"/>
  <c r="T110" i="11" s="1"/>
  <c r="AD112" i="11"/>
  <c r="AD113" i="11"/>
  <c r="AM145" i="11"/>
  <c r="AB169" i="11"/>
  <c r="Z169" i="11"/>
  <c r="Z188" i="11"/>
  <c r="AB188" i="11"/>
  <c r="X197" i="11"/>
  <c r="R197" i="11"/>
  <c r="T197" i="11" s="1"/>
  <c r="AM205" i="11"/>
  <c r="AL205" i="11"/>
  <c r="AN205" i="11"/>
  <c r="AF205" i="11"/>
  <c r="AE205" i="11"/>
  <c r="AD205" i="11"/>
  <c r="AC205" i="11"/>
  <c r="AN8" i="65"/>
  <c r="X219" i="11"/>
  <c r="R219" i="11"/>
  <c r="AN35" i="11"/>
  <c r="AL35" i="11"/>
  <c r="AE35" i="11"/>
  <c r="AM12" i="11"/>
  <c r="AM25" i="11"/>
  <c r="AE26" i="11"/>
  <c r="X32" i="11"/>
  <c r="R32" i="11"/>
  <c r="T32" i="11" s="1"/>
  <c r="AM54" i="11"/>
  <c r="AF54" i="11"/>
  <c r="AB60" i="11"/>
  <c r="Z60" i="11"/>
  <c r="AN61" i="11"/>
  <c r="AL61" i="11"/>
  <c r="AC61" i="11"/>
  <c r="AE66" i="11"/>
  <c r="AF73" i="11"/>
  <c r="AM75" i="11"/>
  <c r="AF88" i="11"/>
  <c r="AE88" i="11"/>
  <c r="AD90" i="11"/>
  <c r="AC90" i="11"/>
  <c r="AM90" i="11"/>
  <c r="AL90" i="11"/>
  <c r="AN103" i="11"/>
  <c r="AM103" i="11"/>
  <c r="AL103" i="11"/>
  <c r="AE103" i="11"/>
  <c r="AC103" i="11"/>
  <c r="AL112" i="11"/>
  <c r="AM123" i="11"/>
  <c r="AE123" i="11"/>
  <c r="AN123" i="11"/>
  <c r="AL123" i="11"/>
  <c r="AF123" i="11"/>
  <c r="AC123" i="11"/>
  <c r="AL172" i="11"/>
  <c r="AF172" i="11"/>
  <c r="AC172" i="11"/>
  <c r="AM172" i="11"/>
  <c r="AD172" i="11"/>
  <c r="AN174" i="11"/>
  <c r="AM174" i="11"/>
  <c r="AE174" i="11"/>
  <c r="AL174" i="11"/>
  <c r="AF174" i="11"/>
  <c r="AD174" i="11"/>
  <c r="AC174" i="11"/>
  <c r="AL176" i="11"/>
  <c r="AD176" i="11"/>
  <c r="AC176" i="11"/>
  <c r="AN176" i="11"/>
  <c r="AM176" i="11"/>
  <c r="AF176" i="11"/>
  <c r="AM194" i="11"/>
  <c r="AL194" i="11"/>
  <c r="AF194" i="11"/>
  <c r="AE194" i="11"/>
  <c r="AC194" i="11"/>
  <c r="AL211" i="11"/>
  <c r="AF211" i="11"/>
  <c r="AE211" i="11"/>
  <c r="AD211" i="11"/>
  <c r="AM246" i="11"/>
  <c r="BJ35" i="65" s="1"/>
  <c r="AL246" i="11"/>
  <c r="BI35" i="65" s="1"/>
  <c r="AN246" i="11"/>
  <c r="BK35" i="65" s="1"/>
  <c r="AF246" i="11"/>
  <c r="BC35" i="65" s="1"/>
  <c r="AE246" i="11"/>
  <c r="BB35" i="65" s="1"/>
  <c r="AC246" i="11"/>
  <c r="AZ35" i="65" s="1"/>
  <c r="AN270" i="11"/>
  <c r="AM270" i="11"/>
  <c r="AL270" i="11"/>
  <c r="AD270" i="11"/>
  <c r="AC270" i="11"/>
  <c r="AF270" i="11"/>
  <c r="AE270" i="11"/>
  <c r="BB57" i="65" s="1"/>
  <c r="AF77" i="11"/>
  <c r="AF95" i="11"/>
  <c r="AM97" i="11"/>
  <c r="AF107" i="11"/>
  <c r="AM109" i="11"/>
  <c r="AM121" i="11"/>
  <c r="AB127" i="11"/>
  <c r="AM129" i="11"/>
  <c r="AF134" i="11"/>
  <c r="AB136" i="11"/>
  <c r="AM139" i="11"/>
  <c r="AD141" i="11"/>
  <c r="AB148" i="11"/>
  <c r="AM151" i="11"/>
  <c r="AD153" i="11"/>
  <c r="AM158" i="11"/>
  <c r="X162" i="11"/>
  <c r="AC166" i="11"/>
  <c r="AM170" i="11"/>
  <c r="X174" i="11"/>
  <c r="AC178" i="11"/>
  <c r="AM189" i="11"/>
  <c r="AF189" i="11"/>
  <c r="AE189" i="11"/>
  <c r="AC189" i="11"/>
  <c r="AB192" i="11"/>
  <c r="Z192" i="11"/>
  <c r="AB193" i="11"/>
  <c r="AD194" i="11"/>
  <c r="R202" i="11"/>
  <c r="T202" i="11" s="1"/>
  <c r="AC211" i="11"/>
  <c r="AN6" i="65"/>
  <c r="R217" i="11"/>
  <c r="AF224" i="11"/>
  <c r="BC13" i="65" s="1"/>
  <c r="AN17" i="65"/>
  <c r="X228" i="11"/>
  <c r="R228" i="11"/>
  <c r="Z229" i="11"/>
  <c r="AB229" i="11"/>
  <c r="AN34" i="65"/>
  <c r="X245" i="11"/>
  <c r="R245" i="11"/>
  <c r="AD246" i="11"/>
  <c r="BA35" i="65" s="1"/>
  <c r="AN268" i="11"/>
  <c r="AM268" i="11"/>
  <c r="AL268" i="11"/>
  <c r="AD268" i="11"/>
  <c r="AC268" i="11"/>
  <c r="AF268" i="11"/>
  <c r="AE268" i="11"/>
  <c r="AL77" i="11"/>
  <c r="AL95" i="11"/>
  <c r="AN97" i="11"/>
  <c r="AL107" i="11"/>
  <c r="AN109" i="11"/>
  <c r="AN129" i="11"/>
  <c r="AC131" i="11"/>
  <c r="AL134" i="11"/>
  <c r="AE141" i="11"/>
  <c r="X144" i="11"/>
  <c r="AE153" i="11"/>
  <c r="R157" i="11"/>
  <c r="T157" i="11" s="1"/>
  <c r="AD166" i="11"/>
  <c r="R169" i="11"/>
  <c r="T169" i="11" s="1"/>
  <c r="AD178" i="11"/>
  <c r="AD189" i="11"/>
  <c r="AN194" i="11"/>
  <c r="AB209" i="11"/>
  <c r="Z209" i="11"/>
  <c r="AM211" i="11"/>
  <c r="X217" i="11"/>
  <c r="AV9" i="65"/>
  <c r="T220" i="11"/>
  <c r="AM222" i="11"/>
  <c r="BJ11" i="65" s="1"/>
  <c r="AF222" i="11"/>
  <c r="BC11" i="65" s="1"/>
  <c r="AE222" i="11"/>
  <c r="BB11" i="65" s="1"/>
  <c r="AD222" i="11"/>
  <c r="BA11" i="65" s="1"/>
  <c r="AC222" i="11"/>
  <c r="AZ11" i="65" s="1"/>
  <c r="AN15" i="65"/>
  <c r="X226" i="11"/>
  <c r="AN256" i="11"/>
  <c r="BK44" i="65" s="1"/>
  <c r="AF256" i="11"/>
  <c r="BC44" i="65" s="1"/>
  <c r="AE256" i="11"/>
  <c r="BB44" i="65" s="1"/>
  <c r="AM256" i="11"/>
  <c r="BJ44" i="65" s="1"/>
  <c r="AL256" i="11"/>
  <c r="BI44" i="65" s="1"/>
  <c r="AD256" i="11"/>
  <c r="BA44" i="65" s="1"/>
  <c r="AC256" i="11"/>
  <c r="AZ44" i="65" s="1"/>
  <c r="AN263" i="11"/>
  <c r="AF263" i="11"/>
  <c r="AE263" i="11"/>
  <c r="AM263" i="11"/>
  <c r="AL263" i="11"/>
  <c r="AD263" i="11"/>
  <c r="AC263" i="11"/>
  <c r="AN274" i="11"/>
  <c r="AF274" i="11"/>
  <c r="AE274" i="11"/>
  <c r="AM274" i="11"/>
  <c r="AL274" i="11"/>
  <c r="AD274" i="11"/>
  <c r="AC274" i="11"/>
  <c r="AN279" i="11"/>
  <c r="AF279" i="11"/>
  <c r="AE279" i="11"/>
  <c r="AM279" i="11"/>
  <c r="AL279" i="11"/>
  <c r="AD279" i="11"/>
  <c r="AC279" i="11"/>
  <c r="AN306" i="11"/>
  <c r="AM306" i="11"/>
  <c r="AL306" i="11"/>
  <c r="AD306" i="11"/>
  <c r="AC306" i="11"/>
  <c r="AF306" i="11"/>
  <c r="AE306" i="11"/>
  <c r="AN339" i="11"/>
  <c r="AM339" i="11"/>
  <c r="AL339" i="11"/>
  <c r="AD339" i="11"/>
  <c r="AC339" i="11"/>
  <c r="AZ111" i="65" s="1"/>
  <c r="AF339" i="11"/>
  <c r="AE339" i="11"/>
  <c r="Z346" i="11"/>
  <c r="AB346" i="11"/>
  <c r="AL141" i="11"/>
  <c r="AE143" i="11"/>
  <c r="AD143" i="11"/>
  <c r="AL153" i="11"/>
  <c r="AE155" i="11"/>
  <c r="AD155" i="11"/>
  <c r="AF166" i="11"/>
  <c r="AF178" i="11"/>
  <c r="AV4" i="65"/>
  <c r="T215" i="11"/>
  <c r="AE228" i="11"/>
  <c r="BB17" i="65" s="1"/>
  <c r="AM228" i="11"/>
  <c r="BJ17" i="65" s="1"/>
  <c r="AL228" i="11"/>
  <c r="BI17" i="65" s="1"/>
  <c r="AF228" i="11"/>
  <c r="BC17" i="65" s="1"/>
  <c r="AD228" i="11"/>
  <c r="BA17" i="65" s="1"/>
  <c r="AV29" i="65"/>
  <c r="T240" i="11"/>
  <c r="AN37" i="65"/>
  <c r="X248" i="11"/>
  <c r="R248" i="11"/>
  <c r="AM254" i="11"/>
  <c r="BJ42" i="65" s="1"/>
  <c r="AL254" i="11"/>
  <c r="BI42" i="65" s="1"/>
  <c r="AD254" i="11"/>
  <c r="BA42" i="65" s="1"/>
  <c r="AC254" i="11"/>
  <c r="AZ42" i="65" s="1"/>
  <c r="AN254" i="11"/>
  <c r="BK42" i="65" s="1"/>
  <c r="AF254" i="11"/>
  <c r="BC42" i="65" s="1"/>
  <c r="AE254" i="11"/>
  <c r="BB42" i="65" s="1"/>
  <c r="AN308" i="11"/>
  <c r="AF308" i="11"/>
  <c r="AE308" i="11"/>
  <c r="AM308" i="11"/>
  <c r="AL308" i="11"/>
  <c r="AD308" i="11"/>
  <c r="AC308" i="11"/>
  <c r="AB311" i="11"/>
  <c r="Z311" i="11"/>
  <c r="AL317" i="11"/>
  <c r="AF317" i="11"/>
  <c r="AN317" i="11"/>
  <c r="AM317" i="11"/>
  <c r="AE317" i="11"/>
  <c r="AD317" i="11"/>
  <c r="AC317" i="11"/>
  <c r="AM326" i="11"/>
  <c r="AL326" i="11"/>
  <c r="AN326" i="11"/>
  <c r="AF326" i="11"/>
  <c r="AE326" i="11"/>
  <c r="AD326" i="11"/>
  <c r="AC326" i="11"/>
  <c r="AD221" i="11"/>
  <c r="BA10" i="65" s="1"/>
  <c r="AN221" i="11"/>
  <c r="BK10" i="65" s="1"/>
  <c r="AM221" i="11"/>
  <c r="BJ10" i="65" s="1"/>
  <c r="AL221" i="11"/>
  <c r="BI10" i="65" s="1"/>
  <c r="AE221" i="11"/>
  <c r="BB10" i="65" s="1"/>
  <c r="AC221" i="11"/>
  <c r="AZ10" i="65" s="1"/>
  <c r="AC228" i="11"/>
  <c r="AZ17" i="65" s="1"/>
  <c r="AN241" i="11"/>
  <c r="BK30" i="65" s="1"/>
  <c r="AM241" i="11"/>
  <c r="BJ30" i="65" s="1"/>
  <c r="AF241" i="11"/>
  <c r="BC30" i="65" s="1"/>
  <c r="AE241" i="11"/>
  <c r="BB30" i="65" s="1"/>
  <c r="AD241" i="11"/>
  <c r="BA30" i="65" s="1"/>
  <c r="AC241" i="11"/>
  <c r="AZ30" i="65" s="1"/>
  <c r="AD245" i="11"/>
  <c r="BA34" i="65" s="1"/>
  <c r="AN245" i="11"/>
  <c r="BK34" i="65" s="1"/>
  <c r="AL245" i="11"/>
  <c r="BI34" i="65" s="1"/>
  <c r="AF245" i="11"/>
  <c r="BC34" i="65" s="1"/>
  <c r="AE245" i="11"/>
  <c r="BB34" i="65" s="1"/>
  <c r="AC245" i="11"/>
  <c r="AZ34" i="65" s="1"/>
  <c r="AN324" i="11"/>
  <c r="AM324" i="11"/>
  <c r="AL324" i="11"/>
  <c r="AD324" i="11"/>
  <c r="AC324" i="11"/>
  <c r="AF324" i="11"/>
  <c r="AE324" i="11"/>
  <c r="Z90" i="11"/>
  <c r="Z102" i="11"/>
  <c r="Z114" i="11"/>
  <c r="Z125" i="11"/>
  <c r="Z129" i="11"/>
  <c r="AF138" i="11"/>
  <c r="AE138" i="11"/>
  <c r="AN141" i="11"/>
  <c r="AF143" i="11"/>
  <c r="Z145" i="11"/>
  <c r="AF150" i="11"/>
  <c r="AE150" i="11"/>
  <c r="AN153" i="11"/>
  <c r="AF155" i="11"/>
  <c r="Z164" i="11"/>
  <c r="AM166" i="11"/>
  <c r="Z176" i="11"/>
  <c r="AM178" i="11"/>
  <c r="AE182" i="11"/>
  <c r="AD182" i="11"/>
  <c r="Z184" i="11"/>
  <c r="Z201" i="11"/>
  <c r="AM206" i="11"/>
  <c r="AL206" i="11"/>
  <c r="AF206" i="11"/>
  <c r="AE206" i="11"/>
  <c r="AC206" i="11"/>
  <c r="AB220" i="11"/>
  <c r="AF221" i="11"/>
  <c r="BC10" i="65" s="1"/>
  <c r="AV13" i="65"/>
  <c r="T224" i="11"/>
  <c r="AN228" i="11"/>
  <c r="BK17" i="65" s="1"/>
  <c r="T230" i="11"/>
  <c r="AM234" i="11"/>
  <c r="BJ23" i="65" s="1"/>
  <c r="AN234" i="11"/>
  <c r="BK23" i="65" s="1"/>
  <c r="AL234" i="11"/>
  <c r="BI23" i="65" s="1"/>
  <c r="AF234" i="11"/>
  <c r="BC23" i="65" s="1"/>
  <c r="AE234" i="11"/>
  <c r="BB23" i="65" s="1"/>
  <c r="AD234" i="11"/>
  <c r="BA23" i="65" s="1"/>
  <c r="AL241" i="11"/>
  <c r="BI30" i="65" s="1"/>
  <c r="AM245" i="11"/>
  <c r="BJ34" i="65" s="1"/>
  <c r="AN424" i="11"/>
  <c r="AL424" i="11"/>
  <c r="AF424" i="11"/>
  <c r="AE424" i="11"/>
  <c r="AM424" i="11"/>
  <c r="AC424" i="11"/>
  <c r="AD424" i="11"/>
  <c r="AF133" i="11"/>
  <c r="AC133" i="11"/>
  <c r="AL143" i="11"/>
  <c r="AL155" i="11"/>
  <c r="AN200" i="11"/>
  <c r="AM200" i="11"/>
  <c r="AN203" i="11"/>
  <c r="AM203" i="11"/>
  <c r="AF203" i="11"/>
  <c r="AE203" i="11"/>
  <c r="AF204" i="11"/>
  <c r="AE204" i="11"/>
  <c r="AD204" i="11"/>
  <c r="AC204" i="11"/>
  <c r="AV3" i="65"/>
  <c r="T214" i="11"/>
  <c r="AN218" i="11"/>
  <c r="BK7" i="65" s="1"/>
  <c r="AM218" i="11"/>
  <c r="AL218" i="11"/>
  <c r="AF218" i="11"/>
  <c r="BC7" i="65" s="1"/>
  <c r="AD218" i="11"/>
  <c r="BA7" i="65" s="1"/>
  <c r="AC218" i="11"/>
  <c r="AZ7" i="65" s="1"/>
  <c r="AV12" i="65"/>
  <c r="T223" i="11"/>
  <c r="AC234" i="11"/>
  <c r="AZ23" i="65" s="1"/>
  <c r="AN32" i="65"/>
  <c r="X243" i="11"/>
  <c r="R243" i="11"/>
  <c r="AL251" i="11"/>
  <c r="AF251" i="11"/>
  <c r="AM251" i="11"/>
  <c r="AE251" i="11"/>
  <c r="AD251" i="11"/>
  <c r="AC251" i="11"/>
  <c r="AN43" i="65"/>
  <c r="X255" i="11"/>
  <c r="R255" i="11"/>
  <c r="AN321" i="11"/>
  <c r="AM321" i="11"/>
  <c r="AL321" i="11"/>
  <c r="BI96" i="65" s="1"/>
  <c r="AD321" i="11"/>
  <c r="AC321" i="11"/>
  <c r="AF321" i="11"/>
  <c r="AE321" i="11"/>
  <c r="AC338" i="11"/>
  <c r="AL338" i="11"/>
  <c r="AF338" i="11"/>
  <c r="AN338" i="11"/>
  <c r="AM338" i="11"/>
  <c r="AE338" i="11"/>
  <c r="AD338" i="11"/>
  <c r="Z88" i="11"/>
  <c r="R96" i="11"/>
  <c r="T96" i="11" s="1"/>
  <c r="AC97" i="11"/>
  <c r="Z100" i="11"/>
  <c r="R108" i="11"/>
  <c r="T108" i="11" s="1"/>
  <c r="AC109" i="11"/>
  <c r="Z112" i="11"/>
  <c r="AC129" i="11"/>
  <c r="Z130" i="11"/>
  <c r="AD133" i="11"/>
  <c r="X135" i="11"/>
  <c r="R136" i="11"/>
  <c r="T136" i="11" s="1"/>
  <c r="AD138" i="11"/>
  <c r="AC139" i="11"/>
  <c r="AM143" i="11"/>
  <c r="X147" i="11"/>
  <c r="R148" i="11"/>
  <c r="T148" i="11" s="1"/>
  <c r="AD150" i="11"/>
  <c r="AC151" i="11"/>
  <c r="AM155" i="11"/>
  <c r="Z186" i="11"/>
  <c r="R190" i="11"/>
  <c r="T190" i="11" s="1"/>
  <c r="AC200" i="11"/>
  <c r="AC203" i="11"/>
  <c r="AL204" i="11"/>
  <c r="AN206" i="11"/>
  <c r="AN212" i="11"/>
  <c r="AM212" i="11"/>
  <c r="AF212" i="11"/>
  <c r="AB215" i="11"/>
  <c r="AL216" i="11"/>
  <c r="BI5" i="65" s="1"/>
  <c r="AF216" i="11"/>
  <c r="BC5" i="65" s="1"/>
  <c r="AE216" i="11"/>
  <c r="AD216" i="11"/>
  <c r="BA5" i="65" s="1"/>
  <c r="AE218" i="11"/>
  <c r="BB7" i="65" s="1"/>
  <c r="AN248" i="11"/>
  <c r="BK37" i="65" s="1"/>
  <c r="AM248" i="11"/>
  <c r="BJ37" i="65" s="1"/>
  <c r="AL248" i="11"/>
  <c r="BI37" i="65" s="1"/>
  <c r="AF248" i="11"/>
  <c r="BC37" i="65" s="1"/>
  <c r="AE248" i="11"/>
  <c r="BB37" i="65" s="1"/>
  <c r="AD248" i="11"/>
  <c r="BA37" i="65" s="1"/>
  <c r="AC248" i="11"/>
  <c r="AZ37" i="65" s="1"/>
  <c r="AN251" i="11"/>
  <c r="AB262" i="11"/>
  <c r="Z262" i="11"/>
  <c r="AN272" i="11"/>
  <c r="AM272" i="11"/>
  <c r="AL272" i="11"/>
  <c r="AD272" i="11"/>
  <c r="AC272" i="11"/>
  <c r="AF272" i="11"/>
  <c r="AE272" i="11"/>
  <c r="AN289" i="11"/>
  <c r="AM289" i="11"/>
  <c r="AL289" i="11"/>
  <c r="AD289" i="11"/>
  <c r="AC289" i="11"/>
  <c r="AF289" i="11"/>
  <c r="AE289" i="11"/>
  <c r="AF292" i="11"/>
  <c r="AE292" i="11"/>
  <c r="AD292" i="11"/>
  <c r="AN292" i="11"/>
  <c r="AM292" i="11"/>
  <c r="AL292" i="11"/>
  <c r="AC292" i="11"/>
  <c r="AD97" i="11"/>
  <c r="AD109" i="11"/>
  <c r="AF121" i="11"/>
  <c r="AC121" i="11"/>
  <c r="AD129" i="11"/>
  <c r="AE133" i="11"/>
  <c r="AN143" i="11"/>
  <c r="AN155" i="11"/>
  <c r="AE158" i="11"/>
  <c r="AD158" i="11"/>
  <c r="AE170" i="11"/>
  <c r="AD170" i="11"/>
  <c r="AN198" i="11"/>
  <c r="AL198" i="11"/>
  <c r="AF198" i="11"/>
  <c r="AN11" i="65"/>
  <c r="R222" i="11"/>
  <c r="X222" i="11"/>
  <c r="AN24" i="65"/>
  <c r="X235" i="11"/>
  <c r="R235" i="11"/>
  <c r="Z303" i="11"/>
  <c r="AB303" i="11"/>
  <c r="AL334" i="11"/>
  <c r="AN334" i="11"/>
  <c r="AE334" i="11"/>
  <c r="AD334" i="11"/>
  <c r="AM334" i="11"/>
  <c r="AF334" i="11"/>
  <c r="AC334" i="11"/>
  <c r="AD121" i="11"/>
  <c r="AL133" i="11"/>
  <c r="AE139" i="11"/>
  <c r="AM150" i="11"/>
  <c r="AE151" i="11"/>
  <c r="AC158" i="11"/>
  <c r="AB159" i="11"/>
  <c r="AC170" i="11"/>
  <c r="AB171" i="11"/>
  <c r="AM182" i="11"/>
  <c r="X189" i="11"/>
  <c r="AB197" i="11"/>
  <c r="Z197" i="11"/>
  <c r="AC198" i="11"/>
  <c r="AL199" i="11"/>
  <c r="AF199" i="11"/>
  <c r="AE199" i="11"/>
  <c r="AD199" i="11"/>
  <c r="AE200" i="11"/>
  <c r="AL203" i="11"/>
  <c r="AN204" i="11"/>
  <c r="AD212" i="11"/>
  <c r="AB214" i="11"/>
  <c r="Z214" i="11"/>
  <c r="AM216" i="11"/>
  <c r="BJ5" i="65" s="1"/>
  <c r="AM224" i="11"/>
  <c r="BJ13" i="65" s="1"/>
  <c r="AL224" i="11"/>
  <c r="BI13" i="65" s="1"/>
  <c r="AE224" i="11"/>
  <c r="BB13" i="65" s="1"/>
  <c r="AN244" i="11"/>
  <c r="BK33" i="65" s="1"/>
  <c r="AF244" i="11"/>
  <c r="BC33" i="65" s="1"/>
  <c r="AD244" i="11"/>
  <c r="BA33" i="65" s="1"/>
  <c r="AC244" i="11"/>
  <c r="AZ33" i="65" s="1"/>
  <c r="AM244" i="11"/>
  <c r="BJ33" i="65" s="1"/>
  <c r="AL244" i="11"/>
  <c r="BI33" i="65" s="1"/>
  <c r="Z318" i="11"/>
  <c r="AB318" i="11"/>
  <c r="Z327" i="11"/>
  <c r="AB327" i="11"/>
  <c r="AL366" i="11"/>
  <c r="AE366" i="11"/>
  <c r="AN366" i="11"/>
  <c r="AM366" i="11"/>
  <c r="AD366" i="11"/>
  <c r="AF366" i="11"/>
  <c r="AC366" i="11"/>
  <c r="Z246" i="11"/>
  <c r="AN44" i="65"/>
  <c r="X256" i="11"/>
  <c r="Z270" i="11"/>
  <c r="AM294" i="11"/>
  <c r="AL294" i="11"/>
  <c r="AF294" i="11"/>
  <c r="AC294" i="11"/>
  <c r="Z308" i="11"/>
  <c r="Z334" i="11"/>
  <c r="X342" i="11"/>
  <c r="R342" i="11"/>
  <c r="T342" i="11" s="1"/>
  <c r="AM225" i="11"/>
  <c r="BJ14" i="65" s="1"/>
  <c r="AE225" i="11"/>
  <c r="BB14" i="65" s="1"/>
  <c r="AN38" i="65"/>
  <c r="R249" i="11"/>
  <c r="AV44" i="65"/>
  <c r="T256" i="11"/>
  <c r="X274" i="11"/>
  <c r="R274" i="11"/>
  <c r="AF299" i="11"/>
  <c r="AE299" i="11"/>
  <c r="AD299" i="11"/>
  <c r="AM300" i="11"/>
  <c r="AL300" i="11"/>
  <c r="AE325" i="11"/>
  <c r="AD325" i="11"/>
  <c r="AC325" i="11"/>
  <c r="AM333" i="11"/>
  <c r="AL333" i="11"/>
  <c r="AE336" i="11"/>
  <c r="AD336" i="11"/>
  <c r="AC336" i="11"/>
  <c r="AM353" i="11"/>
  <c r="AF353" i="11"/>
  <c r="AN353" i="11"/>
  <c r="AE353" i="11"/>
  <c r="AB357" i="11"/>
  <c r="Z357" i="11"/>
  <c r="AN379" i="11"/>
  <c r="AF379" i="11"/>
  <c r="AD379" i="11"/>
  <c r="AM379" i="11"/>
  <c r="BJ149" i="65" s="1"/>
  <c r="AL379" i="11"/>
  <c r="AC379" i="11"/>
  <c r="AN195" i="11"/>
  <c r="AN207" i="11"/>
  <c r="AM217" i="11"/>
  <c r="AC225" i="11"/>
  <c r="AZ14" i="65" s="1"/>
  <c r="T227" i="11"/>
  <c r="T231" i="11"/>
  <c r="AE233" i="11"/>
  <c r="BB22" i="65" s="1"/>
  <c r="AN25" i="65"/>
  <c r="X236" i="11"/>
  <c r="AM236" i="11"/>
  <c r="BJ25" i="65" s="1"/>
  <c r="AB238" i="11"/>
  <c r="AM240" i="11"/>
  <c r="BJ29" i="65" s="1"/>
  <c r="AC252" i="11"/>
  <c r="AZ40" i="65" s="1"/>
  <c r="AB253" i="11"/>
  <c r="T257" i="11"/>
  <c r="BK303" i="65"/>
  <c r="AI303" i="65"/>
  <c r="BC302" i="65"/>
  <c r="AZ301" i="65"/>
  <c r="I301" i="65"/>
  <c r="AL300" i="65"/>
  <c r="BB299" i="65"/>
  <c r="AE299" i="65"/>
  <c r="AF299" i="65" s="1"/>
  <c r="AG299" i="65" s="1"/>
  <c r="AH299" i="65" s="1"/>
  <c r="AO298" i="65"/>
  <c r="BK291" i="65"/>
  <c r="AI291" i="65"/>
  <c r="BC290" i="65"/>
  <c r="BK280" i="65"/>
  <c r="AI280" i="65"/>
  <c r="BC279" i="65"/>
  <c r="AZ278" i="65"/>
  <c r="I278" i="65"/>
  <c r="AO277" i="65"/>
  <c r="BK276" i="65"/>
  <c r="AI276" i="65"/>
  <c r="BC275" i="65"/>
  <c r="AZ274" i="65"/>
  <c r="I274" i="65"/>
  <c r="AO273" i="65"/>
  <c r="BK272" i="65"/>
  <c r="AI272" i="65"/>
  <c r="BC271" i="65"/>
  <c r="BB265" i="65"/>
  <c r="AE265" i="65"/>
  <c r="AF265" i="65" s="1"/>
  <c r="AG265" i="65" s="1"/>
  <c r="AH265" i="65" s="1"/>
  <c r="AV264" i="65"/>
  <c r="H264" i="65"/>
  <c r="AN263" i="65"/>
  <c r="BA260" i="65"/>
  <c r="J260" i="65"/>
  <c r="AP259" i="65"/>
  <c r="F259" i="65"/>
  <c r="AL258" i="65"/>
  <c r="BI257" i="65"/>
  <c r="BA256" i="65"/>
  <c r="BJ303" i="65"/>
  <c r="BB302" i="65"/>
  <c r="AE302" i="65"/>
  <c r="AF302" i="65" s="1"/>
  <c r="AG302" i="65" s="1"/>
  <c r="AH302" i="65" s="1"/>
  <c r="AV301" i="65"/>
  <c r="H301" i="65"/>
  <c r="AI300" i="65"/>
  <c r="BA299" i="65"/>
  <c r="J299" i="65"/>
  <c r="AN298" i="65"/>
  <c r="BJ291" i="65"/>
  <c r="BB290" i="65"/>
  <c r="AE290" i="65"/>
  <c r="AF290" i="65" s="1"/>
  <c r="AG290" i="65" s="1"/>
  <c r="AH290" i="65" s="1"/>
  <c r="BJ280" i="65"/>
  <c r="BB279" i="65"/>
  <c r="AE279" i="65"/>
  <c r="AF279" i="65" s="1"/>
  <c r="AG279" i="65" s="1"/>
  <c r="AH279" i="65" s="1"/>
  <c r="AV278" i="65"/>
  <c r="H278" i="65"/>
  <c r="AN277" i="65"/>
  <c r="BJ276" i="65"/>
  <c r="BB275" i="65"/>
  <c r="AE275" i="65"/>
  <c r="AF275" i="65" s="1"/>
  <c r="AG275" i="65" s="1"/>
  <c r="AH275" i="65" s="1"/>
  <c r="AV274" i="65"/>
  <c r="H274" i="65"/>
  <c r="AN273" i="65"/>
  <c r="BJ272" i="65"/>
  <c r="BB271" i="65"/>
  <c r="AE271" i="65"/>
  <c r="AF271" i="65" s="1"/>
  <c r="AG271" i="65" s="1"/>
  <c r="AH271" i="65" s="1"/>
  <c r="BA265" i="65"/>
  <c r="J265" i="65"/>
  <c r="AP264" i="65"/>
  <c r="F264" i="65"/>
  <c r="AL263" i="65"/>
  <c r="AZ260" i="65"/>
  <c r="I260" i="65"/>
  <c r="AO259" i="65"/>
  <c r="BK258" i="65"/>
  <c r="AI258" i="65"/>
  <c r="BC257" i="65"/>
  <c r="AZ256" i="65"/>
  <c r="BI303" i="65"/>
  <c r="BA302" i="65"/>
  <c r="J302" i="65"/>
  <c r="AP301" i="65"/>
  <c r="F301" i="65"/>
  <c r="AZ299" i="65"/>
  <c r="I299" i="65"/>
  <c r="AL298" i="65"/>
  <c r="BI291" i="65"/>
  <c r="BA290" i="65"/>
  <c r="J290" i="65"/>
  <c r="BI280" i="65"/>
  <c r="BA279" i="65"/>
  <c r="J279" i="65"/>
  <c r="AP278" i="65"/>
  <c r="F278" i="65"/>
  <c r="AL277" i="65"/>
  <c r="BI276" i="65"/>
  <c r="BA275" i="65"/>
  <c r="J275" i="65"/>
  <c r="AP274" i="65"/>
  <c r="F274" i="65"/>
  <c r="AL273" i="65"/>
  <c r="BI272" i="65"/>
  <c r="BA271" i="65"/>
  <c r="J271" i="65"/>
  <c r="BB266" i="65"/>
  <c r="AE266" i="65"/>
  <c r="AF266" i="65" s="1"/>
  <c r="AG266" i="65" s="1"/>
  <c r="AH266" i="65" s="1"/>
  <c r="AZ265" i="65"/>
  <c r="I265" i="65"/>
  <c r="AO264" i="65"/>
  <c r="BK263" i="65"/>
  <c r="AI263" i="65"/>
  <c r="BC303" i="65"/>
  <c r="AZ302" i="65"/>
  <c r="I302" i="65"/>
  <c r="AO301" i="65"/>
  <c r="BK300" i="65"/>
  <c r="AV299" i="65"/>
  <c r="H299" i="65"/>
  <c r="AI298" i="65"/>
  <c r="BC291" i="65"/>
  <c r="AZ290" i="65"/>
  <c r="I290" i="65"/>
  <c r="BC280" i="65"/>
  <c r="AZ279" i="65"/>
  <c r="I279" i="65"/>
  <c r="AO278" i="65"/>
  <c r="BK277" i="65"/>
  <c r="AI277" i="65"/>
  <c r="BC276" i="65"/>
  <c r="AZ275" i="65"/>
  <c r="I275" i="65"/>
  <c r="AO274" i="65"/>
  <c r="BK273" i="65"/>
  <c r="AI273" i="65"/>
  <c r="BC272" i="65"/>
  <c r="AZ271" i="65"/>
  <c r="I271" i="65"/>
  <c r="BA266" i="65"/>
  <c r="J266" i="65"/>
  <c r="AV265" i="65"/>
  <c r="H265" i="65"/>
  <c r="AN264" i="65"/>
  <c r="BJ263" i="65"/>
  <c r="BB303" i="65"/>
  <c r="AE303" i="65"/>
  <c r="AF303" i="65" s="1"/>
  <c r="AG303" i="65" s="1"/>
  <c r="AH303" i="65" s="1"/>
  <c r="AV302" i="65"/>
  <c r="H302" i="65"/>
  <c r="AN301" i="65"/>
  <c r="BC300" i="65"/>
  <c r="AP299" i="65"/>
  <c r="F299" i="65"/>
  <c r="BB291" i="65"/>
  <c r="AE291" i="65"/>
  <c r="AF291" i="65" s="1"/>
  <c r="AG291" i="65" s="1"/>
  <c r="AH291" i="65" s="1"/>
  <c r="AV290" i="65"/>
  <c r="H290" i="65"/>
  <c r="BB280" i="65"/>
  <c r="AE280" i="65"/>
  <c r="AF280" i="65" s="1"/>
  <c r="AG280" i="65" s="1"/>
  <c r="AH280" i="65" s="1"/>
  <c r="AV279" i="65"/>
  <c r="H279" i="65"/>
  <c r="AN278" i="65"/>
  <c r="BJ277" i="65"/>
  <c r="BB276" i="65"/>
  <c r="AE276" i="65"/>
  <c r="AF276" i="65" s="1"/>
  <c r="AG276" i="65" s="1"/>
  <c r="AH276" i="65" s="1"/>
  <c r="AV275" i="65"/>
  <c r="H275" i="65"/>
  <c r="AN274" i="65"/>
  <c r="BJ273" i="65"/>
  <c r="BB272" i="65"/>
  <c r="AE272" i="65"/>
  <c r="AF272" i="65" s="1"/>
  <c r="AG272" i="65" s="1"/>
  <c r="AH272" i="65" s="1"/>
  <c r="AV271" i="65"/>
  <c r="H271" i="65"/>
  <c r="AZ266" i="65"/>
  <c r="I266" i="65"/>
  <c r="AP265" i="65"/>
  <c r="F265" i="65"/>
  <c r="AL264" i="65"/>
  <c r="BI263" i="65"/>
  <c r="AV261" i="65"/>
  <c r="H261" i="65"/>
  <c r="AO260" i="65"/>
  <c r="BK259" i="65"/>
  <c r="AI259" i="65"/>
  <c r="BA303" i="65"/>
  <c r="J303" i="65"/>
  <c r="AP302" i="65"/>
  <c r="F302" i="65"/>
  <c r="AL301" i="65"/>
  <c r="BB300" i="65"/>
  <c r="AE300" i="65"/>
  <c r="AF300" i="65" s="1"/>
  <c r="AG300" i="65" s="1"/>
  <c r="AH300" i="65" s="1"/>
  <c r="AO299" i="65"/>
  <c r="BK298" i="65"/>
  <c r="BA291" i="65"/>
  <c r="J291" i="65"/>
  <c r="AP290" i="65"/>
  <c r="F290" i="65"/>
  <c r="BA280" i="65"/>
  <c r="J280" i="65"/>
  <c r="AP279" i="65"/>
  <c r="F279" i="65"/>
  <c r="AL278" i="65"/>
  <c r="BI277" i="65"/>
  <c r="BA276" i="65"/>
  <c r="J276" i="65"/>
  <c r="AP275" i="65"/>
  <c r="F275" i="65"/>
  <c r="AL274" i="65"/>
  <c r="BI273" i="65"/>
  <c r="BA272" i="65"/>
  <c r="J272" i="65"/>
  <c r="AP271" i="65"/>
  <c r="F271" i="65"/>
  <c r="AV266" i="65"/>
  <c r="H266" i="65"/>
  <c r="AO265" i="65"/>
  <c r="BK264" i="65"/>
  <c r="AI264" i="65"/>
  <c r="BC263" i="65"/>
  <c r="AP261" i="65"/>
  <c r="F261" i="65"/>
  <c r="AZ303" i="65"/>
  <c r="I303" i="65"/>
  <c r="AO302" i="65"/>
  <c r="BK301" i="65"/>
  <c r="AI301" i="65"/>
  <c r="BA300" i="65"/>
  <c r="J300" i="65"/>
  <c r="AN299" i="65"/>
  <c r="BC298" i="65"/>
  <c r="AZ291" i="65"/>
  <c r="I291" i="65"/>
  <c r="AO290" i="65"/>
  <c r="AZ280" i="65"/>
  <c r="I280" i="65"/>
  <c r="AO279" i="65"/>
  <c r="BK278" i="65"/>
  <c r="AI278" i="65"/>
  <c r="BC277" i="65"/>
  <c r="AZ276" i="65"/>
  <c r="I276" i="65"/>
  <c r="AO275" i="65"/>
  <c r="BK274" i="65"/>
  <c r="AI274" i="65"/>
  <c r="BC273" i="65"/>
  <c r="AZ272" i="65"/>
  <c r="I272" i="65"/>
  <c r="AO271" i="65"/>
  <c r="F266" i="65"/>
  <c r="AN265" i="65"/>
  <c r="BJ264" i="65"/>
  <c r="BB263" i="65"/>
  <c r="AE263" i="65"/>
  <c r="AF263" i="65" s="1"/>
  <c r="AG263" i="65" s="1"/>
  <c r="AH263" i="65" s="1"/>
  <c r="AL260" i="65"/>
  <c r="BI259" i="65"/>
  <c r="BA258" i="65"/>
  <c r="J258" i="65"/>
  <c r="AP257" i="65"/>
  <c r="F257" i="65"/>
  <c r="AL256" i="65"/>
  <c r="AV303" i="65"/>
  <c r="H303" i="65"/>
  <c r="AN302" i="65"/>
  <c r="BJ301" i="65"/>
  <c r="AZ300" i="65"/>
  <c r="I300" i="65"/>
  <c r="AL299" i="65"/>
  <c r="BB298" i="65"/>
  <c r="AE298" i="65"/>
  <c r="AF298" i="65" s="1"/>
  <c r="AG298" i="65" s="1"/>
  <c r="AH298" i="65" s="1"/>
  <c r="AV291" i="65"/>
  <c r="H291" i="65"/>
  <c r="AN290" i="65"/>
  <c r="AV280" i="65"/>
  <c r="H280" i="65"/>
  <c r="AN279" i="65"/>
  <c r="BJ278" i="65"/>
  <c r="BB277" i="65"/>
  <c r="AE277" i="65"/>
  <c r="AF277" i="65" s="1"/>
  <c r="AG277" i="65" s="1"/>
  <c r="AH277" i="65" s="1"/>
  <c r="AV276" i="65"/>
  <c r="H276" i="65"/>
  <c r="AN275" i="65"/>
  <c r="BJ274" i="65"/>
  <c r="BB273" i="65"/>
  <c r="AE273" i="65"/>
  <c r="AF273" i="65" s="1"/>
  <c r="AG273" i="65" s="1"/>
  <c r="AH273" i="65" s="1"/>
  <c r="AV272" i="65"/>
  <c r="H272" i="65"/>
  <c r="AN271" i="65"/>
  <c r="AL265" i="65"/>
  <c r="BI264" i="65"/>
  <c r="BA263" i="65"/>
  <c r="J263" i="65"/>
  <c r="BK260" i="65"/>
  <c r="AI260" i="65"/>
  <c r="BC259" i="65"/>
  <c r="AZ258" i="65"/>
  <c r="I258" i="65"/>
  <c r="AO257" i="65"/>
  <c r="BK256" i="65"/>
  <c r="AI256" i="65"/>
  <c r="AP303" i="65"/>
  <c r="F303" i="65"/>
  <c r="AL302" i="65"/>
  <c r="BI301" i="65"/>
  <c r="AV300" i="65"/>
  <c r="H300" i="65"/>
  <c r="AI299" i="65"/>
  <c r="BA298" i="65"/>
  <c r="J298" i="65"/>
  <c r="AP291" i="65"/>
  <c r="F291" i="65"/>
  <c r="AL290" i="65"/>
  <c r="AP280" i="65"/>
  <c r="F280" i="65"/>
  <c r="AL279" i="65"/>
  <c r="BI278" i="65"/>
  <c r="BA277" i="65"/>
  <c r="J277" i="65"/>
  <c r="AP276" i="65"/>
  <c r="F276" i="65"/>
  <c r="AL275" i="65"/>
  <c r="BI274" i="65"/>
  <c r="BA273" i="65"/>
  <c r="J273" i="65"/>
  <c r="AP272" i="65"/>
  <c r="F272" i="65"/>
  <c r="AL271" i="65"/>
  <c r="AP267" i="65"/>
  <c r="F267" i="65"/>
  <c r="AN266" i="65"/>
  <c r="BK265" i="65"/>
  <c r="AI265" i="65"/>
  <c r="BC264" i="65"/>
  <c r="AO303" i="65"/>
  <c r="BK302" i="65"/>
  <c r="AI302" i="65"/>
  <c r="BC301" i="65"/>
  <c r="AP300" i="65"/>
  <c r="F300" i="65"/>
  <c r="AZ298" i="65"/>
  <c r="I298" i="65"/>
  <c r="AO291" i="65"/>
  <c r="BK290" i="65"/>
  <c r="AI290" i="65"/>
  <c r="AO280" i="65"/>
  <c r="BK279" i="65"/>
  <c r="AI279" i="65"/>
  <c r="BC278" i="65"/>
  <c r="AZ277" i="65"/>
  <c r="I277" i="65"/>
  <c r="AO276" i="65"/>
  <c r="BK275" i="65"/>
  <c r="AI275" i="65"/>
  <c r="BC274" i="65"/>
  <c r="AZ273" i="65"/>
  <c r="I273" i="65"/>
  <c r="AO272" i="65"/>
  <c r="BK271" i="65"/>
  <c r="AI271" i="65"/>
  <c r="AL266" i="65"/>
  <c r="BJ265" i="65"/>
  <c r="BB264" i="65"/>
  <c r="AE264" i="65"/>
  <c r="AF264" i="65" s="1"/>
  <c r="AG264" i="65" s="1"/>
  <c r="AH264" i="65" s="1"/>
  <c r="AV263" i="65"/>
  <c r="H263" i="65"/>
  <c r="AN303" i="65"/>
  <c r="BJ302" i="65"/>
  <c r="BB301" i="65"/>
  <c r="AE301" i="65"/>
  <c r="AF301" i="65" s="1"/>
  <c r="AG301" i="65" s="1"/>
  <c r="AH301" i="65" s="1"/>
  <c r="AO300" i="65"/>
  <c r="BK299" i="65"/>
  <c r="AV298" i="65"/>
  <c r="H298" i="65"/>
  <c r="AN291" i="65"/>
  <c r="BJ290" i="65"/>
  <c r="AN280" i="65"/>
  <c r="BJ279" i="65"/>
  <c r="BB278" i="65"/>
  <c r="AE278" i="65"/>
  <c r="AF278" i="65" s="1"/>
  <c r="AG278" i="65" s="1"/>
  <c r="AH278" i="65" s="1"/>
  <c r="AV277" i="65"/>
  <c r="H277" i="65"/>
  <c r="AN276" i="65"/>
  <c r="BJ275" i="65"/>
  <c r="BB274" i="65"/>
  <c r="AE274" i="65"/>
  <c r="AF274" i="65" s="1"/>
  <c r="AG274" i="65" s="1"/>
  <c r="AH274" i="65" s="1"/>
  <c r="AV273" i="65"/>
  <c r="H273" i="65"/>
  <c r="AN272" i="65"/>
  <c r="BJ271" i="65"/>
  <c r="BI265" i="65"/>
  <c r="BA264" i="65"/>
  <c r="J264" i="65"/>
  <c r="AP263" i="65"/>
  <c r="F263" i="65"/>
  <c r="BC260" i="65"/>
  <c r="AZ259" i="65"/>
  <c r="I259" i="65"/>
  <c r="AO258" i="65"/>
  <c r="BK257" i="65"/>
  <c r="AI257" i="65"/>
  <c r="BC256" i="65"/>
  <c r="AL303" i="65"/>
  <c r="AL276" i="65"/>
  <c r="BI260" i="65"/>
  <c r="BA259" i="65"/>
  <c r="AV258" i="65"/>
  <c r="AZ257" i="65"/>
  <c r="AV256" i="65"/>
  <c r="BJ255" i="65"/>
  <c r="BB254" i="65"/>
  <c r="AE254" i="65"/>
  <c r="AF254" i="65" s="1"/>
  <c r="AG254" i="65" s="1"/>
  <c r="AH254" i="65" s="1"/>
  <c r="AV253" i="65"/>
  <c r="H253" i="65"/>
  <c r="AN252" i="65"/>
  <c r="BJ251" i="65"/>
  <c r="AZ250" i="65"/>
  <c r="I250" i="65"/>
  <c r="AL249" i="65"/>
  <c r="BB248" i="65"/>
  <c r="AE248" i="65"/>
  <c r="AF248" i="65" s="1"/>
  <c r="AG248" i="65" s="1"/>
  <c r="AH248" i="65" s="1"/>
  <c r="AO247" i="65"/>
  <c r="BK246" i="65"/>
  <c r="AI246" i="65"/>
  <c r="BC245" i="65"/>
  <c r="AZ244" i="65"/>
  <c r="I244" i="65"/>
  <c r="AO243" i="65"/>
  <c r="AI242" i="65"/>
  <c r="BC241" i="65"/>
  <c r="I240" i="65"/>
  <c r="AO239" i="65"/>
  <c r="AI238" i="65"/>
  <c r="AZ236" i="65"/>
  <c r="I236" i="65"/>
  <c r="BJ234" i="65"/>
  <c r="AE233" i="65"/>
  <c r="AF233" i="65" s="1"/>
  <c r="AG233" i="65" s="1"/>
  <c r="AH233" i="65" s="1"/>
  <c r="AO232" i="65"/>
  <c r="BK231" i="65"/>
  <c r="AI231" i="65"/>
  <c r="I229" i="65"/>
  <c r="J224" i="65"/>
  <c r="AP223" i="65"/>
  <c r="F223" i="65"/>
  <c r="AL222" i="65"/>
  <c r="BA220" i="65"/>
  <c r="BI302" i="65"/>
  <c r="BI275" i="65"/>
  <c r="I264" i="65"/>
  <c r="BK261" i="65"/>
  <c r="BB260" i="65"/>
  <c r="AV259" i="65"/>
  <c r="AP258" i="65"/>
  <c r="AV257" i="65"/>
  <c r="AP256" i="65"/>
  <c r="BI255" i="65"/>
  <c r="BA254" i="65"/>
  <c r="J254" i="65"/>
  <c r="AP253" i="65"/>
  <c r="F253" i="65"/>
  <c r="AL252" i="65"/>
  <c r="BI251" i="65"/>
  <c r="AV250" i="65"/>
  <c r="H250" i="65"/>
  <c r="AI249" i="65"/>
  <c r="BA248" i="65"/>
  <c r="J248" i="65"/>
  <c r="AN247" i="65"/>
  <c r="BJ246" i="65"/>
  <c r="BB245" i="65"/>
  <c r="AE245" i="65"/>
  <c r="AF245" i="65" s="1"/>
  <c r="AG245" i="65" s="1"/>
  <c r="AH245" i="65" s="1"/>
  <c r="AV244" i="65"/>
  <c r="H244" i="65"/>
  <c r="AN243" i="65"/>
  <c r="AE241" i="65"/>
  <c r="AF241" i="65" s="1"/>
  <c r="AG241" i="65" s="1"/>
  <c r="AH241" i="65" s="1"/>
  <c r="AV240" i="65"/>
  <c r="H240" i="65"/>
  <c r="AN239" i="65"/>
  <c r="BB237" i="65"/>
  <c r="AE237" i="65"/>
  <c r="AF237" i="65" s="1"/>
  <c r="AG237" i="65" s="1"/>
  <c r="AH237" i="65" s="1"/>
  <c r="AV236" i="65"/>
  <c r="H236" i="65"/>
  <c r="J233" i="65"/>
  <c r="AN232" i="65"/>
  <c r="AE230" i="65"/>
  <c r="AF230" i="65" s="1"/>
  <c r="AG230" i="65" s="1"/>
  <c r="AH230" i="65" s="1"/>
  <c r="H229" i="65"/>
  <c r="I224" i="65"/>
  <c r="AO223" i="65"/>
  <c r="AI222" i="65"/>
  <c r="I220" i="65"/>
  <c r="AO219" i="65"/>
  <c r="AI218" i="65"/>
  <c r="AZ263" i="65"/>
  <c r="BI261" i="65"/>
  <c r="AV260" i="65"/>
  <c r="AN259" i="65"/>
  <c r="AN258" i="65"/>
  <c r="AN257" i="65"/>
  <c r="AO256" i="65"/>
  <c r="BC255" i="65"/>
  <c r="AZ254" i="65"/>
  <c r="I254" i="65"/>
  <c r="AO253" i="65"/>
  <c r="BK252" i="65"/>
  <c r="AI252" i="65"/>
  <c r="BC251" i="65"/>
  <c r="AP250" i="65"/>
  <c r="F250" i="65"/>
  <c r="AZ248" i="65"/>
  <c r="I248" i="65"/>
  <c r="AL247" i="65"/>
  <c r="BI246" i="65"/>
  <c r="BA245" i="65"/>
  <c r="J245" i="65"/>
  <c r="AP244" i="65"/>
  <c r="F244" i="65"/>
  <c r="AL243" i="65"/>
  <c r="J241" i="65"/>
  <c r="AP240" i="65"/>
  <c r="F240" i="65"/>
  <c r="AL239" i="65"/>
  <c r="BA237" i="65"/>
  <c r="J237" i="65"/>
  <c r="AP236" i="65"/>
  <c r="F236" i="65"/>
  <c r="BC234" i="65"/>
  <c r="AL232" i="65"/>
  <c r="J230" i="65"/>
  <c r="AP229" i="65"/>
  <c r="F229" i="65"/>
  <c r="H224" i="65"/>
  <c r="AN223" i="65"/>
  <c r="AE221" i="65"/>
  <c r="AF221" i="65" s="1"/>
  <c r="AG221" i="65" s="1"/>
  <c r="AH221" i="65" s="1"/>
  <c r="AV220" i="65"/>
  <c r="H220" i="65"/>
  <c r="AN219" i="65"/>
  <c r="BB217" i="65"/>
  <c r="AE217" i="65"/>
  <c r="AF217" i="65" s="1"/>
  <c r="AG217" i="65" s="1"/>
  <c r="AH217" i="65" s="1"/>
  <c r="AV216" i="65"/>
  <c r="H216" i="65"/>
  <c r="BA301" i="65"/>
  <c r="BA274" i="65"/>
  <c r="AO263" i="65"/>
  <c r="BA261" i="65"/>
  <c r="AP260" i="65"/>
  <c r="AL259" i="65"/>
  <c r="AL257" i="65"/>
  <c r="AN256" i="65"/>
  <c r="BB255" i="65"/>
  <c r="AE255" i="65"/>
  <c r="AF255" i="65" s="1"/>
  <c r="AG255" i="65" s="1"/>
  <c r="AH255" i="65" s="1"/>
  <c r="AV254" i="65"/>
  <c r="H254" i="65"/>
  <c r="AN253" i="65"/>
  <c r="BJ252" i="65"/>
  <c r="BB251" i="65"/>
  <c r="AE251" i="65"/>
  <c r="AF251" i="65" s="1"/>
  <c r="AG251" i="65" s="1"/>
  <c r="AH251" i="65" s="1"/>
  <c r="AO250" i="65"/>
  <c r="BK249" i="65"/>
  <c r="AV248" i="65"/>
  <c r="H248" i="65"/>
  <c r="AI247" i="65"/>
  <c r="BC246" i="65"/>
  <c r="AZ245" i="65"/>
  <c r="I245" i="65"/>
  <c r="AO244" i="65"/>
  <c r="AI243" i="65"/>
  <c r="AZ241" i="65"/>
  <c r="I241" i="65"/>
  <c r="AO240" i="65"/>
  <c r="AI239" i="65"/>
  <c r="BC238" i="65"/>
  <c r="I237" i="65"/>
  <c r="AO236" i="65"/>
  <c r="AE234" i="65"/>
  <c r="AF234" i="65" s="1"/>
  <c r="AG234" i="65" s="1"/>
  <c r="AH234" i="65" s="1"/>
  <c r="AI232" i="65"/>
  <c r="BC231" i="65"/>
  <c r="I230" i="65"/>
  <c r="AO229" i="65"/>
  <c r="AP224" i="65"/>
  <c r="F224" i="65"/>
  <c r="AL223" i="65"/>
  <c r="J221" i="65"/>
  <c r="AP220" i="65"/>
  <c r="F220" i="65"/>
  <c r="AL219" i="65"/>
  <c r="J217" i="65"/>
  <c r="AP216" i="65"/>
  <c r="F216" i="65"/>
  <c r="J301" i="65"/>
  <c r="J274" i="65"/>
  <c r="AL267" i="65"/>
  <c r="I263" i="65"/>
  <c r="AZ261" i="65"/>
  <c r="AN260" i="65"/>
  <c r="BA255" i="65"/>
  <c r="J255" i="65"/>
  <c r="AP254" i="65"/>
  <c r="F254" i="65"/>
  <c r="AL253" i="65"/>
  <c r="BI252" i="65"/>
  <c r="BA251" i="65"/>
  <c r="J251" i="65"/>
  <c r="AN250" i="65"/>
  <c r="BC249" i="65"/>
  <c r="AP248" i="65"/>
  <c r="F248" i="65"/>
  <c r="BB246" i="65"/>
  <c r="AE246" i="65"/>
  <c r="AF246" i="65" s="1"/>
  <c r="AG246" i="65" s="1"/>
  <c r="AH246" i="65" s="1"/>
  <c r="AV245" i="65"/>
  <c r="H245" i="65"/>
  <c r="AN244" i="65"/>
  <c r="AE242" i="65"/>
  <c r="AF242" i="65" s="1"/>
  <c r="AG242" i="65" s="1"/>
  <c r="AH242" i="65" s="1"/>
  <c r="AV241" i="65"/>
  <c r="H241" i="65"/>
  <c r="AN240" i="65"/>
  <c r="BJ239" i="65"/>
  <c r="AE238" i="65"/>
  <c r="AF238" i="65" s="1"/>
  <c r="AG238" i="65" s="1"/>
  <c r="AH238" i="65" s="1"/>
  <c r="AV237" i="65"/>
  <c r="H237" i="65"/>
  <c r="AN236" i="65"/>
  <c r="J234" i="65"/>
  <c r="AP233" i="65"/>
  <c r="F233" i="65"/>
  <c r="BB231" i="65"/>
  <c r="AE231" i="65"/>
  <c r="AF231" i="65" s="1"/>
  <c r="AG231" i="65" s="1"/>
  <c r="AH231" i="65" s="1"/>
  <c r="AV230" i="65"/>
  <c r="H230" i="65"/>
  <c r="AN229" i="65"/>
  <c r="AO224" i="65"/>
  <c r="AI223" i="65"/>
  <c r="AN300" i="65"/>
  <c r="AL280" i="65"/>
  <c r="AP273" i="65"/>
  <c r="AL261" i="65"/>
  <c r="AE259" i="65"/>
  <c r="AF259" i="65" s="1"/>
  <c r="AG259" i="65" s="1"/>
  <c r="AH259" i="65" s="1"/>
  <c r="AE257" i="65"/>
  <c r="AF257" i="65" s="1"/>
  <c r="AG257" i="65" s="1"/>
  <c r="AH257" i="65" s="1"/>
  <c r="AZ255" i="65"/>
  <c r="I255" i="65"/>
  <c r="AO254" i="65"/>
  <c r="BK253" i="65"/>
  <c r="AI253" i="65"/>
  <c r="BC252" i="65"/>
  <c r="AZ251" i="65"/>
  <c r="I251" i="65"/>
  <c r="AL250" i="65"/>
  <c r="BB249" i="65"/>
  <c r="AE249" i="65"/>
  <c r="AF249" i="65" s="1"/>
  <c r="AG249" i="65" s="1"/>
  <c r="AH249" i="65" s="1"/>
  <c r="AO248" i="65"/>
  <c r="BK247" i="65"/>
  <c r="BA246" i="65"/>
  <c r="J246" i="65"/>
  <c r="AP245" i="65"/>
  <c r="F245" i="65"/>
  <c r="AL244" i="65"/>
  <c r="BA242" i="65"/>
  <c r="J242" i="65"/>
  <c r="AP241" i="65"/>
  <c r="F241" i="65"/>
  <c r="AL240" i="65"/>
  <c r="J238" i="65"/>
  <c r="AP237" i="65"/>
  <c r="F237" i="65"/>
  <c r="AL236" i="65"/>
  <c r="I234" i="65"/>
  <c r="J231" i="65"/>
  <c r="AP230" i="65"/>
  <c r="F230" i="65"/>
  <c r="AL229" i="65"/>
  <c r="AN224" i="65"/>
  <c r="AE222" i="65"/>
  <c r="AF222" i="65" s="1"/>
  <c r="AG222" i="65" s="1"/>
  <c r="AH222" i="65" s="1"/>
  <c r="H221" i="65"/>
  <c r="AN220" i="65"/>
  <c r="BJ219" i="65"/>
  <c r="AE218" i="65"/>
  <c r="AF218" i="65" s="1"/>
  <c r="AG218" i="65" s="1"/>
  <c r="AH218" i="65" s="1"/>
  <c r="AV217" i="65"/>
  <c r="H217" i="65"/>
  <c r="AN216" i="65"/>
  <c r="BC299" i="65"/>
  <c r="BI279" i="65"/>
  <c r="F273" i="65"/>
  <c r="BJ266" i="65"/>
  <c r="BC262" i="65"/>
  <c r="AI261" i="65"/>
  <c r="J259" i="65"/>
  <c r="AE258" i="65"/>
  <c r="AF258" i="65" s="1"/>
  <c r="AG258" i="65" s="1"/>
  <c r="AH258" i="65" s="1"/>
  <c r="J257" i="65"/>
  <c r="AE256" i="65"/>
  <c r="AF256" i="65" s="1"/>
  <c r="AG256" i="65" s="1"/>
  <c r="AH256" i="65" s="1"/>
  <c r="AV255" i="65"/>
  <c r="H255" i="65"/>
  <c r="AN254" i="65"/>
  <c r="BJ253" i="65"/>
  <c r="BB252" i="65"/>
  <c r="AE252" i="65"/>
  <c r="AF252" i="65" s="1"/>
  <c r="AG252" i="65" s="1"/>
  <c r="AH252" i="65" s="1"/>
  <c r="AV251" i="65"/>
  <c r="H251" i="65"/>
  <c r="AI250" i="65"/>
  <c r="BA249" i="65"/>
  <c r="J249" i="65"/>
  <c r="AN248" i="65"/>
  <c r="BC247" i="65"/>
  <c r="AZ246" i="65"/>
  <c r="I246" i="65"/>
  <c r="AO245" i="65"/>
  <c r="BK244" i="65"/>
  <c r="AI244" i="65"/>
  <c r="I242" i="65"/>
  <c r="AO241" i="65"/>
  <c r="AI240" i="65"/>
  <c r="I238" i="65"/>
  <c r="AO237" i="65"/>
  <c r="BK236" i="65"/>
  <c r="AI236" i="65"/>
  <c r="AV234" i="65"/>
  <c r="H234" i="65"/>
  <c r="AN233" i="65"/>
  <c r="I231" i="65"/>
  <c r="AO230" i="65"/>
  <c r="AI229" i="65"/>
  <c r="AL224" i="65"/>
  <c r="BA222" i="65"/>
  <c r="AL272" i="65"/>
  <c r="AE260" i="65"/>
  <c r="AF260" i="65" s="1"/>
  <c r="AG260" i="65" s="1"/>
  <c r="AH260" i="65" s="1"/>
  <c r="H259" i="65"/>
  <c r="H258" i="65"/>
  <c r="I257" i="65"/>
  <c r="J256" i="65"/>
  <c r="AP255" i="65"/>
  <c r="F255" i="65"/>
  <c r="AL254" i="65"/>
  <c r="BI253" i="65"/>
  <c r="BA252" i="65"/>
  <c r="J252" i="65"/>
  <c r="AP251" i="65"/>
  <c r="F251" i="65"/>
  <c r="AZ249" i="65"/>
  <c r="I249" i="65"/>
  <c r="AL248" i="65"/>
  <c r="BB247" i="65"/>
  <c r="AE247" i="65"/>
  <c r="AF247" i="65" s="1"/>
  <c r="AG247" i="65" s="1"/>
  <c r="AH247" i="65" s="1"/>
  <c r="AV246" i="65"/>
  <c r="H246" i="65"/>
  <c r="AN245" i="65"/>
  <c r="BJ244" i="65"/>
  <c r="AE243" i="65"/>
  <c r="AF243" i="65" s="1"/>
  <c r="AG243" i="65" s="1"/>
  <c r="AH243" i="65" s="1"/>
  <c r="AV242" i="65"/>
  <c r="H242" i="65"/>
  <c r="AN241" i="65"/>
  <c r="AE239" i="65"/>
  <c r="AF239" i="65" s="1"/>
  <c r="AG239" i="65" s="1"/>
  <c r="AH239" i="65" s="1"/>
  <c r="H238" i="65"/>
  <c r="AN237" i="65"/>
  <c r="AP234" i="65"/>
  <c r="F234" i="65"/>
  <c r="BB232" i="65"/>
  <c r="AE232" i="65"/>
  <c r="AF232" i="65" s="1"/>
  <c r="AG232" i="65" s="1"/>
  <c r="AH232" i="65" s="1"/>
  <c r="AV231" i="65"/>
  <c r="H231" i="65"/>
  <c r="AN230" i="65"/>
  <c r="BJ229" i="65"/>
  <c r="AI224" i="65"/>
  <c r="I222" i="65"/>
  <c r="AO221" i="65"/>
  <c r="AI220" i="65"/>
  <c r="I218" i="65"/>
  <c r="AO217" i="65"/>
  <c r="AI216" i="65"/>
  <c r="AP298" i="65"/>
  <c r="BA278" i="65"/>
  <c r="BI271" i="65"/>
  <c r="J261" i="65"/>
  <c r="H260" i="65"/>
  <c r="BJ258" i="65"/>
  <c r="F258" i="65"/>
  <c r="H257" i="65"/>
  <c r="I256" i="65"/>
  <c r="AO255" i="65"/>
  <c r="BK254" i="65"/>
  <c r="AI254" i="65"/>
  <c r="BC253" i="65"/>
  <c r="AZ252" i="65"/>
  <c r="I252" i="65"/>
  <c r="AO251" i="65"/>
  <c r="BK250" i="65"/>
  <c r="AV249" i="65"/>
  <c r="H249" i="65"/>
  <c r="AI248" i="65"/>
  <c r="BA247" i="65"/>
  <c r="J247" i="65"/>
  <c r="AP246" i="65"/>
  <c r="F246" i="65"/>
  <c r="AL245" i="65"/>
  <c r="BI244" i="65"/>
  <c r="J243" i="65"/>
  <c r="AP242" i="65"/>
  <c r="F242" i="65"/>
  <c r="AL241" i="65"/>
  <c r="BA239" i="65"/>
  <c r="J239" i="65"/>
  <c r="AP238" i="65"/>
  <c r="F238" i="65"/>
  <c r="AL237" i="65"/>
  <c r="AO234" i="65"/>
  <c r="AI233" i="65"/>
  <c r="J232" i="65"/>
  <c r="AP231" i="65"/>
  <c r="F231" i="65"/>
  <c r="AL230" i="65"/>
  <c r="BB223" i="65"/>
  <c r="AE223" i="65"/>
  <c r="AF223" i="65" s="1"/>
  <c r="AG223" i="65" s="1"/>
  <c r="AH223" i="65" s="1"/>
  <c r="AV222" i="65"/>
  <c r="H222" i="65"/>
  <c r="AN221" i="65"/>
  <c r="BJ220" i="65"/>
  <c r="AE219" i="65"/>
  <c r="AF219" i="65" s="1"/>
  <c r="AG219" i="65" s="1"/>
  <c r="AH219" i="65" s="1"/>
  <c r="F298" i="65"/>
  <c r="AL291" i="65"/>
  <c r="J278" i="65"/>
  <c r="BC265" i="65"/>
  <c r="I261" i="65"/>
  <c r="F260" i="65"/>
  <c r="BI258" i="65"/>
  <c r="BJ257" i="65"/>
  <c r="BJ256" i="65"/>
  <c r="H256" i="65"/>
  <c r="AN255" i="65"/>
  <c r="BJ254" i="65"/>
  <c r="BB253" i="65"/>
  <c r="AE253" i="65"/>
  <c r="AF253" i="65" s="1"/>
  <c r="AG253" i="65" s="1"/>
  <c r="AH253" i="65" s="1"/>
  <c r="AV252" i="65"/>
  <c r="H252" i="65"/>
  <c r="AN251" i="65"/>
  <c r="BC250" i="65"/>
  <c r="AP249" i="65"/>
  <c r="F249" i="65"/>
  <c r="AZ247" i="65"/>
  <c r="I247" i="65"/>
  <c r="AO246" i="65"/>
  <c r="BK245" i="65"/>
  <c r="AI245" i="65"/>
  <c r="BC244" i="65"/>
  <c r="I243" i="65"/>
  <c r="AO242" i="65"/>
  <c r="AI241" i="65"/>
  <c r="AZ239" i="65"/>
  <c r="I239" i="65"/>
  <c r="AO238" i="65"/>
  <c r="BK237" i="65"/>
  <c r="AI237" i="65"/>
  <c r="AN234" i="65"/>
  <c r="I232" i="65"/>
  <c r="AO231" i="65"/>
  <c r="AI230" i="65"/>
  <c r="J223" i="65"/>
  <c r="AP222" i="65"/>
  <c r="F222" i="65"/>
  <c r="AL221" i="65"/>
  <c r="BA219" i="65"/>
  <c r="J219" i="65"/>
  <c r="AP218" i="65"/>
  <c r="F218" i="65"/>
  <c r="AL217" i="65"/>
  <c r="BI290" i="65"/>
  <c r="AP277" i="65"/>
  <c r="BJ259" i="65"/>
  <c r="BC258" i="65"/>
  <c r="BB257" i="65"/>
  <c r="BI256" i="65"/>
  <c r="F256" i="65"/>
  <c r="AL255" i="65"/>
  <c r="BI254" i="65"/>
  <c r="BA253" i="65"/>
  <c r="J253" i="65"/>
  <c r="AP252" i="65"/>
  <c r="F252" i="65"/>
  <c r="AL251" i="65"/>
  <c r="BB250" i="65"/>
  <c r="AE250" i="65"/>
  <c r="AF250" i="65" s="1"/>
  <c r="AG250" i="65" s="1"/>
  <c r="AH250" i="65" s="1"/>
  <c r="AO249" i="65"/>
  <c r="BK248" i="65"/>
  <c r="AV247" i="65"/>
  <c r="H247" i="65"/>
  <c r="AN246" i="65"/>
  <c r="BJ245" i="65"/>
  <c r="BB244" i="65"/>
  <c r="AE244" i="65"/>
  <c r="AF244" i="65" s="1"/>
  <c r="AG244" i="65" s="1"/>
  <c r="AH244" i="65" s="1"/>
  <c r="AV243" i="65"/>
  <c r="H243" i="65"/>
  <c r="AN242" i="65"/>
  <c r="AE240" i="65"/>
  <c r="AF240" i="65" s="1"/>
  <c r="AG240" i="65" s="1"/>
  <c r="AH240" i="65" s="1"/>
  <c r="AV239" i="65"/>
  <c r="H239" i="65"/>
  <c r="AN238" i="65"/>
  <c r="BJ237" i="65"/>
  <c r="BB236" i="65"/>
  <c r="AE236" i="65"/>
  <c r="AF236" i="65" s="1"/>
  <c r="AG236" i="65" s="1"/>
  <c r="AH236" i="65" s="1"/>
  <c r="AL234" i="65"/>
  <c r="BI233" i="65"/>
  <c r="AV232" i="65"/>
  <c r="H232" i="65"/>
  <c r="AN231" i="65"/>
  <c r="AE229" i="65"/>
  <c r="AF229" i="65" s="1"/>
  <c r="AG229" i="65" s="1"/>
  <c r="AH229" i="65" s="1"/>
  <c r="I223" i="65"/>
  <c r="AO222" i="65"/>
  <c r="F277" i="65"/>
  <c r="AZ264" i="65"/>
  <c r="BJ260" i="65"/>
  <c r="BB259" i="65"/>
  <c r="BB258" i="65"/>
  <c r="BA257" i="65"/>
  <c r="BB256" i="65"/>
  <c r="BK255" i="65"/>
  <c r="AI255" i="65"/>
  <c r="BC254" i="65"/>
  <c r="AZ253" i="65"/>
  <c r="I253" i="65"/>
  <c r="AO252" i="65"/>
  <c r="BK251" i="65"/>
  <c r="AI251" i="65"/>
  <c r="BA250" i="65"/>
  <c r="J250" i="65"/>
  <c r="AN249" i="65"/>
  <c r="BC248" i="65"/>
  <c r="AP247" i="65"/>
  <c r="F247" i="65"/>
  <c r="AL246" i="65"/>
  <c r="BI245" i="65"/>
  <c r="BA244" i="65"/>
  <c r="J244" i="65"/>
  <c r="AP243" i="65"/>
  <c r="F243" i="65"/>
  <c r="AL242" i="65"/>
  <c r="J240" i="65"/>
  <c r="AP239" i="65"/>
  <c r="F239" i="65"/>
  <c r="AL238" i="65"/>
  <c r="BI237" i="65"/>
  <c r="BA236" i="65"/>
  <c r="J236" i="65"/>
  <c r="BK234" i="65"/>
  <c r="AI234" i="65"/>
  <c r="AP232" i="65"/>
  <c r="F232" i="65"/>
  <c r="AL231" i="65"/>
  <c r="J229" i="65"/>
  <c r="AE224" i="65"/>
  <c r="AF224" i="65" s="1"/>
  <c r="AG224" i="65" s="1"/>
  <c r="AH224" i="65" s="1"/>
  <c r="AV223" i="65"/>
  <c r="H223" i="65"/>
  <c r="AN222" i="65"/>
  <c r="BB220" i="65"/>
  <c r="AE220" i="65"/>
  <c r="AF220" i="65" s="1"/>
  <c r="AG220" i="65" s="1"/>
  <c r="AH220" i="65" s="1"/>
  <c r="AV219" i="65"/>
  <c r="H219" i="65"/>
  <c r="AN218" i="65"/>
  <c r="AZ219" i="65"/>
  <c r="H218" i="65"/>
  <c r="I217" i="65"/>
  <c r="J216" i="65"/>
  <c r="BI206" i="65"/>
  <c r="BB205" i="65"/>
  <c r="AE205" i="65"/>
  <c r="AF205" i="65" s="1"/>
  <c r="AG205" i="65" s="1"/>
  <c r="AH205" i="65" s="1"/>
  <c r="AL190" i="65"/>
  <c r="J188" i="65"/>
  <c r="AP187" i="65"/>
  <c r="F187" i="65"/>
  <c r="AL186" i="65"/>
  <c r="BA184" i="65"/>
  <c r="J184" i="65"/>
  <c r="AP183" i="65"/>
  <c r="F183" i="65"/>
  <c r="AL182" i="65"/>
  <c r="BA180" i="65"/>
  <c r="J180" i="65"/>
  <c r="AP179" i="65"/>
  <c r="F179" i="65"/>
  <c r="AL178" i="65"/>
  <c r="BI177" i="65"/>
  <c r="BA176" i="65"/>
  <c r="J176" i="65"/>
  <c r="AP175" i="65"/>
  <c r="F175" i="65"/>
  <c r="AP221" i="65"/>
  <c r="AP219" i="65"/>
  <c r="F217" i="65"/>
  <c r="I216" i="65"/>
  <c r="BA205" i="65"/>
  <c r="J205" i="65"/>
  <c r="AI190" i="65"/>
  <c r="BC189" i="65"/>
  <c r="I188" i="65"/>
  <c r="AO187" i="65"/>
  <c r="AI186" i="65"/>
  <c r="I184" i="65"/>
  <c r="AO183" i="65"/>
  <c r="BK182" i="65"/>
  <c r="AI182" i="65"/>
  <c r="I180" i="65"/>
  <c r="AO179" i="65"/>
  <c r="BK178" i="65"/>
  <c r="AI178" i="65"/>
  <c r="BC177" i="65"/>
  <c r="AZ176" i="65"/>
  <c r="I176" i="65"/>
  <c r="AO175" i="65"/>
  <c r="BK174" i="65"/>
  <c r="AI174" i="65"/>
  <c r="AI221" i="65"/>
  <c r="AI219" i="65"/>
  <c r="BJ216" i="65"/>
  <c r="I205" i="65"/>
  <c r="BJ190" i="65"/>
  <c r="BB189" i="65"/>
  <c r="AE189" i="65"/>
  <c r="AF189" i="65" s="1"/>
  <c r="AG189" i="65" s="1"/>
  <c r="AH189" i="65" s="1"/>
  <c r="AV188" i="65"/>
  <c r="H188" i="65"/>
  <c r="AN187" i="65"/>
  <c r="BB185" i="65"/>
  <c r="AE185" i="65"/>
  <c r="AF185" i="65" s="1"/>
  <c r="AG185" i="65" s="1"/>
  <c r="AH185" i="65" s="1"/>
  <c r="H184" i="65"/>
  <c r="AN183" i="65"/>
  <c r="BJ182" i="65"/>
  <c r="AE181" i="65"/>
  <c r="AF181" i="65" s="1"/>
  <c r="AG181" i="65" s="1"/>
  <c r="AH181" i="65" s="1"/>
  <c r="H180" i="65"/>
  <c r="AN179" i="65"/>
  <c r="BB177" i="65"/>
  <c r="AE177" i="65"/>
  <c r="AF177" i="65" s="1"/>
  <c r="AG177" i="65" s="1"/>
  <c r="AH177" i="65" s="1"/>
  <c r="AV176" i="65"/>
  <c r="H176" i="65"/>
  <c r="AN175" i="65"/>
  <c r="AE173" i="65"/>
  <c r="AF173" i="65" s="1"/>
  <c r="AG173" i="65" s="1"/>
  <c r="AH173" i="65" s="1"/>
  <c r="H172" i="65"/>
  <c r="AN171" i="65"/>
  <c r="I221" i="65"/>
  <c r="J206" i="65"/>
  <c r="AV205" i="65"/>
  <c r="H205" i="65"/>
  <c r="AI191" i="65"/>
  <c r="BI190" i="65"/>
  <c r="BA189" i="65"/>
  <c r="J189" i="65"/>
  <c r="AP188" i="65"/>
  <c r="F188" i="65"/>
  <c r="AL187" i="65"/>
  <c r="BA185" i="65"/>
  <c r="J185" i="65"/>
  <c r="AP184" i="65"/>
  <c r="F184" i="65"/>
  <c r="AL183" i="65"/>
  <c r="J181" i="65"/>
  <c r="AP180" i="65"/>
  <c r="F180" i="65"/>
  <c r="AL179" i="65"/>
  <c r="F221" i="65"/>
  <c r="I219" i="65"/>
  <c r="BB216" i="65"/>
  <c r="AP205" i="65"/>
  <c r="F205" i="65"/>
  <c r="BC190" i="65"/>
  <c r="AZ189" i="65"/>
  <c r="I189" i="65"/>
  <c r="AO188" i="65"/>
  <c r="AI187" i="65"/>
  <c r="BC186" i="65"/>
  <c r="I185" i="65"/>
  <c r="AO184" i="65"/>
  <c r="AI183" i="65"/>
  <c r="I181" i="65"/>
  <c r="AO180" i="65"/>
  <c r="BK179" i="65"/>
  <c r="AI179" i="65"/>
  <c r="AZ177" i="65"/>
  <c r="I177" i="65"/>
  <c r="AO176" i="65"/>
  <c r="AI175" i="65"/>
  <c r="BC174" i="65"/>
  <c r="I173" i="65"/>
  <c r="AO172" i="65"/>
  <c r="BK171" i="65"/>
  <c r="AI171" i="65"/>
  <c r="F219" i="65"/>
  <c r="BA216" i="65"/>
  <c r="H206" i="65"/>
  <c r="AO205" i="65"/>
  <c r="AE190" i="65"/>
  <c r="AF190" i="65" s="1"/>
  <c r="AG190" i="65" s="1"/>
  <c r="AH190" i="65" s="1"/>
  <c r="AV189" i="65"/>
  <c r="H189" i="65"/>
  <c r="AN188" i="65"/>
  <c r="BB186" i="65"/>
  <c r="AE186" i="65"/>
  <c r="AF186" i="65" s="1"/>
  <c r="AG186" i="65" s="1"/>
  <c r="AH186" i="65" s="1"/>
  <c r="AV185" i="65"/>
  <c r="H185" i="65"/>
  <c r="AN184" i="65"/>
  <c r="BJ183" i="65"/>
  <c r="BB182" i="65"/>
  <c r="AE182" i="65"/>
  <c r="AF182" i="65" s="1"/>
  <c r="AG182" i="65" s="1"/>
  <c r="AH182" i="65" s="1"/>
  <c r="H181" i="65"/>
  <c r="AN180" i="65"/>
  <c r="BJ179" i="65"/>
  <c r="AO220" i="65"/>
  <c r="AP217" i="65"/>
  <c r="AZ216" i="65"/>
  <c r="AP206" i="65"/>
  <c r="F206" i="65"/>
  <c r="AN205" i="65"/>
  <c r="J190" i="65"/>
  <c r="AP189" i="65"/>
  <c r="F189" i="65"/>
  <c r="AL188" i="65"/>
  <c r="AL220" i="65"/>
  <c r="AN217" i="65"/>
  <c r="AO216" i="65"/>
  <c r="AL205" i="65"/>
  <c r="I190" i="65"/>
  <c r="AO189" i="65"/>
  <c r="BK188" i="65"/>
  <c r="AI188" i="65"/>
  <c r="AZ186" i="65"/>
  <c r="I186" i="65"/>
  <c r="AO185" i="65"/>
  <c r="AI184" i="65"/>
  <c r="BC183" i="65"/>
  <c r="I182" i="65"/>
  <c r="AO181" i="65"/>
  <c r="AI180" i="65"/>
  <c r="BC179" i="65"/>
  <c r="AZ178" i="65"/>
  <c r="I178" i="65"/>
  <c r="AO177" i="65"/>
  <c r="AI176" i="65"/>
  <c r="AZ174" i="65"/>
  <c r="I174" i="65"/>
  <c r="AO173" i="65"/>
  <c r="AO218" i="65"/>
  <c r="AI217" i="65"/>
  <c r="AL216" i="65"/>
  <c r="AI205" i="65"/>
  <c r="AV190" i="65"/>
  <c r="H190" i="65"/>
  <c r="AN189" i="65"/>
  <c r="AE187" i="65"/>
  <c r="AF187" i="65" s="1"/>
  <c r="AG187" i="65" s="1"/>
  <c r="AH187" i="65" s="1"/>
  <c r="AV186" i="65"/>
  <c r="H186" i="65"/>
  <c r="AN185" i="65"/>
  <c r="BJ184" i="65"/>
  <c r="AE183" i="65"/>
  <c r="AF183" i="65" s="1"/>
  <c r="AG183" i="65" s="1"/>
  <c r="AH183" i="65" s="1"/>
  <c r="AV182" i="65"/>
  <c r="H182" i="65"/>
  <c r="AN181" i="65"/>
  <c r="BJ180" i="65"/>
  <c r="BB179" i="65"/>
  <c r="AE179" i="65"/>
  <c r="AF179" i="65" s="1"/>
  <c r="AG179" i="65" s="1"/>
  <c r="AH179" i="65" s="1"/>
  <c r="H178" i="65"/>
  <c r="AN177" i="65"/>
  <c r="AE175" i="65"/>
  <c r="AF175" i="65" s="1"/>
  <c r="AG175" i="65" s="1"/>
  <c r="AH175" i="65" s="1"/>
  <c r="AV174" i="65"/>
  <c r="H174" i="65"/>
  <c r="AN173" i="65"/>
  <c r="BJ172" i="65"/>
  <c r="BB171" i="65"/>
  <c r="AE171" i="65"/>
  <c r="AF171" i="65" s="1"/>
  <c r="AG171" i="65" s="1"/>
  <c r="AH171" i="65" s="1"/>
  <c r="J220" i="65"/>
  <c r="AL218" i="65"/>
  <c r="AP190" i="65"/>
  <c r="F190" i="65"/>
  <c r="AL189" i="65"/>
  <c r="BI188" i="65"/>
  <c r="J187" i="65"/>
  <c r="AP186" i="65"/>
  <c r="F186" i="65"/>
  <c r="AL185" i="65"/>
  <c r="J183" i="65"/>
  <c r="AP182" i="65"/>
  <c r="F182" i="65"/>
  <c r="AL181" i="65"/>
  <c r="BA179" i="65"/>
  <c r="J179" i="65"/>
  <c r="AP178" i="65"/>
  <c r="F178" i="65"/>
  <c r="AL177" i="65"/>
  <c r="J222" i="65"/>
  <c r="BK219" i="65"/>
  <c r="AO190" i="65"/>
  <c r="AI189" i="65"/>
  <c r="BC188" i="65"/>
  <c r="I187" i="65"/>
  <c r="AO186" i="65"/>
  <c r="BK185" i="65"/>
  <c r="AI185" i="65"/>
  <c r="I183" i="65"/>
  <c r="AO182" i="65"/>
  <c r="AI181" i="65"/>
  <c r="BC180" i="65"/>
  <c r="AZ179" i="65"/>
  <c r="I179" i="65"/>
  <c r="AO178" i="65"/>
  <c r="BK177" i="65"/>
  <c r="AI177" i="65"/>
  <c r="I175" i="65"/>
  <c r="AO174" i="65"/>
  <c r="BK173" i="65"/>
  <c r="AI173" i="65"/>
  <c r="BC172" i="65"/>
  <c r="AZ171" i="65"/>
  <c r="I171" i="65"/>
  <c r="J218" i="65"/>
  <c r="F191" i="65"/>
  <c r="AN186" i="65"/>
  <c r="H183" i="65"/>
  <c r="AV179" i="65"/>
  <c r="AP177" i="65"/>
  <c r="BJ175" i="65"/>
  <c r="AP174" i="65"/>
  <c r="AL173" i="65"/>
  <c r="AP172" i="65"/>
  <c r="BA171" i="65"/>
  <c r="J169" i="65"/>
  <c r="AP168" i="65"/>
  <c r="F168" i="65"/>
  <c r="AL167" i="65"/>
  <c r="BA165" i="65"/>
  <c r="J165" i="65"/>
  <c r="AP164" i="65"/>
  <c r="F164" i="65"/>
  <c r="AL163" i="65"/>
  <c r="BI162" i="65"/>
  <c r="J161" i="65"/>
  <c r="AP160" i="65"/>
  <c r="F160" i="65"/>
  <c r="AL159" i="65"/>
  <c r="BA157" i="65"/>
  <c r="J157" i="65"/>
  <c r="AP156" i="65"/>
  <c r="F156" i="65"/>
  <c r="AL155" i="65"/>
  <c r="J153" i="65"/>
  <c r="AP152" i="65"/>
  <c r="F152" i="65"/>
  <c r="AL151" i="65"/>
  <c r="BA149" i="65"/>
  <c r="J149" i="65"/>
  <c r="AP148" i="65"/>
  <c r="J186" i="65"/>
  <c r="BA182" i="65"/>
  <c r="AN174" i="65"/>
  <c r="AN172" i="65"/>
  <c r="AV171" i="65"/>
  <c r="I169" i="65"/>
  <c r="AO168" i="65"/>
  <c r="AI167" i="65"/>
  <c r="BC166" i="65"/>
  <c r="AZ165" i="65"/>
  <c r="I165" i="65"/>
  <c r="AO164" i="65"/>
  <c r="AI163" i="65"/>
  <c r="BC162" i="65"/>
  <c r="I161" i="65"/>
  <c r="AO160" i="65"/>
  <c r="BK159" i="65"/>
  <c r="AI159" i="65"/>
  <c r="AZ157" i="65"/>
  <c r="I157" i="65"/>
  <c r="AO156" i="65"/>
  <c r="AI155" i="65"/>
  <c r="I153" i="65"/>
  <c r="AO152" i="65"/>
  <c r="AI151" i="65"/>
  <c r="AZ149" i="65"/>
  <c r="I149" i="65"/>
  <c r="AO148" i="65"/>
  <c r="AI147" i="65"/>
  <c r="I145" i="65"/>
  <c r="AO144" i="65"/>
  <c r="AE216" i="65"/>
  <c r="AF216" i="65" s="1"/>
  <c r="AG216" i="65" s="1"/>
  <c r="AH216" i="65" s="1"/>
  <c r="AN190" i="65"/>
  <c r="BJ185" i="65"/>
  <c r="AN182" i="65"/>
  <c r="H179" i="65"/>
  <c r="J177" i="65"/>
  <c r="AL174" i="65"/>
  <c r="AL172" i="65"/>
  <c r="AP171" i="65"/>
  <c r="BB170" i="65"/>
  <c r="AE170" i="65"/>
  <c r="AF170" i="65" s="1"/>
  <c r="AG170" i="65" s="1"/>
  <c r="AH170" i="65" s="1"/>
  <c r="H169" i="65"/>
  <c r="AN168" i="65"/>
  <c r="BB166" i="65"/>
  <c r="AE166" i="65"/>
  <c r="AF166" i="65" s="1"/>
  <c r="AG166" i="65" s="1"/>
  <c r="AH166" i="65" s="1"/>
  <c r="AV165" i="65"/>
  <c r="H165" i="65"/>
  <c r="AN164" i="65"/>
  <c r="BB162" i="65"/>
  <c r="AE162" i="65"/>
  <c r="AF162" i="65" s="1"/>
  <c r="AG162" i="65" s="1"/>
  <c r="AH162" i="65" s="1"/>
  <c r="H161" i="65"/>
  <c r="AN160" i="65"/>
  <c r="AE158" i="65"/>
  <c r="AF158" i="65" s="1"/>
  <c r="AG158" i="65" s="1"/>
  <c r="AH158" i="65" s="1"/>
  <c r="H157" i="65"/>
  <c r="AN156" i="65"/>
  <c r="BB154" i="65"/>
  <c r="AE154" i="65"/>
  <c r="AF154" i="65" s="1"/>
  <c r="AG154" i="65" s="1"/>
  <c r="AH154" i="65" s="1"/>
  <c r="AV153" i="65"/>
  <c r="H153" i="65"/>
  <c r="AN152" i="65"/>
  <c r="AP185" i="65"/>
  <c r="J182" i="65"/>
  <c r="H177" i="65"/>
  <c r="AV175" i="65"/>
  <c r="AI172" i="65"/>
  <c r="AO171" i="65"/>
  <c r="BA170" i="65"/>
  <c r="J170" i="65"/>
  <c r="AP169" i="65"/>
  <c r="F169" i="65"/>
  <c r="AL168" i="65"/>
  <c r="BA166" i="65"/>
  <c r="J166" i="65"/>
  <c r="AP165" i="65"/>
  <c r="F165" i="65"/>
  <c r="AL164" i="65"/>
  <c r="BA162" i="65"/>
  <c r="J162" i="65"/>
  <c r="AP161" i="65"/>
  <c r="F161" i="65"/>
  <c r="AL160" i="65"/>
  <c r="BI159" i="65"/>
  <c r="J158" i="65"/>
  <c r="AP157" i="65"/>
  <c r="F157" i="65"/>
  <c r="AL156" i="65"/>
  <c r="BA154" i="65"/>
  <c r="J154" i="65"/>
  <c r="AP153" i="65"/>
  <c r="F153" i="65"/>
  <c r="AL152" i="65"/>
  <c r="J150" i="65"/>
  <c r="AP149" i="65"/>
  <c r="F149" i="65"/>
  <c r="AL148" i="65"/>
  <c r="BA146" i="65"/>
  <c r="J146" i="65"/>
  <c r="AP145" i="65"/>
  <c r="F145" i="65"/>
  <c r="AL144" i="65"/>
  <c r="F177" i="65"/>
  <c r="AL175" i="65"/>
  <c r="AE174" i="65"/>
  <c r="AF174" i="65" s="1"/>
  <c r="AG174" i="65" s="1"/>
  <c r="AH174" i="65" s="1"/>
  <c r="J173" i="65"/>
  <c r="AL171" i="65"/>
  <c r="AZ170" i="65"/>
  <c r="I170" i="65"/>
  <c r="AO169" i="65"/>
  <c r="BK168" i="65"/>
  <c r="AI168" i="65"/>
  <c r="I166" i="65"/>
  <c r="AO165" i="65"/>
  <c r="AI164" i="65"/>
  <c r="AZ162" i="65"/>
  <c r="I162" i="65"/>
  <c r="AO161" i="65"/>
  <c r="AI160" i="65"/>
  <c r="BC159" i="65"/>
  <c r="I158" i="65"/>
  <c r="AO157" i="65"/>
  <c r="BK156" i="65"/>
  <c r="AI156" i="65"/>
  <c r="AZ154" i="65"/>
  <c r="I154" i="65"/>
  <c r="AO153" i="65"/>
  <c r="BK152" i="65"/>
  <c r="AI152" i="65"/>
  <c r="I150" i="65"/>
  <c r="AO149" i="65"/>
  <c r="BK148" i="65"/>
  <c r="AI148" i="65"/>
  <c r="AZ146" i="65"/>
  <c r="I146" i="65"/>
  <c r="AO145" i="65"/>
  <c r="BK144" i="65"/>
  <c r="F185" i="65"/>
  <c r="AP181" i="65"/>
  <c r="AN178" i="65"/>
  <c r="J174" i="65"/>
  <c r="H173" i="65"/>
  <c r="AE172" i="65"/>
  <c r="AF172" i="65" s="1"/>
  <c r="AG172" i="65" s="1"/>
  <c r="AH172" i="65" s="1"/>
  <c r="AV170" i="65"/>
  <c r="H170" i="65"/>
  <c r="AN169" i="65"/>
  <c r="AE167" i="65"/>
  <c r="AF167" i="65" s="1"/>
  <c r="AG167" i="65" s="1"/>
  <c r="AH167" i="65" s="1"/>
  <c r="AV166" i="65"/>
  <c r="H166" i="65"/>
  <c r="AN165" i="65"/>
  <c r="AE163" i="65"/>
  <c r="AF163" i="65" s="1"/>
  <c r="AG163" i="65" s="1"/>
  <c r="AH163" i="65" s="1"/>
  <c r="AV162" i="65"/>
  <c r="H162" i="65"/>
  <c r="AN161" i="65"/>
  <c r="BJ160" i="65"/>
  <c r="BB159" i="65"/>
  <c r="AE159" i="65"/>
  <c r="AF159" i="65" s="1"/>
  <c r="AG159" i="65" s="1"/>
  <c r="AH159" i="65" s="1"/>
  <c r="AV158" i="65"/>
  <c r="H158" i="65"/>
  <c r="AN157" i="65"/>
  <c r="AE155" i="65"/>
  <c r="AF155" i="65" s="1"/>
  <c r="AG155" i="65" s="1"/>
  <c r="AH155" i="65" s="1"/>
  <c r="AV154" i="65"/>
  <c r="H154" i="65"/>
  <c r="AN153" i="65"/>
  <c r="BJ152" i="65"/>
  <c r="AE151" i="65"/>
  <c r="AF151" i="65" s="1"/>
  <c r="AG151" i="65" s="1"/>
  <c r="AH151" i="65" s="1"/>
  <c r="AV150" i="65"/>
  <c r="H150" i="65"/>
  <c r="AN149" i="65"/>
  <c r="BJ206" i="65"/>
  <c r="AE188" i="65"/>
  <c r="AF188" i="65" s="1"/>
  <c r="AG188" i="65" s="1"/>
  <c r="AH188" i="65" s="1"/>
  <c r="AP176" i="65"/>
  <c r="F174" i="65"/>
  <c r="F173" i="65"/>
  <c r="J172" i="65"/>
  <c r="AP170" i="65"/>
  <c r="F170" i="65"/>
  <c r="AL169" i="65"/>
  <c r="BI168" i="65"/>
  <c r="J167" i="65"/>
  <c r="AP166" i="65"/>
  <c r="F166" i="65"/>
  <c r="AL165" i="65"/>
  <c r="J163" i="65"/>
  <c r="AP162" i="65"/>
  <c r="F162" i="65"/>
  <c r="AL161" i="65"/>
  <c r="BI160" i="65"/>
  <c r="BA159" i="65"/>
  <c r="J159" i="65"/>
  <c r="AP158" i="65"/>
  <c r="F158" i="65"/>
  <c r="AL157" i="65"/>
  <c r="BI156" i="65"/>
  <c r="J155" i="65"/>
  <c r="AP154" i="65"/>
  <c r="F154" i="65"/>
  <c r="AL153" i="65"/>
  <c r="BI152" i="65"/>
  <c r="BA151" i="65"/>
  <c r="J151" i="65"/>
  <c r="AP150" i="65"/>
  <c r="F150" i="65"/>
  <c r="AL149" i="65"/>
  <c r="BI148" i="65"/>
  <c r="J147" i="65"/>
  <c r="AP146" i="65"/>
  <c r="AL184" i="65"/>
  <c r="F181" i="65"/>
  <c r="AE178" i="65"/>
  <c r="AF178" i="65" s="1"/>
  <c r="AG178" i="65" s="1"/>
  <c r="AH178" i="65" s="1"/>
  <c r="AN176" i="65"/>
  <c r="J175" i="65"/>
  <c r="BJ173" i="65"/>
  <c r="BK172" i="65"/>
  <c r="I172" i="65"/>
  <c r="AO170" i="65"/>
  <c r="AI169" i="65"/>
  <c r="BC168" i="65"/>
  <c r="I167" i="65"/>
  <c r="AO166" i="65"/>
  <c r="BK165" i="65"/>
  <c r="AI165" i="65"/>
  <c r="AZ163" i="65"/>
  <c r="I163" i="65"/>
  <c r="AO162" i="65"/>
  <c r="AI161" i="65"/>
  <c r="I159" i="65"/>
  <c r="AO158" i="65"/>
  <c r="BK157" i="65"/>
  <c r="AI157" i="65"/>
  <c r="BC156" i="65"/>
  <c r="I155" i="65"/>
  <c r="AO154" i="65"/>
  <c r="AI153" i="65"/>
  <c r="BC152" i="65"/>
  <c r="I151" i="65"/>
  <c r="AO150" i="65"/>
  <c r="BK149" i="65"/>
  <c r="AI149" i="65"/>
  <c r="AZ147" i="65"/>
  <c r="I147" i="65"/>
  <c r="AO146" i="65"/>
  <c r="BK145" i="65"/>
  <c r="AI145" i="65"/>
  <c r="BC144" i="65"/>
  <c r="AV187" i="65"/>
  <c r="AE184" i="65"/>
  <c r="AF184" i="65" s="1"/>
  <c r="AG184" i="65" s="1"/>
  <c r="AH184" i="65" s="1"/>
  <c r="BB180" i="65"/>
  <c r="J178" i="65"/>
  <c r="AL176" i="65"/>
  <c r="H175" i="65"/>
  <c r="BI173" i="65"/>
  <c r="BI172" i="65"/>
  <c r="F172" i="65"/>
  <c r="J171" i="65"/>
  <c r="AN170" i="65"/>
  <c r="BB168" i="65"/>
  <c r="AE168" i="65"/>
  <c r="AF168" i="65" s="1"/>
  <c r="AG168" i="65" s="1"/>
  <c r="AH168" i="65" s="1"/>
  <c r="AV167" i="65"/>
  <c r="H167" i="65"/>
  <c r="AN166" i="65"/>
  <c r="AE164" i="65"/>
  <c r="AF164" i="65" s="1"/>
  <c r="AG164" i="65" s="1"/>
  <c r="AH164" i="65" s="1"/>
  <c r="H163" i="65"/>
  <c r="AN162" i="65"/>
  <c r="BB160" i="65"/>
  <c r="AE160" i="65"/>
  <c r="AF160" i="65" s="1"/>
  <c r="AG160" i="65" s="1"/>
  <c r="AH160" i="65" s="1"/>
  <c r="AV159" i="65"/>
  <c r="H159" i="65"/>
  <c r="AN158" i="65"/>
  <c r="BJ157" i="65"/>
  <c r="BB156" i="65"/>
  <c r="AE156" i="65"/>
  <c r="AF156" i="65" s="1"/>
  <c r="AG156" i="65" s="1"/>
  <c r="AH156" i="65" s="1"/>
  <c r="AV155" i="65"/>
  <c r="H155" i="65"/>
  <c r="AN154" i="65"/>
  <c r="BB152" i="65"/>
  <c r="AE152" i="65"/>
  <c r="AF152" i="65" s="1"/>
  <c r="AG152" i="65" s="1"/>
  <c r="AH152" i="65" s="1"/>
  <c r="AV151" i="65"/>
  <c r="H151" i="65"/>
  <c r="AN150" i="65"/>
  <c r="BB148" i="65"/>
  <c r="AE148" i="65"/>
  <c r="AF148" i="65" s="1"/>
  <c r="AG148" i="65" s="1"/>
  <c r="AH148" i="65" s="1"/>
  <c r="AV147" i="65"/>
  <c r="H147" i="65"/>
  <c r="AN146" i="65"/>
  <c r="AL180" i="65"/>
  <c r="BI174" i="65"/>
  <c r="BA173" i="65"/>
  <c r="BB172" i="65"/>
  <c r="H171" i="65"/>
  <c r="AL170" i="65"/>
  <c r="BA168" i="65"/>
  <c r="J168" i="65"/>
  <c r="AP167" i="65"/>
  <c r="F167" i="65"/>
  <c r="AL166" i="65"/>
  <c r="BI165" i="65"/>
  <c r="J164" i="65"/>
  <c r="AP163" i="65"/>
  <c r="F163" i="65"/>
  <c r="AL162" i="65"/>
  <c r="J160" i="65"/>
  <c r="AP159" i="65"/>
  <c r="F159" i="65"/>
  <c r="AL158" i="65"/>
  <c r="BI157" i="65"/>
  <c r="BA156" i="65"/>
  <c r="J156" i="65"/>
  <c r="AP155" i="65"/>
  <c r="F155" i="65"/>
  <c r="AL154" i="65"/>
  <c r="BA152" i="65"/>
  <c r="J152" i="65"/>
  <c r="AP151" i="65"/>
  <c r="F151" i="65"/>
  <c r="AL150" i="65"/>
  <c r="BI149" i="65"/>
  <c r="BA148" i="65"/>
  <c r="J148" i="65"/>
  <c r="AP147" i="65"/>
  <c r="F147" i="65"/>
  <c r="AL146" i="65"/>
  <c r="BA144" i="65"/>
  <c r="J144" i="65"/>
  <c r="H187" i="65"/>
  <c r="AE180" i="65"/>
  <c r="AF180" i="65" s="1"/>
  <c r="AG180" i="65" s="1"/>
  <c r="AH180" i="65" s="1"/>
  <c r="BA177" i="65"/>
  <c r="AE176" i="65"/>
  <c r="AF176" i="65" s="1"/>
  <c r="AG176" i="65" s="1"/>
  <c r="AH176" i="65" s="1"/>
  <c r="BB174" i="65"/>
  <c r="AV173" i="65"/>
  <c r="BI171" i="65"/>
  <c r="F171" i="65"/>
  <c r="AI170" i="65"/>
  <c r="AZ168" i="65"/>
  <c r="I168" i="65"/>
  <c r="AO167" i="65"/>
  <c r="AI166" i="65"/>
  <c r="BC165" i="65"/>
  <c r="I164" i="65"/>
  <c r="AO163" i="65"/>
  <c r="BK162" i="65"/>
  <c r="AI162" i="65"/>
  <c r="AZ160" i="65"/>
  <c r="I160" i="65"/>
  <c r="AO159" i="65"/>
  <c r="AI158" i="65"/>
  <c r="I156" i="65"/>
  <c r="AO155" i="65"/>
  <c r="AI154" i="65"/>
  <c r="AZ152" i="65"/>
  <c r="I152" i="65"/>
  <c r="AO151" i="65"/>
  <c r="AI150" i="65"/>
  <c r="BC149" i="65"/>
  <c r="I148" i="65"/>
  <c r="AO147" i="65"/>
  <c r="AI146" i="65"/>
  <c r="AZ172" i="65"/>
  <c r="AE165" i="65"/>
  <c r="AF165" i="65" s="1"/>
  <c r="AG165" i="65" s="1"/>
  <c r="AH165" i="65" s="1"/>
  <c r="AN151" i="65"/>
  <c r="H148" i="65"/>
  <c r="AE145" i="65"/>
  <c r="AF145" i="65" s="1"/>
  <c r="AG145" i="65" s="1"/>
  <c r="AH145" i="65" s="1"/>
  <c r="AE144" i="65"/>
  <c r="AF144" i="65" s="1"/>
  <c r="AG144" i="65" s="1"/>
  <c r="AH144" i="65" s="1"/>
  <c r="I124" i="65"/>
  <c r="AO123" i="65"/>
  <c r="AI122" i="65"/>
  <c r="BC121" i="65"/>
  <c r="AZ120" i="65"/>
  <c r="I120" i="65"/>
  <c r="AO119" i="65"/>
  <c r="AI118" i="65"/>
  <c r="BC117" i="65"/>
  <c r="BC171" i="65"/>
  <c r="AV164" i="65"/>
  <c r="BB157" i="65"/>
  <c r="F148" i="65"/>
  <c r="J145" i="65"/>
  <c r="I144" i="65"/>
  <c r="AE125" i="65"/>
  <c r="AF125" i="65" s="1"/>
  <c r="AG125" i="65" s="1"/>
  <c r="AH125" i="65" s="1"/>
  <c r="AV124" i="65"/>
  <c r="H124" i="65"/>
  <c r="AN123" i="65"/>
  <c r="BB121" i="65"/>
  <c r="AE121" i="65"/>
  <c r="AF121" i="65" s="1"/>
  <c r="AG121" i="65" s="1"/>
  <c r="AH121" i="65" s="1"/>
  <c r="AV120" i="65"/>
  <c r="H120" i="65"/>
  <c r="AN119" i="65"/>
  <c r="BJ118" i="65"/>
  <c r="BK170" i="65"/>
  <c r="H164" i="65"/>
  <c r="AE157" i="65"/>
  <c r="AF157" i="65" s="1"/>
  <c r="AG157" i="65" s="1"/>
  <c r="AH157" i="65" s="1"/>
  <c r="AE146" i="65"/>
  <c r="AF146" i="65" s="1"/>
  <c r="AG146" i="65" s="1"/>
  <c r="AH146" i="65" s="1"/>
  <c r="H145" i="65"/>
  <c r="H144" i="65"/>
  <c r="J125" i="65"/>
  <c r="AP124" i="65"/>
  <c r="F124" i="65"/>
  <c r="AL123" i="65"/>
  <c r="BA121" i="65"/>
  <c r="J121" i="65"/>
  <c r="AP120" i="65"/>
  <c r="F120" i="65"/>
  <c r="AL119" i="65"/>
  <c r="BI118" i="65"/>
  <c r="BA117" i="65"/>
  <c r="J117" i="65"/>
  <c r="AP116" i="65"/>
  <c r="F116" i="65"/>
  <c r="AL115" i="65"/>
  <c r="BI114" i="65"/>
  <c r="J113" i="65"/>
  <c r="AP112" i="65"/>
  <c r="F112" i="65"/>
  <c r="AL111" i="65"/>
  <c r="BA109" i="65"/>
  <c r="J109" i="65"/>
  <c r="AP108" i="65"/>
  <c r="F108" i="65"/>
  <c r="AL107" i="65"/>
  <c r="BI106" i="65"/>
  <c r="BA105" i="65"/>
  <c r="J105" i="65"/>
  <c r="AP104" i="65"/>
  <c r="F104" i="65"/>
  <c r="AL103" i="65"/>
  <c r="BA101" i="65"/>
  <c r="J101" i="65"/>
  <c r="AP100" i="65"/>
  <c r="F100" i="65"/>
  <c r="AL99" i="65"/>
  <c r="AP191" i="65"/>
  <c r="AN163" i="65"/>
  <c r="AV156" i="65"/>
  <c r="AE150" i="65"/>
  <c r="AF150" i="65" s="1"/>
  <c r="AG150" i="65" s="1"/>
  <c r="AH150" i="65" s="1"/>
  <c r="H146" i="65"/>
  <c r="BJ144" i="65"/>
  <c r="F144" i="65"/>
  <c r="I125" i="65"/>
  <c r="AO124" i="65"/>
  <c r="BK123" i="65"/>
  <c r="AI123" i="65"/>
  <c r="AZ121" i="65"/>
  <c r="I121" i="65"/>
  <c r="AO120" i="65"/>
  <c r="BK119" i="65"/>
  <c r="AI119" i="65"/>
  <c r="BC118" i="65"/>
  <c r="I117" i="65"/>
  <c r="AO116" i="65"/>
  <c r="BK115" i="65"/>
  <c r="AI115" i="65"/>
  <c r="BC114" i="65"/>
  <c r="I113" i="65"/>
  <c r="AO112" i="65"/>
  <c r="BK111" i="65"/>
  <c r="AI111" i="65"/>
  <c r="AZ109" i="65"/>
  <c r="I109" i="65"/>
  <c r="AO108" i="65"/>
  <c r="BK107" i="65"/>
  <c r="AI107" i="65"/>
  <c r="BC106" i="65"/>
  <c r="AZ105" i="65"/>
  <c r="I105" i="65"/>
  <c r="AO104" i="65"/>
  <c r="BK103" i="65"/>
  <c r="AI103" i="65"/>
  <c r="AZ101" i="65"/>
  <c r="I101" i="65"/>
  <c r="AO100" i="65"/>
  <c r="BK99" i="65"/>
  <c r="AI99" i="65"/>
  <c r="BC98" i="65"/>
  <c r="I97" i="65"/>
  <c r="AO96" i="65"/>
  <c r="BK95" i="65"/>
  <c r="AI95" i="65"/>
  <c r="BC94" i="65"/>
  <c r="AZ93" i="65"/>
  <c r="BJ162" i="65"/>
  <c r="H156" i="65"/>
  <c r="AN147" i="65"/>
  <c r="F146" i="65"/>
  <c r="H125" i="65"/>
  <c r="AN124" i="65"/>
  <c r="BJ123" i="65"/>
  <c r="AE122" i="65"/>
  <c r="AF122" i="65" s="1"/>
  <c r="AG122" i="65" s="1"/>
  <c r="AH122" i="65" s="1"/>
  <c r="AV121" i="65"/>
  <c r="H121" i="65"/>
  <c r="AN120" i="65"/>
  <c r="BJ119" i="65"/>
  <c r="BB118" i="65"/>
  <c r="BA186" i="65"/>
  <c r="AE169" i="65"/>
  <c r="AF169" i="65" s="1"/>
  <c r="AG169" i="65" s="1"/>
  <c r="AH169" i="65" s="1"/>
  <c r="AN155" i="65"/>
  <c r="AL147" i="65"/>
  <c r="AZ144" i="65"/>
  <c r="AE126" i="65"/>
  <c r="AF126" i="65" s="1"/>
  <c r="AG126" i="65" s="1"/>
  <c r="AH126" i="65" s="1"/>
  <c r="AV125" i="65"/>
  <c r="F125" i="65"/>
  <c r="AL124" i="65"/>
  <c r="J122" i="65"/>
  <c r="AP121" i="65"/>
  <c r="F121" i="65"/>
  <c r="AL120" i="65"/>
  <c r="BI119" i="65"/>
  <c r="BA118" i="65"/>
  <c r="J118" i="65"/>
  <c r="AP117" i="65"/>
  <c r="F117" i="65"/>
  <c r="AL116" i="65"/>
  <c r="BI115" i="65"/>
  <c r="BA114" i="65"/>
  <c r="J114" i="65"/>
  <c r="AP113" i="65"/>
  <c r="F113" i="65"/>
  <c r="AL112" i="65"/>
  <c r="BI111" i="65"/>
  <c r="BA110" i="65"/>
  <c r="J110" i="65"/>
  <c r="AP109" i="65"/>
  <c r="F109" i="65"/>
  <c r="AL108" i="65"/>
  <c r="BI107" i="65"/>
  <c r="BA106" i="65"/>
  <c r="J106" i="65"/>
  <c r="AP105" i="65"/>
  <c r="F105" i="65"/>
  <c r="AL104" i="65"/>
  <c r="BI103" i="65"/>
  <c r="J102" i="65"/>
  <c r="AP101" i="65"/>
  <c r="F101" i="65"/>
  <c r="AL100" i="65"/>
  <c r="BI99" i="65"/>
  <c r="BA98" i="65"/>
  <c r="J98" i="65"/>
  <c r="AP97" i="65"/>
  <c r="AV168" i="65"/>
  <c r="AE149" i="65"/>
  <c r="AF149" i="65" s="1"/>
  <c r="AG149" i="65" s="1"/>
  <c r="AH149" i="65" s="1"/>
  <c r="BB145" i="65"/>
  <c r="AV144" i="65"/>
  <c r="AI124" i="65"/>
  <c r="BC123" i="65"/>
  <c r="I122" i="65"/>
  <c r="AO121" i="65"/>
  <c r="BK120" i="65"/>
  <c r="AI120" i="65"/>
  <c r="BI179" i="65"/>
  <c r="H168" i="65"/>
  <c r="AE161" i="65"/>
  <c r="AF161" i="65" s="1"/>
  <c r="AG161" i="65" s="1"/>
  <c r="AH161" i="65" s="1"/>
  <c r="H149" i="65"/>
  <c r="AE147" i="65"/>
  <c r="AF147" i="65" s="1"/>
  <c r="AG147" i="65" s="1"/>
  <c r="AH147" i="65" s="1"/>
  <c r="AP144" i="65"/>
  <c r="AO125" i="65"/>
  <c r="BB123" i="65"/>
  <c r="AE123" i="65"/>
  <c r="AF123" i="65" s="1"/>
  <c r="AG123" i="65" s="1"/>
  <c r="AH123" i="65" s="1"/>
  <c r="AV122" i="65"/>
  <c r="H122" i="65"/>
  <c r="AN121" i="65"/>
  <c r="BJ120" i="65"/>
  <c r="BB119" i="65"/>
  <c r="AE119" i="65"/>
  <c r="AF119" i="65" s="1"/>
  <c r="AG119" i="65" s="1"/>
  <c r="AH119" i="65" s="1"/>
  <c r="AV118" i="65"/>
  <c r="H118" i="65"/>
  <c r="AN117" i="65"/>
  <c r="BB115" i="65"/>
  <c r="AE115" i="65"/>
  <c r="AF115" i="65" s="1"/>
  <c r="AG115" i="65" s="1"/>
  <c r="AH115" i="65" s="1"/>
  <c r="AV114" i="65"/>
  <c r="H114" i="65"/>
  <c r="AN113" i="65"/>
  <c r="BJ112" i="65"/>
  <c r="BB111" i="65"/>
  <c r="AE111" i="65"/>
  <c r="AF111" i="65" s="1"/>
  <c r="AG111" i="65" s="1"/>
  <c r="AH111" i="65" s="1"/>
  <c r="AV110" i="65"/>
  <c r="H110" i="65"/>
  <c r="AN109" i="65"/>
  <c r="BJ108" i="65"/>
  <c r="AE107" i="65"/>
  <c r="AF107" i="65" s="1"/>
  <c r="AG107" i="65" s="1"/>
  <c r="AH107" i="65" s="1"/>
  <c r="AV106" i="65"/>
  <c r="H106" i="65"/>
  <c r="AN105" i="65"/>
  <c r="BJ104" i="65"/>
  <c r="BB103" i="65"/>
  <c r="AE103" i="65"/>
  <c r="AF103" i="65" s="1"/>
  <c r="AG103" i="65" s="1"/>
  <c r="AH103" i="65" s="1"/>
  <c r="AV102" i="65"/>
  <c r="H102" i="65"/>
  <c r="AN101" i="65"/>
  <c r="BB99" i="65"/>
  <c r="AE99" i="65"/>
  <c r="AF99" i="65" s="1"/>
  <c r="AG99" i="65" s="1"/>
  <c r="AH99" i="65" s="1"/>
  <c r="AV98" i="65"/>
  <c r="H98" i="65"/>
  <c r="AN97" i="65"/>
  <c r="AV177" i="65"/>
  <c r="AN167" i="65"/>
  <c r="AV145" i="65"/>
  <c r="AN144" i="65"/>
  <c r="H126" i="65"/>
  <c r="AN125" i="65"/>
  <c r="BJ124" i="65"/>
  <c r="BA123" i="65"/>
  <c r="J123" i="65"/>
  <c r="AP122" i="65"/>
  <c r="F122" i="65"/>
  <c r="AL121" i="65"/>
  <c r="BI120" i="65"/>
  <c r="BA119" i="65"/>
  <c r="J119" i="65"/>
  <c r="AP118" i="65"/>
  <c r="F118" i="65"/>
  <c r="AL117" i="65"/>
  <c r="BA115" i="65"/>
  <c r="J115" i="65"/>
  <c r="AP114" i="65"/>
  <c r="F114" i="65"/>
  <c r="AL113" i="65"/>
  <c r="BA111" i="65"/>
  <c r="J111" i="65"/>
  <c r="AP110" i="65"/>
  <c r="F110" i="65"/>
  <c r="AL109" i="65"/>
  <c r="BI108" i="65"/>
  <c r="BA107" i="65"/>
  <c r="J107" i="65"/>
  <c r="AP106" i="65"/>
  <c r="F106" i="65"/>
  <c r="AL105" i="65"/>
  <c r="BI104" i="65"/>
  <c r="BA103" i="65"/>
  <c r="J103" i="65"/>
  <c r="AP102" i="65"/>
  <c r="F102" i="65"/>
  <c r="AL101" i="65"/>
  <c r="BA99" i="65"/>
  <c r="J99" i="65"/>
  <c r="AP98" i="65"/>
  <c r="F98" i="65"/>
  <c r="AL97" i="65"/>
  <c r="J95" i="65"/>
  <c r="AP94" i="65"/>
  <c r="F94" i="65"/>
  <c r="AL93" i="65"/>
  <c r="F176" i="65"/>
  <c r="BJ166" i="65"/>
  <c r="H160" i="65"/>
  <c r="AE153" i="65"/>
  <c r="AF153" i="65" s="1"/>
  <c r="AG153" i="65" s="1"/>
  <c r="AH153" i="65" s="1"/>
  <c r="AV148" i="65"/>
  <c r="BI146" i="65"/>
  <c r="AN145" i="65"/>
  <c r="AI144" i="65"/>
  <c r="AV126" i="65"/>
  <c r="F126" i="65"/>
  <c r="AL125" i="65"/>
  <c r="BC124" i="65"/>
  <c r="I123" i="65"/>
  <c r="AO122" i="65"/>
  <c r="AI121" i="65"/>
  <c r="I119" i="65"/>
  <c r="AO118" i="65"/>
  <c r="BK117" i="65"/>
  <c r="AI117" i="65"/>
  <c r="AZ115" i="65"/>
  <c r="I115" i="65"/>
  <c r="AO114" i="65"/>
  <c r="AI113" i="65"/>
  <c r="BC112" i="65"/>
  <c r="I111" i="65"/>
  <c r="AO110" i="65"/>
  <c r="BK109" i="65"/>
  <c r="AI109" i="65"/>
  <c r="BC108" i="65"/>
  <c r="I107" i="65"/>
  <c r="AO106" i="65"/>
  <c r="BK105" i="65"/>
  <c r="AI105" i="65"/>
  <c r="BC104" i="65"/>
  <c r="AZ103" i="65"/>
  <c r="I103" i="65"/>
  <c r="AO102" i="65"/>
  <c r="BK101" i="65"/>
  <c r="AI101" i="65"/>
  <c r="BC100" i="65"/>
  <c r="AZ99" i="65"/>
  <c r="BI219" i="65"/>
  <c r="BA174" i="65"/>
  <c r="AN159" i="65"/>
  <c r="AN148" i="65"/>
  <c r="BB146" i="65"/>
  <c r="AL145" i="65"/>
  <c r="AE124" i="65"/>
  <c r="AF124" i="65" s="1"/>
  <c r="AG124" i="65" s="1"/>
  <c r="AH124" i="65" s="1"/>
  <c r="AV123" i="65"/>
  <c r="H123" i="65"/>
  <c r="AN122" i="65"/>
  <c r="BJ121" i="65"/>
  <c r="BB120" i="65"/>
  <c r="AE120" i="65"/>
  <c r="AF120" i="65" s="1"/>
  <c r="AG120" i="65" s="1"/>
  <c r="AH120" i="65" s="1"/>
  <c r="AV119" i="65"/>
  <c r="H119" i="65"/>
  <c r="AO117" i="65"/>
  <c r="J116" i="65"/>
  <c r="F115" i="65"/>
  <c r="BA112" i="65"/>
  <c r="AP111" i="65"/>
  <c r="AL110" i="65"/>
  <c r="J108" i="65"/>
  <c r="F107" i="65"/>
  <c r="BI105" i="65"/>
  <c r="BA104" i="65"/>
  <c r="AP103" i="65"/>
  <c r="AL102" i="65"/>
  <c r="J100" i="65"/>
  <c r="H99" i="65"/>
  <c r="I98" i="65"/>
  <c r="AE97" i="65"/>
  <c r="AF97" i="65" s="1"/>
  <c r="AG97" i="65" s="1"/>
  <c r="AH97" i="65" s="1"/>
  <c r="AN96" i="65"/>
  <c r="BC95" i="65"/>
  <c r="I95" i="65"/>
  <c r="AL94" i="65"/>
  <c r="BB93" i="65"/>
  <c r="I93" i="65"/>
  <c r="AO92" i="65"/>
  <c r="BK91" i="65"/>
  <c r="AI91" i="65"/>
  <c r="BC90" i="65"/>
  <c r="AZ89" i="65"/>
  <c r="I89" i="65"/>
  <c r="AO88" i="65"/>
  <c r="BK87" i="65"/>
  <c r="AI87" i="65"/>
  <c r="AZ85" i="65"/>
  <c r="I85" i="65"/>
  <c r="AO84" i="65"/>
  <c r="BK83" i="65"/>
  <c r="AI83" i="65"/>
  <c r="BC82" i="65"/>
  <c r="I81" i="65"/>
  <c r="AO80" i="65"/>
  <c r="BK79" i="65"/>
  <c r="AI79" i="65"/>
  <c r="I77" i="65"/>
  <c r="AO76" i="65"/>
  <c r="BK75" i="65"/>
  <c r="AI75" i="65"/>
  <c r="BC74" i="65"/>
  <c r="AZ73" i="65"/>
  <c r="I73" i="65"/>
  <c r="AO72" i="65"/>
  <c r="BK71" i="65"/>
  <c r="AI71" i="65"/>
  <c r="BC70" i="65"/>
  <c r="AZ69" i="65"/>
  <c r="I69" i="65"/>
  <c r="AO68" i="65"/>
  <c r="BK67" i="65"/>
  <c r="AI67" i="65"/>
  <c r="BC66" i="65"/>
  <c r="AZ65" i="65"/>
  <c r="I65" i="65"/>
  <c r="AO64" i="65"/>
  <c r="BK63" i="65"/>
  <c r="AI63" i="65"/>
  <c r="AZ61" i="65"/>
  <c r="I61" i="65"/>
  <c r="AP173" i="65"/>
  <c r="AP119" i="65"/>
  <c r="I116" i="65"/>
  <c r="BK114" i="65"/>
  <c r="AZ112" i="65"/>
  <c r="AO111" i="65"/>
  <c r="AI110" i="65"/>
  <c r="I108" i="65"/>
  <c r="BK106" i="65"/>
  <c r="BC105" i="65"/>
  <c r="AZ104" i="65"/>
  <c r="AO103" i="65"/>
  <c r="AI102" i="65"/>
  <c r="I100" i="65"/>
  <c r="F99" i="65"/>
  <c r="BK97" i="65"/>
  <c r="J97" i="65"/>
  <c r="AL96" i="65"/>
  <c r="H95" i="65"/>
  <c r="AI94" i="65"/>
  <c r="BA93" i="65"/>
  <c r="H93" i="65"/>
  <c r="AN92" i="65"/>
  <c r="BJ91" i="65"/>
  <c r="BB90" i="65"/>
  <c r="AE90" i="65"/>
  <c r="AF90" i="65" s="1"/>
  <c r="AG90" i="65" s="1"/>
  <c r="AH90" i="65" s="1"/>
  <c r="AV89" i="65"/>
  <c r="H89" i="65"/>
  <c r="AN88" i="65"/>
  <c r="BJ87" i="65"/>
  <c r="AE86" i="65"/>
  <c r="AF86" i="65" s="1"/>
  <c r="AG86" i="65" s="1"/>
  <c r="AH86" i="65" s="1"/>
  <c r="AV85" i="65"/>
  <c r="H85" i="65"/>
  <c r="AN84" i="65"/>
  <c r="BJ83" i="65"/>
  <c r="BB82" i="65"/>
  <c r="AE82" i="65"/>
  <c r="AF82" i="65" s="1"/>
  <c r="AG82" i="65" s="1"/>
  <c r="AH82" i="65" s="1"/>
  <c r="AV81" i="65"/>
  <c r="H81" i="65"/>
  <c r="AN80" i="65"/>
  <c r="BJ79" i="65"/>
  <c r="AE78" i="65"/>
  <c r="AF78" i="65" s="1"/>
  <c r="AG78" i="65" s="1"/>
  <c r="AH78" i="65" s="1"/>
  <c r="AV77" i="65"/>
  <c r="H77" i="65"/>
  <c r="AN76" i="65"/>
  <c r="BJ75" i="65"/>
  <c r="BB74" i="65"/>
  <c r="AE74" i="65"/>
  <c r="AF74" i="65" s="1"/>
  <c r="AG74" i="65" s="1"/>
  <c r="AH74" i="65" s="1"/>
  <c r="AV73" i="65"/>
  <c r="H73" i="65"/>
  <c r="AN72" i="65"/>
  <c r="BJ71" i="65"/>
  <c r="BB70" i="65"/>
  <c r="AE70" i="65"/>
  <c r="AF70" i="65" s="1"/>
  <c r="AG70" i="65" s="1"/>
  <c r="AH70" i="65" s="1"/>
  <c r="H69" i="65"/>
  <c r="AN68" i="65"/>
  <c r="AE66" i="65"/>
  <c r="AF66" i="65" s="1"/>
  <c r="AG66" i="65" s="1"/>
  <c r="AH66" i="65" s="1"/>
  <c r="AV65" i="65"/>
  <c r="H65" i="65"/>
  <c r="AN64" i="65"/>
  <c r="AE62" i="65"/>
  <c r="AF62" i="65" s="1"/>
  <c r="AG62" i="65" s="1"/>
  <c r="AH62" i="65" s="1"/>
  <c r="AV61" i="65"/>
  <c r="H61" i="65"/>
  <c r="BB165" i="65"/>
  <c r="H116" i="65"/>
  <c r="BJ114" i="65"/>
  <c r="AV112" i="65"/>
  <c r="AN111" i="65"/>
  <c r="AE109" i="65"/>
  <c r="AF109" i="65" s="1"/>
  <c r="AG109" i="65" s="1"/>
  <c r="AH109" i="65" s="1"/>
  <c r="H108" i="65"/>
  <c r="BJ106" i="65"/>
  <c r="BB105" i="65"/>
  <c r="AV104" i="65"/>
  <c r="AN103" i="65"/>
  <c r="AE101" i="65"/>
  <c r="AF101" i="65" s="1"/>
  <c r="AG101" i="65" s="1"/>
  <c r="AH101" i="65" s="1"/>
  <c r="H100" i="65"/>
  <c r="H97" i="65"/>
  <c r="AI96" i="65"/>
  <c r="F95" i="65"/>
  <c r="AV93" i="65"/>
  <c r="F93" i="65"/>
  <c r="AL92" i="65"/>
  <c r="BA90" i="65"/>
  <c r="J90" i="65"/>
  <c r="AP89" i="65"/>
  <c r="F89" i="65"/>
  <c r="AL88" i="65"/>
  <c r="BI87" i="65"/>
  <c r="J86" i="65"/>
  <c r="AP85" i="65"/>
  <c r="F85" i="65"/>
  <c r="AL84" i="65"/>
  <c r="BI83" i="65"/>
  <c r="BA82" i="65"/>
  <c r="J82" i="65"/>
  <c r="AP81" i="65"/>
  <c r="F81" i="65"/>
  <c r="AL80" i="65"/>
  <c r="BI79" i="65"/>
  <c r="BA78" i="65"/>
  <c r="J78" i="65"/>
  <c r="AP77" i="65"/>
  <c r="F77" i="65"/>
  <c r="AL76" i="65"/>
  <c r="BI75" i="65"/>
  <c r="BA74" i="65"/>
  <c r="J74" i="65"/>
  <c r="AP73" i="65"/>
  <c r="F73" i="65"/>
  <c r="AL72" i="65"/>
  <c r="BI71" i="65"/>
  <c r="BA70" i="65"/>
  <c r="J70" i="65"/>
  <c r="AP69" i="65"/>
  <c r="F69" i="65"/>
  <c r="AL68" i="65"/>
  <c r="BI67" i="65"/>
  <c r="BA66" i="65"/>
  <c r="J66" i="65"/>
  <c r="AP65" i="65"/>
  <c r="F65" i="65"/>
  <c r="AL64" i="65"/>
  <c r="BI63" i="65"/>
  <c r="BA62" i="65"/>
  <c r="J62" i="65"/>
  <c r="AP61" i="65"/>
  <c r="F61" i="65"/>
  <c r="AV56" i="65"/>
  <c r="H56" i="65"/>
  <c r="F119" i="65"/>
  <c r="AE117" i="65"/>
  <c r="AF117" i="65" s="1"/>
  <c r="AG117" i="65" s="1"/>
  <c r="AH117" i="65" s="1"/>
  <c r="BJ115" i="65"/>
  <c r="BB114" i="65"/>
  <c r="AV113" i="65"/>
  <c r="AN112" i="65"/>
  <c r="AE110" i="65"/>
  <c r="AF110" i="65" s="1"/>
  <c r="AG110" i="65" s="1"/>
  <c r="AH110" i="65" s="1"/>
  <c r="H109" i="65"/>
  <c r="BJ107" i="65"/>
  <c r="BB106" i="65"/>
  <c r="AV105" i="65"/>
  <c r="AN104" i="65"/>
  <c r="AE102" i="65"/>
  <c r="AF102" i="65" s="1"/>
  <c r="AG102" i="65" s="1"/>
  <c r="AH102" i="65" s="1"/>
  <c r="H101" i="65"/>
  <c r="BJ99" i="65"/>
  <c r="BI97" i="65"/>
  <c r="F97" i="65"/>
  <c r="AV95" i="65"/>
  <c r="BK94" i="65"/>
  <c r="AP93" i="65"/>
  <c r="AI92" i="65"/>
  <c r="I90" i="65"/>
  <c r="AO89" i="65"/>
  <c r="AI88" i="65"/>
  <c r="BC87" i="65"/>
  <c r="I86" i="65"/>
  <c r="AO85" i="65"/>
  <c r="BK84" i="65"/>
  <c r="AI84" i="65"/>
  <c r="BC83" i="65"/>
  <c r="AZ82" i="65"/>
  <c r="I82" i="65"/>
  <c r="AO81" i="65"/>
  <c r="AI80" i="65"/>
  <c r="BC79" i="65"/>
  <c r="I78" i="65"/>
  <c r="AO77" i="65"/>
  <c r="BK76" i="65"/>
  <c r="AI76" i="65"/>
  <c r="BC75" i="65"/>
  <c r="AZ74" i="65"/>
  <c r="I74" i="65"/>
  <c r="AO73" i="65"/>
  <c r="BK72" i="65"/>
  <c r="AI72" i="65"/>
  <c r="BC71" i="65"/>
  <c r="AZ70" i="65"/>
  <c r="I70" i="65"/>
  <c r="AO69" i="65"/>
  <c r="BK68" i="65"/>
  <c r="AI68" i="65"/>
  <c r="I66" i="65"/>
  <c r="AO65" i="65"/>
  <c r="BK64" i="65"/>
  <c r="AI64" i="65"/>
  <c r="H152" i="65"/>
  <c r="J124" i="65"/>
  <c r="H117" i="65"/>
  <c r="BC115" i="65"/>
  <c r="AZ114" i="65"/>
  <c r="AO113" i="65"/>
  <c r="AI112" i="65"/>
  <c r="I110" i="65"/>
  <c r="BK108" i="65"/>
  <c r="AZ106" i="65"/>
  <c r="AO105" i="65"/>
  <c r="AI104" i="65"/>
  <c r="I102" i="65"/>
  <c r="BC99" i="65"/>
  <c r="BB98" i="65"/>
  <c r="BC97" i="65"/>
  <c r="BK96" i="65"/>
  <c r="AP95" i="65"/>
  <c r="BJ94" i="65"/>
  <c r="AE94" i="65"/>
  <c r="AF94" i="65" s="1"/>
  <c r="AG94" i="65" s="1"/>
  <c r="AH94" i="65" s="1"/>
  <c r="AO93" i="65"/>
  <c r="AE91" i="65"/>
  <c r="AF91" i="65" s="1"/>
  <c r="AG91" i="65" s="1"/>
  <c r="AH91" i="65" s="1"/>
  <c r="AV90" i="65"/>
  <c r="H90" i="65"/>
  <c r="AN89" i="65"/>
  <c r="BB87" i="65"/>
  <c r="AE87" i="65"/>
  <c r="AF87" i="65" s="1"/>
  <c r="AG87" i="65" s="1"/>
  <c r="AH87" i="65" s="1"/>
  <c r="AV86" i="65"/>
  <c r="H86" i="65"/>
  <c r="AN85" i="65"/>
  <c r="BJ84" i="65"/>
  <c r="BB83" i="65"/>
  <c r="AE83" i="65"/>
  <c r="AF83" i="65" s="1"/>
  <c r="AG83" i="65" s="1"/>
  <c r="AH83" i="65" s="1"/>
  <c r="AV82" i="65"/>
  <c r="H82" i="65"/>
  <c r="AN81" i="65"/>
  <c r="BB79" i="65"/>
  <c r="AE79" i="65"/>
  <c r="AF79" i="65" s="1"/>
  <c r="AG79" i="65" s="1"/>
  <c r="AH79" i="65" s="1"/>
  <c r="AV78" i="65"/>
  <c r="H78" i="65"/>
  <c r="AN77" i="65"/>
  <c r="BJ76" i="65"/>
  <c r="BB75" i="65"/>
  <c r="AE75" i="65"/>
  <c r="AF75" i="65" s="1"/>
  <c r="AG75" i="65" s="1"/>
  <c r="AH75" i="65" s="1"/>
  <c r="AV74" i="65"/>
  <c r="H74" i="65"/>
  <c r="AN73" i="65"/>
  <c r="BJ72" i="65"/>
  <c r="BB71" i="65"/>
  <c r="AE71" i="65"/>
  <c r="AF71" i="65" s="1"/>
  <c r="AG71" i="65" s="1"/>
  <c r="AH71" i="65" s="1"/>
  <c r="AV70" i="65"/>
  <c r="H70" i="65"/>
  <c r="AN69" i="65"/>
  <c r="BJ68" i="65"/>
  <c r="AE67" i="65"/>
  <c r="AF67" i="65" s="1"/>
  <c r="AG67" i="65" s="1"/>
  <c r="AH67" i="65" s="1"/>
  <c r="AV66" i="65"/>
  <c r="H66" i="65"/>
  <c r="AN65" i="65"/>
  <c r="BJ64" i="65"/>
  <c r="BB63" i="65"/>
  <c r="AE63" i="65"/>
  <c r="AF63" i="65" s="1"/>
  <c r="AG63" i="65" s="1"/>
  <c r="AH63" i="65" s="1"/>
  <c r="AV62" i="65"/>
  <c r="AP123" i="65"/>
  <c r="AN118" i="65"/>
  <c r="AN114" i="65"/>
  <c r="AE112" i="65"/>
  <c r="AF112" i="65" s="1"/>
  <c r="AG112" i="65" s="1"/>
  <c r="AH112" i="65" s="1"/>
  <c r="H111" i="65"/>
  <c r="BJ109" i="65"/>
  <c r="BB108" i="65"/>
  <c r="AV107" i="65"/>
  <c r="AN106" i="65"/>
  <c r="AE104" i="65"/>
  <c r="AF104" i="65" s="1"/>
  <c r="AG104" i="65" s="1"/>
  <c r="AH104" i="65" s="1"/>
  <c r="H103" i="65"/>
  <c r="BJ101" i="65"/>
  <c r="BB100" i="65"/>
  <c r="AV99" i="65"/>
  <c r="BJ96" i="65"/>
  <c r="AE96" i="65"/>
  <c r="AF96" i="65" s="1"/>
  <c r="AG96" i="65" s="1"/>
  <c r="AH96" i="65" s="1"/>
  <c r="AO95" i="65"/>
  <c r="BI94" i="65"/>
  <c r="J94" i="65"/>
  <c r="AN93" i="65"/>
  <c r="BA91" i="65"/>
  <c r="J91" i="65"/>
  <c r="AP90" i="65"/>
  <c r="F90" i="65"/>
  <c r="AL89" i="65"/>
  <c r="BA87" i="65"/>
  <c r="J87" i="65"/>
  <c r="AP86" i="65"/>
  <c r="F86" i="65"/>
  <c r="AL85" i="65"/>
  <c r="BA83" i="65"/>
  <c r="J83" i="65"/>
  <c r="AP82" i="65"/>
  <c r="F82" i="65"/>
  <c r="AL81" i="65"/>
  <c r="BA79" i="65"/>
  <c r="J79" i="65"/>
  <c r="AP78" i="65"/>
  <c r="F78" i="65"/>
  <c r="AL77" i="65"/>
  <c r="BI76" i="65"/>
  <c r="BA75" i="65"/>
  <c r="J75" i="65"/>
  <c r="AP74" i="65"/>
  <c r="F74" i="65"/>
  <c r="AL73" i="65"/>
  <c r="BI72" i="65"/>
  <c r="BA71" i="65"/>
  <c r="J71" i="65"/>
  <c r="AP70" i="65"/>
  <c r="F70" i="65"/>
  <c r="AL69" i="65"/>
  <c r="BI68" i="65"/>
  <c r="BA67" i="65"/>
  <c r="J67" i="65"/>
  <c r="AP66" i="65"/>
  <c r="F66" i="65"/>
  <c r="AL65" i="65"/>
  <c r="BI64" i="65"/>
  <c r="J63" i="65"/>
  <c r="AP62" i="65"/>
  <c r="F62" i="65"/>
  <c r="F123" i="65"/>
  <c r="AL118" i="65"/>
  <c r="AP115" i="65"/>
  <c r="AL114" i="65"/>
  <c r="J112" i="65"/>
  <c r="F111" i="65"/>
  <c r="BI109" i="65"/>
  <c r="BA108" i="65"/>
  <c r="AP107" i="65"/>
  <c r="AL106" i="65"/>
  <c r="J104" i="65"/>
  <c r="F103" i="65"/>
  <c r="BI101" i="65"/>
  <c r="BA100" i="65"/>
  <c r="AP99" i="65"/>
  <c r="AO98" i="65"/>
  <c r="BC96" i="65"/>
  <c r="J96" i="65"/>
  <c r="AN95" i="65"/>
  <c r="BB94" i="65"/>
  <c r="I94" i="65"/>
  <c r="AI93" i="65"/>
  <c r="AZ91" i="65"/>
  <c r="I91" i="65"/>
  <c r="AO90" i="65"/>
  <c r="BK89" i="65"/>
  <c r="AI89" i="65"/>
  <c r="AZ87" i="65"/>
  <c r="I87" i="65"/>
  <c r="AO86" i="65"/>
  <c r="BK85" i="65"/>
  <c r="AI85" i="65"/>
  <c r="BC84" i="65"/>
  <c r="AZ83" i="65"/>
  <c r="I83" i="65"/>
  <c r="AO82" i="65"/>
  <c r="BK81" i="65"/>
  <c r="AI81" i="65"/>
  <c r="AZ79" i="65"/>
  <c r="I79" i="65"/>
  <c r="AO78" i="65"/>
  <c r="BK77" i="65"/>
  <c r="AI77" i="65"/>
  <c r="BC76" i="65"/>
  <c r="AZ75" i="65"/>
  <c r="I75" i="65"/>
  <c r="AO74" i="65"/>
  <c r="BK73" i="65"/>
  <c r="AI73" i="65"/>
  <c r="BC72" i="65"/>
  <c r="AZ71" i="65"/>
  <c r="I71" i="65"/>
  <c r="AO70" i="65"/>
  <c r="BK69" i="65"/>
  <c r="AI69" i="65"/>
  <c r="BC68" i="65"/>
  <c r="AZ67" i="65"/>
  <c r="I67" i="65"/>
  <c r="AO66" i="65"/>
  <c r="BK65" i="65"/>
  <c r="AI65" i="65"/>
  <c r="BC64" i="65"/>
  <c r="I63" i="65"/>
  <c r="AO62" i="65"/>
  <c r="BK61" i="65"/>
  <c r="AL122" i="65"/>
  <c r="AE118" i="65"/>
  <c r="AF118" i="65" s="1"/>
  <c r="AG118" i="65" s="1"/>
  <c r="AH118" i="65" s="1"/>
  <c r="AO115" i="65"/>
  <c r="AI114" i="65"/>
  <c r="I112" i="65"/>
  <c r="AZ108" i="65"/>
  <c r="AO107" i="65"/>
  <c r="AI106" i="65"/>
  <c r="I104" i="65"/>
  <c r="BC101" i="65"/>
  <c r="AZ100" i="65"/>
  <c r="AO99" i="65"/>
  <c r="AN98" i="65"/>
  <c r="AO97" i="65"/>
  <c r="BB96" i="65"/>
  <c r="I96" i="65"/>
  <c r="AL95" i="65"/>
  <c r="H94" i="65"/>
  <c r="AE92" i="65"/>
  <c r="AF92" i="65" s="1"/>
  <c r="AG92" i="65" s="1"/>
  <c r="AH92" i="65" s="1"/>
  <c r="AV91" i="65"/>
  <c r="H91" i="65"/>
  <c r="AN90" i="65"/>
  <c r="BJ89" i="65"/>
  <c r="AE88" i="65"/>
  <c r="AF88" i="65" s="1"/>
  <c r="AG88" i="65" s="1"/>
  <c r="AH88" i="65" s="1"/>
  <c r="AV87" i="65"/>
  <c r="H87" i="65"/>
  <c r="AN86" i="65"/>
  <c r="BJ85" i="65"/>
  <c r="BB84" i="65"/>
  <c r="AE84" i="65"/>
  <c r="AF84" i="65" s="1"/>
  <c r="AG84" i="65" s="1"/>
  <c r="AH84" i="65" s="1"/>
  <c r="AV83" i="65"/>
  <c r="H83" i="65"/>
  <c r="AN82" i="65"/>
  <c r="AE80" i="65"/>
  <c r="AF80" i="65" s="1"/>
  <c r="AG80" i="65" s="1"/>
  <c r="AH80" i="65" s="1"/>
  <c r="AV79" i="65"/>
  <c r="H79" i="65"/>
  <c r="AN78" i="65"/>
  <c r="BJ77" i="65"/>
  <c r="BB76" i="65"/>
  <c r="AE76" i="65"/>
  <c r="AF76" i="65" s="1"/>
  <c r="AG76" i="65" s="1"/>
  <c r="AH76" i="65" s="1"/>
  <c r="AV75" i="65"/>
  <c r="H75" i="65"/>
  <c r="AN74" i="65"/>
  <c r="BJ73" i="65"/>
  <c r="BB72" i="65"/>
  <c r="AE72" i="65"/>
  <c r="AF72" i="65" s="1"/>
  <c r="AG72" i="65" s="1"/>
  <c r="AH72" i="65" s="1"/>
  <c r="AV71" i="65"/>
  <c r="H71" i="65"/>
  <c r="AN70" i="65"/>
  <c r="BJ69" i="65"/>
  <c r="BB68" i="65"/>
  <c r="AE68" i="65"/>
  <c r="AF68" i="65" s="1"/>
  <c r="AG68" i="65" s="1"/>
  <c r="AH68" i="65" s="1"/>
  <c r="AV67" i="65"/>
  <c r="H67" i="65"/>
  <c r="AN66" i="65"/>
  <c r="BB64" i="65"/>
  <c r="AE64" i="65"/>
  <c r="AF64" i="65" s="1"/>
  <c r="AG64" i="65" s="1"/>
  <c r="AH64" i="65" s="1"/>
  <c r="AV63" i="65"/>
  <c r="H63" i="65"/>
  <c r="AN62" i="65"/>
  <c r="BI121" i="65"/>
  <c r="I118" i="65"/>
  <c r="AV116" i="65"/>
  <c r="AN115" i="65"/>
  <c r="AE113" i="65"/>
  <c r="AF113" i="65" s="1"/>
  <c r="AG113" i="65" s="1"/>
  <c r="AH113" i="65" s="1"/>
  <c r="H112" i="65"/>
  <c r="BB109" i="65"/>
  <c r="AV108" i="65"/>
  <c r="AN107" i="65"/>
  <c r="AE105" i="65"/>
  <c r="AF105" i="65" s="1"/>
  <c r="AG105" i="65" s="1"/>
  <c r="AH105" i="65" s="1"/>
  <c r="H104" i="65"/>
  <c r="BB101" i="65"/>
  <c r="AV100" i="65"/>
  <c r="AN99" i="65"/>
  <c r="AL98" i="65"/>
  <c r="AI97" i="65"/>
  <c r="AO126" i="65"/>
  <c r="BA120" i="65"/>
  <c r="BI117" i="65"/>
  <c r="AI116" i="65"/>
  <c r="I114" i="65"/>
  <c r="BC111" i="65"/>
  <c r="AZ110" i="65"/>
  <c r="AO109" i="65"/>
  <c r="AI108" i="65"/>
  <c r="I106" i="65"/>
  <c r="BK104" i="65"/>
  <c r="BC103" i="65"/>
  <c r="AO101" i="65"/>
  <c r="AI100" i="65"/>
  <c r="AV96" i="65"/>
  <c r="AO94" i="65"/>
  <c r="BI93" i="65"/>
  <c r="AE93" i="65"/>
  <c r="AF93" i="65" s="1"/>
  <c r="AG93" i="65" s="1"/>
  <c r="AH93" i="65" s="1"/>
  <c r="H92" i="65"/>
  <c r="AN91" i="65"/>
  <c r="BB89" i="65"/>
  <c r="AE89" i="65"/>
  <c r="AF89" i="65" s="1"/>
  <c r="AG89" i="65" s="1"/>
  <c r="AH89" i="65" s="1"/>
  <c r="H88" i="65"/>
  <c r="AN87" i="65"/>
  <c r="BJ86" i="65"/>
  <c r="BB85" i="65"/>
  <c r="AE85" i="65"/>
  <c r="AF85" i="65" s="1"/>
  <c r="AG85" i="65" s="1"/>
  <c r="AH85" i="65" s="1"/>
  <c r="AV84" i="65"/>
  <c r="H84" i="65"/>
  <c r="AN83" i="65"/>
  <c r="AE81" i="65"/>
  <c r="AF81" i="65" s="1"/>
  <c r="AG81" i="65" s="1"/>
  <c r="AH81" i="65" s="1"/>
  <c r="AV80" i="65"/>
  <c r="H80" i="65"/>
  <c r="AN79" i="65"/>
  <c r="BB77" i="65"/>
  <c r="AE77" i="65"/>
  <c r="AF77" i="65" s="1"/>
  <c r="AG77" i="65" s="1"/>
  <c r="AH77" i="65" s="1"/>
  <c r="AV76" i="65"/>
  <c r="H76" i="65"/>
  <c r="AN75" i="65"/>
  <c r="BJ74" i="65"/>
  <c r="BB73" i="65"/>
  <c r="AE73" i="65"/>
  <c r="AF73" i="65" s="1"/>
  <c r="AG73" i="65" s="1"/>
  <c r="AH73" i="65" s="1"/>
  <c r="AV72" i="65"/>
  <c r="H72" i="65"/>
  <c r="AN71" i="65"/>
  <c r="BJ70" i="65"/>
  <c r="BB69" i="65"/>
  <c r="AE69" i="65"/>
  <c r="AF69" i="65" s="1"/>
  <c r="AG69" i="65" s="1"/>
  <c r="AH69" i="65" s="1"/>
  <c r="H68" i="65"/>
  <c r="AN67" i="65"/>
  <c r="AE65" i="65"/>
  <c r="AF65" i="65" s="1"/>
  <c r="AG65" i="65" s="1"/>
  <c r="AH65" i="65" s="1"/>
  <c r="AV64" i="65"/>
  <c r="H64" i="65"/>
  <c r="AN63" i="65"/>
  <c r="J120" i="65"/>
  <c r="AV117" i="65"/>
  <c r="AE116" i="65"/>
  <c r="AF116" i="65" s="1"/>
  <c r="AG116" i="65" s="1"/>
  <c r="AH116" i="65" s="1"/>
  <c r="H115" i="65"/>
  <c r="BJ113" i="65"/>
  <c r="AV111" i="65"/>
  <c r="AN110" i="65"/>
  <c r="AE108" i="65"/>
  <c r="AF108" i="65" s="1"/>
  <c r="AG108" i="65" s="1"/>
  <c r="AH108" i="65" s="1"/>
  <c r="H107" i="65"/>
  <c r="BJ105" i="65"/>
  <c r="BB104" i="65"/>
  <c r="AV103" i="65"/>
  <c r="AN102" i="65"/>
  <c r="AE100" i="65"/>
  <c r="AF100" i="65" s="1"/>
  <c r="AG100" i="65" s="1"/>
  <c r="AH100" i="65" s="1"/>
  <c r="I99" i="65"/>
  <c r="AE98" i="65"/>
  <c r="AF98" i="65" s="1"/>
  <c r="AG98" i="65" s="1"/>
  <c r="AH98" i="65" s="1"/>
  <c r="AP96" i="65"/>
  <c r="AE95" i="65"/>
  <c r="AF95" i="65" s="1"/>
  <c r="AG95" i="65" s="1"/>
  <c r="AH95" i="65" s="1"/>
  <c r="AN94" i="65"/>
  <c r="BC93" i="65"/>
  <c r="J93" i="65"/>
  <c r="AP92" i="65"/>
  <c r="F92" i="65"/>
  <c r="AL91" i="65"/>
  <c r="BA89" i="65"/>
  <c r="J89" i="65"/>
  <c r="AP88" i="65"/>
  <c r="F88" i="65"/>
  <c r="AL87" i="65"/>
  <c r="BI86" i="65"/>
  <c r="BA85" i="65"/>
  <c r="J85" i="65"/>
  <c r="AP84" i="65"/>
  <c r="F84" i="65"/>
  <c r="AL83" i="65"/>
  <c r="BI82" i="65"/>
  <c r="BA81" i="65"/>
  <c r="J81" i="65"/>
  <c r="AP80" i="65"/>
  <c r="F80" i="65"/>
  <c r="AL79" i="65"/>
  <c r="J77" i="65"/>
  <c r="AP76" i="65"/>
  <c r="F76" i="65"/>
  <c r="AL75" i="65"/>
  <c r="BI74" i="65"/>
  <c r="BA73" i="65"/>
  <c r="J73" i="65"/>
  <c r="AP72" i="65"/>
  <c r="F72" i="65"/>
  <c r="AL71" i="65"/>
  <c r="BI70" i="65"/>
  <c r="BA69" i="65"/>
  <c r="J69" i="65"/>
  <c r="AP68" i="65"/>
  <c r="F68" i="65"/>
  <c r="AL67" i="65"/>
  <c r="BB110" i="65"/>
  <c r="AI86" i="65"/>
  <c r="BK82" i="65"/>
  <c r="AO79" i="65"/>
  <c r="I76" i="65"/>
  <c r="AZ72" i="65"/>
  <c r="BC63" i="65"/>
  <c r="BI56" i="65"/>
  <c r="AV55" i="65"/>
  <c r="H55" i="65"/>
  <c r="AN54" i="65"/>
  <c r="BB52" i="65"/>
  <c r="AE52" i="65"/>
  <c r="AF52" i="65" s="1"/>
  <c r="AG52" i="65" s="1"/>
  <c r="AH52" i="65" s="1"/>
  <c r="AV51" i="65"/>
  <c r="H51" i="65"/>
  <c r="AN50" i="65"/>
  <c r="BB48" i="65"/>
  <c r="AE48" i="65"/>
  <c r="AF48" i="65" s="1"/>
  <c r="AG48" i="65" s="1"/>
  <c r="AH48" i="65" s="1"/>
  <c r="AV109" i="65"/>
  <c r="BA96" i="65"/>
  <c r="BI85" i="65"/>
  <c r="AL82" i="65"/>
  <c r="F79" i="65"/>
  <c r="AP75" i="65"/>
  <c r="J72" i="65"/>
  <c r="BA68" i="65"/>
  <c r="AP63" i="65"/>
  <c r="I62" i="65"/>
  <c r="AI57" i="65"/>
  <c r="BC56" i="65"/>
  <c r="AE56" i="65"/>
  <c r="AF56" i="65" s="1"/>
  <c r="AG56" i="65" s="1"/>
  <c r="AH56" i="65" s="1"/>
  <c r="AP55" i="65"/>
  <c r="F55" i="65"/>
  <c r="AL54" i="65"/>
  <c r="BA52" i="65"/>
  <c r="J52" i="65"/>
  <c r="AP51" i="65"/>
  <c r="F51" i="65"/>
  <c r="AL50" i="65"/>
  <c r="BA48" i="65"/>
  <c r="J48" i="65"/>
  <c r="AN108" i="65"/>
  <c r="AZ96" i="65"/>
  <c r="BC85" i="65"/>
  <c r="AI82" i="65"/>
  <c r="AO75" i="65"/>
  <c r="I72" i="65"/>
  <c r="AZ68" i="65"/>
  <c r="AO63" i="65"/>
  <c r="H62" i="65"/>
  <c r="BB56" i="65"/>
  <c r="J56" i="65"/>
  <c r="AO55" i="65"/>
  <c r="BK54" i="65"/>
  <c r="AI54" i="65"/>
  <c r="AZ52" i="65"/>
  <c r="I52" i="65"/>
  <c r="H96" i="65"/>
  <c r="J92" i="65"/>
  <c r="AL78" i="65"/>
  <c r="F75" i="65"/>
  <c r="AP71" i="65"/>
  <c r="J68" i="65"/>
  <c r="AL63" i="65"/>
  <c r="AE61" i="65"/>
  <c r="AF61" i="65" s="1"/>
  <c r="AG61" i="65" s="1"/>
  <c r="AH61" i="65" s="1"/>
  <c r="BA56" i="65"/>
  <c r="I56" i="65"/>
  <c r="AN55" i="65"/>
  <c r="BJ54" i="65"/>
  <c r="BB53" i="65"/>
  <c r="AE53" i="65"/>
  <c r="AF53" i="65" s="1"/>
  <c r="AG53" i="65" s="1"/>
  <c r="AH53" i="65" s="1"/>
  <c r="AV52" i="65"/>
  <c r="H52" i="65"/>
  <c r="AN51" i="65"/>
  <c r="AE49" i="65"/>
  <c r="AF49" i="65" s="1"/>
  <c r="AG49" i="65" s="1"/>
  <c r="AH49" i="65" s="1"/>
  <c r="AV48" i="65"/>
  <c r="H48" i="65"/>
  <c r="AE106" i="65"/>
  <c r="AF106" i="65" s="1"/>
  <c r="AG106" i="65" s="1"/>
  <c r="AH106" i="65" s="1"/>
  <c r="F96" i="65"/>
  <c r="I92" i="65"/>
  <c r="AI78" i="65"/>
  <c r="BK74" i="65"/>
  <c r="AO71" i="65"/>
  <c r="I68" i="65"/>
  <c r="BI61" i="65"/>
  <c r="J61" i="65"/>
  <c r="AZ56" i="65"/>
  <c r="F56" i="65"/>
  <c r="AL55" i="65"/>
  <c r="BI54" i="65"/>
  <c r="BA53" i="65"/>
  <c r="J53" i="65"/>
  <c r="AP52" i="65"/>
  <c r="F52" i="65"/>
  <c r="AL51" i="65"/>
  <c r="J49" i="65"/>
  <c r="AP48" i="65"/>
  <c r="F48" i="65"/>
  <c r="H105" i="65"/>
  <c r="AP91" i="65"/>
  <c r="J88" i="65"/>
  <c r="BA84" i="65"/>
  <c r="BI77" i="65"/>
  <c r="AL74" i="65"/>
  <c r="F71" i="65"/>
  <c r="AP67" i="65"/>
  <c r="J65" i="65"/>
  <c r="F63" i="65"/>
  <c r="BC61" i="65"/>
  <c r="BC57" i="65"/>
  <c r="AE57" i="65"/>
  <c r="AF57" i="65" s="1"/>
  <c r="AG57" i="65" s="1"/>
  <c r="AH57" i="65" s="1"/>
  <c r="AP56" i="65"/>
  <c r="BK55" i="65"/>
  <c r="AI55" i="65"/>
  <c r="BC54" i="65"/>
  <c r="I53" i="65"/>
  <c r="AO52" i="65"/>
  <c r="BK51" i="65"/>
  <c r="AI51" i="65"/>
  <c r="I49" i="65"/>
  <c r="AO48" i="65"/>
  <c r="BJ117" i="65"/>
  <c r="BJ103" i="65"/>
  <c r="AO91" i="65"/>
  <c r="I88" i="65"/>
  <c r="AI74" i="65"/>
  <c r="AO67" i="65"/>
  <c r="BA64" i="65"/>
  <c r="BB61" i="65"/>
  <c r="AO56" i="65"/>
  <c r="BJ55" i="65"/>
  <c r="BB54" i="65"/>
  <c r="AE54" i="65"/>
  <c r="AF54" i="65" s="1"/>
  <c r="AG54" i="65" s="1"/>
  <c r="AH54" i="65" s="1"/>
  <c r="AV53" i="65"/>
  <c r="H53" i="65"/>
  <c r="AN52" i="65"/>
  <c r="BJ51" i="65"/>
  <c r="AE50" i="65"/>
  <c r="AF50" i="65" s="1"/>
  <c r="AG50" i="65" s="1"/>
  <c r="AH50" i="65" s="1"/>
  <c r="AV49" i="65"/>
  <c r="H49" i="65"/>
  <c r="AN48" i="65"/>
  <c r="AN116" i="65"/>
  <c r="F91" i="65"/>
  <c r="AP87" i="65"/>
  <c r="J84" i="65"/>
  <c r="BI73" i="65"/>
  <c r="AL70" i="65"/>
  <c r="F67" i="65"/>
  <c r="AZ64" i="65"/>
  <c r="BI62" i="65"/>
  <c r="BA61" i="65"/>
  <c r="BK58" i="65"/>
  <c r="AZ57" i="65"/>
  <c r="H57" i="65"/>
  <c r="AN56" i="65"/>
  <c r="BI55" i="65"/>
  <c r="BA54" i="65"/>
  <c r="J54" i="65"/>
  <c r="AP53" i="65"/>
  <c r="F53" i="65"/>
  <c r="AL52" i="65"/>
  <c r="BI51" i="65"/>
  <c r="J50" i="65"/>
  <c r="AP49" i="65"/>
  <c r="F49" i="65"/>
  <c r="AL48" i="65"/>
  <c r="AV101" i="65"/>
  <c r="AV94" i="65"/>
  <c r="BK90" i="65"/>
  <c r="AO87" i="65"/>
  <c r="I84" i="65"/>
  <c r="BC73" i="65"/>
  <c r="AI70" i="65"/>
  <c r="BK66" i="65"/>
  <c r="AP64" i="65"/>
  <c r="AO61" i="65"/>
  <c r="AL56" i="65"/>
  <c r="BC55" i="65"/>
  <c r="AZ54" i="65"/>
  <c r="I54" i="65"/>
  <c r="AO53" i="65"/>
  <c r="BK52" i="65"/>
  <c r="AI52" i="65"/>
  <c r="BC51" i="65"/>
  <c r="I50" i="65"/>
  <c r="AO49" i="65"/>
  <c r="AI48" i="65"/>
  <c r="AE114" i="65"/>
  <c r="AF114" i="65" s="1"/>
  <c r="AG114" i="65" s="1"/>
  <c r="AH114" i="65" s="1"/>
  <c r="AN100" i="65"/>
  <c r="BK93" i="65"/>
  <c r="AL90" i="65"/>
  <c r="F87" i="65"/>
  <c r="AP83" i="65"/>
  <c r="J80" i="65"/>
  <c r="BA76" i="65"/>
  <c r="BI69" i="65"/>
  <c r="AL66" i="65"/>
  <c r="J64" i="65"/>
  <c r="AL62" i="65"/>
  <c r="AN61" i="65"/>
  <c r="AI56" i="65"/>
  <c r="BB55" i="65"/>
  <c r="AE55" i="65"/>
  <c r="AF55" i="65" s="1"/>
  <c r="AG55" i="65" s="1"/>
  <c r="AH55" i="65" s="1"/>
  <c r="AV54" i="65"/>
  <c r="H54" i="65"/>
  <c r="AN53" i="65"/>
  <c r="BJ52" i="65"/>
  <c r="BB51" i="65"/>
  <c r="AE51" i="65"/>
  <c r="AF51" i="65" s="1"/>
  <c r="AG51" i="65" s="1"/>
  <c r="AH51" i="65" s="1"/>
  <c r="AV50" i="65"/>
  <c r="H50" i="65"/>
  <c r="AN49" i="65"/>
  <c r="H113" i="65"/>
  <c r="BJ93" i="65"/>
  <c r="AI90" i="65"/>
  <c r="BK86" i="65"/>
  <c r="AO83" i="65"/>
  <c r="I80" i="65"/>
  <c r="BC69" i="65"/>
  <c r="AI66" i="65"/>
  <c r="I64" i="65"/>
  <c r="AI62" i="65"/>
  <c r="AL61" i="65"/>
  <c r="BK56" i="65"/>
  <c r="BA55" i="65"/>
  <c r="J55" i="65"/>
  <c r="AP54" i="65"/>
  <c r="F54" i="65"/>
  <c r="AL53" i="65"/>
  <c r="BI52" i="65"/>
  <c r="BA51" i="65"/>
  <c r="J51" i="65"/>
  <c r="AP50" i="65"/>
  <c r="F50" i="65"/>
  <c r="AL49" i="65"/>
  <c r="BI48" i="65"/>
  <c r="BJ56" i="65"/>
  <c r="BK298" i="58"/>
  <c r="AI298" i="58"/>
  <c r="BC297" i="58"/>
  <c r="AZ296" i="58"/>
  <c r="I296" i="58"/>
  <c r="AO295" i="58"/>
  <c r="BK294" i="58"/>
  <c r="AI294" i="58"/>
  <c r="BC293" i="58"/>
  <c r="AZ292" i="58"/>
  <c r="I292" i="58"/>
  <c r="AO291" i="58"/>
  <c r="BK290" i="58"/>
  <c r="AI290" i="58"/>
  <c r="BC289" i="58"/>
  <c r="AZ288" i="58"/>
  <c r="I288" i="58"/>
  <c r="AO287" i="58"/>
  <c r="BK286" i="58"/>
  <c r="AI286" i="58"/>
  <c r="BC285" i="58"/>
  <c r="AZ284" i="58"/>
  <c r="I284" i="58"/>
  <c r="AO283" i="58"/>
  <c r="BK282" i="58"/>
  <c r="AI282" i="58"/>
  <c r="BC281" i="58"/>
  <c r="AZ280" i="58"/>
  <c r="I280" i="58"/>
  <c r="AO279" i="58"/>
  <c r="BK278" i="58"/>
  <c r="AI278" i="58"/>
  <c r="BC277" i="58"/>
  <c r="AZ276" i="58"/>
  <c r="I276" i="58"/>
  <c r="AO275" i="58"/>
  <c r="BK274" i="58"/>
  <c r="AI274" i="58"/>
  <c r="BC273" i="58"/>
  <c r="AZ272" i="58"/>
  <c r="I272" i="58"/>
  <c r="AO271" i="58"/>
  <c r="BK270" i="58"/>
  <c r="AI270" i="58"/>
  <c r="BC269" i="58"/>
  <c r="AZ268" i="58"/>
  <c r="I268" i="58"/>
  <c r="AO267" i="58"/>
  <c r="BK266" i="58"/>
  <c r="AI266" i="58"/>
  <c r="BC265" i="58"/>
  <c r="AZ264" i="58"/>
  <c r="I264" i="58"/>
  <c r="AO263" i="58"/>
  <c r="BK262" i="58"/>
  <c r="AI262" i="58"/>
  <c r="BC261" i="58"/>
  <c r="AZ260" i="58"/>
  <c r="I260" i="58"/>
  <c r="AO259" i="58"/>
  <c r="BK258" i="58"/>
  <c r="AI258" i="58"/>
  <c r="F64" i="65"/>
  <c r="AO50" i="65"/>
  <c r="BJ298" i="58"/>
  <c r="BB297" i="58"/>
  <c r="AE297" i="58"/>
  <c r="AF297" i="58" s="1"/>
  <c r="AG297" i="58" s="1"/>
  <c r="AH297" i="58" s="1"/>
  <c r="AV296" i="58"/>
  <c r="H296" i="58"/>
  <c r="AN295" i="58"/>
  <c r="BJ294" i="58"/>
  <c r="BB293" i="58"/>
  <c r="AE293" i="58"/>
  <c r="AF293" i="58" s="1"/>
  <c r="AG293" i="58" s="1"/>
  <c r="AH293" i="58" s="1"/>
  <c r="AV292" i="58"/>
  <c r="H292" i="58"/>
  <c r="AN291" i="58"/>
  <c r="BJ290" i="58"/>
  <c r="BB289" i="58"/>
  <c r="AE289" i="58"/>
  <c r="AF289" i="58" s="1"/>
  <c r="AG289" i="58" s="1"/>
  <c r="AH289" i="58" s="1"/>
  <c r="AV288" i="58"/>
  <c r="H288" i="58"/>
  <c r="AN287" i="58"/>
  <c r="BJ286" i="58"/>
  <c r="BB285" i="58"/>
  <c r="AE285" i="58"/>
  <c r="AF285" i="58" s="1"/>
  <c r="AG285" i="58" s="1"/>
  <c r="AH285" i="58" s="1"/>
  <c r="AV284" i="58"/>
  <c r="H284" i="58"/>
  <c r="AN283" i="58"/>
  <c r="BJ282" i="58"/>
  <c r="BB281" i="58"/>
  <c r="AE281" i="58"/>
  <c r="AF281" i="58" s="1"/>
  <c r="AG281" i="58" s="1"/>
  <c r="AH281" i="58" s="1"/>
  <c r="AV280" i="58"/>
  <c r="H280" i="58"/>
  <c r="AN279" i="58"/>
  <c r="BJ278" i="58"/>
  <c r="BB277" i="58"/>
  <c r="AE277" i="58"/>
  <c r="AF277" i="58" s="1"/>
  <c r="AG277" i="58" s="1"/>
  <c r="AH277" i="58" s="1"/>
  <c r="AV276" i="58"/>
  <c r="H276" i="58"/>
  <c r="AN275" i="58"/>
  <c r="BJ274" i="58"/>
  <c r="BB273" i="58"/>
  <c r="AE273" i="58"/>
  <c r="AF273" i="58" s="1"/>
  <c r="AG273" i="58" s="1"/>
  <c r="AH273" i="58" s="1"/>
  <c r="AV272" i="58"/>
  <c r="H272" i="58"/>
  <c r="AN271" i="58"/>
  <c r="BJ270" i="58"/>
  <c r="BB269" i="58"/>
  <c r="AE269" i="58"/>
  <c r="AF269" i="58" s="1"/>
  <c r="AG269" i="58" s="1"/>
  <c r="AH269" i="58" s="1"/>
  <c r="AV268" i="58"/>
  <c r="H268" i="58"/>
  <c r="AN267" i="58"/>
  <c r="BJ266" i="58"/>
  <c r="BB265" i="58"/>
  <c r="AE265" i="58"/>
  <c r="AF265" i="58" s="1"/>
  <c r="AG265" i="58" s="1"/>
  <c r="AH265" i="58" s="1"/>
  <c r="BJ111" i="65"/>
  <c r="AZ55" i="65"/>
  <c r="AI50" i="65"/>
  <c r="BI298" i="58"/>
  <c r="BA297" i="58"/>
  <c r="J297" i="58"/>
  <c r="AP296" i="58"/>
  <c r="F296" i="58"/>
  <c r="AL295" i="58"/>
  <c r="BI294" i="58"/>
  <c r="BA293" i="58"/>
  <c r="J293" i="58"/>
  <c r="AP292" i="58"/>
  <c r="F292" i="58"/>
  <c r="AL291" i="58"/>
  <c r="BI290" i="58"/>
  <c r="BA289" i="58"/>
  <c r="J289" i="58"/>
  <c r="AP288" i="58"/>
  <c r="F288" i="58"/>
  <c r="AL287" i="58"/>
  <c r="BI286" i="58"/>
  <c r="BA285" i="58"/>
  <c r="J285" i="58"/>
  <c r="AP284" i="58"/>
  <c r="F284" i="58"/>
  <c r="AL283" i="58"/>
  <c r="BI282" i="58"/>
  <c r="BA281" i="58"/>
  <c r="J281" i="58"/>
  <c r="AP280" i="58"/>
  <c r="F280" i="58"/>
  <c r="AL279" i="58"/>
  <c r="BI278" i="58"/>
  <c r="BA277" i="58"/>
  <c r="J277" i="58"/>
  <c r="AP276" i="58"/>
  <c r="F276" i="58"/>
  <c r="AL275" i="58"/>
  <c r="BI274" i="58"/>
  <c r="BA273" i="58"/>
  <c r="J273" i="58"/>
  <c r="AP272" i="58"/>
  <c r="F272" i="58"/>
  <c r="AL271" i="58"/>
  <c r="BI270" i="58"/>
  <c r="BA269" i="58"/>
  <c r="J269" i="58"/>
  <c r="AP268" i="58"/>
  <c r="F268" i="58"/>
  <c r="AI98" i="65"/>
  <c r="AI61" i="65"/>
  <c r="I55" i="65"/>
  <c r="BC298" i="58"/>
  <c r="AZ297" i="58"/>
  <c r="I297" i="58"/>
  <c r="AO296" i="58"/>
  <c r="BK295" i="58"/>
  <c r="AI295" i="58"/>
  <c r="BC294" i="58"/>
  <c r="AZ293" i="58"/>
  <c r="I293" i="58"/>
  <c r="AO292" i="58"/>
  <c r="BK291" i="58"/>
  <c r="AI291" i="58"/>
  <c r="BC290" i="58"/>
  <c r="AZ289" i="58"/>
  <c r="I289" i="58"/>
  <c r="AO288" i="58"/>
  <c r="BK287" i="58"/>
  <c r="AI287" i="58"/>
  <c r="BC286" i="58"/>
  <c r="AZ285" i="58"/>
  <c r="I285" i="58"/>
  <c r="AO284" i="58"/>
  <c r="BK283" i="58"/>
  <c r="AI283" i="58"/>
  <c r="BC282" i="58"/>
  <c r="AZ281" i="58"/>
  <c r="I281" i="58"/>
  <c r="AO280" i="58"/>
  <c r="BK279" i="58"/>
  <c r="AI279" i="58"/>
  <c r="BC278" i="58"/>
  <c r="AZ277" i="58"/>
  <c r="I277" i="58"/>
  <c r="AO276" i="58"/>
  <c r="BK275" i="58"/>
  <c r="AI275" i="58"/>
  <c r="BC274" i="58"/>
  <c r="AZ273" i="58"/>
  <c r="I273" i="58"/>
  <c r="AO272" i="58"/>
  <c r="BK271" i="58"/>
  <c r="AI271" i="58"/>
  <c r="BC270" i="58"/>
  <c r="AZ269" i="58"/>
  <c r="I269" i="58"/>
  <c r="AO268" i="58"/>
  <c r="BK267" i="58"/>
  <c r="AI267" i="58"/>
  <c r="BC266" i="58"/>
  <c r="AZ265" i="58"/>
  <c r="I265" i="58"/>
  <c r="AO264" i="58"/>
  <c r="BK263" i="58"/>
  <c r="AI263" i="58"/>
  <c r="BC262" i="58"/>
  <c r="AZ261" i="58"/>
  <c r="I261" i="58"/>
  <c r="AO54" i="65"/>
  <c r="BB298" i="58"/>
  <c r="AE298" i="58"/>
  <c r="AF298" i="58" s="1"/>
  <c r="AG298" i="58" s="1"/>
  <c r="AH298" i="58" s="1"/>
  <c r="AV297" i="58"/>
  <c r="H297" i="58"/>
  <c r="AN296" i="58"/>
  <c r="BJ295" i="58"/>
  <c r="BB294" i="58"/>
  <c r="AE294" i="58"/>
  <c r="AF294" i="58" s="1"/>
  <c r="AG294" i="58" s="1"/>
  <c r="AH294" i="58" s="1"/>
  <c r="AV293" i="58"/>
  <c r="H293" i="58"/>
  <c r="AN292" i="58"/>
  <c r="BJ291" i="58"/>
  <c r="BB290" i="58"/>
  <c r="AE290" i="58"/>
  <c r="AF290" i="58" s="1"/>
  <c r="AG290" i="58" s="1"/>
  <c r="AH290" i="58" s="1"/>
  <c r="AV289" i="58"/>
  <c r="H289" i="58"/>
  <c r="AN288" i="58"/>
  <c r="BJ287" i="58"/>
  <c r="BB286" i="58"/>
  <c r="AE286" i="58"/>
  <c r="AF286" i="58" s="1"/>
  <c r="AG286" i="58" s="1"/>
  <c r="AH286" i="58" s="1"/>
  <c r="AV285" i="58"/>
  <c r="H285" i="58"/>
  <c r="AN284" i="58"/>
  <c r="BJ283" i="58"/>
  <c r="BB282" i="58"/>
  <c r="AE282" i="58"/>
  <c r="AF282" i="58" s="1"/>
  <c r="AG282" i="58" s="1"/>
  <c r="AH282" i="58" s="1"/>
  <c r="AV281" i="58"/>
  <c r="H281" i="58"/>
  <c r="AN280" i="58"/>
  <c r="BJ279" i="58"/>
  <c r="BB278" i="58"/>
  <c r="AE278" i="58"/>
  <c r="AF278" i="58" s="1"/>
  <c r="AG278" i="58" s="1"/>
  <c r="AH278" i="58" s="1"/>
  <c r="AV277" i="58"/>
  <c r="H277" i="58"/>
  <c r="AN276" i="58"/>
  <c r="BJ275" i="58"/>
  <c r="BB274" i="58"/>
  <c r="AE274" i="58"/>
  <c r="AF274" i="58" s="1"/>
  <c r="AG274" i="58" s="1"/>
  <c r="AH274" i="58" s="1"/>
  <c r="AV273" i="58"/>
  <c r="H273" i="58"/>
  <c r="AN272" i="58"/>
  <c r="BJ271" i="58"/>
  <c r="BB270" i="58"/>
  <c r="AE270" i="58"/>
  <c r="AF270" i="58" s="1"/>
  <c r="AG270" i="58" s="1"/>
  <c r="AH270" i="58" s="1"/>
  <c r="AV269" i="58"/>
  <c r="H269" i="58"/>
  <c r="AN268" i="58"/>
  <c r="BJ267" i="58"/>
  <c r="BB266" i="58"/>
  <c r="AE266" i="58"/>
  <c r="AF266" i="58" s="1"/>
  <c r="AG266" i="58" s="1"/>
  <c r="AH266" i="58" s="1"/>
  <c r="AV265" i="58"/>
  <c r="H265" i="58"/>
  <c r="AN264" i="58"/>
  <c r="BJ263" i="58"/>
  <c r="BB262" i="58"/>
  <c r="AE262" i="58"/>
  <c r="AF262" i="58" s="1"/>
  <c r="AG262" i="58" s="1"/>
  <c r="AH262" i="58" s="1"/>
  <c r="AV261" i="58"/>
  <c r="H261" i="58"/>
  <c r="AN260" i="58"/>
  <c r="BJ259" i="58"/>
  <c r="BK53" i="65"/>
  <c r="AI49" i="65"/>
  <c r="BA298" i="58"/>
  <c r="J298" i="58"/>
  <c r="AP297" i="58"/>
  <c r="F297" i="58"/>
  <c r="AL296" i="58"/>
  <c r="BI295" i="58"/>
  <c r="BA294" i="58"/>
  <c r="J294" i="58"/>
  <c r="AP293" i="58"/>
  <c r="F293" i="58"/>
  <c r="AL292" i="58"/>
  <c r="BI291" i="58"/>
  <c r="BA290" i="58"/>
  <c r="J290" i="58"/>
  <c r="AP289" i="58"/>
  <c r="F289" i="58"/>
  <c r="AL288" i="58"/>
  <c r="BI287" i="58"/>
  <c r="BA286" i="58"/>
  <c r="J286" i="58"/>
  <c r="AP285" i="58"/>
  <c r="F285" i="58"/>
  <c r="AL284" i="58"/>
  <c r="BI283" i="58"/>
  <c r="BA282" i="58"/>
  <c r="J282" i="58"/>
  <c r="AP281" i="58"/>
  <c r="F281" i="58"/>
  <c r="AL280" i="58"/>
  <c r="BI279" i="58"/>
  <c r="BA278" i="58"/>
  <c r="J278" i="58"/>
  <c r="AP277" i="58"/>
  <c r="F277" i="58"/>
  <c r="AL276" i="58"/>
  <c r="BI275" i="58"/>
  <c r="BA274" i="58"/>
  <c r="J274" i="58"/>
  <c r="AP273" i="58"/>
  <c r="F273" i="58"/>
  <c r="AL272" i="58"/>
  <c r="BI271" i="58"/>
  <c r="BA270" i="58"/>
  <c r="J270" i="58"/>
  <c r="AP269" i="58"/>
  <c r="F269" i="58"/>
  <c r="AL268" i="58"/>
  <c r="BI267" i="58"/>
  <c r="AL86" i="65"/>
  <c r="AI53" i="65"/>
  <c r="AZ298" i="58"/>
  <c r="I298" i="58"/>
  <c r="AO297" i="58"/>
  <c r="BK296" i="58"/>
  <c r="AI296" i="58"/>
  <c r="BC295" i="58"/>
  <c r="AZ294" i="58"/>
  <c r="I294" i="58"/>
  <c r="AO293" i="58"/>
  <c r="BK292" i="58"/>
  <c r="AI292" i="58"/>
  <c r="BC291" i="58"/>
  <c r="AZ290" i="58"/>
  <c r="I290" i="58"/>
  <c r="AO289" i="58"/>
  <c r="BK288" i="58"/>
  <c r="AI288" i="58"/>
  <c r="BC287" i="58"/>
  <c r="AZ286" i="58"/>
  <c r="I286" i="58"/>
  <c r="AO285" i="58"/>
  <c r="BK284" i="58"/>
  <c r="AI284" i="58"/>
  <c r="BC283" i="58"/>
  <c r="AZ282" i="58"/>
  <c r="I282" i="58"/>
  <c r="AO281" i="58"/>
  <c r="BK280" i="58"/>
  <c r="AI280" i="58"/>
  <c r="BC279" i="58"/>
  <c r="AZ278" i="58"/>
  <c r="I278" i="58"/>
  <c r="AO277" i="58"/>
  <c r="BK276" i="58"/>
  <c r="AI276" i="58"/>
  <c r="BC275" i="58"/>
  <c r="AZ274" i="58"/>
  <c r="I274" i="58"/>
  <c r="F83" i="65"/>
  <c r="AZ58" i="65"/>
  <c r="BC52" i="65"/>
  <c r="BC48" i="65"/>
  <c r="AV298" i="58"/>
  <c r="H298" i="58"/>
  <c r="AN297" i="58"/>
  <c r="BJ296" i="58"/>
  <c r="BB295" i="58"/>
  <c r="AE295" i="58"/>
  <c r="AF295" i="58" s="1"/>
  <c r="AG295" i="58" s="1"/>
  <c r="AH295" i="58" s="1"/>
  <c r="AV294" i="58"/>
  <c r="H294" i="58"/>
  <c r="AN293" i="58"/>
  <c r="BJ292" i="58"/>
  <c r="BB291" i="58"/>
  <c r="AE291" i="58"/>
  <c r="AF291" i="58" s="1"/>
  <c r="AG291" i="58" s="1"/>
  <c r="AH291" i="58" s="1"/>
  <c r="AV290" i="58"/>
  <c r="H290" i="58"/>
  <c r="AN289" i="58"/>
  <c r="BJ288" i="58"/>
  <c r="BB287" i="58"/>
  <c r="AE287" i="58"/>
  <c r="AF287" i="58" s="1"/>
  <c r="AG287" i="58" s="1"/>
  <c r="AH287" i="58" s="1"/>
  <c r="AV286" i="58"/>
  <c r="H286" i="58"/>
  <c r="AN285" i="58"/>
  <c r="BJ284" i="58"/>
  <c r="BB283" i="58"/>
  <c r="AE283" i="58"/>
  <c r="AF283" i="58" s="1"/>
  <c r="AG283" i="58" s="1"/>
  <c r="AH283" i="58" s="1"/>
  <c r="AV282" i="58"/>
  <c r="H282" i="58"/>
  <c r="AN281" i="58"/>
  <c r="BJ280" i="58"/>
  <c r="BB279" i="58"/>
  <c r="AE279" i="58"/>
  <c r="AF279" i="58" s="1"/>
  <c r="AG279" i="58" s="1"/>
  <c r="AH279" i="58" s="1"/>
  <c r="AV278" i="58"/>
  <c r="H278" i="58"/>
  <c r="AN277" i="58"/>
  <c r="BJ276" i="58"/>
  <c r="BB275" i="58"/>
  <c r="AE275" i="58"/>
  <c r="AF275" i="58" s="1"/>
  <c r="AG275" i="58" s="1"/>
  <c r="AH275" i="58" s="1"/>
  <c r="AV274" i="58"/>
  <c r="H274" i="58"/>
  <c r="AN273" i="58"/>
  <c r="BJ272" i="58"/>
  <c r="BB271" i="58"/>
  <c r="AE271" i="58"/>
  <c r="AF271" i="58" s="1"/>
  <c r="AG271" i="58" s="1"/>
  <c r="AH271" i="58" s="1"/>
  <c r="AV270" i="58"/>
  <c r="AP79" i="65"/>
  <c r="H58" i="65"/>
  <c r="AZ48" i="65"/>
  <c r="AP298" i="58"/>
  <c r="F298" i="58"/>
  <c r="AL297" i="58"/>
  <c r="BI296" i="58"/>
  <c r="BA295" i="58"/>
  <c r="J295" i="58"/>
  <c r="AP294" i="58"/>
  <c r="F294" i="58"/>
  <c r="AL293" i="58"/>
  <c r="BI292" i="58"/>
  <c r="BA291" i="58"/>
  <c r="J291" i="58"/>
  <c r="AP290" i="58"/>
  <c r="F290" i="58"/>
  <c r="AL289" i="58"/>
  <c r="BI288" i="58"/>
  <c r="BA287" i="58"/>
  <c r="J287" i="58"/>
  <c r="AP286" i="58"/>
  <c r="F286" i="58"/>
  <c r="AL285" i="58"/>
  <c r="BI284" i="58"/>
  <c r="BA283" i="58"/>
  <c r="J283" i="58"/>
  <c r="AP282" i="58"/>
  <c r="F282" i="58"/>
  <c r="AL281" i="58"/>
  <c r="BI280" i="58"/>
  <c r="BA279" i="58"/>
  <c r="J279" i="58"/>
  <c r="AP278" i="58"/>
  <c r="F278" i="58"/>
  <c r="AL277" i="58"/>
  <c r="BI276" i="58"/>
  <c r="BA275" i="58"/>
  <c r="J275" i="58"/>
  <c r="AP274" i="58"/>
  <c r="F274" i="58"/>
  <c r="AL273" i="58"/>
  <c r="BI272" i="58"/>
  <c r="BA271" i="58"/>
  <c r="J271" i="58"/>
  <c r="AP270" i="58"/>
  <c r="F270" i="58"/>
  <c r="AL269" i="58"/>
  <c r="BI268" i="58"/>
  <c r="BA267" i="58"/>
  <c r="J76" i="65"/>
  <c r="AZ51" i="65"/>
  <c r="AO298" i="58"/>
  <c r="BK297" i="58"/>
  <c r="AI297" i="58"/>
  <c r="BC296" i="58"/>
  <c r="AZ295" i="58"/>
  <c r="I295" i="58"/>
  <c r="AO294" i="58"/>
  <c r="BK293" i="58"/>
  <c r="AI293" i="58"/>
  <c r="BC292" i="58"/>
  <c r="AZ291" i="58"/>
  <c r="I291" i="58"/>
  <c r="AO290" i="58"/>
  <c r="BK289" i="58"/>
  <c r="AI289" i="58"/>
  <c r="BC288" i="58"/>
  <c r="AZ287" i="58"/>
  <c r="I287" i="58"/>
  <c r="AO286" i="58"/>
  <c r="BK285" i="58"/>
  <c r="AI285" i="58"/>
  <c r="BC284" i="58"/>
  <c r="AZ283" i="58"/>
  <c r="I283" i="58"/>
  <c r="AO282" i="58"/>
  <c r="BK281" i="58"/>
  <c r="AI281" i="58"/>
  <c r="BC280" i="58"/>
  <c r="AZ279" i="58"/>
  <c r="I279" i="58"/>
  <c r="AO278" i="58"/>
  <c r="BK277" i="58"/>
  <c r="AI277" i="58"/>
  <c r="BC276" i="58"/>
  <c r="AZ275" i="58"/>
  <c r="I275" i="58"/>
  <c r="AO274" i="58"/>
  <c r="BK273" i="58"/>
  <c r="AI273" i="58"/>
  <c r="BC272" i="58"/>
  <c r="AZ271" i="58"/>
  <c r="I271" i="58"/>
  <c r="AO270" i="58"/>
  <c r="BK269" i="58"/>
  <c r="AI269" i="58"/>
  <c r="BC268" i="58"/>
  <c r="AZ267" i="58"/>
  <c r="I267" i="58"/>
  <c r="AO266" i="58"/>
  <c r="BK265" i="58"/>
  <c r="AI265" i="58"/>
  <c r="BA72" i="65"/>
  <c r="AN57" i="65"/>
  <c r="AO51" i="65"/>
  <c r="I48" i="65"/>
  <c r="AN298" i="58"/>
  <c r="BJ297" i="58"/>
  <c r="BB296" i="58"/>
  <c r="AE296" i="58"/>
  <c r="AF296" i="58" s="1"/>
  <c r="AG296" i="58" s="1"/>
  <c r="AH296" i="58" s="1"/>
  <c r="AV295" i="58"/>
  <c r="H295" i="58"/>
  <c r="AN294" i="58"/>
  <c r="BJ293" i="58"/>
  <c r="BB292" i="58"/>
  <c r="AE292" i="58"/>
  <c r="AF292" i="58" s="1"/>
  <c r="AG292" i="58" s="1"/>
  <c r="AH292" i="58" s="1"/>
  <c r="AV291" i="58"/>
  <c r="H291" i="58"/>
  <c r="AN290" i="58"/>
  <c r="BJ289" i="58"/>
  <c r="BB288" i="58"/>
  <c r="AE288" i="58"/>
  <c r="AF288" i="58" s="1"/>
  <c r="AG288" i="58" s="1"/>
  <c r="AH288" i="58" s="1"/>
  <c r="AV287" i="58"/>
  <c r="H287" i="58"/>
  <c r="AN286" i="58"/>
  <c r="BJ285" i="58"/>
  <c r="BB284" i="58"/>
  <c r="AE284" i="58"/>
  <c r="AF284" i="58" s="1"/>
  <c r="AG284" i="58" s="1"/>
  <c r="AH284" i="58" s="1"/>
  <c r="AV283" i="58"/>
  <c r="H283" i="58"/>
  <c r="AN282" i="58"/>
  <c r="BJ281" i="58"/>
  <c r="BB280" i="58"/>
  <c r="AE280" i="58"/>
  <c r="AF280" i="58" s="1"/>
  <c r="AG280" i="58" s="1"/>
  <c r="AH280" i="58" s="1"/>
  <c r="AV279" i="58"/>
  <c r="H279" i="58"/>
  <c r="AN278" i="58"/>
  <c r="BJ277" i="58"/>
  <c r="BB276" i="58"/>
  <c r="AE276" i="58"/>
  <c r="AF276" i="58" s="1"/>
  <c r="AG276" i="58" s="1"/>
  <c r="AH276" i="58" s="1"/>
  <c r="AV275" i="58"/>
  <c r="H275" i="58"/>
  <c r="AN274" i="58"/>
  <c r="BJ273" i="58"/>
  <c r="BB272" i="58"/>
  <c r="AE272" i="58"/>
  <c r="AF272" i="58" s="1"/>
  <c r="AG272" i="58" s="1"/>
  <c r="AH272" i="58" s="1"/>
  <c r="AV271" i="58"/>
  <c r="H271" i="58"/>
  <c r="AN270" i="58"/>
  <c r="BJ269" i="58"/>
  <c r="BB268" i="58"/>
  <c r="AE268" i="58"/>
  <c r="AF268" i="58" s="1"/>
  <c r="AG268" i="58" s="1"/>
  <c r="AH268" i="58" s="1"/>
  <c r="AV267" i="58"/>
  <c r="H267" i="58"/>
  <c r="I51" i="65"/>
  <c r="AL298" i="58"/>
  <c r="BI297" i="58"/>
  <c r="BA296" i="58"/>
  <c r="J296" i="58"/>
  <c r="AP295" i="58"/>
  <c r="F295" i="58"/>
  <c r="AL294" i="58"/>
  <c r="BI293" i="58"/>
  <c r="BA292" i="58"/>
  <c r="J292" i="58"/>
  <c r="AP291" i="58"/>
  <c r="F291" i="58"/>
  <c r="AL290" i="58"/>
  <c r="BI289" i="58"/>
  <c r="BA288" i="58"/>
  <c r="J288" i="58"/>
  <c r="AP287" i="58"/>
  <c r="F287" i="58"/>
  <c r="AL286" i="58"/>
  <c r="BI285" i="58"/>
  <c r="BA284" i="58"/>
  <c r="J284" i="58"/>
  <c r="AP283" i="58"/>
  <c r="F283" i="58"/>
  <c r="AL282" i="58"/>
  <c r="BI281" i="58"/>
  <c r="BA280" i="58"/>
  <c r="J280" i="58"/>
  <c r="AP279" i="58"/>
  <c r="F279" i="58"/>
  <c r="AL278" i="58"/>
  <c r="BI277" i="58"/>
  <c r="BA276" i="58"/>
  <c r="J276" i="58"/>
  <c r="AP275" i="58"/>
  <c r="F275" i="58"/>
  <c r="AL274" i="58"/>
  <c r="BK272" i="58"/>
  <c r="BI269" i="58"/>
  <c r="AP267" i="58"/>
  <c r="AN266" i="58"/>
  <c r="AN265" i="58"/>
  <c r="AV264" i="58"/>
  <c r="BC263" i="58"/>
  <c r="I263" i="58"/>
  <c r="AO261" i="58"/>
  <c r="BC260" i="58"/>
  <c r="J260" i="58"/>
  <c r="AL259" i="58"/>
  <c r="BB258" i="58"/>
  <c r="J258" i="58"/>
  <c r="AP257" i="58"/>
  <c r="F257" i="58"/>
  <c r="AL256" i="58"/>
  <c r="BI255" i="58"/>
  <c r="BA254" i="58"/>
  <c r="J254" i="58"/>
  <c r="AP253" i="58"/>
  <c r="F253" i="58"/>
  <c r="AL252" i="58"/>
  <c r="BI251" i="58"/>
  <c r="BA250" i="58"/>
  <c r="J250" i="58"/>
  <c r="AP249" i="58"/>
  <c r="F249" i="58"/>
  <c r="AL248" i="58"/>
  <c r="BI247" i="58"/>
  <c r="BA246" i="58"/>
  <c r="J246" i="58"/>
  <c r="AP245" i="58"/>
  <c r="F245" i="58"/>
  <c r="AL244" i="58"/>
  <c r="BI243" i="58"/>
  <c r="BA242" i="58"/>
  <c r="J242" i="58"/>
  <c r="AP241" i="58"/>
  <c r="F241" i="58"/>
  <c r="AL240" i="58"/>
  <c r="BI239" i="58"/>
  <c r="BA238" i="58"/>
  <c r="J238" i="58"/>
  <c r="AP237" i="58"/>
  <c r="F237" i="58"/>
  <c r="AL236" i="58"/>
  <c r="BI235" i="58"/>
  <c r="BA234" i="58"/>
  <c r="J234" i="58"/>
  <c r="AP233" i="58"/>
  <c r="F233" i="58"/>
  <c r="AL232" i="58"/>
  <c r="BI231" i="58"/>
  <c r="BA230" i="58"/>
  <c r="J230" i="58"/>
  <c r="AP229" i="58"/>
  <c r="F229" i="58"/>
  <c r="AL228" i="58"/>
  <c r="BI227" i="58"/>
  <c r="BA226" i="58"/>
  <c r="J226" i="58"/>
  <c r="AP225" i="58"/>
  <c r="F225" i="58"/>
  <c r="AL224" i="58"/>
  <c r="BI223" i="58"/>
  <c r="BA222" i="58"/>
  <c r="BA272" i="58"/>
  <c r="AO269" i="58"/>
  <c r="AL267" i="58"/>
  <c r="AL266" i="58"/>
  <c r="AL265" i="58"/>
  <c r="AP264" i="58"/>
  <c r="BB263" i="58"/>
  <c r="H263" i="58"/>
  <c r="AN261" i="58"/>
  <c r="BB260" i="58"/>
  <c r="H260" i="58"/>
  <c r="AI259" i="58"/>
  <c r="BA258" i="58"/>
  <c r="I258" i="58"/>
  <c r="AO257" i="58"/>
  <c r="BK256" i="58"/>
  <c r="AI256" i="58"/>
  <c r="BC255" i="58"/>
  <c r="AZ254" i="58"/>
  <c r="I254" i="58"/>
  <c r="AO253" i="58"/>
  <c r="BK252" i="58"/>
  <c r="AI252" i="58"/>
  <c r="BC251" i="58"/>
  <c r="AZ250" i="58"/>
  <c r="I250" i="58"/>
  <c r="AO249" i="58"/>
  <c r="BK248" i="58"/>
  <c r="AI248" i="58"/>
  <c r="BC247" i="58"/>
  <c r="AZ246" i="58"/>
  <c r="I246" i="58"/>
  <c r="AO245" i="58"/>
  <c r="BK244" i="58"/>
  <c r="AI244" i="58"/>
  <c r="BC243" i="58"/>
  <c r="AZ242" i="58"/>
  <c r="I242" i="58"/>
  <c r="AO241" i="58"/>
  <c r="BK240" i="58"/>
  <c r="AI240" i="58"/>
  <c r="BC239" i="58"/>
  <c r="AZ238" i="58"/>
  <c r="I238" i="58"/>
  <c r="AO237" i="58"/>
  <c r="BK236" i="58"/>
  <c r="AI236" i="58"/>
  <c r="BC235" i="58"/>
  <c r="AZ234" i="58"/>
  <c r="I234" i="58"/>
  <c r="AO233" i="58"/>
  <c r="BK232" i="58"/>
  <c r="AI232" i="58"/>
  <c r="BC231" i="58"/>
  <c r="AZ230" i="58"/>
  <c r="I230" i="58"/>
  <c r="AO229" i="58"/>
  <c r="BK228" i="58"/>
  <c r="AI228" i="58"/>
  <c r="BC227" i="58"/>
  <c r="AZ226" i="58"/>
  <c r="AI272" i="58"/>
  <c r="AN269" i="58"/>
  <c r="AL264" i="58"/>
  <c r="BA263" i="58"/>
  <c r="F263" i="58"/>
  <c r="J262" i="58"/>
  <c r="AL261" i="58"/>
  <c r="BA260" i="58"/>
  <c r="F260" i="58"/>
  <c r="AZ258" i="58"/>
  <c r="H258" i="58"/>
  <c r="AN257" i="58"/>
  <c r="BJ256" i="58"/>
  <c r="BB255" i="58"/>
  <c r="AE255" i="58"/>
  <c r="AF255" i="58" s="1"/>
  <c r="AG255" i="58" s="1"/>
  <c r="AH255" i="58" s="1"/>
  <c r="AV254" i="58"/>
  <c r="H254" i="58"/>
  <c r="AN253" i="58"/>
  <c r="BJ252" i="58"/>
  <c r="BB251" i="58"/>
  <c r="AE251" i="58"/>
  <c r="AF251" i="58" s="1"/>
  <c r="AG251" i="58" s="1"/>
  <c r="AH251" i="58" s="1"/>
  <c r="AV250" i="58"/>
  <c r="H250" i="58"/>
  <c r="AN249" i="58"/>
  <c r="BJ248" i="58"/>
  <c r="BB247" i="58"/>
  <c r="AE247" i="58"/>
  <c r="AF247" i="58" s="1"/>
  <c r="AG247" i="58" s="1"/>
  <c r="AH247" i="58" s="1"/>
  <c r="AV246" i="58"/>
  <c r="H246" i="58"/>
  <c r="AN245" i="58"/>
  <c r="BJ244" i="58"/>
  <c r="BB243" i="58"/>
  <c r="AE243" i="58"/>
  <c r="AF243" i="58" s="1"/>
  <c r="AG243" i="58" s="1"/>
  <c r="AH243" i="58" s="1"/>
  <c r="AV242" i="58"/>
  <c r="H242" i="58"/>
  <c r="AN241" i="58"/>
  <c r="BJ240" i="58"/>
  <c r="BB239" i="58"/>
  <c r="AE239" i="58"/>
  <c r="AF239" i="58" s="1"/>
  <c r="AG239" i="58" s="1"/>
  <c r="AH239" i="58" s="1"/>
  <c r="AV238" i="58"/>
  <c r="H238" i="58"/>
  <c r="AN237" i="58"/>
  <c r="BJ236" i="58"/>
  <c r="BB235" i="58"/>
  <c r="AE235" i="58"/>
  <c r="AF235" i="58" s="1"/>
  <c r="AG235" i="58" s="1"/>
  <c r="AH235" i="58" s="1"/>
  <c r="AV234" i="58"/>
  <c r="H234" i="58"/>
  <c r="AN233" i="58"/>
  <c r="BJ232" i="58"/>
  <c r="BB231" i="58"/>
  <c r="AE231" i="58"/>
  <c r="AF231" i="58" s="1"/>
  <c r="AG231" i="58" s="1"/>
  <c r="AH231" i="58" s="1"/>
  <c r="AV230" i="58"/>
  <c r="H230" i="58"/>
  <c r="AN229" i="58"/>
  <c r="BJ228" i="58"/>
  <c r="BB227" i="58"/>
  <c r="AE227" i="58"/>
  <c r="AF227" i="58" s="1"/>
  <c r="AG227" i="58" s="1"/>
  <c r="AH227" i="58" s="1"/>
  <c r="AV226" i="58"/>
  <c r="H226" i="58"/>
  <c r="AN225" i="58"/>
  <c r="BJ224" i="58"/>
  <c r="BB223" i="58"/>
  <c r="AE223" i="58"/>
  <c r="AF223" i="58" s="1"/>
  <c r="AG223" i="58" s="1"/>
  <c r="AH223" i="58" s="1"/>
  <c r="AV222" i="58"/>
  <c r="H222" i="58"/>
  <c r="AN221" i="58"/>
  <c r="BJ220" i="58"/>
  <c r="BB219" i="58"/>
  <c r="AE219" i="58"/>
  <c r="AF219" i="58" s="1"/>
  <c r="AG219" i="58" s="1"/>
  <c r="AH219" i="58" s="1"/>
  <c r="AV218" i="58"/>
  <c r="H218" i="58"/>
  <c r="AN217" i="58"/>
  <c r="BJ216" i="58"/>
  <c r="BB215" i="58"/>
  <c r="J272" i="58"/>
  <c r="J266" i="58"/>
  <c r="AI264" i="58"/>
  <c r="AZ263" i="58"/>
  <c r="BJ262" i="58"/>
  <c r="I262" i="58"/>
  <c r="AI261" i="58"/>
  <c r="AV260" i="58"/>
  <c r="BK259" i="58"/>
  <c r="AV258" i="58"/>
  <c r="F258" i="58"/>
  <c r="AL257" i="58"/>
  <c r="BI256" i="58"/>
  <c r="BA255" i="58"/>
  <c r="J255" i="58"/>
  <c r="AP254" i="58"/>
  <c r="F254" i="58"/>
  <c r="AL253" i="58"/>
  <c r="BI252" i="58"/>
  <c r="BA251" i="58"/>
  <c r="J251" i="58"/>
  <c r="AP250" i="58"/>
  <c r="F250" i="58"/>
  <c r="AL249" i="58"/>
  <c r="BI248" i="58"/>
  <c r="BA247" i="58"/>
  <c r="J247" i="58"/>
  <c r="AP246" i="58"/>
  <c r="F246" i="58"/>
  <c r="AL245" i="58"/>
  <c r="BI244" i="58"/>
  <c r="BA243" i="58"/>
  <c r="J243" i="58"/>
  <c r="AP242" i="58"/>
  <c r="F242" i="58"/>
  <c r="AL241" i="58"/>
  <c r="BI240" i="58"/>
  <c r="BA239" i="58"/>
  <c r="J239" i="58"/>
  <c r="AP238" i="58"/>
  <c r="F238" i="58"/>
  <c r="AL237" i="58"/>
  <c r="BI236" i="58"/>
  <c r="BA235" i="58"/>
  <c r="J235" i="58"/>
  <c r="AP234" i="58"/>
  <c r="F234" i="58"/>
  <c r="AL233" i="58"/>
  <c r="BI232" i="58"/>
  <c r="BA231" i="58"/>
  <c r="J231" i="58"/>
  <c r="AP230" i="58"/>
  <c r="F230" i="58"/>
  <c r="AL229" i="58"/>
  <c r="BI228" i="58"/>
  <c r="BA227" i="58"/>
  <c r="J227" i="58"/>
  <c r="AP226" i="58"/>
  <c r="F226" i="58"/>
  <c r="AL225" i="58"/>
  <c r="BC271" i="58"/>
  <c r="BK268" i="58"/>
  <c r="AE267" i="58"/>
  <c r="AF267" i="58" s="1"/>
  <c r="AG267" i="58" s="1"/>
  <c r="AH267" i="58" s="1"/>
  <c r="I266" i="58"/>
  <c r="J265" i="58"/>
  <c r="AV263" i="58"/>
  <c r="BI262" i="58"/>
  <c r="H262" i="58"/>
  <c r="AP260" i="58"/>
  <c r="BI259" i="58"/>
  <c r="AE259" i="58"/>
  <c r="AF259" i="58" s="1"/>
  <c r="AG259" i="58" s="1"/>
  <c r="AH259" i="58" s="1"/>
  <c r="AP258" i="58"/>
  <c r="BK257" i="58"/>
  <c r="AI257" i="58"/>
  <c r="BC256" i="58"/>
  <c r="AZ255" i="58"/>
  <c r="I255" i="58"/>
  <c r="AO254" i="58"/>
  <c r="BK253" i="58"/>
  <c r="AI253" i="58"/>
  <c r="BC252" i="58"/>
  <c r="AZ251" i="58"/>
  <c r="I251" i="58"/>
  <c r="AO250" i="58"/>
  <c r="BK249" i="58"/>
  <c r="AI249" i="58"/>
  <c r="BC248" i="58"/>
  <c r="AZ247" i="58"/>
  <c r="I247" i="58"/>
  <c r="AO246" i="58"/>
  <c r="BK245" i="58"/>
  <c r="AI245" i="58"/>
  <c r="BC244" i="58"/>
  <c r="AZ243" i="58"/>
  <c r="I243" i="58"/>
  <c r="AO242" i="58"/>
  <c r="BK241" i="58"/>
  <c r="AI241" i="58"/>
  <c r="BC240" i="58"/>
  <c r="AZ239" i="58"/>
  <c r="I239" i="58"/>
  <c r="AO238" i="58"/>
  <c r="BK237" i="58"/>
  <c r="AI237" i="58"/>
  <c r="BC236" i="58"/>
  <c r="AZ235" i="58"/>
  <c r="I235" i="58"/>
  <c r="AO234" i="58"/>
  <c r="BK233" i="58"/>
  <c r="AI233" i="58"/>
  <c r="BC232" i="58"/>
  <c r="AZ231" i="58"/>
  <c r="I231" i="58"/>
  <c r="AO230" i="58"/>
  <c r="BK229" i="58"/>
  <c r="AI229" i="58"/>
  <c r="BC228" i="58"/>
  <c r="AZ227" i="58"/>
  <c r="I227" i="58"/>
  <c r="AO226" i="58"/>
  <c r="BK225" i="58"/>
  <c r="AI225" i="58"/>
  <c r="BC224" i="58"/>
  <c r="AZ223" i="58"/>
  <c r="I223" i="58"/>
  <c r="AO222" i="58"/>
  <c r="BK221" i="58"/>
  <c r="AI221" i="58"/>
  <c r="BC220" i="58"/>
  <c r="AZ219" i="58"/>
  <c r="I219" i="58"/>
  <c r="AO218" i="58"/>
  <c r="BK217" i="58"/>
  <c r="AI217" i="58"/>
  <c r="AP271" i="58"/>
  <c r="BJ268" i="58"/>
  <c r="J267" i="58"/>
  <c r="H266" i="58"/>
  <c r="F265" i="58"/>
  <c r="AP263" i="58"/>
  <c r="BA262" i="58"/>
  <c r="F262" i="58"/>
  <c r="AO260" i="58"/>
  <c r="BC259" i="58"/>
  <c r="J259" i="58"/>
  <c r="AO258" i="58"/>
  <c r="BJ257" i="58"/>
  <c r="BB256" i="58"/>
  <c r="AE256" i="58"/>
  <c r="AF256" i="58" s="1"/>
  <c r="AG256" i="58" s="1"/>
  <c r="AH256" i="58" s="1"/>
  <c r="AV255" i="58"/>
  <c r="H255" i="58"/>
  <c r="AN254" i="58"/>
  <c r="BJ253" i="58"/>
  <c r="BB252" i="58"/>
  <c r="AE252" i="58"/>
  <c r="AF252" i="58" s="1"/>
  <c r="AG252" i="58" s="1"/>
  <c r="AH252" i="58" s="1"/>
  <c r="AV251" i="58"/>
  <c r="H251" i="58"/>
  <c r="AN250" i="58"/>
  <c r="BJ249" i="58"/>
  <c r="BB248" i="58"/>
  <c r="AE248" i="58"/>
  <c r="AF248" i="58" s="1"/>
  <c r="AG248" i="58" s="1"/>
  <c r="AH248" i="58" s="1"/>
  <c r="AV247" i="58"/>
  <c r="H247" i="58"/>
  <c r="AN246" i="58"/>
  <c r="BJ245" i="58"/>
  <c r="BB244" i="58"/>
  <c r="AE244" i="58"/>
  <c r="AF244" i="58" s="1"/>
  <c r="AG244" i="58" s="1"/>
  <c r="AH244" i="58" s="1"/>
  <c r="AV243" i="58"/>
  <c r="H243" i="58"/>
  <c r="AN242" i="58"/>
  <c r="BJ241" i="58"/>
  <c r="BB240" i="58"/>
  <c r="AE240" i="58"/>
  <c r="AF240" i="58" s="1"/>
  <c r="AG240" i="58" s="1"/>
  <c r="AH240" i="58" s="1"/>
  <c r="AV239" i="58"/>
  <c r="H239" i="58"/>
  <c r="AN238" i="58"/>
  <c r="BJ237" i="58"/>
  <c r="BB236" i="58"/>
  <c r="AE236" i="58"/>
  <c r="AF236" i="58" s="1"/>
  <c r="AG236" i="58" s="1"/>
  <c r="AH236" i="58" s="1"/>
  <c r="AV235" i="58"/>
  <c r="H235" i="58"/>
  <c r="AN234" i="58"/>
  <c r="BJ233" i="58"/>
  <c r="BB232" i="58"/>
  <c r="AE232" i="58"/>
  <c r="AF232" i="58" s="1"/>
  <c r="AG232" i="58" s="1"/>
  <c r="AH232" i="58" s="1"/>
  <c r="AV231" i="58"/>
  <c r="H231" i="58"/>
  <c r="AN230" i="58"/>
  <c r="BJ229" i="58"/>
  <c r="BB228" i="58"/>
  <c r="AE228" i="58"/>
  <c r="AF228" i="58" s="1"/>
  <c r="AG228" i="58" s="1"/>
  <c r="AH228" i="58" s="1"/>
  <c r="AV227" i="58"/>
  <c r="H227" i="58"/>
  <c r="AN226" i="58"/>
  <c r="BA268" i="58"/>
  <c r="F267" i="58"/>
  <c r="F266" i="58"/>
  <c r="BK264" i="58"/>
  <c r="AN263" i="58"/>
  <c r="AZ262" i="58"/>
  <c r="BK261" i="58"/>
  <c r="AE261" i="58"/>
  <c r="AF261" i="58" s="1"/>
  <c r="AG261" i="58" s="1"/>
  <c r="AH261" i="58" s="1"/>
  <c r="AL260" i="58"/>
  <c r="BB259" i="58"/>
  <c r="I259" i="58"/>
  <c r="AN258" i="58"/>
  <c r="BI257" i="58"/>
  <c r="BA256" i="58"/>
  <c r="J256" i="58"/>
  <c r="AP255" i="58"/>
  <c r="F255" i="58"/>
  <c r="AL254" i="58"/>
  <c r="BI253" i="58"/>
  <c r="BA252" i="58"/>
  <c r="J252" i="58"/>
  <c r="AP251" i="58"/>
  <c r="F251" i="58"/>
  <c r="AL250" i="58"/>
  <c r="BI249" i="58"/>
  <c r="BA248" i="58"/>
  <c r="J248" i="58"/>
  <c r="AP247" i="58"/>
  <c r="F247" i="58"/>
  <c r="AL246" i="58"/>
  <c r="BI245" i="58"/>
  <c r="BA244" i="58"/>
  <c r="J244" i="58"/>
  <c r="AP243" i="58"/>
  <c r="F243" i="58"/>
  <c r="AL242" i="58"/>
  <c r="BI241" i="58"/>
  <c r="BA240" i="58"/>
  <c r="J240" i="58"/>
  <c r="AP239" i="58"/>
  <c r="F239" i="58"/>
  <c r="AL238" i="58"/>
  <c r="BI237" i="58"/>
  <c r="BA236" i="58"/>
  <c r="J236" i="58"/>
  <c r="AP235" i="58"/>
  <c r="F235" i="58"/>
  <c r="AL234" i="58"/>
  <c r="BI233" i="58"/>
  <c r="BA232" i="58"/>
  <c r="J232" i="58"/>
  <c r="AP231" i="58"/>
  <c r="F231" i="58"/>
  <c r="AL230" i="58"/>
  <c r="BI229" i="58"/>
  <c r="BA228" i="58"/>
  <c r="J228" i="58"/>
  <c r="AP227" i="58"/>
  <c r="F227" i="58"/>
  <c r="F271" i="58"/>
  <c r="AI268" i="58"/>
  <c r="BI266" i="58"/>
  <c r="BJ265" i="58"/>
  <c r="BJ264" i="58"/>
  <c r="AE264" i="58"/>
  <c r="AF264" i="58" s="1"/>
  <c r="AG264" i="58" s="1"/>
  <c r="AH264" i="58" s="1"/>
  <c r="AL263" i="58"/>
  <c r="AV262" i="58"/>
  <c r="BJ261" i="58"/>
  <c r="J261" i="58"/>
  <c r="AI260" i="58"/>
  <c r="BA259" i="58"/>
  <c r="H259" i="58"/>
  <c r="AL258" i="58"/>
  <c r="BC257" i="58"/>
  <c r="AZ256" i="58"/>
  <c r="I256" i="58"/>
  <c r="AO255" i="58"/>
  <c r="BK254" i="58"/>
  <c r="AI254" i="58"/>
  <c r="BC253" i="58"/>
  <c r="AZ252" i="58"/>
  <c r="I252" i="58"/>
  <c r="AO251" i="58"/>
  <c r="BK250" i="58"/>
  <c r="AI250" i="58"/>
  <c r="BC249" i="58"/>
  <c r="AZ248" i="58"/>
  <c r="I248" i="58"/>
  <c r="AO247" i="58"/>
  <c r="BK246" i="58"/>
  <c r="AI246" i="58"/>
  <c r="BC245" i="58"/>
  <c r="AZ244" i="58"/>
  <c r="I244" i="58"/>
  <c r="AO243" i="58"/>
  <c r="BK242" i="58"/>
  <c r="AI242" i="58"/>
  <c r="BC241" i="58"/>
  <c r="AZ240" i="58"/>
  <c r="I240" i="58"/>
  <c r="AO239" i="58"/>
  <c r="BK238" i="58"/>
  <c r="AI238" i="58"/>
  <c r="BC237" i="58"/>
  <c r="AZ236" i="58"/>
  <c r="I236" i="58"/>
  <c r="AO235" i="58"/>
  <c r="BK234" i="58"/>
  <c r="AI234" i="58"/>
  <c r="BC233" i="58"/>
  <c r="AZ232" i="58"/>
  <c r="I232" i="58"/>
  <c r="AO231" i="58"/>
  <c r="BK230" i="58"/>
  <c r="AI230" i="58"/>
  <c r="BC229" i="58"/>
  <c r="AZ228" i="58"/>
  <c r="I228" i="58"/>
  <c r="AO227" i="58"/>
  <c r="BK226" i="58"/>
  <c r="AI226" i="58"/>
  <c r="BC225" i="58"/>
  <c r="AZ224" i="58"/>
  <c r="I224" i="58"/>
  <c r="AO223" i="58"/>
  <c r="BK222" i="58"/>
  <c r="AI222" i="58"/>
  <c r="BC221" i="58"/>
  <c r="AZ220" i="58"/>
  <c r="I220" i="58"/>
  <c r="AO219" i="58"/>
  <c r="BK218" i="58"/>
  <c r="AI218" i="58"/>
  <c r="AZ270" i="58"/>
  <c r="BA266" i="58"/>
  <c r="BI265" i="58"/>
  <c r="BI264" i="58"/>
  <c r="J264" i="58"/>
  <c r="AP262" i="58"/>
  <c r="BI261" i="58"/>
  <c r="F261" i="58"/>
  <c r="AZ259" i="58"/>
  <c r="F259" i="58"/>
  <c r="BB257" i="58"/>
  <c r="AE257" i="58"/>
  <c r="AF257" i="58" s="1"/>
  <c r="AG257" i="58" s="1"/>
  <c r="AH257" i="58" s="1"/>
  <c r="AV256" i="58"/>
  <c r="H256" i="58"/>
  <c r="AN255" i="58"/>
  <c r="BJ254" i="58"/>
  <c r="BB253" i="58"/>
  <c r="AE253" i="58"/>
  <c r="AF253" i="58" s="1"/>
  <c r="AG253" i="58" s="1"/>
  <c r="AH253" i="58" s="1"/>
  <c r="AV252" i="58"/>
  <c r="H252" i="58"/>
  <c r="AN251" i="58"/>
  <c r="BJ250" i="58"/>
  <c r="BB249" i="58"/>
  <c r="AE249" i="58"/>
  <c r="AF249" i="58" s="1"/>
  <c r="AG249" i="58" s="1"/>
  <c r="AH249" i="58" s="1"/>
  <c r="AV248" i="58"/>
  <c r="H248" i="58"/>
  <c r="AN247" i="58"/>
  <c r="BJ246" i="58"/>
  <c r="BB245" i="58"/>
  <c r="AE245" i="58"/>
  <c r="AF245" i="58" s="1"/>
  <c r="AG245" i="58" s="1"/>
  <c r="AH245" i="58" s="1"/>
  <c r="AV244" i="58"/>
  <c r="H244" i="58"/>
  <c r="AN243" i="58"/>
  <c r="BJ242" i="58"/>
  <c r="BB241" i="58"/>
  <c r="AE241" i="58"/>
  <c r="AF241" i="58" s="1"/>
  <c r="AG241" i="58" s="1"/>
  <c r="AH241" i="58" s="1"/>
  <c r="AV240" i="58"/>
  <c r="H240" i="58"/>
  <c r="AN239" i="58"/>
  <c r="BJ238" i="58"/>
  <c r="BB237" i="58"/>
  <c r="AE237" i="58"/>
  <c r="AF237" i="58" s="1"/>
  <c r="AG237" i="58" s="1"/>
  <c r="AH237" i="58" s="1"/>
  <c r="AV236" i="58"/>
  <c r="H236" i="58"/>
  <c r="AN235" i="58"/>
  <c r="BJ234" i="58"/>
  <c r="BB233" i="58"/>
  <c r="AE233" i="58"/>
  <c r="AF233" i="58" s="1"/>
  <c r="AG233" i="58" s="1"/>
  <c r="AH233" i="58" s="1"/>
  <c r="AV232" i="58"/>
  <c r="H232" i="58"/>
  <c r="AN231" i="58"/>
  <c r="BJ230" i="58"/>
  <c r="BB229" i="58"/>
  <c r="AE229" i="58"/>
  <c r="AF229" i="58" s="1"/>
  <c r="AG229" i="58" s="1"/>
  <c r="AH229" i="58" s="1"/>
  <c r="AV228" i="58"/>
  <c r="H228" i="58"/>
  <c r="AN227" i="58"/>
  <c r="BJ226" i="58"/>
  <c r="BB225" i="58"/>
  <c r="AE225" i="58"/>
  <c r="AF225" i="58" s="1"/>
  <c r="AG225" i="58" s="1"/>
  <c r="AH225" i="58" s="1"/>
  <c r="AV224" i="58"/>
  <c r="H224" i="58"/>
  <c r="AN223" i="58"/>
  <c r="BJ222" i="58"/>
  <c r="BB221" i="58"/>
  <c r="AE221" i="58"/>
  <c r="AF221" i="58" s="1"/>
  <c r="AG221" i="58" s="1"/>
  <c r="AH221" i="58" s="1"/>
  <c r="AV220" i="58"/>
  <c r="H220" i="58"/>
  <c r="AN219" i="58"/>
  <c r="BI273" i="58"/>
  <c r="AL270" i="58"/>
  <c r="J268" i="58"/>
  <c r="AZ266" i="58"/>
  <c r="BA265" i="58"/>
  <c r="BC264" i="58"/>
  <c r="H264" i="58"/>
  <c r="AO262" i="58"/>
  <c r="BB261" i="58"/>
  <c r="BK260" i="58"/>
  <c r="AV259" i="58"/>
  <c r="BJ258" i="58"/>
  <c r="BA257" i="58"/>
  <c r="J257" i="58"/>
  <c r="AP256" i="58"/>
  <c r="F256" i="58"/>
  <c r="AL255" i="58"/>
  <c r="BI254" i="58"/>
  <c r="BA253" i="58"/>
  <c r="J253" i="58"/>
  <c r="AP252" i="58"/>
  <c r="F252" i="58"/>
  <c r="AL251" i="58"/>
  <c r="BI250" i="58"/>
  <c r="BA249" i="58"/>
  <c r="J249" i="58"/>
  <c r="AP248" i="58"/>
  <c r="F248" i="58"/>
  <c r="AL247" i="58"/>
  <c r="BI246" i="58"/>
  <c r="BA245" i="58"/>
  <c r="J245" i="58"/>
  <c r="AP244" i="58"/>
  <c r="F244" i="58"/>
  <c r="AL243" i="58"/>
  <c r="BI242" i="58"/>
  <c r="BA241" i="58"/>
  <c r="J241" i="58"/>
  <c r="AP240" i="58"/>
  <c r="F240" i="58"/>
  <c r="AL239" i="58"/>
  <c r="BI238" i="58"/>
  <c r="BA237" i="58"/>
  <c r="J237" i="58"/>
  <c r="AP236" i="58"/>
  <c r="F236" i="58"/>
  <c r="AL235" i="58"/>
  <c r="BI234" i="58"/>
  <c r="BA233" i="58"/>
  <c r="J233" i="58"/>
  <c r="AP232" i="58"/>
  <c r="F232" i="58"/>
  <c r="AL231" i="58"/>
  <c r="BI230" i="58"/>
  <c r="BA229" i="58"/>
  <c r="J229" i="58"/>
  <c r="AP228" i="58"/>
  <c r="F228" i="58"/>
  <c r="AL227" i="58"/>
  <c r="BI226" i="58"/>
  <c r="BA225" i="58"/>
  <c r="AO273" i="58"/>
  <c r="I270" i="58"/>
  <c r="BC267" i="58"/>
  <c r="AV266" i="58"/>
  <c r="AP265" i="58"/>
  <c r="BB264" i="58"/>
  <c r="F264" i="58"/>
  <c r="AE263" i="58"/>
  <c r="AF263" i="58" s="1"/>
  <c r="AG263" i="58" s="1"/>
  <c r="AH263" i="58" s="1"/>
  <c r="AN262" i="58"/>
  <c r="BA261" i="58"/>
  <c r="BJ260" i="58"/>
  <c r="AP259" i="58"/>
  <c r="BI258" i="58"/>
  <c r="AZ257" i="58"/>
  <c r="I257" i="58"/>
  <c r="AO256" i="58"/>
  <c r="BK255" i="58"/>
  <c r="AI255" i="58"/>
  <c r="BC254" i="58"/>
  <c r="AZ253" i="58"/>
  <c r="I253" i="58"/>
  <c r="AO252" i="58"/>
  <c r="BK251" i="58"/>
  <c r="AI251" i="58"/>
  <c r="BC250" i="58"/>
  <c r="AZ249" i="58"/>
  <c r="I249" i="58"/>
  <c r="AO248" i="58"/>
  <c r="BK247" i="58"/>
  <c r="AI247" i="58"/>
  <c r="BC246" i="58"/>
  <c r="AZ245" i="58"/>
  <c r="I245" i="58"/>
  <c r="AO244" i="58"/>
  <c r="BK243" i="58"/>
  <c r="AI243" i="58"/>
  <c r="BC242" i="58"/>
  <c r="AZ241" i="58"/>
  <c r="I241" i="58"/>
  <c r="AO240" i="58"/>
  <c r="BK239" i="58"/>
  <c r="AI239" i="58"/>
  <c r="BC238" i="58"/>
  <c r="AZ237" i="58"/>
  <c r="I237" i="58"/>
  <c r="AO236" i="58"/>
  <c r="BK235" i="58"/>
  <c r="AI235" i="58"/>
  <c r="BC234" i="58"/>
  <c r="AZ233" i="58"/>
  <c r="I233" i="58"/>
  <c r="AO232" i="58"/>
  <c r="BK231" i="58"/>
  <c r="AI231" i="58"/>
  <c r="BC230" i="58"/>
  <c r="AZ229" i="58"/>
  <c r="I229" i="58"/>
  <c r="AO228" i="58"/>
  <c r="BK227" i="58"/>
  <c r="AI227" i="58"/>
  <c r="BC226" i="58"/>
  <c r="AZ225" i="58"/>
  <c r="I225" i="58"/>
  <c r="AO224" i="58"/>
  <c r="BK223" i="58"/>
  <c r="AI223" i="58"/>
  <c r="BC222" i="58"/>
  <c r="AZ221" i="58"/>
  <c r="I221" i="58"/>
  <c r="AO220" i="58"/>
  <c r="BK219" i="58"/>
  <c r="AI219" i="58"/>
  <c r="BC218" i="58"/>
  <c r="H270" i="58"/>
  <c r="BB267" i="58"/>
  <c r="AP266" i="58"/>
  <c r="AO265" i="58"/>
  <c r="BA264" i="58"/>
  <c r="BI263" i="58"/>
  <c r="J263" i="58"/>
  <c r="AL262" i="58"/>
  <c r="AP261" i="58"/>
  <c r="BI260" i="58"/>
  <c r="AE260" i="58"/>
  <c r="AF260" i="58" s="1"/>
  <c r="AG260" i="58" s="1"/>
  <c r="AH260" i="58" s="1"/>
  <c r="AN259" i="58"/>
  <c r="BC258" i="58"/>
  <c r="AE258" i="58"/>
  <c r="AF258" i="58" s="1"/>
  <c r="AG258" i="58" s="1"/>
  <c r="AH258" i="58" s="1"/>
  <c r="AV257" i="58"/>
  <c r="H257" i="58"/>
  <c r="AN256" i="58"/>
  <c r="BJ255" i="58"/>
  <c r="BB254" i="58"/>
  <c r="AE254" i="58"/>
  <c r="AF254" i="58" s="1"/>
  <c r="AG254" i="58" s="1"/>
  <c r="AH254" i="58" s="1"/>
  <c r="AV253" i="58"/>
  <c r="H253" i="58"/>
  <c r="AN252" i="58"/>
  <c r="BJ251" i="58"/>
  <c r="BB250" i="58"/>
  <c r="AE250" i="58"/>
  <c r="AF250" i="58" s="1"/>
  <c r="AG250" i="58" s="1"/>
  <c r="AH250" i="58" s="1"/>
  <c r="AV249" i="58"/>
  <c r="AN240" i="58"/>
  <c r="AV233" i="58"/>
  <c r="BB226" i="58"/>
  <c r="BK224" i="58"/>
  <c r="BC223" i="58"/>
  <c r="AZ222" i="58"/>
  <c r="AV221" i="58"/>
  <c r="BA220" i="58"/>
  <c r="BA219" i="58"/>
  <c r="BB218" i="58"/>
  <c r="BJ217" i="58"/>
  <c r="AV216" i="58"/>
  <c r="F216" i="58"/>
  <c r="AI215" i="58"/>
  <c r="BC214" i="58"/>
  <c r="AZ213" i="58"/>
  <c r="I213" i="58"/>
  <c r="AO212" i="58"/>
  <c r="BK211" i="58"/>
  <c r="AI211" i="58"/>
  <c r="BC210" i="58"/>
  <c r="AZ209" i="58"/>
  <c r="I209" i="58"/>
  <c r="AO208" i="58"/>
  <c r="BK207" i="58"/>
  <c r="AI207" i="58"/>
  <c r="BC206" i="58"/>
  <c r="AZ205" i="58"/>
  <c r="I205" i="58"/>
  <c r="AO204" i="58"/>
  <c r="BK203" i="58"/>
  <c r="AI203" i="58"/>
  <c r="BC202" i="58"/>
  <c r="AZ201" i="58"/>
  <c r="I201" i="58"/>
  <c r="AO200" i="58"/>
  <c r="BK199" i="58"/>
  <c r="AI199" i="58"/>
  <c r="BI16" i="58"/>
  <c r="I16" i="58"/>
  <c r="BI14" i="58"/>
  <c r="I14" i="58"/>
  <c r="BI12" i="58"/>
  <c r="I12" i="58"/>
  <c r="BI10" i="58"/>
  <c r="I10" i="58"/>
  <c r="BI8" i="58"/>
  <c r="I8" i="58"/>
  <c r="BI6" i="58"/>
  <c r="I6" i="58"/>
  <c r="BI4" i="58"/>
  <c r="I4" i="58"/>
  <c r="BI2" i="58"/>
  <c r="I2" i="58"/>
  <c r="H8" i="58"/>
  <c r="AL6" i="58"/>
  <c r="BC4" i="58"/>
  <c r="H4" i="58"/>
  <c r="AL2" i="58"/>
  <c r="F10" i="58"/>
  <c r="F8" i="58"/>
  <c r="BB6" i="58"/>
  <c r="BB4" i="58"/>
  <c r="AE3" i="58"/>
  <c r="AF3" i="58" s="1"/>
  <c r="AG3" i="58" s="1"/>
  <c r="AH3" i="58" s="1"/>
  <c r="BJ10" i="58"/>
  <c r="BJ2" i="58"/>
  <c r="BB246" i="58"/>
  <c r="BJ239" i="58"/>
  <c r="H233" i="58"/>
  <c r="AL226" i="58"/>
  <c r="BI224" i="58"/>
  <c r="BA223" i="58"/>
  <c r="AP222" i="58"/>
  <c r="AP221" i="58"/>
  <c r="AP220" i="58"/>
  <c r="AV219" i="58"/>
  <c r="BA218" i="58"/>
  <c r="BI217" i="58"/>
  <c r="AE217" i="58"/>
  <c r="AF217" i="58" s="1"/>
  <c r="AG217" i="58" s="1"/>
  <c r="AH217" i="58" s="1"/>
  <c r="AP216" i="58"/>
  <c r="BK215" i="58"/>
  <c r="BB214" i="58"/>
  <c r="AE214" i="58"/>
  <c r="AF214" i="58" s="1"/>
  <c r="AG214" i="58" s="1"/>
  <c r="AH214" i="58" s="1"/>
  <c r="AV213" i="58"/>
  <c r="H213" i="58"/>
  <c r="AN212" i="58"/>
  <c r="BJ211" i="58"/>
  <c r="BB210" i="58"/>
  <c r="AE210" i="58"/>
  <c r="AF210" i="58" s="1"/>
  <c r="AG210" i="58" s="1"/>
  <c r="AH210" i="58" s="1"/>
  <c r="AV209" i="58"/>
  <c r="H209" i="58"/>
  <c r="AN208" i="58"/>
  <c r="BJ207" i="58"/>
  <c r="BB206" i="58"/>
  <c r="AE206" i="58"/>
  <c r="AF206" i="58" s="1"/>
  <c r="AG206" i="58" s="1"/>
  <c r="AH206" i="58" s="1"/>
  <c r="AV205" i="58"/>
  <c r="H205" i="58"/>
  <c r="AN204" i="58"/>
  <c r="BJ203" i="58"/>
  <c r="BB202" i="58"/>
  <c r="AE202" i="58"/>
  <c r="AF202" i="58" s="1"/>
  <c r="AG202" i="58" s="1"/>
  <c r="AH202" i="58" s="1"/>
  <c r="AV201" i="58"/>
  <c r="H201" i="58"/>
  <c r="AN200" i="58"/>
  <c r="BJ199" i="58"/>
  <c r="BC16" i="58"/>
  <c r="AL16" i="58"/>
  <c r="H16" i="58"/>
  <c r="BC14" i="58"/>
  <c r="AL14" i="58"/>
  <c r="H14" i="58"/>
  <c r="BC12" i="58"/>
  <c r="AL12" i="58"/>
  <c r="H12" i="58"/>
  <c r="BC10" i="58"/>
  <c r="AL10" i="58"/>
  <c r="H10" i="58"/>
  <c r="BC8" i="58"/>
  <c r="AL8" i="58"/>
  <c r="BC6" i="58"/>
  <c r="H6" i="58"/>
  <c r="AL4" i="58"/>
  <c r="BC2" i="58"/>
  <c r="H2" i="58"/>
  <c r="AE9" i="58"/>
  <c r="AF9" i="58" s="1"/>
  <c r="AG9" i="58" s="1"/>
  <c r="AH9" i="58" s="1"/>
  <c r="AV7" i="58"/>
  <c r="F6" i="58"/>
  <c r="AE5" i="58"/>
  <c r="AF5" i="58" s="1"/>
  <c r="AG5" i="58" s="1"/>
  <c r="AH5" i="58" s="1"/>
  <c r="AV3" i="58"/>
  <c r="F2" i="58"/>
  <c r="BJ14" i="58"/>
  <c r="BJ4" i="58"/>
  <c r="AE246" i="58"/>
  <c r="AF246" i="58" s="1"/>
  <c r="AG246" i="58" s="1"/>
  <c r="AH246" i="58" s="1"/>
  <c r="AN232" i="58"/>
  <c r="AE226" i="58"/>
  <c r="AF226" i="58" s="1"/>
  <c r="AG226" i="58" s="1"/>
  <c r="AH226" i="58" s="1"/>
  <c r="BB224" i="58"/>
  <c r="AV223" i="58"/>
  <c r="AN222" i="58"/>
  <c r="AO221" i="58"/>
  <c r="AN220" i="58"/>
  <c r="AP219" i="58"/>
  <c r="AZ218" i="58"/>
  <c r="BC217" i="58"/>
  <c r="J217" i="58"/>
  <c r="AO216" i="58"/>
  <c r="BJ215" i="58"/>
  <c r="BA214" i="58"/>
  <c r="J214" i="58"/>
  <c r="AP213" i="58"/>
  <c r="F213" i="58"/>
  <c r="AL212" i="58"/>
  <c r="BI211" i="58"/>
  <c r="BA210" i="58"/>
  <c r="J210" i="58"/>
  <c r="AP209" i="58"/>
  <c r="F209" i="58"/>
  <c r="AL208" i="58"/>
  <c r="BI207" i="58"/>
  <c r="BA206" i="58"/>
  <c r="J206" i="58"/>
  <c r="AP205" i="58"/>
  <c r="F205" i="58"/>
  <c r="AL204" i="58"/>
  <c r="BI203" i="58"/>
  <c r="BA202" i="58"/>
  <c r="J202" i="58"/>
  <c r="AP201" i="58"/>
  <c r="F201" i="58"/>
  <c r="AL200" i="58"/>
  <c r="BI199" i="58"/>
  <c r="BB16" i="58"/>
  <c r="F16" i="58"/>
  <c r="AV15" i="58"/>
  <c r="AE15" i="58"/>
  <c r="AF15" i="58" s="1"/>
  <c r="AG15" i="58" s="1"/>
  <c r="AH15" i="58" s="1"/>
  <c r="BB14" i="58"/>
  <c r="F14" i="58"/>
  <c r="AV13" i="58"/>
  <c r="AE13" i="58"/>
  <c r="AF13" i="58" s="1"/>
  <c r="AG13" i="58" s="1"/>
  <c r="AH13" i="58" s="1"/>
  <c r="BB12" i="58"/>
  <c r="F12" i="58"/>
  <c r="AV11" i="58"/>
  <c r="AE11" i="58"/>
  <c r="AF11" i="58" s="1"/>
  <c r="AG11" i="58" s="1"/>
  <c r="AH11" i="58" s="1"/>
  <c r="BB10" i="58"/>
  <c r="AV9" i="58"/>
  <c r="BB8" i="58"/>
  <c r="AE7" i="58"/>
  <c r="AF7" i="58" s="1"/>
  <c r="AG7" i="58" s="1"/>
  <c r="AH7" i="58" s="1"/>
  <c r="AV5" i="58"/>
  <c r="F4" i="58"/>
  <c r="BB2" i="58"/>
  <c r="J14" i="58"/>
  <c r="BJ6" i="58"/>
  <c r="AV245" i="58"/>
  <c r="BB238" i="58"/>
  <c r="BJ231" i="58"/>
  <c r="I226" i="58"/>
  <c r="BA224" i="58"/>
  <c r="AP223" i="58"/>
  <c r="AL222" i="58"/>
  <c r="AL221" i="58"/>
  <c r="AL220" i="58"/>
  <c r="AL219" i="58"/>
  <c r="AP218" i="58"/>
  <c r="BB217" i="58"/>
  <c r="I217" i="58"/>
  <c r="AN216" i="58"/>
  <c r="BI215" i="58"/>
  <c r="AZ214" i="58"/>
  <c r="I214" i="58"/>
  <c r="AO213" i="58"/>
  <c r="BK212" i="58"/>
  <c r="AI212" i="58"/>
  <c r="BC211" i="58"/>
  <c r="AZ210" i="58"/>
  <c r="I210" i="58"/>
  <c r="AO209" i="58"/>
  <c r="BK208" i="58"/>
  <c r="AI208" i="58"/>
  <c r="BC207" i="58"/>
  <c r="AZ206" i="58"/>
  <c r="I206" i="58"/>
  <c r="AO205" i="58"/>
  <c r="BK204" i="58"/>
  <c r="AI204" i="58"/>
  <c r="BC203" i="58"/>
  <c r="AZ202" i="58"/>
  <c r="I202" i="58"/>
  <c r="AO201" i="58"/>
  <c r="BK200" i="58"/>
  <c r="AI200" i="58"/>
  <c r="BC199" i="58"/>
  <c r="BA16" i="58"/>
  <c r="AP15" i="58"/>
  <c r="BA14" i="58"/>
  <c r="AP13" i="58"/>
  <c r="BA12" i="58"/>
  <c r="AP11" i="58"/>
  <c r="BA10" i="58"/>
  <c r="AP9" i="58"/>
  <c r="BA8" i="58"/>
  <c r="AP7" i="58"/>
  <c r="BA6" i="58"/>
  <c r="AP5" i="58"/>
  <c r="BA4" i="58"/>
  <c r="AP3" i="58"/>
  <c r="BA2" i="58"/>
  <c r="J10" i="58"/>
  <c r="AN2" i="58"/>
  <c r="H245" i="58"/>
  <c r="AE238" i="58"/>
  <c r="AF238" i="58" s="1"/>
  <c r="AG238" i="58" s="1"/>
  <c r="AH238" i="58" s="1"/>
  <c r="BJ225" i="58"/>
  <c r="AP224" i="58"/>
  <c r="AL223" i="58"/>
  <c r="AI220" i="58"/>
  <c r="AN218" i="58"/>
  <c r="BA217" i="58"/>
  <c r="H217" i="58"/>
  <c r="AL216" i="58"/>
  <c r="BC215" i="58"/>
  <c r="AE215" i="58"/>
  <c r="AF215" i="58" s="1"/>
  <c r="AG215" i="58" s="1"/>
  <c r="AH215" i="58" s="1"/>
  <c r="AV214" i="58"/>
  <c r="H214" i="58"/>
  <c r="AN213" i="58"/>
  <c r="BJ212" i="58"/>
  <c r="BB211" i="58"/>
  <c r="AE211" i="58"/>
  <c r="AF211" i="58" s="1"/>
  <c r="AG211" i="58" s="1"/>
  <c r="AH211" i="58" s="1"/>
  <c r="AV210" i="58"/>
  <c r="H210" i="58"/>
  <c r="AN209" i="58"/>
  <c r="BJ208" i="58"/>
  <c r="BB207" i="58"/>
  <c r="AE207" i="58"/>
  <c r="AF207" i="58" s="1"/>
  <c r="AG207" i="58" s="1"/>
  <c r="AH207" i="58" s="1"/>
  <c r="AV206" i="58"/>
  <c r="H206" i="58"/>
  <c r="AN205" i="58"/>
  <c r="BJ204" i="58"/>
  <c r="BB203" i="58"/>
  <c r="AE203" i="58"/>
  <c r="AF203" i="58" s="1"/>
  <c r="AG203" i="58" s="1"/>
  <c r="AH203" i="58" s="1"/>
  <c r="AV202" i="58"/>
  <c r="H202" i="58"/>
  <c r="AN201" i="58"/>
  <c r="BJ200" i="58"/>
  <c r="BB199" i="58"/>
  <c r="AE199" i="58"/>
  <c r="AF199" i="58" s="1"/>
  <c r="AG199" i="58" s="1"/>
  <c r="AH199" i="58" s="1"/>
  <c r="AZ16" i="58"/>
  <c r="AI16" i="58"/>
  <c r="BK15" i="58"/>
  <c r="AO15" i="58"/>
  <c r="AZ14" i="58"/>
  <c r="AI14" i="58"/>
  <c r="BK13" i="58"/>
  <c r="AO13" i="58"/>
  <c r="AZ12" i="58"/>
  <c r="AI12" i="58"/>
  <c r="BK11" i="58"/>
  <c r="AO11" i="58"/>
  <c r="AZ10" i="58"/>
  <c r="AI10" i="58"/>
  <c r="BK9" i="58"/>
  <c r="AO9" i="58"/>
  <c r="AZ8" i="58"/>
  <c r="AI8" i="58"/>
  <c r="BK7" i="58"/>
  <c r="AO7" i="58"/>
  <c r="AZ6" i="58"/>
  <c r="AI6" i="58"/>
  <c r="BK5" i="58"/>
  <c r="AO5" i="58"/>
  <c r="AZ4" i="58"/>
  <c r="AI4" i="58"/>
  <c r="BK3" i="58"/>
  <c r="AO3" i="58"/>
  <c r="AZ2" i="58"/>
  <c r="AI2" i="58"/>
  <c r="BJ12" i="58"/>
  <c r="BJ8" i="58"/>
  <c r="AN244" i="58"/>
  <c r="AV237" i="58"/>
  <c r="BB230" i="58"/>
  <c r="BI225" i="58"/>
  <c r="AN224" i="58"/>
  <c r="AE222" i="58"/>
  <c r="AF222" i="58" s="1"/>
  <c r="AG222" i="58" s="1"/>
  <c r="AH222" i="58" s="1"/>
  <c r="AL218" i="58"/>
  <c r="AZ217" i="58"/>
  <c r="F217" i="58"/>
  <c r="AI216" i="58"/>
  <c r="BA215" i="58"/>
  <c r="J215" i="58"/>
  <c r="AP214" i="58"/>
  <c r="F214" i="58"/>
  <c r="AL213" i="58"/>
  <c r="BI212" i="58"/>
  <c r="BA211" i="58"/>
  <c r="J211" i="58"/>
  <c r="AP210" i="58"/>
  <c r="F210" i="58"/>
  <c r="AL209" i="58"/>
  <c r="BI208" i="58"/>
  <c r="BA207" i="58"/>
  <c r="J207" i="58"/>
  <c r="AP206" i="58"/>
  <c r="F206" i="58"/>
  <c r="AL205" i="58"/>
  <c r="BI204" i="58"/>
  <c r="BA203" i="58"/>
  <c r="J203" i="58"/>
  <c r="AP202" i="58"/>
  <c r="F202" i="58"/>
  <c r="AL201" i="58"/>
  <c r="BI200" i="58"/>
  <c r="BA199" i="58"/>
  <c r="J199" i="58"/>
  <c r="BJ15" i="58"/>
  <c r="AN15" i="58"/>
  <c r="J15" i="58"/>
  <c r="BJ13" i="58"/>
  <c r="AN13" i="58"/>
  <c r="J13" i="58"/>
  <c r="BJ11" i="58"/>
  <c r="AN11" i="58"/>
  <c r="J11" i="58"/>
  <c r="BJ9" i="58"/>
  <c r="AN9" i="58"/>
  <c r="J9" i="58"/>
  <c r="BJ7" i="58"/>
  <c r="AN7" i="58"/>
  <c r="J7" i="58"/>
  <c r="BJ5" i="58"/>
  <c r="AN5" i="58"/>
  <c r="J5" i="58"/>
  <c r="BJ3" i="58"/>
  <c r="AN3" i="58"/>
  <c r="J3" i="58"/>
  <c r="AE8" i="58"/>
  <c r="AF8" i="58" s="1"/>
  <c r="AG8" i="58" s="1"/>
  <c r="AH8" i="58" s="1"/>
  <c r="AE6" i="58"/>
  <c r="AF6" i="58" s="1"/>
  <c r="AG6" i="58" s="1"/>
  <c r="AH6" i="58" s="1"/>
  <c r="AE4" i="58"/>
  <c r="AF4" i="58" s="1"/>
  <c r="AG4" i="58" s="1"/>
  <c r="AH4" i="58" s="1"/>
  <c r="AE2" i="58"/>
  <c r="AF2" i="58" s="1"/>
  <c r="AG2" i="58" s="1"/>
  <c r="AH2" i="58" s="1"/>
  <c r="AI7" i="58"/>
  <c r="AI3" i="58"/>
  <c r="J16" i="58"/>
  <c r="J12" i="58"/>
  <c r="J6" i="58"/>
  <c r="BJ243" i="58"/>
  <c r="H237" i="58"/>
  <c r="AE230" i="58"/>
  <c r="AF230" i="58" s="1"/>
  <c r="AG230" i="58" s="1"/>
  <c r="AH230" i="58" s="1"/>
  <c r="AV225" i="58"/>
  <c r="AI224" i="58"/>
  <c r="J222" i="58"/>
  <c r="J221" i="58"/>
  <c r="AE220" i="58"/>
  <c r="AF220" i="58" s="1"/>
  <c r="AG220" i="58" s="1"/>
  <c r="AH220" i="58" s="1"/>
  <c r="AV217" i="58"/>
  <c r="BK216" i="58"/>
  <c r="AZ215" i="58"/>
  <c r="I215" i="58"/>
  <c r="AO214" i="58"/>
  <c r="BK213" i="58"/>
  <c r="AI213" i="58"/>
  <c r="BC212" i="58"/>
  <c r="AZ211" i="58"/>
  <c r="I211" i="58"/>
  <c r="AO210" i="58"/>
  <c r="BK209" i="58"/>
  <c r="AI209" i="58"/>
  <c r="BC208" i="58"/>
  <c r="AZ207" i="58"/>
  <c r="I207" i="58"/>
  <c r="AO206" i="58"/>
  <c r="BK205" i="58"/>
  <c r="AI205" i="58"/>
  <c r="BC204" i="58"/>
  <c r="AZ203" i="58"/>
  <c r="I203" i="58"/>
  <c r="AO202" i="58"/>
  <c r="BK201" i="58"/>
  <c r="AI201" i="58"/>
  <c r="BC200" i="58"/>
  <c r="AZ199" i="58"/>
  <c r="I199" i="58"/>
  <c r="BI15" i="58"/>
  <c r="I15" i="58"/>
  <c r="BI13" i="58"/>
  <c r="I13" i="58"/>
  <c r="BI11" i="58"/>
  <c r="I11" i="58"/>
  <c r="BI9" i="58"/>
  <c r="I9" i="58"/>
  <c r="BI7" i="58"/>
  <c r="I7" i="58"/>
  <c r="BI5" i="58"/>
  <c r="I5" i="58"/>
  <c r="BI3" i="58"/>
  <c r="I3" i="58"/>
  <c r="AE12" i="58"/>
  <c r="AF12" i="58" s="1"/>
  <c r="AG12" i="58" s="1"/>
  <c r="AH12" i="58" s="1"/>
  <c r="F11" i="58"/>
  <c r="BB9" i="58"/>
  <c r="BB7" i="58"/>
  <c r="BB5" i="58"/>
  <c r="BB3" i="58"/>
  <c r="AZ5" i="58"/>
  <c r="BK2" i="58"/>
  <c r="AN16" i="58"/>
  <c r="AN10" i="58"/>
  <c r="J4" i="58"/>
  <c r="AN236" i="58"/>
  <c r="AV229" i="58"/>
  <c r="AO225" i="58"/>
  <c r="J223" i="58"/>
  <c r="I222" i="58"/>
  <c r="H221" i="58"/>
  <c r="J220" i="58"/>
  <c r="J219" i="58"/>
  <c r="AP217" i="58"/>
  <c r="BI216" i="58"/>
  <c r="AV215" i="58"/>
  <c r="H215" i="58"/>
  <c r="AN214" i="58"/>
  <c r="BJ213" i="58"/>
  <c r="BB212" i="58"/>
  <c r="AE212" i="58"/>
  <c r="AF212" i="58" s="1"/>
  <c r="AG212" i="58" s="1"/>
  <c r="AH212" i="58" s="1"/>
  <c r="AV211" i="58"/>
  <c r="H211" i="58"/>
  <c r="AN210" i="58"/>
  <c r="BJ209" i="58"/>
  <c r="BB208" i="58"/>
  <c r="AE208" i="58"/>
  <c r="AF208" i="58" s="1"/>
  <c r="AG208" i="58" s="1"/>
  <c r="AH208" i="58" s="1"/>
  <c r="AV207" i="58"/>
  <c r="H207" i="58"/>
  <c r="AN206" i="58"/>
  <c r="BJ205" i="58"/>
  <c r="BB204" i="58"/>
  <c r="AE204" i="58"/>
  <c r="AF204" i="58" s="1"/>
  <c r="AG204" i="58" s="1"/>
  <c r="AH204" i="58" s="1"/>
  <c r="AV203" i="58"/>
  <c r="H203" i="58"/>
  <c r="AN202" i="58"/>
  <c r="BJ201" i="58"/>
  <c r="BB200" i="58"/>
  <c r="AE200" i="58"/>
  <c r="AF200" i="58" s="1"/>
  <c r="AG200" i="58" s="1"/>
  <c r="AH200" i="58" s="1"/>
  <c r="AV199" i="58"/>
  <c r="H199" i="58"/>
  <c r="BC15" i="58"/>
  <c r="AL15" i="58"/>
  <c r="H15" i="58"/>
  <c r="BC13" i="58"/>
  <c r="AL13" i="58"/>
  <c r="H13" i="58"/>
  <c r="BC11" i="58"/>
  <c r="AL11" i="58"/>
  <c r="H11" i="58"/>
  <c r="BC9" i="58"/>
  <c r="AL9" i="58"/>
  <c r="H9" i="58"/>
  <c r="BC7" i="58"/>
  <c r="AL7" i="58"/>
  <c r="H7" i="58"/>
  <c r="BC5" i="58"/>
  <c r="AL5" i="58"/>
  <c r="H5" i="58"/>
  <c r="BC3" i="58"/>
  <c r="AL3" i="58"/>
  <c r="H3" i="58"/>
  <c r="AV12" i="58"/>
  <c r="AV10" i="58"/>
  <c r="F9" i="58"/>
  <c r="F7" i="58"/>
  <c r="AV4" i="58"/>
  <c r="F3" i="58"/>
  <c r="AZ7" i="58"/>
  <c r="AO4" i="58"/>
  <c r="BJ16" i="58"/>
  <c r="J8" i="58"/>
  <c r="BB242" i="58"/>
  <c r="BJ235" i="58"/>
  <c r="H229" i="58"/>
  <c r="AE224" i="58"/>
  <c r="AF224" i="58" s="1"/>
  <c r="AG224" i="58" s="1"/>
  <c r="AH224" i="58" s="1"/>
  <c r="H223" i="58"/>
  <c r="F222" i="58"/>
  <c r="F221" i="58"/>
  <c r="F220" i="58"/>
  <c r="H219" i="58"/>
  <c r="AE218" i="58"/>
  <c r="AF218" i="58" s="1"/>
  <c r="AG218" i="58" s="1"/>
  <c r="AH218" i="58" s="1"/>
  <c r="AO217" i="58"/>
  <c r="BC216" i="58"/>
  <c r="AE216" i="58"/>
  <c r="AF216" i="58" s="1"/>
  <c r="AG216" i="58" s="1"/>
  <c r="AH216" i="58" s="1"/>
  <c r="AP215" i="58"/>
  <c r="F215" i="58"/>
  <c r="AL214" i="58"/>
  <c r="BI213" i="58"/>
  <c r="BA212" i="58"/>
  <c r="J212" i="58"/>
  <c r="AP211" i="58"/>
  <c r="F211" i="58"/>
  <c r="AL210" i="58"/>
  <c r="BI209" i="58"/>
  <c r="BA208" i="58"/>
  <c r="J208" i="58"/>
  <c r="AP207" i="58"/>
  <c r="F207" i="58"/>
  <c r="AL206" i="58"/>
  <c r="BI205" i="58"/>
  <c r="BA204" i="58"/>
  <c r="J204" i="58"/>
  <c r="AP203" i="58"/>
  <c r="F203" i="58"/>
  <c r="AL202" i="58"/>
  <c r="BI201" i="58"/>
  <c r="BA200" i="58"/>
  <c r="J200" i="58"/>
  <c r="AP199" i="58"/>
  <c r="F199" i="58"/>
  <c r="AV16" i="58"/>
  <c r="AE16" i="58"/>
  <c r="AF16" i="58" s="1"/>
  <c r="AG16" i="58" s="1"/>
  <c r="AH16" i="58" s="1"/>
  <c r="BB15" i="58"/>
  <c r="F15" i="58"/>
  <c r="AV14" i="58"/>
  <c r="AE14" i="58"/>
  <c r="AF14" i="58" s="1"/>
  <c r="AG14" i="58" s="1"/>
  <c r="AH14" i="58" s="1"/>
  <c r="BB13" i="58"/>
  <c r="F13" i="58"/>
  <c r="BB11" i="58"/>
  <c r="AE10" i="58"/>
  <c r="AF10" i="58" s="1"/>
  <c r="AG10" i="58" s="1"/>
  <c r="AH10" i="58" s="1"/>
  <c r="AV8" i="58"/>
  <c r="AV6" i="58"/>
  <c r="F5" i="58"/>
  <c r="AV2" i="58"/>
  <c r="AO6" i="58"/>
  <c r="AZ3" i="58"/>
  <c r="F200" i="58"/>
  <c r="AN6" i="58"/>
  <c r="H249" i="58"/>
  <c r="AE242" i="58"/>
  <c r="AF242" i="58" s="1"/>
  <c r="AG242" i="58" s="1"/>
  <c r="AH242" i="58" s="1"/>
  <c r="AN228" i="58"/>
  <c r="J224" i="58"/>
  <c r="F223" i="58"/>
  <c r="BJ221" i="58"/>
  <c r="BK220" i="58"/>
  <c r="BJ219" i="58"/>
  <c r="F219" i="58"/>
  <c r="J218" i="58"/>
  <c r="AL217" i="58"/>
  <c r="BB216" i="58"/>
  <c r="J216" i="58"/>
  <c r="AO215" i="58"/>
  <c r="BK214" i="58"/>
  <c r="AI214" i="58"/>
  <c r="BC213" i="58"/>
  <c r="AZ212" i="58"/>
  <c r="I212" i="58"/>
  <c r="AO211" i="58"/>
  <c r="BK210" i="58"/>
  <c r="AI210" i="58"/>
  <c r="BC209" i="58"/>
  <c r="AZ208" i="58"/>
  <c r="I208" i="58"/>
  <c r="AO207" i="58"/>
  <c r="BK206" i="58"/>
  <c r="AI206" i="58"/>
  <c r="BC205" i="58"/>
  <c r="AZ204" i="58"/>
  <c r="I204" i="58"/>
  <c r="AO203" i="58"/>
  <c r="BK202" i="58"/>
  <c r="AI202" i="58"/>
  <c r="BC201" i="58"/>
  <c r="AZ200" i="58"/>
  <c r="I200" i="58"/>
  <c r="AO199" i="58"/>
  <c r="AV19" i="58"/>
  <c r="AP16" i="58"/>
  <c r="BA15" i="58"/>
  <c r="AP14" i="58"/>
  <c r="BA13" i="58"/>
  <c r="AP12" i="58"/>
  <c r="BA11" i="58"/>
  <c r="AP10" i="58"/>
  <c r="BA9" i="58"/>
  <c r="AP8" i="58"/>
  <c r="BA7" i="58"/>
  <c r="AP6" i="58"/>
  <c r="BA5" i="58"/>
  <c r="AP4" i="58"/>
  <c r="BA3" i="58"/>
  <c r="AP2" i="58"/>
  <c r="AI11" i="58"/>
  <c r="AZ9" i="58"/>
  <c r="BK8" i="58"/>
  <c r="BK6" i="58"/>
  <c r="BK4" i="58"/>
  <c r="AL199" i="58"/>
  <c r="AN12" i="58"/>
  <c r="AN4" i="58"/>
  <c r="AN248" i="58"/>
  <c r="AV241" i="58"/>
  <c r="BB234" i="58"/>
  <c r="BJ227" i="58"/>
  <c r="J225" i="58"/>
  <c r="F224" i="58"/>
  <c r="BI222" i="58"/>
  <c r="BI221" i="58"/>
  <c r="BI220" i="58"/>
  <c r="BI219" i="58"/>
  <c r="BJ218" i="58"/>
  <c r="I218" i="58"/>
  <c r="BA216" i="58"/>
  <c r="I216" i="58"/>
  <c r="AN215" i="58"/>
  <c r="BJ214" i="58"/>
  <c r="BB213" i="58"/>
  <c r="AE213" i="58"/>
  <c r="AF213" i="58" s="1"/>
  <c r="AG213" i="58" s="1"/>
  <c r="AH213" i="58" s="1"/>
  <c r="AV212" i="58"/>
  <c r="H212" i="58"/>
  <c r="AN211" i="58"/>
  <c r="BJ210" i="58"/>
  <c r="BB209" i="58"/>
  <c r="AE209" i="58"/>
  <c r="AF209" i="58" s="1"/>
  <c r="AG209" i="58" s="1"/>
  <c r="AH209" i="58" s="1"/>
  <c r="AV208" i="58"/>
  <c r="H208" i="58"/>
  <c r="AN207" i="58"/>
  <c r="BJ206" i="58"/>
  <c r="BB205" i="58"/>
  <c r="AE205" i="58"/>
  <c r="AF205" i="58" s="1"/>
  <c r="AG205" i="58" s="1"/>
  <c r="AH205" i="58" s="1"/>
  <c r="AV204" i="58"/>
  <c r="H204" i="58"/>
  <c r="AN203" i="58"/>
  <c r="BJ202" i="58"/>
  <c r="BB201" i="58"/>
  <c r="AE201" i="58"/>
  <c r="AF201" i="58" s="1"/>
  <c r="AG201" i="58" s="1"/>
  <c r="AH201" i="58" s="1"/>
  <c r="AV200" i="58"/>
  <c r="H200" i="58"/>
  <c r="AN199" i="58"/>
  <c r="BK16" i="58"/>
  <c r="AO16" i="58"/>
  <c r="AZ15" i="58"/>
  <c r="AI15" i="58"/>
  <c r="BK14" i="58"/>
  <c r="AO14" i="58"/>
  <c r="AZ13" i="58"/>
  <c r="AI13" i="58"/>
  <c r="BK12" i="58"/>
  <c r="AO12" i="58"/>
  <c r="AZ11" i="58"/>
  <c r="BK10" i="58"/>
  <c r="AO10" i="58"/>
  <c r="AI9" i="58"/>
  <c r="AO8" i="58"/>
  <c r="AI5" i="58"/>
  <c r="AO2" i="58"/>
  <c r="AN14" i="58"/>
  <c r="AN8" i="58"/>
  <c r="BJ247" i="58"/>
  <c r="H241" i="58"/>
  <c r="AE234" i="58"/>
  <c r="AF234" i="58" s="1"/>
  <c r="AG234" i="58" s="1"/>
  <c r="AH234" i="58" s="1"/>
  <c r="H225" i="58"/>
  <c r="BJ223" i="58"/>
  <c r="BB222" i="58"/>
  <c r="BA221" i="58"/>
  <c r="BB220" i="58"/>
  <c r="BC219" i="58"/>
  <c r="BI218" i="58"/>
  <c r="F218" i="58"/>
  <c r="AZ216" i="58"/>
  <c r="H216" i="58"/>
  <c r="AL215" i="58"/>
  <c r="BI214" i="58"/>
  <c r="BA213" i="58"/>
  <c r="J213" i="58"/>
  <c r="AP212" i="58"/>
  <c r="F212" i="58"/>
  <c r="AL211" i="58"/>
  <c r="BI210" i="58"/>
  <c r="BA209" i="58"/>
  <c r="J209" i="58"/>
  <c r="AP208" i="58"/>
  <c r="F208" i="58"/>
  <c r="AL207" i="58"/>
  <c r="BI206" i="58"/>
  <c r="BA205" i="58"/>
  <c r="J205" i="58"/>
  <c r="AP204" i="58"/>
  <c r="F204" i="58"/>
  <c r="AL203" i="58"/>
  <c r="BI202" i="58"/>
  <c r="BA201" i="58"/>
  <c r="J201" i="58"/>
  <c r="AP200" i="58"/>
  <c r="J2" i="58"/>
  <c r="F57" i="65"/>
  <c r="BK57" i="65"/>
  <c r="AI125" i="65"/>
  <c r="H191" i="65"/>
  <c r="AZ233" i="65"/>
  <c r="BB206" i="65"/>
  <c r="AP235" i="65"/>
  <c r="AI292" i="65"/>
  <c r="AP292" i="65"/>
  <c r="AP225" i="65"/>
  <c r="AI281" i="65"/>
  <c r="AP281" i="65"/>
  <c r="F268" i="65"/>
  <c r="AN267" i="65"/>
  <c r="BJ292" i="65"/>
  <c r="BJ281" i="65"/>
  <c r="AO281" i="65"/>
  <c r="BC268" i="65"/>
  <c r="AV57" i="65"/>
  <c r="BI58" i="65"/>
  <c r="AP125" i="65"/>
  <c r="AV191" i="65"/>
  <c r="AE191" i="65"/>
  <c r="AF191" i="65" s="1"/>
  <c r="AG191" i="65" s="1"/>
  <c r="AH191" i="65" s="1"/>
  <c r="AN191" i="65"/>
  <c r="AI262" i="65"/>
  <c r="AO233" i="65"/>
  <c r="BI268" i="65"/>
  <c r="I225" i="65"/>
  <c r="AE58" i="65"/>
  <c r="AF58" i="65" s="1"/>
  <c r="AG58" i="65" s="1"/>
  <c r="AH58" i="65" s="1"/>
  <c r="BC58" i="65"/>
  <c r="J126" i="65"/>
  <c r="AI206" i="65"/>
  <c r="BI225" i="65"/>
  <c r="AL225" i="65"/>
  <c r="BI292" i="65"/>
  <c r="AN225" i="65"/>
  <c r="AE235" i="65"/>
  <c r="AF235" i="65" s="1"/>
  <c r="AG235" i="65" s="1"/>
  <c r="AH235" i="65" s="1"/>
  <c r="BI281" i="65"/>
  <c r="I262" i="65"/>
  <c r="AO57" i="65"/>
  <c r="BJ58" i="65"/>
  <c r="AP58" i="65"/>
  <c r="BK206" i="65"/>
  <c r="AO206" i="65"/>
  <c r="AN235" i="65"/>
  <c r="BC292" i="65"/>
  <c r="AL233" i="65"/>
  <c r="BC281" i="65"/>
  <c r="AZ225" i="65"/>
  <c r="BB268" i="65"/>
  <c r="BA225" i="65"/>
  <c r="AV262" i="65"/>
  <c r="AO266" i="65"/>
  <c r="BI267" i="65"/>
  <c r="AL235" i="65"/>
  <c r="H235" i="65"/>
  <c r="I235" i="65"/>
  <c r="BB281" i="65"/>
  <c r="AE268" i="65"/>
  <c r="AF268" i="65" s="1"/>
  <c r="AG268" i="65" s="1"/>
  <c r="AH268" i="65" s="1"/>
  <c r="H262" i="65"/>
  <c r="AE261" i="65"/>
  <c r="AF261" i="65" s="1"/>
  <c r="AG261" i="65" s="1"/>
  <c r="AH261" i="65" s="1"/>
  <c r="AI267" i="65"/>
  <c r="AO58" i="65"/>
  <c r="I57" i="65"/>
  <c r="AL57" i="65"/>
  <c r="I191" i="65"/>
  <c r="AE262" i="65"/>
  <c r="AF262" i="65" s="1"/>
  <c r="AG262" i="65" s="1"/>
  <c r="AH262" i="65" s="1"/>
  <c r="BB292" i="65"/>
  <c r="BK267" i="65"/>
  <c r="H233" i="65"/>
  <c r="I233" i="65"/>
  <c r="H267" i="65"/>
  <c r="AI235" i="65"/>
  <c r="I58" i="65"/>
  <c r="F58" i="65"/>
  <c r="BK262" i="65"/>
  <c r="BJ225" i="65"/>
  <c r="AV235" i="65"/>
  <c r="AE292" i="65"/>
  <c r="AF292" i="65" s="1"/>
  <c r="AG292" i="65" s="1"/>
  <c r="AH292" i="65" s="1"/>
  <c r="AZ235" i="65"/>
  <c r="H225" i="65"/>
  <c r="AE281" i="65"/>
  <c r="AF281" i="65" s="1"/>
  <c r="AG281" i="65" s="1"/>
  <c r="AH281" i="65" s="1"/>
  <c r="BA268" i="65"/>
  <c r="AO268" i="65"/>
  <c r="AP262" i="65"/>
  <c r="AV267" i="65"/>
  <c r="BB261" i="65"/>
  <c r="J268" i="65"/>
  <c r="F262" i="65"/>
  <c r="BC266" i="65"/>
  <c r="AZ268" i="65"/>
  <c r="AP266" i="65"/>
  <c r="AL262" i="65"/>
  <c r="BA58" i="65"/>
  <c r="AV58" i="65"/>
  <c r="AI126" i="65"/>
  <c r="AL206" i="65"/>
  <c r="AO235" i="65"/>
  <c r="AO262" i="65"/>
  <c r="BA292" i="65"/>
  <c r="BB262" i="65"/>
  <c r="BA281" i="65"/>
  <c r="BK235" i="65"/>
  <c r="AE225" i="65"/>
  <c r="AF225" i="65" s="1"/>
  <c r="AG225" i="65" s="1"/>
  <c r="AH225" i="65" s="1"/>
  <c r="AO261" i="65"/>
  <c r="J292" i="65"/>
  <c r="J281" i="65"/>
  <c r="AN262" i="65"/>
  <c r="AZ281" i="65"/>
  <c r="BA57" i="65"/>
  <c r="AI58" i="65"/>
  <c r="AN126" i="65"/>
  <c r="I206" i="65"/>
  <c r="BC261" i="65"/>
  <c r="BI266" i="65"/>
  <c r="AO292" i="65"/>
  <c r="AN268" i="65"/>
  <c r="BB225" i="65"/>
  <c r="BJ267" i="65"/>
  <c r="I267" i="65"/>
  <c r="J57" i="65"/>
  <c r="BI57" i="65"/>
  <c r="AP126" i="65"/>
  <c r="BC225" i="65"/>
  <c r="AI225" i="65"/>
  <c r="AN292" i="65"/>
  <c r="AZ292" i="65"/>
  <c r="AO225" i="65"/>
  <c r="AN281" i="65"/>
  <c r="I268" i="65"/>
  <c r="AP57" i="65"/>
  <c r="AL58" i="65"/>
  <c r="I126" i="65"/>
  <c r="AL126" i="65"/>
  <c r="J191" i="65"/>
  <c r="AL191" i="65"/>
  <c r="BK225" i="65"/>
  <c r="I292" i="65"/>
  <c r="J235" i="65"/>
  <c r="I281" i="65"/>
  <c r="AL268" i="65"/>
  <c r="AV268" i="65"/>
  <c r="BJ262" i="65"/>
  <c r="BJ261" i="65"/>
  <c r="AZ267" i="65"/>
  <c r="AV292" i="65"/>
  <c r="AL281" i="65"/>
  <c r="BK268" i="65"/>
  <c r="BI262" i="65"/>
  <c r="J267" i="65"/>
  <c r="BB267" i="65"/>
  <c r="BC267" i="65"/>
  <c r="J58" i="65"/>
  <c r="BJ57" i="65"/>
  <c r="BC206" i="65"/>
  <c r="AL292" i="65"/>
  <c r="BA235" i="65"/>
  <c r="AV281" i="65"/>
  <c r="H268" i="65"/>
  <c r="AI266" i="65"/>
  <c r="AO267" i="65"/>
  <c r="AN261" i="65"/>
  <c r="BB58" i="65"/>
  <c r="AN58" i="65"/>
  <c r="AO191" i="65"/>
  <c r="AN206" i="65"/>
  <c r="AE206" i="65"/>
  <c r="AF206" i="65" s="1"/>
  <c r="AG206" i="65" s="1"/>
  <c r="AH206" i="65" s="1"/>
  <c r="F235" i="65"/>
  <c r="BK292" i="65"/>
  <c r="H292" i="65"/>
  <c r="F225" i="65"/>
  <c r="BK281" i="65"/>
  <c r="H281" i="65"/>
  <c r="AI268" i="65"/>
  <c r="AP268" i="65"/>
  <c r="BA262" i="65"/>
  <c r="BK266" i="65"/>
  <c r="BA267" i="65"/>
  <c r="BJ268" i="65"/>
  <c r="J262" i="65"/>
  <c r="AE267" i="65"/>
  <c r="AF267" i="65" s="1"/>
  <c r="AG267" i="65" s="1"/>
  <c r="AH267" i="65" s="1"/>
  <c r="F292" i="65"/>
  <c r="F281" i="65"/>
  <c r="AZ262" i="65"/>
  <c r="J225" i="65"/>
  <c r="BC192" i="65"/>
  <c r="AL282" i="65"/>
  <c r="AV282" i="65"/>
  <c r="BC293" i="65"/>
  <c r="BI207" i="65"/>
  <c r="AO207" i="65"/>
  <c r="F59" i="65"/>
  <c r="H269" i="65"/>
  <c r="BB192" i="65"/>
  <c r="BB293" i="65"/>
  <c r="AI127" i="65"/>
  <c r="AI269" i="65"/>
  <c r="BI226" i="65"/>
  <c r="H192" i="65"/>
  <c r="BK282" i="65"/>
  <c r="BJ59" i="65"/>
  <c r="BJ226" i="65"/>
  <c r="AP192" i="65"/>
  <c r="AE192" i="65"/>
  <c r="AF192" i="65" s="1"/>
  <c r="AG192" i="65" s="1"/>
  <c r="AH192" i="65" s="1"/>
  <c r="AI282" i="65"/>
  <c r="AP293" i="65"/>
  <c r="AE293" i="65"/>
  <c r="AF293" i="65" s="1"/>
  <c r="AG293" i="65" s="1"/>
  <c r="AH293" i="65" s="1"/>
  <c r="BJ269" i="65"/>
  <c r="F192" i="65"/>
  <c r="BA192" i="65"/>
  <c r="BJ282" i="65"/>
  <c r="F293" i="65"/>
  <c r="BA293" i="65"/>
  <c r="AE207" i="65"/>
  <c r="AF207" i="65" s="1"/>
  <c r="AG207" i="65" s="1"/>
  <c r="AH207" i="65" s="1"/>
  <c r="AL207" i="65"/>
  <c r="BI59" i="65"/>
  <c r="AO59" i="65"/>
  <c r="BI269" i="65"/>
  <c r="BC226" i="65"/>
  <c r="AN226" i="65"/>
  <c r="AO192" i="65"/>
  <c r="BI282" i="65"/>
  <c r="J293" i="65"/>
  <c r="AP127" i="65"/>
  <c r="AE59" i="65"/>
  <c r="AF59" i="65" s="1"/>
  <c r="AG59" i="65" s="1"/>
  <c r="AH59" i="65" s="1"/>
  <c r="BC269" i="65"/>
  <c r="AV127" i="65"/>
  <c r="J192" i="65"/>
  <c r="AO293" i="65"/>
  <c r="AN59" i="65"/>
  <c r="BB226" i="65"/>
  <c r="I59" i="65"/>
  <c r="AN192" i="65"/>
  <c r="AZ192" i="65"/>
  <c r="BC282" i="65"/>
  <c r="AN293" i="65"/>
  <c r="AZ293" i="65"/>
  <c r="J207" i="65"/>
  <c r="F127" i="65"/>
  <c r="BC59" i="65"/>
  <c r="AL59" i="65"/>
  <c r="BB269" i="65"/>
  <c r="AE226" i="65"/>
  <c r="AF226" i="65" s="1"/>
  <c r="AG226" i="65" s="1"/>
  <c r="AH226" i="65" s="1"/>
  <c r="AL226" i="65"/>
  <c r="AE269" i="65"/>
  <c r="AF269" i="65" s="1"/>
  <c r="AG269" i="65" s="1"/>
  <c r="AH269" i="65" s="1"/>
  <c r="BK226" i="65"/>
  <c r="AL293" i="65"/>
  <c r="H127" i="65"/>
  <c r="F269" i="65"/>
  <c r="AI226" i="65"/>
  <c r="AZ226" i="65"/>
  <c r="I192" i="65"/>
  <c r="BB282" i="65"/>
  <c r="I293" i="65"/>
  <c r="AZ207" i="65"/>
  <c r="AE127" i="65"/>
  <c r="AF127" i="65" s="1"/>
  <c r="AG127" i="65" s="1"/>
  <c r="AH127" i="65" s="1"/>
  <c r="J59" i="65"/>
  <c r="AP269" i="65"/>
  <c r="BA226" i="65"/>
  <c r="AP282" i="65"/>
  <c r="AV293" i="65"/>
  <c r="BA269" i="65"/>
  <c r="AO269" i="65"/>
  <c r="AL192" i="65"/>
  <c r="AE282" i="65"/>
  <c r="AF282" i="65" s="1"/>
  <c r="AG282" i="65" s="1"/>
  <c r="AH282" i="65" s="1"/>
  <c r="I207" i="65"/>
  <c r="BB59" i="65"/>
  <c r="J226" i="65"/>
  <c r="J269" i="65"/>
  <c r="BK192" i="65"/>
  <c r="F282" i="65"/>
  <c r="BA282" i="65"/>
  <c r="BK293" i="65"/>
  <c r="H293" i="65"/>
  <c r="AV207" i="65"/>
  <c r="J127" i="65"/>
  <c r="AI192" i="65"/>
  <c r="AO282" i="65"/>
  <c r="J282" i="65"/>
  <c r="AI293" i="65"/>
  <c r="H207" i="65"/>
  <c r="AO127" i="65"/>
  <c r="BA59" i="65"/>
  <c r="AN269" i="65"/>
  <c r="AZ269" i="65"/>
  <c r="I226" i="65"/>
  <c r="AN282" i="65"/>
  <c r="AZ282" i="65"/>
  <c r="AI207" i="65"/>
  <c r="AN127" i="65"/>
  <c r="H59" i="65"/>
  <c r="AV226" i="65"/>
  <c r="AP59" i="65"/>
  <c r="BJ192" i="65"/>
  <c r="BJ293" i="65"/>
  <c r="AP207" i="65"/>
  <c r="I127" i="65"/>
  <c r="I269" i="65"/>
  <c r="F226" i="65"/>
  <c r="AO226" i="65"/>
  <c r="BI192" i="65"/>
  <c r="I282" i="65"/>
  <c r="BI293" i="65"/>
  <c r="BJ207" i="65"/>
  <c r="F207" i="65"/>
  <c r="AL127" i="65"/>
  <c r="BK59" i="65"/>
  <c r="AZ59" i="65"/>
  <c r="AL269" i="65"/>
  <c r="AV269" i="65"/>
  <c r="H226" i="65"/>
  <c r="AI59" i="65"/>
  <c r="BK269" i="65"/>
  <c r="AP226" i="65"/>
  <c r="H282" i="65"/>
  <c r="AN207" i="65"/>
  <c r="AV59" i="65"/>
  <c r="AZ128" i="65"/>
  <c r="AO128" i="65"/>
  <c r="F283" i="65"/>
  <c r="J283" i="65"/>
  <c r="AI270" i="65"/>
  <c r="AO60" i="65"/>
  <c r="AZ60" i="65"/>
  <c r="H294" i="65"/>
  <c r="AO193" i="65"/>
  <c r="AI227" i="65"/>
  <c r="I128" i="65"/>
  <c r="AN128" i="65"/>
  <c r="AO283" i="65"/>
  <c r="BA283" i="65"/>
  <c r="BJ270" i="65"/>
  <c r="AI60" i="65"/>
  <c r="F60" i="65"/>
  <c r="J208" i="65"/>
  <c r="AP294" i="65"/>
  <c r="AE294" i="65"/>
  <c r="AF294" i="65" s="1"/>
  <c r="AG294" i="65" s="1"/>
  <c r="AH294" i="65" s="1"/>
  <c r="AN193" i="65"/>
  <c r="BK227" i="65"/>
  <c r="H227" i="65"/>
  <c r="AN283" i="65"/>
  <c r="BI270" i="65"/>
  <c r="AN208" i="65"/>
  <c r="BA294" i="65"/>
  <c r="AL128" i="65"/>
  <c r="AZ270" i="65"/>
  <c r="BK60" i="65"/>
  <c r="AZ208" i="65"/>
  <c r="AP227" i="65"/>
  <c r="I270" i="65"/>
  <c r="BC270" i="65"/>
  <c r="BJ60" i="65"/>
  <c r="I208" i="65"/>
  <c r="AO294" i="65"/>
  <c r="J294" i="65"/>
  <c r="AL193" i="65"/>
  <c r="BJ227" i="65"/>
  <c r="F227" i="65"/>
  <c r="AE128" i="65"/>
  <c r="AF128" i="65" s="1"/>
  <c r="AG128" i="65" s="1"/>
  <c r="AH128" i="65" s="1"/>
  <c r="AL283" i="65"/>
  <c r="AV270" i="65"/>
  <c r="BI60" i="65"/>
  <c r="AV208" i="65"/>
  <c r="BA193" i="65"/>
  <c r="BI227" i="65"/>
  <c r="AI128" i="65"/>
  <c r="BB270" i="65"/>
  <c r="AL208" i="65"/>
  <c r="AN294" i="65"/>
  <c r="AO227" i="65"/>
  <c r="BB128" i="65"/>
  <c r="BK283" i="65"/>
  <c r="H270" i="65"/>
  <c r="AE270" i="65"/>
  <c r="AF270" i="65" s="1"/>
  <c r="AG270" i="65" s="1"/>
  <c r="AH270" i="65" s="1"/>
  <c r="AE60" i="65"/>
  <c r="AF60" i="65" s="1"/>
  <c r="AG60" i="65" s="1"/>
  <c r="AH60" i="65" s="1"/>
  <c r="H208" i="65"/>
  <c r="J193" i="65"/>
  <c r="AI193" i="65"/>
  <c r="BC227" i="65"/>
  <c r="AN227" i="65"/>
  <c r="AP208" i="65"/>
  <c r="AZ193" i="65"/>
  <c r="BB227" i="65"/>
  <c r="AV193" i="65"/>
  <c r="AZ227" i="65"/>
  <c r="J128" i="65"/>
  <c r="BJ128" i="65"/>
  <c r="AI283" i="65"/>
  <c r="AP270" i="65"/>
  <c r="BA270" i="65"/>
  <c r="BC60" i="65"/>
  <c r="AI208" i="65"/>
  <c r="AL294" i="65"/>
  <c r="BJ193" i="65"/>
  <c r="AI294" i="65"/>
  <c r="AE193" i="65"/>
  <c r="AF193" i="65" s="1"/>
  <c r="AG193" i="65" s="1"/>
  <c r="AH193" i="65" s="1"/>
  <c r="BA128" i="65"/>
  <c r="AZ283" i="65"/>
  <c r="BJ283" i="65"/>
  <c r="F270" i="65"/>
  <c r="J270" i="65"/>
  <c r="J60" i="65"/>
  <c r="F208" i="65"/>
  <c r="BK294" i="65"/>
  <c r="I193" i="65"/>
  <c r="AE227" i="65"/>
  <c r="AF227" i="65" s="1"/>
  <c r="AG227" i="65" s="1"/>
  <c r="AH227" i="65" s="1"/>
  <c r="BI283" i="65"/>
  <c r="AN60" i="65"/>
  <c r="BI208" i="65"/>
  <c r="H128" i="65"/>
  <c r="I283" i="65"/>
  <c r="AO270" i="65"/>
  <c r="BB60" i="65"/>
  <c r="AO208" i="65"/>
  <c r="BA227" i="65"/>
  <c r="AV128" i="65"/>
  <c r="AV283" i="65"/>
  <c r="BC283" i="65"/>
  <c r="AN270" i="65"/>
  <c r="AL60" i="65"/>
  <c r="I60" i="65"/>
  <c r="BC208" i="65"/>
  <c r="AZ294" i="65"/>
  <c r="BJ294" i="65"/>
  <c r="H193" i="65"/>
  <c r="BB193" i="65"/>
  <c r="J227" i="65"/>
  <c r="BB283" i="65"/>
  <c r="AV60" i="65"/>
  <c r="BB208" i="65"/>
  <c r="BI294" i="65"/>
  <c r="F128" i="65"/>
  <c r="H283" i="65"/>
  <c r="AL270" i="65"/>
  <c r="BA60" i="65"/>
  <c r="I294" i="65"/>
  <c r="AP193" i="65"/>
  <c r="AP128" i="65"/>
  <c r="AP283" i="65"/>
  <c r="AE283" i="65"/>
  <c r="AF283" i="65" s="1"/>
  <c r="AG283" i="65" s="1"/>
  <c r="AH283" i="65" s="1"/>
  <c r="BK270" i="65"/>
  <c r="AP60" i="65"/>
  <c r="H60" i="65"/>
  <c r="AE208" i="65"/>
  <c r="AF208" i="65" s="1"/>
  <c r="AG208" i="65" s="1"/>
  <c r="AH208" i="65" s="1"/>
  <c r="AV294" i="65"/>
  <c r="BC294" i="65"/>
  <c r="F193" i="65"/>
  <c r="I227" i="65"/>
  <c r="BB294" i="65"/>
  <c r="AL227" i="65"/>
  <c r="F294" i="65"/>
  <c r="AO228" i="65"/>
  <c r="AV295" i="65"/>
  <c r="BC295" i="65"/>
  <c r="AZ284" i="65"/>
  <c r="J129" i="65"/>
  <c r="AN228" i="65"/>
  <c r="I228" i="65"/>
  <c r="H295" i="65"/>
  <c r="AP209" i="65"/>
  <c r="AE209" i="65"/>
  <c r="AF209" i="65" s="1"/>
  <c r="AG209" i="65" s="1"/>
  <c r="AH209" i="65" s="1"/>
  <c r="I284" i="65"/>
  <c r="BI284" i="65"/>
  <c r="BA194" i="65"/>
  <c r="AI228" i="65"/>
  <c r="H129" i="65"/>
  <c r="AL228" i="65"/>
  <c r="AV228" i="65"/>
  <c r="AP295" i="65"/>
  <c r="F209" i="65"/>
  <c r="AV284" i="65"/>
  <c r="BC284" i="65"/>
  <c r="I129" i="65"/>
  <c r="J194" i="65"/>
  <c r="AI194" i="65"/>
  <c r="AP228" i="65"/>
  <c r="AP284" i="65"/>
  <c r="H228" i="65"/>
  <c r="F295" i="65"/>
  <c r="AO209" i="65"/>
  <c r="J209" i="65"/>
  <c r="H284" i="65"/>
  <c r="AZ194" i="65"/>
  <c r="AO295" i="65"/>
  <c r="AE129" i="65"/>
  <c r="AF129" i="65" s="1"/>
  <c r="AG129" i="65" s="1"/>
  <c r="AH129" i="65" s="1"/>
  <c r="AN209" i="65"/>
  <c r="I194" i="65"/>
  <c r="F228" i="65"/>
  <c r="AN295" i="65"/>
  <c r="I209" i="65"/>
  <c r="F284" i="65"/>
  <c r="AL129" i="65"/>
  <c r="AV129" i="65"/>
  <c r="AV194" i="65"/>
  <c r="AV209" i="65"/>
  <c r="F129" i="65"/>
  <c r="BC194" i="65"/>
  <c r="BB295" i="65"/>
  <c r="AL209" i="65"/>
  <c r="AO284" i="65"/>
  <c r="H194" i="65"/>
  <c r="AE295" i="65"/>
  <c r="AF295" i="65" s="1"/>
  <c r="AG295" i="65" s="1"/>
  <c r="AH295" i="65" s="1"/>
  <c r="AL295" i="65"/>
  <c r="H209" i="65"/>
  <c r="AN284" i="65"/>
  <c r="AI129" i="65"/>
  <c r="AP129" i="65"/>
  <c r="AP194" i="65"/>
  <c r="AZ295" i="65"/>
  <c r="BK284" i="65"/>
  <c r="BA295" i="65"/>
  <c r="BK295" i="65"/>
  <c r="AI209" i="65"/>
  <c r="BB284" i="65"/>
  <c r="AO129" i="65"/>
  <c r="F194" i="65"/>
  <c r="AO194" i="65"/>
  <c r="BJ295" i="65"/>
  <c r="AE228" i="65"/>
  <c r="AF228" i="65" s="1"/>
  <c r="AG228" i="65" s="1"/>
  <c r="AH228" i="65" s="1"/>
  <c r="J295" i="65"/>
  <c r="AI295" i="65"/>
  <c r="AE284" i="65"/>
  <c r="AF284" i="65" s="1"/>
  <c r="AG284" i="65" s="1"/>
  <c r="AH284" i="65" s="1"/>
  <c r="AL284" i="65"/>
  <c r="AN129" i="65"/>
  <c r="BA284" i="65"/>
  <c r="AE194" i="65"/>
  <c r="AF194" i="65" s="1"/>
  <c r="AG194" i="65" s="1"/>
  <c r="AH194" i="65" s="1"/>
  <c r="BI209" i="65"/>
  <c r="AN194" i="65"/>
  <c r="J228" i="65"/>
  <c r="I295" i="65"/>
  <c r="BI295" i="65"/>
  <c r="J284" i="65"/>
  <c r="AI284" i="65"/>
  <c r="BB194" i="65"/>
  <c r="BB209" i="65"/>
  <c r="BJ284" i="65"/>
  <c r="AL194" i="65"/>
  <c r="F195" i="65"/>
  <c r="J285" i="65"/>
  <c r="AP296" i="65"/>
  <c r="AO195" i="65"/>
  <c r="AZ285" i="65"/>
  <c r="BJ285" i="65"/>
  <c r="F296" i="65"/>
  <c r="AO130" i="65"/>
  <c r="I130" i="65"/>
  <c r="AL210" i="65"/>
  <c r="AL195" i="65"/>
  <c r="AZ210" i="65"/>
  <c r="AV210" i="65"/>
  <c r="AN195" i="65"/>
  <c r="I285" i="65"/>
  <c r="BI296" i="65"/>
  <c r="AO296" i="65"/>
  <c r="AN130" i="65"/>
  <c r="AZ130" i="65"/>
  <c r="BK210" i="65"/>
  <c r="H285" i="65"/>
  <c r="BJ210" i="65"/>
  <c r="BC210" i="65"/>
  <c r="BB195" i="65"/>
  <c r="AV285" i="65"/>
  <c r="BC296" i="65"/>
  <c r="AN296" i="65"/>
  <c r="AL130" i="65"/>
  <c r="H130" i="65"/>
  <c r="AI210" i="65"/>
  <c r="AE195" i="65"/>
  <c r="AF195" i="65" s="1"/>
  <c r="AG195" i="65" s="1"/>
  <c r="AH195" i="65" s="1"/>
  <c r="BB296" i="65"/>
  <c r="BK296" i="65"/>
  <c r="AO210" i="65"/>
  <c r="BA195" i="65"/>
  <c r="BK195" i="65"/>
  <c r="AP285" i="65"/>
  <c r="AE296" i="65"/>
  <c r="AF296" i="65" s="1"/>
  <c r="AG296" i="65" s="1"/>
  <c r="AH296" i="65" s="1"/>
  <c r="AL296" i="65"/>
  <c r="AI130" i="65"/>
  <c r="I210" i="65"/>
  <c r="BI210" i="65"/>
  <c r="BA296" i="65"/>
  <c r="BA210" i="65"/>
  <c r="J195" i="65"/>
  <c r="AI195" i="65"/>
  <c r="F285" i="65"/>
  <c r="BK130" i="65"/>
  <c r="BI285" i="65"/>
  <c r="AO285" i="65"/>
  <c r="J296" i="65"/>
  <c r="AI296" i="65"/>
  <c r="BJ130" i="65"/>
  <c r="H210" i="65"/>
  <c r="AE285" i="65"/>
  <c r="AF285" i="65" s="1"/>
  <c r="AG285" i="65" s="1"/>
  <c r="AH285" i="65" s="1"/>
  <c r="BB130" i="65"/>
  <c r="I195" i="65"/>
  <c r="BC285" i="65"/>
  <c r="AN285" i="65"/>
  <c r="AZ296" i="65"/>
  <c r="BJ296" i="65"/>
  <c r="AP210" i="65"/>
  <c r="AE210" i="65"/>
  <c r="AF210" i="65" s="1"/>
  <c r="AG210" i="65" s="1"/>
  <c r="AH210" i="65" s="1"/>
  <c r="AL285" i="65"/>
  <c r="AV195" i="65"/>
  <c r="BB285" i="65"/>
  <c r="I296" i="65"/>
  <c r="BI130" i="65"/>
  <c r="AE130" i="65"/>
  <c r="AF130" i="65" s="1"/>
  <c r="AG130" i="65" s="1"/>
  <c r="AH130" i="65" s="1"/>
  <c r="F210" i="65"/>
  <c r="J210" i="65"/>
  <c r="H195" i="65"/>
  <c r="AV296" i="65"/>
  <c r="AV130" i="65"/>
  <c r="AP195" i="65"/>
  <c r="BA285" i="65"/>
  <c r="BK285" i="65"/>
  <c r="H296" i="65"/>
  <c r="F130" i="65"/>
  <c r="J130" i="65"/>
  <c r="AN210" i="65"/>
  <c r="AI285" i="65"/>
  <c r="AP130" i="65"/>
  <c r="BK286" i="65"/>
  <c r="H286" i="65"/>
  <c r="I211" i="65"/>
  <c r="BI211" i="65"/>
  <c r="J196" i="65"/>
  <c r="BJ131" i="65"/>
  <c r="AO131" i="65"/>
  <c r="J297" i="65"/>
  <c r="AI297" i="65"/>
  <c r="BJ211" i="65"/>
  <c r="AI286" i="65"/>
  <c r="AP286" i="65"/>
  <c r="AV211" i="65"/>
  <c r="BC211" i="65"/>
  <c r="AE131" i="65"/>
  <c r="AF131" i="65" s="1"/>
  <c r="AG131" i="65" s="1"/>
  <c r="AH131" i="65" s="1"/>
  <c r="AN131" i="65"/>
  <c r="AZ297" i="65"/>
  <c r="AP297" i="65"/>
  <c r="BI131" i="65"/>
  <c r="BJ286" i="65"/>
  <c r="F286" i="65"/>
  <c r="H211" i="65"/>
  <c r="I196" i="65"/>
  <c r="AL131" i="65"/>
  <c r="I297" i="65"/>
  <c r="BK297" i="65"/>
  <c r="F297" i="65"/>
  <c r="BI286" i="65"/>
  <c r="AO286" i="65"/>
  <c r="AP211" i="65"/>
  <c r="AL196" i="65"/>
  <c r="AV196" i="65"/>
  <c r="J131" i="65"/>
  <c r="AV297" i="65"/>
  <c r="H297" i="65"/>
  <c r="AL297" i="65"/>
  <c r="BC286" i="65"/>
  <c r="AN286" i="65"/>
  <c r="F211" i="65"/>
  <c r="H196" i="65"/>
  <c r="BB131" i="65"/>
  <c r="I131" i="65"/>
  <c r="AV286" i="65"/>
  <c r="BB286" i="65"/>
  <c r="AO211" i="65"/>
  <c r="AI196" i="65"/>
  <c r="AP196" i="65"/>
  <c r="AN297" i="65"/>
  <c r="AE286" i="65"/>
  <c r="AF286" i="65" s="1"/>
  <c r="AG286" i="65" s="1"/>
  <c r="AH286" i="65" s="1"/>
  <c r="AL286" i="65"/>
  <c r="AN211" i="65"/>
  <c r="F196" i="65"/>
  <c r="BA131" i="65"/>
  <c r="BJ297" i="65"/>
  <c r="AE297" i="65"/>
  <c r="AF297" i="65" s="1"/>
  <c r="AG297" i="65" s="1"/>
  <c r="AH297" i="65" s="1"/>
  <c r="BA286" i="65"/>
  <c r="BB211" i="65"/>
  <c r="AO196" i="65"/>
  <c r="H131" i="65"/>
  <c r="BI297" i="65"/>
  <c r="AO297" i="65"/>
  <c r="J286" i="65"/>
  <c r="AE211" i="65"/>
  <c r="AF211" i="65" s="1"/>
  <c r="AG211" i="65" s="1"/>
  <c r="AH211" i="65" s="1"/>
  <c r="AL211" i="65"/>
  <c r="AN196" i="65"/>
  <c r="BC297" i="65"/>
  <c r="AP131" i="65"/>
  <c r="AZ286" i="65"/>
  <c r="BA211" i="65"/>
  <c r="BK211" i="65"/>
  <c r="BK131" i="65"/>
  <c r="F131" i="65"/>
  <c r="BB297" i="65"/>
  <c r="BA297" i="65"/>
  <c r="I286" i="65"/>
  <c r="J211" i="65"/>
  <c r="AI211" i="65"/>
  <c r="AE196" i="65"/>
  <c r="AF196" i="65" s="1"/>
  <c r="AG196" i="65" s="1"/>
  <c r="AH196" i="65" s="1"/>
  <c r="AI131" i="65"/>
  <c r="AV131" i="65"/>
  <c r="AZ211" i="65"/>
  <c r="AO212" i="65"/>
  <c r="BJ287" i="65"/>
  <c r="F287" i="65"/>
  <c r="BC132" i="65"/>
  <c r="AL197" i="65"/>
  <c r="AV197" i="65"/>
  <c r="F197" i="65"/>
  <c r="AP287" i="65"/>
  <c r="AN212" i="65"/>
  <c r="BI287" i="65"/>
  <c r="AO287" i="65"/>
  <c r="J132" i="65"/>
  <c r="BK197" i="65"/>
  <c r="H197" i="65"/>
  <c r="AP212" i="65"/>
  <c r="BC287" i="65"/>
  <c r="AN132" i="65"/>
  <c r="BB132" i="65"/>
  <c r="AI197" i="65"/>
  <c r="AP197" i="65"/>
  <c r="AN197" i="65"/>
  <c r="AE212" i="65"/>
  <c r="AF212" i="65" s="1"/>
  <c r="AG212" i="65" s="1"/>
  <c r="AH212" i="65" s="1"/>
  <c r="AL212" i="65"/>
  <c r="BB287" i="65"/>
  <c r="BK132" i="65"/>
  <c r="I132" i="65"/>
  <c r="BJ197" i="65"/>
  <c r="BK287" i="65"/>
  <c r="AE287" i="65"/>
  <c r="AF287" i="65" s="1"/>
  <c r="AG287" i="65" s="1"/>
  <c r="AH287" i="65" s="1"/>
  <c r="AI132" i="65"/>
  <c r="BA132" i="65"/>
  <c r="H287" i="65"/>
  <c r="J212" i="65"/>
  <c r="AI212" i="65"/>
  <c r="BA287" i="65"/>
  <c r="AP132" i="65"/>
  <c r="H132" i="65"/>
  <c r="AZ197" i="65"/>
  <c r="J287" i="65"/>
  <c r="AO132" i="65"/>
  <c r="AZ132" i="65"/>
  <c r="BB197" i="65"/>
  <c r="AE132" i="65"/>
  <c r="AF132" i="65" s="1"/>
  <c r="AG132" i="65" s="1"/>
  <c r="AH132" i="65" s="1"/>
  <c r="I212" i="65"/>
  <c r="AN287" i="65"/>
  <c r="AZ287" i="65"/>
  <c r="AL132" i="65"/>
  <c r="F132" i="65"/>
  <c r="AE197" i="65"/>
  <c r="AF197" i="65" s="1"/>
  <c r="AG197" i="65" s="1"/>
  <c r="AH197" i="65" s="1"/>
  <c r="F212" i="65"/>
  <c r="AV212" i="65"/>
  <c r="I287" i="65"/>
  <c r="AV132" i="65"/>
  <c r="BA197" i="65"/>
  <c r="J197" i="65"/>
  <c r="AI287" i="65"/>
  <c r="H212" i="65"/>
  <c r="AL287" i="65"/>
  <c r="AV287" i="65"/>
  <c r="AO197" i="65"/>
  <c r="BI132" i="65"/>
  <c r="I197" i="65"/>
  <c r="AP133" i="65"/>
  <c r="AZ133" i="65"/>
  <c r="AL288" i="65"/>
  <c r="AV288" i="65"/>
  <c r="I213" i="65"/>
  <c r="F198" i="65"/>
  <c r="AP198" i="65"/>
  <c r="F133" i="65"/>
  <c r="AV133" i="65"/>
  <c r="BK288" i="65"/>
  <c r="H288" i="65"/>
  <c r="AV213" i="65"/>
  <c r="AO198" i="65"/>
  <c r="J198" i="65"/>
  <c r="AN288" i="65"/>
  <c r="AN133" i="65"/>
  <c r="AO133" i="65"/>
  <c r="AI288" i="65"/>
  <c r="H213" i="65"/>
  <c r="AN198" i="65"/>
  <c r="AZ198" i="65"/>
  <c r="I288" i="65"/>
  <c r="BI133" i="65"/>
  <c r="AL133" i="65"/>
  <c r="BJ288" i="65"/>
  <c r="AI213" i="65"/>
  <c r="AP213" i="65"/>
  <c r="I198" i="65"/>
  <c r="AZ288" i="65"/>
  <c r="BJ133" i="65"/>
  <c r="AI133" i="65"/>
  <c r="BI288" i="65"/>
  <c r="F213" i="65"/>
  <c r="AL198" i="65"/>
  <c r="BA133" i="65"/>
  <c r="AE198" i="65"/>
  <c r="AF198" i="65" s="1"/>
  <c r="AG198" i="65" s="1"/>
  <c r="AH198" i="65" s="1"/>
  <c r="AE133" i="65"/>
  <c r="AF133" i="65" s="1"/>
  <c r="AG133" i="65" s="1"/>
  <c r="AH133" i="65" s="1"/>
  <c r="BC288" i="65"/>
  <c r="AO213" i="65"/>
  <c r="BK198" i="65"/>
  <c r="AI198" i="65"/>
  <c r="H133" i="65"/>
  <c r="BC133" i="65"/>
  <c r="BK133" i="65"/>
  <c r="BB288" i="65"/>
  <c r="AN213" i="65"/>
  <c r="H198" i="65"/>
  <c r="J133" i="65"/>
  <c r="AP288" i="65"/>
  <c r="AE288" i="65"/>
  <c r="AF288" i="65" s="1"/>
  <c r="AG288" i="65" s="1"/>
  <c r="AH288" i="65" s="1"/>
  <c r="BJ198" i="65"/>
  <c r="BB133" i="65"/>
  <c r="F288" i="65"/>
  <c r="BA288" i="65"/>
  <c r="AE213" i="65"/>
  <c r="AF213" i="65" s="1"/>
  <c r="AG213" i="65" s="1"/>
  <c r="AH213" i="65" s="1"/>
  <c r="AL213" i="65"/>
  <c r="J213" i="65"/>
  <c r="I133" i="65"/>
  <c r="AO288" i="65"/>
  <c r="J288" i="65"/>
  <c r="AV198" i="65"/>
  <c r="AI134" i="65"/>
  <c r="BB134" i="65"/>
  <c r="H289" i="65"/>
  <c r="AE289" i="65"/>
  <c r="AF289" i="65" s="1"/>
  <c r="AG289" i="65" s="1"/>
  <c r="AH289" i="65" s="1"/>
  <c r="BA289" i="65"/>
  <c r="BJ289" i="65"/>
  <c r="H134" i="65"/>
  <c r="I214" i="65"/>
  <c r="AV134" i="65"/>
  <c r="BA134" i="65"/>
  <c r="AL199" i="65"/>
  <c r="AP289" i="65"/>
  <c r="J289" i="65"/>
  <c r="I289" i="65"/>
  <c r="AO214" i="65"/>
  <c r="AO134" i="65"/>
  <c r="BA199" i="65"/>
  <c r="BK199" i="65"/>
  <c r="F289" i="65"/>
  <c r="BI289" i="65"/>
  <c r="AN199" i="65"/>
  <c r="AN214" i="65"/>
  <c r="H214" i="65"/>
  <c r="AN134" i="65"/>
  <c r="J199" i="65"/>
  <c r="AI199" i="65"/>
  <c r="AO289" i="65"/>
  <c r="BC289" i="65"/>
  <c r="AL214" i="65"/>
  <c r="AV214" i="65"/>
  <c r="AL134" i="65"/>
  <c r="AZ199" i="65"/>
  <c r="BJ199" i="65"/>
  <c r="AN289" i="65"/>
  <c r="BC134" i="65"/>
  <c r="AI214" i="65"/>
  <c r="F214" i="65"/>
  <c r="I199" i="65"/>
  <c r="BI199" i="65"/>
  <c r="AL289" i="65"/>
  <c r="AI289" i="65"/>
  <c r="J214" i="65"/>
  <c r="AP214" i="65"/>
  <c r="BJ134" i="65"/>
  <c r="AV199" i="65"/>
  <c r="BC199" i="65"/>
  <c r="BK289" i="65"/>
  <c r="AV289" i="65"/>
  <c r="AZ134" i="65"/>
  <c r="AE134" i="65"/>
  <c r="AF134" i="65" s="1"/>
  <c r="AG134" i="65" s="1"/>
  <c r="AH134" i="65" s="1"/>
  <c r="H199" i="65"/>
  <c r="BB199" i="65"/>
  <c r="F134" i="65"/>
  <c r="I134" i="65"/>
  <c r="BI134" i="65"/>
  <c r="AP199" i="65"/>
  <c r="AE199" i="65"/>
  <c r="AF199" i="65" s="1"/>
  <c r="AG199" i="65" s="1"/>
  <c r="AH199" i="65" s="1"/>
  <c r="AO199" i="65"/>
  <c r="BB289" i="65"/>
  <c r="AE214" i="65"/>
  <c r="AF214" i="65" s="1"/>
  <c r="AG214" i="65" s="1"/>
  <c r="AH214" i="65" s="1"/>
  <c r="AP134" i="65"/>
  <c r="J134" i="65"/>
  <c r="F199" i="65"/>
  <c r="AZ289" i="65"/>
  <c r="BK134" i="65"/>
  <c r="AN215" i="65"/>
  <c r="AZ215" i="65"/>
  <c r="BK135" i="65"/>
  <c r="AI135" i="65"/>
  <c r="AO200" i="65"/>
  <c r="AV215" i="65"/>
  <c r="BJ135" i="65"/>
  <c r="AN200" i="65"/>
  <c r="AI200" i="65"/>
  <c r="BC215" i="65"/>
  <c r="AP215" i="65"/>
  <c r="J135" i="65"/>
  <c r="AO215" i="65"/>
  <c r="BI135" i="65"/>
  <c r="AE200" i="65"/>
  <c r="AF200" i="65" s="1"/>
  <c r="AG200" i="65" s="1"/>
  <c r="AH200" i="65" s="1"/>
  <c r="AL200" i="65"/>
  <c r="J215" i="65"/>
  <c r="AL215" i="65"/>
  <c r="H135" i="65"/>
  <c r="AE215" i="65"/>
  <c r="AF215" i="65" s="1"/>
  <c r="AG215" i="65" s="1"/>
  <c r="AH215" i="65" s="1"/>
  <c r="AI215" i="65"/>
  <c r="BC135" i="65"/>
  <c r="J200" i="65"/>
  <c r="I215" i="65"/>
  <c r="F135" i="65"/>
  <c r="BK215" i="65"/>
  <c r="AE135" i="65"/>
  <c r="AF135" i="65" s="1"/>
  <c r="AG135" i="65" s="1"/>
  <c r="AH135" i="65" s="1"/>
  <c r="BA135" i="65"/>
  <c r="I200" i="65"/>
  <c r="H215" i="65"/>
  <c r="AV135" i="65"/>
  <c r="AV200" i="65"/>
  <c r="I135" i="65"/>
  <c r="AP135" i="65"/>
  <c r="H200" i="65"/>
  <c r="F215" i="65"/>
  <c r="AN135" i="65"/>
  <c r="AO135" i="65"/>
  <c r="AP200" i="65"/>
  <c r="BB215" i="65"/>
  <c r="AL135" i="65"/>
  <c r="F200" i="65"/>
  <c r="AL136" i="65"/>
  <c r="BA201" i="65"/>
  <c r="BB136" i="65"/>
  <c r="AI136" i="65"/>
  <c r="J201" i="65"/>
  <c r="AI201" i="65"/>
  <c r="AE136" i="65"/>
  <c r="AF136" i="65" s="1"/>
  <c r="AG136" i="65" s="1"/>
  <c r="AH136" i="65" s="1"/>
  <c r="AL201" i="65"/>
  <c r="AP136" i="65"/>
  <c r="I201" i="65"/>
  <c r="AP201" i="65"/>
  <c r="F136" i="65"/>
  <c r="J136" i="65"/>
  <c r="H201" i="65"/>
  <c r="BC136" i="65"/>
  <c r="BJ136" i="65"/>
  <c r="AO201" i="65"/>
  <c r="H136" i="65"/>
  <c r="I136" i="65"/>
  <c r="F201" i="65"/>
  <c r="BJ201" i="65"/>
  <c r="AN201" i="65"/>
  <c r="BI201" i="65"/>
  <c r="AV136" i="65"/>
  <c r="BC201" i="65"/>
  <c r="AO136" i="65"/>
  <c r="BB201" i="65"/>
  <c r="AN136" i="65"/>
  <c r="AE201" i="65"/>
  <c r="AF201" i="65" s="1"/>
  <c r="AG201" i="65" s="1"/>
  <c r="AH201" i="65" s="1"/>
  <c r="I202" i="65"/>
  <c r="AO137" i="65"/>
  <c r="AV137" i="65"/>
  <c r="J137" i="65"/>
  <c r="AL202" i="65"/>
  <c r="AV202" i="65"/>
  <c r="AN137" i="65"/>
  <c r="AP137" i="65"/>
  <c r="BK202" i="65"/>
  <c r="H202" i="65"/>
  <c r="AL137" i="65"/>
  <c r="BC137" i="65"/>
  <c r="AI202" i="65"/>
  <c r="AP202" i="65"/>
  <c r="AE137" i="65"/>
  <c r="AF137" i="65" s="1"/>
  <c r="AG137" i="65" s="1"/>
  <c r="AH137" i="65" s="1"/>
  <c r="H137" i="65"/>
  <c r="F202" i="65"/>
  <c r="BJ137" i="65"/>
  <c r="BI202" i="65"/>
  <c r="AO202" i="65"/>
  <c r="F137" i="65"/>
  <c r="AN202" i="65"/>
  <c r="BB137" i="65"/>
  <c r="BK137" i="65"/>
  <c r="BA137" i="65"/>
  <c r="AE202" i="65"/>
  <c r="AF202" i="65" s="1"/>
  <c r="AG202" i="65" s="1"/>
  <c r="AH202" i="65" s="1"/>
  <c r="AI137" i="65"/>
  <c r="BA202" i="65"/>
  <c r="BI137" i="65"/>
  <c r="J202" i="65"/>
  <c r="AZ137" i="65"/>
  <c r="I137" i="65"/>
  <c r="AN138" i="65"/>
  <c r="AI203" i="65"/>
  <c r="AP203" i="65"/>
  <c r="AV203" i="65"/>
  <c r="F138" i="65"/>
  <c r="BJ203" i="65"/>
  <c r="F203" i="65"/>
  <c r="AI138" i="65"/>
  <c r="BI203" i="65"/>
  <c r="BA203" i="65"/>
  <c r="BK203" i="65"/>
  <c r="AV138" i="65"/>
  <c r="BC203" i="65"/>
  <c r="J203" i="65"/>
  <c r="AE138" i="65"/>
  <c r="AF138" i="65" s="1"/>
  <c r="AG138" i="65" s="1"/>
  <c r="AH138" i="65" s="1"/>
  <c r="AP138" i="65"/>
  <c r="BB203" i="65"/>
  <c r="AO138" i="65"/>
  <c r="AE203" i="65"/>
  <c r="AF203" i="65" s="1"/>
  <c r="AG203" i="65" s="1"/>
  <c r="AH203" i="65" s="1"/>
  <c r="AL138" i="65"/>
  <c r="AZ203" i="65"/>
  <c r="J138" i="65"/>
  <c r="AO203" i="65"/>
  <c r="AN203" i="65"/>
  <c r="I138" i="65"/>
  <c r="I203" i="65"/>
  <c r="AL203" i="65"/>
  <c r="H138" i="65"/>
  <c r="H203" i="65"/>
  <c r="AV204" i="65"/>
  <c r="AV139" i="65"/>
  <c r="H139" i="65"/>
  <c r="I139" i="65"/>
  <c r="H204" i="65"/>
  <c r="AE204" i="65"/>
  <c r="AF204" i="65" s="1"/>
  <c r="AG204" i="65" s="1"/>
  <c r="AH204" i="65" s="1"/>
  <c r="AO139" i="65"/>
  <c r="AE139" i="65"/>
  <c r="AF139" i="65" s="1"/>
  <c r="AG139" i="65" s="1"/>
  <c r="AH139" i="65" s="1"/>
  <c r="AP204" i="65"/>
  <c r="AL139" i="65"/>
  <c r="F204" i="65"/>
  <c r="J204" i="65"/>
  <c r="AI139" i="65"/>
  <c r="J139" i="65"/>
  <c r="AO204" i="65"/>
  <c r="I204" i="65"/>
  <c r="BK139" i="65"/>
  <c r="AN204" i="65"/>
  <c r="AZ204" i="65"/>
  <c r="AL204" i="65"/>
  <c r="AP139" i="65"/>
  <c r="F139" i="65"/>
  <c r="AI204" i="65"/>
  <c r="AN139" i="65"/>
  <c r="BI139" i="65"/>
  <c r="BC204" i="65"/>
  <c r="AZ139" i="65"/>
  <c r="AZ140" i="65"/>
  <c r="BC140" i="65"/>
  <c r="AO140" i="65"/>
  <c r="I140" i="65"/>
  <c r="H140" i="65"/>
  <c r="AV140" i="65"/>
  <c r="AP140" i="65"/>
  <c r="J140" i="65"/>
  <c r="F140" i="65"/>
  <c r="AN140" i="65"/>
  <c r="AI140" i="65"/>
  <c r="AL140" i="65"/>
  <c r="AE140" i="65"/>
  <c r="AF140" i="65" s="1"/>
  <c r="AG140" i="65" s="1"/>
  <c r="AH140" i="65" s="1"/>
  <c r="BJ140" i="65"/>
  <c r="BI140" i="65"/>
  <c r="AV141" i="65"/>
  <c r="BC141" i="65"/>
  <c r="AE141" i="65"/>
  <c r="AF141" i="65" s="1"/>
  <c r="AG141" i="65" s="1"/>
  <c r="AH141" i="65" s="1"/>
  <c r="AP141" i="65"/>
  <c r="BK141" i="65"/>
  <c r="AO141" i="65"/>
  <c r="F141" i="65"/>
  <c r="I141" i="65"/>
  <c r="AL141" i="65"/>
  <c r="AN141" i="65"/>
  <c r="AI141" i="65"/>
  <c r="BJ141" i="65"/>
  <c r="J141" i="65"/>
  <c r="BI141" i="65"/>
  <c r="H141" i="65"/>
  <c r="J142" i="65"/>
  <c r="BB142" i="65"/>
  <c r="BJ142" i="65"/>
  <c r="H142" i="65"/>
  <c r="AE142" i="65"/>
  <c r="AF142" i="65" s="1"/>
  <c r="AG142" i="65" s="1"/>
  <c r="AH142" i="65" s="1"/>
  <c r="I142" i="65"/>
  <c r="BK142" i="65"/>
  <c r="AP142" i="65"/>
  <c r="F142" i="65"/>
  <c r="AV142" i="65"/>
  <c r="AO142" i="65"/>
  <c r="AN142" i="65"/>
  <c r="AL142" i="65"/>
  <c r="AI142" i="65"/>
  <c r="BK143" i="65"/>
  <c r="BB143" i="65"/>
  <c r="H143" i="65"/>
  <c r="AI143" i="65"/>
  <c r="BA143" i="65"/>
  <c r="AN143" i="65"/>
  <c r="BI143" i="65"/>
  <c r="AV143" i="65"/>
  <c r="BC143" i="65"/>
  <c r="AZ143" i="65"/>
  <c r="AO143" i="65"/>
  <c r="I143" i="65"/>
  <c r="AL143" i="65"/>
  <c r="AP143" i="65"/>
  <c r="AE143" i="65"/>
  <c r="AF143" i="65" s="1"/>
  <c r="AG143" i="65" s="1"/>
  <c r="AH143" i="65" s="1"/>
  <c r="J143" i="65"/>
  <c r="BJ143" i="65"/>
  <c r="F143" i="65"/>
  <c r="R267" i="11"/>
  <c r="T267" i="11" s="1"/>
  <c r="AC299" i="11"/>
  <c r="AZ76" i="65" s="1"/>
  <c r="AC300" i="11"/>
  <c r="AZ77" i="65" s="1"/>
  <c r="AM301" i="11"/>
  <c r="BJ78" i="65" s="1"/>
  <c r="AL301" i="11"/>
  <c r="BI78" i="65" s="1"/>
  <c r="AF301" i="11"/>
  <c r="BC78" i="65" s="1"/>
  <c r="AC301" i="11"/>
  <c r="AZ78" i="65" s="1"/>
  <c r="AL304" i="11"/>
  <c r="BI81" i="65" s="1"/>
  <c r="AF304" i="11"/>
  <c r="BC81" i="65" s="1"/>
  <c r="AE304" i="11"/>
  <c r="BB81" i="65" s="1"/>
  <c r="AD307" i="11"/>
  <c r="AC307" i="11"/>
  <c r="AZ84" i="65" s="1"/>
  <c r="R322" i="11"/>
  <c r="T322" i="11" s="1"/>
  <c r="AF325" i="11"/>
  <c r="AC333" i="11"/>
  <c r="AZ107" i="65" s="1"/>
  <c r="AF336" i="11"/>
  <c r="BC110" i="65" s="1"/>
  <c r="X349" i="11"/>
  <c r="AC353" i="11"/>
  <c r="AZ123" i="65" s="1"/>
  <c r="AE379" i="11"/>
  <c r="BB149" i="65" s="1"/>
  <c r="AN385" i="11"/>
  <c r="AF385" i="11"/>
  <c r="AD385" i="11"/>
  <c r="AL385" i="11"/>
  <c r="X406" i="11"/>
  <c r="R406" i="11"/>
  <c r="T406" i="11" s="1"/>
  <c r="AN409" i="11"/>
  <c r="AF409" i="11"/>
  <c r="BC178" i="65" s="1"/>
  <c r="AE409" i="11"/>
  <c r="BB178" i="65" s="1"/>
  <c r="AD409" i="11"/>
  <c r="BA178" i="65" s="1"/>
  <c r="AM409" i="11"/>
  <c r="BJ178" i="65" s="1"/>
  <c r="AL409" i="11"/>
  <c r="BI178" i="65" s="1"/>
  <c r="X414" i="11"/>
  <c r="R414" i="11"/>
  <c r="T414" i="11" s="1"/>
  <c r="R188" i="11"/>
  <c r="T188" i="11" s="1"/>
  <c r="R205" i="11"/>
  <c r="T205" i="11" s="1"/>
  <c r="X223" i="11"/>
  <c r="AN13" i="65"/>
  <c r="X224" i="11"/>
  <c r="AD225" i="11"/>
  <c r="BA14" i="65" s="1"/>
  <c r="AB226" i="11"/>
  <c r="X231" i="11"/>
  <c r="AF233" i="11"/>
  <c r="BC22" i="65" s="1"/>
  <c r="R236" i="11"/>
  <c r="AN240" i="11"/>
  <c r="BK29" i="65" s="1"/>
  <c r="R244" i="11"/>
  <c r="AF247" i="11"/>
  <c r="BC36" i="65" s="1"/>
  <c r="AC247" i="11"/>
  <c r="AZ36" i="65" s="1"/>
  <c r="X249" i="11"/>
  <c r="R250" i="11"/>
  <c r="AD252" i="11"/>
  <c r="BA40" i="65" s="1"/>
  <c r="Z254" i="11"/>
  <c r="Z255" i="11"/>
  <c r="Z256" i="11"/>
  <c r="X257" i="11"/>
  <c r="Z272" i="11"/>
  <c r="Z274" i="11"/>
  <c r="Z279" i="11"/>
  <c r="R283" i="11"/>
  <c r="T283" i="11" s="1"/>
  <c r="R285" i="11"/>
  <c r="T285" i="11" s="1"/>
  <c r="AN294" i="11"/>
  <c r="Z296" i="11"/>
  <c r="AL299" i="11"/>
  <c r="AD300" i="11"/>
  <c r="BA77" i="65" s="1"/>
  <c r="AD301" i="11"/>
  <c r="AC304" i="11"/>
  <c r="AZ81" i="65" s="1"/>
  <c r="AE307" i="11"/>
  <c r="R315" i="11"/>
  <c r="T315" i="11" s="1"/>
  <c r="AM323" i="11"/>
  <c r="BJ98" i="65" s="1"/>
  <c r="AL323" i="11"/>
  <c r="BI98" i="65" s="1"/>
  <c r="AL325" i="11"/>
  <c r="BI100" i="65" s="1"/>
  <c r="AD333" i="11"/>
  <c r="AL336" i="11"/>
  <c r="BI110" i="65" s="1"/>
  <c r="AD353" i="11"/>
  <c r="AE365" i="11"/>
  <c r="AN365" i="11"/>
  <c r="BK136" i="65" s="1"/>
  <c r="AM365" i="11"/>
  <c r="AF365" i="11"/>
  <c r="AN368" i="11"/>
  <c r="AL368" i="11"/>
  <c r="AM368" i="11"/>
  <c r="BJ139" i="65" s="1"/>
  <c r="AF368" i="11"/>
  <c r="BC139" i="65" s="1"/>
  <c r="AE368" i="11"/>
  <c r="BB139" i="65" s="1"/>
  <c r="AC368" i="11"/>
  <c r="AC375" i="11"/>
  <c r="AZ145" i="65" s="1"/>
  <c r="AM375" i="11"/>
  <c r="BJ145" i="65" s="1"/>
  <c r="AN375" i="11"/>
  <c r="AF375" i="11"/>
  <c r="BC145" i="65" s="1"/>
  <c r="X392" i="11"/>
  <c r="R392" i="11"/>
  <c r="T392" i="11" s="1"/>
  <c r="AN406" i="11"/>
  <c r="BK175" i="65" s="1"/>
  <c r="AF406" i="11"/>
  <c r="BC175" i="65" s="1"/>
  <c r="AE406" i="11"/>
  <c r="BB175" i="65" s="1"/>
  <c r="AD406" i="11"/>
  <c r="BA175" i="65" s="1"/>
  <c r="AM406" i="11"/>
  <c r="AL406" i="11"/>
  <c r="BI175" i="65" s="1"/>
  <c r="AC406" i="11"/>
  <c r="AZ175" i="65" s="1"/>
  <c r="AC409" i="11"/>
  <c r="X449" i="11"/>
  <c r="R449" i="11"/>
  <c r="T449" i="11" s="1"/>
  <c r="AD464" i="11"/>
  <c r="BA230" i="65" s="1"/>
  <c r="AN464" i="11"/>
  <c r="BK230" i="65" s="1"/>
  <c r="AM464" i="11"/>
  <c r="BJ230" i="65" s="1"/>
  <c r="AL464" i="11"/>
  <c r="BI230" i="65" s="1"/>
  <c r="AF464" i="11"/>
  <c r="BC230" i="65" s="1"/>
  <c r="AE464" i="11"/>
  <c r="BB230" i="65" s="1"/>
  <c r="AC464" i="11"/>
  <c r="AZ230" i="65" s="1"/>
  <c r="X284" i="11"/>
  <c r="R284" i="11"/>
  <c r="T284" i="11" s="1"/>
  <c r="AM299" i="11"/>
  <c r="AE300" i="11"/>
  <c r="AE301" i="11"/>
  <c r="BB78" i="65" s="1"/>
  <c r="AD304" i="11"/>
  <c r="AF307" i="11"/>
  <c r="AF309" i="11"/>
  <c r="BC86" i="65" s="1"/>
  <c r="AE309" i="11"/>
  <c r="BB86" i="65" s="1"/>
  <c r="AD309" i="11"/>
  <c r="BA86" i="65" s="1"/>
  <c r="AC323" i="11"/>
  <c r="AZ98" i="65" s="1"/>
  <c r="AM325" i="11"/>
  <c r="BJ100" i="65" s="1"/>
  <c r="AE333" i="11"/>
  <c r="BB107" i="65" s="1"/>
  <c r="AM336" i="11"/>
  <c r="BJ110" i="65" s="1"/>
  <c r="R341" i="11"/>
  <c r="T341" i="11" s="1"/>
  <c r="AL344" i="11"/>
  <c r="AE344" i="11"/>
  <c r="AN344" i="11"/>
  <c r="AL353" i="11"/>
  <c r="BI123" i="65" s="1"/>
  <c r="X359" i="11"/>
  <c r="AC365" i="11"/>
  <c r="AZ136" i="65" s="1"/>
  <c r="AD368" i="11"/>
  <c r="BA139" i="65" s="1"/>
  <c r="AD375" i="11"/>
  <c r="BA145" i="65" s="1"/>
  <c r="AC381" i="11"/>
  <c r="AZ151" i="65" s="1"/>
  <c r="AM381" i="11"/>
  <c r="BJ151" i="65" s="1"/>
  <c r="AN381" i="11"/>
  <c r="BK151" i="65" s="1"/>
  <c r="AL381" i="11"/>
  <c r="BI151" i="65" s="1"/>
  <c r="AE381" i="11"/>
  <c r="BB151" i="65" s="1"/>
  <c r="AE385" i="11"/>
  <c r="AB428" i="11"/>
  <c r="Z428" i="11"/>
  <c r="AL225" i="11"/>
  <c r="BI14" i="65" s="1"/>
  <c r="Z231" i="11"/>
  <c r="X232" i="11"/>
  <c r="AM233" i="11"/>
  <c r="BJ22" i="65" s="1"/>
  <c r="AE247" i="11"/>
  <c r="BB36" i="65" s="1"/>
  <c r="X250" i="11"/>
  <c r="AL252" i="11"/>
  <c r="BI40" i="65" s="1"/>
  <c r="AD255" i="11"/>
  <c r="BA43" i="65" s="1"/>
  <c r="T259" i="11"/>
  <c r="AL275" i="11"/>
  <c r="AF275" i="11"/>
  <c r="AE275" i="11"/>
  <c r="AD278" i="11"/>
  <c r="BA63" i="65" s="1"/>
  <c r="AC278" i="11"/>
  <c r="AZ63" i="65" s="1"/>
  <c r="X288" i="11"/>
  <c r="R290" i="11"/>
  <c r="T290" i="11" s="1"/>
  <c r="R291" i="11"/>
  <c r="T291" i="11" s="1"/>
  <c r="AN299" i="11"/>
  <c r="AF300" i="11"/>
  <c r="BC77" i="65" s="1"/>
  <c r="AN301" i="11"/>
  <c r="BK78" i="65" s="1"/>
  <c r="AM304" i="11"/>
  <c r="BJ81" i="65" s="1"/>
  <c r="AL307" i="11"/>
  <c r="BI84" i="65" s="1"/>
  <c r="AC309" i="11"/>
  <c r="AZ86" i="65" s="1"/>
  <c r="R314" i="11"/>
  <c r="T314" i="11" s="1"/>
  <c r="AB315" i="11"/>
  <c r="Z316" i="11"/>
  <c r="AE322" i="11"/>
  <c r="BB97" i="65" s="1"/>
  <c r="AD322" i="11"/>
  <c r="BA97" i="65" s="1"/>
  <c r="AC322" i="11"/>
  <c r="AZ97" i="65" s="1"/>
  <c r="AD323" i="11"/>
  <c r="AN325" i="11"/>
  <c r="BK100" i="65" s="1"/>
  <c r="AF333" i="11"/>
  <c r="BC107" i="65" s="1"/>
  <c r="AN336" i="11"/>
  <c r="BK110" i="65" s="1"/>
  <c r="X340" i="11"/>
  <c r="AC344" i="11"/>
  <c r="AB356" i="11"/>
  <c r="AB359" i="11"/>
  <c r="Z359" i="11"/>
  <c r="AD365" i="11"/>
  <c r="BA136" i="65" s="1"/>
  <c r="X370" i="11"/>
  <c r="R370" i="11"/>
  <c r="T370" i="11" s="1"/>
  <c r="AE375" i="11"/>
  <c r="AL398" i="11"/>
  <c r="BI167" i="65" s="1"/>
  <c r="AF398" i="11"/>
  <c r="BC167" i="65" s="1"/>
  <c r="AE398" i="11"/>
  <c r="BB167" i="65" s="1"/>
  <c r="AN398" i="11"/>
  <c r="BK167" i="65" s="1"/>
  <c r="AM398" i="11"/>
  <c r="BJ167" i="65" s="1"/>
  <c r="AD398" i="11"/>
  <c r="BA167" i="65" s="1"/>
  <c r="AC398" i="11"/>
  <c r="AZ167" i="65" s="1"/>
  <c r="AN457" i="11"/>
  <c r="BK223" i="65" s="1"/>
  <c r="AM457" i="11"/>
  <c r="BJ223" i="65" s="1"/>
  <c r="AL457" i="11"/>
  <c r="BI223" i="65" s="1"/>
  <c r="AF457" i="11"/>
  <c r="BC223" i="65" s="1"/>
  <c r="AD457" i="11"/>
  <c r="BA223" i="65" s="1"/>
  <c r="AC457" i="11"/>
  <c r="AZ223" i="65" s="1"/>
  <c r="Z200" i="11"/>
  <c r="Z212" i="11"/>
  <c r="AN225" i="11"/>
  <c r="BK14" i="65" s="1"/>
  <c r="AN233" i="11"/>
  <c r="BK22" i="65" s="1"/>
  <c r="AF235" i="11"/>
  <c r="BC24" i="65" s="1"/>
  <c r="AC235" i="11"/>
  <c r="AZ24" i="65" s="1"/>
  <c r="AN26" i="65"/>
  <c r="R237" i="11"/>
  <c r="Z244" i="11"/>
  <c r="AM252" i="11"/>
  <c r="BJ40" i="65" s="1"/>
  <c r="AE255" i="11"/>
  <c r="BB43" i="65" s="1"/>
  <c r="Z266" i="11"/>
  <c r="Z284" i="11"/>
  <c r="AN300" i="11"/>
  <c r="Z314" i="11"/>
  <c r="Z321" i="11"/>
  <c r="AN333" i="11"/>
  <c r="AD344" i="11"/>
  <c r="AL365" i="11"/>
  <c r="BI136" i="65" s="1"/>
  <c r="AL375" i="11"/>
  <c r="BI145" i="65" s="1"/>
  <c r="AC378" i="11"/>
  <c r="AZ148" i="65" s="1"/>
  <c r="AM378" i="11"/>
  <c r="BJ148" i="65" s="1"/>
  <c r="AN378" i="11"/>
  <c r="AL378" i="11"/>
  <c r="AF378" i="11"/>
  <c r="BC148" i="65" s="1"/>
  <c r="AD378" i="11"/>
  <c r="AB380" i="11"/>
  <c r="Z380" i="11"/>
  <c r="AF381" i="11"/>
  <c r="BC151" i="65" s="1"/>
  <c r="AC384" i="11"/>
  <c r="AM384" i="11"/>
  <c r="BJ154" i="65" s="1"/>
  <c r="AN384" i="11"/>
  <c r="BK154" i="65" s="1"/>
  <c r="AF384" i="11"/>
  <c r="BC154" i="65" s="1"/>
  <c r="X404" i="11"/>
  <c r="R404" i="11"/>
  <c r="T404" i="11" s="1"/>
  <c r="AM445" i="11"/>
  <c r="BJ215" i="65" s="1"/>
  <c r="AF445" i="11"/>
  <c r="AE445" i="11"/>
  <c r="AD445" i="11"/>
  <c r="BA215" i="65" s="1"/>
  <c r="AC445" i="11"/>
  <c r="AN445" i="11"/>
  <c r="AL445" i="11"/>
  <c r="BI215" i="65" s="1"/>
  <c r="AF223" i="11"/>
  <c r="BC12" i="65" s="1"/>
  <c r="AC223" i="11"/>
  <c r="AZ12" i="65" s="1"/>
  <c r="AN14" i="65"/>
  <c r="R225" i="11"/>
  <c r="AV30" i="65"/>
  <c r="T241" i="11"/>
  <c r="AM249" i="11"/>
  <c r="BJ38" i="65" s="1"/>
  <c r="AE249" i="11"/>
  <c r="BB38" i="65" s="1"/>
  <c r="AD249" i="11"/>
  <c r="BA38" i="65" s="1"/>
  <c r="AN252" i="11"/>
  <c r="BK40" i="65" s="1"/>
  <c r="AF255" i="11"/>
  <c r="BC43" i="65" s="1"/>
  <c r="AE257" i="11"/>
  <c r="BB45" i="65" s="1"/>
  <c r="AD257" i="11"/>
  <c r="BA45" i="65" s="1"/>
  <c r="AM266" i="11"/>
  <c r="BJ53" i="65" s="1"/>
  <c r="AL266" i="11"/>
  <c r="BI53" i="65" s="1"/>
  <c r="AF266" i="11"/>
  <c r="BC53" i="65" s="1"/>
  <c r="AC266" i="11"/>
  <c r="AZ53" i="65" s="1"/>
  <c r="AN277" i="11"/>
  <c r="BK62" i="65" s="1"/>
  <c r="AM277" i="11"/>
  <c r="BJ62" i="65" s="1"/>
  <c r="AL277" i="11"/>
  <c r="AD277" i="11"/>
  <c r="AC277" i="11"/>
  <c r="AZ62" i="65" s="1"/>
  <c r="AF280" i="11"/>
  <c r="BC65" i="65" s="1"/>
  <c r="AE280" i="11"/>
  <c r="BB65" i="65" s="1"/>
  <c r="AD280" i="11"/>
  <c r="BA65" i="65" s="1"/>
  <c r="AM281" i="11"/>
  <c r="BJ66" i="65" s="1"/>
  <c r="AL281" i="11"/>
  <c r="BI66" i="65" s="1"/>
  <c r="AL286" i="11"/>
  <c r="AF286" i="11"/>
  <c r="AD314" i="11"/>
  <c r="AC314" i="11"/>
  <c r="AM320" i="11"/>
  <c r="BJ95" i="65" s="1"/>
  <c r="AL320" i="11"/>
  <c r="BI95" i="65" s="1"/>
  <c r="AE341" i="11"/>
  <c r="BB113" i="65" s="1"/>
  <c r="AC341" i="11"/>
  <c r="AZ113" i="65" s="1"/>
  <c r="AL341" i="11"/>
  <c r="BI113" i="65" s="1"/>
  <c r="AF341" i="11"/>
  <c r="BC113" i="65" s="1"/>
  <c r="AD341" i="11"/>
  <c r="BA113" i="65" s="1"/>
  <c r="AB367" i="11"/>
  <c r="Z367" i="11"/>
  <c r="AL377" i="11"/>
  <c r="BI147" i="65" s="1"/>
  <c r="AE377" i="11"/>
  <c r="BB147" i="65" s="1"/>
  <c r="AN377" i="11"/>
  <c r="BK147" i="65" s="1"/>
  <c r="AF377" i="11"/>
  <c r="BC147" i="65" s="1"/>
  <c r="AC441" i="11"/>
  <c r="AZ209" i="65" s="1"/>
  <c r="AM441" i="11"/>
  <c r="BJ209" i="65" s="1"/>
  <c r="AL441" i="11"/>
  <c r="AF441" i="11"/>
  <c r="BC209" i="65" s="1"/>
  <c r="AN441" i="11"/>
  <c r="BK209" i="65" s="1"/>
  <c r="AD441" i="11"/>
  <c r="BA209" i="65" s="1"/>
  <c r="AV20" i="65"/>
  <c r="T229" i="11"/>
  <c r="AE235" i="11"/>
  <c r="BB24" i="65" s="1"/>
  <c r="X237" i="11"/>
  <c r="AD239" i="11"/>
  <c r="BA28" i="65" s="1"/>
  <c r="Z240" i="11"/>
  <c r="X241" i="11"/>
  <c r="AC249" i="11"/>
  <c r="AZ38" i="65" s="1"/>
  <c r="AB250" i="11"/>
  <c r="R252" i="11"/>
  <c r="AL255" i="11"/>
  <c r="BI43" i="65" s="1"/>
  <c r="AC257" i="11"/>
  <c r="AZ45" i="65" s="1"/>
  <c r="AB258" i="11"/>
  <c r="AD266" i="11"/>
  <c r="AE277" i="11"/>
  <c r="BB62" i="65" s="1"/>
  <c r="AC281" i="11"/>
  <c r="AZ66" i="65" s="1"/>
  <c r="AM282" i="11"/>
  <c r="BJ67" i="65" s="1"/>
  <c r="AL282" i="11"/>
  <c r="AF282" i="11"/>
  <c r="BC67" i="65" s="1"/>
  <c r="AC282" i="11"/>
  <c r="AB285" i="11"/>
  <c r="AC286" i="11"/>
  <c r="AE314" i="11"/>
  <c r="BB91" i="65" s="1"/>
  <c r="AC320" i="11"/>
  <c r="AZ95" i="65" s="1"/>
  <c r="AM322" i="11"/>
  <c r="BJ97" i="65" s="1"/>
  <c r="AN323" i="11"/>
  <c r="BK98" i="65" s="1"/>
  <c r="X338" i="11"/>
  <c r="R338" i="11"/>
  <c r="T338" i="11" s="1"/>
  <c r="AM341" i="11"/>
  <c r="AM344" i="11"/>
  <c r="AB355" i="11"/>
  <c r="AC377" i="11"/>
  <c r="AL407" i="11"/>
  <c r="BI176" i="65" s="1"/>
  <c r="AF407" i="11"/>
  <c r="BC176" i="65" s="1"/>
  <c r="AE407" i="11"/>
  <c r="BB176" i="65" s="1"/>
  <c r="AN407" i="11"/>
  <c r="BK176" i="65" s="1"/>
  <c r="AM407" i="11"/>
  <c r="BJ176" i="65" s="1"/>
  <c r="AD407" i="11"/>
  <c r="AC407" i="11"/>
  <c r="AB432" i="11"/>
  <c r="Z432" i="11"/>
  <c r="AE441" i="11"/>
  <c r="X458" i="11"/>
  <c r="R458" i="11"/>
  <c r="T458" i="11" s="1"/>
  <c r="AN232" i="11"/>
  <c r="BK21" i="65" s="1"/>
  <c r="AF232" i="11"/>
  <c r="BC21" i="65" s="1"/>
  <c r="AN23" i="65"/>
  <c r="R234" i="11"/>
  <c r="AF249" i="11"/>
  <c r="BC38" i="65" s="1"/>
  <c r="AM255" i="11"/>
  <c r="BJ43" i="65" s="1"/>
  <c r="AF257" i="11"/>
  <c r="BC45" i="65" s="1"/>
  <c r="AL259" i="11"/>
  <c r="BI47" i="65" s="1"/>
  <c r="AF259" i="11"/>
  <c r="BC47" i="65" s="1"/>
  <c r="AC259" i="11"/>
  <c r="AZ47" i="65" s="1"/>
  <c r="AN260" i="11"/>
  <c r="BK48" i="65" s="1"/>
  <c r="AM260" i="11"/>
  <c r="BJ48" i="65" s="1"/>
  <c r="AE266" i="11"/>
  <c r="R271" i="11"/>
  <c r="T271" i="11" s="1"/>
  <c r="AN275" i="11"/>
  <c r="AF277" i="11"/>
  <c r="BC62" i="65" s="1"/>
  <c r="AM278" i="11"/>
  <c r="BJ63" i="65" s="1"/>
  <c r="AL280" i="11"/>
  <c r="BI65" i="65" s="1"/>
  <c r="AD281" i="11"/>
  <c r="AD282" i="11"/>
  <c r="AD286" i="11"/>
  <c r="AL287" i="11"/>
  <c r="AF287" i="11"/>
  <c r="AE287" i="11"/>
  <c r="AD290" i="11"/>
  <c r="AC290" i="11"/>
  <c r="R311" i="11"/>
  <c r="T311" i="11" s="1"/>
  <c r="AL312" i="11"/>
  <c r="BI89" i="65" s="1"/>
  <c r="AF312" i="11"/>
  <c r="BC89" i="65" s="1"/>
  <c r="Z313" i="11"/>
  <c r="AF314" i="11"/>
  <c r="BC91" i="65" s="1"/>
  <c r="X317" i="11"/>
  <c r="R317" i="11"/>
  <c r="AE319" i="11"/>
  <c r="AD319" i="11"/>
  <c r="BA94" i="65" s="1"/>
  <c r="AC319" i="11"/>
  <c r="AZ94" i="65" s="1"/>
  <c r="AD320" i="11"/>
  <c r="BA95" i="65" s="1"/>
  <c r="AE328" i="11"/>
  <c r="AD328" i="11"/>
  <c r="AC328" i="11"/>
  <c r="AN341" i="11"/>
  <c r="BK113" i="65" s="1"/>
  <c r="AE354" i="11"/>
  <c r="BB124" i="65" s="1"/>
  <c r="AC354" i="11"/>
  <c r="AZ124" i="65" s="1"/>
  <c r="AN354" i="11"/>
  <c r="BK124" i="65" s="1"/>
  <c r="AL354" i="11"/>
  <c r="BI124" i="65" s="1"/>
  <c r="AN370" i="11"/>
  <c r="AD370" i="11"/>
  <c r="BA141" i="65" s="1"/>
  <c r="AM370" i="11"/>
  <c r="AL370" i="11"/>
  <c r="AF370" i="11"/>
  <c r="AE370" i="11"/>
  <c r="BB141" i="65" s="1"/>
  <c r="AC370" i="11"/>
  <c r="AZ141" i="65" s="1"/>
  <c r="AD377" i="11"/>
  <c r="BA147" i="65" s="1"/>
  <c r="AL384" i="11"/>
  <c r="BI154" i="65" s="1"/>
  <c r="AN394" i="11"/>
  <c r="BK163" i="65" s="1"/>
  <c r="AF394" i="11"/>
  <c r="BC163" i="65" s="1"/>
  <c r="AD394" i="11"/>
  <c r="BA163" i="65" s="1"/>
  <c r="AE394" i="11"/>
  <c r="BB163" i="65" s="1"/>
  <c r="AC394" i="11"/>
  <c r="AL394" i="11"/>
  <c r="BI163" i="65" s="1"/>
  <c r="AB452" i="11"/>
  <c r="Z452" i="11"/>
  <c r="AN41" i="65"/>
  <c r="R253" i="11"/>
  <c r="AN255" i="11"/>
  <c r="BK43" i="65" s="1"/>
  <c r="AN266" i="11"/>
  <c r="AM280" i="11"/>
  <c r="BJ65" i="65" s="1"/>
  <c r="AE281" i="11"/>
  <c r="BB66" i="65" s="1"/>
  <c r="AE282" i="11"/>
  <c r="BB67" i="65" s="1"/>
  <c r="AE286" i="11"/>
  <c r="AM313" i="11"/>
  <c r="BJ90" i="65" s="1"/>
  <c r="AL313" i="11"/>
  <c r="BI90" i="65" s="1"/>
  <c r="AF313" i="11"/>
  <c r="AC313" i="11"/>
  <c r="AZ90" i="65" s="1"/>
  <c r="AL314" i="11"/>
  <c r="BI91" i="65" s="1"/>
  <c r="AE320" i="11"/>
  <c r="BB95" i="65" s="1"/>
  <c r="X345" i="11"/>
  <c r="R345" i="11"/>
  <c r="T345" i="11" s="1"/>
  <c r="AD354" i="11"/>
  <c r="BA124" i="65" s="1"/>
  <c r="X360" i="11"/>
  <c r="AN376" i="11"/>
  <c r="BK146" i="65" s="1"/>
  <c r="AD376" i="11"/>
  <c r="AM376" i="11"/>
  <c r="BJ146" i="65" s="1"/>
  <c r="AF376" i="11"/>
  <c r="BC146" i="65" s="1"/>
  <c r="AM377" i="11"/>
  <c r="BJ147" i="65" s="1"/>
  <c r="AM394" i="11"/>
  <c r="BJ163" i="65" s="1"/>
  <c r="AN415" i="11"/>
  <c r="BK184" i="65" s="1"/>
  <c r="AL415" i="11"/>
  <c r="BI184" i="65" s="1"/>
  <c r="AF415" i="11"/>
  <c r="BC184" i="65" s="1"/>
  <c r="AE415" i="11"/>
  <c r="BB184" i="65" s="1"/>
  <c r="AM415" i="11"/>
  <c r="AC415" i="11"/>
  <c r="AZ184" i="65" s="1"/>
  <c r="AC450" i="11"/>
  <c r="AM450" i="11"/>
  <c r="AL450" i="11"/>
  <c r="BI216" i="65" s="1"/>
  <c r="AF450" i="11"/>
  <c r="BC216" i="65" s="1"/>
  <c r="AE450" i="11"/>
  <c r="AN450" i="11"/>
  <c r="BK216" i="65" s="1"/>
  <c r="X400" i="11"/>
  <c r="R400" i="11"/>
  <c r="T400" i="11" s="1"/>
  <c r="AL401" i="11"/>
  <c r="BI170" i="65" s="1"/>
  <c r="AF401" i="11"/>
  <c r="BC170" i="65" s="1"/>
  <c r="AE401" i="11"/>
  <c r="X409" i="11"/>
  <c r="R409" i="11"/>
  <c r="T409" i="11" s="1"/>
  <c r="AD411" i="11"/>
  <c r="AC411" i="11"/>
  <c r="AZ180" i="65" s="1"/>
  <c r="AN411" i="11"/>
  <c r="BK180" i="65" s="1"/>
  <c r="X415" i="11"/>
  <c r="R415" i="11"/>
  <c r="T415" i="11" s="1"/>
  <c r="X424" i="11"/>
  <c r="R424" i="11"/>
  <c r="T424" i="11" s="1"/>
  <c r="AL425" i="11"/>
  <c r="BI193" i="65" s="1"/>
  <c r="AF425" i="11"/>
  <c r="BC193" i="65" s="1"/>
  <c r="AE425" i="11"/>
  <c r="AD425" i="11"/>
  <c r="AM442" i="11"/>
  <c r="AL442" i="11"/>
  <c r="AF442" i="11"/>
  <c r="AE442" i="11"/>
  <c r="BB210" i="65" s="1"/>
  <c r="AC442" i="11"/>
  <c r="Z448" i="11"/>
  <c r="AB448" i="11"/>
  <c r="X452" i="11"/>
  <c r="R452" i="11"/>
  <c r="T452" i="11" s="1"/>
  <c r="X462" i="11"/>
  <c r="R462" i="11"/>
  <c r="T462" i="11" s="1"/>
  <c r="AD475" i="11"/>
  <c r="AC475" i="11"/>
  <c r="AN475" i="11"/>
  <c r="BK239" i="65" s="1"/>
  <c r="AM475" i="11"/>
  <c r="AL475" i="11"/>
  <c r="BI239" i="65" s="1"/>
  <c r="AF475" i="11"/>
  <c r="BC239" i="65" s="1"/>
  <c r="AB462" i="11"/>
  <c r="Z462" i="11"/>
  <c r="AE475" i="11"/>
  <c r="BB239" i="65" s="1"/>
  <c r="AM477" i="11"/>
  <c r="BJ241" i="65" s="1"/>
  <c r="AL477" i="11"/>
  <c r="BI241" i="65" s="1"/>
  <c r="AF477" i="11"/>
  <c r="AE477" i="11"/>
  <c r="BB241" i="65" s="1"/>
  <c r="AD477" i="11"/>
  <c r="BA241" i="65" s="1"/>
  <c r="AC477" i="11"/>
  <c r="Z479" i="11"/>
  <c r="AB479" i="11"/>
  <c r="AN358" i="11"/>
  <c r="BK128" i="65" s="1"/>
  <c r="AL358" i="11"/>
  <c r="BI128" i="65" s="1"/>
  <c r="AM362" i="11"/>
  <c r="BJ132" i="65" s="1"/>
  <c r="AD369" i="11"/>
  <c r="BA140" i="65" s="1"/>
  <c r="AN369" i="11"/>
  <c r="BK140" i="65" s="1"/>
  <c r="X397" i="11"/>
  <c r="R397" i="11"/>
  <c r="T397" i="11" s="1"/>
  <c r="AM401" i="11"/>
  <c r="BJ170" i="65" s="1"/>
  <c r="AL411" i="11"/>
  <c r="BI180" i="65" s="1"/>
  <c r="AF420" i="11"/>
  <c r="AE420" i="11"/>
  <c r="BB188" i="65" s="1"/>
  <c r="AD420" i="11"/>
  <c r="BA188" i="65" s="1"/>
  <c r="AC420" i="11"/>
  <c r="AZ188" i="65" s="1"/>
  <c r="AN425" i="11"/>
  <c r="BK193" i="65" s="1"/>
  <c r="AN437" i="11"/>
  <c r="BK205" i="65" s="1"/>
  <c r="AM437" i="11"/>
  <c r="BJ205" i="65" s="1"/>
  <c r="AL437" i="11"/>
  <c r="BI205" i="65" s="1"/>
  <c r="AF437" i="11"/>
  <c r="BC205" i="65" s="1"/>
  <c r="AD437" i="11"/>
  <c r="AC437" i="11"/>
  <c r="AZ205" i="65" s="1"/>
  <c r="AM468" i="11"/>
  <c r="AL468" i="11"/>
  <c r="BI234" i="65" s="1"/>
  <c r="AF468" i="11"/>
  <c r="AE468" i="11"/>
  <c r="BB234" i="65" s="1"/>
  <c r="AD468" i="11"/>
  <c r="BA234" i="65" s="1"/>
  <c r="AC468" i="11"/>
  <c r="AZ234" i="65" s="1"/>
  <c r="X474" i="11"/>
  <c r="R474" i="11"/>
  <c r="AV238" i="65" s="1"/>
  <c r="AN477" i="11"/>
  <c r="BK241" i="65" s="1"/>
  <c r="B10" i="61"/>
  <c r="F10" i="61" s="1"/>
  <c r="Z20" i="2"/>
  <c r="U20" i="2"/>
  <c r="V20" i="2"/>
  <c r="AQ20" i="2"/>
  <c r="B22" i="61"/>
  <c r="Z32" i="2"/>
  <c r="U32" i="2"/>
  <c r="V32" i="2"/>
  <c r="AQ32" i="2"/>
  <c r="B34" i="61"/>
  <c r="Z44" i="2"/>
  <c r="U44" i="2"/>
  <c r="V44" i="2"/>
  <c r="AQ44" i="2"/>
  <c r="AM276" i="11"/>
  <c r="BJ61" i="65" s="1"/>
  <c r="AM288" i="11"/>
  <c r="AM305" i="11"/>
  <c r="BJ82" i="65" s="1"/>
  <c r="AM329" i="11"/>
  <c r="AN337" i="11"/>
  <c r="Z348" i="11"/>
  <c r="AD358" i="11"/>
  <c r="AE369" i="11"/>
  <c r="BB140" i="65" s="1"/>
  <c r="X394" i="11"/>
  <c r="R394" i="11"/>
  <c r="T394" i="11" s="1"/>
  <c r="Z406" i="11"/>
  <c r="AM420" i="11"/>
  <c r="BJ188" i="65" s="1"/>
  <c r="AB423" i="11"/>
  <c r="Z423" i="11"/>
  <c r="AN431" i="11"/>
  <c r="AM431" i="11"/>
  <c r="AL431" i="11"/>
  <c r="AD436" i="11"/>
  <c r="BA204" i="65" s="1"/>
  <c r="AN436" i="11"/>
  <c r="BK204" i="65" s="1"/>
  <c r="AM436" i="11"/>
  <c r="BJ204" i="65" s="1"/>
  <c r="AL436" i="11"/>
  <c r="BI204" i="65" s="1"/>
  <c r="AM440" i="11"/>
  <c r="BJ208" i="65" s="1"/>
  <c r="AF440" i="11"/>
  <c r="AE440" i="11"/>
  <c r="AD440" i="11"/>
  <c r="BA208" i="65" s="1"/>
  <c r="AC440" i="11"/>
  <c r="AD447" i="11"/>
  <c r="AN447" i="11"/>
  <c r="AM447" i="11"/>
  <c r="AL447" i="11"/>
  <c r="AF447" i="11"/>
  <c r="AB449" i="11"/>
  <c r="Z449" i="11"/>
  <c r="AN454" i="11"/>
  <c r="BK220" i="65" s="1"/>
  <c r="AM454" i="11"/>
  <c r="AL454" i="11"/>
  <c r="BI220" i="65" s="1"/>
  <c r="AF454" i="11"/>
  <c r="BC220" i="65" s="1"/>
  <c r="AD454" i="11"/>
  <c r="AC454" i="11"/>
  <c r="AZ220" i="65" s="1"/>
  <c r="AC456" i="11"/>
  <c r="AZ222" i="65" s="1"/>
  <c r="AM456" i="11"/>
  <c r="BJ222" i="65" s="1"/>
  <c r="AL456" i="11"/>
  <c r="BI222" i="65" s="1"/>
  <c r="AF456" i="11"/>
  <c r="BC222" i="65" s="1"/>
  <c r="AE456" i="11"/>
  <c r="BB222" i="65" s="1"/>
  <c r="AB458" i="11"/>
  <c r="Z458" i="11"/>
  <c r="R463" i="11"/>
  <c r="T463" i="11" s="1"/>
  <c r="X463" i="11"/>
  <c r="AN470" i="11"/>
  <c r="AM470" i="11"/>
  <c r="AL470" i="11"/>
  <c r="AF470" i="11"/>
  <c r="AD470" i="11"/>
  <c r="AC470" i="11"/>
  <c r="R246" i="11"/>
  <c r="R258" i="11"/>
  <c r="AN340" i="11"/>
  <c r="BK112" i="65" s="1"/>
  <c r="AL340" i="11"/>
  <c r="BI112" i="65" s="1"/>
  <c r="AM347" i="11"/>
  <c r="AF347" i="11"/>
  <c r="AD348" i="11"/>
  <c r="AN348" i="11"/>
  <c r="BK118" i="65" s="1"/>
  <c r="AN360" i="11"/>
  <c r="AD360" i="11"/>
  <c r="BA130" i="65" s="1"/>
  <c r="AF371" i="11"/>
  <c r="BC142" i="65" s="1"/>
  <c r="AD371" i="11"/>
  <c r="BA142" i="65" s="1"/>
  <c r="X391" i="11"/>
  <c r="R391" i="11"/>
  <c r="T391" i="11" s="1"/>
  <c r="AN397" i="11"/>
  <c r="BK166" i="65" s="1"/>
  <c r="AF397" i="11"/>
  <c r="AD397" i="11"/>
  <c r="AD414" i="11"/>
  <c r="BA183" i="65" s="1"/>
  <c r="AC414" i="11"/>
  <c r="AZ183" i="65" s="1"/>
  <c r="AN414" i="11"/>
  <c r="BK183" i="65" s="1"/>
  <c r="AN419" i="11"/>
  <c r="BK187" i="65" s="1"/>
  <c r="AM419" i="11"/>
  <c r="BJ187" i="65" s="1"/>
  <c r="AL419" i="11"/>
  <c r="BI187" i="65" s="1"/>
  <c r="AE419" i="11"/>
  <c r="BB187" i="65" s="1"/>
  <c r="AD419" i="11"/>
  <c r="BA187" i="65" s="1"/>
  <c r="AC419" i="11"/>
  <c r="AZ187" i="65" s="1"/>
  <c r="AM474" i="11"/>
  <c r="BJ238" i="65" s="1"/>
  <c r="AL474" i="11"/>
  <c r="BI238" i="65" s="1"/>
  <c r="AF474" i="11"/>
  <c r="AE474" i="11"/>
  <c r="BB238" i="65" s="1"/>
  <c r="AD474" i="11"/>
  <c r="BA238" i="65" s="1"/>
  <c r="AC474" i="11"/>
  <c r="AZ238" i="65" s="1"/>
  <c r="Z476" i="11"/>
  <c r="AB476" i="11"/>
  <c r="X343" i="11"/>
  <c r="AC347" i="11"/>
  <c r="AZ117" i="65" s="1"/>
  <c r="AC348" i="11"/>
  <c r="AZ118" i="65" s="1"/>
  <c r="AC349" i="11"/>
  <c r="AZ119" i="65" s="1"/>
  <c r="X351" i="11"/>
  <c r="AF358" i="11"/>
  <c r="BC128" i="65" s="1"/>
  <c r="AC360" i="11"/>
  <c r="AL369" i="11"/>
  <c r="AC371" i="11"/>
  <c r="AZ142" i="65" s="1"/>
  <c r="X388" i="11"/>
  <c r="R388" i="11"/>
  <c r="T388" i="11" s="1"/>
  <c r="Z394" i="11"/>
  <c r="AB395" i="11"/>
  <c r="Z395" i="11"/>
  <c r="AC397" i="11"/>
  <c r="AZ166" i="65" s="1"/>
  <c r="R412" i="11"/>
  <c r="T412" i="11" s="1"/>
  <c r="AE414" i="11"/>
  <c r="BB183" i="65" s="1"/>
  <c r="AN418" i="11"/>
  <c r="BK186" i="65" s="1"/>
  <c r="AM418" i="11"/>
  <c r="BJ186" i="65" s="1"/>
  <c r="AL418" i="11"/>
  <c r="BI186" i="65" s="1"/>
  <c r="AF419" i="11"/>
  <c r="BC187" i="65" s="1"/>
  <c r="AD431" i="11"/>
  <c r="AE436" i="11"/>
  <c r="BB204" i="65" s="1"/>
  <c r="AN439" i="11"/>
  <c r="BK207" i="65" s="1"/>
  <c r="AM439" i="11"/>
  <c r="AF439" i="11"/>
  <c r="BC207" i="65" s="1"/>
  <c r="AE439" i="11"/>
  <c r="BB207" i="65" s="1"/>
  <c r="AD439" i="11"/>
  <c r="BA207" i="65" s="1"/>
  <c r="AN440" i="11"/>
  <c r="BK208" i="65" s="1"/>
  <c r="AE447" i="11"/>
  <c r="AN456" i="11"/>
  <c r="BK222" i="65" s="1"/>
  <c r="AN467" i="11"/>
  <c r="BK233" i="65" s="1"/>
  <c r="AM467" i="11"/>
  <c r="BJ233" i="65" s="1"/>
  <c r="AF467" i="11"/>
  <c r="BC233" i="65" s="1"/>
  <c r="AE467" i="11"/>
  <c r="BB233" i="65" s="1"/>
  <c r="AD467" i="11"/>
  <c r="BA233" i="65" s="1"/>
  <c r="AC467" i="11"/>
  <c r="AN474" i="11"/>
  <c r="BK238" i="65" s="1"/>
  <c r="AF361" i="11"/>
  <c r="BC131" i="65" s="1"/>
  <c r="AD361" i="11"/>
  <c r="X376" i="11"/>
  <c r="R376" i="11"/>
  <c r="T376" i="11" s="1"/>
  <c r="X385" i="11"/>
  <c r="R385" i="11"/>
  <c r="T385" i="11" s="1"/>
  <c r="AB392" i="11"/>
  <c r="Z392" i="11"/>
  <c r="X403" i="11"/>
  <c r="R403" i="11"/>
  <c r="T403" i="11" s="1"/>
  <c r="AL404" i="11"/>
  <c r="AF404" i="11"/>
  <c r="BC173" i="65" s="1"/>
  <c r="AE404" i="11"/>
  <c r="BB173" i="65" s="1"/>
  <c r="AN427" i="11"/>
  <c r="AM427" i="11"/>
  <c r="BJ195" i="65" s="1"/>
  <c r="AL427" i="11"/>
  <c r="BI195" i="65" s="1"/>
  <c r="AE427" i="11"/>
  <c r="AD427" i="11"/>
  <c r="AC427" i="11"/>
  <c r="AZ195" i="65" s="1"/>
  <c r="X429" i="11"/>
  <c r="R429" i="11"/>
  <c r="T429" i="11" s="1"/>
  <c r="AL430" i="11"/>
  <c r="BI198" i="65" s="1"/>
  <c r="AF430" i="11"/>
  <c r="BC198" i="65" s="1"/>
  <c r="AE430" i="11"/>
  <c r="BB198" i="65" s="1"/>
  <c r="AD430" i="11"/>
  <c r="BA198" i="65" s="1"/>
  <c r="AN434" i="11"/>
  <c r="AM434" i="11"/>
  <c r="BJ202" i="65" s="1"/>
  <c r="AF434" i="11"/>
  <c r="BC202" i="65" s="1"/>
  <c r="AE434" i="11"/>
  <c r="BB202" i="65" s="1"/>
  <c r="AD434" i="11"/>
  <c r="X438" i="11"/>
  <c r="R438" i="11"/>
  <c r="T438" i="11" s="1"/>
  <c r="Z444" i="11"/>
  <c r="AB444" i="11"/>
  <c r="X455" i="11"/>
  <c r="R455" i="11"/>
  <c r="T455" i="11" s="1"/>
  <c r="AN463" i="11"/>
  <c r="BK229" i="65" s="1"/>
  <c r="AL463" i="11"/>
  <c r="BI229" i="65" s="1"/>
  <c r="AF463" i="11"/>
  <c r="BC229" i="65" s="1"/>
  <c r="AE463" i="11"/>
  <c r="BB229" i="65" s="1"/>
  <c r="AD463" i="11"/>
  <c r="BA229" i="65" s="1"/>
  <c r="X471" i="11"/>
  <c r="R471" i="11"/>
  <c r="T471" i="11" s="1"/>
  <c r="AD478" i="11"/>
  <c r="AC478" i="11"/>
  <c r="AZ242" i="65" s="1"/>
  <c r="AN478" i="11"/>
  <c r="BK242" i="65" s="1"/>
  <c r="AM478" i="11"/>
  <c r="BJ242" i="65" s="1"/>
  <c r="AL478" i="11"/>
  <c r="BI242" i="65" s="1"/>
  <c r="AF478" i="11"/>
  <c r="BC242" i="65" s="1"/>
  <c r="AF335" i="11"/>
  <c r="BC109" i="65" s="1"/>
  <c r="AE340" i="11"/>
  <c r="BB112" i="65" s="1"/>
  <c r="AE347" i="11"/>
  <c r="BB117" i="65" s="1"/>
  <c r="AF348" i="11"/>
  <c r="AF349" i="11"/>
  <c r="BC119" i="65" s="1"/>
  <c r="AM350" i="11"/>
  <c r="AF350" i="11"/>
  <c r="BC120" i="65" s="1"/>
  <c r="AD351" i="11"/>
  <c r="AN351" i="11"/>
  <c r="BK121" i="65" s="1"/>
  <c r="AB352" i="11"/>
  <c r="AF360" i="11"/>
  <c r="BC130" i="65" s="1"/>
  <c r="AC361" i="11"/>
  <c r="AZ131" i="65" s="1"/>
  <c r="Z363" i="11"/>
  <c r="AL371" i="11"/>
  <c r="BI142" i="65" s="1"/>
  <c r="AC372" i="11"/>
  <c r="X382" i="11"/>
  <c r="R382" i="11"/>
  <c r="T382" i="11" s="1"/>
  <c r="AB389" i="11"/>
  <c r="Z389" i="11"/>
  <c r="AC393" i="11"/>
  <c r="AM393" i="11"/>
  <c r="AL397" i="11"/>
  <c r="BI166" i="65" s="1"/>
  <c r="AC404" i="11"/>
  <c r="AZ173" i="65" s="1"/>
  <c r="AB412" i="11"/>
  <c r="AL414" i="11"/>
  <c r="BI183" i="65" s="1"/>
  <c r="AN426" i="11"/>
  <c r="BK194" i="65" s="1"/>
  <c r="AM426" i="11"/>
  <c r="BJ194" i="65" s="1"/>
  <c r="AL426" i="11"/>
  <c r="BI194" i="65" s="1"/>
  <c r="AF427" i="11"/>
  <c r="BC195" i="65" s="1"/>
  <c r="AC430" i="11"/>
  <c r="X433" i="11"/>
  <c r="R433" i="11"/>
  <c r="T433" i="11" s="1"/>
  <c r="AC434" i="11"/>
  <c r="AZ202" i="65" s="1"/>
  <c r="AN451" i="11"/>
  <c r="BK217" i="65" s="1"/>
  <c r="AM451" i="11"/>
  <c r="BJ217" i="65" s="1"/>
  <c r="AL451" i="11"/>
  <c r="BI217" i="65" s="1"/>
  <c r="AF451" i="11"/>
  <c r="BC217" i="65" s="1"/>
  <c r="AD451" i="11"/>
  <c r="BA217" i="65" s="1"/>
  <c r="AC451" i="11"/>
  <c r="AZ217" i="65" s="1"/>
  <c r="AC453" i="11"/>
  <c r="AM453" i="11"/>
  <c r="AL453" i="11"/>
  <c r="AF453" i="11"/>
  <c r="BC219" i="65" s="1"/>
  <c r="AE453" i="11"/>
  <c r="BB219" i="65" s="1"/>
  <c r="AB455" i="11"/>
  <c r="Z455" i="11"/>
  <c r="AC463" i="11"/>
  <c r="AZ229" i="65" s="1"/>
  <c r="AB471" i="11"/>
  <c r="Z471" i="11"/>
  <c r="AE478" i="11"/>
  <c r="BB242" i="65" s="1"/>
  <c r="AN363" i="11"/>
  <c r="AL363" i="11"/>
  <c r="AL374" i="11"/>
  <c r="BI144" i="65" s="1"/>
  <c r="AE374" i="11"/>
  <c r="BB144" i="65" s="1"/>
  <c r="X379" i="11"/>
  <c r="R379" i="11"/>
  <c r="T379" i="11" s="1"/>
  <c r="AB386" i="11"/>
  <c r="Z386" i="11"/>
  <c r="AC390" i="11"/>
  <c r="AZ159" i="65" s="1"/>
  <c r="AM390" i="11"/>
  <c r="BJ159" i="65" s="1"/>
  <c r="AN391" i="11"/>
  <c r="BK160" i="65" s="1"/>
  <c r="AF391" i="11"/>
  <c r="BC160" i="65" s="1"/>
  <c r="AD391" i="11"/>
  <c r="BA160" i="65" s="1"/>
  <c r="X411" i="11"/>
  <c r="R411" i="11"/>
  <c r="T411" i="11" s="1"/>
  <c r="AN422" i="11"/>
  <c r="BK190" i="65" s="1"/>
  <c r="AM422" i="11"/>
  <c r="AL422" i="11"/>
  <c r="AE422" i="11"/>
  <c r="BB190" i="65" s="1"/>
  <c r="AD422" i="11"/>
  <c r="BA190" i="65" s="1"/>
  <c r="AC422" i="11"/>
  <c r="AZ190" i="65" s="1"/>
  <c r="AN429" i="11"/>
  <c r="AL429" i="11"/>
  <c r="BI197" i="65" s="1"/>
  <c r="AF429" i="11"/>
  <c r="BC197" i="65" s="1"/>
  <c r="AE429" i="11"/>
  <c r="AF438" i="11"/>
  <c r="AD438" i="11"/>
  <c r="BA206" i="65" s="1"/>
  <c r="AC438" i="11"/>
  <c r="AZ206" i="65" s="1"/>
  <c r="AN438" i="11"/>
  <c r="AF446" i="11"/>
  <c r="AD446" i="11"/>
  <c r="AC446" i="11"/>
  <c r="AN446" i="11"/>
  <c r="AM446" i="11"/>
  <c r="X459" i="11"/>
  <c r="R459" i="11"/>
  <c r="T459" i="11" s="1"/>
  <c r="AM480" i="11"/>
  <c r="AL480" i="11"/>
  <c r="AF480" i="11"/>
  <c r="AE480" i="11"/>
  <c r="AD480" i="11"/>
  <c r="AC480" i="11"/>
  <c r="AE364" i="11"/>
  <c r="BB135" i="65" s="1"/>
  <c r="AC364" i="11"/>
  <c r="AZ135" i="65" s="1"/>
  <c r="AB383" i="11"/>
  <c r="Z383" i="11"/>
  <c r="AC387" i="11"/>
  <c r="AZ156" i="65" s="1"/>
  <c r="AM387" i="11"/>
  <c r="BJ156" i="65" s="1"/>
  <c r="AN388" i="11"/>
  <c r="AF388" i="11"/>
  <c r="BC157" i="65" s="1"/>
  <c r="AD388" i="11"/>
  <c r="AN403" i="11"/>
  <c r="AF403" i="11"/>
  <c r="AE403" i="11"/>
  <c r="AD403" i="11"/>
  <c r="BA172" i="65" s="1"/>
  <c r="Z411" i="11"/>
  <c r="AF417" i="11"/>
  <c r="AE417" i="11"/>
  <c r="AD417" i="11"/>
  <c r="AC417" i="11"/>
  <c r="AN421" i="11"/>
  <c r="BK189" i="65" s="1"/>
  <c r="AM421" i="11"/>
  <c r="BJ189" i="65" s="1"/>
  <c r="AL421" i="11"/>
  <c r="BI189" i="65" s="1"/>
  <c r="AF433" i="11"/>
  <c r="AD433" i="11"/>
  <c r="AC433" i="11"/>
  <c r="AZ201" i="65" s="1"/>
  <c r="AN433" i="11"/>
  <c r="BK201" i="65" s="1"/>
  <c r="AF466" i="11"/>
  <c r="BC232" i="65" s="1"/>
  <c r="AD466" i="11"/>
  <c r="BA232" i="65" s="1"/>
  <c r="AC466" i="11"/>
  <c r="AZ232" i="65" s="1"/>
  <c r="AN466" i="11"/>
  <c r="AM466" i="11"/>
  <c r="AN473" i="11"/>
  <c r="AM473" i="11"/>
  <c r="AL473" i="11"/>
  <c r="AF473" i="11"/>
  <c r="BC237" i="65" s="1"/>
  <c r="AD473" i="11"/>
  <c r="AC473" i="11"/>
  <c r="AZ237" i="65" s="1"/>
  <c r="B5" i="61"/>
  <c r="Z15" i="2"/>
  <c r="U15" i="2"/>
  <c r="V15" i="2"/>
  <c r="AQ15" i="2"/>
  <c r="B17" i="61"/>
  <c r="Z27" i="2"/>
  <c r="U27" i="2"/>
  <c r="V27" i="2"/>
  <c r="AQ27" i="2"/>
  <c r="B29" i="61"/>
  <c r="Z39" i="2"/>
  <c r="V39" i="2"/>
  <c r="U39" i="2"/>
  <c r="AQ39" i="2"/>
  <c r="B41" i="61"/>
  <c r="Z51" i="2"/>
  <c r="U51" i="2"/>
  <c r="V51" i="2"/>
  <c r="AQ51" i="2"/>
  <c r="AE469" i="11"/>
  <c r="BB235" i="65" s="1"/>
  <c r="AE472" i="11"/>
  <c r="B6" i="61"/>
  <c r="Z16" i="2"/>
  <c r="U16" i="2"/>
  <c r="V16" i="2"/>
  <c r="AQ16" i="2"/>
  <c r="B18" i="61"/>
  <c r="Z28" i="2"/>
  <c r="V28" i="2"/>
  <c r="U28" i="2"/>
  <c r="AQ28" i="2"/>
  <c r="B30" i="61"/>
  <c r="Z40" i="2"/>
  <c r="U40" i="2"/>
  <c r="V40" i="2"/>
  <c r="AQ40" i="2"/>
  <c r="B42" i="61"/>
  <c r="Z52" i="2"/>
  <c r="U52" i="2"/>
  <c r="V52" i="2"/>
  <c r="AQ52" i="2"/>
  <c r="AM396" i="11"/>
  <c r="BJ165" i="65" s="1"/>
  <c r="Z398" i="11"/>
  <c r="AM399" i="11"/>
  <c r="BJ168" i="65" s="1"/>
  <c r="Z401" i="11"/>
  <c r="AM402" i="11"/>
  <c r="BJ171" i="65" s="1"/>
  <c r="Z404" i="11"/>
  <c r="AM405" i="11"/>
  <c r="BJ174" i="65" s="1"/>
  <c r="Z407" i="11"/>
  <c r="AM408" i="11"/>
  <c r="BJ177" i="65" s="1"/>
  <c r="R461" i="11"/>
  <c r="T461" i="11" s="1"/>
  <c r="AF469" i="11"/>
  <c r="BC235" i="65" s="1"/>
  <c r="AF472" i="11"/>
  <c r="BC236" i="65" s="1"/>
  <c r="B7" i="61"/>
  <c r="Z17" i="2"/>
  <c r="U17" i="2"/>
  <c r="V17" i="2"/>
  <c r="AQ17" i="2"/>
  <c r="B19" i="61"/>
  <c r="Z29" i="2"/>
  <c r="V29" i="2"/>
  <c r="U29" i="2"/>
  <c r="AQ29" i="2"/>
  <c r="B31" i="61"/>
  <c r="Z41" i="2"/>
  <c r="V41" i="2"/>
  <c r="U41" i="2"/>
  <c r="AQ41" i="2"/>
  <c r="B43" i="61"/>
  <c r="Z53" i="2"/>
  <c r="U53" i="2"/>
  <c r="V53" i="2"/>
  <c r="AQ53" i="2"/>
  <c r="R446" i="11"/>
  <c r="AC465" i="11"/>
  <c r="AZ231" i="65" s="1"/>
  <c r="AL469" i="11"/>
  <c r="AL472" i="11"/>
  <c r="BI236" i="65" s="1"/>
  <c r="B8" i="61"/>
  <c r="Z18" i="2"/>
  <c r="U18" i="2"/>
  <c r="V18" i="2"/>
  <c r="AQ18" i="2"/>
  <c r="B20" i="61"/>
  <c r="Z30" i="2"/>
  <c r="V30" i="2"/>
  <c r="U30" i="2"/>
  <c r="AQ30" i="2"/>
  <c r="B32" i="61"/>
  <c r="Z42" i="2"/>
  <c r="U42" i="2"/>
  <c r="V42" i="2"/>
  <c r="AQ42" i="2"/>
  <c r="B44" i="61"/>
  <c r="Z54" i="2"/>
  <c r="U54" i="2"/>
  <c r="V54" i="2"/>
  <c r="AQ54" i="2"/>
  <c r="AC413" i="11"/>
  <c r="AZ182" i="65" s="1"/>
  <c r="AC416" i="11"/>
  <c r="AZ185" i="65" s="1"/>
  <c r="AD465" i="11"/>
  <c r="BA231" i="65" s="1"/>
  <c r="AM469" i="11"/>
  <c r="AM472" i="11"/>
  <c r="BJ236" i="65" s="1"/>
  <c r="B9" i="61"/>
  <c r="Z19" i="2"/>
  <c r="U19" i="2"/>
  <c r="V19" i="2"/>
  <c r="AQ19" i="2"/>
  <c r="B21" i="61"/>
  <c r="Z31" i="2"/>
  <c r="V31" i="2"/>
  <c r="U31" i="2"/>
  <c r="AQ31" i="2"/>
  <c r="B33" i="61"/>
  <c r="Z43" i="2"/>
  <c r="U43" i="2"/>
  <c r="V43" i="2"/>
  <c r="AQ43" i="2"/>
  <c r="B45" i="61"/>
  <c r="Z55" i="2"/>
  <c r="U55" i="2"/>
  <c r="V55" i="2"/>
  <c r="AQ55" i="2"/>
  <c r="B46" i="61"/>
  <c r="Z56" i="2"/>
  <c r="U56" i="2"/>
  <c r="V56" i="2"/>
  <c r="AQ56" i="2"/>
  <c r="B11" i="61"/>
  <c r="Z21" i="2"/>
  <c r="U21" i="2"/>
  <c r="V21" i="2"/>
  <c r="AQ21" i="2"/>
  <c r="B23" i="61"/>
  <c r="Z33" i="2"/>
  <c r="U33" i="2"/>
  <c r="V33" i="2"/>
  <c r="AQ33" i="2"/>
  <c r="B35" i="61"/>
  <c r="Z45" i="2"/>
  <c r="U45" i="2"/>
  <c r="V45" i="2"/>
  <c r="AQ45" i="2"/>
  <c r="B47" i="61"/>
  <c r="Z57" i="2"/>
  <c r="U57" i="2"/>
  <c r="V57" i="2"/>
  <c r="AQ57" i="2"/>
  <c r="AF413" i="11"/>
  <c r="BC182" i="65" s="1"/>
  <c r="AF416" i="11"/>
  <c r="BC185" i="65" s="1"/>
  <c r="Z418" i="11"/>
  <c r="Z421" i="11"/>
  <c r="Z426" i="11"/>
  <c r="Z431" i="11"/>
  <c r="R434" i="11"/>
  <c r="T434" i="11" s="1"/>
  <c r="Z436" i="11"/>
  <c r="R439" i="11"/>
  <c r="T439" i="11" s="1"/>
  <c r="Z447" i="11"/>
  <c r="Z464" i="11"/>
  <c r="AL465" i="11"/>
  <c r="BI231" i="65" s="1"/>
  <c r="R467" i="11"/>
  <c r="T467" i="11" s="1"/>
  <c r="Z475" i="11"/>
  <c r="Z478" i="11"/>
  <c r="B12" i="61"/>
  <c r="Z22" i="2"/>
  <c r="U22" i="2"/>
  <c r="V22" i="2"/>
  <c r="AQ22" i="2"/>
  <c r="B24" i="61"/>
  <c r="Z34" i="2"/>
  <c r="U34" i="2"/>
  <c r="V34" i="2"/>
  <c r="AQ34" i="2"/>
  <c r="B36" i="61"/>
  <c r="Z46" i="2"/>
  <c r="U46" i="2"/>
  <c r="V46" i="2"/>
  <c r="AQ46" i="2"/>
  <c r="B48" i="61"/>
  <c r="Z58" i="2"/>
  <c r="V58" i="2"/>
  <c r="U58" i="2"/>
  <c r="AQ58" i="2"/>
  <c r="AL413" i="11"/>
  <c r="BI182" i="65" s="1"/>
  <c r="AL416" i="11"/>
  <c r="BI185" i="65" s="1"/>
  <c r="AM465" i="11"/>
  <c r="BJ231" i="65" s="1"/>
  <c r="B13" i="61"/>
  <c r="Z23" i="2"/>
  <c r="U23" i="2"/>
  <c r="V23" i="2"/>
  <c r="AQ23" i="2"/>
  <c r="B25" i="61"/>
  <c r="Z35" i="2"/>
  <c r="U35" i="2"/>
  <c r="V35" i="2"/>
  <c r="AQ35" i="2"/>
  <c r="B37" i="61"/>
  <c r="Z47" i="2"/>
  <c r="U47" i="2"/>
  <c r="V47" i="2"/>
  <c r="AQ47" i="2"/>
  <c r="B49" i="61"/>
  <c r="Z59" i="2"/>
  <c r="U59" i="2"/>
  <c r="V59" i="2"/>
  <c r="AQ59" i="2"/>
  <c r="AB481" i="11"/>
  <c r="Z481" i="11"/>
  <c r="B14" i="61"/>
  <c r="Z24" i="2"/>
  <c r="U24" i="2"/>
  <c r="V24" i="2"/>
  <c r="AQ24" i="2"/>
  <c r="B26" i="61"/>
  <c r="Z36" i="2"/>
  <c r="U36" i="2"/>
  <c r="V36" i="2"/>
  <c r="AQ36" i="2"/>
  <c r="B38" i="61"/>
  <c r="Z48" i="2"/>
  <c r="U48" i="2"/>
  <c r="V48" i="2"/>
  <c r="AQ48" i="2"/>
  <c r="B50" i="61"/>
  <c r="Z60" i="2"/>
  <c r="U60" i="2"/>
  <c r="V60" i="2"/>
  <c r="AQ60" i="2"/>
  <c r="B3" i="61"/>
  <c r="Z13" i="2"/>
  <c r="U13" i="2"/>
  <c r="AQ13" i="2"/>
  <c r="V13" i="2"/>
  <c r="B15" i="61"/>
  <c r="Z25" i="2"/>
  <c r="U25" i="2"/>
  <c r="V25" i="2"/>
  <c r="B27" i="61"/>
  <c r="Z37" i="2"/>
  <c r="U37" i="2"/>
  <c r="V37" i="2"/>
  <c r="AQ37" i="2"/>
  <c r="B39" i="61"/>
  <c r="Z49" i="2"/>
  <c r="U49" i="2"/>
  <c r="V49" i="2"/>
  <c r="AQ49" i="2"/>
  <c r="B51" i="61"/>
  <c r="Z61" i="2"/>
  <c r="U61" i="2"/>
  <c r="V61" i="2"/>
  <c r="AQ61" i="2"/>
  <c r="AV12" i="2" s="1"/>
  <c r="B4" i="61"/>
  <c r="Z14" i="2"/>
  <c r="U14" i="2"/>
  <c r="V14" i="2"/>
  <c r="AQ14" i="2"/>
  <c r="B16" i="61"/>
  <c r="Z26" i="2"/>
  <c r="U26" i="2"/>
  <c r="V26" i="2"/>
  <c r="AQ26" i="2"/>
  <c r="B28" i="61"/>
  <c r="Z38" i="2"/>
  <c r="U38" i="2"/>
  <c r="V38" i="2"/>
  <c r="AQ38" i="2"/>
  <c r="B40" i="61"/>
  <c r="Z50" i="2"/>
  <c r="U50" i="2"/>
  <c r="V50" i="2"/>
  <c r="AQ50" i="2"/>
  <c r="B52" i="61"/>
  <c r="Z62" i="2"/>
  <c r="U62" i="2"/>
  <c r="V62" i="2"/>
  <c r="AQ62" i="2"/>
  <c r="B53" i="61"/>
  <c r="Z63" i="2"/>
  <c r="U63" i="2"/>
  <c r="V63" i="2"/>
  <c r="E65" i="12"/>
  <c r="C65" i="12"/>
  <c r="J64" i="12"/>
  <c r="O64" i="12" s="1"/>
  <c r="Q64" i="12" s="1"/>
  <c r="G64" i="12"/>
  <c r="F64" i="12"/>
  <c r="F15" i="61" l="1"/>
  <c r="E46" i="62"/>
  <c r="G46" i="62" s="1"/>
  <c r="AL449" i="11"/>
  <c r="BI214" i="65" s="1"/>
  <c r="AE449" i="11"/>
  <c r="BB214" i="65" s="1"/>
  <c r="AD449" i="11"/>
  <c r="BA214" i="65" s="1"/>
  <c r="AC449" i="11"/>
  <c r="AZ214" i="65" s="1"/>
  <c r="AN449" i="11"/>
  <c r="BK214" i="65" s="1"/>
  <c r="AM449" i="11"/>
  <c r="BJ214" i="65" s="1"/>
  <c r="AF449" i="11"/>
  <c r="BC214" i="65" s="1"/>
  <c r="AC238" i="11"/>
  <c r="AZ27" i="65" s="1"/>
  <c r="AN238" i="11"/>
  <c r="BK27" i="65" s="1"/>
  <c r="AM238" i="11"/>
  <c r="BJ27" i="65" s="1"/>
  <c r="AL238" i="11"/>
  <c r="BI27" i="65" s="1"/>
  <c r="AF238" i="11"/>
  <c r="BC27" i="65" s="1"/>
  <c r="AD238" i="11"/>
  <c r="BA27" i="65" s="1"/>
  <c r="AE238" i="11"/>
  <c r="BB27" i="65" s="1"/>
  <c r="AL303" i="11"/>
  <c r="BI80" i="65" s="1"/>
  <c r="AF303" i="11"/>
  <c r="BC80" i="65" s="1"/>
  <c r="AN303" i="11"/>
  <c r="BK80" i="65" s="1"/>
  <c r="AM303" i="11"/>
  <c r="BJ80" i="65" s="1"/>
  <c r="AE303" i="11"/>
  <c r="BB80" i="65" s="1"/>
  <c r="AD303" i="11"/>
  <c r="BA80" i="65" s="1"/>
  <c r="AC303" i="11"/>
  <c r="AZ80" i="65" s="1"/>
  <c r="AN346" i="11"/>
  <c r="BK116" i="65" s="1"/>
  <c r="AL346" i="11"/>
  <c r="BI116" i="65" s="1"/>
  <c r="AF346" i="11"/>
  <c r="BC116" i="65" s="1"/>
  <c r="AE346" i="11"/>
  <c r="BB116" i="65" s="1"/>
  <c r="AC346" i="11"/>
  <c r="AZ116" i="65" s="1"/>
  <c r="AM346" i="11"/>
  <c r="BJ116" i="65" s="1"/>
  <c r="AD346" i="11"/>
  <c r="BA116" i="65" s="1"/>
  <c r="AN193" i="11"/>
  <c r="AL193" i="11"/>
  <c r="AF193" i="11"/>
  <c r="AE193" i="11"/>
  <c r="AC193" i="11"/>
  <c r="AM193" i="11"/>
  <c r="AD193" i="11"/>
  <c r="AM261" i="11"/>
  <c r="BJ49" i="65" s="1"/>
  <c r="AL261" i="11"/>
  <c r="BI49" i="65" s="1"/>
  <c r="AD261" i="11"/>
  <c r="BA49" i="65" s="1"/>
  <c r="AC261" i="11"/>
  <c r="AZ49" i="65" s="1"/>
  <c r="AN261" i="11"/>
  <c r="BK49" i="65" s="1"/>
  <c r="AF261" i="11"/>
  <c r="BC49" i="65" s="1"/>
  <c r="AE261" i="11"/>
  <c r="BB49" i="65" s="1"/>
  <c r="AD163" i="11"/>
  <c r="AC163" i="11"/>
  <c r="AM163" i="11"/>
  <c r="AL163" i="11"/>
  <c r="AF163" i="11"/>
  <c r="AE163" i="11"/>
  <c r="AN163" i="11"/>
  <c r="AN98" i="11"/>
  <c r="AM98" i="11"/>
  <c r="AD98" i="11"/>
  <c r="AC98" i="11"/>
  <c r="AL98" i="11"/>
  <c r="AF98" i="11"/>
  <c r="AE98" i="11"/>
  <c r="AM106" i="11"/>
  <c r="AL106" i="11"/>
  <c r="AF106" i="11"/>
  <c r="AE106" i="11"/>
  <c r="AD106" i="11"/>
  <c r="AN106" i="11"/>
  <c r="AC106" i="11"/>
  <c r="AD311" i="11"/>
  <c r="BA88" i="65" s="1"/>
  <c r="AC311" i="11"/>
  <c r="AZ88" i="65" s="1"/>
  <c r="AN311" i="11"/>
  <c r="BK88" i="65" s="1"/>
  <c r="AM311" i="11"/>
  <c r="BJ88" i="65" s="1"/>
  <c r="AL311" i="11"/>
  <c r="BI88" i="65" s="1"/>
  <c r="AF311" i="11"/>
  <c r="BC88" i="65" s="1"/>
  <c r="AE311" i="11"/>
  <c r="BB88" i="65" s="1"/>
  <c r="AN229" i="11"/>
  <c r="BK20" i="65" s="1"/>
  <c r="AM229" i="11"/>
  <c r="BJ20" i="65" s="1"/>
  <c r="AL229" i="11"/>
  <c r="BI20" i="65" s="1"/>
  <c r="AE229" i="11"/>
  <c r="BB20" i="65" s="1"/>
  <c r="AD229" i="11"/>
  <c r="BA20" i="65" s="1"/>
  <c r="AC229" i="11"/>
  <c r="AZ20" i="65" s="1"/>
  <c r="AF229" i="11"/>
  <c r="BC20" i="65" s="1"/>
  <c r="AF70" i="11"/>
  <c r="AE70" i="11"/>
  <c r="AM70" i="11"/>
  <c r="AL70" i="11"/>
  <c r="AD70" i="11"/>
  <c r="AC70" i="11"/>
  <c r="AN70" i="11"/>
  <c r="AN183" i="11"/>
  <c r="AM183" i="11"/>
  <c r="AF183" i="11"/>
  <c r="AE183" i="11"/>
  <c r="AD183" i="11"/>
  <c r="AC183" i="11"/>
  <c r="AL183" i="11"/>
  <c r="AN210" i="11"/>
  <c r="AL210" i="11"/>
  <c r="AF210" i="11"/>
  <c r="AD210" i="11"/>
  <c r="AE210" i="11"/>
  <c r="AC210" i="11"/>
  <c r="AM210" i="11"/>
  <c r="AN157" i="11"/>
  <c r="AF157" i="11"/>
  <c r="AL157" i="11"/>
  <c r="AE157" i="11"/>
  <c r="AD157" i="11"/>
  <c r="AC157" i="11"/>
  <c r="AM157" i="11"/>
  <c r="AM167" i="11"/>
  <c r="AL167" i="11"/>
  <c r="AD167" i="11"/>
  <c r="AN167" i="11"/>
  <c r="AF167" i="11"/>
  <c r="AE167" i="11"/>
  <c r="AC167" i="11"/>
  <c r="AV161" i="65"/>
  <c r="AV169" i="65"/>
  <c r="AV172" i="65"/>
  <c r="AV180" i="65"/>
  <c r="AV229" i="65"/>
  <c r="AV24" i="65"/>
  <c r="T235" i="11"/>
  <c r="AE192" i="11"/>
  <c r="AC192" i="11"/>
  <c r="AN192" i="11"/>
  <c r="AL192" i="11"/>
  <c r="AD192" i="11"/>
  <c r="AM192" i="11"/>
  <c r="AF192" i="11"/>
  <c r="AM68" i="11"/>
  <c r="AD68" i="11"/>
  <c r="AC68" i="11"/>
  <c r="AN68" i="11"/>
  <c r="AL68" i="11"/>
  <c r="AF68" i="11"/>
  <c r="AE68" i="11"/>
  <c r="AM120" i="11"/>
  <c r="AF120" i="11"/>
  <c r="AE120" i="11"/>
  <c r="AD120" i="11"/>
  <c r="AC120" i="11"/>
  <c r="AN120" i="11"/>
  <c r="AL120" i="11"/>
  <c r="AF34" i="11"/>
  <c r="AE34" i="11"/>
  <c r="AN34" i="11"/>
  <c r="AM34" i="11"/>
  <c r="AL34" i="11"/>
  <c r="AD34" i="11"/>
  <c r="AC34" i="11"/>
  <c r="AM28" i="11"/>
  <c r="AD28" i="11"/>
  <c r="AN28" i="11"/>
  <c r="AL28" i="11"/>
  <c r="AF28" i="11"/>
  <c r="AE28" i="11"/>
  <c r="AC28" i="11"/>
  <c r="F16" i="61"/>
  <c r="E47" i="62"/>
  <c r="G47" i="62" s="1"/>
  <c r="AD48" i="2"/>
  <c r="AL367" i="11"/>
  <c r="BI138" i="65" s="1"/>
  <c r="AN367" i="11"/>
  <c r="BK138" i="65" s="1"/>
  <c r="AM367" i="11"/>
  <c r="BJ138" i="65" s="1"/>
  <c r="AF367" i="11"/>
  <c r="BC138" i="65" s="1"/>
  <c r="AD367" i="11"/>
  <c r="BA138" i="65" s="1"/>
  <c r="AE367" i="11"/>
  <c r="BB138" i="65" s="1"/>
  <c r="AC367" i="11"/>
  <c r="AZ138" i="65" s="1"/>
  <c r="F37" i="61"/>
  <c r="E36" i="62"/>
  <c r="G36" i="62" s="1"/>
  <c r="F34" i="61"/>
  <c r="E40" i="62"/>
  <c r="G40" i="62" s="1"/>
  <c r="F40" i="61"/>
  <c r="E37" i="62"/>
  <c r="G37" i="62" s="1"/>
  <c r="AZ17" i="2"/>
  <c r="AV17" i="2"/>
  <c r="BC17" i="2"/>
  <c r="F18" i="61"/>
  <c r="E9" i="62"/>
  <c r="G9" i="62" s="1"/>
  <c r="AD15" i="2"/>
  <c r="AV35" i="65"/>
  <c r="T246" i="11"/>
  <c r="AN448" i="11"/>
  <c r="BK213" i="65" s="1"/>
  <c r="AM448" i="11"/>
  <c r="BJ213" i="65" s="1"/>
  <c r="AL448" i="11"/>
  <c r="BI213" i="65" s="1"/>
  <c r="AE448" i="11"/>
  <c r="BB213" i="65" s="1"/>
  <c r="AD448" i="11"/>
  <c r="BA213" i="65" s="1"/>
  <c r="AC448" i="11"/>
  <c r="AZ213" i="65" s="1"/>
  <c r="AF448" i="11"/>
  <c r="BC213" i="65" s="1"/>
  <c r="F39" i="61"/>
  <c r="E13" i="62"/>
  <c r="G13" i="62" s="1"/>
  <c r="F38" i="61"/>
  <c r="E30" i="62"/>
  <c r="G30" i="62" s="1"/>
  <c r="AL481" i="11"/>
  <c r="AF481" i="11"/>
  <c r="AC481" i="11"/>
  <c r="AE481" i="11"/>
  <c r="AM481" i="11"/>
  <c r="AD481" i="11"/>
  <c r="AN481" i="11"/>
  <c r="AD35" i="2"/>
  <c r="AD57" i="2"/>
  <c r="AD31" i="2"/>
  <c r="AL383" i="11"/>
  <c r="BI153" i="65" s="1"/>
  <c r="AE383" i="11"/>
  <c r="BB153" i="65" s="1"/>
  <c r="AM383" i="11"/>
  <c r="BJ153" i="65" s="1"/>
  <c r="AN383" i="11"/>
  <c r="BK153" i="65" s="1"/>
  <c r="AF383" i="11"/>
  <c r="BC153" i="65" s="1"/>
  <c r="AD383" i="11"/>
  <c r="BA153" i="65" s="1"/>
  <c r="AC383" i="11"/>
  <c r="AZ153" i="65" s="1"/>
  <c r="AD32" i="2"/>
  <c r="AN462" i="11"/>
  <c r="BK228" i="65" s="1"/>
  <c r="AL462" i="11"/>
  <c r="BI228" i="65" s="1"/>
  <c r="AF462" i="11"/>
  <c r="BC228" i="65" s="1"/>
  <c r="AE462" i="11"/>
  <c r="BB228" i="65" s="1"/>
  <c r="AD462" i="11"/>
  <c r="BA228" i="65" s="1"/>
  <c r="AM462" i="11"/>
  <c r="BJ228" i="65" s="1"/>
  <c r="AC462" i="11"/>
  <c r="AZ228" i="65" s="1"/>
  <c r="AV40" i="65"/>
  <c r="T252" i="11"/>
  <c r="AD359" i="11"/>
  <c r="BA129" i="65" s="1"/>
  <c r="AN359" i="11"/>
  <c r="BK129" i="65" s="1"/>
  <c r="AM359" i="11"/>
  <c r="BJ129" i="65" s="1"/>
  <c r="AL359" i="11"/>
  <c r="BI129" i="65" s="1"/>
  <c r="AF359" i="11"/>
  <c r="BC129" i="65" s="1"/>
  <c r="AE359" i="11"/>
  <c r="BB129" i="65" s="1"/>
  <c r="AC359" i="11"/>
  <c r="AZ129" i="65" s="1"/>
  <c r="AL315" i="11"/>
  <c r="BI92" i="65" s="1"/>
  <c r="AF315" i="11"/>
  <c r="BC92" i="65" s="1"/>
  <c r="AN315" i="11"/>
  <c r="BK92" i="65" s="1"/>
  <c r="AM315" i="11"/>
  <c r="BJ92" i="65" s="1"/>
  <c r="AE315" i="11"/>
  <c r="BB92" i="65" s="1"/>
  <c r="AD315" i="11"/>
  <c r="BA92" i="65" s="1"/>
  <c r="AC315" i="11"/>
  <c r="AZ92" i="65" s="1"/>
  <c r="AV68" i="65"/>
  <c r="AV92" i="65"/>
  <c r="F53" i="61"/>
  <c r="E51" i="62"/>
  <c r="G51" i="62" s="1"/>
  <c r="AD38" i="2"/>
  <c r="AZ18" i="2"/>
  <c r="AV18" i="2"/>
  <c r="BC18" i="2"/>
  <c r="N164" i="2"/>
  <c r="N163" i="2"/>
  <c r="F23" i="61"/>
  <c r="E4" i="62"/>
  <c r="G4" i="62" s="1"/>
  <c r="AD55" i="2"/>
  <c r="AD30" i="2"/>
  <c r="AD29" i="2"/>
  <c r="F42" i="61"/>
  <c r="E17" i="62"/>
  <c r="G17" i="62" s="1"/>
  <c r="AD16" i="2"/>
  <c r="AE352" i="11"/>
  <c r="BB122" i="65" s="1"/>
  <c r="AD352" i="11"/>
  <c r="BA122" i="65" s="1"/>
  <c r="AC352" i="11"/>
  <c r="AZ122" i="65" s="1"/>
  <c r="AN352" i="11"/>
  <c r="BK122" i="65" s="1"/>
  <c r="AM352" i="11"/>
  <c r="BJ122" i="65" s="1"/>
  <c r="AL352" i="11"/>
  <c r="BI122" i="65" s="1"/>
  <c r="AF352" i="11"/>
  <c r="BC122" i="65" s="1"/>
  <c r="AL395" i="11"/>
  <c r="BI164" i="65" s="1"/>
  <c r="AF395" i="11"/>
  <c r="BC164" i="65" s="1"/>
  <c r="AE395" i="11"/>
  <c r="BB164" i="65" s="1"/>
  <c r="AN395" i="11"/>
  <c r="BK164" i="65" s="1"/>
  <c r="AM395" i="11"/>
  <c r="BJ164" i="65" s="1"/>
  <c r="AD395" i="11"/>
  <c r="BA164" i="65" s="1"/>
  <c r="AC395" i="11"/>
  <c r="AZ164" i="65" s="1"/>
  <c r="AL452" i="11"/>
  <c r="BI218" i="65" s="1"/>
  <c r="AE452" i="11"/>
  <c r="BB218" i="65" s="1"/>
  <c r="AD452" i="11"/>
  <c r="BA218" i="65" s="1"/>
  <c r="AC452" i="11"/>
  <c r="AZ218" i="65" s="1"/>
  <c r="AN452" i="11"/>
  <c r="BK218" i="65" s="1"/>
  <c r="AM452" i="11"/>
  <c r="BJ218" i="65" s="1"/>
  <c r="AF452" i="11"/>
  <c r="BC218" i="65" s="1"/>
  <c r="AE285" i="11"/>
  <c r="AD285" i="11"/>
  <c r="AC285" i="11"/>
  <c r="AL285" i="11"/>
  <c r="AF285" i="11"/>
  <c r="AN285" i="11"/>
  <c r="AM285" i="11"/>
  <c r="AC250" i="11"/>
  <c r="AZ39" i="65" s="1"/>
  <c r="AE250" i="11"/>
  <c r="BB39" i="65" s="1"/>
  <c r="AD250" i="11"/>
  <c r="BA39" i="65" s="1"/>
  <c r="AN250" i="11"/>
  <c r="BK39" i="65" s="1"/>
  <c r="AM250" i="11"/>
  <c r="BJ39" i="65" s="1"/>
  <c r="AL250" i="11"/>
  <c r="BI39" i="65" s="1"/>
  <c r="AF250" i="11"/>
  <c r="BC39" i="65" s="1"/>
  <c r="AL356" i="11"/>
  <c r="BI126" i="65" s="1"/>
  <c r="AE356" i="11"/>
  <c r="BB126" i="65" s="1"/>
  <c r="AN356" i="11"/>
  <c r="BK126" i="65" s="1"/>
  <c r="AM356" i="11"/>
  <c r="BJ126" i="65" s="1"/>
  <c r="AF356" i="11"/>
  <c r="BC126" i="65" s="1"/>
  <c r="AC356" i="11"/>
  <c r="AZ126" i="65" s="1"/>
  <c r="AD356" i="11"/>
  <c r="BA126" i="65" s="1"/>
  <c r="AV146" i="65"/>
  <c r="AV183" i="65"/>
  <c r="AV206" i="65"/>
  <c r="AN327" i="11"/>
  <c r="BK102" i="65" s="1"/>
  <c r="AM327" i="11"/>
  <c r="BJ102" i="65" s="1"/>
  <c r="AL327" i="11"/>
  <c r="BI102" i="65" s="1"/>
  <c r="AD327" i="11"/>
  <c r="BA102" i="65" s="1"/>
  <c r="AC327" i="11"/>
  <c r="AZ102" i="65" s="1"/>
  <c r="AF327" i="11"/>
  <c r="BC102" i="65" s="1"/>
  <c r="AE327" i="11"/>
  <c r="BB102" i="65" s="1"/>
  <c r="AV17" i="65"/>
  <c r="T228" i="11"/>
  <c r="AD148" i="11"/>
  <c r="AC148" i="11"/>
  <c r="AN148" i="11"/>
  <c r="AL148" i="11"/>
  <c r="AE148" i="11"/>
  <c r="AF148" i="11"/>
  <c r="AM148" i="11"/>
  <c r="AF58" i="11"/>
  <c r="AE58" i="11"/>
  <c r="AC58" i="11"/>
  <c r="AM58" i="11"/>
  <c r="AN58" i="11"/>
  <c r="AL58" i="11"/>
  <c r="AD58" i="11"/>
  <c r="AM132" i="11"/>
  <c r="AN132" i="11"/>
  <c r="AL132" i="11"/>
  <c r="AF132" i="11"/>
  <c r="AE132" i="11"/>
  <c r="AD132" i="11"/>
  <c r="AC132" i="11"/>
  <c r="AF46" i="11"/>
  <c r="AE46" i="11"/>
  <c r="AN46" i="11"/>
  <c r="AM46" i="11"/>
  <c r="AL46" i="11"/>
  <c r="AD46" i="11"/>
  <c r="AC46" i="11"/>
  <c r="AL57" i="11"/>
  <c r="AE57" i="11"/>
  <c r="AC57" i="11"/>
  <c r="AN57" i="11"/>
  <c r="AF57" i="11"/>
  <c r="AM57" i="11"/>
  <c r="AD57" i="11"/>
  <c r="AN318" i="11"/>
  <c r="AM318" i="11"/>
  <c r="AL318" i="11"/>
  <c r="AD318" i="11"/>
  <c r="AC318" i="11"/>
  <c r="AF318" i="11"/>
  <c r="AE318" i="11"/>
  <c r="AE197" i="11"/>
  <c r="AD197" i="11"/>
  <c r="AC197" i="11"/>
  <c r="AN197" i="11"/>
  <c r="AM197" i="11"/>
  <c r="AL197" i="11"/>
  <c r="AF197" i="11"/>
  <c r="AD175" i="11"/>
  <c r="AC175" i="11"/>
  <c r="AM175" i="11"/>
  <c r="AL175" i="11"/>
  <c r="AF175" i="11"/>
  <c r="AE175" i="11"/>
  <c r="AN175" i="11"/>
  <c r="AM40" i="11"/>
  <c r="AF40" i="11"/>
  <c r="AD40" i="11"/>
  <c r="AN40" i="11"/>
  <c r="AL40" i="11"/>
  <c r="AE40" i="11"/>
  <c r="AC40" i="11"/>
  <c r="AM258" i="11"/>
  <c r="BJ46" i="65" s="1"/>
  <c r="AL258" i="11"/>
  <c r="BI46" i="65" s="1"/>
  <c r="AD258" i="11"/>
  <c r="BA46" i="65" s="1"/>
  <c r="AC258" i="11"/>
  <c r="AZ46" i="65" s="1"/>
  <c r="AN258" i="11"/>
  <c r="BK46" i="65" s="1"/>
  <c r="AF258" i="11"/>
  <c r="BC46" i="65" s="1"/>
  <c r="AE258" i="11"/>
  <c r="BB46" i="65" s="1"/>
  <c r="F14" i="61"/>
  <c r="E41" i="62"/>
  <c r="G41" i="62" s="1"/>
  <c r="AD34" i="2"/>
  <c r="AV192" i="65"/>
  <c r="AV218" i="65"/>
  <c r="AD36" i="2"/>
  <c r="F5" i="61"/>
  <c r="E27" i="62"/>
  <c r="G27" i="62" s="1"/>
  <c r="AV32" i="65"/>
  <c r="T243" i="11"/>
  <c r="AN220" i="11"/>
  <c r="BK9" i="65" s="1"/>
  <c r="AF220" i="11"/>
  <c r="BC9" i="65" s="1"/>
  <c r="AM220" i="11"/>
  <c r="BJ9" i="65" s="1"/>
  <c r="AL220" i="11"/>
  <c r="BI9" i="65" s="1"/>
  <c r="AD220" i="11"/>
  <c r="BA9" i="65" s="1"/>
  <c r="AE220" i="11"/>
  <c r="BB9" i="65" s="1"/>
  <c r="AC220" i="11"/>
  <c r="AZ9" i="65" s="1"/>
  <c r="AN196" i="11"/>
  <c r="AM196" i="11"/>
  <c r="AL196" i="11"/>
  <c r="AE196" i="11"/>
  <c r="AD196" i="11"/>
  <c r="AF196" i="11"/>
  <c r="AC196" i="11"/>
  <c r="AF104" i="11"/>
  <c r="AE104" i="11"/>
  <c r="AD104" i="11"/>
  <c r="AC104" i="11"/>
  <c r="AN104" i="11"/>
  <c r="AM104" i="11"/>
  <c r="AL104" i="11"/>
  <c r="AF177" i="11"/>
  <c r="AE177" i="11"/>
  <c r="AN177" i="11"/>
  <c r="AL177" i="11"/>
  <c r="AD177" i="11"/>
  <c r="AC177" i="11"/>
  <c r="AM177" i="11"/>
  <c r="AD62" i="2"/>
  <c r="F25" i="61"/>
  <c r="E48" i="62"/>
  <c r="G48" i="62" s="1"/>
  <c r="F47" i="61"/>
  <c r="E28" i="62"/>
  <c r="G28" i="62" s="1"/>
  <c r="AD21" i="2"/>
  <c r="F20" i="61"/>
  <c r="E12" i="62"/>
  <c r="G12" i="62" s="1"/>
  <c r="F19" i="61"/>
  <c r="E10" i="62"/>
  <c r="G10" i="62" s="1"/>
  <c r="AD40" i="2"/>
  <c r="F22" i="61"/>
  <c r="E11" i="62"/>
  <c r="G11" i="62" s="1"/>
  <c r="AE355" i="11"/>
  <c r="BB125" i="65" s="1"/>
  <c r="AN355" i="11"/>
  <c r="BK125" i="65" s="1"/>
  <c r="AM355" i="11"/>
  <c r="BJ125" i="65" s="1"/>
  <c r="AL355" i="11"/>
  <c r="BI125" i="65" s="1"/>
  <c r="AD355" i="11"/>
  <c r="BA125" i="65" s="1"/>
  <c r="AF355" i="11"/>
  <c r="BC125" i="65" s="1"/>
  <c r="AC355" i="11"/>
  <c r="AZ125" i="65" s="1"/>
  <c r="AL380" i="11"/>
  <c r="BI150" i="65" s="1"/>
  <c r="AE380" i="11"/>
  <c r="BB150" i="65" s="1"/>
  <c r="AN380" i="11"/>
  <c r="BK150" i="65" s="1"/>
  <c r="AF380" i="11"/>
  <c r="BC150" i="65" s="1"/>
  <c r="AM380" i="11"/>
  <c r="BJ150" i="65" s="1"/>
  <c r="AD380" i="11"/>
  <c r="BA150" i="65" s="1"/>
  <c r="AC380" i="11"/>
  <c r="AZ150" i="65" s="1"/>
  <c r="AV149" i="65"/>
  <c r="F28" i="61"/>
  <c r="E35" i="62"/>
  <c r="G35" i="62" s="1"/>
  <c r="AD61" i="2"/>
  <c r="AD60" i="2"/>
  <c r="AZ16" i="2"/>
  <c r="AV16" i="2"/>
  <c r="BC16" i="2"/>
  <c r="F48" i="61"/>
  <c r="E8" i="62"/>
  <c r="G8" i="62" s="1"/>
  <c r="AD22" i="2"/>
  <c r="F45" i="61"/>
  <c r="E2" i="62"/>
  <c r="G2" i="62" s="1"/>
  <c r="AD19" i="2"/>
  <c r="F6" i="61"/>
  <c r="E34" i="62"/>
  <c r="G34" i="62" s="1"/>
  <c r="F29" i="61"/>
  <c r="E50" i="62"/>
  <c r="G50" i="62" s="1"/>
  <c r="AV233" i="65"/>
  <c r="AV224" i="65"/>
  <c r="AL357" i="11"/>
  <c r="BI127" i="65" s="1"/>
  <c r="AN357" i="11"/>
  <c r="BK127" i="65" s="1"/>
  <c r="AM357" i="11"/>
  <c r="BJ127" i="65" s="1"/>
  <c r="AF357" i="11"/>
  <c r="BC127" i="65" s="1"/>
  <c r="AE357" i="11"/>
  <c r="BB127" i="65" s="1"/>
  <c r="AC357" i="11"/>
  <c r="AZ127" i="65" s="1"/>
  <c r="AD357" i="11"/>
  <c r="BA127" i="65" s="1"/>
  <c r="AE214" i="11"/>
  <c r="BB3" i="65" s="1"/>
  <c r="AD214" i="11"/>
  <c r="BA3" i="65" s="1"/>
  <c r="AC214" i="11"/>
  <c r="AZ3" i="65" s="1"/>
  <c r="AN214" i="11"/>
  <c r="BK3" i="65" s="1"/>
  <c r="AM214" i="11"/>
  <c r="AL214" i="11"/>
  <c r="AF214" i="11"/>
  <c r="BC3" i="65" s="1"/>
  <c r="AV11" i="65"/>
  <c r="T222" i="11"/>
  <c r="AD136" i="11"/>
  <c r="AC136" i="11"/>
  <c r="AN136" i="11"/>
  <c r="AL136" i="11"/>
  <c r="AE136" i="11"/>
  <c r="AM136" i="11"/>
  <c r="AF136" i="11"/>
  <c r="AM64" i="11"/>
  <c r="AF64" i="11"/>
  <c r="AD64" i="11"/>
  <c r="AE64" i="11"/>
  <c r="AC64" i="11"/>
  <c r="AN64" i="11"/>
  <c r="AL64" i="11"/>
  <c r="AE126" i="11"/>
  <c r="AM126" i="11"/>
  <c r="AF126" i="11"/>
  <c r="AD126" i="11"/>
  <c r="AC126" i="11"/>
  <c r="AN126" i="11"/>
  <c r="AL126" i="11"/>
  <c r="AC180" i="11"/>
  <c r="AN180" i="11"/>
  <c r="AM180" i="11"/>
  <c r="AL180" i="11"/>
  <c r="AF180" i="11"/>
  <c r="AD180" i="11"/>
  <c r="AE180" i="11"/>
  <c r="AM19" i="11"/>
  <c r="AN19" i="11"/>
  <c r="AL19" i="11"/>
  <c r="AF19" i="11"/>
  <c r="AD19" i="11"/>
  <c r="AE19" i="11"/>
  <c r="AC19" i="11"/>
  <c r="AV33" i="65"/>
  <c r="T244" i="11"/>
  <c r="AV46" i="65"/>
  <c r="T258" i="11"/>
  <c r="AV23" i="65"/>
  <c r="T234" i="11"/>
  <c r="AV26" i="65"/>
  <c r="T237" i="11"/>
  <c r="AL412" i="11"/>
  <c r="BI181" i="65" s="1"/>
  <c r="AF412" i="11"/>
  <c r="BC181" i="65" s="1"/>
  <c r="AE412" i="11"/>
  <c r="BB181" i="65" s="1"/>
  <c r="AD412" i="11"/>
  <c r="BA181" i="65" s="1"/>
  <c r="AC412" i="11"/>
  <c r="AZ181" i="65" s="1"/>
  <c r="AM412" i="11"/>
  <c r="BJ181" i="65" s="1"/>
  <c r="AN412" i="11"/>
  <c r="BK181" i="65" s="1"/>
  <c r="F21" i="61"/>
  <c r="E6" i="62"/>
  <c r="G6" i="62" s="1"/>
  <c r="AD53" i="2"/>
  <c r="AL455" i="11"/>
  <c r="BI221" i="65" s="1"/>
  <c r="AE455" i="11"/>
  <c r="BB221" i="65" s="1"/>
  <c r="AD455" i="11"/>
  <c r="BA221" i="65" s="1"/>
  <c r="AC455" i="11"/>
  <c r="AZ221" i="65" s="1"/>
  <c r="AN455" i="11"/>
  <c r="BK221" i="65" s="1"/>
  <c r="AM455" i="11"/>
  <c r="BJ221" i="65" s="1"/>
  <c r="AF455" i="11"/>
  <c r="BC221" i="65" s="1"/>
  <c r="F49" i="61"/>
  <c r="E16" i="62"/>
  <c r="G16" i="62" s="1"/>
  <c r="AD23" i="2"/>
  <c r="AD45" i="2"/>
  <c r="AD20" i="2"/>
  <c r="AV39" i="65"/>
  <c r="T250" i="11"/>
  <c r="AV221" i="65"/>
  <c r="AV43" i="65"/>
  <c r="T255" i="11"/>
  <c r="AV6" i="65"/>
  <c r="T217" i="11"/>
  <c r="AD72" i="11"/>
  <c r="AM72" i="11"/>
  <c r="AL72" i="11"/>
  <c r="AF72" i="11"/>
  <c r="AE72" i="11"/>
  <c r="AC72" i="11"/>
  <c r="AN72" i="11"/>
  <c r="AM237" i="11"/>
  <c r="BJ26" i="65" s="1"/>
  <c r="AE237" i="11"/>
  <c r="BB26" i="65" s="1"/>
  <c r="AN237" i="11"/>
  <c r="BK26" i="65" s="1"/>
  <c r="AF237" i="11"/>
  <c r="BC26" i="65" s="1"/>
  <c r="AD237" i="11"/>
  <c r="BA26" i="65" s="1"/>
  <c r="AC237" i="11"/>
  <c r="AZ26" i="65" s="1"/>
  <c r="AL237" i="11"/>
  <c r="BI26" i="65" s="1"/>
  <c r="AM86" i="11"/>
  <c r="AD86" i="11"/>
  <c r="AC86" i="11"/>
  <c r="AN86" i="11"/>
  <c r="AL86" i="11"/>
  <c r="AF86" i="11"/>
  <c r="AE86" i="11"/>
  <c r="AZ19" i="2"/>
  <c r="AV19" i="2"/>
  <c r="BC19" i="2"/>
  <c r="AD33" i="2"/>
  <c r="F32" i="61"/>
  <c r="E14" i="62"/>
  <c r="G14" i="62" s="1"/>
  <c r="AD52" i="2"/>
  <c r="AD14" i="2"/>
  <c r="F46" i="61"/>
  <c r="E26" i="62"/>
  <c r="G26" i="62" s="1"/>
  <c r="AL471" i="11"/>
  <c r="AF471" i="11"/>
  <c r="AE471" i="11"/>
  <c r="AD471" i="11"/>
  <c r="AC471" i="11"/>
  <c r="AN471" i="11"/>
  <c r="AM471" i="11"/>
  <c r="AD37" i="2"/>
  <c r="F24" i="61"/>
  <c r="E3" i="62"/>
  <c r="G3" i="62" s="1"/>
  <c r="AD39" i="2"/>
  <c r="AN444" i="11"/>
  <c r="BK212" i="65" s="1"/>
  <c r="AM444" i="11"/>
  <c r="BJ212" i="65" s="1"/>
  <c r="AL444" i="11"/>
  <c r="BI212" i="65" s="1"/>
  <c r="AE444" i="11"/>
  <c r="BB212" i="65" s="1"/>
  <c r="AD444" i="11"/>
  <c r="BA212" i="65" s="1"/>
  <c r="AC444" i="11"/>
  <c r="AZ212" i="65" s="1"/>
  <c r="AF444" i="11"/>
  <c r="BC212" i="65" s="1"/>
  <c r="AN476" i="11"/>
  <c r="BK240" i="65" s="1"/>
  <c r="AM476" i="11"/>
  <c r="BJ240" i="65" s="1"/>
  <c r="AL476" i="11"/>
  <c r="BI240" i="65" s="1"/>
  <c r="AE476" i="11"/>
  <c r="BB240" i="65" s="1"/>
  <c r="AD476" i="11"/>
  <c r="BA240" i="65" s="1"/>
  <c r="AC476" i="11"/>
  <c r="AZ240" i="65" s="1"/>
  <c r="AF476" i="11"/>
  <c r="BC240" i="65" s="1"/>
  <c r="AE428" i="11"/>
  <c r="BB196" i="65" s="1"/>
  <c r="AD428" i="11"/>
  <c r="BA196" i="65" s="1"/>
  <c r="AC428" i="11"/>
  <c r="AZ196" i="65" s="1"/>
  <c r="AN428" i="11"/>
  <c r="BK196" i="65" s="1"/>
  <c r="AM428" i="11"/>
  <c r="BJ196" i="65" s="1"/>
  <c r="AF428" i="11"/>
  <c r="BC196" i="65" s="1"/>
  <c r="AL428" i="11"/>
  <c r="BI196" i="65" s="1"/>
  <c r="AM171" i="11"/>
  <c r="AN171" i="11"/>
  <c r="AF171" i="11"/>
  <c r="AE171" i="11"/>
  <c r="AD171" i="11"/>
  <c r="AL171" i="11"/>
  <c r="AC171" i="11"/>
  <c r="AE209" i="11"/>
  <c r="AD209" i="11"/>
  <c r="AC209" i="11"/>
  <c r="AN209" i="11"/>
  <c r="AL209" i="11"/>
  <c r="AM209" i="11"/>
  <c r="AF209" i="11"/>
  <c r="AV8" i="65"/>
  <c r="T219" i="11"/>
  <c r="AM188" i="11"/>
  <c r="AL188" i="11"/>
  <c r="AF188" i="11"/>
  <c r="AD188" i="11"/>
  <c r="AC188" i="11"/>
  <c r="AE188" i="11"/>
  <c r="AN188" i="11"/>
  <c r="AC168" i="11"/>
  <c r="AM168" i="11"/>
  <c r="AL168" i="11"/>
  <c r="AF168" i="11"/>
  <c r="AE168" i="11"/>
  <c r="AD168" i="11"/>
  <c r="AN168" i="11"/>
  <c r="AN135" i="11"/>
  <c r="AM135" i="11"/>
  <c r="AE135" i="11"/>
  <c r="AL135" i="11"/>
  <c r="AD135" i="11"/>
  <c r="AC135" i="11"/>
  <c r="AF135" i="11"/>
  <c r="AD48" i="11"/>
  <c r="AM48" i="11"/>
  <c r="AL48" i="11"/>
  <c r="AN48" i="11"/>
  <c r="AF48" i="11"/>
  <c r="AE48" i="11"/>
  <c r="AC48" i="11"/>
  <c r="AM80" i="11"/>
  <c r="AD80" i="11"/>
  <c r="AC80" i="11"/>
  <c r="AN80" i="11"/>
  <c r="AL80" i="11"/>
  <c r="AF80" i="11"/>
  <c r="AE80" i="11"/>
  <c r="F33" i="61"/>
  <c r="E45" i="62"/>
  <c r="G45" i="62" s="1"/>
  <c r="AD28" i="2"/>
  <c r="AL458" i="11"/>
  <c r="BI224" i="65" s="1"/>
  <c r="AE458" i="11"/>
  <c r="BB224" i="65" s="1"/>
  <c r="AD458" i="11"/>
  <c r="BA224" i="65" s="1"/>
  <c r="AC458" i="11"/>
  <c r="AZ224" i="65" s="1"/>
  <c r="AN458" i="11"/>
  <c r="BK224" i="65" s="1"/>
  <c r="AM458" i="11"/>
  <c r="BJ224" i="65" s="1"/>
  <c r="AF458" i="11"/>
  <c r="BC224" i="65" s="1"/>
  <c r="E157" i="2"/>
  <c r="AD13" i="2"/>
  <c r="F31" i="61"/>
  <c r="E7" i="62"/>
  <c r="G7" i="62" s="1"/>
  <c r="F3" i="61"/>
  <c r="E38" i="62"/>
  <c r="G38" i="62" s="1"/>
  <c r="AD58" i="2"/>
  <c r="AL386" i="11"/>
  <c r="BI155" i="65" s="1"/>
  <c r="AE386" i="11"/>
  <c r="BB155" i="65" s="1"/>
  <c r="AC386" i="11"/>
  <c r="AZ155" i="65" s="1"/>
  <c r="AN386" i="11"/>
  <c r="BK155" i="65" s="1"/>
  <c r="AD386" i="11"/>
  <c r="BA155" i="65" s="1"/>
  <c r="AM386" i="11"/>
  <c r="BJ155" i="65" s="1"/>
  <c r="AF386" i="11"/>
  <c r="BC155" i="65" s="1"/>
  <c r="AN479" i="11"/>
  <c r="BK243" i="65" s="1"/>
  <c r="AM479" i="11"/>
  <c r="BJ243" i="65" s="1"/>
  <c r="AL479" i="11"/>
  <c r="BI243" i="65" s="1"/>
  <c r="AE479" i="11"/>
  <c r="BB243" i="65" s="1"/>
  <c r="AD479" i="11"/>
  <c r="BA243" i="65" s="1"/>
  <c r="AC479" i="11"/>
  <c r="AZ243" i="65" s="1"/>
  <c r="AF479" i="11"/>
  <c r="BC243" i="65" s="1"/>
  <c r="AC226" i="11"/>
  <c r="AZ15" i="65" s="1"/>
  <c r="AM226" i="11"/>
  <c r="BJ15" i="65" s="1"/>
  <c r="AL226" i="11"/>
  <c r="BI15" i="65" s="1"/>
  <c r="AF226" i="11"/>
  <c r="BC15" i="65" s="1"/>
  <c r="AE226" i="11"/>
  <c r="BB15" i="65" s="1"/>
  <c r="AN226" i="11"/>
  <c r="BK15" i="65" s="1"/>
  <c r="AD226" i="11"/>
  <c r="BA15" i="65" s="1"/>
  <c r="F27" i="61"/>
  <c r="E5" i="62"/>
  <c r="G5" i="62" s="1"/>
  <c r="F44" i="61"/>
  <c r="E25" i="62"/>
  <c r="G25" i="62" s="1"/>
  <c r="AD17" i="2"/>
  <c r="AL389" i="11"/>
  <c r="BI158" i="65" s="1"/>
  <c r="AE389" i="11"/>
  <c r="BB158" i="65" s="1"/>
  <c r="AD389" i="11"/>
  <c r="BA158" i="65" s="1"/>
  <c r="AC389" i="11"/>
  <c r="AZ158" i="65" s="1"/>
  <c r="AN389" i="11"/>
  <c r="BK158" i="65" s="1"/>
  <c r="AM389" i="11"/>
  <c r="BJ158" i="65" s="1"/>
  <c r="AF389" i="11"/>
  <c r="BC158" i="65" s="1"/>
  <c r="AL392" i="11"/>
  <c r="BI161" i="65" s="1"/>
  <c r="AE392" i="11"/>
  <c r="BB161" i="65" s="1"/>
  <c r="AF392" i="11"/>
  <c r="BC161" i="65" s="1"/>
  <c r="AD392" i="11"/>
  <c r="BA161" i="65" s="1"/>
  <c r="AC392" i="11"/>
  <c r="AZ161" i="65" s="1"/>
  <c r="AM392" i="11"/>
  <c r="BJ161" i="65" s="1"/>
  <c r="AN392" i="11"/>
  <c r="BK161" i="65" s="1"/>
  <c r="F52" i="61"/>
  <c r="E39" i="62"/>
  <c r="G39" i="62" s="1"/>
  <c r="AD26" i="2"/>
  <c r="AD25" i="2"/>
  <c r="AD46" i="2"/>
  <c r="F11" i="61"/>
  <c r="E23" i="62"/>
  <c r="G23" i="62" s="1"/>
  <c r="AD43" i="2"/>
  <c r="F30" i="61"/>
  <c r="E22" i="62"/>
  <c r="G22" i="62" s="1"/>
  <c r="AD27" i="2"/>
  <c r="AN432" i="11"/>
  <c r="BK200" i="65" s="1"/>
  <c r="AM432" i="11"/>
  <c r="BJ200" i="65" s="1"/>
  <c r="AL432" i="11"/>
  <c r="BI200" i="65" s="1"/>
  <c r="AF432" i="11"/>
  <c r="BC200" i="65" s="1"/>
  <c r="AD432" i="11"/>
  <c r="BA200" i="65" s="1"/>
  <c r="AC432" i="11"/>
  <c r="AZ200" i="65" s="1"/>
  <c r="AE432" i="11"/>
  <c r="BB200" i="65" s="1"/>
  <c r="AV225" i="65"/>
  <c r="AV88" i="65"/>
  <c r="AV157" i="65"/>
  <c r="AV178" i="65"/>
  <c r="AV184" i="65"/>
  <c r="F51" i="61"/>
  <c r="E32" i="62"/>
  <c r="G32" i="62" s="1"/>
  <c r="F50" i="61"/>
  <c r="E15" i="62"/>
  <c r="G15" i="62" s="1"/>
  <c r="AD24" i="2"/>
  <c r="AD47" i="2"/>
  <c r="F12" i="61"/>
  <c r="E29" i="62"/>
  <c r="G29" i="62" s="1"/>
  <c r="F9" i="61"/>
  <c r="E33" i="62"/>
  <c r="G33" i="62" s="1"/>
  <c r="AD42" i="2"/>
  <c r="AD44" i="2"/>
  <c r="AV201" i="65"/>
  <c r="AV97" i="65"/>
  <c r="AV69" i="65"/>
  <c r="AV181" i="65"/>
  <c r="AN253" i="11"/>
  <c r="BK41" i="65" s="1"/>
  <c r="AM253" i="11"/>
  <c r="BJ41" i="65" s="1"/>
  <c r="AL253" i="11"/>
  <c r="BI41" i="65" s="1"/>
  <c r="AF253" i="11"/>
  <c r="BC41" i="65" s="1"/>
  <c r="AE253" i="11"/>
  <c r="BB41" i="65" s="1"/>
  <c r="AD253" i="11"/>
  <c r="BA41" i="65" s="1"/>
  <c r="AC253" i="11"/>
  <c r="AZ41" i="65" s="1"/>
  <c r="AD262" i="11"/>
  <c r="BA50" i="65" s="1"/>
  <c r="AC262" i="11"/>
  <c r="AZ50" i="65" s="1"/>
  <c r="AN262" i="11"/>
  <c r="BK50" i="65" s="1"/>
  <c r="AM262" i="11"/>
  <c r="BJ50" i="65" s="1"/>
  <c r="AL262" i="11"/>
  <c r="BI50" i="65" s="1"/>
  <c r="AF262" i="11"/>
  <c r="BC50" i="65" s="1"/>
  <c r="AE262" i="11"/>
  <c r="BB50" i="65" s="1"/>
  <c r="AN127" i="11"/>
  <c r="AM127" i="11"/>
  <c r="AL127" i="11"/>
  <c r="AE127" i="11"/>
  <c r="AC127" i="11"/>
  <c r="AF127" i="11"/>
  <c r="AD127" i="11"/>
  <c r="AD60" i="11"/>
  <c r="AM60" i="11"/>
  <c r="AL60" i="11"/>
  <c r="AF60" i="11"/>
  <c r="AN60" i="11"/>
  <c r="AE60" i="11"/>
  <c r="AC60" i="11"/>
  <c r="AN147" i="11"/>
  <c r="AM147" i="11"/>
  <c r="AE147" i="11"/>
  <c r="AL147" i="11"/>
  <c r="AD147" i="11"/>
  <c r="AC147" i="11"/>
  <c r="AF147" i="11"/>
  <c r="AN115" i="11"/>
  <c r="AM115" i="11"/>
  <c r="AF115" i="11"/>
  <c r="AD115" i="11"/>
  <c r="AC115" i="11"/>
  <c r="AL115" i="11"/>
  <c r="AE115" i="11"/>
  <c r="AM32" i="11"/>
  <c r="AD32" i="11"/>
  <c r="AF32" i="11"/>
  <c r="AN32" i="11"/>
  <c r="AL32" i="11"/>
  <c r="AE32" i="11"/>
  <c r="AC32" i="11"/>
  <c r="AN400" i="11"/>
  <c r="BK169" i="65" s="1"/>
  <c r="AF400" i="11"/>
  <c r="BC169" i="65" s="1"/>
  <c r="AE400" i="11"/>
  <c r="BB169" i="65" s="1"/>
  <c r="AD400" i="11"/>
  <c r="BA169" i="65" s="1"/>
  <c r="AM400" i="11"/>
  <c r="BJ169" i="65" s="1"/>
  <c r="AL400" i="11"/>
  <c r="BI169" i="65" s="1"/>
  <c r="AC400" i="11"/>
  <c r="AZ169" i="65" s="1"/>
  <c r="AM52" i="11"/>
  <c r="AF52" i="11"/>
  <c r="AD52" i="11"/>
  <c r="AN52" i="11"/>
  <c r="AL52" i="11"/>
  <c r="AE52" i="11"/>
  <c r="AC52" i="11"/>
  <c r="AV41" i="65"/>
  <c r="T253" i="11"/>
  <c r="F41" i="61"/>
  <c r="E18" i="62"/>
  <c r="G18" i="62" s="1"/>
  <c r="AV25" i="65"/>
  <c r="T236" i="11"/>
  <c r="F4" i="61"/>
  <c r="E24" i="62"/>
  <c r="G24" i="62" s="1"/>
  <c r="AD59" i="2"/>
  <c r="AD54" i="2"/>
  <c r="AV227" i="65"/>
  <c r="AV38" i="65"/>
  <c r="T249" i="11"/>
  <c r="AV37" i="65"/>
  <c r="T248" i="11"/>
  <c r="AM56" i="11"/>
  <c r="AD56" i="11"/>
  <c r="AC56" i="11"/>
  <c r="AE56" i="11"/>
  <c r="AN56" i="11"/>
  <c r="AL56" i="11"/>
  <c r="AF56" i="11"/>
  <c r="F26" i="61"/>
  <c r="E49" i="62"/>
  <c r="G49" i="62" s="1"/>
  <c r="AD18" i="2"/>
  <c r="F43" i="61"/>
  <c r="E20" i="62"/>
  <c r="G20" i="62" s="1"/>
  <c r="AE423" i="11"/>
  <c r="BB191" i="65" s="1"/>
  <c r="AD423" i="11"/>
  <c r="BA191" i="65" s="1"/>
  <c r="AC423" i="11"/>
  <c r="AZ191" i="65" s="1"/>
  <c r="AN423" i="11"/>
  <c r="BK191" i="65" s="1"/>
  <c r="AM423" i="11"/>
  <c r="BJ191" i="65" s="1"/>
  <c r="AL423" i="11"/>
  <c r="BI191" i="65" s="1"/>
  <c r="AF423" i="11"/>
  <c r="BC191" i="65" s="1"/>
  <c r="AD50" i="2"/>
  <c r="F13" i="61"/>
  <c r="E43" i="62"/>
  <c r="G43" i="62" s="1"/>
  <c r="F35" i="61"/>
  <c r="E44" i="62"/>
  <c r="G44" i="62" s="1"/>
  <c r="AD56" i="2"/>
  <c r="F8" i="61"/>
  <c r="E21" i="62"/>
  <c r="G21" i="62" s="1"/>
  <c r="AD41" i="2"/>
  <c r="F7" i="61"/>
  <c r="E31" i="62"/>
  <c r="G31" i="62" s="1"/>
  <c r="AD51" i="2"/>
  <c r="AV14" i="65"/>
  <c r="T225" i="11"/>
  <c r="AV152" i="65"/>
  <c r="AM159" i="11"/>
  <c r="AN159" i="11"/>
  <c r="AF159" i="11"/>
  <c r="AE159" i="11"/>
  <c r="AD159" i="11"/>
  <c r="AL159" i="11"/>
  <c r="AC159" i="11"/>
  <c r="AV34" i="65"/>
  <c r="T245" i="11"/>
  <c r="AM94" i="11"/>
  <c r="AL94" i="11"/>
  <c r="AF94" i="11"/>
  <c r="AE94" i="11"/>
  <c r="AD94" i="11"/>
  <c r="AN94" i="11"/>
  <c r="AC94" i="11"/>
  <c r="AN208" i="11"/>
  <c r="AM208" i="11"/>
  <c r="AL208" i="11"/>
  <c r="AE208" i="11"/>
  <c r="AD208" i="11"/>
  <c r="AF208" i="11"/>
  <c r="AC208" i="11"/>
  <c r="AD49" i="2"/>
  <c r="F36" i="61"/>
  <c r="E19" i="62"/>
  <c r="G19" i="62" s="1"/>
  <c r="F17" i="61"/>
  <c r="E42" i="62"/>
  <c r="G42" i="62" s="1"/>
  <c r="AV115" i="65"/>
  <c r="AV160" i="65"/>
  <c r="AV163" i="65"/>
  <c r="AN215" i="11"/>
  <c r="BK4" i="65" s="1"/>
  <c r="AL215" i="11"/>
  <c r="BI4" i="65" s="1"/>
  <c r="AF215" i="11"/>
  <c r="BC4" i="65" s="1"/>
  <c r="AD215" i="11"/>
  <c r="BA4" i="65" s="1"/>
  <c r="AE215" i="11"/>
  <c r="AC215" i="11"/>
  <c r="AZ4" i="65" s="1"/>
  <c r="AM215" i="11"/>
  <c r="BJ4" i="65" s="1"/>
  <c r="AN169" i="11"/>
  <c r="AF169" i="11"/>
  <c r="AL169" i="11"/>
  <c r="AE169" i="11"/>
  <c r="AD169" i="11"/>
  <c r="AC169" i="11"/>
  <c r="AM169" i="11"/>
  <c r="AM179" i="11"/>
  <c r="AL179" i="11"/>
  <c r="AE179" i="11"/>
  <c r="AD179" i="11"/>
  <c r="AN179" i="11"/>
  <c r="AF179" i="11"/>
  <c r="AC179" i="11"/>
  <c r="AF165" i="11"/>
  <c r="AE165" i="11"/>
  <c r="AN165" i="11"/>
  <c r="AL165" i="11"/>
  <c r="AD165" i="11"/>
  <c r="AC165" i="11"/>
  <c r="AM165" i="11"/>
  <c r="AD36" i="11"/>
  <c r="AM36" i="11"/>
  <c r="AL36" i="11"/>
  <c r="AC36" i="11"/>
  <c r="AN36" i="11"/>
  <c r="AF36" i="11"/>
  <c r="AE36" i="11"/>
  <c r="C64" i="12"/>
  <c r="E64" i="12" s="1"/>
  <c r="O63" i="12"/>
  <c r="Q63" i="12" s="1"/>
  <c r="J63" i="12"/>
  <c r="G63" i="12"/>
  <c r="F63" i="12"/>
  <c r="BC20" i="2" l="1"/>
  <c r="AZ20" i="2"/>
  <c r="AV20" i="2"/>
  <c r="E63" i="12"/>
  <c r="C63" i="12"/>
  <c r="J62" i="12"/>
  <c r="O62" i="12" s="1"/>
  <c r="Q62" i="12" s="1"/>
  <c r="G62" i="12"/>
  <c r="F62" i="12"/>
  <c r="C62" i="12"/>
  <c r="E62" i="12" s="1"/>
  <c r="O61" i="12"/>
  <c r="Q61" i="12" s="1"/>
  <c r="J61" i="12"/>
  <c r="G61" i="12"/>
  <c r="F61" i="12"/>
  <c r="C61" i="12"/>
  <c r="E61" i="12" s="1"/>
  <c r="O60" i="12"/>
  <c r="Q60" i="12" s="1"/>
  <c r="J60" i="12"/>
  <c r="G60" i="12"/>
  <c r="F60" i="12"/>
  <c r="C60" i="12"/>
  <c r="E60" i="12" s="1"/>
  <c r="J59" i="12"/>
  <c r="O59" i="12" s="1"/>
  <c r="Q59" i="12" s="1"/>
  <c r="G59" i="12"/>
  <c r="F59" i="12"/>
  <c r="C59" i="12"/>
  <c r="E59" i="12" s="1"/>
  <c r="O58" i="12"/>
  <c r="Q58" i="12" s="1"/>
  <c r="J58" i="12"/>
  <c r="G58" i="12"/>
  <c r="F58" i="12"/>
  <c r="C58" i="12"/>
  <c r="E58" i="12" s="1"/>
  <c r="O57" i="12"/>
  <c r="Q57" i="12" s="1"/>
  <c r="J57" i="12"/>
  <c r="G57" i="12"/>
  <c r="F57" i="12"/>
  <c r="C57" i="12"/>
  <c r="E57" i="12" s="1"/>
  <c r="O56" i="12"/>
  <c r="Q56" i="12" s="1"/>
  <c r="J56" i="12"/>
  <c r="G56" i="12"/>
  <c r="F56" i="12"/>
  <c r="C56" i="12"/>
  <c r="E56" i="12" s="1"/>
  <c r="J55" i="12"/>
  <c r="O55" i="12" s="1"/>
  <c r="Q55" i="12" s="1"/>
  <c r="G55" i="12"/>
  <c r="F55" i="12"/>
  <c r="C55" i="12"/>
  <c r="E55" i="12" s="1"/>
  <c r="J54" i="12"/>
  <c r="O54" i="12" s="1"/>
  <c r="Q54" i="12" s="1"/>
  <c r="G54" i="12"/>
  <c r="F54" i="12"/>
  <c r="C54" i="12"/>
  <c r="E54" i="12" s="1"/>
  <c r="O53" i="12"/>
  <c r="Q53" i="12" s="1"/>
  <c r="J53" i="12"/>
  <c r="G53" i="12"/>
  <c r="F53" i="12"/>
  <c r="C53" i="12"/>
  <c r="E53" i="12" s="1"/>
  <c r="J52" i="12"/>
  <c r="O52" i="12" s="1"/>
  <c r="Q52" i="12" s="1"/>
  <c r="G52" i="12"/>
  <c r="F52" i="12"/>
  <c r="C52" i="12"/>
  <c r="E52" i="12" s="1"/>
  <c r="J51" i="12"/>
  <c r="O51" i="12" s="1"/>
  <c r="Q51" i="12" s="1"/>
  <c r="G51" i="12"/>
  <c r="F51" i="12"/>
  <c r="C51" i="12"/>
  <c r="E51" i="12" s="1"/>
  <c r="J50" i="12"/>
  <c r="O50" i="12" s="1"/>
  <c r="Q50" i="12" s="1"/>
  <c r="G50" i="12"/>
  <c r="F50" i="12"/>
  <c r="C50" i="12"/>
  <c r="E50" i="12" s="1"/>
  <c r="J49" i="12"/>
  <c r="O49" i="12" s="1"/>
  <c r="Q49" i="12" s="1"/>
  <c r="G49" i="12"/>
  <c r="F49" i="12"/>
  <c r="C49" i="12"/>
  <c r="E49" i="12" s="1"/>
  <c r="J48" i="12"/>
  <c r="O48" i="12" s="1"/>
  <c r="Q48" i="12" s="1"/>
  <c r="G48" i="12"/>
  <c r="F48" i="12"/>
  <c r="C48" i="12"/>
  <c r="E48" i="12" s="1"/>
  <c r="J47" i="12"/>
  <c r="O47" i="12" s="1"/>
  <c r="Q47" i="12" s="1"/>
  <c r="G47" i="12"/>
  <c r="F47" i="12"/>
  <c r="C47" i="12"/>
  <c r="E47" i="12" s="1"/>
  <c r="J46" i="12"/>
  <c r="O46" i="12" s="1"/>
  <c r="Q46" i="12" s="1"/>
  <c r="G46" i="12"/>
  <c r="F46" i="12"/>
  <c r="C46" i="12"/>
  <c r="E46" i="12" s="1"/>
  <c r="J45" i="12"/>
  <c r="O45" i="12" s="1"/>
  <c r="Q45" i="12" s="1"/>
  <c r="G45" i="12"/>
  <c r="F45" i="12"/>
  <c r="C45" i="12"/>
  <c r="E45" i="12" s="1"/>
  <c r="J44" i="12"/>
  <c r="O44" i="12" s="1"/>
  <c r="Q44" i="12" s="1"/>
  <c r="G44" i="12"/>
  <c r="F44" i="12"/>
  <c r="C44" i="12"/>
  <c r="E44" i="12" s="1"/>
  <c r="J43" i="12"/>
  <c r="O43" i="12" s="1"/>
  <c r="Q43" i="12" s="1"/>
  <c r="G43" i="12"/>
  <c r="F43" i="12"/>
  <c r="C43" i="12"/>
  <c r="E43" i="12" s="1"/>
  <c r="J42" i="12"/>
  <c r="O42" i="12" s="1"/>
  <c r="Q42" i="12" s="1"/>
  <c r="G42" i="12"/>
  <c r="F42" i="12"/>
  <c r="C42" i="12"/>
  <c r="E42" i="12" s="1"/>
  <c r="J41" i="12"/>
  <c r="O41" i="12" s="1"/>
  <c r="Q41" i="12" s="1"/>
  <c r="G41" i="12"/>
  <c r="F41" i="12"/>
  <c r="C41" i="12"/>
  <c r="E41" i="12" s="1"/>
  <c r="J40" i="12"/>
  <c r="O40" i="12" s="1"/>
  <c r="Q40" i="12" s="1"/>
  <c r="G40" i="12"/>
  <c r="F40" i="12"/>
  <c r="C40" i="12"/>
  <c r="E40" i="12" s="1"/>
  <c r="J39" i="12"/>
  <c r="O39" i="12" s="1"/>
  <c r="Q39" i="12" s="1"/>
  <c r="G39" i="12"/>
  <c r="F39" i="12"/>
  <c r="C39" i="12"/>
  <c r="E39" i="12" s="1"/>
  <c r="J38" i="12"/>
  <c r="O38" i="12" s="1"/>
  <c r="Q38" i="12" s="1"/>
  <c r="G38" i="12"/>
  <c r="F38" i="12"/>
  <c r="C38" i="12"/>
  <c r="E38" i="12" s="1"/>
  <c r="J37" i="12"/>
  <c r="O37" i="12" s="1"/>
  <c r="Q37" i="12" s="1"/>
  <c r="G37" i="12"/>
  <c r="F37" i="12"/>
  <c r="C37" i="12"/>
  <c r="E37" i="12" s="1"/>
  <c r="J36" i="12"/>
  <c r="O36" i="12" s="1"/>
  <c r="Q36" i="12" s="1"/>
  <c r="G36" i="12"/>
  <c r="F36" i="12"/>
  <c r="C36" i="12"/>
  <c r="E36" i="12" s="1"/>
  <c r="J35" i="12"/>
  <c r="O35" i="12" s="1"/>
  <c r="Q35" i="12" s="1"/>
  <c r="G35" i="12"/>
  <c r="F35" i="12"/>
  <c r="C35" i="12"/>
  <c r="E35" i="12" s="1"/>
  <c r="J34" i="12"/>
  <c r="O34" i="12" s="1"/>
  <c r="Q34" i="12" s="1"/>
  <c r="G34" i="12"/>
  <c r="F34" i="12"/>
  <c r="C34" i="12"/>
  <c r="E34" i="12" s="1"/>
  <c r="J33" i="12"/>
  <c r="O33" i="12" s="1"/>
  <c r="Q33" i="12" s="1"/>
  <c r="G33" i="12"/>
  <c r="F33" i="12"/>
  <c r="C33" i="12"/>
  <c r="E33" i="12" s="1"/>
  <c r="J32" i="12"/>
  <c r="O32" i="12" s="1"/>
  <c r="Q32" i="12" s="1"/>
  <c r="G32" i="12"/>
  <c r="F32" i="12"/>
  <c r="C32" i="12"/>
  <c r="E32" i="12" s="1"/>
  <c r="J31" i="12"/>
  <c r="O31" i="12" s="1"/>
  <c r="Q31" i="12" s="1"/>
  <c r="G31" i="12"/>
  <c r="F31" i="12"/>
  <c r="C31" i="12"/>
  <c r="E31" i="12" s="1"/>
  <c r="J30" i="12"/>
  <c r="O30" i="12" s="1"/>
  <c r="Q30" i="12" s="1"/>
  <c r="G30" i="12"/>
  <c r="F30" i="12"/>
  <c r="C30" i="12"/>
  <c r="E30" i="12" s="1"/>
  <c r="J29" i="12"/>
  <c r="O29" i="12" s="1"/>
  <c r="Q29" i="12" s="1"/>
  <c r="G29" i="12"/>
  <c r="F29" i="12"/>
  <c r="C29" i="12"/>
  <c r="E29" i="12" s="1"/>
  <c r="J28" i="12"/>
  <c r="O28" i="12" s="1"/>
  <c r="Q28" i="12" s="1"/>
  <c r="G28" i="12"/>
  <c r="F28" i="12"/>
  <c r="C28" i="12"/>
  <c r="E28" i="12" s="1"/>
  <c r="J27" i="12"/>
  <c r="O27" i="12" s="1"/>
  <c r="Q27" i="12" s="1"/>
  <c r="G27" i="12"/>
  <c r="F27" i="12"/>
  <c r="C27" i="12"/>
  <c r="E27" i="12" s="1"/>
  <c r="J26" i="12"/>
  <c r="O26" i="12" s="1"/>
  <c r="Q26" i="12" s="1"/>
  <c r="G26" i="12"/>
  <c r="F26" i="12"/>
  <c r="C26" i="12"/>
  <c r="E26" i="12" s="1"/>
  <c r="J25" i="12"/>
  <c r="O25" i="12" s="1"/>
  <c r="Q25" i="12" s="1"/>
  <c r="G25" i="12"/>
  <c r="F25" i="12"/>
  <c r="C25" i="12"/>
  <c r="E25" i="12" s="1"/>
  <c r="J24" i="12"/>
  <c r="O24" i="12" s="1"/>
  <c r="Q24" i="12" s="1"/>
  <c r="G24" i="12"/>
  <c r="F24" i="12"/>
  <c r="C24" i="12"/>
  <c r="E24" i="12" s="1"/>
  <c r="J23" i="12"/>
  <c r="O23" i="12" s="1"/>
  <c r="Q23" i="12" s="1"/>
  <c r="G23" i="12"/>
  <c r="F23" i="12"/>
  <c r="C23" i="12"/>
  <c r="E23" i="12" s="1"/>
  <c r="J22" i="12"/>
  <c r="O22" i="12" s="1"/>
  <c r="Q22" i="12" s="1"/>
  <c r="G22" i="12"/>
  <c r="F22" i="12"/>
  <c r="C22" i="12"/>
  <c r="E22" i="12" s="1"/>
  <c r="J21" i="12"/>
  <c r="O21" i="12" s="1"/>
  <c r="Q21" i="12" s="1"/>
  <c r="G21" i="12"/>
  <c r="F21" i="12"/>
  <c r="C21" i="12"/>
  <c r="E21" i="12" s="1"/>
  <c r="J20" i="12"/>
  <c r="O20" i="12" s="1"/>
  <c r="Q20" i="12" s="1"/>
  <c r="G20" i="12"/>
  <c r="F20" i="12"/>
  <c r="C20" i="12"/>
  <c r="E20" i="12" s="1"/>
  <c r="J19" i="12"/>
  <c r="O19" i="12" s="1"/>
  <c r="Q19" i="12" s="1"/>
  <c r="G19" i="12"/>
  <c r="F19" i="12"/>
  <c r="C19" i="12"/>
  <c r="E19" i="12" s="1"/>
  <c r="J18" i="12"/>
  <c r="O18" i="12" s="1"/>
  <c r="Q18" i="12" s="1"/>
  <c r="G18" i="12"/>
  <c r="F18" i="12"/>
  <c r="C18" i="12"/>
  <c r="E18" i="12" s="1"/>
  <c r="J17" i="12"/>
  <c r="O17" i="12" s="1"/>
  <c r="Q17" i="12" s="1"/>
  <c r="G17" i="12"/>
  <c r="F17" i="12"/>
  <c r="C17" i="12"/>
  <c r="E17" i="12" s="1"/>
  <c r="J16" i="12"/>
  <c r="O16" i="12" s="1"/>
  <c r="Q16" i="12" s="1"/>
  <c r="G16" i="12"/>
  <c r="F16" i="12"/>
  <c r="C16" i="12"/>
  <c r="E16" i="12" s="1"/>
  <c r="J15" i="12"/>
  <c r="O15" i="12" s="1"/>
  <c r="Q15" i="12" s="1"/>
  <c r="G15" i="12"/>
  <c r="F15" i="12"/>
  <c r="C15" i="12"/>
  <c r="E15" i="12" s="1"/>
  <c r="J14" i="12"/>
  <c r="O14" i="12" s="1"/>
  <c r="Q14" i="12" s="1"/>
  <c r="G14" i="12"/>
  <c r="F14" i="12"/>
  <c r="C14" i="12"/>
  <c r="E14" i="12" s="1"/>
  <c r="J13" i="12"/>
  <c r="O13" i="12" s="1"/>
  <c r="Q13" i="12" s="1"/>
  <c r="G13" i="12"/>
  <c r="F13" i="12"/>
  <c r="C13" i="12"/>
  <c r="E13" i="12" s="1"/>
  <c r="R12" i="12"/>
  <c r="J12" i="12"/>
  <c r="O12" i="12" s="1"/>
  <c r="Q12" i="12" s="1"/>
  <c r="G12" i="12"/>
  <c r="F12" i="12"/>
  <c r="C12" i="12"/>
  <c r="E12" i="12" s="1"/>
  <c r="R11" i="12"/>
  <c r="J11" i="12"/>
  <c r="O11" i="12" s="1"/>
  <c r="Q11" i="12" s="1"/>
  <c r="G11" i="12"/>
  <c r="F11" i="12"/>
  <c r="E53" i="49" l="1"/>
  <c r="H53" i="49"/>
  <c r="G53" i="49"/>
  <c r="D53" i="49"/>
  <c r="C11" i="12"/>
  <c r="E11" i="12" s="1"/>
  <c r="D146" i="24"/>
  <c r="C143" i="24" a="1"/>
  <c r="C143" i="24" s="1"/>
  <c r="C144" i="24" s="1"/>
  <c r="A144" i="24" s="1"/>
  <c r="C126" i="24"/>
  <c r="C125" i="24"/>
  <c r="C128" i="24" l="1"/>
  <c r="I53" i="49"/>
  <c r="K53" i="49" s="1"/>
  <c r="K57" i="49" s="1"/>
  <c r="B15" i="17" s="1"/>
  <c r="B16" i="17" s="1"/>
  <c r="B52" i="17" s="1"/>
  <c r="V151" i="2" s="1"/>
  <c r="C43" i="49"/>
  <c r="D64" i="49"/>
  <c r="E64" i="49" s="1"/>
  <c r="F64" i="49" s="1"/>
  <c r="C119" i="24"/>
  <c r="C123" i="24" s="1"/>
  <c r="C117" i="24"/>
  <c r="C129" i="24" l="1"/>
  <c r="E161" i="2"/>
  <c r="D31" i="44"/>
  <c r="D32" i="44" s="1"/>
  <c r="G64" i="49"/>
  <c r="D104" i="24"/>
  <c r="C101" i="24" a="1"/>
  <c r="C101" i="24" s="1"/>
  <c r="C102" i="24" s="1"/>
  <c r="A102" i="24" s="1"/>
  <c r="A98" i="24"/>
  <c r="C92" i="24"/>
  <c r="C85" i="24"/>
  <c r="C84" i="24"/>
  <c r="V11" i="2" l="1"/>
  <c r="E162" i="2"/>
  <c r="K161" i="2" s="1"/>
  <c r="V160" i="2" s="1"/>
  <c r="C81" i="24"/>
  <c r="C83" i="24" s="1"/>
  <c r="C80" i="24"/>
  <c r="C77" i="24"/>
  <c r="C82" i="24" l="1"/>
  <c r="K160" i="2"/>
  <c r="K162" i="2"/>
  <c r="K158" i="2"/>
  <c r="C96" i="24" s="1"/>
  <c r="K159" i="2"/>
  <c r="K157" i="2"/>
  <c r="V157" i="2" s="1"/>
  <c r="K138" i="2"/>
  <c r="J138" i="2" s="1"/>
  <c r="K55" i="2"/>
  <c r="J55" i="2" s="1"/>
  <c r="AJ55" i="2" s="1"/>
  <c r="K21" i="2"/>
  <c r="J21" i="2" s="1"/>
  <c r="AJ21" i="2" s="1"/>
  <c r="K22" i="2"/>
  <c r="J22" i="2" s="1"/>
  <c r="AJ22" i="2" s="1"/>
  <c r="K52" i="2"/>
  <c r="J52" i="2" s="1"/>
  <c r="AJ52" i="2" s="1"/>
  <c r="K26" i="2"/>
  <c r="J26" i="2" s="1"/>
  <c r="AJ26" i="2" s="1"/>
  <c r="K27" i="2"/>
  <c r="J27" i="2" s="1"/>
  <c r="AJ27" i="2" s="1"/>
  <c r="K41" i="2"/>
  <c r="J41" i="2" s="1"/>
  <c r="AJ41" i="2" s="1"/>
  <c r="K31" i="2"/>
  <c r="J31" i="2" s="1"/>
  <c r="AJ31" i="2" s="1"/>
  <c r="K37" i="2"/>
  <c r="J37" i="2" s="1"/>
  <c r="AJ37" i="2" s="1"/>
  <c r="K48" i="2"/>
  <c r="J48" i="2" s="1"/>
  <c r="AJ48" i="2" s="1"/>
  <c r="K30" i="2"/>
  <c r="J30" i="2" s="1"/>
  <c r="AJ30" i="2" s="1"/>
  <c r="K14" i="2"/>
  <c r="J14" i="2" s="1"/>
  <c r="AJ14" i="2" s="1"/>
  <c r="K25" i="2"/>
  <c r="J25" i="2" s="1"/>
  <c r="K42" i="2"/>
  <c r="J42" i="2" s="1"/>
  <c r="AJ42" i="2" s="1"/>
  <c r="K50" i="2"/>
  <c r="J50" i="2" s="1"/>
  <c r="AJ50" i="2" s="1"/>
  <c r="K38" i="2"/>
  <c r="J38" i="2" s="1"/>
  <c r="AJ38" i="2" s="1"/>
  <c r="K61" i="2"/>
  <c r="J61" i="2" s="1"/>
  <c r="AJ61" i="2" s="1"/>
  <c r="K58" i="2"/>
  <c r="J58" i="2" s="1"/>
  <c r="AJ58" i="2" s="1"/>
  <c r="K18" i="2"/>
  <c r="J18" i="2" s="1"/>
  <c r="AJ18" i="2" s="1"/>
  <c r="K29" i="2"/>
  <c r="J29" i="2" s="1"/>
  <c r="AJ29" i="2" s="1"/>
  <c r="K34" i="2"/>
  <c r="J34" i="2" s="1"/>
  <c r="AJ34" i="2" s="1"/>
  <c r="K19" i="2"/>
  <c r="J19" i="2" s="1"/>
  <c r="AJ19" i="2" s="1"/>
  <c r="K46" i="2"/>
  <c r="J46" i="2" s="1"/>
  <c r="AJ46" i="2" s="1"/>
  <c r="K44" i="2"/>
  <c r="J44" i="2" s="1"/>
  <c r="AJ44" i="2" s="1"/>
  <c r="K51" i="2"/>
  <c r="J51" i="2" s="1"/>
  <c r="AJ51" i="2" s="1"/>
  <c r="K60" i="2"/>
  <c r="J60" i="2" s="1"/>
  <c r="AJ60" i="2" s="1"/>
  <c r="K39" i="2"/>
  <c r="J39" i="2" s="1"/>
  <c r="AJ39" i="2" s="1"/>
  <c r="K62" i="2"/>
  <c r="J62" i="2" s="1"/>
  <c r="AJ62" i="2" s="1"/>
  <c r="K40" i="2"/>
  <c r="J40" i="2" s="1"/>
  <c r="AJ40" i="2" s="1"/>
  <c r="K63" i="2"/>
  <c r="J63" i="2" s="1"/>
  <c r="K17" i="2"/>
  <c r="J17" i="2" s="1"/>
  <c r="AJ17" i="2" s="1"/>
  <c r="K24" i="2"/>
  <c r="J24" i="2" s="1"/>
  <c r="AJ24" i="2" s="1"/>
  <c r="K23" i="2"/>
  <c r="J23" i="2" s="1"/>
  <c r="AJ23" i="2" s="1"/>
  <c r="K16" i="2"/>
  <c r="J16" i="2" s="1"/>
  <c r="AJ16" i="2" s="1"/>
  <c r="K36" i="2"/>
  <c r="J36" i="2" s="1"/>
  <c r="AJ36" i="2" s="1"/>
  <c r="K53" i="2"/>
  <c r="J53" i="2" s="1"/>
  <c r="AJ53" i="2" s="1"/>
  <c r="K33" i="2"/>
  <c r="J33" i="2" s="1"/>
  <c r="AJ33" i="2" s="1"/>
  <c r="K13" i="2"/>
  <c r="K43" i="2"/>
  <c r="J43" i="2" s="1"/>
  <c r="AJ43" i="2" s="1"/>
  <c r="K47" i="2"/>
  <c r="J47" i="2" s="1"/>
  <c r="AJ47" i="2" s="1"/>
  <c r="K56" i="2"/>
  <c r="J56" i="2" s="1"/>
  <c r="AJ56" i="2" s="1"/>
  <c r="K49" i="2"/>
  <c r="J49" i="2" s="1"/>
  <c r="AJ49" i="2" s="1"/>
  <c r="K35" i="2"/>
  <c r="J35" i="2" s="1"/>
  <c r="AJ35" i="2" s="1"/>
  <c r="K45" i="2"/>
  <c r="J45" i="2" s="1"/>
  <c r="AJ45" i="2" s="1"/>
  <c r="K28" i="2"/>
  <c r="J28" i="2" s="1"/>
  <c r="AJ28" i="2" s="1"/>
  <c r="K59" i="2"/>
  <c r="J59" i="2" s="1"/>
  <c r="AJ59" i="2" s="1"/>
  <c r="K15" i="2"/>
  <c r="J15" i="2" s="1"/>
  <c r="AJ15" i="2" s="1"/>
  <c r="K32" i="2"/>
  <c r="J32" i="2" s="1"/>
  <c r="AJ32" i="2" s="1"/>
  <c r="K57" i="2"/>
  <c r="J57" i="2" s="1"/>
  <c r="AJ57" i="2" s="1"/>
  <c r="K20" i="2"/>
  <c r="J20" i="2" s="1"/>
  <c r="AJ20" i="2" s="1"/>
  <c r="K54" i="2"/>
  <c r="J54" i="2" s="1"/>
  <c r="AJ54" i="2" s="1"/>
  <c r="AV21" i="2"/>
  <c r="K151" i="2"/>
  <c r="C134" i="24" s="1"/>
  <c r="C71" i="24"/>
  <c r="C75" i="24" s="1"/>
  <c r="C69" i="24"/>
  <c r="C86" i="24" l="1"/>
  <c r="C87" i="24" s="1"/>
  <c r="V159" i="2"/>
  <c r="C139" i="24"/>
  <c r="N162" i="2"/>
  <c r="N161" i="2"/>
  <c r="C12" i="48" s="1"/>
  <c r="J13" i="2"/>
  <c r="AJ13" i="2" s="1"/>
  <c r="D55" i="24"/>
  <c r="C54" i="24"/>
  <c r="C51" i="24"/>
  <c r="C50" i="24"/>
  <c r="C53" i="24" l="1"/>
  <c r="C14" i="48"/>
  <c r="C75" i="48"/>
  <c r="I25" i="48" l="1"/>
  <c r="I29" i="48"/>
  <c r="I30" i="48" s="1"/>
  <c r="D28" i="24"/>
  <c r="C28" i="24"/>
  <c r="C27" i="24"/>
  <c r="C33" i="24" l="1"/>
  <c r="C29" i="24"/>
  <c r="D24" i="24"/>
  <c r="C22" i="24"/>
  <c r="C23" i="24" s="1"/>
  <c r="C30" i="24"/>
  <c r="C20" i="24"/>
  <c r="B20" i="24"/>
  <c r="D23" i="24" l="1"/>
  <c r="C44" i="24" a="1"/>
  <c r="C44" i="24" s="1"/>
  <c r="C46" i="24" s="1"/>
  <c r="A46" i="24" s="1"/>
  <c r="C31" i="24"/>
  <c r="C34" i="24" s="1"/>
  <c r="C35" i="24" s="1"/>
  <c r="A35" i="24" s="1"/>
  <c r="K9" i="24"/>
  <c r="B7" i="24"/>
  <c r="D196" i="25"/>
  <c r="C193" i="25"/>
  <c r="C192" i="25"/>
  <c r="C130" i="24" l="1"/>
  <c r="C88" i="24"/>
  <c r="C39" i="24"/>
  <c r="C40" i="24" s="1"/>
  <c r="A40" i="24" s="1"/>
  <c r="C188" i="25"/>
  <c r="C184" i="25"/>
  <c r="C182" i="25"/>
  <c r="C181" i="25"/>
  <c r="C180" i="25" a="1"/>
  <c r="C180" i="25" s="1"/>
  <c r="C174" i="25"/>
  <c r="C170" i="25"/>
  <c r="C93" i="24" l="1"/>
  <c r="A93" i="24" s="1"/>
  <c r="A88" i="24"/>
  <c r="C97" i="24"/>
  <c r="A130" i="24"/>
  <c r="C135" i="24"/>
  <c r="A135" i="24" s="1"/>
  <c r="C140" i="24"/>
  <c r="C159" i="25"/>
  <c r="C161" i="25" s="1"/>
  <c r="C158" i="25"/>
  <c r="C166" i="25" l="1"/>
  <c r="C167" i="25" s="1"/>
  <c r="C160" i="25"/>
  <c r="C156" i="25"/>
  <c r="C142" i="25"/>
  <c r="C136" i="25"/>
  <c r="A133" i="25" l="1"/>
  <c r="C131" i="25"/>
  <c r="C127" i="25"/>
  <c r="C122" i="25"/>
  <c r="C123" i="25" l="1"/>
  <c r="C124" i="25" s="1"/>
  <c r="C121" i="25"/>
  <c r="C137" i="25" s="1"/>
  <c r="C138" i="25" s="1"/>
  <c r="A138" i="25" s="1"/>
  <c r="C120" i="25" a="1"/>
  <c r="C120" i="25" s="1"/>
  <c r="C117" i="25"/>
  <c r="C116" i="25"/>
  <c r="C111" i="25"/>
  <c r="C103" i="25"/>
  <c r="C102" i="25"/>
  <c r="C104" i="25" l="1"/>
  <c r="C98" i="25"/>
  <c r="C94" i="25"/>
  <c r="C93" i="25"/>
  <c r="C101" i="25" l="1"/>
  <c r="C95" i="25"/>
  <c r="C91" i="25"/>
  <c r="C78" i="25"/>
  <c r="C75" i="25"/>
  <c r="C96" i="25"/>
  <c r="C72" i="25"/>
  <c r="C71" i="25"/>
  <c r="C74" i="25" l="1"/>
  <c r="C105" i="25"/>
  <c r="C66" i="25"/>
  <c r="C62" i="25" l="1"/>
  <c r="C59" i="25"/>
  <c r="A59" i="25" s="1"/>
  <c r="C58" i="25"/>
  <c r="C53" i="25"/>
  <c r="C54" i="25" l="1"/>
  <c r="C55" i="25" s="1"/>
  <c r="C52" i="25"/>
  <c r="C67" i="25" s="1"/>
  <c r="C68" i="25" s="1"/>
  <c r="A68" i="25" s="1"/>
  <c r="C51" i="25" a="1"/>
  <c r="C51" i="25" s="1"/>
  <c r="C45" i="25"/>
  <c r="C43" i="25"/>
  <c r="D43" i="25" l="1"/>
  <c r="I36" i="25"/>
  <c r="D23" i="25"/>
  <c r="C23" i="25"/>
  <c r="C22" i="25" s="1"/>
  <c r="C21" i="25"/>
  <c r="B21" i="25"/>
  <c r="C37" i="25" l="1"/>
  <c r="C31" i="25"/>
  <c r="C24" i="25"/>
  <c r="C25" i="25" s="1"/>
  <c r="K10" i="25"/>
  <c r="B8" i="25"/>
  <c r="C23" i="47"/>
  <c r="C22" i="47"/>
  <c r="C21" i="47"/>
  <c r="C20" i="47"/>
  <c r="C19" i="47"/>
  <c r="C18" i="47"/>
  <c r="C17" i="47"/>
  <c r="C16" i="47"/>
  <c r="C26" i="25" l="1"/>
  <c r="C32" i="25" s="1"/>
  <c r="C175" i="25"/>
  <c r="C169" i="25"/>
  <c r="C112" i="25"/>
  <c r="C107" i="25"/>
  <c r="C46" i="25"/>
  <c r="I32" i="25"/>
  <c r="C126" i="25" l="1"/>
  <c r="C132" i="25"/>
  <c r="D132" i="25" s="1"/>
  <c r="A107" i="25"/>
  <c r="A169" i="25"/>
  <c r="C189" i="25"/>
  <c r="A189" i="25" s="1"/>
  <c r="C183" i="25"/>
  <c r="C113" i="25"/>
  <c r="C176" i="25"/>
  <c r="C44" i="25"/>
  <c r="C34" i="25"/>
  <c r="C47" i="25" s="1"/>
  <c r="C194" i="25" l="1"/>
  <c r="A194" i="25" s="1"/>
  <c r="A183" i="25"/>
  <c r="C185" i="25"/>
  <c r="A185" i="25" s="1"/>
  <c r="C57" i="25"/>
  <c r="A57" i="25" s="1"/>
  <c r="C63" i="25"/>
  <c r="A63" i="25" s="1"/>
  <c r="A34" i="25"/>
  <c r="A126" i="25"/>
  <c r="C128" i="25"/>
  <c r="A128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 Andreis</author>
  </authors>
  <commentList>
    <comment ref="A96" authorId="0" shapeId="0" xr:uid="{EEB4BDEB-B18F-4599-9D44-1F6249F09A54}">
      <text>
        <r>
          <rPr>
            <b/>
            <sz val="9"/>
            <color indexed="81"/>
            <rFont val="Tahoma"/>
            <family val="2"/>
          </rPr>
          <t>Andrea Andreis:</t>
        </r>
        <r>
          <rPr>
            <sz val="9"/>
            <color indexed="81"/>
            <rFont val="Tahoma"/>
            <family val="2"/>
          </rPr>
          <t xml:space="preserve">
BOND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<sst xmlns="http://schemas.openxmlformats.org/spreadsheetml/2006/main" count="38430" uniqueCount="13254">
  <si>
    <t>Name</t>
  </si>
  <si>
    <t>% Wgt (P)</t>
  </si>
  <si>
    <t>EUR</t>
  </si>
  <si>
    <t>USD</t>
  </si>
  <si>
    <t>EQY_FUND_TICKER</t>
  </si>
  <si>
    <t>CRNCY</t>
  </si>
  <si>
    <t>DAYS_ACC</t>
  </si>
  <si>
    <t>INT_ACC</t>
  </si>
  <si>
    <t>ACCRUED LOCAL</t>
  </si>
  <si>
    <t>ACCRUED EURO</t>
  </si>
  <si>
    <t>MIN_PIECE</t>
  </si>
  <si>
    <t>Q</t>
  </si>
  <si>
    <t>dvd_crncy</t>
  </si>
  <si>
    <t>DPS</t>
  </si>
  <si>
    <t>ticker</t>
  </si>
  <si>
    <t>ex-date</t>
  </si>
  <si>
    <t>pay-date</t>
  </si>
  <si>
    <t>type</t>
  </si>
  <si>
    <t>dvd Euro</t>
  </si>
  <si>
    <t>ISIN</t>
  </si>
  <si>
    <t>Price</t>
  </si>
  <si>
    <t>Price Euro</t>
  </si>
  <si>
    <t>As-of Date</t>
  </si>
  <si>
    <t>Pos</t>
  </si>
  <si>
    <t>Crncy</t>
  </si>
  <si>
    <t>FX</t>
  </si>
  <si>
    <t>Cash</t>
  </si>
  <si>
    <t>Date</t>
  </si>
  <si>
    <t>Ticker</t>
  </si>
  <si>
    <t>Commission</t>
  </si>
  <si>
    <t>Other Fees</t>
  </si>
  <si>
    <t>Stamp Duty</t>
  </si>
  <si>
    <t>Settlement date</t>
  </si>
  <si>
    <t>Broker</t>
  </si>
  <si>
    <t>Isin</t>
  </si>
  <si>
    <t>FX trade</t>
  </si>
  <si>
    <t>Value</t>
  </si>
  <si>
    <t>Days accrual</t>
  </si>
  <si>
    <t>Int. Acc.</t>
  </si>
  <si>
    <t>Control rules</t>
  </si>
  <si>
    <t>% of debt securities</t>
  </si>
  <si>
    <t>Price Local</t>
  </si>
  <si>
    <t>as of</t>
  </si>
  <si>
    <t>Days to close the order?</t>
  </si>
  <si>
    <t>New Weight</t>
  </si>
  <si>
    <t>Already in?</t>
  </si>
  <si>
    <t>Cash-out pre comm.</t>
  </si>
  <si>
    <t>Total Cash-out Euro</t>
  </si>
  <si>
    <t>Accrued</t>
  </si>
  <si>
    <t>Accrued Local</t>
  </si>
  <si>
    <t>CASH FLOW</t>
  </si>
  <si>
    <t>TradesEquity</t>
  </si>
  <si>
    <t>TradesBond</t>
  </si>
  <si>
    <t>TradesFundETF</t>
  </si>
  <si>
    <t>Px Last</t>
  </si>
  <si>
    <t>% Change on Day</t>
  </si>
  <si>
    <t>% Change on Entry</t>
  </si>
  <si>
    <t>Price as of</t>
  </si>
  <si>
    <t>Crncy as of</t>
  </si>
  <si>
    <t>Loc. Crncy</t>
  </si>
  <si>
    <t>Unrealised Daily P&amp;L</t>
  </si>
  <si>
    <t xml:space="preserve">Cash </t>
  </si>
  <si>
    <t>Entry price Local Crncy</t>
  </si>
  <si>
    <t>Total existing position</t>
  </si>
  <si>
    <t>% of the position to be sold</t>
  </si>
  <si>
    <t># stocks to be sold</t>
  </si>
  <si>
    <t>Px last</t>
  </si>
  <si>
    <t>Mkt Val Euro</t>
  </si>
  <si>
    <t>as a % NAV</t>
  </si>
  <si>
    <t>ISIN CODE</t>
  </si>
  <si>
    <t>Cash pre-trade as a % of NAV</t>
  </si>
  <si>
    <t>Cash post-trade as a % of NAV</t>
  </si>
  <si>
    <t>Volume_Avg_30D</t>
  </si>
  <si>
    <t>Volume_Avg_3M</t>
  </si>
  <si>
    <t>To work % volume</t>
  </si>
  <si>
    <t xml:space="preserve">Equity as a % of Sub.fund's net assets </t>
  </si>
  <si>
    <t>pre-trade</t>
  </si>
  <si>
    <t>post-trade</t>
  </si>
  <si>
    <t xml:space="preserve">Cash as a % of Sub.fund's net assets </t>
  </si>
  <si>
    <t>Equity</t>
  </si>
  <si>
    <t>Bond</t>
  </si>
  <si>
    <t>ETF</t>
  </si>
  <si>
    <t>Stock cannot be sold twice a day</t>
  </si>
  <si>
    <t>Day to close the trade below 1?</t>
  </si>
  <si>
    <t xml:space="preserve">Bond as a % of Sub.fund's net assets </t>
  </si>
  <si>
    <t>Vs Bond min piece</t>
  </si>
  <si>
    <t>Last execution trade</t>
  </si>
  <si>
    <t xml:space="preserve">Fund/ETF as a % of Sub.fund's net assets </t>
  </si>
  <si>
    <t>Price Last - Local Currency</t>
  </si>
  <si>
    <t>Cross</t>
  </si>
  <si>
    <t>App. Cross</t>
  </si>
  <si>
    <t>Quantity</t>
  </si>
  <si>
    <t>Market Value Local Currency</t>
  </si>
  <si>
    <t>Trade as a % NAV</t>
  </si>
  <si>
    <t>Sound warning if trade exceeds 1% of NAV</t>
  </si>
  <si>
    <t>Cash pre-trade Euro</t>
  </si>
  <si>
    <t>Last trade - buy</t>
  </si>
  <si>
    <t>New position</t>
  </si>
  <si>
    <t>% of capital</t>
  </si>
  <si>
    <t>5/10/40 rules - pre-trade</t>
  </si>
  <si>
    <t>5/10/40 rules - post-trade</t>
  </si>
  <si>
    <t>5/10/40 rule</t>
  </si>
  <si>
    <t>Minimum Piece</t>
  </si>
  <si>
    <t xml:space="preserve">Fund and ETF as a % of Sub.fund's net assets </t>
  </si>
  <si>
    <t>Sound warning if trade exceeds 2% of NAV</t>
  </si>
  <si>
    <t>post-trade bond + cash</t>
  </si>
  <si>
    <t># qbond to be sold</t>
  </si>
  <si>
    <t>Fund Total Assets</t>
  </si>
  <si>
    <t>Control rule</t>
  </si>
  <si>
    <t>Internal threshold</t>
  </si>
  <si>
    <t>Already In</t>
  </si>
  <si>
    <t>Cast Parent</t>
  </si>
  <si>
    <t>Any other stock issued by same body?</t>
  </si>
  <si>
    <t xml:space="preserve">Weight from stock issued by same body </t>
  </si>
  <si>
    <t>Days Acc</t>
  </si>
  <si>
    <t>Interest Accr.</t>
  </si>
  <si>
    <t>NAV fees</t>
  </si>
  <si>
    <t>ID_BB_ULTIMATE_PARENT_CO_NAME</t>
  </si>
  <si>
    <t>Current Agg. Weight</t>
  </si>
  <si>
    <t>Total Cash-out Local</t>
  </si>
  <si>
    <t>Commission local</t>
  </si>
  <si>
    <t>Equity DIVIDENDS</t>
  </si>
  <si>
    <t>ETF Fund DIVIDENDS</t>
  </si>
  <si>
    <t>KRW</t>
  </si>
  <si>
    <t>GBp</t>
  </si>
  <si>
    <t>JPY</t>
  </si>
  <si>
    <t>Mkt Val Local</t>
  </si>
  <si>
    <t>Fund/ETF</t>
  </si>
  <si>
    <t>Portfolio breakdwon by asset class</t>
  </si>
  <si>
    <t>Daimler AG</t>
  </si>
  <si>
    <t>Renault SA</t>
  </si>
  <si>
    <t>5/10/40 Rule</t>
  </si>
  <si>
    <t/>
  </si>
  <si>
    <t>BUY</t>
  </si>
  <si>
    <t>SELL</t>
  </si>
  <si>
    <t>Type of trade</t>
  </si>
  <si>
    <t>Order type</t>
  </si>
  <si>
    <t>Prospectus Range</t>
  </si>
  <si>
    <t>Trades - Cash Inflows / (Outflows)</t>
  </si>
  <si>
    <t>CAST_PARENT_ID</t>
  </si>
  <si>
    <t>Somma di % Wgt (P)</t>
  </si>
  <si>
    <t>Trading hour</t>
  </si>
  <si>
    <t>Trading Time</t>
  </si>
  <si>
    <t>Massimo Baggiani</t>
  </si>
  <si>
    <t>Andrea Andreis</t>
  </si>
  <si>
    <t>Yes</t>
  </si>
  <si>
    <t>x</t>
  </si>
  <si>
    <t>Cash-out euro</t>
  </si>
  <si>
    <t>Cash-in euro</t>
  </si>
  <si>
    <t>Shares out (mln)</t>
  </si>
  <si>
    <t xml:space="preserve">total debt securities ('000)
</t>
  </si>
  <si>
    <t>Stock</t>
  </si>
  <si>
    <t>isin</t>
  </si>
  <si>
    <t>check in?</t>
  </si>
  <si>
    <t>Gbp</t>
  </si>
  <si>
    <t>Check:in?</t>
  </si>
  <si>
    <t>Colonna1</t>
  </si>
  <si>
    <t>Stock (yday)</t>
  </si>
  <si>
    <t>SettlementDate</t>
  </si>
  <si>
    <t>BidPoints</t>
  </si>
  <si>
    <t>AskPoints</t>
  </si>
  <si>
    <t>BidOutright</t>
  </si>
  <si>
    <t>AskOutright</t>
  </si>
  <si>
    <t>ON</t>
  </si>
  <si>
    <t>TN</t>
  </si>
  <si>
    <t>SN</t>
  </si>
  <si>
    <t>2W</t>
  </si>
  <si>
    <t>3W</t>
  </si>
  <si>
    <t>1M</t>
  </si>
  <si>
    <t>2M</t>
  </si>
  <si>
    <t>3M</t>
  </si>
  <si>
    <t>4M</t>
  </si>
  <si>
    <t>5M</t>
  </si>
  <si>
    <t>6M</t>
  </si>
  <si>
    <t>9M</t>
  </si>
  <si>
    <t>1Y</t>
  </si>
  <si>
    <t>Settlement Date</t>
  </si>
  <si>
    <t>Spot</t>
  </si>
  <si>
    <t>Amount as a % of tot. LC expo</t>
  </si>
  <si>
    <t>Currency Pair</t>
  </si>
  <si>
    <t>Counterparty</t>
  </si>
  <si>
    <t>Fwd Points</t>
  </si>
  <si>
    <t>Rate</t>
  </si>
  <si>
    <t>Amount sold currency ex-euro</t>
  </si>
  <si>
    <t>Amount bought in euro</t>
  </si>
  <si>
    <t>Value Date</t>
  </si>
  <si>
    <t>RATE</t>
  </si>
  <si>
    <t>Forex outright Trades in Place</t>
  </si>
  <si>
    <t>Spot price</t>
  </si>
  <si>
    <t>Fwd Pts</t>
  </si>
  <si>
    <t>Euro Bought</t>
  </si>
  <si>
    <t>Amount to be sold</t>
  </si>
  <si>
    <t>Forex outright Trades Closed</t>
  </si>
  <si>
    <t>Trades to Settle</t>
  </si>
  <si>
    <t>Amount LC</t>
  </si>
  <si>
    <t>Total</t>
  </si>
  <si>
    <t>Cash + Trades to settle</t>
  </si>
  <si>
    <t>Dividend cash-in (euro)</t>
  </si>
  <si>
    <t>NET BALANCES BY DATE AND CURRENCY</t>
  </si>
  <si>
    <t>Tot.</t>
  </si>
  <si>
    <t>Tot. Euro</t>
  </si>
  <si>
    <t>T+2</t>
  </si>
  <si>
    <t>Check Euro availability T+2</t>
  </si>
  <si>
    <t>Amount to be bought Euro</t>
  </si>
  <si>
    <t>Check LC availability</t>
  </si>
  <si>
    <t>TODAY Ex-Date?</t>
  </si>
  <si>
    <t>› Cash &amp; Trades to settle</t>
  </si>
  <si>
    <t xml:space="preserve">CASH SNAPSHOT </t>
  </si>
  <si>
    <t>SW</t>
  </si>
  <si>
    <t>7M</t>
  </si>
  <si>
    <t>8M</t>
  </si>
  <si>
    <t>10M</t>
  </si>
  <si>
    <t>11M</t>
  </si>
  <si>
    <t>MSFT.O</t>
  </si>
  <si>
    <t>-</t>
  </si>
  <si>
    <t>Ticker Reuters</t>
  </si>
  <si>
    <t>XS0082274118</t>
  </si>
  <si>
    <t>XS0838835451</t>
  </si>
  <si>
    <t>XS0504851535</t>
  </si>
  <si>
    <t>XS0838864808</t>
  </si>
  <si>
    <t>USN7992HAA07</t>
  </si>
  <si>
    <t>US825870AA62</t>
  </si>
  <si>
    <t>XS0081483090</t>
  </si>
  <si>
    <t>XS0081484817</t>
  </si>
  <si>
    <t>XS0081487166</t>
  </si>
  <si>
    <t>XS0081483843</t>
  </si>
  <si>
    <t>XS0081483504</t>
  </si>
  <si>
    <t>XS0081486861</t>
  </si>
  <si>
    <t>XS0081484064</t>
  </si>
  <si>
    <t>XS0081483413</t>
  </si>
  <si>
    <t>XS0081487240</t>
  </si>
  <si>
    <t>XS0081486515</t>
  </si>
  <si>
    <t>XS0081484908</t>
  </si>
  <si>
    <t>XS0081485202</t>
  </si>
  <si>
    <t>XS0081485467</t>
  </si>
  <si>
    <t>XS0081483330</t>
  </si>
  <si>
    <t>XS0081486192</t>
  </si>
  <si>
    <t>XS0081484221</t>
  </si>
  <si>
    <t>XS0081485541</t>
  </si>
  <si>
    <t>XS0081484650</t>
  </si>
  <si>
    <t>XS0081485384</t>
  </si>
  <si>
    <t>XS0081487679</t>
  </si>
  <si>
    <t>XS0081469008</t>
  </si>
  <si>
    <t>XS0081487836</t>
  </si>
  <si>
    <t>XS0081469859</t>
  </si>
  <si>
    <t>XS0081488644</t>
  </si>
  <si>
    <t>XS0029484788</t>
  </si>
  <si>
    <t>XS0029484861</t>
  </si>
  <si>
    <t>XS0029484515</t>
  </si>
  <si>
    <t>XS0029485322</t>
  </si>
  <si>
    <t>XS0029484945</t>
  </si>
  <si>
    <t>US922646AS37</t>
  </si>
  <si>
    <t>US922646AT10</t>
  </si>
  <si>
    <t>USP9395PAA95</t>
  </si>
  <si>
    <t>US922646BE32</t>
  </si>
  <si>
    <t>USP97475AD26</t>
  </si>
  <si>
    <t>XS0217249126</t>
  </si>
  <si>
    <t>USP97475AG56</t>
  </si>
  <si>
    <t>USP97475AJ95</t>
  </si>
  <si>
    <t>USP17625AB33</t>
  </si>
  <si>
    <t>USP17625AA59</t>
  </si>
  <si>
    <t>USP97475AN08</t>
  </si>
  <si>
    <t>USP97475AP55</t>
  </si>
  <si>
    <t>USP17625AC16</t>
  </si>
  <si>
    <t>USP17625AD98</t>
  </si>
  <si>
    <t>USP17625AE71</t>
  </si>
  <si>
    <t>US716558AF83</t>
  </si>
  <si>
    <t>US71676QAE61</t>
  </si>
  <si>
    <t>USG2025MAB75</t>
  </si>
  <si>
    <t>US156877AC63</t>
  </si>
  <si>
    <t>USG2025MAC58</t>
  </si>
  <si>
    <t>US156877AB80</t>
  </si>
  <si>
    <t>XS0356521160</t>
  </si>
  <si>
    <t>RU000A1002G3</t>
  </si>
  <si>
    <t>RU000A1002H1</t>
  </si>
  <si>
    <t>RU000A100295</t>
  </si>
  <si>
    <t>RU000A1002E8</t>
  </si>
  <si>
    <t>XS0294364954</t>
  </si>
  <si>
    <t>XS0294367205</t>
  </si>
  <si>
    <t>US716558AC52</t>
  </si>
  <si>
    <t>USP7807HAM71</t>
  </si>
  <si>
    <t>US716558AD36</t>
  </si>
  <si>
    <t>USP7807HAP03</t>
  </si>
  <si>
    <t>USP7807HAQ85</t>
  </si>
  <si>
    <t>US716558AE19</t>
  </si>
  <si>
    <t>USP7807HAR68</t>
  </si>
  <si>
    <t>USP7807HAT25</t>
  </si>
  <si>
    <t>US716558AG66</t>
  </si>
  <si>
    <t>XS1126891685</t>
  </si>
  <si>
    <t>USP7807HAV70</t>
  </si>
  <si>
    <t>US716558AH40</t>
  </si>
  <si>
    <t>RU000A100253</t>
  </si>
  <si>
    <t>RU000A100261</t>
  </si>
  <si>
    <t>RU000A1001V4</t>
  </si>
  <si>
    <t>RU000A1001R2</t>
  </si>
  <si>
    <t>RU000A1001M3</t>
  </si>
  <si>
    <t>RU000A1001D2</t>
  </si>
  <si>
    <t>RU000A100188</t>
  </si>
  <si>
    <t>RU000A100196</t>
  </si>
  <si>
    <t>RU000A1000R4</t>
  </si>
  <si>
    <t>RU000A1000A0</t>
  </si>
  <si>
    <t>RU000A0ZZZF4</t>
  </si>
  <si>
    <t>RU000A1000E2</t>
  </si>
  <si>
    <t>RU000A1000J1</t>
  </si>
  <si>
    <t>RU000A0ZZZP3</t>
  </si>
  <si>
    <t>RU000A100089</t>
  </si>
  <si>
    <t>RU000A100071</t>
  </si>
  <si>
    <t>RU000A0ZZZ41</t>
  </si>
  <si>
    <t>RU000A0ZZYR2</t>
  </si>
  <si>
    <t>RU000A0ZZY83</t>
  </si>
  <si>
    <t>RU000A0ZZY59</t>
  </si>
  <si>
    <t>RU000A0ZZXS2</t>
  </si>
  <si>
    <t>RU000A0ZZXM5</t>
  </si>
  <si>
    <t>RU000A0ZZXJ1</t>
  </si>
  <si>
    <t>RU000A0ZZXH5</t>
  </si>
  <si>
    <t>RU000A0ZZXN3</t>
  </si>
  <si>
    <t>BMG2714W2533</t>
  </si>
  <si>
    <t>BMG2714W3119</t>
  </si>
  <si>
    <t>BMG2714W2954</t>
  </si>
  <si>
    <t>RU000A0ZZWZ9</t>
  </si>
  <si>
    <t>RU000A0ZZWY2</t>
  </si>
  <si>
    <t>RU000A0ZZWX4</t>
  </si>
  <si>
    <t>RU000A0ZZWN5</t>
  </si>
  <si>
    <t>RU000A0ZZW36</t>
  </si>
  <si>
    <t>RU000A0ZZW28</t>
  </si>
  <si>
    <t>RU000A0ZZW10</t>
  </si>
  <si>
    <t>RU000A0ZZW02</t>
  </si>
  <si>
    <t>RU000A0ZZVZ1</t>
  </si>
  <si>
    <t>RU000A0ZZW69</t>
  </si>
  <si>
    <t>RU000A0ZZW51</t>
  </si>
  <si>
    <t>RU000A0ZZVY4</t>
  </si>
  <si>
    <t>RU000A0ZZVQ0</t>
  </si>
  <si>
    <t>RU000A0ZZTX0</t>
  </si>
  <si>
    <t>RU000A0ZZTW2</t>
  </si>
  <si>
    <t>RU000A0ZZTE0</t>
  </si>
  <si>
    <t>RU000A0ZZRU0</t>
  </si>
  <si>
    <t>RU000A0ZZRM7</t>
  </si>
  <si>
    <t>RU000A0ZZRC8</t>
  </si>
  <si>
    <t>RU000A0ZZUL3</t>
  </si>
  <si>
    <t>RU000A0ZZRH7</t>
  </si>
  <si>
    <t>RU000A0ZZQF3</t>
  </si>
  <si>
    <t>RU000A0ZZQK3</t>
  </si>
  <si>
    <t>RU000A0ZZPW0</t>
  </si>
  <si>
    <t>RU000A0ZZQ18</t>
  </si>
  <si>
    <t>RU000A0ZZPK5</t>
  </si>
  <si>
    <t>RU000A0ZZPZ3</t>
  </si>
  <si>
    <t>RU000A0ZZPE8</t>
  </si>
  <si>
    <t>RU000A0ZZP19</t>
  </si>
  <si>
    <t>RU000A0ZZP27</t>
  </si>
  <si>
    <t>RU000A0ZZP35</t>
  </si>
  <si>
    <t>RU000A0ZZT15</t>
  </si>
  <si>
    <t>RU000A0ZZJ17</t>
  </si>
  <si>
    <t>RU000A0ZZBB4</t>
  </si>
  <si>
    <t>RU000A0ZZAZ5</t>
  </si>
  <si>
    <t>RU000A0ZZHN6</t>
  </si>
  <si>
    <t>RU000A0ZZHP1</t>
  </si>
  <si>
    <t>RU000A0ZZHW7</t>
  </si>
  <si>
    <t>RU000A0ZZHY3</t>
  </si>
  <si>
    <t>RU000A0ZZHD7</t>
  </si>
  <si>
    <t>RU000A0ZZMB1</t>
  </si>
  <si>
    <t>RU000A0ZZMA3</t>
  </si>
  <si>
    <t>RU000A0ZZFZ4</t>
  </si>
  <si>
    <t>RU000A0ZZQU2</t>
  </si>
  <si>
    <t>CH0038903107</t>
  </si>
  <si>
    <t>CH0127777743</t>
  </si>
  <si>
    <t>IR1100066015</t>
  </si>
  <si>
    <t>RU000A0ZZFN0</t>
  </si>
  <si>
    <t>RU000A0ZZFW1</t>
  </si>
  <si>
    <t>RU000A0ZZFV3</t>
  </si>
  <si>
    <t>RU000A0ZZFC3</t>
  </si>
  <si>
    <t>RU000A0ZZE12</t>
  </si>
  <si>
    <t>RU000A0ZZE20</t>
  </si>
  <si>
    <t>RU000A0ZZE38</t>
  </si>
  <si>
    <t>RU000A0ZZDZ9</t>
  </si>
  <si>
    <t>RU000A0ZZCQ0</t>
  </si>
  <si>
    <t>RU000A0ZZCR8</t>
  </si>
  <si>
    <t>RU000A0ZZCM9</t>
  </si>
  <si>
    <t>XS0229181333</t>
  </si>
  <si>
    <t>XS0229181689</t>
  </si>
  <si>
    <t>XS0229181507</t>
  </si>
  <si>
    <t>XS0229182067</t>
  </si>
  <si>
    <t>CU0007253909</t>
  </si>
  <si>
    <t>US209867AA80</t>
  </si>
  <si>
    <t>CU0007255003</t>
  </si>
  <si>
    <t>US229561AA38</t>
  </si>
  <si>
    <t>CU0007252208</t>
  </si>
  <si>
    <t>CU0007258130</t>
  </si>
  <si>
    <t>CU0007259286</t>
  </si>
  <si>
    <t>XS0159912590</t>
  </si>
  <si>
    <t>XS0151257648</t>
  </si>
  <si>
    <t>RU000A0JXM22</t>
  </si>
  <si>
    <t>RU000A0JWT00</t>
  </si>
  <si>
    <t>RU000A0JWJ93</t>
  </si>
  <si>
    <t>RU000A0JRAU7</t>
  </si>
  <si>
    <t>RU000A0JRAV5</t>
  </si>
  <si>
    <t>RU000A0ZZN78</t>
  </si>
  <si>
    <t>SD000A0JC6U1</t>
  </si>
  <si>
    <t>RU0006571817</t>
  </si>
  <si>
    <t>RU000A0JVEX5</t>
  </si>
  <si>
    <t>RU000A0ZYJY2</t>
  </si>
  <si>
    <t>RU000A0JWTA9</t>
  </si>
  <si>
    <t>RU000A0ZYP28</t>
  </si>
  <si>
    <t>CU0007256449</t>
  </si>
  <si>
    <t>RU000A0ZYNJ5</t>
  </si>
  <si>
    <t>IRO1PARK0008</t>
  </si>
  <si>
    <t>RU000A0ZZ182</t>
  </si>
  <si>
    <t>RU000A0JRLW0</t>
  </si>
  <si>
    <t>RU000A0JVAY1</t>
  </si>
  <si>
    <t>RU000A0JWUC3</t>
  </si>
  <si>
    <t>RU000A0JVCN0</t>
  </si>
  <si>
    <t>RU000A0JUU82</t>
  </si>
  <si>
    <t>RU000A0JVEU1</t>
  </si>
  <si>
    <t>RU0009090567</t>
  </si>
  <si>
    <t>RU0009090575</t>
  </si>
  <si>
    <t>RU000A0ZZ9F9</t>
  </si>
  <si>
    <t>IRO1BANK0008</t>
  </si>
  <si>
    <t>UA4000105589</t>
  </si>
  <si>
    <t>RU000A0JV3X9</t>
  </si>
  <si>
    <t>RU000A0JW324</t>
  </si>
  <si>
    <t>RU000A0JVPH4</t>
  </si>
  <si>
    <t>RU000A0JV1F0</t>
  </si>
  <si>
    <t>RU000A0JV1E3</t>
  </si>
  <si>
    <t>RU000A0JV4D9</t>
  </si>
  <si>
    <t>RU000A0JVF72</t>
  </si>
  <si>
    <t>RU000A0JWZW0</t>
  </si>
  <si>
    <t>RU000A0F5V46</t>
  </si>
  <si>
    <t>RU000A0F5V53</t>
  </si>
  <si>
    <t>RU000A0JWX04</t>
  </si>
  <si>
    <t>RU000A0JX2P5</t>
  </si>
  <si>
    <t>RU000A0JX2Q3</t>
  </si>
  <si>
    <t>RU000A0JX2X9</t>
  </si>
  <si>
    <t>RU000A0JX9X4</t>
  </si>
  <si>
    <t>RU000A0JWHP2</t>
  </si>
  <si>
    <t>RU000A0JVD82</t>
  </si>
  <si>
    <t>RU000A0JXXJ0</t>
  </si>
  <si>
    <t>RU000A0JURU5</t>
  </si>
  <si>
    <t>RU000A0JURV3</t>
  </si>
  <si>
    <t>RU000A0JXCE5</t>
  </si>
  <si>
    <t>RU0005295251</t>
  </si>
  <si>
    <t>RU0005295269</t>
  </si>
  <si>
    <t>KYG190221054</t>
  </si>
  <si>
    <t>US1494841075</t>
  </si>
  <si>
    <t>XS0229182737</t>
  </si>
  <si>
    <t>XS0229181846</t>
  </si>
  <si>
    <t>XS0229182497</t>
  </si>
  <si>
    <t>US1557891009</t>
  </si>
  <si>
    <t>GG00B5491D76</t>
  </si>
  <si>
    <t>GG00BFMDJH11</t>
  </si>
  <si>
    <t>CU0009768425</t>
  </si>
  <si>
    <t>US2296151093</t>
  </si>
  <si>
    <t>CU0007256555</t>
  </si>
  <si>
    <t>UA4000159917</t>
  </si>
  <si>
    <t>UA4000083117</t>
  </si>
  <si>
    <t>CU0007257181</t>
  </si>
  <si>
    <t>RU000A0JPFC8</t>
  </si>
  <si>
    <t>UA4000081319</t>
  </si>
  <si>
    <t>RU000A0JWXW5</t>
  </si>
  <si>
    <t>RU000A0JXEQ5</t>
  </si>
  <si>
    <t>RU000A0JWK58</t>
  </si>
  <si>
    <t>RU000A0JVYG8</t>
  </si>
  <si>
    <t>RU000A0ZZMW7</t>
  </si>
  <si>
    <t>RU000A0JWJC6</t>
  </si>
  <si>
    <t>IRO1PFAN0009</t>
  </si>
  <si>
    <t>RU000A0JWR36</t>
  </si>
  <si>
    <t>UA4000068944</t>
  </si>
  <si>
    <t>IRO1FROZ0007</t>
  </si>
  <si>
    <t>RU000A0JXKK5</t>
  </si>
  <si>
    <t>RU000A0JUV08</t>
  </si>
  <si>
    <t>RU000A0JV1N4</t>
  </si>
  <si>
    <t>RU000A0JV1H6</t>
  </si>
  <si>
    <t>RU000A0JV7W2</t>
  </si>
  <si>
    <t>RU000A0JVMQ2</t>
  </si>
  <si>
    <t>RU000A0JWF63</t>
  </si>
  <si>
    <t>RU000A0JV4F4</t>
  </si>
  <si>
    <t>RU000A0JW5K0</t>
  </si>
  <si>
    <t>RU000A0JW9R7</t>
  </si>
  <si>
    <t>RU000A0JWE56</t>
  </si>
  <si>
    <t>RU000A0JWTK8</t>
  </si>
  <si>
    <t>RU000A0JX0P9</t>
  </si>
  <si>
    <t>RU000A0JX5H5</t>
  </si>
  <si>
    <t>RU000A0JXHQ8</t>
  </si>
  <si>
    <t>RU000A0JXP45</t>
  </si>
  <si>
    <t>RU000A0JXTF6</t>
  </si>
  <si>
    <t>RU000A0ZYAE3</t>
  </si>
  <si>
    <t>RU000A0ZYB73</t>
  </si>
  <si>
    <t>RU000A0ZYEE5</t>
  </si>
  <si>
    <t>RU000A0ZYHK5</t>
  </si>
  <si>
    <t>RU000A0ZYM05</t>
  </si>
  <si>
    <t>RU000A0ZYRX7</t>
  </si>
  <si>
    <t>RU000A0ZYRY5</t>
  </si>
  <si>
    <t>RU000A0JWGP4</t>
  </si>
  <si>
    <t>RU000A0JWGQ2</t>
  </si>
  <si>
    <t>RU000A0JWK41</t>
  </si>
  <si>
    <t>RU000A0JWRE5</t>
  </si>
  <si>
    <t>RU000A0JWRF2</t>
  </si>
  <si>
    <t>RU000A0JXNF9</t>
  </si>
  <si>
    <t>RU000A0JXWD5</t>
  </si>
  <si>
    <t>RU000A0JXWE3</t>
  </si>
  <si>
    <t>RU000A0JXYL4</t>
  </si>
  <si>
    <t>RU000A0ZYDS7</t>
  </si>
  <si>
    <t>RU000A0ZYLC4</t>
  </si>
  <si>
    <t>RU000A0ZYLQ4</t>
  </si>
  <si>
    <t>RU000A0JY0K9</t>
  </si>
  <si>
    <t>IRO1GDIR0000</t>
  </si>
  <si>
    <t>IRR1GDIR0102</t>
  </si>
  <si>
    <t>RU000A0JTDW3</t>
  </si>
  <si>
    <t>RU000A0ZZJE1</t>
  </si>
  <si>
    <t>RU000A0JXSK8</t>
  </si>
  <si>
    <t>CU0007259245</t>
  </si>
  <si>
    <t>RU000A0ZYJZ9</t>
  </si>
  <si>
    <t>RU000A0JV953</t>
  </si>
  <si>
    <t>RU000A0JVAF0</t>
  </si>
  <si>
    <t>RU000A0JVNF3</t>
  </si>
  <si>
    <t>RU000A0JWWA3</t>
  </si>
  <si>
    <t>UA4000073712</t>
  </si>
  <si>
    <t>RU000A0JXGE6</t>
  </si>
  <si>
    <t>IRR1IKCO0100</t>
  </si>
  <si>
    <t>IRO1IKCO0008</t>
  </si>
  <si>
    <t>IRO1MAPN0000</t>
  </si>
  <si>
    <t>IRR1MAPN0102</t>
  </si>
  <si>
    <t>RU000A0JX4D7</t>
  </si>
  <si>
    <t>RU0006572195</t>
  </si>
  <si>
    <t>RU0006572187</t>
  </si>
  <si>
    <t>RU000A0ZZ174</t>
  </si>
  <si>
    <t>RU000A0JVJ45</t>
  </si>
  <si>
    <t>RU000A0JVJ94</t>
  </si>
  <si>
    <t>RU000A0JV5C8</t>
  </si>
  <si>
    <t>RU000A0JWBJ8</t>
  </si>
  <si>
    <t>RU000A0JVF15</t>
  </si>
  <si>
    <t>RU000A0JWKK7</t>
  </si>
  <si>
    <t>RU000A0JS7V9</t>
  </si>
  <si>
    <t>RU000A0JWBM2</t>
  </si>
  <si>
    <t>RU000A0JWBA7</t>
  </si>
  <si>
    <t>RU000A0JWBB5</t>
  </si>
  <si>
    <t>RU000A0ZZG69</t>
  </si>
  <si>
    <t>RU000A0ZYKE2</t>
  </si>
  <si>
    <t>RU000A0JVNX6</t>
  </si>
  <si>
    <t>RU000A0JWLC2</t>
  </si>
  <si>
    <t>RU000A0JXPU3</t>
  </si>
  <si>
    <t>RU000A0JQ2F5</t>
  </si>
  <si>
    <t>RU000A0JQ2G3</t>
  </si>
  <si>
    <t>RU000A0JUAV9</t>
  </si>
  <si>
    <t>RU000A0JV9F3</t>
  </si>
  <si>
    <t>RU000A0JX678</t>
  </si>
  <si>
    <t>RU000A0JX686</t>
  </si>
  <si>
    <t>RU000A0JUWQ3</t>
  </si>
  <si>
    <t>RU000A0JWQB3</t>
  </si>
  <si>
    <t>RU000A0JRBW1</t>
  </si>
  <si>
    <t>UA4000108021</t>
  </si>
  <si>
    <t>UA4000080774</t>
  </si>
  <si>
    <t>UA4000075188</t>
  </si>
  <si>
    <t>RU000A0JWJD4</t>
  </si>
  <si>
    <t>UA4000080733</t>
  </si>
  <si>
    <t>UA4000075766</t>
  </si>
  <si>
    <t>RU000A0JXZ92</t>
  </si>
  <si>
    <t>RU000A0JUQD3</t>
  </si>
  <si>
    <t>CU0007259625</t>
  </si>
  <si>
    <t>RU000A0JWJ85</t>
  </si>
  <si>
    <t>RU0009177273</t>
  </si>
  <si>
    <t>RU0006753811</t>
  </si>
  <si>
    <t>RU000A0JNN56</t>
  </si>
  <si>
    <t>RU000A0JV2K8</t>
  </si>
  <si>
    <t>RU000A0JV2L6</t>
  </si>
  <si>
    <t>RU000A0JV2N2</t>
  </si>
  <si>
    <t>RU000A0JX0M6</t>
  </si>
  <si>
    <t>RU000A0JX0N4</t>
  </si>
  <si>
    <t>RU000A0JVZ11</t>
  </si>
  <si>
    <t>RU000A0JWDM8</t>
  </si>
  <si>
    <t>RU000A0JWHR8</t>
  </si>
  <si>
    <t>RU000A0ZYLA8</t>
  </si>
  <si>
    <t>RU000A0JUV73</t>
  </si>
  <si>
    <t>RU000A0JVJQ8</t>
  </si>
  <si>
    <t>RU000A0JW3L3</t>
  </si>
  <si>
    <t>RU000A0ZZ901</t>
  </si>
  <si>
    <t>RU000A0ZZP68</t>
  </si>
  <si>
    <t>RU0009177331</t>
  </si>
  <si>
    <t>RU000A0JWN63</t>
  </si>
  <si>
    <t>RU000A0JWN89</t>
  </si>
  <si>
    <t>RU000A0JWN97</t>
  </si>
  <si>
    <t>RU000A0JR2P3</t>
  </si>
  <si>
    <t>RU0007202073</t>
  </si>
  <si>
    <t>RU000A0JVS28</t>
  </si>
  <si>
    <t>ANN594681036</t>
  </si>
  <si>
    <t>ANN594681119</t>
  </si>
  <si>
    <t>RU000A0JV9U2</t>
  </si>
  <si>
    <t>RU000A0JWQY5</t>
  </si>
  <si>
    <t>RU000A0JXCJ4</t>
  </si>
  <si>
    <t>RU000A0ZYQJ8</t>
  </si>
  <si>
    <t>RU000A0ZYQK6</t>
  </si>
  <si>
    <t>RU000A0ZYGC4</t>
  </si>
  <si>
    <t>XS0074703801</t>
  </si>
  <si>
    <t>XS0074704106</t>
  </si>
  <si>
    <t>XS0495369414</t>
  </si>
  <si>
    <t>XS0495370859</t>
  </si>
  <si>
    <t>RU000A0JXXW3</t>
  </si>
  <si>
    <t>RU000A0JUUT1</t>
  </si>
  <si>
    <t>RU000A0ZZS65</t>
  </si>
  <si>
    <t>RU000A0JUSL2</t>
  </si>
  <si>
    <t>CU0007253701</t>
  </si>
  <si>
    <t>RU000A0JWPU5</t>
  </si>
  <si>
    <t>RU000A0JXBF4</t>
  </si>
  <si>
    <t>RU000A0JVVN0</t>
  </si>
  <si>
    <t>RU000A0JVDZ2</t>
  </si>
  <si>
    <t>RU000A0JVE08</t>
  </si>
  <si>
    <t>RU000A0JVQH2</t>
  </si>
  <si>
    <t>RU000A0JVR52</t>
  </si>
  <si>
    <t>RU000A0JVRV1</t>
  </si>
  <si>
    <t>RU000A0JVVZ4</t>
  </si>
  <si>
    <t>RU000A0JVJU0</t>
  </si>
  <si>
    <t>IRO1NPRS0005</t>
  </si>
  <si>
    <t>IRR1NPRS0107</t>
  </si>
  <si>
    <t>UA4000070890</t>
  </si>
  <si>
    <t>RU0009083240</t>
  </si>
  <si>
    <t>RU000A0JW142</t>
  </si>
  <si>
    <t>UA0106191002</t>
  </si>
  <si>
    <t>UA4000098461</t>
  </si>
  <si>
    <t>UA4000119606</t>
  </si>
  <si>
    <t>RU000A0JWM23</t>
  </si>
  <si>
    <t>RU000A0JVT27</t>
  </si>
  <si>
    <t>RU000A0JWLB4</t>
  </si>
  <si>
    <t>UA0101531004</t>
  </si>
  <si>
    <t>RU000A0JWB67</t>
  </si>
  <si>
    <t>RU000A0JWB75</t>
  </si>
  <si>
    <t>UA4000087431</t>
  </si>
  <si>
    <t>UA4000036024</t>
  </si>
  <si>
    <t>UA0105611000</t>
  </si>
  <si>
    <t>UA4000072276</t>
  </si>
  <si>
    <t>UA4000072284</t>
  </si>
  <si>
    <t>UA4000077614</t>
  </si>
  <si>
    <t>UA4000073530</t>
  </si>
  <si>
    <t>RU000A0JWMF3</t>
  </si>
  <si>
    <t>UA4000113682</t>
  </si>
  <si>
    <t>UA0105831004</t>
  </si>
  <si>
    <t>UA4000098354</t>
  </si>
  <si>
    <t>UA4000149629</t>
  </si>
  <si>
    <t>RU000A0JW951</t>
  </si>
  <si>
    <t>RU000A0ZZA16</t>
  </si>
  <si>
    <t>UA4000098172</t>
  </si>
  <si>
    <t>UA4000102602</t>
  </si>
  <si>
    <t>RU000A0JVL09</t>
  </si>
  <si>
    <t>UA4000099683</t>
  </si>
  <si>
    <t>UA4000077531</t>
  </si>
  <si>
    <t>RU000A0JPA91</t>
  </si>
  <si>
    <t>RU000A0JPA83</t>
  </si>
  <si>
    <t>RU000A0ZYA82</t>
  </si>
  <si>
    <t>RU000A0JW1T0</t>
  </si>
  <si>
    <t>RU000A0ZYLL5</t>
  </si>
  <si>
    <t>RU000A0JWK82</t>
  </si>
  <si>
    <t>UA4000101927</t>
  </si>
  <si>
    <t>RU000A0ZYTF0</t>
  </si>
  <si>
    <t>RU000A0ZZP76</t>
  </si>
  <si>
    <t>RU000A0ZYTH6</t>
  </si>
  <si>
    <t>RU000A0JWZS8</t>
  </si>
  <si>
    <t>RU000A0HG636</t>
  </si>
  <si>
    <t>RU000A0JXNG7</t>
  </si>
  <si>
    <t>RU000A0JVCY7</t>
  </si>
  <si>
    <t>RU000A0JV1W5</t>
  </si>
  <si>
    <t>RU000A0JV1X3</t>
  </si>
  <si>
    <t>RU000A0JV1Y1</t>
  </si>
  <si>
    <t>RU000A0JV201</t>
  </si>
  <si>
    <t>RU000A0JV219</t>
  </si>
  <si>
    <t>RU000A0JV227</t>
  </si>
  <si>
    <t>RU000A0JV235</t>
  </si>
  <si>
    <t>RU000A0JV243</t>
  </si>
  <si>
    <t>RU000A0JV250</t>
  </si>
  <si>
    <t>RU000A0JV268</t>
  </si>
  <si>
    <t>RU000A0JV276</t>
  </si>
  <si>
    <t>RU000A0JV284</t>
  </si>
  <si>
    <t>RU000A0JV292</t>
  </si>
  <si>
    <t>RU000A0JV2A9</t>
  </si>
  <si>
    <t>RU000A0JV763</t>
  </si>
  <si>
    <t>RU000A0JV771</t>
  </si>
  <si>
    <t>RU000A0JV789</t>
  </si>
  <si>
    <t>RU000A0JV797</t>
  </si>
  <si>
    <t>RU000A0JV7A8</t>
  </si>
  <si>
    <t>RU000A0JV7B6</t>
  </si>
  <si>
    <t>RU000A0JV7C4</t>
  </si>
  <si>
    <t>RU000A0JV7D2</t>
  </si>
  <si>
    <t>RU000A0JX132</t>
  </si>
  <si>
    <t>RU000A0JX355</t>
  </si>
  <si>
    <t>RU000A0JX413</t>
  </si>
  <si>
    <t>RU000A0JXQK2</t>
  </si>
  <si>
    <t>RU000A0JXR68</t>
  </si>
  <si>
    <t>RU000A0JXXE1</t>
  </si>
  <si>
    <t>RU000A0JXXD3</t>
  </si>
  <si>
    <t>RU000A0ZYCP5</t>
  </si>
  <si>
    <t>RU000A0ZYJJ3</t>
  </si>
  <si>
    <t>RU000A0ZYJH7</t>
  </si>
  <si>
    <t>RU000A0ZYLG5</t>
  </si>
  <si>
    <t>RU000A0ZYT40</t>
  </si>
  <si>
    <t>RU000A0ZYVU5</t>
  </si>
  <si>
    <t>RU000A0JV987</t>
  </si>
  <si>
    <t>RU000A0JPC08</t>
  </si>
  <si>
    <t>RU000A0JV3H2</t>
  </si>
  <si>
    <t>RU000A0JV3R1</t>
  </si>
  <si>
    <t>RU000A0JV805</t>
  </si>
  <si>
    <t>RU000A0JUW31</t>
  </si>
  <si>
    <t>RU000A0JUW72</t>
  </si>
  <si>
    <t>RU000A0JVN64</t>
  </si>
  <si>
    <t>RU000A0JVN56</t>
  </si>
  <si>
    <t>RU000A0JVN98</t>
  </si>
  <si>
    <t>RU000A0ZZL88</t>
  </si>
  <si>
    <t>RU000A0ZZUS8</t>
  </si>
  <si>
    <t>RU000A0JWMZ1</t>
  </si>
  <si>
    <t>RU000A0JWN22</t>
  </si>
  <si>
    <t>RU000A0JW1Z7</t>
  </si>
  <si>
    <t>RU000A0JW1V6</t>
  </si>
  <si>
    <t>RU000A0JWV63</t>
  </si>
  <si>
    <t>RU000A0JXMQ8</t>
  </si>
  <si>
    <t>RU000A0JXUC1</t>
  </si>
  <si>
    <t>RU000A0ZYBT9</t>
  </si>
  <si>
    <t>RU000A0ZYJ42</t>
  </si>
  <si>
    <t>RU000A0ZZ4T1</t>
  </si>
  <si>
    <t>RU000A0ZZ505</t>
  </si>
  <si>
    <t>RU000A0ZZJB7</t>
  </si>
  <si>
    <t>RU000A0ZZJC5</t>
  </si>
  <si>
    <t>RU000A0ZZJD3</t>
  </si>
  <si>
    <t>RU000A0JUW80</t>
  </si>
  <si>
    <t>RU000A0JWHS6</t>
  </si>
  <si>
    <t>RU000A0JVAW5</t>
  </si>
  <si>
    <t>RU000A0JVAX3</t>
  </si>
  <si>
    <t>RU000A0JWGF5</t>
  </si>
  <si>
    <t>RU000A0JX2E9</t>
  </si>
  <si>
    <t>RU000A0JXVJ4</t>
  </si>
  <si>
    <t>RU000A0ZYK07</t>
  </si>
  <si>
    <t>RU000A0ZYMM1</t>
  </si>
  <si>
    <t>RU000A0ZYMN9</t>
  </si>
  <si>
    <t>RU000A0ZZ5T8</t>
  </si>
  <si>
    <t>RU000A0JVWB3</t>
  </si>
  <si>
    <t>RU000A0ZYG29</t>
  </si>
  <si>
    <t>RU000A0ZYCJ8</t>
  </si>
  <si>
    <t>RU000A0JW498</t>
  </si>
  <si>
    <t>RU000A0JWPC3</t>
  </si>
  <si>
    <t>RU000A0JVC75</t>
  </si>
  <si>
    <t>RU000A0JVC83</t>
  </si>
  <si>
    <t>UA4000083190</t>
  </si>
  <si>
    <t>RU000A0JXEF8</t>
  </si>
  <si>
    <t>CZ0002003684</t>
  </si>
  <si>
    <t>CZ0002003460</t>
  </si>
  <si>
    <t>RU000A0JVWL2</t>
  </si>
  <si>
    <t>RU000A0JWCD9</t>
  </si>
  <si>
    <t>RU000A0JWH46</t>
  </si>
  <si>
    <t>RU000A0JWKZ5</t>
  </si>
  <si>
    <t>RU000A0JWUE9</t>
  </si>
  <si>
    <t>RU000A0JX1K8</t>
  </si>
  <si>
    <t>RU000A0JXPE7</t>
  </si>
  <si>
    <t>RU000A0JXRW5</t>
  </si>
  <si>
    <t>RU000A0ZYBS1</t>
  </si>
  <si>
    <t>RU000A0ZYUJ0</t>
  </si>
  <si>
    <t>RU000A0ZZ0Z6</t>
  </si>
  <si>
    <t>RU000A0ZZ117</t>
  </si>
  <si>
    <t>RU000A0ZZ3U1</t>
  </si>
  <si>
    <t>RU000A0ZZ5U6</t>
  </si>
  <si>
    <t>RU000A0ZZ7U2</t>
  </si>
  <si>
    <t>RU000A0ZZAJ9</t>
  </si>
  <si>
    <t>RU000A0ZZBN9</t>
  </si>
  <si>
    <t>RU000A0ZZD88</t>
  </si>
  <si>
    <t>RU000A0ZZDM7</t>
  </si>
  <si>
    <t>RU000A0ZZEU8</t>
  </si>
  <si>
    <t>RU000A0ZZKR1</t>
  </si>
  <si>
    <t>RU000A0ZZKS9</t>
  </si>
  <si>
    <t>RU000A0ZZL54</t>
  </si>
  <si>
    <t>RU000A0ZZSK9</t>
  </si>
  <si>
    <t>RU000A0ZZSJ1</t>
  </si>
  <si>
    <t>RU000A0ZZUX8</t>
  </si>
  <si>
    <t>RU000A0JY171</t>
  </si>
  <si>
    <t>RU000A0ZYSZ0</t>
  </si>
  <si>
    <t>RU000A0JY1B6</t>
  </si>
  <si>
    <t>RU000A0JY3J5</t>
  </si>
  <si>
    <t>RU000A0JY3Z1</t>
  </si>
  <si>
    <t>RU000A0JY239</t>
  </si>
  <si>
    <t>SK4120011214</t>
  </si>
  <si>
    <t>RU000A0JY247</t>
  </si>
  <si>
    <t>UA4000093785</t>
  </si>
  <si>
    <t>UA4000075774</t>
  </si>
  <si>
    <t>UA010004AB02</t>
  </si>
  <si>
    <t>UA0100041005</t>
  </si>
  <si>
    <t>RU000A0JWW13</t>
  </si>
  <si>
    <t>IR1100198016</t>
  </si>
  <si>
    <t>IRO1PSHZ0003</t>
  </si>
  <si>
    <t>RU000A0ZZK55</t>
  </si>
  <si>
    <t>UA4000067490</t>
  </si>
  <si>
    <t>UA4000093033</t>
  </si>
  <si>
    <t>UA4000109110</t>
  </si>
  <si>
    <t>UA4000091052</t>
  </si>
  <si>
    <t>IRO1DSIN0000</t>
  </si>
  <si>
    <t>RU000A0JXXB7</t>
  </si>
  <si>
    <t>RU000A0JWJ36</t>
  </si>
  <si>
    <t>RU000A0JS8M6</t>
  </si>
  <si>
    <t>RU000A0JVVK6</t>
  </si>
  <si>
    <t>RU000A0JVVT7</t>
  </si>
  <si>
    <t>RU000A0JVVP5</t>
  </si>
  <si>
    <t>RU000A0JNLC1</t>
  </si>
  <si>
    <t>RU000A0GSKW6</t>
  </si>
  <si>
    <t>RU000A0JPM97</t>
  </si>
  <si>
    <t>RU000A0JPMA8</t>
  </si>
  <si>
    <t>RU000A0JX2M2</t>
  </si>
  <si>
    <t>RU000A0JWHM9</t>
  </si>
  <si>
    <t>RU000A0JY437</t>
  </si>
  <si>
    <t>UA0100931106</t>
  </si>
  <si>
    <t>RU000A0BL5Z9</t>
  </si>
  <si>
    <t>RU000A0JVUT9</t>
  </si>
  <si>
    <t>RU000A0JVUF8</t>
  </si>
  <si>
    <t>RU000A0BL506</t>
  </si>
  <si>
    <t>SD000A0F5KV7</t>
  </si>
  <si>
    <t>RU000A0JV433</t>
  </si>
  <si>
    <t>RU000A0JVF64</t>
  </si>
  <si>
    <t>RU000A0JXJM3</t>
  </si>
  <si>
    <t>RU000A0JXJP6</t>
  </si>
  <si>
    <t>IRO1PNTB0002</t>
  </si>
  <si>
    <t>IRO1THSH0001</t>
  </si>
  <si>
    <t>IR1100055018</t>
  </si>
  <si>
    <t>RU000A0JWGH1</t>
  </si>
  <si>
    <t>IRO1TAYD0004</t>
  </si>
  <si>
    <t>IRR1TAYD0106</t>
  </si>
  <si>
    <t>UA0102571009</t>
  </si>
  <si>
    <t>UA4000149652</t>
  </si>
  <si>
    <t>US8932131084</t>
  </si>
  <si>
    <t>RU000A0JUXJ6</t>
  </si>
  <si>
    <t>RU000A0JVM40</t>
  </si>
  <si>
    <t>RU000A0ZYDD9</t>
  </si>
  <si>
    <t>RU000A0JWEB9</t>
  </si>
  <si>
    <t>RU000A0JWK90</t>
  </si>
  <si>
    <t>RU000A0JWMS6</t>
  </si>
  <si>
    <t>RU000A0JWPW1</t>
  </si>
  <si>
    <t>RU000A0JWS92</t>
  </si>
  <si>
    <t>RU000A0JWVC1</t>
  </si>
  <si>
    <t>RU000A0JWZP4</t>
  </si>
  <si>
    <t>RU000A0JXC24</t>
  </si>
  <si>
    <t>RU000A0JXM97</t>
  </si>
  <si>
    <t>RU000A0JXPK4</t>
  </si>
  <si>
    <t>RU000A0JXQD7</t>
  </si>
  <si>
    <t>RU000A0ZYNE6</t>
  </si>
  <si>
    <t>RU000A0ZYUS1</t>
  </si>
  <si>
    <t>RU000A0ZZ349</t>
  </si>
  <si>
    <t>RU0007661146</t>
  </si>
  <si>
    <t>RU0007661138</t>
  </si>
  <si>
    <t>RU000A0JVBZ6</t>
  </si>
  <si>
    <t>RU000A0JY2G3</t>
  </si>
  <si>
    <t>RU000A0JNLL2</t>
  </si>
  <si>
    <t>RU000A0JVF98</t>
  </si>
  <si>
    <t>RU000A0JVFA0</t>
  </si>
  <si>
    <t>RU000A0JVLA8</t>
  </si>
  <si>
    <t>RU000A0ZYH69</t>
  </si>
  <si>
    <t>RU000A0JUZR4</t>
  </si>
  <si>
    <t>RU000A0JWJB8</t>
  </si>
  <si>
    <t>RU000A0JWYB7</t>
  </si>
  <si>
    <t>RU000A0JWK74</t>
  </si>
  <si>
    <t>RU000A0JVJ52</t>
  </si>
  <si>
    <t>RU000A0ZZA57</t>
  </si>
  <si>
    <t>US9101611088</t>
  </si>
  <si>
    <t>RU000A0JWDC9</t>
  </si>
  <si>
    <t>RU000A0JWDB1</t>
  </si>
  <si>
    <t>RU000A0JWDA3</t>
  </si>
  <si>
    <t>RU000A0JXM06</t>
  </si>
  <si>
    <t>RU000A0JVY20</t>
  </si>
  <si>
    <t>RU000A0JVY38</t>
  </si>
  <si>
    <t>RU000A0JR647</t>
  </si>
  <si>
    <t>RU000A0JR9E2</t>
  </si>
  <si>
    <t>RU000A0JU0S6</t>
  </si>
  <si>
    <t>RU000A0JU0T4</t>
  </si>
  <si>
    <t>RU000A0JVSZ0</t>
  </si>
  <si>
    <t>RU000A0JWA43</t>
  </si>
  <si>
    <t>RU000A0JUSN8</t>
  </si>
  <si>
    <t>RU000A0JV8G3</t>
  </si>
  <si>
    <t>RU000A0JV9D8</t>
  </si>
  <si>
    <t>RU000A0JV9H9</t>
  </si>
  <si>
    <t>RU000A0JVAV7</t>
  </si>
  <si>
    <t>RU000A0JVER7</t>
  </si>
  <si>
    <t>RU000A0JVKC6</t>
  </si>
  <si>
    <t>RU000A0JVKW4</t>
  </si>
  <si>
    <t>RU000A0JVNL1</t>
  </si>
  <si>
    <t>RU000A0ZYG11</t>
  </si>
  <si>
    <t>USP97475AQ39</t>
  </si>
  <si>
    <t>XS0424007184</t>
  </si>
  <si>
    <t>XS0152904552</t>
  </si>
  <si>
    <t>XS0424009123</t>
  </si>
  <si>
    <t>XS0402654148</t>
  </si>
  <si>
    <t>XS0424036951</t>
  </si>
  <si>
    <t>XS0424010485</t>
  </si>
  <si>
    <t>XS0139523293</t>
  </si>
  <si>
    <t>XS0536738999</t>
  </si>
  <si>
    <t>XS0536739617</t>
  </si>
  <si>
    <t>XS0536739294</t>
  </si>
  <si>
    <t>VEV00014CES8</t>
  </si>
  <si>
    <t>VEV00014CET6</t>
  </si>
  <si>
    <t>VEV00014CEY6</t>
  </si>
  <si>
    <t>VEV00014CGN4</t>
  </si>
  <si>
    <t>USP7807HAL98</t>
  </si>
  <si>
    <t>XS0294364103</t>
  </si>
  <si>
    <t>RU000A0JX0G8</t>
  </si>
  <si>
    <t>RU000A0JWHQ0</t>
  </si>
  <si>
    <t>US9253261005</t>
  </si>
  <si>
    <t>CU0007260821</t>
  </si>
  <si>
    <t>RU000A0JUXQ1</t>
  </si>
  <si>
    <t>RU000A0ZZS99</t>
  </si>
  <si>
    <t>RU000A0JW3A6</t>
  </si>
  <si>
    <t>RU000A0JV0D7</t>
  </si>
  <si>
    <t>RU000A0JUTB1</t>
  </si>
  <si>
    <t>RU000A0JVLV4</t>
  </si>
  <si>
    <t>RU000A0JVQA7</t>
  </si>
  <si>
    <t>RU000A0JWG96</t>
  </si>
  <si>
    <t>RU000A0JXRP9</t>
  </si>
  <si>
    <t>RU000A0JW6P7</t>
  </si>
  <si>
    <t>RU000A0JWNE4</t>
  </si>
  <si>
    <t>RU000A0JWNJ3</t>
  </si>
  <si>
    <t>RU000A0JX4Q9</t>
  </si>
  <si>
    <t>RU000A0JXMJ3</t>
  </si>
  <si>
    <t>RU000A0JXU48</t>
  </si>
  <si>
    <t>RU000A0JXU71</t>
  </si>
  <si>
    <t>RU000A0ZYLH3</t>
  </si>
  <si>
    <t>RU000A0ZYLJ9</t>
  </si>
  <si>
    <t>RU000A0ZYMA6</t>
  </si>
  <si>
    <t>RU000A0ZYNN7</t>
  </si>
  <si>
    <t>RU000A0ZYQE9</t>
  </si>
  <si>
    <t>RU000A0ZYUE1</t>
  </si>
  <si>
    <t>RU000A0ZYUQ5</t>
  </si>
  <si>
    <t>RU000A0ZYUR3</t>
  </si>
  <si>
    <t>RU000A0ZYV87</t>
  </si>
  <si>
    <t>RU000A0ZYVJ8</t>
  </si>
  <si>
    <t>RU000A0ZYVT7</t>
  </si>
  <si>
    <t>RU000A0ZYZ59</t>
  </si>
  <si>
    <t>RU000A0ZYZC4</t>
  </si>
  <si>
    <t>RU000A0ZZ0C5</t>
  </si>
  <si>
    <t>RU000A0ZZ0K8</t>
  </si>
  <si>
    <t>RU000A0ZZ0P7</t>
  </si>
  <si>
    <t>RU000A0ZZ1C3</t>
  </si>
  <si>
    <t>RU000A0ZZ1G4</t>
  </si>
  <si>
    <t>RU000A0ZZ1L4</t>
  </si>
  <si>
    <t>RU000A0ZZ2Q1</t>
  </si>
  <si>
    <t>RU000A0ZZ307</t>
  </si>
  <si>
    <t>RU000A0ZZ315</t>
  </si>
  <si>
    <t>RU000A0ZZ364</t>
  </si>
  <si>
    <t>RU000A0ZZ3X5</t>
  </si>
  <si>
    <t>RU000A0ZZ455</t>
  </si>
  <si>
    <t>RU000A0ZZ4F0</t>
  </si>
  <si>
    <t>RU000A0ZZ539</t>
  </si>
  <si>
    <t>RU000A0ZZ588</t>
  </si>
  <si>
    <t>RU000A0ZZ5Q4</t>
  </si>
  <si>
    <t>RU000A0ZZ5X0</t>
  </si>
  <si>
    <t>RU000A0ZZ661</t>
  </si>
  <si>
    <t>RU000A0ZZ6J7</t>
  </si>
  <si>
    <t>RU000A0ZZ6P4</t>
  </si>
  <si>
    <t>RU000A0ZZ6Y6</t>
  </si>
  <si>
    <t>RU000A0ZZ7D8</t>
  </si>
  <si>
    <t>RU000A0ZZ7S6</t>
  </si>
  <si>
    <t>RU000A0ZZ8F1</t>
  </si>
  <si>
    <t>RU000A0ZZ8P0</t>
  </si>
  <si>
    <t>RU000A0ZZ7K3</t>
  </si>
  <si>
    <t>RU000A0ZZ8S4</t>
  </si>
  <si>
    <t>RU000A0ZZ927</t>
  </si>
  <si>
    <t>RU000A0ZZ9C6</t>
  </si>
  <si>
    <t>RU000A0ZZ9N3</t>
  </si>
  <si>
    <t>RU000A0ZZ9S2</t>
  </si>
  <si>
    <t>RU000A0ZZ9Y0</t>
  </si>
  <si>
    <t>RU000A0ZZA99</t>
  </si>
  <si>
    <t>RU000A0ZZAG5</t>
  </si>
  <si>
    <t>RU000A0ZZAF7</t>
  </si>
  <si>
    <t>RU000A0ZZBL3</t>
  </si>
  <si>
    <t>RU000A0ZZC30</t>
  </si>
  <si>
    <t>RU000A0ZZCC0</t>
  </si>
  <si>
    <t>RU000A0ZZCT4</t>
  </si>
  <si>
    <t>RU000A0ZZD21</t>
  </si>
  <si>
    <t>RU000A0ZZDF1</t>
  </si>
  <si>
    <t>RU000A0ZZDP0</t>
  </si>
  <si>
    <t>RU000A0ZZEF9</t>
  </si>
  <si>
    <t>RU000A0ZZEJ1</t>
  </si>
  <si>
    <t>RU000A0ZZEL7</t>
  </si>
  <si>
    <t>RU000A0ZZF37</t>
  </si>
  <si>
    <t>RU000A0ZZEZ7</t>
  </si>
  <si>
    <t>RU000A0ZZF86</t>
  </si>
  <si>
    <t>RU000A0ZZFJ8</t>
  </si>
  <si>
    <t>RU000A0ZZG51</t>
  </si>
  <si>
    <t>RU000A0ZZGJ6</t>
  </si>
  <si>
    <t>RU000A0ZZGY5</t>
  </si>
  <si>
    <t>RU000A0ZZGS7</t>
  </si>
  <si>
    <t>RU000A0ZZJX1</t>
  </si>
  <si>
    <t>RU000A0ZZKB5</t>
  </si>
  <si>
    <t>RU000A0ZZKV3</t>
  </si>
  <si>
    <t>RU000A0ZZKZ4</t>
  </si>
  <si>
    <t>RU000A0ZZLK4</t>
  </si>
  <si>
    <t>RU000A0ZZMC9</t>
  </si>
  <si>
    <t>RU000A0ZZP92</t>
  </si>
  <si>
    <t>RU000A0ZZQT4</t>
  </si>
  <si>
    <t>RU000A0ZZSC6</t>
  </si>
  <si>
    <t>RU000A0ZZSM5</t>
  </si>
  <si>
    <t>RU000A0ZZSU8</t>
  </si>
  <si>
    <t>RU000A0ZZST0</t>
  </si>
  <si>
    <t>RU000A0ZZSS2</t>
  </si>
  <si>
    <t>RU000A0ZZSR4</t>
  </si>
  <si>
    <t>RU000A0ZZSQ6</t>
  </si>
  <si>
    <t>RU000A0ZZSP8</t>
  </si>
  <si>
    <t>RU000A0JPGG7</t>
  </si>
  <si>
    <t>RU000A0HFZE7</t>
  </si>
  <si>
    <t>RU000A0JVRG2</t>
  </si>
  <si>
    <t>RU000A0ZZ9L7</t>
  </si>
  <si>
    <t>RU0006334372</t>
  </si>
  <si>
    <t>RU0006334380</t>
  </si>
  <si>
    <t>RU000A0ZZL96</t>
  </si>
  <si>
    <t>RU000A0JUU66</t>
  </si>
  <si>
    <t>RU000A0JV3Q3</t>
  </si>
  <si>
    <t>RU000A0JVMK5</t>
  </si>
  <si>
    <t>RU000A0JX1X1</t>
  </si>
  <si>
    <t>RU000A0JX1Y9</t>
  </si>
  <si>
    <t>RU000A0ZYG78</t>
  </si>
  <si>
    <t>RU000A0ZYKF9</t>
  </si>
  <si>
    <t>RU000A0ZYKG7</t>
  </si>
  <si>
    <t>RU000A0ZZN86</t>
  </si>
  <si>
    <t>BY50002B2473</t>
  </si>
  <si>
    <t>BY50002B2481</t>
  </si>
  <si>
    <t>BY50002B2499</t>
  </si>
  <si>
    <t>RU000A0JV8D0</t>
  </si>
  <si>
    <t>RU000A0JURL4</t>
  </si>
  <si>
    <t>RU000A0JUSQ1</t>
  </si>
  <si>
    <t>RU000A0JVQQ3</t>
  </si>
  <si>
    <t>RU000A0JV110</t>
  </si>
  <si>
    <t>RU000A0JV482</t>
  </si>
  <si>
    <t>RU000A0JV474</t>
  </si>
  <si>
    <t>RU000A0JV466</t>
  </si>
  <si>
    <t>RU000A0JV458</t>
  </si>
  <si>
    <t>RU000A0JV441</t>
  </si>
  <si>
    <t>RU000A0JVJV8</t>
  </si>
  <si>
    <t>RU000A0JVJW6</t>
  </si>
  <si>
    <t>RU000A0JWCC1</t>
  </si>
  <si>
    <t>RU000A0ZYGH3</t>
  </si>
  <si>
    <t>UA4000068001</t>
  </si>
  <si>
    <t>RU000A0ZYQL4</t>
  </si>
  <si>
    <t>RU000A0ZYQM2</t>
  </si>
  <si>
    <t>RU000A0JXMT2</t>
  </si>
  <si>
    <t>US9533781061</t>
  </si>
  <si>
    <t>UA4000076616</t>
  </si>
  <si>
    <t>RU000A0JV8S8</t>
  </si>
  <si>
    <t>RU000A0JVYR5</t>
  </si>
  <si>
    <t>UA4000081087</t>
  </si>
  <si>
    <t>RU0009848360</t>
  </si>
  <si>
    <t>RU000A0JVQ79</t>
  </si>
  <si>
    <t>UA4000109490</t>
  </si>
  <si>
    <t>UA4000074157</t>
  </si>
  <si>
    <t>UA4000079297</t>
  </si>
  <si>
    <t>UA0103571008</t>
  </si>
  <si>
    <t>UA4000069660</t>
  </si>
  <si>
    <t>RU000A0JVL17</t>
  </si>
  <si>
    <t>RU000A0JVPY9</t>
  </si>
  <si>
    <t>RU000A0ZYQX9</t>
  </si>
  <si>
    <t>RU000A0ZYR00</t>
  </si>
  <si>
    <t>RU000A0ZYX51</t>
  </si>
  <si>
    <t>RU000A0ZYX44</t>
  </si>
  <si>
    <t>RU000A0ZYX36</t>
  </si>
  <si>
    <t>RU000A0ZYXV9</t>
  </si>
  <si>
    <t>RU000A0ZYXU1</t>
  </si>
  <si>
    <t>RU000A0ZYXJ4</t>
  </si>
  <si>
    <t>RU000A0ZYY92</t>
  </si>
  <si>
    <t>RU000A0ZYXY3</t>
  </si>
  <si>
    <t>RU000A0ZZ4Y1</t>
  </si>
  <si>
    <t>RU000A0JXHB0</t>
  </si>
  <si>
    <t>RU000A0ZYHF5</t>
  </si>
  <si>
    <t>RU0009034268</t>
  </si>
  <si>
    <t>SP</t>
  </si>
  <si>
    <t>NO</t>
  </si>
  <si>
    <t>GMSA</t>
  </si>
  <si>
    <t>Continental AG</t>
  </si>
  <si>
    <t>Covestro AG</t>
  </si>
  <si>
    <t>Valeo SA</t>
  </si>
  <si>
    <t>Porsche Automobil Holding SE</t>
  </si>
  <si>
    <t>Eramet SA</t>
  </si>
  <si>
    <t>HKD</t>
  </si>
  <si>
    <t>CHF</t>
  </si>
  <si>
    <t>SEK</t>
  </si>
  <si>
    <t>CAD</t>
  </si>
  <si>
    <t>AUD</t>
  </si>
  <si>
    <t>GBP</t>
  </si>
  <si>
    <t>6752.t</t>
  </si>
  <si>
    <t>Kepler</t>
  </si>
  <si>
    <t>XS1435297202</t>
  </si>
  <si>
    <t>+C125+C108</t>
  </si>
  <si>
    <t>IE00B5M4WH52</t>
  </si>
  <si>
    <t>IE00B4613386</t>
  </si>
  <si>
    <t>Vat fees</t>
  </si>
  <si>
    <t>+PosAggregate!K243</t>
  </si>
  <si>
    <t>+c99'+c95</t>
  </si>
  <si>
    <t>LG Chem Ltd</t>
  </si>
  <si>
    <t>Panasonic Corp</t>
  </si>
  <si>
    <t>Samsung SDI Co Ltd</t>
  </si>
  <si>
    <t>Toyo Tanso Co Ltd</t>
  </si>
  <si>
    <t>Mitsubishi Chemical Holdings Corp</t>
  </si>
  <si>
    <t>Toda Kogyo Corp</t>
  </si>
  <si>
    <t>Nippon Chemical Industrial Co Ltd</t>
  </si>
  <si>
    <t>Nippon Carbon Co Ltd</t>
  </si>
  <si>
    <t>Sumitomo Chemical Co Ltd</t>
  </si>
  <si>
    <t>Veoneer Inc</t>
  </si>
  <si>
    <t>Sumitomo Metal Mining Co Ltd</t>
  </si>
  <si>
    <t>Showa Denko KK</t>
  </si>
  <si>
    <t>Syrah Resources Ltd</t>
  </si>
  <si>
    <t>Nippon Kodoshi Corp</t>
  </si>
  <si>
    <t>Ecopro Co Ltd</t>
  </si>
  <si>
    <t>Albemarle Corp</t>
  </si>
  <si>
    <t>Sociedad Quimica y Minera de Chile SA</t>
  </si>
  <si>
    <t>Tokai Carbon Co Ltd</t>
  </si>
  <si>
    <t>Ube Industries Ltd</t>
  </si>
  <si>
    <t>iShares Emer Mrkts Local Govt Bd UCITS ETF</t>
  </si>
  <si>
    <t>USDollar</t>
  </si>
  <si>
    <t>SoulBrain Co Ltd</t>
  </si>
  <si>
    <t>SK Innovation Co Ltd</t>
  </si>
  <si>
    <t>Teijin Ltd</t>
  </si>
  <si>
    <t>Nippon Chemi-Con Corp</t>
  </si>
  <si>
    <t>TDK Corp</t>
  </si>
  <si>
    <t>Tomoe Engineering Co Ltd</t>
  </si>
  <si>
    <t>Honda Tsushin Kogyo Co Ltd</t>
  </si>
  <si>
    <t>Seronics Co Ltd</t>
  </si>
  <si>
    <t>Takaoka Toko Co Ltd</t>
  </si>
  <si>
    <t>Stamp Duty / Tobin tax</t>
  </si>
  <si>
    <t>Equita Sim</t>
  </si>
  <si>
    <t>Kepler Cheuvreux</t>
  </si>
  <si>
    <t>DBS Vickers</t>
  </si>
  <si>
    <t>Samsung Securities</t>
  </si>
  <si>
    <t>Cocos and Convert: Pre-trade exposure</t>
  </si>
  <si>
    <t>Broker List</t>
  </si>
  <si>
    <t>Not specified</t>
  </si>
  <si>
    <t>Sanctioned List Check</t>
  </si>
  <si>
    <t>Not Rated: Pre-trade exposure</t>
  </si>
  <si>
    <t>Bond Prospectus limits</t>
  </si>
  <si>
    <t>DEPR-SET-UP COSTS</t>
  </si>
  <si>
    <t>INC EXP-SET-UP COSTS</t>
  </si>
  <si>
    <t>AUDIT FEES</t>
  </si>
  <si>
    <t>GLOBAL PRICING FEES</t>
  </si>
  <si>
    <t>MANAGEMENT FEES</t>
  </si>
  <si>
    <t>MARKETING AGENT FEES</t>
  </si>
  <si>
    <t>RISK MANAGEMENT FEES</t>
  </si>
  <si>
    <t>SUP. CUSTODY FEES</t>
  </si>
  <si>
    <t>UCITS TAXES</t>
  </si>
  <si>
    <t>TODAY Pay-Date?</t>
  </si>
  <si>
    <t>TODAY Pay-Date Local Currency?</t>
  </si>
  <si>
    <t>amount to be paid Local Currency</t>
  </si>
  <si>
    <t>LU1867072222</t>
  </si>
  <si>
    <t>6752.T</t>
  </si>
  <si>
    <t>5713.t</t>
  </si>
  <si>
    <t>4080.t</t>
  </si>
  <si>
    <t>4092.t</t>
  </si>
  <si>
    <t>Tanaka Chemical Corp</t>
  </si>
  <si>
    <t>4100.t</t>
  </si>
  <si>
    <t>4004.t</t>
  </si>
  <si>
    <t>5301.t</t>
  </si>
  <si>
    <t>5302.T</t>
  </si>
  <si>
    <t>5310.T</t>
  </si>
  <si>
    <t>6309.T</t>
  </si>
  <si>
    <t>4005.T</t>
  </si>
  <si>
    <t>3401.T</t>
  </si>
  <si>
    <t>3891.T</t>
  </si>
  <si>
    <t>4188.T</t>
  </si>
  <si>
    <t>4208.T</t>
  </si>
  <si>
    <t>6997.T</t>
  </si>
  <si>
    <t>6762.T</t>
  </si>
  <si>
    <t>6617.T</t>
  </si>
  <si>
    <t>6981.T</t>
  </si>
  <si>
    <t>6826.T</t>
  </si>
  <si>
    <t>Murata Manufacturing Co Ltd</t>
  </si>
  <si>
    <t>051915.KS</t>
  </si>
  <si>
    <t>006400.KS</t>
  </si>
  <si>
    <t>006405.KS</t>
  </si>
  <si>
    <t>096775.KS</t>
  </si>
  <si>
    <t>042600.KQ</t>
  </si>
  <si>
    <t>086520.KQ</t>
  </si>
  <si>
    <t>036830.KQ</t>
  </si>
  <si>
    <t>SYR.AX</t>
  </si>
  <si>
    <t>UMI.BR</t>
  </si>
  <si>
    <t>IMTP.PA</t>
  </si>
  <si>
    <t>ERMT.PA</t>
  </si>
  <si>
    <t>1COV.DE</t>
  </si>
  <si>
    <t>VLOF.PA</t>
  </si>
  <si>
    <t>CONG.DE</t>
  </si>
  <si>
    <t>IFXGn.DE</t>
  </si>
  <si>
    <t>PSHG_p.DE</t>
  </si>
  <si>
    <t>DAIGn.DE</t>
  </si>
  <si>
    <t>RENA.PA</t>
  </si>
  <si>
    <t>SQM</t>
  </si>
  <si>
    <t>ALB</t>
  </si>
  <si>
    <t>LTHM.K</t>
  </si>
  <si>
    <t>KBLT.V</t>
  </si>
  <si>
    <t>VNE</t>
  </si>
  <si>
    <t>Umicore SA</t>
  </si>
  <si>
    <t>Imerys SA</t>
  </si>
  <si>
    <t>Infineon Technologies AG</t>
  </si>
  <si>
    <t>Livent Corp</t>
  </si>
  <si>
    <t>Equita</t>
  </si>
  <si>
    <t>Samsung</t>
  </si>
  <si>
    <t>ALELIO.ST</t>
  </si>
  <si>
    <t>JP3866800000</t>
  </si>
  <si>
    <t>JP3402600005</t>
  </si>
  <si>
    <t>JP3468810001</t>
  </si>
  <si>
    <t>JP3691600005</t>
  </si>
  <si>
    <t>JP3627400009</t>
  </si>
  <si>
    <t>JP3368000000</t>
  </si>
  <si>
    <t>JP3560800009</t>
  </si>
  <si>
    <t>JP3690400001</t>
  </si>
  <si>
    <t>JP3616000000</t>
  </si>
  <si>
    <t>JP3631600008</t>
  </si>
  <si>
    <t>JP3401400001</t>
  </si>
  <si>
    <t>JP3544000007</t>
  </si>
  <si>
    <t>JP3707000000</t>
  </si>
  <si>
    <t>JP3897700005</t>
  </si>
  <si>
    <t>JP3158800007</t>
  </si>
  <si>
    <t>JP3701200002</t>
  </si>
  <si>
    <t>JP3538800008</t>
  </si>
  <si>
    <t>JP3591600006</t>
  </si>
  <si>
    <t>JP3914400001</t>
  </si>
  <si>
    <t>JP3854650003</t>
  </si>
  <si>
    <t>KR7051911006</t>
  </si>
  <si>
    <t>KR7006400006</t>
  </si>
  <si>
    <t>KR7006401004</t>
  </si>
  <si>
    <t>KR7096771001</t>
  </si>
  <si>
    <t>KR7042600007</t>
  </si>
  <si>
    <t>KR7086520004</t>
  </si>
  <si>
    <t>KR7036830008</t>
  </si>
  <si>
    <t>BE0974320526</t>
  </si>
  <si>
    <t>FR0000120859</t>
  </si>
  <si>
    <t>FR0000131757</t>
  </si>
  <si>
    <t>DE0006062144</t>
  </si>
  <si>
    <t>FR0013176526</t>
  </si>
  <si>
    <t>DE0005439004</t>
  </si>
  <si>
    <t>DE0006231004</t>
  </si>
  <si>
    <t>DE000PAH0038</t>
  </si>
  <si>
    <t>DE0007100000</t>
  </si>
  <si>
    <t>FR0000131906</t>
  </si>
  <si>
    <t>US8336351056</t>
  </si>
  <si>
    <t>US0126531013</t>
  </si>
  <si>
    <t>US53814L1089</t>
  </si>
  <si>
    <t>US92336X1090</t>
  </si>
  <si>
    <t>AU000000SYR9</t>
  </si>
  <si>
    <t>SE0008348072</t>
  </si>
  <si>
    <t>Equity Exposure as of</t>
  </si>
  <si>
    <t>YES</t>
  </si>
  <si>
    <t>Alelion Energy Systems AB</t>
  </si>
  <si>
    <t>0-100%</t>
  </si>
  <si>
    <t>PERFORMANCE FEES</t>
  </si>
  <si>
    <t>Security</t>
  </si>
  <si>
    <t>Primary country of risk</t>
  </si>
  <si>
    <t>Headquarter</t>
  </si>
  <si>
    <t>Currency</t>
  </si>
  <si>
    <t>Pos. €</t>
  </si>
  <si>
    <t>Equity exposure</t>
  </si>
  <si>
    <t>€ mln</t>
  </si>
  <si>
    <t>Country of risk</t>
  </si>
  <si>
    <t>Currencies</t>
  </si>
  <si>
    <t>Asian Equities</t>
  </si>
  <si>
    <t>Korea; Republic (S. Korea)</t>
  </si>
  <si>
    <t>Japan</t>
  </si>
  <si>
    <t>China</t>
  </si>
  <si>
    <t>Australia</t>
  </si>
  <si>
    <t>Total Asia exposure</t>
  </si>
  <si>
    <t>Retrieving...</t>
  </si>
  <si>
    <t>as a % of NAV</t>
  </si>
  <si>
    <t>JPY cash</t>
  </si>
  <si>
    <t>RU000A100HK8</t>
  </si>
  <si>
    <t>"GAZPROMBANK" (JOINT - STOCK COMPANY)</t>
  </si>
  <si>
    <t>SSI</t>
  </si>
  <si>
    <t>RU000A100HH4</t>
  </si>
  <si>
    <t>RU000A100HC5</t>
  </si>
  <si>
    <t>STATE DEVELOPMENT CORPORATION "VEB.RF"</t>
  </si>
  <si>
    <t>RU000A100HB7</t>
  </si>
  <si>
    <t>RU000A100HA9</t>
  </si>
  <si>
    <t>RU000A100H93</t>
  </si>
  <si>
    <t>RU000A100H77</t>
  </si>
  <si>
    <t>SBERBANK OF RUSSIA</t>
  </si>
  <si>
    <t>RU000A100H69</t>
  </si>
  <si>
    <t>RU000A100H51</t>
  </si>
  <si>
    <t>RU000A100H44</t>
  </si>
  <si>
    <t>RU000A100H36</t>
  </si>
  <si>
    <t>RU000A100H28</t>
  </si>
  <si>
    <t>RU000A100H10</t>
  </si>
  <si>
    <t>RU000A100GY1</t>
  </si>
  <si>
    <t>TR</t>
  </si>
  <si>
    <t>Turkey</t>
  </si>
  <si>
    <t>RU000A100GM6</t>
  </si>
  <si>
    <t>RU000A100GP9</t>
  </si>
  <si>
    <t>RU000A100GF0</t>
  </si>
  <si>
    <t>RU000A100GG8</t>
  </si>
  <si>
    <t>RU000A100FW7</t>
  </si>
  <si>
    <t>VTB BANK (PUBLIC JOINT-STOCK COMPANY)</t>
  </si>
  <si>
    <t>RU000A100FH8</t>
  </si>
  <si>
    <t>RU000A100FG0</t>
  </si>
  <si>
    <t>RU000A100FC9</t>
  </si>
  <si>
    <t>RU000A100F87</t>
  </si>
  <si>
    <t>RU000A100F79</t>
  </si>
  <si>
    <t>RU000A100F61</t>
  </si>
  <si>
    <t>RU000A100F53</t>
  </si>
  <si>
    <t>RU000A100F46</t>
  </si>
  <si>
    <t>RU000A100EV2</t>
  </si>
  <si>
    <t>RU000A100EN9</t>
  </si>
  <si>
    <t>RU000A100EJ7</t>
  </si>
  <si>
    <t>RU000A100EC2</t>
  </si>
  <si>
    <t>RU000A100EB4</t>
  </si>
  <si>
    <t>RU000A100ED0</t>
  </si>
  <si>
    <t>RU000A100E39</t>
  </si>
  <si>
    <t>RU000A100DX0</t>
  </si>
  <si>
    <t>RU000A100DS0</t>
  </si>
  <si>
    <t>RU000A100DL5</t>
  </si>
  <si>
    <t>RU000A100DH3</t>
  </si>
  <si>
    <t>RU000A100DA8</t>
  </si>
  <si>
    <t>RU000A100CS2</t>
  </si>
  <si>
    <t>RU000A0NH145</t>
  </si>
  <si>
    <t>RU000A0NH152</t>
  </si>
  <si>
    <t>RU000A0NH160</t>
  </si>
  <si>
    <t>RU000A0NH178</t>
  </si>
  <si>
    <t>RU000A0NH186</t>
  </si>
  <si>
    <t>RU000A0NH194</t>
  </si>
  <si>
    <t>RU000A0NH1A3</t>
  </si>
  <si>
    <t>RU000A0NH1B1</t>
  </si>
  <si>
    <t>RU000A100CD4</t>
  </si>
  <si>
    <t>RU000A100BR6</t>
  </si>
  <si>
    <t>RU000A100BP0</t>
  </si>
  <si>
    <t>RU000A100BM7</t>
  </si>
  <si>
    <t>RU000A100B57</t>
  </si>
  <si>
    <t>RU000A100AK3</t>
  </si>
  <si>
    <t>RU000A100AF3</t>
  </si>
  <si>
    <t>RU000A100AE6</t>
  </si>
  <si>
    <t>RU000A100A74</t>
  </si>
  <si>
    <t>RU000A100A17</t>
  </si>
  <si>
    <t>RU000A1009G8</t>
  </si>
  <si>
    <t>RU000A100931</t>
  </si>
  <si>
    <t>RU000A100923</t>
  </si>
  <si>
    <t>VEV00014CKL0</t>
  </si>
  <si>
    <t>VEV00014CKM8</t>
  </si>
  <si>
    <t>VEV00014CKK2</t>
  </si>
  <si>
    <t>VEV00014CKJ4</t>
  </si>
  <si>
    <t>VEV00014CKI6</t>
  </si>
  <si>
    <t>VEV00014CKG0</t>
  </si>
  <si>
    <t>VEV00014CKH8</t>
  </si>
  <si>
    <t>VEV00014CKE5</t>
  </si>
  <si>
    <t>VEV00014CKF2</t>
  </si>
  <si>
    <t>VEV00014CKD7</t>
  </si>
  <si>
    <t>VEV00014CKC9</t>
  </si>
  <si>
    <t>VEV00014CKB1</t>
  </si>
  <si>
    <t>VEV00014CJZ2</t>
  </si>
  <si>
    <t>VEV00014CKA3</t>
  </si>
  <si>
    <t>VEV00014CJX7</t>
  </si>
  <si>
    <t>VEV00014CJY5</t>
  </si>
  <si>
    <t>VEV00014CJV1</t>
  </si>
  <si>
    <t>VEV00014CJU3</t>
  </si>
  <si>
    <t>VEV00014CJW9</t>
  </si>
  <si>
    <t>VEV00014CJT5</t>
  </si>
  <si>
    <t>VEV00014CJS7</t>
  </si>
  <si>
    <t>VEV00014CJR9</t>
  </si>
  <si>
    <t>VEV00014CJN8</t>
  </si>
  <si>
    <t>VEV00014CJM0</t>
  </si>
  <si>
    <t>VEV00014CJP3</t>
  </si>
  <si>
    <t>VEV00014CJO6</t>
  </si>
  <si>
    <t>VEV00014CJL2</t>
  </si>
  <si>
    <t>VEV00014CJJ6</t>
  </si>
  <si>
    <t>VEV00014CJI8</t>
  </si>
  <si>
    <t>VEV00014CJH0</t>
  </si>
  <si>
    <t>VEV00014CJG2</t>
  </si>
  <si>
    <t>VEV00014CJK4</t>
  </si>
  <si>
    <t>VEV00014CIZ4</t>
  </si>
  <si>
    <t>VEV00014CJC1</t>
  </si>
  <si>
    <t>VEV00014CJE7</t>
  </si>
  <si>
    <t>VEV00014CJB3</t>
  </si>
  <si>
    <t>VEV00014CJD9</t>
  </si>
  <si>
    <t>VEV00014CIY7</t>
  </si>
  <si>
    <t>VEV00014CIW1</t>
  </si>
  <si>
    <t>VEV00014CIU5</t>
  </si>
  <si>
    <t>VEV00014CIP5</t>
  </si>
  <si>
    <t>VEV00014CIO8</t>
  </si>
  <si>
    <t>VEV00014CIL4</t>
  </si>
  <si>
    <t>VEV00014CHH4</t>
  </si>
  <si>
    <t>RU000A0ZZH84</t>
  </si>
  <si>
    <t>VTB Bank PJSC</t>
  </si>
  <si>
    <t>RU000A0ZZ992</t>
  </si>
  <si>
    <t>Sberbank of Russia PJSC</t>
  </si>
  <si>
    <t>RU000A0ZZBD0</t>
  </si>
  <si>
    <t>RU000A0ZZ6Q2</t>
  </si>
  <si>
    <t>KZ2C00003218</t>
  </si>
  <si>
    <t>KZ2C00003200</t>
  </si>
  <si>
    <t>Investment Units</t>
  </si>
  <si>
    <t>RU000A1008Q9</t>
  </si>
  <si>
    <t>RU000A1008P1</t>
  </si>
  <si>
    <t>RU000A1008F2</t>
  </si>
  <si>
    <t>RU000A1008A3</t>
  </si>
  <si>
    <t>RU000A100857</t>
  </si>
  <si>
    <t>RU000A100832</t>
  </si>
  <si>
    <t>RU000A1007T5</t>
  </si>
  <si>
    <t>RU000A1007H0</t>
  </si>
  <si>
    <t>RU000A0JY668</t>
  </si>
  <si>
    <t>RU000A0JY650</t>
  </si>
  <si>
    <t>RU000A0JY643</t>
  </si>
  <si>
    <t>RU000A0JY635</t>
  </si>
  <si>
    <t>RU000A0JY627</t>
  </si>
  <si>
    <t>RU000A0JY619</t>
  </si>
  <si>
    <t>RU000A0JY601</t>
  </si>
  <si>
    <t>RU000A0JY5Z6</t>
  </si>
  <si>
    <t>RU000A0JY5Y9</t>
  </si>
  <si>
    <t>RU000A0JY5X1</t>
  </si>
  <si>
    <t>RU000A1007E7</t>
  </si>
  <si>
    <t>RU000A1007D9</t>
  </si>
  <si>
    <t>RU000A1007C1</t>
  </si>
  <si>
    <t>RU000A1007B3</t>
  </si>
  <si>
    <t>RU000A100774</t>
  </si>
  <si>
    <t>RU000A100758</t>
  </si>
  <si>
    <t>RU000A1006R1</t>
  </si>
  <si>
    <t>RU000A1006D1</t>
  </si>
  <si>
    <t>RU000A100691</t>
  </si>
  <si>
    <t>RU000A100634</t>
  </si>
  <si>
    <t>RU000A1005K8</t>
  </si>
  <si>
    <t>RU000A100576</t>
  </si>
  <si>
    <t>RU000A100550</t>
  </si>
  <si>
    <t>RU000A100543</t>
  </si>
  <si>
    <t>RU000A1004U0</t>
  </si>
  <si>
    <t>RU000A1004P0</t>
  </si>
  <si>
    <t>RU000A1004N5</t>
  </si>
  <si>
    <t>RU000A1004M7</t>
  </si>
  <si>
    <t>RU000A1004H7</t>
  </si>
  <si>
    <t>RU000A100451</t>
  </si>
  <si>
    <t>RU000A100444</t>
  </si>
  <si>
    <t>RU000A1003W8</t>
  </si>
  <si>
    <t>RU000A1003R8</t>
  </si>
  <si>
    <t>RU000A1003H9</t>
  </si>
  <si>
    <t>RU000A1003G1</t>
  </si>
  <si>
    <t>RU000A1003F3</t>
  </si>
  <si>
    <t>AKTSIONERNOYE OBSHCHESTVO "ARKTICHESKAYA GAZOVAYA KOMPANIYA"</t>
  </si>
  <si>
    <t>RU000A0JY5W3</t>
  </si>
  <si>
    <t>RU000A0JY5V5</t>
  </si>
  <si>
    <t>RU000A0JY5U7</t>
  </si>
  <si>
    <t>RU000A0JY5T9</t>
  </si>
  <si>
    <t>RU000A0JY5S1</t>
  </si>
  <si>
    <t>RU000A0JY5R3</t>
  </si>
  <si>
    <t>RU000A0JY5Q5</t>
  </si>
  <si>
    <t>RU000A0JY5P7</t>
  </si>
  <si>
    <t>RU000A0JY5N2</t>
  </si>
  <si>
    <t>RU000A0JY5M4</t>
  </si>
  <si>
    <t>RU000A0JY5L6</t>
  </si>
  <si>
    <t>RU000A0JY5K8</t>
  </si>
  <si>
    <t>RU000A0JY5J0</t>
  </si>
  <si>
    <t>Sidetur Finance BV</t>
  </si>
  <si>
    <t>825870AA6</t>
  </si>
  <si>
    <t xml:space="preserve"> </t>
  </si>
  <si>
    <t>Venezuela Government International Bond</t>
  </si>
  <si>
    <t>922646AS3</t>
  </si>
  <si>
    <t>US922646BL74</t>
  </si>
  <si>
    <t>USG70415AC18</t>
  </si>
  <si>
    <t>Petrozuata Finance Inc</t>
  </si>
  <si>
    <t>Cerro Negro Finance Ltd</t>
  </si>
  <si>
    <t>156877AC6</t>
  </si>
  <si>
    <t>156877AB8</t>
  </si>
  <si>
    <t>716558AC5</t>
  </si>
  <si>
    <t>716558AF8</t>
  </si>
  <si>
    <t>716558AG6</t>
  </si>
  <si>
    <t>716558AH4</t>
  </si>
  <si>
    <t>PUBLICHNOYE AKTSIONERNOYE OBSHCHESTVO PO PROIZVODSTVU TRIKOTAZHNYKH IZDELIY "KRASNOYE ZNAMYA"</t>
  </si>
  <si>
    <t>ZAKRYTOYE AKTSIONERNOYE OBSHCHESTVO "KRIOGAZ"</t>
  </si>
  <si>
    <t>Denholm Hall Russia Arbitrage Fund Ltd</t>
  </si>
  <si>
    <t>MANAGEMENT COMPANY "KAPITAL MUTUAL FUNDS"</t>
  </si>
  <si>
    <t>Moku Goldmines AG</t>
  </si>
  <si>
    <t>CH</t>
  </si>
  <si>
    <t>Sherkal Berlimed Iran</t>
  </si>
  <si>
    <t>CDR Ltd</t>
  </si>
  <si>
    <t>209867AA8</t>
  </si>
  <si>
    <t>Consolidated Railroad of Cuba</t>
  </si>
  <si>
    <t>Guantanamo &amp; Western Railroads Co.</t>
  </si>
  <si>
    <t>Republic of Cuba</t>
  </si>
  <si>
    <t>Havana Electric Railway</t>
  </si>
  <si>
    <t>Central Bank of the Islamic Republic of Iran</t>
  </si>
  <si>
    <t>preferred shares</t>
  </si>
  <si>
    <t>Al Salam Bank Sudan</t>
  </si>
  <si>
    <t>Arrow Drilling &amp; Exploration of Cuba Inc.</t>
  </si>
  <si>
    <t>Avangard JSC aka Avangard Bank</t>
  </si>
  <si>
    <t>RU000A0JXZ76</t>
  </si>
  <si>
    <t>Bayer Pharma Iran SA</t>
  </si>
  <si>
    <t xml:space="preserve"> Belorussian Oil Recovery and Workover Enhancement Management (AO "BELORUSSKOYE UPNP I KRS") </t>
  </si>
  <si>
    <t>CARIBBEAN OPPORTUNITIES LIMITED</t>
  </si>
  <si>
    <t>Caucasus Energy and Infrastructure</t>
  </si>
  <si>
    <t>Central Violeta Sugar Co.</t>
  </si>
  <si>
    <t>Ceiba Investment Ltd</t>
  </si>
  <si>
    <t>Compania Azucarera Vicana Azucarera Vicana</t>
  </si>
  <si>
    <t>CIA Cubana de Electricidad</t>
  </si>
  <si>
    <t>Compania Azucarera Atlantico del Golfo</t>
  </si>
  <si>
    <t>Cuban Venezuelan Oil Voting Trust</t>
  </si>
  <si>
    <t>JSC "ELEKTROCENTROMONTAZH"</t>
  </si>
  <si>
    <t>Fars &amp; Khuzestan Cement Company</t>
  </si>
  <si>
    <t>ZAKRYTOYE AKTSIONERNOYE OBSHCHESTVO "FENIKS"</t>
  </si>
  <si>
    <t>Ghadir Investment Co</t>
  </si>
  <si>
    <t>Hoechst Industrie AG</t>
  </si>
  <si>
    <t>International Management Company</t>
  </si>
  <si>
    <t>Iran Khodro Company</t>
  </si>
  <si>
    <t>Iran Khodro Industrial Group</t>
  </si>
  <si>
    <t>Iran Pan American Oil Company</t>
  </si>
  <si>
    <t>MAPNA</t>
  </si>
  <si>
    <t>Iransaipem Construction Co</t>
  </si>
  <si>
    <t>RU0009098990</t>
  </si>
  <si>
    <t>Khimprom PJSC</t>
  </si>
  <si>
    <t>RU0009099006</t>
  </si>
  <si>
    <t>Koltsovo Airport Public Joint Stock Company</t>
  </si>
  <si>
    <t>AKTSIONERNOYE OBSHCHESTVO "KONDROVSKIY KHLEBOKOMBINAT"</t>
  </si>
  <si>
    <t>Muezerskiy Lespromkhoz</t>
  </si>
  <si>
    <t>MORTGAGE AGENT VTB 2013-2 JOINT-STOCK COMPANY</t>
  </si>
  <si>
    <t>Kurgan Machinery Plant (KURGANSKIY MASHINOSTROITEL'NIY ZAVOD)</t>
  </si>
  <si>
    <t>La Compania de los Puertos de Cuba</t>
  </si>
  <si>
    <t>Lakokraska</t>
  </si>
  <si>
    <t>Zakrytoye Aktsionernoye Obshchestyo Media Press</t>
  </si>
  <si>
    <t>OPEN JOINT STOCK COMPANY "METROPOLITAN INSURANCE GROUP"</t>
  </si>
  <si>
    <t>AKTSIONERNOYE OBSHCHESTVO "MESSOYAKHANEFTEGAZ"</t>
  </si>
  <si>
    <t>JOINT STOCK COMPANY "MOSCOW URBAN PROMZHELDORTRANS"</t>
  </si>
  <si>
    <t>PUBLIC JOINT-STOCK COMPANY "MOSTOTREST"</t>
  </si>
  <si>
    <t>NABUC VALUE INVESTMENTS  FUND B.V.:Class A</t>
  </si>
  <si>
    <t>NABUC VALUE INVESTMENTS  FUND B.V.:Class C</t>
  </si>
  <si>
    <t>PUBLIC STOCK COMPANY "NIZHEGORODSKY MACHINE BUILDING PLANT"</t>
  </si>
  <si>
    <t>NNK-ENERGO</t>
  </si>
  <si>
    <t>OTKRYTOYE AKTSIONERNOYE OBSHCHESTVO "NOVINSKIY BUL'VAR, 31"</t>
  </si>
  <si>
    <t>OAO Khantymansiysknefteprodukt</t>
  </si>
  <si>
    <t>Pars International Manufacturing Co Ltd</t>
  </si>
  <si>
    <t>Pars Oil Co</t>
  </si>
  <si>
    <t>Partizan PJSC</t>
  </si>
  <si>
    <t>Pavlovo Bus PJSC</t>
  </si>
  <si>
    <t>V72740109</t>
  </si>
  <si>
    <t>Pharmaceutical  Industries Laboratory Ltd</t>
  </si>
  <si>
    <t>Planeta Dytyachyj Ozdorovchyj Kompleks OJSC</t>
  </si>
  <si>
    <t>Pivdenshlyakhbud PJSC</t>
  </si>
  <si>
    <t>Sweden</t>
  </si>
  <si>
    <t>PROMINVESTBANK</t>
  </si>
  <si>
    <t>Rafgulf SA</t>
  </si>
  <si>
    <t>RGS – METALLURGIYA</t>
  </si>
  <si>
    <t>Rosneft Oil Company</t>
  </si>
  <si>
    <t>RUSSIAN DEVELOPMENT CORPORATION (ROSTEC)</t>
  </si>
  <si>
    <t>SA Iranienne de Production Automobile</t>
  </si>
  <si>
    <t>Sberbank Slovensko A.S.</t>
  </si>
  <si>
    <t>Sevastopolska Miska Drukarnya PJSC</t>
  </si>
  <si>
    <t>PJSC "Strommeliormash"</t>
  </si>
  <si>
    <t>Closed Joint Stock Company Stroytransgaz</t>
  </si>
  <si>
    <t>STROITEL'NO-MONTAZHNIY TREST</t>
  </si>
  <si>
    <t>Stroytransgaz JSC</t>
  </si>
  <si>
    <t>Sudan Telecommunication Co</t>
  </si>
  <si>
    <t>Tehran Chemie</t>
  </si>
  <si>
    <t>M8750W118</t>
  </si>
  <si>
    <t>Tehran Pharma</t>
  </si>
  <si>
    <t xml:space="preserve">ZAKRYTOYE AKTSIONERNOYE OBSHCHESTVO "TELESPORT" </t>
  </si>
  <si>
    <t>Tidewater Middle East Co</t>
  </si>
  <si>
    <t>Torhovyi dim Silhospdetal PJSC</t>
  </si>
  <si>
    <t>Trans Cuba Oil Company</t>
  </si>
  <si>
    <t>Tver excavator OJSC</t>
  </si>
  <si>
    <t xml:space="preserve">Two Capital Highway LLC </t>
  </si>
  <si>
    <t>Two Capital Highway LLC</t>
  </si>
  <si>
    <t>AKTSIONERNOYE OBSHCHESTVO "UBT-INVEST"</t>
  </si>
  <si>
    <t>United Cuban Oil Company</t>
  </si>
  <si>
    <t>US</t>
  </si>
  <si>
    <t>Republic of Venezuela</t>
  </si>
  <si>
    <t>P8099ABL8</t>
  </si>
  <si>
    <t>P8099ABM6</t>
  </si>
  <si>
    <t>FRAC CUSIP P8099ABL8</t>
  </si>
  <si>
    <t>USG6954PAL43</t>
  </si>
  <si>
    <t>Petroleos de Venezuela, S.A.</t>
  </si>
  <si>
    <t>USP9395PAC51</t>
  </si>
  <si>
    <t>999B8YSR8</t>
  </si>
  <si>
    <t>999CNV9Y1</t>
  </si>
  <si>
    <t>999CSNWD4</t>
  </si>
  <si>
    <t>99E918RY7</t>
  </si>
  <si>
    <t>99E92QY28</t>
  </si>
  <si>
    <t>99E922ZJ3</t>
  </si>
  <si>
    <t>Vertientes Camaguey Sugar Co of Cuba</t>
  </si>
  <si>
    <t>RU000A0ZZNC7</t>
  </si>
  <si>
    <t>Volgogradneftemash OAO</t>
  </si>
  <si>
    <t>VTB Bank (Belarus), CJSC</t>
  </si>
  <si>
    <t>VTB Leasing Finance LLC</t>
  </si>
  <si>
    <t>Vympel Plant PJSC</t>
  </si>
  <si>
    <t>West Indies Sugar Corporation</t>
  </si>
  <si>
    <t>Yantarny PJSC</t>
  </si>
  <si>
    <t>Zakrytoye Aktsionernoye Obshchestvo Orgsportservis</t>
  </si>
  <si>
    <t>Zakrytoye Aktsionernoye Obshchestvo Spetsstroy-2</t>
  </si>
  <si>
    <t>ERMT.PA </t>
  </si>
  <si>
    <t>6752.T </t>
  </si>
  <si>
    <t>DUEG.DE</t>
  </si>
  <si>
    <t>Script dividend</t>
  </si>
  <si>
    <t># shares</t>
  </si>
  <si>
    <t>xxx</t>
  </si>
  <si>
    <t>Right Issue</t>
  </si>
  <si>
    <t xml:space="preserve">086520.KQ </t>
  </si>
  <si>
    <t xml:space="preserve">042600.KQ </t>
  </si>
  <si>
    <t>005070.KS</t>
  </si>
  <si>
    <t>005420.KS</t>
  </si>
  <si>
    <t>KEM</t>
  </si>
  <si>
    <t>Duerr AG</t>
  </si>
  <si>
    <t>Cosmo Advanced Materials &amp; Technology Co Ltd</t>
  </si>
  <si>
    <t>Cosmo Chemical Co Ltd</t>
  </si>
  <si>
    <t>KEMET Corp</t>
  </si>
  <si>
    <t>EAF</t>
  </si>
  <si>
    <t>FLR</t>
  </si>
  <si>
    <t>8053.T</t>
  </si>
  <si>
    <t>4092.T</t>
  </si>
  <si>
    <t>GrafTech International Ltd</t>
  </si>
  <si>
    <t>Fluor Corp</t>
  </si>
  <si>
    <t>Sumitomo Corp</t>
  </si>
  <si>
    <t>Forex</t>
  </si>
  <si>
    <t>flr</t>
  </si>
  <si>
    <t>4100.T</t>
  </si>
  <si>
    <t>rena.pa</t>
  </si>
  <si>
    <t>bmwg.de</t>
  </si>
  <si>
    <t xml:space="preserve">EMN Niches Fund - NAV: </t>
  </si>
  <si>
    <t>3407.T</t>
  </si>
  <si>
    <t>6902.T</t>
  </si>
  <si>
    <t>Bayerische Motoren Werke AG</t>
  </si>
  <si>
    <t>Asahi Kasei Corp</t>
  </si>
  <si>
    <t>Denso Corp</t>
  </si>
  <si>
    <t>SGCG.DE</t>
  </si>
  <si>
    <t>SGL Carbon SE</t>
  </si>
  <si>
    <t>1958.HK</t>
  </si>
  <si>
    <t>BAIC Motor Corp Ltd</t>
  </si>
  <si>
    <t>DBS</t>
  </si>
  <si>
    <t>DE0005565204</t>
  </si>
  <si>
    <t>US4883602074</t>
  </si>
  <si>
    <t>KR7005070008</t>
  </si>
  <si>
    <t>KR7005420005</t>
  </si>
  <si>
    <t>US3843135084</t>
  </si>
  <si>
    <t>US3434121022</t>
  </si>
  <si>
    <t>JP3404600003</t>
  </si>
  <si>
    <t>CNE100001TJ4</t>
  </si>
  <si>
    <t>DE0005190003</t>
  </si>
  <si>
    <t>DE0007235301</t>
  </si>
  <si>
    <t>JP3111200006</t>
  </si>
  <si>
    <t>JP3551500006</t>
  </si>
  <si>
    <t>4094.T</t>
  </si>
  <si>
    <t>JP3692000007</t>
  </si>
  <si>
    <t>VBX.DE</t>
  </si>
  <si>
    <t>Nihon Kagaku Sangyo Co Ltd</t>
  </si>
  <si>
    <t>Voltabox AG</t>
  </si>
  <si>
    <t>NKELyq.L</t>
  </si>
  <si>
    <t>GMK Noril'skiy Nikel' PAO</t>
  </si>
  <si>
    <t>4109.T</t>
  </si>
  <si>
    <t>Stella Chemifa Corp</t>
  </si>
  <si>
    <t>4004.T</t>
  </si>
  <si>
    <t>5301.T</t>
  </si>
  <si>
    <t>Maturity</t>
  </si>
  <si>
    <t>Tavira</t>
  </si>
  <si>
    <t>DE000A2E4LE9</t>
  </si>
  <si>
    <t>JP3399720006</t>
  </si>
  <si>
    <t>US55315J1025</t>
  </si>
  <si>
    <t xml:space="preserve">IMTP.PA </t>
  </si>
  <si>
    <t>FCX</t>
  </si>
  <si>
    <t>PLS.AX</t>
  </si>
  <si>
    <t>DE0007664039</t>
  </si>
  <si>
    <t>Volkswagen AG</t>
  </si>
  <si>
    <t>VOWG.DE</t>
  </si>
  <si>
    <t>Freeport-McMoRan Inc</t>
  </si>
  <si>
    <t>Pilbara Minerals Ltd</t>
  </si>
  <si>
    <t>Not Signed In</t>
  </si>
  <si>
    <t>US35671D8570</t>
  </si>
  <si>
    <t>AU000000PLS0</t>
  </si>
  <si>
    <t>DE0007664005</t>
  </si>
  <si>
    <t>5280*</t>
  </si>
  <si>
    <t>No universe defined.</t>
  </si>
  <si>
    <t>4080.T</t>
  </si>
  <si>
    <t>WSA.AX</t>
  </si>
  <si>
    <t>VOWG_p.DE</t>
  </si>
  <si>
    <t>Western Areas</t>
  </si>
  <si>
    <t>096775.ks</t>
  </si>
  <si>
    <t>NKL.V</t>
  </si>
  <si>
    <t>006405.ks</t>
  </si>
  <si>
    <t>DATE</t>
  </si>
  <si>
    <t>AU000000WSA9</t>
  </si>
  <si>
    <t>Western Areas Ltd</t>
  </si>
  <si>
    <t>Tavira Securities</t>
  </si>
  <si>
    <t>samsung</t>
  </si>
  <si>
    <t>comm</t>
  </si>
  <si>
    <t>Deposit</t>
  </si>
  <si>
    <t>ANTO.L</t>
  </si>
  <si>
    <t>GLEN.L</t>
  </si>
  <si>
    <t>Trade</t>
  </si>
  <si>
    <t>Company Name</t>
  </si>
  <si>
    <t>Last price Local Currency</t>
  </si>
  <si>
    <t>Last price in euro</t>
  </si>
  <si>
    <t>currency</t>
  </si>
  <si>
    <t>Cross LC / EURO</t>
  </si>
  <si>
    <t xml:space="preserve">Number of shares </t>
  </si>
  <si>
    <t>Approx. Amount in Local Currency</t>
  </si>
  <si>
    <t>Approx. Amount in Euro</t>
  </si>
  <si>
    <t>Trade date</t>
  </si>
  <si>
    <t>Execution instruction     as a % vlm</t>
  </si>
  <si>
    <t>Check Best Execution</t>
  </si>
  <si>
    <t>Execution price</t>
  </si>
  <si>
    <t>VWAP price</t>
  </si>
  <si>
    <t>DELTA</t>
  </si>
  <si>
    <t>NOTES</t>
  </si>
  <si>
    <t>Username</t>
  </si>
  <si>
    <t>OneDrive ID</t>
  </si>
  <si>
    <t>Massimo Torino</t>
  </si>
  <si>
    <t>Jasraj Riyat</t>
  </si>
  <si>
    <t>Niche2</t>
  </si>
  <si>
    <t>Rajiv</t>
  </si>
  <si>
    <t>Niche3</t>
  </si>
  <si>
    <t>Fabrizio Paggi</t>
  </si>
  <si>
    <t>NicheAM03T</t>
  </si>
  <si>
    <t>Adriele Nunes</t>
  </si>
  <si>
    <t>NicheAm05</t>
  </si>
  <si>
    <t>Cash-in Local</t>
  </si>
  <si>
    <t xml:space="preserve">Electric Mobility Niches  - NAV: </t>
  </si>
  <si>
    <t>EMSIITM1XXX</t>
  </si>
  <si>
    <t>TAVSGB21XXX</t>
  </si>
  <si>
    <t>JBBRFRPPXXX</t>
  </si>
  <si>
    <t>DBSVHKH1XXX</t>
  </si>
  <si>
    <t>SAMCKRS1XXX</t>
  </si>
  <si>
    <t>iso</t>
  </si>
  <si>
    <t>MARKET_PLACE</t>
  </si>
  <si>
    <t>COUNTRY</t>
  </si>
  <si>
    <t>FI</t>
  </si>
  <si>
    <t>APKEFIHHXXX</t>
  </si>
  <si>
    <t>Finland</t>
  </si>
  <si>
    <t>AU</t>
  </si>
  <si>
    <t>CAETAU21XXX</t>
  </si>
  <si>
    <t>SG</t>
  </si>
  <si>
    <t>CDPLSGSGXXX</t>
  </si>
  <si>
    <t>Singapore</t>
  </si>
  <si>
    <t>CA</t>
  </si>
  <si>
    <t>CDSLCATTXXX</t>
  </si>
  <si>
    <t>Canada</t>
  </si>
  <si>
    <t>BE</t>
  </si>
  <si>
    <t>CIKBBEBBXXX</t>
  </si>
  <si>
    <t>Belgium</t>
  </si>
  <si>
    <t>IE</t>
  </si>
  <si>
    <t>CRSTGB22XXX</t>
  </si>
  <si>
    <t>Ireland</t>
  </si>
  <si>
    <t>GB</t>
  </si>
  <si>
    <t>UK</t>
  </si>
  <si>
    <t>UK - li</t>
  </si>
  <si>
    <t>DE</t>
  </si>
  <si>
    <t>DAKVDEFFXXX</t>
  </si>
  <si>
    <t>Deutschland</t>
  </si>
  <si>
    <t>DTCYUS33XXX</t>
  </si>
  <si>
    <t>USA</t>
  </si>
  <si>
    <t>ID</t>
  </si>
  <si>
    <t>IBBKIDJAXXX</t>
  </si>
  <si>
    <t>Indonesia</t>
  </si>
  <si>
    <t>PT</t>
  </si>
  <si>
    <t>IBLSPTPPXXX</t>
  </si>
  <si>
    <t>Portugal</t>
  </si>
  <si>
    <t>ES</t>
  </si>
  <si>
    <t>IBRCESMMSCL</t>
  </si>
  <si>
    <t>Spain</t>
  </si>
  <si>
    <t>INSECHZZXXX</t>
  </si>
  <si>
    <t>Svizzera</t>
  </si>
  <si>
    <t>JP</t>
  </si>
  <si>
    <t>JJSDJPJTXXX</t>
  </si>
  <si>
    <t>KR</t>
  </si>
  <si>
    <t>KSDCKRSEXXX</t>
  </si>
  <si>
    <t>Korea</t>
  </si>
  <si>
    <t>MY</t>
  </si>
  <si>
    <t>MCDSMYK1XXX</t>
  </si>
  <si>
    <t>Malaysia</t>
  </si>
  <si>
    <t>IT</t>
  </si>
  <si>
    <t>MOTIITMMXXX</t>
  </si>
  <si>
    <t>Italy</t>
  </si>
  <si>
    <t>NL</t>
  </si>
  <si>
    <t>NECINL2AXXX</t>
  </si>
  <si>
    <t>Netherlands</t>
  </si>
  <si>
    <t>AT</t>
  </si>
  <si>
    <t>OCSDATWWXXX</t>
  </si>
  <si>
    <t>Austria</t>
  </si>
  <si>
    <t>PH</t>
  </si>
  <si>
    <t>PHCDPHM1XXX</t>
  </si>
  <si>
    <t>Philippines</t>
  </si>
  <si>
    <t>FR</t>
  </si>
  <si>
    <t>SICVFRPPXXX</t>
  </si>
  <si>
    <t>France</t>
  </si>
  <si>
    <t>TH</t>
  </si>
  <si>
    <t>TSDCTHBKXXX</t>
  </si>
  <si>
    <t>Thailand</t>
  </si>
  <si>
    <t>TVSBTRISXXX</t>
  </si>
  <si>
    <t>SE</t>
  </si>
  <si>
    <t>VPCSSESSXXX</t>
  </si>
  <si>
    <t>DK</t>
  </si>
  <si>
    <t>VPDKDKKKXXX</t>
  </si>
  <si>
    <t>Denmark</t>
  </si>
  <si>
    <t>VPSNNOKKXXX</t>
  </si>
  <si>
    <t>Norway</t>
  </si>
  <si>
    <t>HK</t>
  </si>
  <si>
    <t>XHKCHKH1XXX</t>
  </si>
  <si>
    <t>Hong Kong</t>
  </si>
  <si>
    <t>GR</t>
  </si>
  <si>
    <t>Grecia</t>
  </si>
  <si>
    <t>MX</t>
  </si>
  <si>
    <t>Mexico</t>
  </si>
  <si>
    <t>Taiwan</t>
  </si>
  <si>
    <t>Brazil</t>
  </si>
  <si>
    <t>CN</t>
  </si>
  <si>
    <t>COUNTERPARTY_BIC</t>
  </si>
  <si>
    <t>COUNTERPARTY_ACCOUNT</t>
  </si>
  <si>
    <t>FOP_IND</t>
  </si>
  <si>
    <t>SETTLEMENT_DELIVERY_SYSTEM</t>
  </si>
  <si>
    <t>AFFIATED_TYPE_SUB_CUSTODIA</t>
  </si>
  <si>
    <t>SUB_CUSTODIAN_AFFILATED_CODE</t>
  </si>
  <si>
    <t>SUB_CUSTODIAN_BIC_CODE</t>
  </si>
  <si>
    <t>SUB_CUSTODIAN_LABEL</t>
  </si>
  <si>
    <t>GC_AFFILIATED_TYPE</t>
  </si>
  <si>
    <t>GC_AFFILIATED_CODE</t>
  </si>
  <si>
    <t>GC_BIC_CODE</t>
  </si>
  <si>
    <t>GC_LABEL</t>
  </si>
  <si>
    <t>BROKER_TYPE</t>
  </si>
  <si>
    <t>EquitaBE</t>
  </si>
  <si>
    <t>CIKBBCITITMMD00000L10</t>
  </si>
  <si>
    <t>N</t>
  </si>
  <si>
    <t>BCITITMMD00</t>
  </si>
  <si>
    <t>EquitaDE</t>
  </si>
  <si>
    <t>DAKV8135000</t>
  </si>
  <si>
    <t>BCITITMMD03</t>
  </si>
  <si>
    <t>EquitaES</t>
  </si>
  <si>
    <t>BCITITMMXXX</t>
  </si>
  <si>
    <t>IBRCBSSSESM2XXX000000014T0EX0000007</t>
  </si>
  <si>
    <t>BSSSESM2XXX</t>
  </si>
  <si>
    <t>EquitaFI</t>
  </si>
  <si>
    <t>02 2000 1234 7860 8</t>
  </si>
  <si>
    <t>NDEAFIHHXXX</t>
  </si>
  <si>
    <t>EquitaFR</t>
  </si>
  <si>
    <t>SICVBCITITMMD00000L10</t>
  </si>
  <si>
    <t>EquitaIT</t>
  </si>
  <si>
    <t>MOTIBCITITMMXXX6039800</t>
  </si>
  <si>
    <t>BCITITM1T03</t>
  </si>
  <si>
    <t>EquitaNL</t>
  </si>
  <si>
    <t>NECIBCITITMMD00000L10</t>
  </si>
  <si>
    <t>EquitaJP</t>
  </si>
  <si>
    <t>BOTKJPJTXXX</t>
  </si>
  <si>
    <t>EquitaPT</t>
  </si>
  <si>
    <t>BESCPTPLXXX</t>
  </si>
  <si>
    <t>EquitaSE</t>
  </si>
  <si>
    <t>01 100 247 955</t>
  </si>
  <si>
    <t>ESSESESSXXX</t>
  </si>
  <si>
    <t>EquitaNO</t>
  </si>
  <si>
    <t>VPSNNOKKXX</t>
  </si>
  <si>
    <t>NDEANOKKXXX</t>
  </si>
  <si>
    <t>EquitaCA</t>
  </si>
  <si>
    <t>CDSL</t>
  </si>
  <si>
    <t>CITC</t>
  </si>
  <si>
    <t>EquitaCH</t>
  </si>
  <si>
    <t>0835 0951260 75 010</t>
  </si>
  <si>
    <t>CRESCHZZ80A</t>
  </si>
  <si>
    <t>EquitaAU</t>
  </si>
  <si>
    <t>CITIAU3XXXX</t>
  </si>
  <si>
    <t>EquitaUS</t>
  </si>
  <si>
    <t>DTCYID</t>
  </si>
  <si>
    <t>EquitaGB</t>
  </si>
  <si>
    <t>CRST</t>
  </si>
  <si>
    <t>BH01</t>
  </si>
  <si>
    <t>GSILGB2XXXX</t>
  </si>
  <si>
    <t>CIKBPARBFRPPXXX000L10</t>
  </si>
  <si>
    <t>PARBFRPPXXX</t>
  </si>
  <si>
    <t>DAKV7372000</t>
  </si>
  <si>
    <t>CITIDEFFXXX</t>
  </si>
  <si>
    <t>IBRCCITIESMXXXX000000006T0EX0000005</t>
  </si>
  <si>
    <t>CITIESMXXXX</t>
  </si>
  <si>
    <t>ESSEFIHXXXX</t>
  </si>
  <si>
    <t>SICVPARBFRPPXXX000L10</t>
  </si>
  <si>
    <t>MOTICITIITMXXXX6013800</t>
  </si>
  <si>
    <t>CITIITM1012</t>
  </si>
  <si>
    <t>NECICITTGB2LXXX000LM0000711796</t>
  </si>
  <si>
    <t>CITTGB2LXXX</t>
  </si>
  <si>
    <t>GOLDJPJXXXX</t>
  </si>
  <si>
    <t>GS0180159573</t>
  </si>
  <si>
    <t>SCBLSG22XXX</t>
  </si>
  <si>
    <t>KSDCKRSE</t>
  </si>
  <si>
    <t>GSKR30004960</t>
  </si>
  <si>
    <t>SCBLKRSE</t>
  </si>
  <si>
    <t>800248-0001</t>
  </si>
  <si>
    <t>CITIIDJXXXX</t>
  </si>
  <si>
    <t>CCASS</t>
  </si>
  <si>
    <t>B01451</t>
  </si>
  <si>
    <t>GSASHKH1XX</t>
  </si>
  <si>
    <t>IBLSCITIPTPXXXXSA000000005287024080</t>
  </si>
  <si>
    <t>CITIPTPXXXX</t>
  </si>
  <si>
    <t>VPCSSESS</t>
  </si>
  <si>
    <t>VPSNNOKK</t>
  </si>
  <si>
    <t>CDSLCATT</t>
  </si>
  <si>
    <t>GSCI</t>
  </si>
  <si>
    <t>INSECHZZ</t>
  </si>
  <si>
    <t>SCOM</t>
  </si>
  <si>
    <t>GB102183</t>
  </si>
  <si>
    <t>CAETAU21</t>
  </si>
  <si>
    <t>011-109048-061</t>
  </si>
  <si>
    <t>HKBAAU2SSYD</t>
  </si>
  <si>
    <t>DTCYUS33</t>
  </si>
  <si>
    <t>CRSTGB22</t>
  </si>
  <si>
    <t>KeplerJP</t>
  </si>
  <si>
    <t>SOGEFRPPTIT</t>
  </si>
  <si>
    <t>CITIJPJTXXX</t>
  </si>
  <si>
    <t>KeplerUS</t>
  </si>
  <si>
    <t>KeplerFR</t>
  </si>
  <si>
    <t>SICVPAREFRPPKCH000L10</t>
  </si>
  <si>
    <t>PAREFRPPKCH</t>
  </si>
  <si>
    <t>KeplerDE</t>
  </si>
  <si>
    <t>PAREFRPPXXX</t>
  </si>
  <si>
    <t>DAKV 8448</t>
  </si>
  <si>
    <t>SGABCHZZ448</t>
  </si>
  <si>
    <t>KeplerFI</t>
  </si>
  <si>
    <t>APKE0000000000000220000000112581180</t>
  </si>
  <si>
    <t>KeplerBE</t>
  </si>
  <si>
    <t>CIKBPAREFRPPKCH000L10</t>
  </si>
  <si>
    <t>KeplerGB</t>
  </si>
  <si>
    <t>3HMAY</t>
  </si>
  <si>
    <t>KeplerIT</t>
  </si>
  <si>
    <t>002900000099925900000</t>
  </si>
  <si>
    <t>TWOSITM1PAR</t>
  </si>
  <si>
    <t>KeplerAU</t>
  </si>
  <si>
    <t>KeplerCA</t>
  </si>
  <si>
    <t>RBCT</t>
  </si>
  <si>
    <t>KSEIIDJAXXX</t>
  </si>
  <si>
    <t>TRSEIDJ1XXX</t>
  </si>
  <si>
    <t>MBAMMYKLXXX</t>
  </si>
  <si>
    <t>B01762</t>
  </si>
  <si>
    <t>DBSESGSGXXX</t>
  </si>
  <si>
    <t>SamsungKR</t>
  </si>
  <si>
    <t>30-00</t>
  </si>
  <si>
    <t>swift code</t>
  </si>
  <si>
    <t>PSET</t>
  </si>
  <si>
    <t>ISO</t>
  </si>
  <si>
    <t>trade num</t>
  </si>
  <si>
    <t>EXT_REF_OPE</t>
  </si>
  <si>
    <t>EXT_REF_BLOC</t>
  </si>
  <si>
    <t>LINK_REF</t>
  </si>
  <si>
    <t>OPE_TYPE</t>
  </si>
  <si>
    <t>CANCELLED_REFERENCE</t>
  </si>
  <si>
    <t>TRADE_DATE</t>
  </si>
  <si>
    <t>TRADE_TIME</t>
  </si>
  <si>
    <t>SETT_DATE</t>
  </si>
  <si>
    <t>BUY_SELL</t>
  </si>
  <si>
    <t>SECURITY_IDENTIFIER</t>
  </si>
  <si>
    <t>SEC_ID_CODIFICATION</t>
  </si>
  <si>
    <t>SEC_CATEGORY</t>
  </si>
  <si>
    <t>MARKET_PLACE_CODIF</t>
  </si>
  <si>
    <t>SEC_SUB_CATEGORY</t>
  </si>
  <si>
    <t>ISSUER</t>
  </si>
  <si>
    <t>ISSUE_PLACE</t>
  </si>
  <si>
    <t>INDUSTRY_TYPE</t>
  </si>
  <si>
    <t>ISSUE_DATE</t>
  </si>
  <si>
    <t>MATURITY_DATE</t>
  </si>
  <si>
    <t>FIRST_ACCRUED_DATE</t>
  </si>
  <si>
    <t>INTERET_TYPE</t>
  </si>
  <si>
    <t>PERIODICITY</t>
  </si>
  <si>
    <t>RATE_TYPE</t>
  </si>
  <si>
    <t>RATE_NAME</t>
  </si>
  <si>
    <t>BASE</t>
  </si>
  <si>
    <t>BB_ID</t>
  </si>
  <si>
    <t>UNIQUE_BB_ID</t>
  </si>
  <si>
    <t>TICKER</t>
  </si>
  <si>
    <t>QUOTE_CURR</t>
  </si>
  <si>
    <t>DELIVERY_CURR</t>
  </si>
  <si>
    <t>FEES_CURR</t>
  </si>
  <si>
    <t>TRADING_CURR</t>
  </si>
  <si>
    <t>QUANTITY</t>
  </si>
  <si>
    <t>QUANTITY_TYPE</t>
  </si>
  <si>
    <t>CROSS_CURR</t>
  </si>
  <si>
    <t>PRICE</t>
  </si>
  <si>
    <t>PRICE_TYPE</t>
  </si>
  <si>
    <t>GROSS_AMOUT</t>
  </si>
  <si>
    <t>BROKERAGE_FEE</t>
  </si>
  <si>
    <t>OTHER_FEES</t>
  </si>
  <si>
    <t>VAT_FEES</t>
  </si>
  <si>
    <t>TOTAL_FEES</t>
  </si>
  <si>
    <t>TTF_FEES</t>
  </si>
  <si>
    <t>COMM_FEES</t>
  </si>
  <si>
    <t>RTO_FEES</t>
  </si>
  <si>
    <t>NET_AMOUNT</t>
  </si>
  <si>
    <t>ACCRUED_AMOUNT</t>
  </si>
  <si>
    <t>ACCOUNT</t>
  </si>
  <si>
    <t>ACCOUNT_TYPE</t>
  </si>
  <si>
    <t>NEW</t>
  </si>
  <si>
    <t>EQT</t>
  </si>
  <si>
    <t>TIFA</t>
  </si>
  <si>
    <t>Tavira SecuritiesBE</t>
  </si>
  <si>
    <t>Tavira SecuritiesDE</t>
  </si>
  <si>
    <t>Tavira SecuritiesES</t>
  </si>
  <si>
    <t>Tavira SecuritiesFI</t>
  </si>
  <si>
    <t>Tavira SecuritiesFR</t>
  </si>
  <si>
    <t>Tavira SecuritiesIT</t>
  </si>
  <si>
    <t>Tavira SecuritiesNL</t>
  </si>
  <si>
    <t>Tavira SecuritiesJP</t>
  </si>
  <si>
    <t>Tavira SecuritiesSG</t>
  </si>
  <si>
    <t>Tavira SecuritiesKR</t>
  </si>
  <si>
    <t>Tavira SecuritiesID</t>
  </si>
  <si>
    <t>Tavira SecuritiesHK</t>
  </si>
  <si>
    <t>Tavira SecuritiesPT</t>
  </si>
  <si>
    <t>Tavira SecuritiesSE</t>
  </si>
  <si>
    <t>Tavira SecuritiesNO</t>
  </si>
  <si>
    <t>Tavira SecuritiesCA</t>
  </si>
  <si>
    <t>Tavira SecuritiesCH</t>
  </si>
  <si>
    <t>Tavira SecuritiesAU</t>
  </si>
  <si>
    <t>Tavira SecuritiesUS</t>
  </si>
  <si>
    <t>Tavira SecuritiesGB</t>
  </si>
  <si>
    <t>NVESITRRXXX</t>
  </si>
  <si>
    <t>ESSEDKKKXXX</t>
  </si>
  <si>
    <t>02 2000 7738537 9</t>
  </si>
  <si>
    <t>DAKV8134000</t>
  </si>
  <si>
    <t>KDPWPLPWXXX</t>
  </si>
  <si>
    <t>12-00-000129</t>
  </si>
  <si>
    <t>SOGEPLPWXXX</t>
  </si>
  <si>
    <t>IBRCBSSSESM2XXX000000002T0EX0000001</t>
  </si>
  <si>
    <t>01-001 281 683</t>
  </si>
  <si>
    <t>0835-0951260-75-004</t>
  </si>
  <si>
    <t>CH100164</t>
  </si>
  <si>
    <t>MIDLGB22XXX</t>
  </si>
  <si>
    <t>BCITITM1T55</t>
  </si>
  <si>
    <t>OCSD227200</t>
  </si>
  <si>
    <t>RZBAATWWXXX</t>
  </si>
  <si>
    <t>500-796370-085</t>
  </si>
  <si>
    <t>C00019</t>
  </si>
  <si>
    <t>HSBCHKHHSEC</t>
  </si>
  <si>
    <t>318-192218-085</t>
  </si>
  <si>
    <t>HBMBMYKLXXX</t>
  </si>
  <si>
    <t>041-048927-085</t>
  </si>
  <si>
    <t>HSBCSGSGXXX</t>
  </si>
  <si>
    <t>CITIUS33XX</t>
  </si>
  <si>
    <t>CITICATTXXX</t>
  </si>
  <si>
    <t>GSMABE</t>
  </si>
  <si>
    <t>GSMADK</t>
  </si>
  <si>
    <t>GSMAFI</t>
  </si>
  <si>
    <t>GSMAFR</t>
  </si>
  <si>
    <t>GSMADE</t>
  </si>
  <si>
    <t>GSMANL</t>
  </si>
  <si>
    <t>GSMANO</t>
  </si>
  <si>
    <t>GSMAPL</t>
  </si>
  <si>
    <t>GSMAPT</t>
  </si>
  <si>
    <t>GSMAES</t>
  </si>
  <si>
    <t>GSMASE</t>
  </si>
  <si>
    <t>GSMACH</t>
  </si>
  <si>
    <t>GSMAGB</t>
  </si>
  <si>
    <t>GSMAIT</t>
  </si>
  <si>
    <t>GSMAAT</t>
  </si>
  <si>
    <t>GSMAHK</t>
  </si>
  <si>
    <t>GSMAJP</t>
  </si>
  <si>
    <t>GSMAMY</t>
  </si>
  <si>
    <t>GSMASG</t>
  </si>
  <si>
    <t>GSMAAU</t>
  </si>
  <si>
    <t>GSMACA</t>
  </si>
  <si>
    <t>GSMAUS</t>
  </si>
  <si>
    <t>Andrea Portatile</t>
  </si>
  <si>
    <t>andre</t>
  </si>
  <si>
    <t>5713.T</t>
  </si>
  <si>
    <t>JE</t>
  </si>
  <si>
    <t>Tavira SecuritiesJE</t>
  </si>
  <si>
    <t>GB0000456144</t>
  </si>
  <si>
    <t>JE00B4T3BW64</t>
  </si>
  <si>
    <t>nkl.v</t>
  </si>
  <si>
    <t>3407.t</t>
  </si>
  <si>
    <t>CA2019001</t>
  </si>
  <si>
    <t>PHARUS ELECTRIC MOBILITY NICHES</t>
  </si>
  <si>
    <t>BMWG.DE</t>
  </si>
  <si>
    <t>EMN</t>
  </si>
  <si>
    <t>NAV</t>
  </si>
  <si>
    <t>%</t>
  </si>
  <si>
    <t>kepler</t>
  </si>
  <si>
    <t xml:space="preserve">ISIN </t>
  </si>
  <si>
    <t>CHECK ISIN</t>
  </si>
  <si>
    <t>CHECK QTY</t>
  </si>
  <si>
    <t>CHECK  ISIN</t>
  </si>
  <si>
    <t>CHECK PRICE</t>
  </si>
  <si>
    <t>DIFF QTY</t>
  </si>
  <si>
    <t>DIFF PRICE</t>
  </si>
  <si>
    <t>NAV DATE</t>
  </si>
  <si>
    <t>AMOUNT</t>
  </si>
  <si>
    <t>SETTLEMENT DATE</t>
  </si>
  <si>
    <t>LU1867072495 - Pharus Sicav - Electric Mobility NichesQ</t>
  </si>
  <si>
    <t>CONIC METALS C/d</t>
  </si>
  <si>
    <t>LU1867072149 - Pharus Sicav - Electric Mobility NichesA</t>
  </si>
  <si>
    <t>LU1867072222 - Pharus Sicav - Electric Mobility NichesB</t>
  </si>
  <si>
    <t>DVD</t>
  </si>
  <si>
    <t>064960.KS</t>
  </si>
  <si>
    <t>1211.HK</t>
  </si>
  <si>
    <t xml:space="preserve">Samsung </t>
  </si>
  <si>
    <t>SHS IN-OUT</t>
  </si>
  <si>
    <t>equita</t>
  </si>
  <si>
    <t>ca</t>
  </si>
  <si>
    <t>spin-off</t>
  </si>
  <si>
    <t>357780.KQ</t>
  </si>
  <si>
    <t>SOULBRAIN CO LTD</t>
  </si>
  <si>
    <t>6674.T</t>
  </si>
  <si>
    <t>005490.KS</t>
  </si>
  <si>
    <t>BOFAMLY</t>
  </si>
  <si>
    <t>MLILGB3LESF</t>
  </si>
  <si>
    <t>MGTCBEBEECL</t>
  </si>
  <si>
    <t>20671008636407</t>
  </si>
  <si>
    <t>PARBDEFFXXX</t>
  </si>
  <si>
    <t>NDEANOKK</t>
  </si>
  <si>
    <t>PKOPPLPWCUS</t>
  </si>
  <si>
    <t>49476Z</t>
  </si>
  <si>
    <t>IBRCPARBESMXXXX000000023T0EX0000020</t>
  </si>
  <si>
    <t>PARBESMXXXX</t>
  </si>
  <si>
    <t>NDEASESS</t>
  </si>
  <si>
    <t>GB101073</t>
  </si>
  <si>
    <t>PARBITMM048</t>
  </si>
  <si>
    <t>895-919055</t>
  </si>
  <si>
    <t>MLCOJPJT</t>
  </si>
  <si>
    <t>MLI21</t>
  </si>
  <si>
    <t>MLEQAU2S</t>
  </si>
  <si>
    <t>MLSCUS31</t>
  </si>
  <si>
    <t>ID0000092854</t>
  </si>
  <si>
    <t>SCBLIDJX</t>
  </si>
  <si>
    <t>207001053461224</t>
  </si>
  <si>
    <t>CITIMYKL</t>
  </si>
  <si>
    <t>000000618141</t>
  </si>
  <si>
    <t>B01224</t>
  </si>
  <si>
    <t>MLFEHKHHGLO</t>
  </si>
  <si>
    <t>MLSSSGSG</t>
  </si>
  <si>
    <t>MLKRKRS1</t>
  </si>
  <si>
    <t>PHCDPHM1</t>
  </si>
  <si>
    <t>CITIPHMX</t>
  </si>
  <si>
    <t>6502.T</t>
  </si>
  <si>
    <t>056190.KQ</t>
  </si>
  <si>
    <t>4023.t</t>
  </si>
  <si>
    <t xml:space="preserve">Kepler </t>
  </si>
  <si>
    <t>4205.T</t>
  </si>
  <si>
    <t>LECN.S</t>
  </si>
  <si>
    <t xml:space="preserve">Equita </t>
  </si>
  <si>
    <t>wsa.ax</t>
  </si>
  <si>
    <t>ZCSDAFSFSF</t>
  </si>
  <si>
    <t>ALELIObtu.ST</t>
  </si>
  <si>
    <t>ALELION ENERGY SYSTEMS AB</t>
  </si>
  <si>
    <t>096770.ks</t>
  </si>
  <si>
    <t>OSA.MI</t>
  </si>
  <si>
    <t>hk</t>
  </si>
  <si>
    <t>0010</t>
  </si>
  <si>
    <t>OSA_t.MI</t>
  </si>
  <si>
    <t>ALELIOto2.ST</t>
  </si>
  <si>
    <t>IGO.AX</t>
  </si>
  <si>
    <t>BMNB.L</t>
  </si>
  <si>
    <t>gb</t>
  </si>
  <si>
    <t>syr.ax</t>
  </si>
  <si>
    <t>096770.KS</t>
  </si>
  <si>
    <t>DBS VickersKR</t>
  </si>
  <si>
    <t>WISHKRSE</t>
  </si>
  <si>
    <t>DBS VickersMY</t>
  </si>
  <si>
    <t>DBS VickersHK</t>
  </si>
  <si>
    <t>DBS VickersID</t>
  </si>
  <si>
    <t>DBS VickersSG</t>
  </si>
  <si>
    <t>DBS VickersTH</t>
  </si>
  <si>
    <t>DBSVTHB1</t>
  </si>
  <si>
    <t xml:space="preserve">DBS VickersPH </t>
  </si>
  <si>
    <t>FMSOPHM1XXX</t>
  </si>
  <si>
    <t>FR0013461274</t>
  </si>
  <si>
    <t>US345370CW84</t>
  </si>
  <si>
    <t>CRYSTAL PERFORM FEES</t>
  </si>
  <si>
    <t>VALOR</t>
  </si>
  <si>
    <t>CUSIP</t>
  </si>
  <si>
    <t>SECURITY_TYPE</t>
  </si>
  <si>
    <t>UBS_SANCTIONED</t>
  </si>
  <si>
    <t>ADDED_TO_SSL_ON</t>
  </si>
  <si>
    <t>RU000A102HN8</t>
  </si>
  <si>
    <t>59106188</t>
  </si>
  <si>
    <t>Structured instruments</t>
  </si>
  <si>
    <t>2020-12-29 17:19:13.494</t>
  </si>
  <si>
    <t>RU000A102LU5</t>
  </si>
  <si>
    <t>59102000</t>
  </si>
  <si>
    <t>Debt</t>
  </si>
  <si>
    <t>Gazprombank JSC</t>
  </si>
  <si>
    <t>2020-12-26 03:56:54.197</t>
  </si>
  <si>
    <t>RU000A102LV3</t>
  </si>
  <si>
    <t>59101999</t>
  </si>
  <si>
    <t>2020-12-26 03:56:54.16</t>
  </si>
  <si>
    <t>RU000A102L95</t>
  </si>
  <si>
    <t>59101388</t>
  </si>
  <si>
    <t>Gazprom Neft PJSC</t>
  </si>
  <si>
    <t>2020-12-24 15:52:55.956</t>
  </si>
  <si>
    <t>RU000A102KV5</t>
  </si>
  <si>
    <t>59085976</t>
  </si>
  <si>
    <t>Russian Agricultural Bank JSC</t>
  </si>
  <si>
    <t>2020-12-24 15:52:55.923</t>
  </si>
  <si>
    <t>RU000A102KS1</t>
  </si>
  <si>
    <t>59081359</t>
  </si>
  <si>
    <t>2020-12-23 15:53:07.866</t>
  </si>
  <si>
    <t>RU000A102K96</t>
  </si>
  <si>
    <t>59082396</t>
  </si>
  <si>
    <t>State Development Corporation VEB.RF</t>
  </si>
  <si>
    <t>2020-12-23 15:53:07.77</t>
  </si>
  <si>
    <t>RU000A102EV8</t>
  </si>
  <si>
    <t>59041801</t>
  </si>
  <si>
    <t>2020-12-22 15:52:28.24</t>
  </si>
  <si>
    <t>RU000A102ES4</t>
  </si>
  <si>
    <t>59041799</t>
  </si>
  <si>
    <t>2020-12-22 15:52:28.183</t>
  </si>
  <si>
    <t>RU000A102EU0</t>
  </si>
  <si>
    <t>59041800</t>
  </si>
  <si>
    <t>2020-12-22 15:52:28.129</t>
  </si>
  <si>
    <t>RU000A102ER6</t>
  </si>
  <si>
    <t>59041798</t>
  </si>
  <si>
    <t>2020-12-22 15:52:27.985</t>
  </si>
  <si>
    <t>RU000A102FA9</t>
  </si>
  <si>
    <t>59041797</t>
  </si>
  <si>
    <t>2020-12-22 03:52:39.992</t>
  </si>
  <si>
    <t>RU000A102JC7</t>
  </si>
  <si>
    <t>59019654</t>
  </si>
  <si>
    <t>2020-12-19 03:56:55.318</t>
  </si>
  <si>
    <t>RU000A102HH0</t>
  </si>
  <si>
    <t>58990924</t>
  </si>
  <si>
    <t>2020-12-18 15:53:10.038</t>
  </si>
  <si>
    <t>RU000A102JQ7</t>
  </si>
  <si>
    <t>58560011</t>
  </si>
  <si>
    <t>2020-12-18 15:53:09.99</t>
  </si>
  <si>
    <t>RU000A102HK4</t>
  </si>
  <si>
    <t>58990923</t>
  </si>
  <si>
    <t>2020-12-18 15:53:09.929</t>
  </si>
  <si>
    <t>RU000A102JA1</t>
  </si>
  <si>
    <t>59018507</t>
  </si>
  <si>
    <t>2020-12-18 15:53:09.859</t>
  </si>
  <si>
    <t>RU000A102HA5</t>
  </si>
  <si>
    <t>58936227</t>
  </si>
  <si>
    <t>Russian Bank for Small and Medium Enterprises Support JSC</t>
  </si>
  <si>
    <t>2020-12-16 15:53:39.482</t>
  </si>
  <si>
    <t>RU000A102HU3</t>
  </si>
  <si>
    <t>58962118</t>
  </si>
  <si>
    <t>Yalamov Urals Optical Machanical Plant FGUP PO</t>
  </si>
  <si>
    <t>2020-12-16 15:53:39.263</t>
  </si>
  <si>
    <t>RU000A102DF3</t>
  </si>
  <si>
    <t>58936241</t>
  </si>
  <si>
    <t>2020-12-15 15:53:05.309</t>
  </si>
  <si>
    <t>RU000A102EL9</t>
  </si>
  <si>
    <t>58918985</t>
  </si>
  <si>
    <t>2020-12-15 03:53:12.965</t>
  </si>
  <si>
    <t>RU000A102EN5</t>
  </si>
  <si>
    <t>58918987</t>
  </si>
  <si>
    <t>2020-12-15 03:53:12.91</t>
  </si>
  <si>
    <t>RU000A102GZ4</t>
  </si>
  <si>
    <t>58918875</t>
  </si>
  <si>
    <t>2020-12-15 03:53:12.863</t>
  </si>
  <si>
    <t>RU000A102EP0</t>
  </si>
  <si>
    <t>58918888</t>
  </si>
  <si>
    <t>2020-12-15 03:53:12.827</t>
  </si>
  <si>
    <t>RU000A102EJ3</t>
  </si>
  <si>
    <t>58918982</t>
  </si>
  <si>
    <t>2020-12-15 03:53:12.794</t>
  </si>
  <si>
    <t>RU000A102EH7</t>
  </si>
  <si>
    <t>58918980</t>
  </si>
  <si>
    <t>2020-12-15 03:53:12.661</t>
  </si>
  <si>
    <t>RU000A102H75</t>
  </si>
  <si>
    <t>58919482</t>
  </si>
  <si>
    <t>2020-12-15 03:53:12.618</t>
  </si>
  <si>
    <t>RU000A102H00</t>
  </si>
  <si>
    <t>58903115</t>
  </si>
  <si>
    <t>2020-12-14 15:52:47.792</t>
  </si>
  <si>
    <t>RU000A102FR3</t>
  </si>
  <si>
    <t>58903016</t>
  </si>
  <si>
    <t>2020-12-14 15:52:47.682</t>
  </si>
  <si>
    <t>RU000A102GG4</t>
  </si>
  <si>
    <t>58902999</t>
  </si>
  <si>
    <t>2020-12-14 15:52:47.564</t>
  </si>
  <si>
    <t>RU000A102GN0</t>
  </si>
  <si>
    <t>58903005</t>
  </si>
  <si>
    <t>2020-12-12 03:56:44.61</t>
  </si>
  <si>
    <t>RU000A102GJ8</t>
  </si>
  <si>
    <t>58901180</t>
  </si>
  <si>
    <t>2020-12-12 03:56:44.573</t>
  </si>
  <si>
    <t>RU000A102GP5</t>
  </si>
  <si>
    <t>58903017</t>
  </si>
  <si>
    <t>2020-12-12 03:56:44.511</t>
  </si>
  <si>
    <t>RU000A102D53</t>
  </si>
  <si>
    <t>58903090</t>
  </si>
  <si>
    <t>2020-12-12 03:56:44.433</t>
  </si>
  <si>
    <t>RU000A102GL4</t>
  </si>
  <si>
    <t>58903000</t>
  </si>
  <si>
    <t>2020-12-12 03:56:44.393</t>
  </si>
  <si>
    <t>RU000A102GM2</t>
  </si>
  <si>
    <t>58903004</t>
  </si>
  <si>
    <t>2020-12-12 03:56:44.224</t>
  </si>
  <si>
    <t>RU000A102GQ3</t>
  </si>
  <si>
    <t>58903003</t>
  </si>
  <si>
    <t>2020-12-12 03:56:44.173</t>
  </si>
  <si>
    <t>RU000A102GH2</t>
  </si>
  <si>
    <t>58903001</t>
  </si>
  <si>
    <t>2020-12-12 03:56:44.128</t>
  </si>
  <si>
    <t>RU000A102GR1</t>
  </si>
  <si>
    <t>58903022</t>
  </si>
  <si>
    <t>2020-12-12 03:56:44.091</t>
  </si>
  <si>
    <t>RU000A102G76</t>
  </si>
  <si>
    <t>58873557</t>
  </si>
  <si>
    <t>2020-12-10 15:52:50.491</t>
  </si>
  <si>
    <t>RU000A102FJ0</t>
  </si>
  <si>
    <t>58758871</t>
  </si>
  <si>
    <t>2020-12-04 03:56:47.05</t>
  </si>
  <si>
    <t>RU000A102FL6</t>
  </si>
  <si>
    <t>58758872</t>
  </si>
  <si>
    <t>2020-12-04 03:56:46.956</t>
  </si>
  <si>
    <t>RU000A102FC5</t>
  </si>
  <si>
    <t>58737305</t>
  </si>
  <si>
    <t>2020-12-03 03:54:02.138</t>
  </si>
  <si>
    <t>RU000A102F69</t>
  </si>
  <si>
    <t>58681269</t>
  </si>
  <si>
    <t>2020-12-01 03:52:52.509</t>
  </si>
  <si>
    <t>RU000A102F51</t>
  </si>
  <si>
    <t>58668936</t>
  </si>
  <si>
    <t>2020-11-30 15:54:17.14</t>
  </si>
  <si>
    <t>RU000A102D61</t>
  </si>
  <si>
    <t>58645525</t>
  </si>
  <si>
    <t>2020-11-30 15:54:17.104</t>
  </si>
  <si>
    <t>274922</t>
  </si>
  <si>
    <t>Currency/ Currency dealings</t>
  </si>
  <si>
    <t>Banco Central de Venezuela</t>
  </si>
  <si>
    <t>2020-11-30 15:50:42.662</t>
  </si>
  <si>
    <t>2020-11-27 20:27:17.76</t>
  </si>
  <si>
    <t>2020-11-27 20:27:17.685</t>
  </si>
  <si>
    <t>2020-11-27 20:27:17.646</t>
  </si>
  <si>
    <t>2020-11-27 20:27:17.606</t>
  </si>
  <si>
    <t>2020-11-27 20:27:17.563</t>
  </si>
  <si>
    <t>2020-11-27 20:27:17.521</t>
  </si>
  <si>
    <t>2020-11-27 20:27:17.47</t>
  </si>
  <si>
    <t>2020-11-27 20:27:17.426</t>
  </si>
  <si>
    <t>2020-11-27 20:27:17.387</t>
  </si>
  <si>
    <t>2020-11-27 20:27:17.34</t>
  </si>
  <si>
    <t>2020-11-27 20:27:17.28</t>
  </si>
  <si>
    <t>2020-11-27 20:27:17.206</t>
  </si>
  <si>
    <t>2020-11-27 20:27:17.166</t>
  </si>
  <si>
    <t>2020-11-27 20:27:17.082</t>
  </si>
  <si>
    <t>2020-11-27 20:27:17.012</t>
  </si>
  <si>
    <t>2020-11-27 20:27:16.946</t>
  </si>
  <si>
    <t>2020-11-27 20:27:16.875</t>
  </si>
  <si>
    <t>2020-11-27 20:27:16.836</t>
  </si>
  <si>
    <t>2020-11-27 20:27:16.761</t>
  </si>
  <si>
    <t>2020-11-27 20:27:16.68</t>
  </si>
  <si>
    <t>2020-11-27 20:27:16.604</t>
  </si>
  <si>
    <t>2020-11-27 20:27:16.558</t>
  </si>
  <si>
    <t>2020-11-27 20:27:16.461</t>
  </si>
  <si>
    <t>2020-11-27 20:27:16.388</t>
  </si>
  <si>
    <t>2020-11-27 20:27:16.305</t>
  </si>
  <si>
    <t>2020-11-27 20:27:16.263</t>
  </si>
  <si>
    <t>2020-11-27 20:27:16.19</t>
  </si>
  <si>
    <t>2020-11-27 20:27:16.141</t>
  </si>
  <si>
    <t>2020-11-27 20:27:16.059</t>
  </si>
  <si>
    <t>2020-11-27 20:27:15.988</t>
  </si>
  <si>
    <t>Investment trust unit/share</t>
  </si>
  <si>
    <t>2020-11-27 20:27:15.945</t>
  </si>
  <si>
    <t>2020-11-27 20:27:15.883</t>
  </si>
  <si>
    <t>2020-11-27 20:27:15.842</t>
  </si>
  <si>
    <t>2020-11-27 20:27:15.78</t>
  </si>
  <si>
    <t>2020-11-27 20:27:15.71</t>
  </si>
  <si>
    <t>2020-11-27 20:27:15.66</t>
  </si>
  <si>
    <t>2020-11-27 20:27:15.598</t>
  </si>
  <si>
    <t>2020-11-27 20:27:15.554</t>
  </si>
  <si>
    <t>2020-11-27 20:27:15.462</t>
  </si>
  <si>
    <t>2020-11-27 20:27:15.388</t>
  </si>
  <si>
    <t>2020-11-27 20:27:15.313</t>
  </si>
  <si>
    <t>2020-11-27 20:27:15.269</t>
  </si>
  <si>
    <t>2020-11-27 20:27:15.233</t>
  </si>
  <si>
    <t>2020-11-27 20:27:15.197</t>
  </si>
  <si>
    <t>2020-11-27 20:27:15.156</t>
  </si>
  <si>
    <t>2020-11-27 20:27:15.098</t>
  </si>
  <si>
    <t>2020-11-27 20:27:15.056</t>
  </si>
  <si>
    <t>2020-11-27 20:27:15.01</t>
  </si>
  <si>
    <t>2020-11-27 20:27:14.973</t>
  </si>
  <si>
    <t>2020-11-27 20:27:14.9</t>
  </si>
  <si>
    <t>2020-11-27 20:27:14.861</t>
  </si>
  <si>
    <t>2020-11-27 20:27:14.791</t>
  </si>
  <si>
    <t>2020-11-27 20:27:14.742</t>
  </si>
  <si>
    <t>2020-11-27 20:27:14.596</t>
  </si>
  <si>
    <t>2020-11-27 20:27:14.56</t>
  </si>
  <si>
    <t>2020-11-27 20:27:14.481</t>
  </si>
  <si>
    <t>2020-11-27 20:27:14.411</t>
  </si>
  <si>
    <t>2020-11-27 20:27:14.365</t>
  </si>
  <si>
    <t>2020-11-27 20:27:14.299</t>
  </si>
  <si>
    <t>2020-11-27 20:27:14.258</t>
  </si>
  <si>
    <t>2020-11-27 20:27:14.194</t>
  </si>
  <si>
    <t>2020-11-27 20:27:14.151</t>
  </si>
  <si>
    <t>2020-11-27 20:27:14.104</t>
  </si>
  <si>
    <t>2020-11-27 20:27:14.058</t>
  </si>
  <si>
    <t>2020-11-27 20:27:13.999</t>
  </si>
  <si>
    <t>2020-11-27 20:27:13.958</t>
  </si>
  <si>
    <t>2020-11-27 20:27:13.908</t>
  </si>
  <si>
    <t>2020-11-27 20:27:13.86</t>
  </si>
  <si>
    <t>US92263Y1047</t>
  </si>
  <si>
    <t>Venepal</t>
  </si>
  <si>
    <t>2020-11-27 20:27:13.785</t>
  </si>
  <si>
    <t>VEV0014910A3</t>
  </si>
  <si>
    <t>2020-11-27 20:27:13.699</t>
  </si>
  <si>
    <t>VEV0014910B1</t>
  </si>
  <si>
    <t>2020-11-27 20:27:13.637</t>
  </si>
  <si>
    <t>RU000A100PM7</t>
  </si>
  <si>
    <t>RSG-FINANS</t>
  </si>
  <si>
    <t>2020-11-27 20:27:13.59</t>
  </si>
  <si>
    <t>RU000A100PS4</t>
  </si>
  <si>
    <t>2020-11-27 20:27:13.548</t>
  </si>
  <si>
    <t>RU000A101749</t>
  </si>
  <si>
    <t>JOINT STOCK COMPANY "KAPITAL ASSET MANAGEMENT"</t>
  </si>
  <si>
    <t>2020-11-27 20:27:13.459</t>
  </si>
  <si>
    <t>SE0005994167</t>
  </si>
  <si>
    <t>Nynas AB</t>
  </si>
  <si>
    <t>2020-11-27 20:27:13.364</t>
  </si>
  <si>
    <t>US1247762040</t>
  </si>
  <si>
    <t>VENEZ PULPA Y PAPEL</t>
  </si>
  <si>
    <t>2020-11-27 20:27:13.307</t>
  </si>
  <si>
    <t>XS0177782694</t>
  </si>
  <si>
    <t>REPUBLIC OF VENEZUELA</t>
  </si>
  <si>
    <t>2020-11-27 20:27:13.258</t>
  </si>
  <si>
    <t>CA7169121000</t>
  </si>
  <si>
    <t>PETROLEOS DE VENEZUELA</t>
  </si>
  <si>
    <t>2020-11-27 20:27:13.191</t>
  </si>
  <si>
    <t>VEP2383D1152</t>
  </si>
  <si>
    <t>CERAMICA CARABOBOS</t>
  </si>
  <si>
    <t>2020-11-27 20:27:13.151</t>
  </si>
  <si>
    <t>VEV000201005</t>
  </si>
  <si>
    <t>CERAMICA CARABOBO CA</t>
  </si>
  <si>
    <t>2020-11-27 20:27:13.076</t>
  </si>
  <si>
    <t>VEP2383D1079</t>
  </si>
  <si>
    <t>2020-11-27 20:27:12.999</t>
  </si>
  <si>
    <t>US15671P7042</t>
  </si>
  <si>
    <t>2020-11-27 20:27:12.959</t>
  </si>
  <si>
    <t>US15671P6051</t>
  </si>
  <si>
    <t>2020-11-27 20:27:12.897</t>
  </si>
  <si>
    <t>US15671P5061</t>
  </si>
  <si>
    <t>2020-11-27 20:27:12.858</t>
  </si>
  <si>
    <t>US15671P4072</t>
  </si>
  <si>
    <t>2020-11-27 20:27:12.793</t>
  </si>
  <si>
    <t>US12476NAB55</t>
  </si>
  <si>
    <t>CANTV FINANCE LTD</t>
  </si>
  <si>
    <t>2020-11-27 20:27:12.737</t>
  </si>
  <si>
    <t>US1247761059</t>
  </si>
  <si>
    <t>CA VENEZOLANA DE PULPA</t>
  </si>
  <si>
    <t>2020-11-27 20:27:12.666</t>
  </si>
  <si>
    <t>RU000A101EQ0</t>
  </si>
  <si>
    <t>2020-11-27 20:27:12.59</t>
  </si>
  <si>
    <t>RU000A101ES6</t>
  </si>
  <si>
    <t>2020-11-27 20:27:12.537</t>
  </si>
  <si>
    <t>RU000A101R66</t>
  </si>
  <si>
    <t xml:space="preserve">Management Company:  "RSHB ASSET MANAGEMENT" LIMITED LIABILITY COMPANY </t>
  </si>
  <si>
    <t>2020-11-27 19:14:08.859</t>
  </si>
  <si>
    <t>RU000A101TQ8</t>
  </si>
  <si>
    <t>JOINT-STOCK COMPANY "SBERBANK CIB"</t>
  </si>
  <si>
    <t>2020-11-27 19:14:08.791</t>
  </si>
  <si>
    <t>RU000A101VF7</t>
  </si>
  <si>
    <t>2020-11-27 19:14:08.745</t>
  </si>
  <si>
    <t>RU000A101VG5</t>
  </si>
  <si>
    <t>2020-11-27 19:14:08.658</t>
  </si>
  <si>
    <t>RU000A101VV4</t>
  </si>
  <si>
    <t>2020-11-27 19:14:08.568</t>
  </si>
  <si>
    <t>RU000A101ZW3</t>
  </si>
  <si>
    <t>THE "URALMASHPLANT" JOINT-STOCK COMPANY</t>
  </si>
  <si>
    <t>2020-11-27 19:14:08.463</t>
  </si>
  <si>
    <t>RU000A1021U4</t>
  </si>
  <si>
    <t>AKTSIONERNOYE OBSHCHESTVO "SUDOSTROITEL'NAYA KORPORATSIYA "AK BARS"</t>
  </si>
  <si>
    <t>2020-11-27 19:14:08.37</t>
  </si>
  <si>
    <t>CNE000001F13</t>
  </si>
  <si>
    <t>Xinjiang Guannong Fruit &amp; Antler Co., Ltd.</t>
  </si>
  <si>
    <t>2020-11-27 19:14:08.275</t>
  </si>
  <si>
    <t>CNE0000019W6</t>
  </si>
  <si>
    <t>Xinjiang Tianfu Energy Co</t>
  </si>
  <si>
    <t>2020-11-27 19:14:08.2</t>
  </si>
  <si>
    <t>RU000A1027B1</t>
  </si>
  <si>
    <t>2020-11-27 19:14:08.152</t>
  </si>
  <si>
    <t>RU000A1027K2</t>
  </si>
  <si>
    <t>58665013</t>
  </si>
  <si>
    <t>2020-11-27 19:14:08.057</t>
  </si>
  <si>
    <t>RU000A1027L0</t>
  </si>
  <si>
    <t>58936307</t>
  </si>
  <si>
    <t>2020-11-27 19:14:07.961</t>
  </si>
  <si>
    <t>RU000A1027T3</t>
  </si>
  <si>
    <t>58669634</t>
  </si>
  <si>
    <t>2020-11-27 19:14:07.87</t>
  </si>
  <si>
    <t>RU000A1027V9</t>
  </si>
  <si>
    <t>58669635</t>
  </si>
  <si>
    <t>2020-11-27 19:14:07.781</t>
  </si>
  <si>
    <t>RU000A1027W7</t>
  </si>
  <si>
    <t>58669636</t>
  </si>
  <si>
    <t>2020-11-27 19:14:07.675</t>
  </si>
  <si>
    <t>RU000A1027X5</t>
  </si>
  <si>
    <t>58669639</t>
  </si>
  <si>
    <t>2020-11-27 19:14:07.476</t>
  </si>
  <si>
    <t>RU000A102AX2</t>
  </si>
  <si>
    <t>58761623</t>
  </si>
  <si>
    <t>2020-11-27 19:14:07.326</t>
  </si>
  <si>
    <t>RU000A102B06</t>
  </si>
  <si>
    <t>2020-11-27 19:14:07.111</t>
  </si>
  <si>
    <t>RU000A102C96</t>
  </si>
  <si>
    <t>58502751</t>
  </si>
  <si>
    <t>2020-11-27 19:14:07.054</t>
  </si>
  <si>
    <t>2020-11-27 19:14:06.887</t>
  </si>
  <si>
    <t>2020-11-27 19:14:06.837</t>
  </si>
  <si>
    <t>2020-11-27 19:14:06.687</t>
  </si>
  <si>
    <t>2020-11-27 19:14:06.6</t>
  </si>
  <si>
    <t>2020-11-27 19:14:06.548</t>
  </si>
  <si>
    <t>2020-11-27 19:14:06.437</t>
  </si>
  <si>
    <t>2020-11-27 19:14:06.358</t>
  </si>
  <si>
    <t>15671P308</t>
  </si>
  <si>
    <t>2020-11-27 19:14:06.25</t>
  </si>
  <si>
    <t>15671P209</t>
  </si>
  <si>
    <t>2020-11-27 19:14:05.968</t>
  </si>
  <si>
    <t>RU000A101QV4</t>
  </si>
  <si>
    <t>2020-11-27 17:29:50.677</t>
  </si>
  <si>
    <t>CNE000001881</t>
  </si>
  <si>
    <t>Xinjiang Tianrun Dairy Co Ltd</t>
  </si>
  <si>
    <t>2020-11-27 17:29:50.448</t>
  </si>
  <si>
    <t>RU0009098131</t>
  </si>
  <si>
    <t>695037</t>
  </si>
  <si>
    <t>Krasny Kotelshik JSC</t>
  </si>
  <si>
    <t>2020-11-27 17:29:50.182</t>
  </si>
  <si>
    <t>RU0009098123</t>
  </si>
  <si>
    <t>689367</t>
  </si>
  <si>
    <t>2020-11-27 17:29:50.149</t>
  </si>
  <si>
    <t>RU000A0JNWD6</t>
  </si>
  <si>
    <t>4605350</t>
  </si>
  <si>
    <t>Nauchno-proizvodstvennoye obedinenie Iskra PAO</t>
  </si>
  <si>
    <t>2020-11-27 17:29:50.12</t>
  </si>
  <si>
    <t>RU000A0JNWC8</t>
  </si>
  <si>
    <t>4605346</t>
  </si>
  <si>
    <t>2020-11-27 17:29:50.091</t>
  </si>
  <si>
    <t>RU000A00ZED2</t>
  </si>
  <si>
    <t>41480743</t>
  </si>
  <si>
    <t>Tsentr promyshlennosti i logistiki Aviaportal Zakrytoye aktsionernoye obshchestvo</t>
  </si>
  <si>
    <t>2020-11-27 17:29:50.061</t>
  </si>
  <si>
    <t>RU000A0JPGE2</t>
  </si>
  <si>
    <t>2679556</t>
  </si>
  <si>
    <t>Kamensk-Uralsky non-ferrous metal working plant OJSC</t>
  </si>
  <si>
    <t>2020-11-27 17:29:50.03</t>
  </si>
  <si>
    <t>2020-11-27 17:29:49.46</t>
  </si>
  <si>
    <t>2020-11-27 17:29:49.302</t>
  </si>
  <si>
    <t>2020-11-27 17:29:48.931</t>
  </si>
  <si>
    <t>755978</t>
  </si>
  <si>
    <t>2020-11-27 17:29:48.855</t>
  </si>
  <si>
    <t>2020-11-27 17:29:48.802</t>
  </si>
  <si>
    <t>826650</t>
  </si>
  <si>
    <t>2020-11-27 17:29:48.559</t>
  </si>
  <si>
    <t>2020-11-27 17:29:48.375</t>
  </si>
  <si>
    <t>2020-11-27 17:29:47.45</t>
  </si>
  <si>
    <t>584733</t>
  </si>
  <si>
    <t>Leveraged product/Subscription right</t>
  </si>
  <si>
    <t>Europaeisch-Iranische Handelsbank AG (vormals Deutsch-Iranische Handelsbank AG)</t>
  </si>
  <si>
    <t>2020-11-27 17:26:39.353</t>
  </si>
  <si>
    <t>IRO1RTIR0009</t>
  </si>
  <si>
    <t>3665407</t>
  </si>
  <si>
    <t>Iran Tractor Foundry Co</t>
  </si>
  <si>
    <t>2020-11-27 17:26:39.321</t>
  </si>
  <si>
    <t>IRO1BFJR0002</t>
  </si>
  <si>
    <t>31852305</t>
  </si>
  <si>
    <t>Fajr Petrochemical Company</t>
  </si>
  <si>
    <t>2020-11-27 17:26:39.284</t>
  </si>
  <si>
    <t>CH0000207057</t>
  </si>
  <si>
    <t>20705</t>
  </si>
  <si>
    <t>KOHAS AG</t>
  </si>
  <si>
    <t>2020-11-27 17:26:39.248</t>
  </si>
  <si>
    <t>1238457</t>
  </si>
  <si>
    <t>2020-11-27 17:26:39.217</t>
  </si>
  <si>
    <t>IRO1IRPO0006</t>
  </si>
  <si>
    <t>10194760</t>
  </si>
  <si>
    <t>Profil va Yakhchal Iran Pooya</t>
  </si>
  <si>
    <t>2020-11-27 17:26:39.179</t>
  </si>
  <si>
    <t>VEV000581000</t>
  </si>
  <si>
    <t>991628</t>
  </si>
  <si>
    <t>Inmuebles Banco de Venezuela 1985 CA IBV</t>
  </si>
  <si>
    <t>2020-11-27 17:26:39.145</t>
  </si>
  <si>
    <t>XS0033292912</t>
  </si>
  <si>
    <t>990994</t>
  </si>
  <si>
    <t>2020-11-27 17:26:39.111</t>
  </si>
  <si>
    <t>990993</t>
  </si>
  <si>
    <t>2020-11-27 17:26:39.074</t>
  </si>
  <si>
    <t>990990</t>
  </si>
  <si>
    <t>2020-11-27 17:26:39.044</t>
  </si>
  <si>
    <t>DE0004019708</t>
  </si>
  <si>
    <t>990981</t>
  </si>
  <si>
    <t>2020-11-27 17:26:39.013</t>
  </si>
  <si>
    <t>XS0033656546</t>
  </si>
  <si>
    <t>990978</t>
  </si>
  <si>
    <t>2020-11-27 17:26:38.98</t>
  </si>
  <si>
    <t>VEP97497BB94</t>
  </si>
  <si>
    <t>990964</t>
  </si>
  <si>
    <t>2020-11-27 17:26:38.943</t>
  </si>
  <si>
    <t>XS0029470480</t>
  </si>
  <si>
    <t>990962</t>
  </si>
  <si>
    <t>2020-11-27 17:26:38.904</t>
  </si>
  <si>
    <t>XS0029456653</t>
  </si>
  <si>
    <t>990959</t>
  </si>
  <si>
    <t>2020-11-27 17:26:38.866</t>
  </si>
  <si>
    <t>XS0029454443</t>
  </si>
  <si>
    <t>990953</t>
  </si>
  <si>
    <t>2020-11-27 17:26:38.829</t>
  </si>
  <si>
    <t>JP586200AB35</t>
  </si>
  <si>
    <t>990946</t>
  </si>
  <si>
    <t>2020-11-27 17:26:38.784</t>
  </si>
  <si>
    <t>GB0049280679</t>
  </si>
  <si>
    <t>990934</t>
  </si>
  <si>
    <t>2020-11-27 17:26:38.745</t>
  </si>
  <si>
    <t>VEV00014AGV1</t>
  </si>
  <si>
    <t>988499</t>
  </si>
  <si>
    <t>2020-11-27 17:26:38.708</t>
  </si>
  <si>
    <t>US693300AD79</t>
  </si>
  <si>
    <t>986819</t>
  </si>
  <si>
    <t>Pdvsa Finance Ltd</t>
  </si>
  <si>
    <t>2020-11-27 17:26:38.673</t>
  </si>
  <si>
    <t>XS0029451779</t>
  </si>
  <si>
    <t>986190</t>
  </si>
  <si>
    <t>2020-11-27 17:26:38.631</t>
  </si>
  <si>
    <t>XS0029468310</t>
  </si>
  <si>
    <t>986179</t>
  </si>
  <si>
    <t>2020-11-27 17:26:38.597</t>
  </si>
  <si>
    <t>US12477A1060</t>
  </si>
  <si>
    <t>981103</t>
  </si>
  <si>
    <t>La Electricidad de Caracas SAICA EDC</t>
  </si>
  <si>
    <t>2020-11-27 17:26:38.563</t>
  </si>
  <si>
    <t>VEP6128S1057</t>
  </si>
  <si>
    <t>980776</t>
  </si>
  <si>
    <t>2020-11-27 17:26:38.525</t>
  </si>
  <si>
    <t>XS0035040186</t>
  </si>
  <si>
    <t>940400</t>
  </si>
  <si>
    <t>2020-11-27 17:26:38.489</t>
  </si>
  <si>
    <t>935147</t>
  </si>
  <si>
    <t>2020-11-27 17:26:38.455</t>
  </si>
  <si>
    <t>USG2025MAA92</t>
  </si>
  <si>
    <t>935133</t>
  </si>
  <si>
    <t>2020-11-27 17:26:38.419</t>
  </si>
  <si>
    <t>US693300AF28</t>
  </si>
  <si>
    <t>921491</t>
  </si>
  <si>
    <t>2020-11-27 17:26:38.377</t>
  </si>
  <si>
    <t>VEV00014AFY7</t>
  </si>
  <si>
    <t>910880</t>
  </si>
  <si>
    <t>2020-11-27 17:26:38.339</t>
  </si>
  <si>
    <t>VEV00014AFV3</t>
  </si>
  <si>
    <t>910866</t>
  </si>
  <si>
    <t>2020-11-27 17:26:38.294</t>
  </si>
  <si>
    <t>VEV00014AFT7</t>
  </si>
  <si>
    <t>910860</t>
  </si>
  <si>
    <t>2020-11-27 17:26:38.261</t>
  </si>
  <si>
    <t>VEV00014AEZ7</t>
  </si>
  <si>
    <t>910557</t>
  </si>
  <si>
    <t>2020-11-27 17:26:38.227</t>
  </si>
  <si>
    <t>VEV00014AEY0</t>
  </si>
  <si>
    <t>907488</t>
  </si>
  <si>
    <t>2020-11-27 17:26:38.187</t>
  </si>
  <si>
    <t>VEV00014AEX2</t>
  </si>
  <si>
    <t>907354</t>
  </si>
  <si>
    <t>2020-11-27 17:26:38.154</t>
  </si>
  <si>
    <t>VEV00014AEV6</t>
  </si>
  <si>
    <t>907307</t>
  </si>
  <si>
    <t>2020-11-27 17:26:38.12</t>
  </si>
  <si>
    <t>VEV00014AER4</t>
  </si>
  <si>
    <t>907053</t>
  </si>
  <si>
    <t>2020-11-27 17:26:38.085</t>
  </si>
  <si>
    <t>VEV00014AEN3</t>
  </si>
  <si>
    <t>903631</t>
  </si>
  <si>
    <t>2020-11-27 17:26:38.045</t>
  </si>
  <si>
    <t>VEV00014AEM5</t>
  </si>
  <si>
    <t>903628</t>
  </si>
  <si>
    <t>2020-11-27 17:26:38.014</t>
  </si>
  <si>
    <t>VEV00014AFJ8</t>
  </si>
  <si>
    <t>903595</t>
  </si>
  <si>
    <t>2020-11-27 17:26:37.977</t>
  </si>
  <si>
    <t>VEV00014AFH2</t>
  </si>
  <si>
    <t>903581</t>
  </si>
  <si>
    <t>2020-11-27 17:26:37.939</t>
  </si>
  <si>
    <t>VEV00014AFE9</t>
  </si>
  <si>
    <t>903454</t>
  </si>
  <si>
    <t>2020-11-27 17:26:37.897</t>
  </si>
  <si>
    <t>VEV00014ADC8</t>
  </si>
  <si>
    <t>900283</t>
  </si>
  <si>
    <t>2020-11-27 17:26:37.859</t>
  </si>
  <si>
    <t>VEV00014AEF9</t>
  </si>
  <si>
    <t>900160</t>
  </si>
  <si>
    <t>2020-11-27 17:26:37.825</t>
  </si>
  <si>
    <t>VEV00014AEE2</t>
  </si>
  <si>
    <t>900132</t>
  </si>
  <si>
    <t>2020-11-27 17:26:37.791</t>
  </si>
  <si>
    <t>VEV00014ADV8</t>
  </si>
  <si>
    <t>900089</t>
  </si>
  <si>
    <t>2020-11-27 17:26:37.757</t>
  </si>
  <si>
    <t>VEV00014ADS4</t>
  </si>
  <si>
    <t>895788</t>
  </si>
  <si>
    <t>2020-11-27 17:26:37.723</t>
  </si>
  <si>
    <t>VEV00014ADM7</t>
  </si>
  <si>
    <t>895712</t>
  </si>
  <si>
    <t>2020-11-27 17:26:37.689</t>
  </si>
  <si>
    <t>VEV00014ADF1</t>
  </si>
  <si>
    <t>892960</t>
  </si>
  <si>
    <t>2020-11-27 17:26:37.65</t>
  </si>
  <si>
    <t>VEV00014ADD6</t>
  </si>
  <si>
    <t>892944</t>
  </si>
  <si>
    <t>2020-11-27 17:26:37.615</t>
  </si>
  <si>
    <t>VEV00014ADL9</t>
  </si>
  <si>
    <t>890187</t>
  </si>
  <si>
    <t>2020-11-27 17:26:37.582</t>
  </si>
  <si>
    <t>VEV00014ACX6</t>
  </si>
  <si>
    <t>889280</t>
  </si>
  <si>
    <t>2020-11-27 17:26:37.544</t>
  </si>
  <si>
    <t>VEV00014ACL1</t>
  </si>
  <si>
    <t>887646</t>
  </si>
  <si>
    <t>2020-11-27 17:26:37.507</t>
  </si>
  <si>
    <t>VEV00014ACF3</t>
  </si>
  <si>
    <t>887627</t>
  </si>
  <si>
    <t>2020-11-27 17:26:37.471</t>
  </si>
  <si>
    <t>VEV00014ACS6</t>
  </si>
  <si>
    <t>886282</t>
  </si>
  <si>
    <t>2020-11-27 17:26:37.433</t>
  </si>
  <si>
    <t>VEV00014ABS8</t>
  </si>
  <si>
    <t>886206</t>
  </si>
  <si>
    <t>2020-11-27 17:26:37.397</t>
  </si>
  <si>
    <t>VEV00014ABQ2</t>
  </si>
  <si>
    <t>886174</t>
  </si>
  <si>
    <t>2020-11-27 17:26:37.36</t>
  </si>
  <si>
    <t>VEV00014ABO7</t>
  </si>
  <si>
    <t>886171</t>
  </si>
  <si>
    <t>2020-11-27 17:26:37.323</t>
  </si>
  <si>
    <t>VEV00014ABN9</t>
  </si>
  <si>
    <t>886165</t>
  </si>
  <si>
    <t>2020-11-27 17:26:37.278</t>
  </si>
  <si>
    <t>VEV00014ABK5</t>
  </si>
  <si>
    <t>886154</t>
  </si>
  <si>
    <t>2020-11-27 17:26:37.243</t>
  </si>
  <si>
    <t>VEV00014AAS0</t>
  </si>
  <si>
    <t>886095</t>
  </si>
  <si>
    <t>2020-11-27 17:26:37.206</t>
  </si>
  <si>
    <t>VEV00014AAM3</t>
  </si>
  <si>
    <t>886056</t>
  </si>
  <si>
    <t>2020-11-27 17:26:37.172</t>
  </si>
  <si>
    <t>XS0035922516</t>
  </si>
  <si>
    <t>884228</t>
  </si>
  <si>
    <t>2020-11-27 17:26:37.138</t>
  </si>
  <si>
    <t>XS0029461737</t>
  </si>
  <si>
    <t>883567</t>
  </si>
  <si>
    <t>2020-11-27 17:26:37.096</t>
  </si>
  <si>
    <t>XS0029457545</t>
  </si>
  <si>
    <t>883552</t>
  </si>
  <si>
    <t>2020-11-27 17:26:37.059</t>
  </si>
  <si>
    <t>VEV00350ACF1</t>
  </si>
  <si>
    <t>883271</t>
  </si>
  <si>
    <t>2020-11-27 17:26:37.024</t>
  </si>
  <si>
    <t>VEV00350ACE4</t>
  </si>
  <si>
    <t>883257</t>
  </si>
  <si>
    <t>2020-11-27 17:26:36.986</t>
  </si>
  <si>
    <t>883249</t>
  </si>
  <si>
    <t>2020-11-27 17:26:36.948</t>
  </si>
  <si>
    <t>VEV00350ACD6</t>
  </si>
  <si>
    <t>883236</t>
  </si>
  <si>
    <t>2020-11-27 17:26:36.915</t>
  </si>
  <si>
    <t>883218</t>
  </si>
  <si>
    <t>2020-11-27 17:26:36.879</t>
  </si>
  <si>
    <t>VEV00350ABZ1</t>
  </si>
  <si>
    <t>883172</t>
  </si>
  <si>
    <t>2020-11-27 17:26:36.847</t>
  </si>
  <si>
    <t>VEV00350ABY4</t>
  </si>
  <si>
    <t>883129</t>
  </si>
  <si>
    <t>2020-11-27 17:26:36.812</t>
  </si>
  <si>
    <t>VEV00350ABW8</t>
  </si>
  <si>
    <t>874155</t>
  </si>
  <si>
    <t>2020-11-27 17:26:36.772</t>
  </si>
  <si>
    <t>VEV00350ABR8</t>
  </si>
  <si>
    <t>874147</t>
  </si>
  <si>
    <t>2020-11-27 17:26:36.736</t>
  </si>
  <si>
    <t>VEV00350ABP2</t>
  </si>
  <si>
    <t>872323</t>
  </si>
  <si>
    <t>2020-11-27 17:26:36.698</t>
  </si>
  <si>
    <t>VEV00350ABO5</t>
  </si>
  <si>
    <t>872318</t>
  </si>
  <si>
    <t>2020-11-27 17:26:36.66</t>
  </si>
  <si>
    <t>846406</t>
  </si>
  <si>
    <t>2020-11-27 17:26:36.625</t>
  </si>
  <si>
    <t>DE0001960938</t>
  </si>
  <si>
    <t>836781</t>
  </si>
  <si>
    <t>2020-11-27 17:26:36.593</t>
  </si>
  <si>
    <t>DE0001960904</t>
  </si>
  <si>
    <t>836770</t>
  </si>
  <si>
    <t>2020-11-27 17:26:36.557</t>
  </si>
  <si>
    <t>DE0001960862</t>
  </si>
  <si>
    <t>836766</t>
  </si>
  <si>
    <t>2020-11-27 17:26:36.523</t>
  </si>
  <si>
    <t>DE0001960854</t>
  </si>
  <si>
    <t>836765</t>
  </si>
  <si>
    <t>2020-11-27 17:26:36.49</t>
  </si>
  <si>
    <t>DE0001960821</t>
  </si>
  <si>
    <t>836761</t>
  </si>
  <si>
    <t>2020-11-27 17:26:36.455</t>
  </si>
  <si>
    <t>DE0001960813</t>
  </si>
  <si>
    <t>836760</t>
  </si>
  <si>
    <t>2020-11-27 17:26:36.421</t>
  </si>
  <si>
    <t>DE0001960789</t>
  </si>
  <si>
    <t>836757</t>
  </si>
  <si>
    <t>2020-11-27 17:26:36.38</t>
  </si>
  <si>
    <t>82677</t>
  </si>
  <si>
    <t>2020-11-27 17:26:36.341</t>
  </si>
  <si>
    <t>XS0043076743</t>
  </si>
  <si>
    <t>81684</t>
  </si>
  <si>
    <t>2020-11-27 17:26:36.305</t>
  </si>
  <si>
    <t>XS0034380401</t>
  </si>
  <si>
    <t>81677</t>
  </si>
  <si>
    <t>2020-11-27 17:26:36.265</t>
  </si>
  <si>
    <t>799038</t>
  </si>
  <si>
    <t>Pulp &amp; Paper International Investments LTD</t>
  </si>
  <si>
    <t>2020-11-27 17:26:36.227</t>
  </si>
  <si>
    <t>DE0001960755</t>
  </si>
  <si>
    <t>793150</t>
  </si>
  <si>
    <t>2020-11-27 17:26:36.181</t>
  </si>
  <si>
    <t>DE0001960706</t>
  </si>
  <si>
    <t>793148</t>
  </si>
  <si>
    <t>2020-11-27 17:26:36.143</t>
  </si>
  <si>
    <t>DE0001960649</t>
  </si>
  <si>
    <t>793146</t>
  </si>
  <si>
    <t>2020-11-27 17:26:36.107</t>
  </si>
  <si>
    <t>DE0001960615</t>
  </si>
  <si>
    <t>793144</t>
  </si>
  <si>
    <t>2020-11-27 17:26:36.072</t>
  </si>
  <si>
    <t>DE0001960748</t>
  </si>
  <si>
    <t>793077</t>
  </si>
  <si>
    <t>2020-11-27 17:26:36.036</t>
  </si>
  <si>
    <t>DE0001960581</t>
  </si>
  <si>
    <t>793064</t>
  </si>
  <si>
    <t>2020-11-27 17:26:35.985</t>
  </si>
  <si>
    <t>DE0001960573</t>
  </si>
  <si>
    <t>793063</t>
  </si>
  <si>
    <t>2020-11-27 17:26:35.946</t>
  </si>
  <si>
    <t>DE0001960557</t>
  </si>
  <si>
    <t>792663</t>
  </si>
  <si>
    <t>2020-11-27 17:26:35.909</t>
  </si>
  <si>
    <t>DE0001960532</t>
  </si>
  <si>
    <t>792661</t>
  </si>
  <si>
    <t>2020-11-27 17:26:35.874</t>
  </si>
  <si>
    <t>DE0001960516</t>
  </si>
  <si>
    <t>792657</t>
  </si>
  <si>
    <t>2020-11-27 17:26:35.839</t>
  </si>
  <si>
    <t>DE0001960474</t>
  </si>
  <si>
    <t>792646</t>
  </si>
  <si>
    <t>2020-11-27 17:26:35.803</t>
  </si>
  <si>
    <t>DE0001960458</t>
  </si>
  <si>
    <t>792642</t>
  </si>
  <si>
    <t>2020-11-27 17:26:35.769</t>
  </si>
  <si>
    <t>DE0001960441</t>
  </si>
  <si>
    <t>792641</t>
  </si>
  <si>
    <t>2020-11-27 17:26:35.735</t>
  </si>
  <si>
    <t>XS0072041758</t>
  </si>
  <si>
    <t>745492</t>
  </si>
  <si>
    <t>2020-11-27 17:26:35.699</t>
  </si>
  <si>
    <t>DE0004019799</t>
  </si>
  <si>
    <t>734867</t>
  </si>
  <si>
    <t>2020-11-27 17:26:35.664</t>
  </si>
  <si>
    <t>DE0004103056</t>
  </si>
  <si>
    <t>68692</t>
  </si>
  <si>
    <t>2020-11-27 17:26:35.63</t>
  </si>
  <si>
    <t>USP7867AAE75</t>
  </si>
  <si>
    <t>675607</t>
  </si>
  <si>
    <t>2020-11-27 17:26:35.593</t>
  </si>
  <si>
    <t>XS0035039683</t>
  </si>
  <si>
    <t>673567</t>
  </si>
  <si>
    <t>2020-11-27 17:26:35.55</t>
  </si>
  <si>
    <t>XS0035699262</t>
  </si>
  <si>
    <t>673559</t>
  </si>
  <si>
    <t>2020-11-27 17:26:35.515</t>
  </si>
  <si>
    <t>663755</t>
  </si>
  <si>
    <t>2020-11-27 17:26:35.48</t>
  </si>
  <si>
    <t>USP31640AA69</t>
  </si>
  <si>
    <t>659051</t>
  </si>
  <si>
    <t>2020-11-27 17:26:35.442</t>
  </si>
  <si>
    <t>XS0096444749</t>
  </si>
  <si>
    <t>654258</t>
  </si>
  <si>
    <t>2020-11-27 17:26:35.405</t>
  </si>
  <si>
    <t>US693300AS49</t>
  </si>
  <si>
    <t>644695</t>
  </si>
  <si>
    <t>2020-11-27 17:26:35.368</t>
  </si>
  <si>
    <t>USG6954PAH31</t>
  </si>
  <si>
    <t>644664</t>
  </si>
  <si>
    <t>2020-11-27 17:26:35.328</t>
  </si>
  <si>
    <t>XS0032470154</t>
  </si>
  <si>
    <t>634825</t>
  </si>
  <si>
    <t>2020-11-27 17:26:35.293</t>
  </si>
  <si>
    <t>XS0042155753</t>
  </si>
  <si>
    <t>60632</t>
  </si>
  <si>
    <t>2020-11-27 17:26:35.252</t>
  </si>
  <si>
    <t>XS0029920609</t>
  </si>
  <si>
    <t>587375</t>
  </si>
  <si>
    <t>2020-11-27 17:26:35.212</t>
  </si>
  <si>
    <t>XS0029442430</t>
  </si>
  <si>
    <t>587370</t>
  </si>
  <si>
    <t>2020-11-27 17:26:35.179</t>
  </si>
  <si>
    <t>XS0029459327</t>
  </si>
  <si>
    <t>587366</t>
  </si>
  <si>
    <t>2020-11-27 17:26:35.148</t>
  </si>
  <si>
    <t>DE0001896603</t>
  </si>
  <si>
    <t>586903</t>
  </si>
  <si>
    <t>2020-11-27 17:26:35.095</t>
  </si>
  <si>
    <t>DE0001896595</t>
  </si>
  <si>
    <t>586901</t>
  </si>
  <si>
    <t>2020-11-27 17:26:35.063</t>
  </si>
  <si>
    <t>DE0001896587</t>
  </si>
  <si>
    <t>586899</t>
  </si>
  <si>
    <t>2020-11-27 17:26:35.026</t>
  </si>
  <si>
    <t>DE0001896546</t>
  </si>
  <si>
    <t>586890</t>
  </si>
  <si>
    <t>2020-11-27 17:26:34.988</t>
  </si>
  <si>
    <t>DE0001896538</t>
  </si>
  <si>
    <t>586878</t>
  </si>
  <si>
    <t>2020-11-27 17:26:34.953</t>
  </si>
  <si>
    <t>DE0001896512</t>
  </si>
  <si>
    <t>586874</t>
  </si>
  <si>
    <t>2020-11-27 17:26:34.91</t>
  </si>
  <si>
    <t>DE0001896421</t>
  </si>
  <si>
    <t>586849</t>
  </si>
  <si>
    <t>2020-11-27 17:26:34.873</t>
  </si>
  <si>
    <t>DE0001896405</t>
  </si>
  <si>
    <t>586845</t>
  </si>
  <si>
    <t>2020-11-27 17:26:34.838</t>
  </si>
  <si>
    <t>VEV00014CKP1</t>
  </si>
  <si>
    <t>56149488</t>
  </si>
  <si>
    <t>2020-11-27 17:26:34.799</t>
  </si>
  <si>
    <t>VEV00014CKO4</t>
  </si>
  <si>
    <t>56149486</t>
  </si>
  <si>
    <t>2020-11-27 17:26:34.763</t>
  </si>
  <si>
    <t>VEV00014CKN6</t>
  </si>
  <si>
    <t>56149480</t>
  </si>
  <si>
    <t>2020-11-27 17:26:34.726</t>
  </si>
  <si>
    <t>VEV0008810D7</t>
  </si>
  <si>
    <t>546892</t>
  </si>
  <si>
    <t>CA Nacional Telefonos de Venezuela</t>
  </si>
  <si>
    <t>2020-11-27 17:26:34.689</t>
  </si>
  <si>
    <t>XS0029458782</t>
  </si>
  <si>
    <t>541883</t>
  </si>
  <si>
    <t>2020-11-27 17:26:34.651</t>
  </si>
  <si>
    <t>XS0029462388</t>
  </si>
  <si>
    <t>53474</t>
  </si>
  <si>
    <t>2020-11-27 17:26:34.615</t>
  </si>
  <si>
    <t>XS0029449013</t>
  </si>
  <si>
    <t>50063</t>
  </si>
  <si>
    <t>2020-11-27 17:26:34.569</t>
  </si>
  <si>
    <t>XS0032492042</t>
  </si>
  <si>
    <t>496574</t>
  </si>
  <si>
    <t>2020-11-27 17:26:34.534</t>
  </si>
  <si>
    <t>XS0032488016</t>
  </si>
  <si>
    <t>496445</t>
  </si>
  <si>
    <t>2020-11-27 17:26:34.501</t>
  </si>
  <si>
    <t>XS0035110062</t>
  </si>
  <si>
    <t>496382</t>
  </si>
  <si>
    <t>2020-11-27 17:26:34.458</t>
  </si>
  <si>
    <t>XS0029444055</t>
  </si>
  <si>
    <t>495846</t>
  </si>
  <si>
    <t>2020-11-27 17:26:34.423</t>
  </si>
  <si>
    <t>XS0029442273</t>
  </si>
  <si>
    <t>49528</t>
  </si>
  <si>
    <t>2020-11-27 17:26:34.386</t>
  </si>
  <si>
    <t>XS0029441978</t>
  </si>
  <si>
    <t>49465</t>
  </si>
  <si>
    <t>2020-11-27 17:26:34.347</t>
  </si>
  <si>
    <t>XS0039412050</t>
  </si>
  <si>
    <t>494371</t>
  </si>
  <si>
    <t>2020-11-27 17:26:34.309</t>
  </si>
  <si>
    <t>XS0029448718</t>
  </si>
  <si>
    <t>493986</t>
  </si>
  <si>
    <t>2020-11-27 17:26:34.275</t>
  </si>
  <si>
    <t>XS0029450458</t>
  </si>
  <si>
    <t>493632</t>
  </si>
  <si>
    <t>2020-11-27 17:26:34.237</t>
  </si>
  <si>
    <t>XS0029456224</t>
  </si>
  <si>
    <t>491843</t>
  </si>
  <si>
    <t>2020-11-27 17:26:34.202</t>
  </si>
  <si>
    <t>XS0029440574</t>
  </si>
  <si>
    <t>49173</t>
  </si>
  <si>
    <t>2020-11-27 17:26:34.166</t>
  </si>
  <si>
    <t>VEV00014CEV2</t>
  </si>
  <si>
    <t>46664328</t>
  </si>
  <si>
    <t>2020-11-27 17:26:34.131</t>
  </si>
  <si>
    <t>46343577</t>
  </si>
  <si>
    <t>2020-11-27 17:26:34.098</t>
  </si>
  <si>
    <t>45583001</t>
  </si>
  <si>
    <t>2020-11-27 17:26:34.063</t>
  </si>
  <si>
    <t>XS0039412134</t>
  </si>
  <si>
    <t>44711</t>
  </si>
  <si>
    <t>2020-11-27 17:26:34.024</t>
  </si>
  <si>
    <t>XS0032937343</t>
  </si>
  <si>
    <t>44670</t>
  </si>
  <si>
    <t>2020-11-27 17:26:33.956</t>
  </si>
  <si>
    <t>XS0032855883</t>
  </si>
  <si>
    <t>44658</t>
  </si>
  <si>
    <t>2020-11-27 17:26:33.893</t>
  </si>
  <si>
    <t>XS0032492802</t>
  </si>
  <si>
    <t>44654</t>
  </si>
  <si>
    <t>2020-11-27 17:26:33.859</t>
  </si>
  <si>
    <t>XS0032490269</t>
  </si>
  <si>
    <t>44490</t>
  </si>
  <si>
    <t>2020-11-27 17:26:33.793</t>
  </si>
  <si>
    <t>XS0032489840</t>
  </si>
  <si>
    <t>44458</t>
  </si>
  <si>
    <t>2020-11-27 17:26:33.759</t>
  </si>
  <si>
    <t>XS0044159654</t>
  </si>
  <si>
    <t>44384</t>
  </si>
  <si>
    <t>2020-11-27 17:26:33.706</t>
  </si>
  <si>
    <t>XS0042411008</t>
  </si>
  <si>
    <t>43714</t>
  </si>
  <si>
    <t>2020-11-27 17:26:33.654</t>
  </si>
  <si>
    <t>43182524</t>
  </si>
  <si>
    <t>2020-11-27 17:26:33.62</t>
  </si>
  <si>
    <t>43182516</t>
  </si>
  <si>
    <t>2020-11-27 17:26:33.586</t>
  </si>
  <si>
    <t>43182512</t>
  </si>
  <si>
    <t>2020-11-27 17:26:33.553</t>
  </si>
  <si>
    <t>CH0416055751</t>
  </si>
  <si>
    <t>41605575</t>
  </si>
  <si>
    <t>2020-11-27 17:26:33.516</t>
  </si>
  <si>
    <t>VEV00350JRV7</t>
  </si>
  <si>
    <t>38367105</t>
  </si>
  <si>
    <t>2020-11-27 17:26:33.479</t>
  </si>
  <si>
    <t>38350272</t>
  </si>
  <si>
    <t>2020-11-27 17:26:33.446</t>
  </si>
  <si>
    <t>38350237</t>
  </si>
  <si>
    <t>2020-11-27 17:26:33.413</t>
  </si>
  <si>
    <t>38350231</t>
  </si>
  <si>
    <t>2020-11-27 17:26:33.376</t>
  </si>
  <si>
    <t>38350229</t>
  </si>
  <si>
    <t>2020-11-27 17:26:33.344</t>
  </si>
  <si>
    <t>38350208</t>
  </si>
  <si>
    <t>2020-11-27 17:26:33.308</t>
  </si>
  <si>
    <t>38350202</t>
  </si>
  <si>
    <t>2020-11-27 17:26:33.273</t>
  </si>
  <si>
    <t>38350184</t>
  </si>
  <si>
    <t>2020-11-27 17:26:33.24</t>
  </si>
  <si>
    <t>38350177</t>
  </si>
  <si>
    <t>2020-11-27 17:26:33.208</t>
  </si>
  <si>
    <t>38348068</t>
  </si>
  <si>
    <t>2020-11-27 17:26:33.173</t>
  </si>
  <si>
    <t>38312638</t>
  </si>
  <si>
    <t>2020-11-27 17:26:33.137</t>
  </si>
  <si>
    <t>VEV00014CIT7</t>
  </si>
  <si>
    <t>38312618</t>
  </si>
  <si>
    <t>2020-11-27 17:26:33.103</t>
  </si>
  <si>
    <t>38292646</t>
  </si>
  <si>
    <t>2020-11-27 17:26:33.067</t>
  </si>
  <si>
    <t>VEV00014CIB5</t>
  </si>
  <si>
    <t>38268774</t>
  </si>
  <si>
    <t>2020-11-27 17:26:33.021</t>
  </si>
  <si>
    <t>38268761</t>
  </si>
  <si>
    <t>2020-11-27 17:26:32.984</t>
  </si>
  <si>
    <t>38168990</t>
  </si>
  <si>
    <t>2020-11-27 17:26:32.952</t>
  </si>
  <si>
    <t>38168981</t>
  </si>
  <si>
    <t>2020-11-27 17:26:32.918</t>
  </si>
  <si>
    <t>38168552</t>
  </si>
  <si>
    <t>2020-11-27 17:26:32.887</t>
  </si>
  <si>
    <t>38168532</t>
  </si>
  <si>
    <t>2020-11-27 17:26:32.841</t>
  </si>
  <si>
    <t>38168411</t>
  </si>
  <si>
    <t>2020-11-27 17:26:32.793</t>
  </si>
  <si>
    <t>38168407</t>
  </si>
  <si>
    <t>2020-11-27 17:26:32.758</t>
  </si>
  <si>
    <t>38158251</t>
  </si>
  <si>
    <t>2020-11-27 17:26:32.722</t>
  </si>
  <si>
    <t>38158107</t>
  </si>
  <si>
    <t>2020-11-27 17:26:32.687</t>
  </si>
  <si>
    <t>38158102</t>
  </si>
  <si>
    <t>2020-11-27 17:26:32.654</t>
  </si>
  <si>
    <t>38158086</t>
  </si>
  <si>
    <t>2020-11-27 17:26:32.62</t>
  </si>
  <si>
    <t>38158077</t>
  </si>
  <si>
    <t>2020-11-27 17:26:32.584</t>
  </si>
  <si>
    <t>38115491</t>
  </si>
  <si>
    <t>2020-11-27 17:26:32.551</t>
  </si>
  <si>
    <t>38114245</t>
  </si>
  <si>
    <t>2020-11-27 17:26:32.517</t>
  </si>
  <si>
    <t>38114234</t>
  </si>
  <si>
    <t>2020-11-27 17:26:32.476</t>
  </si>
  <si>
    <t>38114227</t>
  </si>
  <si>
    <t>2020-11-27 17:26:32.44</t>
  </si>
  <si>
    <t>XS0032491150</t>
  </si>
  <si>
    <t>370401</t>
  </si>
  <si>
    <t>2020-11-27 17:26:32.404</t>
  </si>
  <si>
    <t>XS0042410539</t>
  </si>
  <si>
    <t>36717</t>
  </si>
  <si>
    <t>2020-11-27 17:26:32.37</t>
  </si>
  <si>
    <t>USP97475AK68</t>
  </si>
  <si>
    <t>3591469</t>
  </si>
  <si>
    <t>2020-11-27 17:26:32.336</t>
  </si>
  <si>
    <t>34309678</t>
  </si>
  <si>
    <t>Petroleos De Venezuela SA PDVSA</t>
  </si>
  <si>
    <t>2020-11-27 17:26:32.302</t>
  </si>
  <si>
    <t>XS0029467189</t>
  </si>
  <si>
    <t>3315620</t>
  </si>
  <si>
    <t>2020-11-27 17:26:32.267</t>
  </si>
  <si>
    <t>32865331</t>
  </si>
  <si>
    <t>Evrofinance Mosnarbank OAO</t>
  </si>
  <si>
    <t>2020-11-27 17:26:32.233</t>
  </si>
  <si>
    <t>32132</t>
  </si>
  <si>
    <t>2020-11-27 17:26:32.2</t>
  </si>
  <si>
    <t>VEV002531003</t>
  </si>
  <si>
    <t>3066513</t>
  </si>
  <si>
    <t>Soldaduras y Tuberias de Oriente CA</t>
  </si>
  <si>
    <t>2020-11-27 17:26:32.165</t>
  </si>
  <si>
    <t>3028908</t>
  </si>
  <si>
    <t>2020-11-27 17:26:32.133</t>
  </si>
  <si>
    <t>3028894</t>
  </si>
  <si>
    <t>2020-11-27 17:26:32.097</t>
  </si>
  <si>
    <t>XS0177582680</t>
  </si>
  <si>
    <t>2841994</t>
  </si>
  <si>
    <t>2020-11-27 17:26:32.063</t>
  </si>
  <si>
    <t>282878</t>
  </si>
  <si>
    <t>2020-11-27 17:26:32.025</t>
  </si>
  <si>
    <t>VEV00014CGL8</t>
  </si>
  <si>
    <t>25867441</t>
  </si>
  <si>
    <t>2020-11-27 17:26:31.978</t>
  </si>
  <si>
    <t>2546834</t>
  </si>
  <si>
    <t>2020-11-27 17:26:31.938</t>
  </si>
  <si>
    <t>2493521</t>
  </si>
  <si>
    <t>2020-11-27 17:26:31.903</t>
  </si>
  <si>
    <t>24582328</t>
  </si>
  <si>
    <t>2020-11-27 17:26:31.869</t>
  </si>
  <si>
    <t>COP6922C1088</t>
  </si>
  <si>
    <t>240658</t>
  </si>
  <si>
    <t>Monomeros Colombo Venezolanos SA</t>
  </si>
  <si>
    <t>2020-11-27 17:26:31.834</t>
  </si>
  <si>
    <t>XS0029468823</t>
  </si>
  <si>
    <t>24055</t>
  </si>
  <si>
    <t>2020-11-27 17:26:31.802</t>
  </si>
  <si>
    <t>2369268</t>
  </si>
  <si>
    <t>2020-11-27 17:26:31.757</t>
  </si>
  <si>
    <t>XS0995128146</t>
  </si>
  <si>
    <t>22889887</t>
  </si>
  <si>
    <t>2020-11-27 17:26:31.719</t>
  </si>
  <si>
    <t>USG70415AB35</t>
  </si>
  <si>
    <t>2214018</t>
  </si>
  <si>
    <t>2020-11-27 17:26:31.684</t>
  </si>
  <si>
    <t>US922646BN31</t>
  </si>
  <si>
    <t>2092036</t>
  </si>
  <si>
    <t>2020-11-27 17:26:31.651</t>
  </si>
  <si>
    <t>XS0035944080</t>
  </si>
  <si>
    <t>2051674</t>
  </si>
  <si>
    <t>2020-11-27 17:26:31.618</t>
  </si>
  <si>
    <t>XS0032481433</t>
  </si>
  <si>
    <t>2048989</t>
  </si>
  <si>
    <t>2020-11-27 17:26:31.585</t>
  </si>
  <si>
    <t>XS0032473331</t>
  </si>
  <si>
    <t>2048606</t>
  </si>
  <si>
    <t>2020-11-27 17:26:31.552</t>
  </si>
  <si>
    <t>XS0029927794</t>
  </si>
  <si>
    <t>2036851</t>
  </si>
  <si>
    <t>2020-11-27 17:26:31.495</t>
  </si>
  <si>
    <t>XS0029927521</t>
  </si>
  <si>
    <t>2036846</t>
  </si>
  <si>
    <t>2020-11-27 17:26:31.46</t>
  </si>
  <si>
    <t>XS0029925749</t>
  </si>
  <si>
    <t>2036510</t>
  </si>
  <si>
    <t>2020-11-27 17:26:31.392</t>
  </si>
  <si>
    <t>XS0029480794</t>
  </si>
  <si>
    <t>2036468</t>
  </si>
  <si>
    <t>2020-11-27 17:26:31.359</t>
  </si>
  <si>
    <t>XS0029457388</t>
  </si>
  <si>
    <t>2036362</t>
  </si>
  <si>
    <t>2020-11-27 17:26:31.295</t>
  </si>
  <si>
    <t>19787277</t>
  </si>
  <si>
    <t>2020-11-27 17:26:31.258</t>
  </si>
  <si>
    <t>19786777</t>
  </si>
  <si>
    <t>2020-11-27 17:26:31.194</t>
  </si>
  <si>
    <t>19151065</t>
  </si>
  <si>
    <t>The Republic Of Venezuela 7.65% Euro-Dollar Bonds 2025 Limited</t>
  </si>
  <si>
    <t>2020-11-27 17:26:31.16</t>
  </si>
  <si>
    <t>18971074</t>
  </si>
  <si>
    <t>2020-11-27 17:26:31.099</t>
  </si>
  <si>
    <t>18905519</t>
  </si>
  <si>
    <t>2020-11-27 17:26:31.059</t>
  </si>
  <si>
    <t>XS0787718104</t>
  </si>
  <si>
    <t>18749211</t>
  </si>
  <si>
    <t>2020-11-27 17:26:30.994</t>
  </si>
  <si>
    <t>XS0787718872</t>
  </si>
  <si>
    <t>18749208</t>
  </si>
  <si>
    <t>2020-11-27 17:26:30.96</t>
  </si>
  <si>
    <t>18525195</t>
  </si>
  <si>
    <t>2020-11-27 17:26:30.9</t>
  </si>
  <si>
    <t>USP97475AE09</t>
  </si>
  <si>
    <t>1842603</t>
  </si>
  <si>
    <t>2020-11-27 17:26:30.858</t>
  </si>
  <si>
    <t>US922646BJ29</t>
  </si>
  <si>
    <t>1828110</t>
  </si>
  <si>
    <t>2020-11-27 17:26:30.809</t>
  </si>
  <si>
    <t>1809761</t>
  </si>
  <si>
    <t>2020-11-27 17:26:30.77</t>
  </si>
  <si>
    <t>XS0177846507</t>
  </si>
  <si>
    <t>1809714</t>
  </si>
  <si>
    <t>2020-11-27 17:26:30.736</t>
  </si>
  <si>
    <t>DE0009107938</t>
  </si>
  <si>
    <t>1809316</t>
  </si>
  <si>
    <t>2020-11-27 17:26:30.705</t>
  </si>
  <si>
    <t>XS0029452827</t>
  </si>
  <si>
    <t>1776144</t>
  </si>
  <si>
    <t>2020-11-27 17:26:30.673</t>
  </si>
  <si>
    <t>1763217</t>
  </si>
  <si>
    <t>2020-11-27 17:26:30.638</t>
  </si>
  <si>
    <t>1731668</t>
  </si>
  <si>
    <t>2020-11-27 17:26:30.607</t>
  </si>
  <si>
    <t>US693300AG01</t>
  </si>
  <si>
    <t>1706444</t>
  </si>
  <si>
    <t>2020-11-27 17:26:30.579</t>
  </si>
  <si>
    <t>XS0042154277</t>
  </si>
  <si>
    <t>1583852</t>
  </si>
  <si>
    <t>2020-11-27 17:26:30.548</t>
  </si>
  <si>
    <t>XS0040834318</t>
  </si>
  <si>
    <t>1583813</t>
  </si>
  <si>
    <t>2020-11-27 17:26:30.498</t>
  </si>
  <si>
    <t>XS0035697563</t>
  </si>
  <si>
    <t>1583768</t>
  </si>
  <si>
    <t>2020-11-27 17:26:30.466</t>
  </si>
  <si>
    <t>XS0029469714</t>
  </si>
  <si>
    <t>1583730</t>
  </si>
  <si>
    <t>2020-11-27 17:26:30.431</t>
  </si>
  <si>
    <t>XS0029464244</t>
  </si>
  <si>
    <t>1583285</t>
  </si>
  <si>
    <t>2020-11-27 17:26:30.398</t>
  </si>
  <si>
    <t>XS0031017972</t>
  </si>
  <si>
    <t>1583281</t>
  </si>
  <si>
    <t>2020-11-27 17:26:30.362</t>
  </si>
  <si>
    <t>XS0042410026</t>
  </si>
  <si>
    <t>1583253</t>
  </si>
  <si>
    <t>2020-11-27 17:26:30.329</t>
  </si>
  <si>
    <t>XS0029459913</t>
  </si>
  <si>
    <t>1582130</t>
  </si>
  <si>
    <t>2020-11-27 17:26:30.294</t>
  </si>
  <si>
    <t>XS0029463865</t>
  </si>
  <si>
    <t>1579332</t>
  </si>
  <si>
    <t>2020-11-27 17:26:30.263</t>
  </si>
  <si>
    <t>XS0029451340</t>
  </si>
  <si>
    <t>1579326</t>
  </si>
  <si>
    <t>2020-11-27 17:26:30.229</t>
  </si>
  <si>
    <t>XS0029461810</t>
  </si>
  <si>
    <t>1579274</t>
  </si>
  <si>
    <t>2020-11-27 17:26:30.196</t>
  </si>
  <si>
    <t>XS0029461224</t>
  </si>
  <si>
    <t>1579258</t>
  </si>
  <si>
    <t>2020-11-27 17:26:30.163</t>
  </si>
  <si>
    <t>XS0029454955</t>
  </si>
  <si>
    <t>1579222</t>
  </si>
  <si>
    <t>2020-11-27 17:26:30.129</t>
  </si>
  <si>
    <t>XS0029454013</t>
  </si>
  <si>
    <t>1579198</t>
  </si>
  <si>
    <t>2020-11-27 17:26:30.094</t>
  </si>
  <si>
    <t>XS0029458865</t>
  </si>
  <si>
    <t>1579173</t>
  </si>
  <si>
    <t>2020-11-27 17:26:30.061</t>
  </si>
  <si>
    <t>XS0029473823</t>
  </si>
  <si>
    <t>157489</t>
  </si>
  <si>
    <t>2020-11-27 17:26:30.03</t>
  </si>
  <si>
    <t>US693300AA31</t>
  </si>
  <si>
    <t>1537110</t>
  </si>
  <si>
    <t>2020-11-27 17:26:30.0</t>
  </si>
  <si>
    <t>XS0034999879</t>
  </si>
  <si>
    <t>149534</t>
  </si>
  <si>
    <t>2020-11-27 17:26:29.967</t>
  </si>
  <si>
    <t>14478044</t>
  </si>
  <si>
    <t>2020-11-27 17:26:29.933</t>
  </si>
  <si>
    <t>1337863</t>
  </si>
  <si>
    <t>2020-11-27 17:26:29.899</t>
  </si>
  <si>
    <t>VEV001651000</t>
  </si>
  <si>
    <t>1331035</t>
  </si>
  <si>
    <t>Inverunion Banco Comercial CA</t>
  </si>
  <si>
    <t>2020-11-27 17:26:29.867</t>
  </si>
  <si>
    <t>US693300AU94</t>
  </si>
  <si>
    <t>1326948</t>
  </si>
  <si>
    <t>2020-11-27 17:26:29.837</t>
  </si>
  <si>
    <t>12381362</t>
  </si>
  <si>
    <t>2020-11-27 17:26:29.807</t>
  </si>
  <si>
    <t>12145638</t>
  </si>
  <si>
    <t>The Republic Of Venezuela 7% Euro-Dollar Bonds  2018 Limited</t>
  </si>
  <si>
    <t>2020-11-27 17:26:29.766</t>
  </si>
  <si>
    <t>USP7807HAK16</t>
  </si>
  <si>
    <t>11948633</t>
  </si>
  <si>
    <t>2020-11-27 17:26:29.735</t>
  </si>
  <si>
    <t>XS0536740466</t>
  </si>
  <si>
    <t>11829930</t>
  </si>
  <si>
    <t>2020-11-27 17:26:29.699</t>
  </si>
  <si>
    <t>XS0532156451</t>
  </si>
  <si>
    <t>11700916</t>
  </si>
  <si>
    <t>2020-11-27 17:26:29.667</t>
  </si>
  <si>
    <t>11652539</t>
  </si>
  <si>
    <t>2020-11-27 17:26:29.634</t>
  </si>
  <si>
    <t>11576538</t>
  </si>
  <si>
    <t>The Republic of Venezuela 9.25 % Bonds          9/15/2027 Limited</t>
  </si>
  <si>
    <t>2020-11-27 17:26:29.602</t>
  </si>
  <si>
    <t>DE0001304202</t>
  </si>
  <si>
    <t>115204</t>
  </si>
  <si>
    <t>2020-11-27 17:26:29.568</t>
  </si>
  <si>
    <t>USP97497CH57</t>
  </si>
  <si>
    <t>114894</t>
  </si>
  <si>
    <t>2020-11-27 17:26:29.535</t>
  </si>
  <si>
    <t>USP97497CG74</t>
  </si>
  <si>
    <t>114893</t>
  </si>
  <si>
    <t>2020-11-27 17:26:29.499</t>
  </si>
  <si>
    <t>10776219</t>
  </si>
  <si>
    <t>2020-11-27 17:26:29.458</t>
  </si>
  <si>
    <t>XS0460546525</t>
  </si>
  <si>
    <t>10689100</t>
  </si>
  <si>
    <t>2020-11-27 17:26:29.418</t>
  </si>
  <si>
    <t>10643807</t>
  </si>
  <si>
    <t>2020-11-27 17:26:29.384</t>
  </si>
  <si>
    <t>ARPETO010018</t>
  </si>
  <si>
    <t>1048331</t>
  </si>
  <si>
    <t>Petrolera del Conosur SA</t>
  </si>
  <si>
    <t>2020-11-27 17:26:29.349</t>
  </si>
  <si>
    <t>10443475</t>
  </si>
  <si>
    <t>2020-11-27 17:26:29.314</t>
  </si>
  <si>
    <t>VEV00014AIL8</t>
  </si>
  <si>
    <t>1004787</t>
  </si>
  <si>
    <t>2020-11-27 17:26:29.284</t>
  </si>
  <si>
    <t>VEV00014AHC9</t>
  </si>
  <si>
    <t>1004384</t>
  </si>
  <si>
    <t>2020-11-27 17:26:29.253</t>
  </si>
  <si>
    <t>VEV00014AHB1</t>
  </si>
  <si>
    <t>1004383</t>
  </si>
  <si>
    <t>2020-11-27 17:26:29.217</t>
  </si>
  <si>
    <t>VEV00014AGZ2</t>
  </si>
  <si>
    <t>1004369</t>
  </si>
  <si>
    <t>2020-11-27 17:26:29.185</t>
  </si>
  <si>
    <t>VEV00014AGY5</t>
  </si>
  <si>
    <t>1000267</t>
  </si>
  <si>
    <t>2020-11-27 17:26:29.152</t>
  </si>
  <si>
    <t>RU000A101FK0</t>
  </si>
  <si>
    <t>52685039</t>
  </si>
  <si>
    <t>Russian National Commercial Bank</t>
  </si>
  <si>
    <t>2020-11-27 17:26:28.885</t>
  </si>
  <si>
    <t>40522161</t>
  </si>
  <si>
    <t>Krasnodar regional investment bank PJSC</t>
  </si>
  <si>
    <t>2020-11-27 17:26:28.852</t>
  </si>
  <si>
    <t>RU000A0JPG79</t>
  </si>
  <si>
    <t>39688528</t>
  </si>
  <si>
    <t>SVH-FREIGHT Joint-Stock Company</t>
  </si>
  <si>
    <t>2020-11-27 17:26:28.821</t>
  </si>
  <si>
    <t>39310745</t>
  </si>
  <si>
    <t>Bank VVB PJSC</t>
  </si>
  <si>
    <t>2020-11-27 17:26:28.788</t>
  </si>
  <si>
    <t>RU000A0JY098</t>
  </si>
  <si>
    <t>38168569</t>
  </si>
  <si>
    <t>Saturn PAO</t>
  </si>
  <si>
    <t>2020-11-27 17:26:28.749</t>
  </si>
  <si>
    <t>UA010247AA00</t>
  </si>
  <si>
    <t>3814566</t>
  </si>
  <si>
    <t>Oreanda Hotel JSC</t>
  </si>
  <si>
    <t>2020-11-27 17:26:28.717</t>
  </si>
  <si>
    <t>35834418</t>
  </si>
  <si>
    <t>Bank Severny Morskoy Put JSC</t>
  </si>
  <si>
    <t>2020-11-27 17:26:28.683</t>
  </si>
  <si>
    <t>RU000A0JWTW3</t>
  </si>
  <si>
    <t>34077189</t>
  </si>
  <si>
    <t>Power machines - ZTL LMZ Electrosila Energoma chexport Joint Stock Company</t>
  </si>
  <si>
    <t>2020-11-27 17:26:28.649</t>
  </si>
  <si>
    <t>33597891</t>
  </si>
  <si>
    <t>MOSTOTREST PJSC</t>
  </si>
  <si>
    <t>2020-11-27 17:26:28.617</t>
  </si>
  <si>
    <t>33329777</t>
  </si>
  <si>
    <t>2020-11-27 17:26:28.581</t>
  </si>
  <si>
    <t>UA0101771006</t>
  </si>
  <si>
    <t>3312571</t>
  </si>
  <si>
    <t>Zaliv Shipyard JSC</t>
  </si>
  <si>
    <t>2020-11-27 17:26:28.546</t>
  </si>
  <si>
    <t>RU000A0JWG62</t>
  </si>
  <si>
    <t>32531190</t>
  </si>
  <si>
    <t>2020-11-27 17:26:28.514</t>
  </si>
  <si>
    <t>RU000A0JVVV3</t>
  </si>
  <si>
    <t>30256989</t>
  </si>
  <si>
    <t>2020-11-27 17:26:28.483</t>
  </si>
  <si>
    <t>30238805</t>
  </si>
  <si>
    <t>2020-11-27 17:26:28.45</t>
  </si>
  <si>
    <t>30190759</t>
  </si>
  <si>
    <t>2020-11-27 17:26:28.418</t>
  </si>
  <si>
    <t>RU000A0JNGD9</t>
  </si>
  <si>
    <t>2989212</t>
  </si>
  <si>
    <t>EMAlliance-Finance Ltd</t>
  </si>
  <si>
    <t>2020-11-27 17:26:28.371</t>
  </si>
  <si>
    <t>RU000A0JUM66</t>
  </si>
  <si>
    <t>24480543</t>
  </si>
  <si>
    <t>2020-11-27 17:26:28.332</t>
  </si>
  <si>
    <t>RU000A0JU5A3</t>
  </si>
  <si>
    <t>22362895</t>
  </si>
  <si>
    <t>2020-11-27 17:26:28.3</t>
  </si>
  <si>
    <t>RU000A0CBF24</t>
  </si>
  <si>
    <t>1989165</t>
  </si>
  <si>
    <t>2020-11-27 17:26:28.269</t>
  </si>
  <si>
    <t>RU000A0JRBZ4</t>
  </si>
  <si>
    <t>19154871</t>
  </si>
  <si>
    <t>2020-11-27 17:26:28.233</t>
  </si>
  <si>
    <t>18704144</t>
  </si>
  <si>
    <t>2020-11-27 17:26:28.2</t>
  </si>
  <si>
    <t>144960</t>
  </si>
  <si>
    <t>2020-11-27 17:26:28.163</t>
  </si>
  <si>
    <t>11866676</t>
  </si>
  <si>
    <t>2020-11-27 17:26:28.129</t>
  </si>
  <si>
    <t>2020-11-27 17:26:28.091</t>
  </si>
  <si>
    <t>4421059</t>
  </si>
  <si>
    <t>2020-11-27 17:26:28.056</t>
  </si>
  <si>
    <t>RU000A0JVDT5</t>
  </si>
  <si>
    <t>43376616</t>
  </si>
  <si>
    <t>Stavropolskiy radiozavod Signal Publichnoye aktsionernoye obshchestvo</t>
  </si>
  <si>
    <t>2020-11-27 17:26:28.025</t>
  </si>
  <si>
    <t>42196141</t>
  </si>
  <si>
    <t>Baltic Shipyard JSC</t>
  </si>
  <si>
    <t>2020-11-27 17:26:27.991</t>
  </si>
  <si>
    <t>RU000A0ZZ5E0</t>
  </si>
  <si>
    <t>41609932</t>
  </si>
  <si>
    <t>Ramensky Instrument Engineering Plant Joint Stock Company</t>
  </si>
  <si>
    <t>2020-11-27 17:26:27.954</t>
  </si>
  <si>
    <t>40210821</t>
  </si>
  <si>
    <t>Mezhgosudarstvennaya aktsionernaya korporatsiya Vympel Publichnoye aktsionernoye obshchestvo</t>
  </si>
  <si>
    <t>2020-11-27 17:26:27.921</t>
  </si>
  <si>
    <t>RU000A0ZYJQ8</t>
  </si>
  <si>
    <t>39489476</t>
  </si>
  <si>
    <t>2020-11-27 17:26:27.886</t>
  </si>
  <si>
    <t>RU000A0JRCK4</t>
  </si>
  <si>
    <t>3948488</t>
  </si>
  <si>
    <t>Ural instrument-engineering plant JSC</t>
  </si>
  <si>
    <t>2020-11-27 17:26:27.852</t>
  </si>
  <si>
    <t>2020-11-27 17:26:27.813</t>
  </si>
  <si>
    <t>RU0001206468</t>
  </si>
  <si>
    <t>3653970</t>
  </si>
  <si>
    <t>Nauchno-proizvodstvennoye predpriyatiye Impuls Publichnoye aktsionernoye obshchestvo</t>
  </si>
  <si>
    <t>2020-11-27 17:26:27.777</t>
  </si>
  <si>
    <t>RU0001206450</t>
  </si>
  <si>
    <t>3653968</t>
  </si>
  <si>
    <t>2020-11-27 17:26:27.745</t>
  </si>
  <si>
    <t>36329419</t>
  </si>
  <si>
    <t>Vyborg Shipyard PJSC</t>
  </si>
  <si>
    <t>2020-11-27 17:26:27.707</t>
  </si>
  <si>
    <t>2020-11-27 17:26:27.673</t>
  </si>
  <si>
    <t>3501968</t>
  </si>
  <si>
    <t>Kalinin machinery plant Yekaterinburg PJSC</t>
  </si>
  <si>
    <t>2020-11-27 17:26:27.64</t>
  </si>
  <si>
    <t>3501961</t>
  </si>
  <si>
    <t>2020-11-27 17:26:27.611</t>
  </si>
  <si>
    <t>RU000A0JTV84</t>
  </si>
  <si>
    <t>34216621</t>
  </si>
  <si>
    <t>V.Tikhomirov Scientific Research Institute JSC</t>
  </si>
  <si>
    <t>2020-11-27 17:26:27.576</t>
  </si>
  <si>
    <t>34030586</t>
  </si>
  <si>
    <t>Amur Shipbuilding Plant Public joint-stock company</t>
  </si>
  <si>
    <t>2020-11-27 17:26:27.544</t>
  </si>
  <si>
    <t>2020-11-27 17:26:27.514</t>
  </si>
  <si>
    <t>2020-11-27 17:26:27.479</t>
  </si>
  <si>
    <t>2020-11-27 17:26:27.45</t>
  </si>
  <si>
    <t>32982773</t>
  </si>
  <si>
    <t>Dolgoprudny Research Production Enterprise PSC</t>
  </si>
  <si>
    <t>2020-11-27 17:26:27.418</t>
  </si>
  <si>
    <t>RU000A0JPC16</t>
  </si>
  <si>
    <t>3283121</t>
  </si>
  <si>
    <t>2020-11-27 17:26:27.381</t>
  </si>
  <si>
    <t>3237960</t>
  </si>
  <si>
    <t>Spetsgazremstroy AO</t>
  </si>
  <si>
    <t>2020-11-27 17:26:27.345</t>
  </si>
  <si>
    <t>32055103</t>
  </si>
  <si>
    <t>2020-11-27 17:26:27.29</t>
  </si>
  <si>
    <t>RU000A0JQHY6</t>
  </si>
  <si>
    <t>31497670</t>
  </si>
  <si>
    <t>Ryazan Radioplant JSC</t>
  </si>
  <si>
    <t>2020-11-27 17:26:27.258</t>
  </si>
  <si>
    <t>2020-11-27 17:26:27.226</t>
  </si>
  <si>
    <t>2020-11-27 17:26:27.193</t>
  </si>
  <si>
    <t>2774382</t>
  </si>
  <si>
    <t>2020-11-27 17:26:27.162</t>
  </si>
  <si>
    <t>27501057</t>
  </si>
  <si>
    <t>2020-11-27 17:26:27.127</t>
  </si>
  <si>
    <t>27360229</t>
  </si>
  <si>
    <t>2020-11-27 17:26:27.094</t>
  </si>
  <si>
    <t>UA1500241005</t>
  </si>
  <si>
    <t>2643929</t>
  </si>
  <si>
    <t>LUKOIL-Odessa Oil-Refinery Plant JSC</t>
  </si>
  <si>
    <t>2020-11-27 17:26:27.054</t>
  </si>
  <si>
    <t>RU000A0JUQX1</t>
  </si>
  <si>
    <t>24953913</t>
  </si>
  <si>
    <t>2020-11-27 17:26:26.994</t>
  </si>
  <si>
    <t>RU000A0JUPL8</t>
  </si>
  <si>
    <t>24771501</t>
  </si>
  <si>
    <t>2020-11-27 17:26:26.951</t>
  </si>
  <si>
    <t>RU000A0DM7E7</t>
  </si>
  <si>
    <t>2370546</t>
  </si>
  <si>
    <t>NPO Vzlyot OJSC</t>
  </si>
  <si>
    <t>2020-11-27 17:26:26.901</t>
  </si>
  <si>
    <t>22989050</t>
  </si>
  <si>
    <t>2020-11-27 17:26:26.866</t>
  </si>
  <si>
    <t>RU000A0JU211</t>
  </si>
  <si>
    <t>22059378</t>
  </si>
  <si>
    <t>2020-11-27 17:26:26.83</t>
  </si>
  <si>
    <t>RU000A0JT296</t>
  </si>
  <si>
    <t>19705243</t>
  </si>
  <si>
    <t>MOSCOVSKIY OBLASTNOI BANK PJSC</t>
  </si>
  <si>
    <t>2020-11-27 17:26:26.787</t>
  </si>
  <si>
    <t>2020-11-27 17:26:26.756</t>
  </si>
  <si>
    <t>19093365</t>
  </si>
  <si>
    <t>2020-11-27 17:26:26.727</t>
  </si>
  <si>
    <t>RU000A0JSAA7</t>
  </si>
  <si>
    <t>18964622</t>
  </si>
  <si>
    <t>2020-11-27 17:26:26.694</t>
  </si>
  <si>
    <t>2020-11-27 17:26:26.662</t>
  </si>
  <si>
    <t>RU000A0JS7T3</t>
  </si>
  <si>
    <t>1844213</t>
  </si>
  <si>
    <t>Vladykinsky mechanical plant OJSC</t>
  </si>
  <si>
    <t>2020-11-27 17:26:26.632</t>
  </si>
  <si>
    <t>2020-11-27 17:26:26.6</t>
  </si>
  <si>
    <t>12195280</t>
  </si>
  <si>
    <t>RESEARCH AND PRODUCTION CORPORATION             URALVAGONZAVOD JSC</t>
  </si>
  <si>
    <t>2020-11-27 17:26:26.57</t>
  </si>
  <si>
    <t>2020-11-27 17:26:26.54</t>
  </si>
  <si>
    <t>11859668</t>
  </si>
  <si>
    <t>KRASNODARGAZSTROY JSC</t>
  </si>
  <si>
    <t>2020-11-27 17:26:26.506</t>
  </si>
  <si>
    <t>2020-11-27 17:26:26.475</t>
  </si>
  <si>
    <t>IRO7DZLP0008</t>
  </si>
  <si>
    <t>19776108</t>
  </si>
  <si>
    <t>Bahman Diesel</t>
  </si>
  <si>
    <t>2020-11-27 17:26:26.448</t>
  </si>
  <si>
    <t>XS0166162908</t>
  </si>
  <si>
    <t>1600782</t>
  </si>
  <si>
    <t>Melli Bank PLC</t>
  </si>
  <si>
    <t>2020-11-27 17:26:26.416</t>
  </si>
  <si>
    <t>1532728</t>
  </si>
  <si>
    <t>2020-11-27 17:26:26.386</t>
  </si>
  <si>
    <t>IRO1TKNO0002</t>
  </si>
  <si>
    <t>11671414</t>
  </si>
  <si>
    <t>Technotar Engineering Co.</t>
  </si>
  <si>
    <t>2020-11-27 17:26:26.354</t>
  </si>
  <si>
    <t>IRO1TBHM0003</t>
  </si>
  <si>
    <t>11671398</t>
  </si>
  <si>
    <t>Bahman Manufacturing Co.</t>
  </si>
  <si>
    <t>2020-11-27 17:26:26.323</t>
  </si>
  <si>
    <t>IRO1SBAH0008</t>
  </si>
  <si>
    <t>11669117</t>
  </si>
  <si>
    <t>Bahman Investment Co.</t>
  </si>
  <si>
    <t>2020-11-27 17:26:26.292</t>
  </si>
  <si>
    <t>IRO1BALI0004</t>
  </si>
  <si>
    <t>10665450</t>
  </si>
  <si>
    <t>Buali Investment Co</t>
  </si>
  <si>
    <t>2020-11-27 17:26:26.261</t>
  </si>
  <si>
    <t>IRO1RIIR0002</t>
  </si>
  <si>
    <t>1028963</t>
  </si>
  <si>
    <t>Iran Casting Industries</t>
  </si>
  <si>
    <t>2020-11-27 17:26:26.231</t>
  </si>
  <si>
    <t>IRO1BPAR0009</t>
  </si>
  <si>
    <t>10187451</t>
  </si>
  <si>
    <t>Parsian Bank</t>
  </si>
  <si>
    <t>2020-11-27 17:26:26.178</t>
  </si>
  <si>
    <t>SY0021100258</t>
  </si>
  <si>
    <t>28301924</t>
  </si>
  <si>
    <t>Syrian Kuwaiti Insurance Company</t>
  </si>
  <si>
    <t>2020-11-27 17:26:26.145</t>
  </si>
  <si>
    <t>SY0021100225</t>
  </si>
  <si>
    <t>28301922</t>
  </si>
  <si>
    <t>Bank Al-Sharq S.A.S.</t>
  </si>
  <si>
    <t>2020-11-27 17:26:26.114</t>
  </si>
  <si>
    <t>SY0021100175</t>
  </si>
  <si>
    <t>28301921</t>
  </si>
  <si>
    <t>Syria Gulf Bank</t>
  </si>
  <si>
    <t>2020-11-27 17:26:26.087</t>
  </si>
  <si>
    <t>SY0031100082</t>
  </si>
  <si>
    <t>28301879</t>
  </si>
  <si>
    <t>Agricultural Engineering Co For Investments - Nama'a</t>
  </si>
  <si>
    <t>2020-11-27 17:26:26.051</t>
  </si>
  <si>
    <t>SY0021100233</t>
  </si>
  <si>
    <t>28301872</t>
  </si>
  <si>
    <t>Fransabank Syria SA</t>
  </si>
  <si>
    <t>2020-11-27 17:26:26.019</t>
  </si>
  <si>
    <t>SY0021100282</t>
  </si>
  <si>
    <t>28301867</t>
  </si>
  <si>
    <t>Cham Bank</t>
  </si>
  <si>
    <t>2020-11-27 17:26:25.984</t>
  </si>
  <si>
    <t>SY0021100043</t>
  </si>
  <si>
    <t>28301862</t>
  </si>
  <si>
    <t>Bank of Syria and Overseas</t>
  </si>
  <si>
    <t>2020-11-27 17:26:25.954</t>
  </si>
  <si>
    <t>SY0021100290</t>
  </si>
  <si>
    <t>28301852</t>
  </si>
  <si>
    <t>Al Baraka Bank Syria s.a.</t>
  </si>
  <si>
    <t>2020-11-27 17:26:25.924</t>
  </si>
  <si>
    <t>SY0031100090</t>
  </si>
  <si>
    <t>28301837</t>
  </si>
  <si>
    <t>Al-Ahlia Vegetable Oil Company</t>
  </si>
  <si>
    <t>2020-11-27 17:26:25.888</t>
  </si>
  <si>
    <t>SY0021100191</t>
  </si>
  <si>
    <t>28301824</t>
  </si>
  <si>
    <t>Syria International Insurance- Arope</t>
  </si>
  <si>
    <t>2020-11-27 17:26:25.855</t>
  </si>
  <si>
    <t>SY0031100017</t>
  </si>
  <si>
    <t>28284064</t>
  </si>
  <si>
    <t>Alahliah.Co For Transport</t>
  </si>
  <si>
    <t>2020-11-27 17:26:25.823</t>
  </si>
  <si>
    <t>RU000A100659</t>
  </si>
  <si>
    <t>46915391</t>
  </si>
  <si>
    <t>SarAero-Invest Public Stock Company</t>
  </si>
  <si>
    <t>2020-11-27 17:26:25.791</t>
  </si>
  <si>
    <t>RU0004883123</t>
  </si>
  <si>
    <t>4542685</t>
  </si>
  <si>
    <t>Yaroslavl Fuel Equipment Plant JSC</t>
  </si>
  <si>
    <t>2020-11-27 17:26:25.759</t>
  </si>
  <si>
    <t>RU000A0JRX68</t>
  </si>
  <si>
    <t>42260796</t>
  </si>
  <si>
    <t>Avtomobilnyy zavod URAL Aktsionernoye obshchestvo</t>
  </si>
  <si>
    <t>2020-11-27 17:26:25.724</t>
  </si>
  <si>
    <t>RU000A01KN89</t>
  </si>
  <si>
    <t>42260784</t>
  </si>
  <si>
    <t>Kanashskiy avtoagregatnyy zavod Aktsionernoye   obshchestvo</t>
  </si>
  <si>
    <t>2020-11-27 17:26:25.691</t>
  </si>
  <si>
    <t>RU000A0U8JD2</t>
  </si>
  <si>
    <t>41479514</t>
  </si>
  <si>
    <t>Promyshlennaya gruppa Zakrytoye aktsionernoye obshchestvo</t>
  </si>
  <si>
    <t>2020-11-27 17:26:25.658</t>
  </si>
  <si>
    <t>3374889</t>
  </si>
  <si>
    <t>Trest Gidromontag OAO</t>
  </si>
  <si>
    <t>2020-11-27 17:26:25.62</t>
  </si>
  <si>
    <t>2760681</t>
  </si>
  <si>
    <t>Bryanskiy arsenal Publichnoye aktsionernoyeobshchestvo</t>
  </si>
  <si>
    <t>2020-11-27 17:26:25.587</t>
  </si>
  <si>
    <t>2636653</t>
  </si>
  <si>
    <t>2020-11-27 17:26:25.556</t>
  </si>
  <si>
    <t>RU0009848337</t>
  </si>
  <si>
    <t>1840808</t>
  </si>
  <si>
    <t>Yaroslavl shipbuilding plant OJSC</t>
  </si>
  <si>
    <t>2020-11-27 17:26:25.525</t>
  </si>
  <si>
    <t>RU0009109391</t>
  </si>
  <si>
    <t>667988</t>
  </si>
  <si>
    <t>ARSENIEV AIRCRAFT COMPANY PROGRESS PJSC</t>
  </si>
  <si>
    <t>2020-11-27 17:26:23.681</t>
  </si>
  <si>
    <t>RU0006752979</t>
  </si>
  <si>
    <t>655421</t>
  </si>
  <si>
    <t>Irkut Corporation</t>
  </si>
  <si>
    <t>2020-11-27 17:26:23.651</t>
  </si>
  <si>
    <t>RU000A102EE4</t>
  </si>
  <si>
    <t>58540187</t>
  </si>
  <si>
    <t>2020-11-27 17:26:23.099</t>
  </si>
  <si>
    <t>RU000A102EF1</t>
  </si>
  <si>
    <t>58539430</t>
  </si>
  <si>
    <t>2020-11-27 17:26:23.057</t>
  </si>
  <si>
    <t>RU000A102AZ7</t>
  </si>
  <si>
    <t>58534809</t>
  </si>
  <si>
    <t>2020-11-27 17:26:22.95</t>
  </si>
  <si>
    <t>RU000A1029B7</t>
  </si>
  <si>
    <t>57819789</t>
  </si>
  <si>
    <t>2020-11-27 17:26:22.886</t>
  </si>
  <si>
    <t>RU000A0NH2C7</t>
  </si>
  <si>
    <t>57794146</t>
  </si>
  <si>
    <t>2020-11-27 17:26:22.854</t>
  </si>
  <si>
    <t>RU000A0NH2E3</t>
  </si>
  <si>
    <t>57794144</t>
  </si>
  <si>
    <t>2020-11-27 17:26:22.818</t>
  </si>
  <si>
    <t>RU000A101BR4</t>
  </si>
  <si>
    <t>57695814</t>
  </si>
  <si>
    <t>2020-11-27 17:26:22.785</t>
  </si>
  <si>
    <t>RU000A102887</t>
  </si>
  <si>
    <t>57693279</t>
  </si>
  <si>
    <t>2020-11-27 17:26:22.721</t>
  </si>
  <si>
    <t>RU000A0NH210</t>
  </si>
  <si>
    <t>57526861</t>
  </si>
  <si>
    <t>2020-11-27 17:26:22.558</t>
  </si>
  <si>
    <t>RU000A101BN3</t>
  </si>
  <si>
    <t>57474899</t>
  </si>
  <si>
    <t>2020-11-27 17:26:22.524</t>
  </si>
  <si>
    <t>RU000A0NH202</t>
  </si>
  <si>
    <t>57424037</t>
  </si>
  <si>
    <t>VTB Capital SA</t>
  </si>
  <si>
    <t>2020-11-27 17:26:22.458</t>
  </si>
  <si>
    <t>RU000A102606</t>
  </si>
  <si>
    <t>57400278</t>
  </si>
  <si>
    <t>2020-11-27 17:26:22.397</t>
  </si>
  <si>
    <t>RU000A1025J8</t>
  </si>
  <si>
    <t>57398187</t>
  </si>
  <si>
    <t>2020-11-27 17:26:22.365</t>
  </si>
  <si>
    <t>RU000A1025L4</t>
  </si>
  <si>
    <t>57398186</t>
  </si>
  <si>
    <t>2020-11-27 17:26:22.334</t>
  </si>
  <si>
    <t>RU000A102614</t>
  </si>
  <si>
    <t>57398182</t>
  </si>
  <si>
    <t>2020-11-27 17:26:22.306</t>
  </si>
  <si>
    <t>RU000A1023Y2</t>
  </si>
  <si>
    <t>57398180</t>
  </si>
  <si>
    <t>2020-11-27 17:26:22.275</t>
  </si>
  <si>
    <t>RU000A1025S9</t>
  </si>
  <si>
    <t>57369286</t>
  </si>
  <si>
    <t>2020-11-27 17:26:22.247</t>
  </si>
  <si>
    <t>RU000A1025H2</t>
  </si>
  <si>
    <t>57317437</t>
  </si>
  <si>
    <t>Russian Regional Development Bank JSC</t>
  </si>
  <si>
    <t>2020-11-27 17:26:22.188</t>
  </si>
  <si>
    <t>RU000A0NH277</t>
  </si>
  <si>
    <t>56930798</t>
  </si>
  <si>
    <t>2020-11-27 17:26:21.893</t>
  </si>
  <si>
    <t>RU000A101Y59</t>
  </si>
  <si>
    <t>56877055</t>
  </si>
  <si>
    <t>2020-11-27 17:26:21.86</t>
  </si>
  <si>
    <t>RU000A1022N7</t>
  </si>
  <si>
    <t>56848370</t>
  </si>
  <si>
    <t>2020-11-27 17:26:21.829</t>
  </si>
  <si>
    <t>RU000A102283</t>
  </si>
  <si>
    <t>56844697</t>
  </si>
  <si>
    <t>2020-11-27 17:26:21.797</t>
  </si>
  <si>
    <t>RU000A1022J5</t>
  </si>
  <si>
    <t>56826024</t>
  </si>
  <si>
    <t>2020-11-27 17:26:21.764</t>
  </si>
  <si>
    <t>RU000A101BC6</t>
  </si>
  <si>
    <t>56826007</t>
  </si>
  <si>
    <t>2020-11-27 17:26:21.734</t>
  </si>
  <si>
    <t>RU000A101BE2</t>
  </si>
  <si>
    <t>56801846</t>
  </si>
  <si>
    <t>2020-11-27 17:26:21.667</t>
  </si>
  <si>
    <t>RU000A101Y34</t>
  </si>
  <si>
    <t>56754829</t>
  </si>
  <si>
    <t>2020-11-27 17:26:21.638</t>
  </si>
  <si>
    <t>RU000A1021M1</t>
  </si>
  <si>
    <t>56674155</t>
  </si>
  <si>
    <t>2020-11-27 17:26:21.607</t>
  </si>
  <si>
    <t>RU000A101Y00</t>
  </si>
  <si>
    <t>56635615</t>
  </si>
  <si>
    <t>2020-11-27 17:26:21.578</t>
  </si>
  <si>
    <t>RU000A102176</t>
  </si>
  <si>
    <t>56635526</t>
  </si>
  <si>
    <t>2020-11-27 17:26:21.54</t>
  </si>
  <si>
    <t>RU000A101VE0</t>
  </si>
  <si>
    <t>56521995</t>
  </si>
  <si>
    <t>2020-11-27 17:26:21.478</t>
  </si>
  <si>
    <t>RU000A1020F7</t>
  </si>
  <si>
    <t>56519634</t>
  </si>
  <si>
    <t>2020-11-27 17:26:21.448</t>
  </si>
  <si>
    <t>RU000A101ZS1</t>
  </si>
  <si>
    <t>56464800</t>
  </si>
  <si>
    <t>2020-11-27 17:26:21.385</t>
  </si>
  <si>
    <t>RU000A101ZQ5</t>
  </si>
  <si>
    <t>56435252</t>
  </si>
  <si>
    <t>2020-11-27 17:26:21.323</t>
  </si>
  <si>
    <t>RU000A101VC4</t>
  </si>
  <si>
    <t>56383759</t>
  </si>
  <si>
    <t>2020-11-27 17:26:21.296</t>
  </si>
  <si>
    <t>RU000A101B80</t>
  </si>
  <si>
    <t>56336830</t>
  </si>
  <si>
    <t>2020-11-27 17:26:21.264</t>
  </si>
  <si>
    <t>RU000A101Y75</t>
  </si>
  <si>
    <t>56214060</t>
  </si>
  <si>
    <t>2020-11-27 17:26:21.1</t>
  </si>
  <si>
    <t>RU000A101XX6</t>
  </si>
  <si>
    <t>56213397</t>
  </si>
  <si>
    <t>2020-11-27 17:26:21.009</t>
  </si>
  <si>
    <t>RU000A101V94</t>
  </si>
  <si>
    <t>56145971</t>
  </si>
  <si>
    <t>2020-11-27 17:26:20.92</t>
  </si>
  <si>
    <t>RU000A101WP4</t>
  </si>
  <si>
    <t>56088377</t>
  </si>
  <si>
    <t>2020-11-27 17:26:20.732</t>
  </si>
  <si>
    <t>RU000A101TM7</t>
  </si>
  <si>
    <t>56040241</t>
  </si>
  <si>
    <t>2020-11-27 17:26:20.704</t>
  </si>
  <si>
    <t>RU000A101B49</t>
  </si>
  <si>
    <t>55995085</t>
  </si>
  <si>
    <t>2020-11-27 17:26:20.646</t>
  </si>
  <si>
    <t>RU000A0ZZ0M4</t>
  </si>
  <si>
    <t>55989664</t>
  </si>
  <si>
    <t>SAROVBUSINESSBANK Public Joint-Stock Company</t>
  </si>
  <si>
    <t>2020-11-27 17:26:20.62</t>
  </si>
  <si>
    <t>RU000A101VU6</t>
  </si>
  <si>
    <t>55933840</t>
  </si>
  <si>
    <t>2020-11-27 17:26:20.532</t>
  </si>
  <si>
    <t>RU000A101VT8</t>
  </si>
  <si>
    <t>55933839</t>
  </si>
  <si>
    <t>2020-11-27 17:26:20.502</t>
  </si>
  <si>
    <t>RU000A101V86</t>
  </si>
  <si>
    <t>55852121</t>
  </si>
  <si>
    <t>2020-11-27 17:26:20.47</t>
  </si>
  <si>
    <t>RU000A101V78</t>
  </si>
  <si>
    <t>55852117</t>
  </si>
  <si>
    <t>2020-11-27 17:26:20.443</t>
  </si>
  <si>
    <t>RU000A101ER8</t>
  </si>
  <si>
    <t>55824788</t>
  </si>
  <si>
    <t>2020-11-27 17:26:20.417</t>
  </si>
  <si>
    <t>RU000A101B31</t>
  </si>
  <si>
    <t>55824622</t>
  </si>
  <si>
    <t>2020-11-27 17:26:20.386</t>
  </si>
  <si>
    <t>RU000A101TG9</t>
  </si>
  <si>
    <t>55564531</t>
  </si>
  <si>
    <t>2020-11-27 17:26:20.278</t>
  </si>
  <si>
    <t>RU000A101TB0</t>
  </si>
  <si>
    <t>55502312</t>
  </si>
  <si>
    <t>2020-11-27 17:26:20.217</t>
  </si>
  <si>
    <t>RU000A101SP2</t>
  </si>
  <si>
    <t>55349749</t>
  </si>
  <si>
    <t>2020-11-27 17:26:20.13</t>
  </si>
  <si>
    <t>RU000A101SN7</t>
  </si>
  <si>
    <t>55349748</t>
  </si>
  <si>
    <t>2020-11-27 17:26:20.105</t>
  </si>
  <si>
    <t>RU000A101SL1</t>
  </si>
  <si>
    <t>55349747</t>
  </si>
  <si>
    <t>2020-11-27 17:26:20.08</t>
  </si>
  <si>
    <t>RU000A101AZ9</t>
  </si>
  <si>
    <t>55336955</t>
  </si>
  <si>
    <t>2020-11-27 17:26:20.051</t>
  </si>
  <si>
    <t>RU000A101S65</t>
  </si>
  <si>
    <t>55265197</t>
  </si>
  <si>
    <t>2020-11-27 17:25:39.253</t>
  </si>
  <si>
    <t>RU000A101T23</t>
  </si>
  <si>
    <t>55265195</t>
  </si>
  <si>
    <t>2020-11-27 17:25:39.215</t>
  </si>
  <si>
    <t>RU000A101S57</t>
  </si>
  <si>
    <t>55265190</t>
  </si>
  <si>
    <t>2020-11-27 17:25:39.177</t>
  </si>
  <si>
    <t>RU000A101S32</t>
  </si>
  <si>
    <t>55261984</t>
  </si>
  <si>
    <t>2020-11-27 17:25:39.138</t>
  </si>
  <si>
    <t>RU000A101QY8</t>
  </si>
  <si>
    <t>55133206</t>
  </si>
  <si>
    <t>2020-11-27 17:25:39.04</t>
  </si>
  <si>
    <t>RU000A101QW2</t>
  </si>
  <si>
    <t>55133204</t>
  </si>
  <si>
    <t>2020-11-27 17:25:39.005</t>
  </si>
  <si>
    <t>55133203</t>
  </si>
  <si>
    <t>2020-11-27 17:25:38.973</t>
  </si>
  <si>
    <t>RU000A101QU6</t>
  </si>
  <si>
    <t>55133202</t>
  </si>
  <si>
    <t>2020-11-27 17:25:38.941</t>
  </si>
  <si>
    <t>RU000A101QS0</t>
  </si>
  <si>
    <t>55133198</t>
  </si>
  <si>
    <t>2020-11-27 17:25:38.903</t>
  </si>
  <si>
    <t>RU000A101Q67</t>
  </si>
  <si>
    <t>55043421</t>
  </si>
  <si>
    <t>2020-11-27 17:25:38.72</t>
  </si>
  <si>
    <t>RU000A101PX2</t>
  </si>
  <si>
    <t>55039605</t>
  </si>
  <si>
    <t>2020-11-27 17:25:38.685</t>
  </si>
  <si>
    <t>RU000A101PS2</t>
  </si>
  <si>
    <t>54990684</t>
  </si>
  <si>
    <t>2020-11-27 17:25:38.65</t>
  </si>
  <si>
    <t>RU000A101NQ1</t>
  </si>
  <si>
    <t>54802072</t>
  </si>
  <si>
    <t>2020-11-27 17:25:38.457</t>
  </si>
  <si>
    <t>RU000A101MV3</t>
  </si>
  <si>
    <t>54661527</t>
  </si>
  <si>
    <t>Priobneft OAO</t>
  </si>
  <si>
    <t>2020-11-27 17:25:38.424</t>
  </si>
  <si>
    <t>RU000A101MY7</t>
  </si>
  <si>
    <t>54661409</t>
  </si>
  <si>
    <t>2020-11-27 17:25:38.39</t>
  </si>
  <si>
    <t>RU000A101MW1</t>
  </si>
  <si>
    <t>54637149</t>
  </si>
  <si>
    <t>2020-11-27 17:25:38.354</t>
  </si>
  <si>
    <t>RU000A101M20</t>
  </si>
  <si>
    <t>54443339</t>
  </si>
  <si>
    <t>2020-11-27 17:25:38.283</t>
  </si>
  <si>
    <t>RU000A101LT9</t>
  </si>
  <si>
    <t>54385508</t>
  </si>
  <si>
    <t>2020-11-27 17:25:38.246</t>
  </si>
  <si>
    <t>RU000A101LF8</t>
  </si>
  <si>
    <t>54329704</t>
  </si>
  <si>
    <t>2020-11-27 17:25:38.18</t>
  </si>
  <si>
    <t>RU000A0JTFF3</t>
  </si>
  <si>
    <t>54329701</t>
  </si>
  <si>
    <t>Main All-region Construction Agency Center Joint Stock Holding Company</t>
  </si>
  <si>
    <t>2020-11-27 17:25:38.148</t>
  </si>
  <si>
    <t>RU000A101AR6</t>
  </si>
  <si>
    <t>54065976</t>
  </si>
  <si>
    <t>2020-11-27 17:25:38.016</t>
  </si>
  <si>
    <t>RU000A101KH6</t>
  </si>
  <si>
    <t>53943557</t>
  </si>
  <si>
    <t>2020-11-27 17:25:37.954</t>
  </si>
  <si>
    <t>RU000A101KG8</t>
  </si>
  <si>
    <t>53925854</t>
  </si>
  <si>
    <t>2020-11-27 17:25:37.919</t>
  </si>
  <si>
    <t>RU000A101JX5</t>
  </si>
  <si>
    <t>53813116</t>
  </si>
  <si>
    <t>2020-11-27 17:25:37.854</t>
  </si>
  <si>
    <t>RU000A101AP0</t>
  </si>
  <si>
    <t>53810143</t>
  </si>
  <si>
    <t>2020-11-27 17:25:37.82</t>
  </si>
  <si>
    <t>RU000A101AN5</t>
  </si>
  <si>
    <t>53616236</t>
  </si>
  <si>
    <t>2020-11-27 17:25:37.76</t>
  </si>
  <si>
    <t>RU000A101AM7</t>
  </si>
  <si>
    <t>53527235</t>
  </si>
  <si>
    <t>2020-11-27 17:25:37.728</t>
  </si>
  <si>
    <t>RU000A0JXKJ7</t>
  </si>
  <si>
    <t>53527177</t>
  </si>
  <si>
    <t>Gostinitsa Altay Aktsionernoye obshchestvo</t>
  </si>
  <si>
    <t>2020-11-27 17:25:37.693</t>
  </si>
  <si>
    <t>RU000A0BKZ38</t>
  </si>
  <si>
    <t>53520804</t>
  </si>
  <si>
    <t>Verkhnechonskneftegaz Joint Stock Company</t>
  </si>
  <si>
    <t>2020-11-27 17:25:37.659</t>
  </si>
  <si>
    <t>DE0008089400</t>
  </si>
  <si>
    <t>53467964</t>
  </si>
  <si>
    <t>VTB Bank (Europe) SE</t>
  </si>
  <si>
    <t>2020-11-27 17:25:37.626</t>
  </si>
  <si>
    <t>RU000A101JA3</t>
  </si>
  <si>
    <t>53467901</t>
  </si>
  <si>
    <t>2020-11-27 17:25:37.59</t>
  </si>
  <si>
    <t>RU000A101J41</t>
  </si>
  <si>
    <t>53464405</t>
  </si>
  <si>
    <t>2020-11-27 17:25:37.547</t>
  </si>
  <si>
    <t>RU000A101J74</t>
  </si>
  <si>
    <t>53464403</t>
  </si>
  <si>
    <t>2020-11-27 17:25:37.516</t>
  </si>
  <si>
    <t>RU000A101J09</t>
  </si>
  <si>
    <t>53364671</t>
  </si>
  <si>
    <t>Investitsii v razvitiye tekhnologiy Otkrytoye   aktsionernoye obshchestvo</t>
  </si>
  <si>
    <t>2020-11-27 17:25:37.481</t>
  </si>
  <si>
    <t>RU000A101AL9</t>
  </si>
  <si>
    <t>53231735</t>
  </si>
  <si>
    <t>2020-11-27 17:25:37.452</t>
  </si>
  <si>
    <t>RU000A101AK1</t>
  </si>
  <si>
    <t>53092761</t>
  </si>
  <si>
    <t>2020-11-27 17:25:37.382</t>
  </si>
  <si>
    <t>RU000A101HG4</t>
  </si>
  <si>
    <t>53065682</t>
  </si>
  <si>
    <t>2020-11-27 17:25:37.349</t>
  </si>
  <si>
    <t>RU000A101HF6</t>
  </si>
  <si>
    <t>53065681</t>
  </si>
  <si>
    <t>2020-11-27 17:25:37.316</t>
  </si>
  <si>
    <t>RU000A101H19</t>
  </si>
  <si>
    <t>53016417</t>
  </si>
  <si>
    <t>2020-11-27 17:25:37.243</t>
  </si>
  <si>
    <t>RU000A101GS1</t>
  </si>
  <si>
    <t>52970104</t>
  </si>
  <si>
    <t>2020-11-27 17:25:37.084</t>
  </si>
  <si>
    <t>RU000A101GP7</t>
  </si>
  <si>
    <t>52927889</t>
  </si>
  <si>
    <t>2020-11-27 17:25:37.047</t>
  </si>
  <si>
    <t>RU000A101GM4</t>
  </si>
  <si>
    <t>52911253</t>
  </si>
  <si>
    <t>2020-11-27 17:25:36.979</t>
  </si>
  <si>
    <t>RU000A101GJ0</t>
  </si>
  <si>
    <t>52826502</t>
  </si>
  <si>
    <t>2020-11-27 17:25:36.944</t>
  </si>
  <si>
    <t>RU000A101G36</t>
  </si>
  <si>
    <t>52728023</t>
  </si>
  <si>
    <t>2020-11-27 17:25:36.889</t>
  </si>
  <si>
    <t>RU000A101FQ7</t>
  </si>
  <si>
    <t>52704498</t>
  </si>
  <si>
    <t>2020-11-27 17:25:36.854</t>
  </si>
  <si>
    <t>RU000A101FV7</t>
  </si>
  <si>
    <t>52701852</t>
  </si>
  <si>
    <t>2020-11-27 17:25:36.82</t>
  </si>
  <si>
    <t>RU000A101AD6</t>
  </si>
  <si>
    <t>52685551</t>
  </si>
  <si>
    <t>2020-11-27 17:25:36.782</t>
  </si>
  <si>
    <t>RU000A101F52</t>
  </si>
  <si>
    <t>52638182</t>
  </si>
  <si>
    <t>2020-11-27 17:25:36.711</t>
  </si>
  <si>
    <t>RU000A101EL1</t>
  </si>
  <si>
    <t>52518953</t>
  </si>
  <si>
    <t>2020-11-27 17:25:36.595</t>
  </si>
  <si>
    <t>RU000A101E04</t>
  </si>
  <si>
    <t>52515736</t>
  </si>
  <si>
    <t>2020-11-27 17:25:36.524</t>
  </si>
  <si>
    <t>RU000A101DR0</t>
  </si>
  <si>
    <t>52470396</t>
  </si>
  <si>
    <t>2020-11-27 17:25:36.489</t>
  </si>
  <si>
    <t>RU000A101A73</t>
  </si>
  <si>
    <t>52399552</t>
  </si>
  <si>
    <t>2020-11-27 17:25:36.424</t>
  </si>
  <si>
    <t>RU000A101A65</t>
  </si>
  <si>
    <t>52327635</t>
  </si>
  <si>
    <t>2020-11-27 17:25:36.361</t>
  </si>
  <si>
    <t>RU000A101CX0</t>
  </si>
  <si>
    <t>52293906</t>
  </si>
  <si>
    <t>2020-11-27 17:25:36.329</t>
  </si>
  <si>
    <t>RU000A101CD2</t>
  </si>
  <si>
    <t>52267562</t>
  </si>
  <si>
    <t>2020-11-27 17:25:36.296</t>
  </si>
  <si>
    <t>RU000A101CR2</t>
  </si>
  <si>
    <t>52266518</t>
  </si>
  <si>
    <t>2020-11-27 17:25:36.265</t>
  </si>
  <si>
    <t>RU000A1017W8</t>
  </si>
  <si>
    <t>52158143</t>
  </si>
  <si>
    <t>2020-11-27 17:25:36.164</t>
  </si>
  <si>
    <t>RU000A101C89</t>
  </si>
  <si>
    <t>52139362</t>
  </si>
  <si>
    <t>2020-11-27 17:25:36.098</t>
  </si>
  <si>
    <t>RU000A101BZ7</t>
  </si>
  <si>
    <t>52096427</t>
  </si>
  <si>
    <t>2020-11-27 17:25:36.029</t>
  </si>
  <si>
    <t>RU000A101A24</t>
  </si>
  <si>
    <t>52067811</t>
  </si>
  <si>
    <t>2020-11-27 17:25:35.996</t>
  </si>
  <si>
    <t>RU000A101A40</t>
  </si>
  <si>
    <t>52067809</t>
  </si>
  <si>
    <t>2020-11-27 17:25:35.957</t>
  </si>
  <si>
    <t>RU000A1019U8</t>
  </si>
  <si>
    <t>52005449</t>
  </si>
  <si>
    <t>2020-11-27 17:25:35.926</t>
  </si>
  <si>
    <t>RU000A1019T0</t>
  </si>
  <si>
    <t>52004461</t>
  </si>
  <si>
    <t>2020-11-27 17:25:35.894</t>
  </si>
  <si>
    <t>RU000A1017R8</t>
  </si>
  <si>
    <t>51697965</t>
  </si>
  <si>
    <t>2020-11-27 17:25:35.715</t>
  </si>
  <si>
    <t>RU000A101731</t>
  </si>
  <si>
    <t>51696335</t>
  </si>
  <si>
    <t>2020-11-27 17:25:35.683</t>
  </si>
  <si>
    <t>RU000A1016L3</t>
  </si>
  <si>
    <t>51580489</t>
  </si>
  <si>
    <t>2020-11-27 17:25:35.613</t>
  </si>
  <si>
    <t>RU000A1016M1</t>
  </si>
  <si>
    <t>51580488</t>
  </si>
  <si>
    <t>2020-11-27 17:25:35.581</t>
  </si>
  <si>
    <t>RU000A101640</t>
  </si>
  <si>
    <t>51549983</t>
  </si>
  <si>
    <t>2020-11-27 17:25:35.507</t>
  </si>
  <si>
    <t>RU000A101657</t>
  </si>
  <si>
    <t>51549982</t>
  </si>
  <si>
    <t>2020-11-27 17:25:35.473</t>
  </si>
  <si>
    <t>RU000A1015H3</t>
  </si>
  <si>
    <t>51515241</t>
  </si>
  <si>
    <t>Sakhalinmorneftemontazh Public Joint Stock Company</t>
  </si>
  <si>
    <t>2020-11-27 17:25:35.403</t>
  </si>
  <si>
    <t>RU000A101558</t>
  </si>
  <si>
    <t>51444688</t>
  </si>
  <si>
    <t>2020-11-27 17:25:35.335</t>
  </si>
  <si>
    <t>RU000A101491</t>
  </si>
  <si>
    <t>51381279</t>
  </si>
  <si>
    <t>2020-11-27 17:25:35.264</t>
  </si>
  <si>
    <t>RU000A1013J4</t>
  </si>
  <si>
    <t>51342671</t>
  </si>
  <si>
    <t>2020-11-27 17:25:35.195</t>
  </si>
  <si>
    <t>RU000A1010G6</t>
  </si>
  <si>
    <t>51192582</t>
  </si>
  <si>
    <t>2020-11-27 17:25:35.063</t>
  </si>
  <si>
    <t>RU000A101210</t>
  </si>
  <si>
    <t>51175094</t>
  </si>
  <si>
    <t>2020-11-27 17:25:35.026</t>
  </si>
  <si>
    <t>RU000A1011R1</t>
  </si>
  <si>
    <t>51138107</t>
  </si>
  <si>
    <t>2020-11-27 17:25:34.939</t>
  </si>
  <si>
    <t>RU000A1010F8</t>
  </si>
  <si>
    <t>51135771</t>
  </si>
  <si>
    <t>2020-11-27 17:25:34.903</t>
  </si>
  <si>
    <t>RU000A1011E9</t>
  </si>
  <si>
    <t>51114448</t>
  </si>
  <si>
    <t>2020-11-27 17:25:34.865</t>
  </si>
  <si>
    <t>RU000A1010U7</t>
  </si>
  <si>
    <t>51097449</t>
  </si>
  <si>
    <t>2020-11-27 17:25:34.831</t>
  </si>
  <si>
    <t>RU000A100XM1</t>
  </si>
  <si>
    <t>51092966</t>
  </si>
  <si>
    <t>2020-11-27 17:25:34.794</t>
  </si>
  <si>
    <t>RU000A101137</t>
  </si>
  <si>
    <t>51084391</t>
  </si>
  <si>
    <t>2020-11-27 17:25:34.757</t>
  </si>
  <si>
    <t>RU000A1010A9</t>
  </si>
  <si>
    <t>51008729</t>
  </si>
  <si>
    <t>2020-11-27 17:25:34.687</t>
  </si>
  <si>
    <t>RU000A1010B7</t>
  </si>
  <si>
    <t>51008427</t>
  </si>
  <si>
    <t>Transneft PJSC</t>
  </si>
  <si>
    <t>2020-11-27 17:25:34.654</t>
  </si>
  <si>
    <t>RU000A100XK5</t>
  </si>
  <si>
    <t>50960919</t>
  </si>
  <si>
    <t>2020-11-27 17:25:34.592</t>
  </si>
  <si>
    <t>RU000A100ZP9</t>
  </si>
  <si>
    <t>50872424</t>
  </si>
  <si>
    <t>2020-11-27 17:25:34.457</t>
  </si>
  <si>
    <t>RU000A100Z59</t>
  </si>
  <si>
    <t>50818723</t>
  </si>
  <si>
    <t>2020-11-27 17:25:34.39</t>
  </si>
  <si>
    <t>RU000A100XJ7</t>
  </si>
  <si>
    <t>50780735</t>
  </si>
  <si>
    <t>2020-11-27 17:25:34.293</t>
  </si>
  <si>
    <t>RU000A100YB2</t>
  </si>
  <si>
    <t>50739027</t>
  </si>
  <si>
    <t>2020-11-27 17:25:34.197</t>
  </si>
  <si>
    <t>RU000A100Y01</t>
  </si>
  <si>
    <t>50656627</t>
  </si>
  <si>
    <t>2020-11-27 17:25:34.162</t>
  </si>
  <si>
    <t>RU000A100U54</t>
  </si>
  <si>
    <t>50602893</t>
  </si>
  <si>
    <t>2020-11-27 17:25:34.046</t>
  </si>
  <si>
    <t>RU000A100XA6</t>
  </si>
  <si>
    <t>50554759</t>
  </si>
  <si>
    <t>2020-11-27 17:25:33.977</t>
  </si>
  <si>
    <t>RU000A100VM5</t>
  </si>
  <si>
    <t>50337160</t>
  </si>
  <si>
    <t>Stratedzhi Partners Grupp Aktsionernoye obshchestvo</t>
  </si>
  <si>
    <t>2020-11-27 17:25:33.891</t>
  </si>
  <si>
    <t>RU000A100VV6</t>
  </si>
  <si>
    <t>50331088</t>
  </si>
  <si>
    <t>2020-11-27 17:25:33.857</t>
  </si>
  <si>
    <t>RU000A100VU8</t>
  </si>
  <si>
    <t>50331087</t>
  </si>
  <si>
    <t>2020-11-27 17:25:33.79</t>
  </si>
  <si>
    <t>RU000A100VF9</t>
  </si>
  <si>
    <t>50293791</t>
  </si>
  <si>
    <t>2020-11-27 17:25:33.758</t>
  </si>
  <si>
    <t>RU000A100TY4</t>
  </si>
  <si>
    <t>50100358</t>
  </si>
  <si>
    <t>2020-11-27 17:25:33.676</t>
  </si>
  <si>
    <t>RU000A100TV0</t>
  </si>
  <si>
    <t>50098961</t>
  </si>
  <si>
    <t>2020-11-27 17:25:33.64</t>
  </si>
  <si>
    <t>RU000A0NH1T3</t>
  </si>
  <si>
    <t>49988094</t>
  </si>
  <si>
    <t>2020-11-27 17:25:33.571</t>
  </si>
  <si>
    <t>RU000A0NH1S5</t>
  </si>
  <si>
    <t>49881245</t>
  </si>
  <si>
    <t>2020-11-27 17:25:33.465</t>
  </si>
  <si>
    <t>RU000A100SD0</t>
  </si>
  <si>
    <t>49827956</t>
  </si>
  <si>
    <t>UEC-Ufa Engine Industrial Association Public Joint Stock Company</t>
  </si>
  <si>
    <t>2020-11-27 17:25:33.34</t>
  </si>
  <si>
    <t>RU000A0NH1Q9</t>
  </si>
  <si>
    <t>49784243</t>
  </si>
  <si>
    <t>2020-11-27 17:25:33.296</t>
  </si>
  <si>
    <t>RU000A100S58</t>
  </si>
  <si>
    <t>49780110</t>
  </si>
  <si>
    <t>2020-11-27 17:25:33.263</t>
  </si>
  <si>
    <t>RU000A100RV4</t>
  </si>
  <si>
    <t>49761850</t>
  </si>
  <si>
    <t>2020-11-27 17:25:33.198</t>
  </si>
  <si>
    <t>RU000A100RR2</t>
  </si>
  <si>
    <t>49742002</t>
  </si>
  <si>
    <t>2020-11-27 17:25:33.169</t>
  </si>
  <si>
    <t>RU000A0NH1N6</t>
  </si>
  <si>
    <t>49687207</t>
  </si>
  <si>
    <t>2020-11-27 17:25:33.056</t>
  </si>
  <si>
    <t>RU000A100R34</t>
  </si>
  <si>
    <t>49668250</t>
  </si>
  <si>
    <t>2020-11-27 17:25:32.982</t>
  </si>
  <si>
    <t>RU000A0NH1L0</t>
  </si>
  <si>
    <t>49499552</t>
  </si>
  <si>
    <t>2020-11-27 17:25:32.88</t>
  </si>
  <si>
    <t>RU000A100QB8</t>
  </si>
  <si>
    <t>49498208</t>
  </si>
  <si>
    <t>2020-11-27 17:25:32.849</t>
  </si>
  <si>
    <t>RU000A100Q27</t>
  </si>
  <si>
    <t>49476555</t>
  </si>
  <si>
    <t>Tupolev PJSC</t>
  </si>
  <si>
    <t>2020-11-27 17:25:32.777</t>
  </si>
  <si>
    <t>RU000A100Q19</t>
  </si>
  <si>
    <t>49473445</t>
  </si>
  <si>
    <t>2020-11-27 17:25:32.743</t>
  </si>
  <si>
    <t>RU000A0NH1J4</t>
  </si>
  <si>
    <t>49384125</t>
  </si>
  <si>
    <t>2020-11-27 17:25:32.646</t>
  </si>
  <si>
    <t>RU000A100N87</t>
  </si>
  <si>
    <t>49239211</t>
  </si>
  <si>
    <t>2020-11-27 17:25:32.584</t>
  </si>
  <si>
    <t>RU000A100MZ6</t>
  </si>
  <si>
    <t>49194314</t>
  </si>
  <si>
    <t>2020-11-27 17:25:32.512</t>
  </si>
  <si>
    <t>RU000A100L22</t>
  </si>
  <si>
    <t>49004534</t>
  </si>
  <si>
    <t>2020-11-27 17:25:32.287</t>
  </si>
  <si>
    <t>RU000A100K80</t>
  </si>
  <si>
    <t>48926797</t>
  </si>
  <si>
    <t>2020-11-27 17:25:32.1</t>
  </si>
  <si>
    <t>RU000A100JF4</t>
  </si>
  <si>
    <t>48873634</t>
  </si>
  <si>
    <t>2020-11-27 17:25:32.032</t>
  </si>
  <si>
    <t>RU000A100J34</t>
  </si>
  <si>
    <t>48843331</t>
  </si>
  <si>
    <t>2020-11-27 17:25:31.964</t>
  </si>
  <si>
    <t>RU000A100HN2</t>
  </si>
  <si>
    <t>48786750</t>
  </si>
  <si>
    <t>2020-11-27 17:25:31.871</t>
  </si>
  <si>
    <t>RU000A100HM4</t>
  </si>
  <si>
    <t>48760980</t>
  </si>
  <si>
    <t>2020-11-27 17:25:31.796</t>
  </si>
  <si>
    <t>48735256</t>
  </si>
  <si>
    <t>2020-11-27 17:25:31.757</t>
  </si>
  <si>
    <t>48708553</t>
  </si>
  <si>
    <t>2020-11-27 17:25:31.66</t>
  </si>
  <si>
    <t>48704726</t>
  </si>
  <si>
    <t>2020-11-27 17:25:31.597</t>
  </si>
  <si>
    <t>48704721</t>
  </si>
  <si>
    <t>2020-11-27 17:25:31.563</t>
  </si>
  <si>
    <t>48704720</t>
  </si>
  <si>
    <t>2020-11-27 17:25:31.533</t>
  </si>
  <si>
    <t>48631611</t>
  </si>
  <si>
    <t>2020-11-27 17:25:31.5</t>
  </si>
  <si>
    <t>48432956</t>
  </si>
  <si>
    <t>2020-11-27 17:25:31.358</t>
  </si>
  <si>
    <t>48424491</t>
  </si>
  <si>
    <t>2020-11-27 17:25:31.29</t>
  </si>
  <si>
    <t>RU000A100EZ3</t>
  </si>
  <si>
    <t>48369991</t>
  </si>
  <si>
    <t>198 kombinat zhelezobetonnykh izdeliy Zakrytoye aktsionernoye obshchestvo</t>
  </si>
  <si>
    <t>2020-11-27 17:25:31.221</t>
  </si>
  <si>
    <t>RU000A100EY6</t>
  </si>
  <si>
    <t>48369982</t>
  </si>
  <si>
    <t>183 mekhanicheskiy zavod Zakrytoye aktsionernoyeobshchestvo</t>
  </si>
  <si>
    <t>2020-11-27 17:25:31.188</t>
  </si>
  <si>
    <t>48354488</t>
  </si>
  <si>
    <t>2020-11-27 17:25:31.157</t>
  </si>
  <si>
    <t>48297666</t>
  </si>
  <si>
    <t>2020-11-27 17:25:31.053</t>
  </si>
  <si>
    <t>48294469</t>
  </si>
  <si>
    <t>2020-11-27 17:25:30.983</t>
  </si>
  <si>
    <t>48230843</t>
  </si>
  <si>
    <t>2020-11-27 17:25:30.947</t>
  </si>
  <si>
    <t>48217030</t>
  </si>
  <si>
    <t>2020-11-27 17:25:30.913</t>
  </si>
  <si>
    <t>48187870</t>
  </si>
  <si>
    <t>2020-11-27 17:25:30.882</t>
  </si>
  <si>
    <t>48174064</t>
  </si>
  <si>
    <t>2020-11-27 17:25:30.851</t>
  </si>
  <si>
    <t>48148409</t>
  </si>
  <si>
    <t>2020-11-27 17:25:30.815</t>
  </si>
  <si>
    <t>47974449</t>
  </si>
  <si>
    <t>2020-11-27 17:25:30.634</t>
  </si>
  <si>
    <t>RU000A100BZ9</t>
  </si>
  <si>
    <t>47837042</t>
  </si>
  <si>
    <t>ODK-Aviadvigatel Aktsionernoye obschestvo</t>
  </si>
  <si>
    <t>2020-11-27 17:25:30.54</t>
  </si>
  <si>
    <t>47706972</t>
  </si>
  <si>
    <t>2020-11-27 17:25:30.46</t>
  </si>
  <si>
    <t>47567015</t>
  </si>
  <si>
    <t>2020-11-27 17:25:30.366</t>
  </si>
  <si>
    <t>47566973</t>
  </si>
  <si>
    <t>2020-11-27 17:25:30.333</t>
  </si>
  <si>
    <t>47507012</t>
  </si>
  <si>
    <t>2020-11-27 17:25:30.233</t>
  </si>
  <si>
    <t>47435464</t>
  </si>
  <si>
    <t>2020-11-27 17:25:30.107</t>
  </si>
  <si>
    <t>47401248</t>
  </si>
  <si>
    <t>2020-11-27 17:25:30.037</t>
  </si>
  <si>
    <t>47377205</t>
  </si>
  <si>
    <t>2020-11-27 17:25:30.004</t>
  </si>
  <si>
    <t>RU000A0JXGV0</t>
  </si>
  <si>
    <t>47339429</t>
  </si>
  <si>
    <t>Joint Stock Commercial Bank PERESVET Public joint-stock company</t>
  </si>
  <si>
    <t>2020-11-27 17:25:29.94</t>
  </si>
  <si>
    <t>47288958</t>
  </si>
  <si>
    <t>2020-11-27 17:25:29.878</t>
  </si>
  <si>
    <t>47121275</t>
  </si>
  <si>
    <t>2020-11-27 17:25:29.685</t>
  </si>
  <si>
    <t>47121230</t>
  </si>
  <si>
    <t>2020-11-27 17:25:29.606</t>
  </si>
  <si>
    <t>46934309</t>
  </si>
  <si>
    <t>2020-11-27 17:25:29.319</t>
  </si>
  <si>
    <t>46925937</t>
  </si>
  <si>
    <t>2020-11-27 17:25:29.258</t>
  </si>
  <si>
    <t>46873292</t>
  </si>
  <si>
    <t>2020-11-27 17:25:29.224</t>
  </si>
  <si>
    <t>46794301</t>
  </si>
  <si>
    <t>2020-11-27 17:25:29.147</t>
  </si>
  <si>
    <t>46774613</t>
  </si>
  <si>
    <t>2020-11-27 17:25:29.119</t>
  </si>
  <si>
    <t>46642323</t>
  </si>
  <si>
    <t>2020-11-27 17:25:28.943</t>
  </si>
  <si>
    <t>46506863</t>
  </si>
  <si>
    <t>2020-11-27 17:25:28.824</t>
  </si>
  <si>
    <t>46485375</t>
  </si>
  <si>
    <t>2020-11-27 17:25:28.79</t>
  </si>
  <si>
    <t>46485074</t>
  </si>
  <si>
    <t>2020-11-27 17:25:28.757</t>
  </si>
  <si>
    <t>46456204</t>
  </si>
  <si>
    <t>2020-11-27 17:25:28.679</t>
  </si>
  <si>
    <t>46213850</t>
  </si>
  <si>
    <t>2020-11-27 17:25:28.434</t>
  </si>
  <si>
    <t>46209457</t>
  </si>
  <si>
    <t>2020-11-27 17:25:28.398</t>
  </si>
  <si>
    <t>46087525</t>
  </si>
  <si>
    <t>2020-11-27 17:25:28.297</t>
  </si>
  <si>
    <t>46002672</t>
  </si>
  <si>
    <t>2020-11-27 17:25:28.176</t>
  </si>
  <si>
    <t>RU000A0JPZC6</t>
  </si>
  <si>
    <t>4595907</t>
  </si>
  <si>
    <t>Interregional Bank for Settlements of the       Telecommunications and Postal Services PJSC</t>
  </si>
  <si>
    <t>2020-11-27 17:25:28.115</t>
  </si>
  <si>
    <t>45634970</t>
  </si>
  <si>
    <t>2020-11-27 17:25:27.963</t>
  </si>
  <si>
    <t>45627479</t>
  </si>
  <si>
    <t>2020-11-27 17:25:27.902</t>
  </si>
  <si>
    <t>45625460</t>
  </si>
  <si>
    <t>2020-11-27 17:25:27.873</t>
  </si>
  <si>
    <t>45625132</t>
  </si>
  <si>
    <t>2020-11-27 17:25:27.842</t>
  </si>
  <si>
    <t>45581170</t>
  </si>
  <si>
    <t>2020-11-27 17:25:27.8</t>
  </si>
  <si>
    <t>45471860</t>
  </si>
  <si>
    <t>2020-11-27 17:25:27.726</t>
  </si>
  <si>
    <t>45421261</t>
  </si>
  <si>
    <t>2020-11-27 17:25:27.631</t>
  </si>
  <si>
    <t>45421246</t>
  </si>
  <si>
    <t>2020-11-27 17:25:27.6</t>
  </si>
  <si>
    <t>45377752</t>
  </si>
  <si>
    <t>2020-11-27 17:25:27.545</t>
  </si>
  <si>
    <t>45282940</t>
  </si>
  <si>
    <t>2020-11-27 17:25:27.42</t>
  </si>
  <si>
    <t>45282925</t>
  </si>
  <si>
    <t>2020-11-27 17:25:27.381</t>
  </si>
  <si>
    <t>45139233</t>
  </si>
  <si>
    <t>2020-11-27 17:25:27.207</t>
  </si>
  <si>
    <t>45053124</t>
  </si>
  <si>
    <t>2020-11-27 17:25:27.174</t>
  </si>
  <si>
    <t>44967334</t>
  </si>
  <si>
    <t>2020-11-27 17:25:27.036</t>
  </si>
  <si>
    <t>44890344</t>
  </si>
  <si>
    <t>2020-11-27 17:25:26.959</t>
  </si>
  <si>
    <t>44737995</t>
  </si>
  <si>
    <t>2020-11-27 17:25:26.798</t>
  </si>
  <si>
    <t>44628702</t>
  </si>
  <si>
    <t>2020-11-27 17:25:26.735</t>
  </si>
  <si>
    <t>44474068</t>
  </si>
  <si>
    <t>2020-11-27 17:25:26.538</t>
  </si>
  <si>
    <t>44312785</t>
  </si>
  <si>
    <t>2020-11-27 17:25:26.358</t>
  </si>
  <si>
    <t>44276197</t>
  </si>
  <si>
    <t>2020-11-27 17:25:26.287</t>
  </si>
  <si>
    <t>44253655</t>
  </si>
  <si>
    <t>2020-11-27 17:25:26.257</t>
  </si>
  <si>
    <t>44092837</t>
  </si>
  <si>
    <t>2020-11-27 17:25:26.147</t>
  </si>
  <si>
    <t>43817277</t>
  </si>
  <si>
    <t>2020-11-27 17:25:25.926</t>
  </si>
  <si>
    <t>43816937</t>
  </si>
  <si>
    <t>2020-11-27 17:25:25.893</t>
  </si>
  <si>
    <t>43695822</t>
  </si>
  <si>
    <t>2020-11-27 17:25:25.771</t>
  </si>
  <si>
    <t>43583139</t>
  </si>
  <si>
    <t>2020-11-27 17:25:25.677</t>
  </si>
  <si>
    <t>43566910</t>
  </si>
  <si>
    <t>2020-11-27 17:25:25.613</t>
  </si>
  <si>
    <t>43513093</t>
  </si>
  <si>
    <t>2020-11-27 17:25:25.586</t>
  </si>
  <si>
    <t>43448412</t>
  </si>
  <si>
    <t>2020-11-27 17:25:25.493</t>
  </si>
  <si>
    <t>43448199</t>
  </si>
  <si>
    <t>2020-11-27 17:25:25.458</t>
  </si>
  <si>
    <t>43377078</t>
  </si>
  <si>
    <t>2020-11-27 17:25:25.398</t>
  </si>
  <si>
    <t>43332768</t>
  </si>
  <si>
    <t>2020-11-27 17:25:25.356</t>
  </si>
  <si>
    <t>43293994</t>
  </si>
  <si>
    <t>2020-11-27 17:25:25.27</t>
  </si>
  <si>
    <t>43271273</t>
  </si>
  <si>
    <t>2020-11-27 17:25:25.223</t>
  </si>
  <si>
    <t>43249720</t>
  </si>
  <si>
    <t>2020-11-27 17:25:25.198</t>
  </si>
  <si>
    <t>43176168</t>
  </si>
  <si>
    <t>2020-11-27 17:25:25.145</t>
  </si>
  <si>
    <t>43176161</t>
  </si>
  <si>
    <t>2020-11-27 17:25:25.116</t>
  </si>
  <si>
    <t>43053420</t>
  </si>
  <si>
    <t>2020-11-27 17:25:25.006</t>
  </si>
  <si>
    <t>43016090</t>
  </si>
  <si>
    <t>2020-11-27 17:25:24.951</t>
  </si>
  <si>
    <t>42966160</t>
  </si>
  <si>
    <t>2020-11-27 17:25:24.92</t>
  </si>
  <si>
    <t>42925892</t>
  </si>
  <si>
    <t>2020-11-27 17:25:24.826</t>
  </si>
  <si>
    <t>42887022</t>
  </si>
  <si>
    <t>2020-11-27 17:25:24.737</t>
  </si>
  <si>
    <t>42879717</t>
  </si>
  <si>
    <t>2020-11-27 17:25:24.678</t>
  </si>
  <si>
    <t>42858815</t>
  </si>
  <si>
    <t>2020-11-27 17:25:24.649</t>
  </si>
  <si>
    <t>42826868</t>
  </si>
  <si>
    <t>2020-11-27 17:25:24.591</t>
  </si>
  <si>
    <t>42764105</t>
  </si>
  <si>
    <t>2020-11-27 17:25:24.3</t>
  </si>
  <si>
    <t>42760027</t>
  </si>
  <si>
    <t>Aviation Holding Company Sukhoi PJSC</t>
  </si>
  <si>
    <t>2020-11-27 17:25:24.265</t>
  </si>
  <si>
    <t>42684609</t>
  </si>
  <si>
    <t>2020-11-27 17:25:24.215</t>
  </si>
  <si>
    <t>42536159</t>
  </si>
  <si>
    <t>2020-11-27 17:25:24.001</t>
  </si>
  <si>
    <t>42533483</t>
  </si>
  <si>
    <t>2020-11-27 17:25:23.971</t>
  </si>
  <si>
    <t>42408056</t>
  </si>
  <si>
    <t>2020-11-27 17:25:23.874</t>
  </si>
  <si>
    <t>42383555</t>
  </si>
  <si>
    <t>2020-11-27 17:25:23.844</t>
  </si>
  <si>
    <t>42285605</t>
  </si>
  <si>
    <t>2020-11-27 17:25:23.726</t>
  </si>
  <si>
    <t>42175476</t>
  </si>
  <si>
    <t>2020-11-27 17:25:23.632</t>
  </si>
  <si>
    <t>42124066</t>
  </si>
  <si>
    <t>2020-11-27 17:25:23.575</t>
  </si>
  <si>
    <t>RU000A0ZZ8T2</t>
  </si>
  <si>
    <t>42077458</t>
  </si>
  <si>
    <t>West Siberian commercial bank JS</t>
  </si>
  <si>
    <t>2020-11-27 17:25:23.502</t>
  </si>
  <si>
    <t>41862635</t>
  </si>
  <si>
    <t>2020-11-27 17:25:23.244</t>
  </si>
  <si>
    <t>41841877</t>
  </si>
  <si>
    <t>2020-11-27 17:25:23.191</t>
  </si>
  <si>
    <t>41752940</t>
  </si>
  <si>
    <t>2020-11-27 17:25:23.044</t>
  </si>
  <si>
    <t>41670878</t>
  </si>
  <si>
    <t>2020-11-27 17:25:22.987</t>
  </si>
  <si>
    <t>2020-11-27 17:25:22.96</t>
  </si>
  <si>
    <t>41588005</t>
  </si>
  <si>
    <t>2020-11-27 17:25:22.868</t>
  </si>
  <si>
    <t>41436344</t>
  </si>
  <si>
    <t>2020-11-27 17:25:22.719</t>
  </si>
  <si>
    <t>41344035</t>
  </si>
  <si>
    <t>2020-11-27 17:25:22.662</t>
  </si>
  <si>
    <t>41187237</t>
  </si>
  <si>
    <t>2020-11-27 17:25:22.501</t>
  </si>
  <si>
    <t>40804141</t>
  </si>
  <si>
    <t>2020-11-27 17:25:22.211</t>
  </si>
  <si>
    <t>40803683</t>
  </si>
  <si>
    <t>2020-11-27 17:25:22.185</t>
  </si>
  <si>
    <t>RU000A0ZYWH0</t>
  </si>
  <si>
    <t>40803486</t>
  </si>
  <si>
    <t>Rostov Helicopter Production Complex Rostvertol named after B.N. Slyusar Public Joint Stock Company</t>
  </si>
  <si>
    <t>2020-11-27 17:25:22.157</t>
  </si>
  <si>
    <t>40717565</t>
  </si>
  <si>
    <t>2020-11-27 17:25:22.102</t>
  </si>
  <si>
    <t>40696065</t>
  </si>
  <si>
    <t>2020-11-27 17:25:22.053</t>
  </si>
  <si>
    <t>40675990</t>
  </si>
  <si>
    <t>2020-11-27 17:25:22.023</t>
  </si>
  <si>
    <t>40606224</t>
  </si>
  <si>
    <t>2020-11-27 17:25:21.906</t>
  </si>
  <si>
    <t>40586828</t>
  </si>
  <si>
    <t>2020-11-27 17:25:21.877</t>
  </si>
  <si>
    <t>40393700</t>
  </si>
  <si>
    <t>2020-11-27 17:23:05.883</t>
  </si>
  <si>
    <t>40182280</t>
  </si>
  <si>
    <t>2020-11-27 17:23:05.774</t>
  </si>
  <si>
    <t>40167411</t>
  </si>
  <si>
    <t>2020-11-27 17:23:05.702</t>
  </si>
  <si>
    <t>40167395</t>
  </si>
  <si>
    <t>Obyedinennoye Kreditnoye Byuro Zakrytoye aktsionernoye obshchestvo</t>
  </si>
  <si>
    <t>2020-11-27 17:23:05.667</t>
  </si>
  <si>
    <t>40102261</t>
  </si>
  <si>
    <t>Sberbank - Avtomatizirovannaya sistema torgov Zakrytoye aktsionernoye obshchestvo</t>
  </si>
  <si>
    <t>2020-11-27 17:23:05.634</t>
  </si>
  <si>
    <t>40100672</t>
  </si>
  <si>
    <t>Delovaya sreda Aktsionernoye obshchestvo</t>
  </si>
  <si>
    <t>2020-11-27 17:23:05.601</t>
  </si>
  <si>
    <t>40097196</t>
  </si>
  <si>
    <t>Tsentr programm loyalnosti Aktsionernoye obshchestvo</t>
  </si>
  <si>
    <t>2020-11-27 17:23:05.568</t>
  </si>
  <si>
    <t>39962269</t>
  </si>
  <si>
    <t>Inzerneft Aktsionernoye obshchestvo</t>
  </si>
  <si>
    <t>2020-11-27 17:23:05.421</t>
  </si>
  <si>
    <t>39704486</t>
  </si>
  <si>
    <t>Russian Helicopters JSC</t>
  </si>
  <si>
    <t>2020-11-27 17:23:05.226</t>
  </si>
  <si>
    <t>39658157</t>
  </si>
  <si>
    <t>2020-11-27 17:23:05.194</t>
  </si>
  <si>
    <t>39655041</t>
  </si>
  <si>
    <t>2020-11-27 17:23:05.156</t>
  </si>
  <si>
    <t>39654956</t>
  </si>
  <si>
    <t>2020-11-27 17:23:05.091</t>
  </si>
  <si>
    <t>39457772</t>
  </si>
  <si>
    <t>2020-11-27 17:23:04.899</t>
  </si>
  <si>
    <t>39396974</t>
  </si>
  <si>
    <t>2020-11-27 17:23:04.827</t>
  </si>
  <si>
    <t>38787911</t>
  </si>
  <si>
    <t>2020-11-27 17:23:04.315</t>
  </si>
  <si>
    <t>38648655</t>
  </si>
  <si>
    <t>2020-11-27 17:23:04.21</t>
  </si>
  <si>
    <t>38541522</t>
  </si>
  <si>
    <t>2020-11-27 17:23:03.996</t>
  </si>
  <si>
    <t>38365063</t>
  </si>
  <si>
    <t>2020-11-27 17:23:03.861</t>
  </si>
  <si>
    <t>37960057</t>
  </si>
  <si>
    <t>Bank VTB 24 PAO</t>
  </si>
  <si>
    <t>2020-11-27 17:23:03.373</t>
  </si>
  <si>
    <t>RU000A0JXY77</t>
  </si>
  <si>
    <t>37791271</t>
  </si>
  <si>
    <t>UEC-Saturn Public joint-stock company</t>
  </si>
  <si>
    <t>2020-11-27 17:23:03.22</t>
  </si>
  <si>
    <t>37695945</t>
  </si>
  <si>
    <t>Beriev Aircraft PJSC</t>
  </si>
  <si>
    <t>2020-11-27 17:23:03.085</t>
  </si>
  <si>
    <t>37682024</t>
  </si>
  <si>
    <t>Sistema Lizing 24 Aktsionernoye Obschestvo</t>
  </si>
  <si>
    <t>2020-11-27 17:23:03.016</t>
  </si>
  <si>
    <t>37668869</t>
  </si>
  <si>
    <t>2020-11-27 17:23:02.977</t>
  </si>
  <si>
    <t>RU000A0JXXA9</t>
  </si>
  <si>
    <t>37665699</t>
  </si>
  <si>
    <t>Mortgage Agent VTB 24-2 CJSC</t>
  </si>
  <si>
    <t>2020-11-27 17:23:02.935</t>
  </si>
  <si>
    <t>RU000A0JXX86</t>
  </si>
  <si>
    <t>37665676</t>
  </si>
  <si>
    <t>Mortgage Agent VTB24-1 Closed Joint-Stock Company</t>
  </si>
  <si>
    <t>2020-11-27 17:23:02.899</t>
  </si>
  <si>
    <t>RU000A0JXX29</t>
  </si>
  <si>
    <t>37643731</t>
  </si>
  <si>
    <t>Mortgage Agent VTB 2013-1 CJSC</t>
  </si>
  <si>
    <t>2020-11-27 17:23:02.861</t>
  </si>
  <si>
    <t>37270111</t>
  </si>
  <si>
    <t>2020-11-27 17:23:02.497</t>
  </si>
  <si>
    <t>37099552</t>
  </si>
  <si>
    <t>2020-11-27 17:23:02.339</t>
  </si>
  <si>
    <t>UA4000012702</t>
  </si>
  <si>
    <t>3704296</t>
  </si>
  <si>
    <t>2020-11-27 17:23:02.159</t>
  </si>
  <si>
    <t>37026550</t>
  </si>
  <si>
    <t>Hotel Company JSC</t>
  </si>
  <si>
    <t>2020-11-27 17:23:02.126</t>
  </si>
  <si>
    <t>36942829</t>
  </si>
  <si>
    <t>2020-11-27 17:23:01.944</t>
  </si>
  <si>
    <t>36819193</t>
  </si>
  <si>
    <t>2020-11-27 17:23:01.84</t>
  </si>
  <si>
    <t>36436724</t>
  </si>
  <si>
    <t>2020-11-27 17:23:01.541</t>
  </si>
  <si>
    <t>36281595</t>
  </si>
  <si>
    <t>2020-11-27 17:23:01.349</t>
  </si>
  <si>
    <t>35991501</t>
  </si>
  <si>
    <t>Gals Severo-Zapad Zakrytoye aktsionernoye obschestvo</t>
  </si>
  <si>
    <t>2020-11-27 17:23:01.145</t>
  </si>
  <si>
    <t>35864866</t>
  </si>
  <si>
    <t>IPP OPEN JOINT-STOCK COMPANY</t>
  </si>
  <si>
    <t>2020-11-27 17:23:01.037</t>
  </si>
  <si>
    <t>35780981</t>
  </si>
  <si>
    <t>2020-11-27 17:23:00.921</t>
  </si>
  <si>
    <t>35767630</t>
  </si>
  <si>
    <t>Novorossiyskiy Portovyy Kompleks Zarubezhneft Otkrytoye aktsionernoye obschestvo</t>
  </si>
  <si>
    <t>2020-11-27 17:23:00.884</t>
  </si>
  <si>
    <t>35616622</t>
  </si>
  <si>
    <t>Novorossiysk Grain Terminal Joint Stock Company</t>
  </si>
  <si>
    <t>2020-11-27 17:23:00.668</t>
  </si>
  <si>
    <t>35345466</t>
  </si>
  <si>
    <t>2020-11-27 17:23:00.319</t>
  </si>
  <si>
    <t>35154619</t>
  </si>
  <si>
    <t>2020-11-27 17:22:59.926</t>
  </si>
  <si>
    <t>35139142</t>
  </si>
  <si>
    <t>Bashneft PJSOC</t>
  </si>
  <si>
    <t>2020-11-27 17:22:59.889</t>
  </si>
  <si>
    <t>35138932</t>
  </si>
  <si>
    <t>2020-11-27 17:22:59.854</t>
  </si>
  <si>
    <t>35093698</t>
  </si>
  <si>
    <t>2020-11-27 17:22:59.82</t>
  </si>
  <si>
    <t>35045102</t>
  </si>
  <si>
    <t>2020-11-27 17:22:59.783</t>
  </si>
  <si>
    <t>34971373</t>
  </si>
  <si>
    <t>2020-11-27 17:22:59.602</t>
  </si>
  <si>
    <t>34769845</t>
  </si>
  <si>
    <t>2020-11-27 17:22:59.456</t>
  </si>
  <si>
    <t>34766242</t>
  </si>
  <si>
    <t>RASSVET OAO</t>
  </si>
  <si>
    <t>2020-11-27 17:22:59.406</t>
  </si>
  <si>
    <t>34751815</t>
  </si>
  <si>
    <t>2020-11-27 17:22:59.367</t>
  </si>
  <si>
    <t>34188163</t>
  </si>
  <si>
    <t>2020-11-27 17:22:59.074</t>
  </si>
  <si>
    <t>34127203</t>
  </si>
  <si>
    <t>Reductor - PM JSC</t>
  </si>
  <si>
    <t>2020-11-27 17:22:59.042</t>
  </si>
  <si>
    <t>34048353</t>
  </si>
  <si>
    <t>2020-11-27 17:22:58.978</t>
  </si>
  <si>
    <t>33764572</t>
  </si>
  <si>
    <t>2020-11-27 17:22:58.877</t>
  </si>
  <si>
    <t>33650357</t>
  </si>
  <si>
    <t>Kazan Helicopters PJSC</t>
  </si>
  <si>
    <t>2020-11-27 17:22:58.766</t>
  </si>
  <si>
    <t>33599791</t>
  </si>
  <si>
    <t>2020-11-27 17:22:58.734</t>
  </si>
  <si>
    <t>33367378</t>
  </si>
  <si>
    <t>2020-11-27 17:22:58.637</t>
  </si>
  <si>
    <t>33143987</t>
  </si>
  <si>
    <t>2020-11-27 17:22:58.565</t>
  </si>
  <si>
    <t>33079420</t>
  </si>
  <si>
    <t>2020-11-27 17:22:58.533</t>
  </si>
  <si>
    <t>32935404</t>
  </si>
  <si>
    <t>National helicopter center Mil&amp;Kamov Joint StockCompany</t>
  </si>
  <si>
    <t>2020-11-27 17:22:58.481</t>
  </si>
  <si>
    <t>32880960</t>
  </si>
  <si>
    <t>United Engine Corporation JSC</t>
  </si>
  <si>
    <t>2020-11-27 17:22:58.444</t>
  </si>
  <si>
    <t>32880524</t>
  </si>
  <si>
    <t>2020-11-27 17:22:58.412</t>
  </si>
  <si>
    <t>32745158</t>
  </si>
  <si>
    <t>Umanskiy Elevator OAO</t>
  </si>
  <si>
    <t>2020-11-27 17:22:58.38</t>
  </si>
  <si>
    <t>32744580</t>
  </si>
  <si>
    <t>Krylovskiy Elevator OAO</t>
  </si>
  <si>
    <t>2020-11-27 17:22:58.343</t>
  </si>
  <si>
    <t>32744565</t>
  </si>
  <si>
    <t>Eyanskiy elevator Aktsionernoye obschestvo</t>
  </si>
  <si>
    <t>2020-11-27 17:22:58.311</t>
  </si>
  <si>
    <t>32744426</t>
  </si>
  <si>
    <t>Stepnyanskiy elevator OAO</t>
  </si>
  <si>
    <t>2020-11-27 17:22:58.28</t>
  </si>
  <si>
    <t>32744300</t>
  </si>
  <si>
    <t>Ladozhskiy elevator OAO</t>
  </si>
  <si>
    <t>2020-11-27 17:22:58.237</t>
  </si>
  <si>
    <t>32722700</t>
  </si>
  <si>
    <t>SITIBAYK ZAO</t>
  </si>
  <si>
    <t>2020-11-27 17:22:58.204</t>
  </si>
  <si>
    <t>32277529</t>
  </si>
  <si>
    <t>2020-11-27 17:22:58.037</t>
  </si>
  <si>
    <t>32054833</t>
  </si>
  <si>
    <t>Mortgage agent VTB - BM 2 JSC</t>
  </si>
  <si>
    <t>2020-11-27 17:22:58.007</t>
  </si>
  <si>
    <t>32045756</t>
  </si>
  <si>
    <t>2020-11-27 17:22:57.941</t>
  </si>
  <si>
    <t>31976244</t>
  </si>
  <si>
    <t>Vankorneft AO</t>
  </si>
  <si>
    <t>2020-11-27 17:22:57.849</t>
  </si>
  <si>
    <t>31737184</t>
  </si>
  <si>
    <t>2020-11-27 17:22:57.784</t>
  </si>
  <si>
    <t>31312324</t>
  </si>
  <si>
    <t>2020-11-27 17:22:57.665</t>
  </si>
  <si>
    <t>30928831</t>
  </si>
  <si>
    <t>2020-11-27 17:22:57.563</t>
  </si>
  <si>
    <t>RU000A0BLWD7</t>
  </si>
  <si>
    <t>30462774</t>
  </si>
  <si>
    <t>Novorossyisk Grain Plant PJSC</t>
  </si>
  <si>
    <t>2020-11-27 17:22:57.445</t>
  </si>
  <si>
    <t>30450528</t>
  </si>
  <si>
    <t>Raschetnyye resheniya Aktsionernoye obshchestvo</t>
  </si>
  <si>
    <t>2020-11-27 17:22:57.412</t>
  </si>
  <si>
    <t>RU000A0JVXX5</t>
  </si>
  <si>
    <t>30436852</t>
  </si>
  <si>
    <t>2020-11-27 17:22:57.378</t>
  </si>
  <si>
    <t>30190013</t>
  </si>
  <si>
    <t>2020-11-27 17:22:57.304</t>
  </si>
  <si>
    <t>US06983V2088</t>
  </si>
  <si>
    <t>30147048</t>
  </si>
  <si>
    <t>2020-11-27 17:22:57.268</t>
  </si>
  <si>
    <t>RU000A0JVST3</t>
  </si>
  <si>
    <t>30035321</t>
  </si>
  <si>
    <t>2020-11-27 17:22:57.236</t>
  </si>
  <si>
    <t>US06983V1098</t>
  </si>
  <si>
    <t>29726292</t>
  </si>
  <si>
    <t>2020-11-27 17:22:56.964</t>
  </si>
  <si>
    <t>29696539</t>
  </si>
  <si>
    <t>MACHINE-BUILDING CORPORATION URALMASH JSC</t>
  </si>
  <si>
    <t>2020-11-27 17:22:56.929</t>
  </si>
  <si>
    <t>29691774</t>
  </si>
  <si>
    <t>VEB-LEASING JSC</t>
  </si>
  <si>
    <t>2020-11-27 17:22:56.9</t>
  </si>
  <si>
    <t>RU000A0JVRL2</t>
  </si>
  <si>
    <t>29644618</t>
  </si>
  <si>
    <t>2020-11-27 17:22:56.865</t>
  </si>
  <si>
    <t>29609818</t>
  </si>
  <si>
    <t>VELOZAVODSKIY RYNOK OAO</t>
  </si>
  <si>
    <t>2020-11-27 17:22:56.827</t>
  </si>
  <si>
    <t>RU000A0JVQ04</t>
  </si>
  <si>
    <t>29491422</t>
  </si>
  <si>
    <t>MOSKHLADOKOMBINAT NO 3 OJSC</t>
  </si>
  <si>
    <t>2020-11-27 17:22:56.741</t>
  </si>
  <si>
    <t>29290927</t>
  </si>
  <si>
    <t>Kliyenty Strategiya Rezultat AO</t>
  </si>
  <si>
    <t>2020-11-27 17:22:56.709</t>
  </si>
  <si>
    <t>RU000A0JRPH2</t>
  </si>
  <si>
    <t>29168082</t>
  </si>
  <si>
    <t>2020-11-27 17:22:56.673</t>
  </si>
  <si>
    <t>29091281</t>
  </si>
  <si>
    <t>2020-11-27 17:22:56.635</t>
  </si>
  <si>
    <t>29088496</t>
  </si>
  <si>
    <t>2020-11-27 17:22:56.603</t>
  </si>
  <si>
    <t>RU000A0JNZZ2</t>
  </si>
  <si>
    <t>2907149</t>
  </si>
  <si>
    <t>2020-11-27 17:22:56.573</t>
  </si>
  <si>
    <t>RU000A0JVM32</t>
  </si>
  <si>
    <t>28946161</t>
  </si>
  <si>
    <t>2020-11-27 17:22:56.542</t>
  </si>
  <si>
    <t>28906567</t>
  </si>
  <si>
    <t>2020-11-27 17:22:56.502</t>
  </si>
  <si>
    <t>28868633</t>
  </si>
  <si>
    <t>2020-11-27 17:22:56.47</t>
  </si>
  <si>
    <t>28686348</t>
  </si>
  <si>
    <t>VTB MEDITSINSKOYE STRAKHOVANIYE AO</t>
  </si>
  <si>
    <t>2020-11-27 17:22:56.405</t>
  </si>
  <si>
    <t>28684279</t>
  </si>
  <si>
    <t>2020-11-27 17:22:56.374</t>
  </si>
  <si>
    <t>28364412</t>
  </si>
  <si>
    <t>2020-11-27 17:22:56.262</t>
  </si>
  <si>
    <t>28333218</t>
  </si>
  <si>
    <t>2020-11-27 17:22:56.235</t>
  </si>
  <si>
    <t>RU000A0JTK61</t>
  </si>
  <si>
    <t>28012709</t>
  </si>
  <si>
    <t>2020-11-27 17:22:56.008</t>
  </si>
  <si>
    <t>28012557</t>
  </si>
  <si>
    <t>2020-11-27 17:22:55.976</t>
  </si>
  <si>
    <t>RU000A0JVCA7</t>
  </si>
  <si>
    <t>27941114</t>
  </si>
  <si>
    <t>2020-11-27 17:22:55.932</t>
  </si>
  <si>
    <t>27898885</t>
  </si>
  <si>
    <t>Samara design institute of refining and         petrochemical industry PJSC</t>
  </si>
  <si>
    <t>2020-11-27 17:22:55.901</t>
  </si>
  <si>
    <t>RU0006334851</t>
  </si>
  <si>
    <t>2762732</t>
  </si>
  <si>
    <t>UEC-Kuznetsov Public Joint-Stock Company</t>
  </si>
  <si>
    <t>2020-11-27 17:22:55.804</t>
  </si>
  <si>
    <t>27275418</t>
  </si>
  <si>
    <t>2020-11-27 17:22:55.739</t>
  </si>
  <si>
    <t>27168215</t>
  </si>
  <si>
    <t>2020-11-27 17:22:55.678</t>
  </si>
  <si>
    <t>26898388</t>
  </si>
  <si>
    <t>2020-11-27 17:22:55.52</t>
  </si>
  <si>
    <t>26898384</t>
  </si>
  <si>
    <t>2020-11-27 17:22:55.478</t>
  </si>
  <si>
    <t>26539976</t>
  </si>
  <si>
    <t>2020-11-27 17:22:55.284</t>
  </si>
  <si>
    <t>26539969</t>
  </si>
  <si>
    <t>2020-11-27 17:22:55.245</t>
  </si>
  <si>
    <t>26538881</t>
  </si>
  <si>
    <t>2020-11-27 17:22:55.205</t>
  </si>
  <si>
    <t>26531697</t>
  </si>
  <si>
    <t>2020-11-27 17:22:55.174</t>
  </si>
  <si>
    <t>26531690</t>
  </si>
  <si>
    <t>2020-11-27 17:22:55.142</t>
  </si>
  <si>
    <t>26435279</t>
  </si>
  <si>
    <t>Mortgage agent SB-2014 LLC</t>
  </si>
  <si>
    <t>2020-11-27 17:22:55.111</t>
  </si>
  <si>
    <t>26406566</t>
  </si>
  <si>
    <t>2020-11-27 17:22:55.063</t>
  </si>
  <si>
    <t>26405954</t>
  </si>
  <si>
    <t>2020-11-27 17:22:55.031</t>
  </si>
  <si>
    <t>26405456</t>
  </si>
  <si>
    <t>2020-11-27 17:22:54.991</t>
  </si>
  <si>
    <t>26394041</t>
  </si>
  <si>
    <t>2020-11-27 17:22:54.96</t>
  </si>
  <si>
    <t>26362984</t>
  </si>
  <si>
    <t>2020-11-27 17:22:54.898</t>
  </si>
  <si>
    <t>26212921</t>
  </si>
  <si>
    <t>2020-11-27 17:22:54.849</t>
  </si>
  <si>
    <t>26124601</t>
  </si>
  <si>
    <t>2020-11-27 17:22:54.677</t>
  </si>
  <si>
    <t>25692840</t>
  </si>
  <si>
    <t>2020-11-27 17:22:54.543</t>
  </si>
  <si>
    <t>25599524</t>
  </si>
  <si>
    <t>2020-11-27 17:22:54.513</t>
  </si>
  <si>
    <t>RU000A0JUV32</t>
  </si>
  <si>
    <t>25589614</t>
  </si>
  <si>
    <t>2020-11-27 17:22:54.474</t>
  </si>
  <si>
    <t>25559632</t>
  </si>
  <si>
    <t>2020-11-27 17:22:54.442</t>
  </si>
  <si>
    <t>25501809</t>
  </si>
  <si>
    <t>ILYUSHIN Aviation Complex Public Jount Stock Company</t>
  </si>
  <si>
    <t>2020-11-27 17:22:54.41</t>
  </si>
  <si>
    <t>25493234</t>
  </si>
  <si>
    <t>2020-11-27 17:22:54.381</t>
  </si>
  <si>
    <t>25385126</t>
  </si>
  <si>
    <t>2020-11-27 17:22:54.25</t>
  </si>
  <si>
    <t>25213854</t>
  </si>
  <si>
    <t>2020-11-27 17:22:54.14</t>
  </si>
  <si>
    <t>25193451</t>
  </si>
  <si>
    <t>United Heavy Machinery (Uralmash-Izhora Group)  PJSC</t>
  </si>
  <si>
    <t>2020-11-27 17:22:54.075</t>
  </si>
  <si>
    <t>RU000A0JQQH2</t>
  </si>
  <si>
    <t>24258124</t>
  </si>
  <si>
    <t>UEC-STAR JSC</t>
  </si>
  <si>
    <t>2020-11-27 17:22:53.519</t>
  </si>
  <si>
    <t>RU000A0JU3L5</t>
  </si>
  <si>
    <t>22747070</t>
  </si>
  <si>
    <t>2020-11-27 17:22:52.159</t>
  </si>
  <si>
    <t>US8087791021</t>
  </si>
  <si>
    <t>2026418</t>
  </si>
  <si>
    <t>2020-11-27 17:22:49.123</t>
  </si>
  <si>
    <t>UA4000136329</t>
  </si>
  <si>
    <t>18579601</t>
  </si>
  <si>
    <t>Joint-Stock Commercial Industrial and           Investment Bank PJSC</t>
  </si>
  <si>
    <t>2020-11-27 17:22:26.272</t>
  </si>
  <si>
    <t>RU0006571916</t>
  </si>
  <si>
    <t>1813422</t>
  </si>
  <si>
    <t>BM-Bank JSC</t>
  </si>
  <si>
    <t>2020-11-27 17:22:25.704</t>
  </si>
  <si>
    <t>RU000A0JQKZ7</t>
  </si>
  <si>
    <t>1689725</t>
  </si>
  <si>
    <t>UEC-Perm Engines JSC</t>
  </si>
  <si>
    <t>2020-11-27 17:22:25.24</t>
  </si>
  <si>
    <t>RU0009084404</t>
  </si>
  <si>
    <t>145328</t>
  </si>
  <si>
    <t>Gazpromneft Moscow Refinery JSC</t>
  </si>
  <si>
    <t>2020-11-27 17:22:23.325</t>
  </si>
  <si>
    <t>US78308B2097</t>
  </si>
  <si>
    <t>12928122</t>
  </si>
  <si>
    <t>2020-11-27 17:22:22.671</t>
  </si>
  <si>
    <t>RU000A0JRDV9</t>
  </si>
  <si>
    <t>12924273</t>
  </si>
  <si>
    <t>2020-11-27 17:22:22.587</t>
  </si>
  <si>
    <t>2020-11-27 17:22:21.22</t>
  </si>
  <si>
    <t>RU000A0JR0Y9</t>
  </si>
  <si>
    <t>11744800</t>
  </si>
  <si>
    <t>2020-11-27 17:22:20.37</t>
  </si>
  <si>
    <t>RU000A0JUEY5</t>
  </si>
  <si>
    <t>11045126</t>
  </si>
  <si>
    <t>2020-11-27 17:22:19.091</t>
  </si>
  <si>
    <t>RU0009257083</t>
  </si>
  <si>
    <t>100554</t>
  </si>
  <si>
    <t>Ulan-Ude Aviation Plant JSC</t>
  </si>
  <si>
    <t>2020-11-27 17:22:18.166</t>
  </si>
  <si>
    <t>621000</t>
  </si>
  <si>
    <t>The Nk Debt Corporation</t>
  </si>
  <si>
    <t>2020-11-27 17:22:18.079</t>
  </si>
  <si>
    <t>KP0009657716</t>
  </si>
  <si>
    <t>274879</t>
  </si>
  <si>
    <t>Central Bank of the Democratic People's Republic H V L R N</t>
  </si>
  <si>
    <t>2020-11-27 17:22:18.032</t>
  </si>
  <si>
    <t>11488831</t>
  </si>
  <si>
    <t>2020-11-27 17:22:17.997</t>
  </si>
  <si>
    <t>RU000A0JQ4P0</t>
  </si>
  <si>
    <t>10131359</t>
  </si>
  <si>
    <t>AgroSoyuz Ltd</t>
  </si>
  <si>
    <t>2020-11-27 17:22:17.963</t>
  </si>
  <si>
    <t>2144808</t>
  </si>
  <si>
    <t>National for Publishing and Distribution</t>
  </si>
  <si>
    <t>2020-11-27 17:22:17.919</t>
  </si>
  <si>
    <t>IQ000A0M7T74</t>
  </si>
  <si>
    <t>2144805</t>
  </si>
  <si>
    <t>National Food Industries</t>
  </si>
  <si>
    <t>2020-11-27 17:22:17.885</t>
  </si>
  <si>
    <t>IQ000A0M7T25</t>
  </si>
  <si>
    <t>10109103</t>
  </si>
  <si>
    <t>The Light Industries</t>
  </si>
  <si>
    <t>2020-11-27 17:22:17.848</t>
  </si>
  <si>
    <t>IR1100107017</t>
  </si>
  <si>
    <t>755971</t>
  </si>
  <si>
    <t>Sherkate Sahami Jartechnique</t>
  </si>
  <si>
    <t>2020-11-27 17:22:17.805</t>
  </si>
  <si>
    <t>755965</t>
  </si>
  <si>
    <t>Safrinance SA</t>
  </si>
  <si>
    <t>2020-11-27 17:22:17.76</t>
  </si>
  <si>
    <t>IRO1BMPS0004</t>
  </si>
  <si>
    <t>755955</t>
  </si>
  <si>
    <t>2020-11-27 17:22:17.724</t>
  </si>
  <si>
    <t>755930</t>
  </si>
  <si>
    <t>2020-11-27 17:22:17.664</t>
  </si>
  <si>
    <t>IRO1SFKZ0000</t>
  </si>
  <si>
    <t>755880</t>
  </si>
  <si>
    <t>2020-11-27 17:22:17.635</t>
  </si>
  <si>
    <t>755743</t>
  </si>
  <si>
    <t>IMDBI Industrial &amp; Mining Development Bank of Iran</t>
  </si>
  <si>
    <t>2020-11-27 17:22:17.594</t>
  </si>
  <si>
    <t>624177</t>
  </si>
  <si>
    <t>Sherkat Sahami Khass Pelikan Iran</t>
  </si>
  <si>
    <t>2020-11-27 17:22:17.546</t>
  </si>
  <si>
    <t>2020-11-27 17:22:17.505</t>
  </si>
  <si>
    <t>IR1100061016</t>
  </si>
  <si>
    <t>40457922</t>
  </si>
  <si>
    <t>Marvdasht Sugar Manufacturing Co</t>
  </si>
  <si>
    <t>2020-11-27 17:22:17.46</t>
  </si>
  <si>
    <t>IR1100180014</t>
  </si>
  <si>
    <t>40457920</t>
  </si>
  <si>
    <t>Melat Investment Corporation</t>
  </si>
  <si>
    <t>2020-11-27 17:22:17.426</t>
  </si>
  <si>
    <t>IR1100129011</t>
  </si>
  <si>
    <t>40457844</t>
  </si>
  <si>
    <t>Abguineh Mfg &amp; Ind Co</t>
  </si>
  <si>
    <t>2020-11-27 17:22:17.382</t>
  </si>
  <si>
    <t>IR1100328019</t>
  </si>
  <si>
    <t>40457757</t>
  </si>
  <si>
    <t>Darou Pakhsh Pharmaceutical Chemistry Co.</t>
  </si>
  <si>
    <t>2020-11-27 17:22:17.336</t>
  </si>
  <si>
    <t>IRO1MARK0001</t>
  </si>
  <si>
    <t>3668450</t>
  </si>
  <si>
    <t>Arak Machine Manufacturing Co</t>
  </si>
  <si>
    <t>2020-11-27 17:22:17.285</t>
  </si>
  <si>
    <t>IRO1LMIR0002</t>
  </si>
  <si>
    <t>3668449</t>
  </si>
  <si>
    <t>Iran Machine And Pipe Mfg.</t>
  </si>
  <si>
    <t>2020-11-27 17:22:17.226</t>
  </si>
  <si>
    <t>IRO1LAPS0006</t>
  </si>
  <si>
    <t>3668448</t>
  </si>
  <si>
    <t>Pars Shahab Lamp Co.</t>
  </si>
  <si>
    <t>2020-11-27 17:22:17.189</t>
  </si>
  <si>
    <t>IRO1KPRS0008</t>
  </si>
  <si>
    <t>3668445</t>
  </si>
  <si>
    <t>Kashi-Sazi Pars</t>
  </si>
  <si>
    <t>2020-11-27 17:22:17.118</t>
  </si>
  <si>
    <t>IRO1DLGM0000</t>
  </si>
  <si>
    <t>3668438</t>
  </si>
  <si>
    <t>Loghman Pharmacutical Co.</t>
  </si>
  <si>
    <t>2020-11-27 17:22:17.087</t>
  </si>
  <si>
    <t>IRO1POPN0001</t>
  </si>
  <si>
    <t>3668430</t>
  </si>
  <si>
    <t>Iran Poplin</t>
  </si>
  <si>
    <t>2020-11-27 17:22:17.038</t>
  </si>
  <si>
    <t>IRO1GNJN0001</t>
  </si>
  <si>
    <t>3668429</t>
  </si>
  <si>
    <t>Ghand Kakhsh Jahan</t>
  </si>
  <si>
    <t>2020-11-27 17:22:16.993</t>
  </si>
  <si>
    <t>IRO1GHEG0003</t>
  </si>
  <si>
    <t>3668428</t>
  </si>
  <si>
    <t>Ghand Hekmatan</t>
  </si>
  <si>
    <t>2020-11-27 17:22:16.955</t>
  </si>
  <si>
    <t>IRO1SDID0002</t>
  </si>
  <si>
    <t>3668426</t>
  </si>
  <si>
    <t>Sadid Industrial Group</t>
  </si>
  <si>
    <t>2020-11-27 17:22:16.885</t>
  </si>
  <si>
    <t>IRO1CHAR0008</t>
  </si>
  <si>
    <t>3668423</t>
  </si>
  <si>
    <t>Charkheshgar Co</t>
  </si>
  <si>
    <t>2020-11-27 17:22:16.852</t>
  </si>
  <si>
    <t>IRO1SHRG0004</t>
  </si>
  <si>
    <t>3668422</t>
  </si>
  <si>
    <t>Rangin Industrial &amp; Chemical Co.</t>
  </si>
  <si>
    <t>2020-11-27 17:22:16.801</t>
  </si>
  <si>
    <t>IRO1GILP0002</t>
  </si>
  <si>
    <t>3668420</t>
  </si>
  <si>
    <t>Gilan Pakat</t>
  </si>
  <si>
    <t>2020-11-27 17:22:16.765</t>
  </si>
  <si>
    <t>IR1100011011</t>
  </si>
  <si>
    <t>3668419</t>
  </si>
  <si>
    <t>Compressor Sazi Tabriz Co</t>
  </si>
  <si>
    <t>2020-11-27 17:22:16.729</t>
  </si>
  <si>
    <t>IRO1NBKN0003</t>
  </si>
  <si>
    <t>3668418</t>
  </si>
  <si>
    <t>Nasaji Babakan</t>
  </si>
  <si>
    <t>2020-11-27 17:22:16.692</t>
  </si>
  <si>
    <t>IRO1KFAN0004</t>
  </si>
  <si>
    <t>3668414</t>
  </si>
  <si>
    <t>Khavar Spring Mfg</t>
  </si>
  <si>
    <t>2020-11-27 17:22:16.659</t>
  </si>
  <si>
    <t>IRO1CHBH0009</t>
  </si>
  <si>
    <t>3668413</t>
  </si>
  <si>
    <t>Chitsazi Behshahr</t>
  </si>
  <si>
    <t>2020-11-27 17:22:16.626</t>
  </si>
  <si>
    <t>IRO1KHOI0003</t>
  </si>
  <si>
    <t>3668412</t>
  </si>
  <si>
    <t>Khoy Textile</t>
  </si>
  <si>
    <t>2020-11-27 17:22:16.591</t>
  </si>
  <si>
    <t>IRO1RRSM0004</t>
  </si>
  <si>
    <t>3668407</t>
  </si>
  <si>
    <t>Semnan Rope</t>
  </si>
  <si>
    <t>2020-11-27 17:22:16.557</t>
  </si>
  <si>
    <t>IRO1PABD0005</t>
  </si>
  <si>
    <t>3668402</t>
  </si>
  <si>
    <t>Petroshimi Abadan</t>
  </si>
  <si>
    <t>2020-11-27 17:22:16.523</t>
  </si>
  <si>
    <t>IRO1SHDR0007</t>
  </si>
  <si>
    <t>3668396</t>
  </si>
  <si>
    <t>Shirin Daru</t>
  </si>
  <si>
    <t>2020-11-27 17:22:16.486</t>
  </si>
  <si>
    <t>IRO1KABZ0004</t>
  </si>
  <si>
    <t>3668392</t>
  </si>
  <si>
    <t>Alborz Carton Co.</t>
  </si>
  <si>
    <t>2020-11-27 17:22:16.452</t>
  </si>
  <si>
    <t>IRO1SHKR0008</t>
  </si>
  <si>
    <t>3668387</t>
  </si>
  <si>
    <t>Shahroud Sugar Co.</t>
  </si>
  <si>
    <t>2020-11-27 17:22:16.423</t>
  </si>
  <si>
    <t>IRO1ARND0009</t>
  </si>
  <si>
    <t>3668383</t>
  </si>
  <si>
    <t>Arvandan Ship Building</t>
  </si>
  <si>
    <t>2020-11-27 17:22:16.388</t>
  </si>
  <si>
    <t>IRO1NEOP0004</t>
  </si>
  <si>
    <t>3668381</t>
  </si>
  <si>
    <t>Neopan 22 Bahman</t>
  </si>
  <si>
    <t>2020-11-27 17:22:16.359</t>
  </si>
  <si>
    <t>IRO1GPRS0004</t>
  </si>
  <si>
    <t>3668376</t>
  </si>
  <si>
    <t>Ghand Pars</t>
  </si>
  <si>
    <t>2020-11-27 17:22:16.329</t>
  </si>
  <si>
    <t>IRO1GERD0004</t>
  </si>
  <si>
    <t>3668374</t>
  </si>
  <si>
    <t>Gerdbaf Yazd Co</t>
  </si>
  <si>
    <t>2020-11-27 17:22:16.298</t>
  </si>
  <si>
    <t>IRO1PSIR0002</t>
  </si>
  <si>
    <t>3668371</t>
  </si>
  <si>
    <t>Pashm Shishe Iran</t>
  </si>
  <si>
    <t>2020-11-27 17:22:16.262</t>
  </si>
  <si>
    <t>IRO1TMTO0004</t>
  </si>
  <si>
    <t>3666605</t>
  </si>
  <si>
    <t>Ashtad Motors Co</t>
  </si>
  <si>
    <t>2020-11-27 17:22:16.199</t>
  </si>
  <si>
    <t>IRO1DRIN0001</t>
  </si>
  <si>
    <t>3666604</t>
  </si>
  <si>
    <t>Kashan Dorrin Co</t>
  </si>
  <si>
    <t>2020-11-27 17:22:16.157</t>
  </si>
  <si>
    <t>IRO1GRGN0000</t>
  </si>
  <si>
    <t>3665710</t>
  </si>
  <si>
    <t>Kesht-Sanat Gorgan</t>
  </si>
  <si>
    <t>2020-11-27 17:22:16.124</t>
  </si>
  <si>
    <t>IR1100279014</t>
  </si>
  <si>
    <t>3665671</t>
  </si>
  <si>
    <t>Ghand Ghazvin</t>
  </si>
  <si>
    <t>2020-11-27 17:22:16.093</t>
  </si>
  <si>
    <t>IRO1GODS0001</t>
  </si>
  <si>
    <t>3665662</t>
  </si>
  <si>
    <t>Ghods Plastik</t>
  </si>
  <si>
    <t>2020-11-27 17:22:16.058</t>
  </si>
  <si>
    <t>IRO1GTOR0004</t>
  </si>
  <si>
    <t>3665653</t>
  </si>
  <si>
    <t>Torbate Jaam Sugar Co.</t>
  </si>
  <si>
    <t>2020-11-27 17:22:16.023</t>
  </si>
  <si>
    <t>IRO1DALZ0001</t>
  </si>
  <si>
    <t>3665572</t>
  </si>
  <si>
    <t>Alborz Daru</t>
  </si>
  <si>
    <t>2020-11-27 17:22:15.991</t>
  </si>
  <si>
    <t>IRO1INDM0006</t>
  </si>
  <si>
    <t>3665561</t>
  </si>
  <si>
    <t>Indamin Saipa</t>
  </si>
  <si>
    <t>2020-11-27 17:22:15.955</t>
  </si>
  <si>
    <t>IRO1DENA0004</t>
  </si>
  <si>
    <t>3665553</t>
  </si>
  <si>
    <t>Lastike Dena</t>
  </si>
  <si>
    <t>2020-11-27 17:22:15.925</t>
  </si>
  <si>
    <t>IRO1SROD0008</t>
  </si>
  <si>
    <t>3665543</t>
  </si>
  <si>
    <t>Shahroud Cement Co</t>
  </si>
  <si>
    <t>2020-11-27 17:22:15.888</t>
  </si>
  <si>
    <t>IRO1DDPK0001</t>
  </si>
  <si>
    <t>3665539</t>
  </si>
  <si>
    <t>2020-11-27 17:22:15.848</t>
  </si>
  <si>
    <t>IRO1YSLO0009</t>
  </si>
  <si>
    <t>3665492</t>
  </si>
  <si>
    <t>Yakhchal-Sazi Lorestan</t>
  </si>
  <si>
    <t>2020-11-27 17:22:15.802</t>
  </si>
  <si>
    <t>2020-11-27 17:22:15.769</t>
  </si>
  <si>
    <t>IRO1SFAS0001</t>
  </si>
  <si>
    <t>3663807</t>
  </si>
  <si>
    <t>Farsit Ahwaz Co</t>
  </si>
  <si>
    <t>2020-11-27 17:22:15.735</t>
  </si>
  <si>
    <t>IRO1SHBB0007</t>
  </si>
  <si>
    <t>3663805</t>
  </si>
  <si>
    <t>Shad Ab</t>
  </si>
  <si>
    <t>2020-11-27 17:22:15.702</t>
  </si>
  <si>
    <t>IRO1PESF0000</t>
  </si>
  <si>
    <t>3663798</t>
  </si>
  <si>
    <t>Isfahan Petrochemical Company</t>
  </si>
  <si>
    <t>2020-11-27 17:22:15.671</t>
  </si>
  <si>
    <t>IR1100235016</t>
  </si>
  <si>
    <t>3663789</t>
  </si>
  <si>
    <t>Sanati Ardel</t>
  </si>
  <si>
    <t>2020-11-27 17:22:15.629</t>
  </si>
  <si>
    <t>IRO1KBRS0004</t>
  </si>
  <si>
    <t>35913664</t>
  </si>
  <si>
    <t>TSE Brokers</t>
  </si>
  <si>
    <t>2020-11-27 17:22:15.585</t>
  </si>
  <si>
    <t>2020-11-27 17:22:15.554</t>
  </si>
  <si>
    <t>IRO1MSMI0000</t>
  </si>
  <si>
    <t>3124294</t>
  </si>
  <si>
    <t>Iran National Copper Industries Co.</t>
  </si>
  <si>
    <t>2020-11-27 17:22:15.52</t>
  </si>
  <si>
    <t>IRK1G02094C0</t>
  </si>
  <si>
    <t>30634262</t>
  </si>
  <si>
    <t>Zorat 9412-17</t>
  </si>
  <si>
    <t>2020-11-27 17:22:15.486</t>
  </si>
  <si>
    <t>IRK1G01794C6</t>
  </si>
  <si>
    <t>30576569</t>
  </si>
  <si>
    <t>Zorat 9412-29</t>
  </si>
  <si>
    <t>2020-11-27 17:22:15.45</t>
  </si>
  <si>
    <t>IRO1BKHZ0007</t>
  </si>
  <si>
    <t>30240560</t>
  </si>
  <si>
    <t>Bank of Middle East</t>
  </si>
  <si>
    <t>2020-11-27 17:22:15.408</t>
  </si>
  <si>
    <t>IRO3HMRZ0005</t>
  </si>
  <si>
    <t>25447815</t>
  </si>
  <si>
    <t>Mobile Communication Company of Iran JSC</t>
  </si>
  <si>
    <t>2020-11-27 17:22:15.363</t>
  </si>
  <si>
    <t>IRB5MSAP9553</t>
  </si>
  <si>
    <t>25301098</t>
  </si>
  <si>
    <t>SIPA Car Prod.</t>
  </si>
  <si>
    <t>2020-11-27 17:22:15.33</t>
  </si>
  <si>
    <t>IRO1DTIP0007</t>
  </si>
  <si>
    <t>24728317</t>
  </si>
  <si>
    <t>Tamin Daroo</t>
  </si>
  <si>
    <t>2020-11-27 17:22:15.272</t>
  </si>
  <si>
    <t>IRO1PASH0002</t>
  </si>
  <si>
    <t>24139219</t>
  </si>
  <si>
    <t>Paksho</t>
  </si>
  <si>
    <t>2020-11-27 17:22:15.236</t>
  </si>
  <si>
    <t>2290313</t>
  </si>
  <si>
    <t>Mayan Steel</t>
  </si>
  <si>
    <t>2020-11-27 17:22:15.156</t>
  </si>
  <si>
    <t>IRO7BNOP0001</t>
  </si>
  <si>
    <t>21845256</t>
  </si>
  <si>
    <t>Novin Bime</t>
  </si>
  <si>
    <t>2020-11-27 17:22:15.12</t>
  </si>
  <si>
    <t>IRO1PTAP0001</t>
  </si>
  <si>
    <t>21844638</t>
  </si>
  <si>
    <t>Tamin Petroleum &amp; Petrochemical Investment Co.</t>
  </si>
  <si>
    <t>2020-11-27 17:22:15.079</t>
  </si>
  <si>
    <t>IRO3PKSH0008</t>
  </si>
  <si>
    <t>21842467</t>
  </si>
  <si>
    <t>Pakhsh Alborz</t>
  </si>
  <si>
    <t>2020-11-27 17:22:15.043</t>
  </si>
  <si>
    <t>IRO7IFMP0006</t>
  </si>
  <si>
    <t>21842448</t>
  </si>
  <si>
    <t>Moshanir Investmen</t>
  </si>
  <si>
    <t>2020-11-27 17:22:15.009</t>
  </si>
  <si>
    <t>IRO7CNAP0006</t>
  </si>
  <si>
    <t>21842272</t>
  </si>
  <si>
    <t>Namavaran Co.</t>
  </si>
  <si>
    <t>2020-11-27 17:22:14.971</t>
  </si>
  <si>
    <t>IRO7SALP0000</t>
  </si>
  <si>
    <t>21842215</t>
  </si>
  <si>
    <t>Resalat</t>
  </si>
  <si>
    <t>2020-11-27 17:22:14.942</t>
  </si>
  <si>
    <t>2120995</t>
  </si>
  <si>
    <t>Islamic Republic of Iran</t>
  </si>
  <si>
    <t>2020-11-27 17:22:14.895</t>
  </si>
  <si>
    <t>IRO3BSMZ0000</t>
  </si>
  <si>
    <t>20363773</t>
  </si>
  <si>
    <t>Bime Saman Co</t>
  </si>
  <si>
    <t>2020-11-27 17:22:14.865</t>
  </si>
  <si>
    <t>IRO3ASMZ0001</t>
  </si>
  <si>
    <t>20345288</t>
  </si>
  <si>
    <t>Ertebatat Saman</t>
  </si>
  <si>
    <t>2020-11-27 17:22:14.831</t>
  </si>
  <si>
    <t>IRO7VHSP0001</t>
  </si>
  <si>
    <t>20345240</t>
  </si>
  <si>
    <t>Ehya Sanaye Co</t>
  </si>
  <si>
    <t>2020-11-27 17:22:14.792</t>
  </si>
  <si>
    <t>IRO7MASP0009</t>
  </si>
  <si>
    <t>20099199</t>
  </si>
  <si>
    <t>Maskan Invest</t>
  </si>
  <si>
    <t>2020-11-27 17:22:14.757</t>
  </si>
  <si>
    <t>IRO7ETMP0004</t>
  </si>
  <si>
    <t>19923692</t>
  </si>
  <si>
    <t>Etemad Gostar</t>
  </si>
  <si>
    <t>2020-11-27 17:22:14.698</t>
  </si>
  <si>
    <t>IRO3SGDZ0006</t>
  </si>
  <si>
    <t>19881305</t>
  </si>
  <si>
    <t>Ghadir Const.</t>
  </si>
  <si>
    <t>2020-11-27 17:22:14.663</t>
  </si>
  <si>
    <t>2020-11-27 17:22:14.627</t>
  </si>
  <si>
    <t>IRO7ESHP0002</t>
  </si>
  <si>
    <t>19732288</t>
  </si>
  <si>
    <t>Ashtad Iran</t>
  </si>
  <si>
    <t>2020-11-27 17:22:14.597</t>
  </si>
  <si>
    <t>IRO7ISTP0004</t>
  </si>
  <si>
    <t>19732001</t>
  </si>
  <si>
    <t>Isatis Pooya</t>
  </si>
  <si>
    <t>2020-11-27 17:22:14.566</t>
  </si>
  <si>
    <t>IRO7HAMP0002</t>
  </si>
  <si>
    <t>19491283</t>
  </si>
  <si>
    <t>Hamvatan Group</t>
  </si>
  <si>
    <t>2020-11-27 17:22:14.532</t>
  </si>
  <si>
    <t>IRO7SMGP0003</t>
  </si>
  <si>
    <t>19491020</t>
  </si>
  <si>
    <t>Simorgh Co</t>
  </si>
  <si>
    <t>2020-11-27 17:22:14.499</t>
  </si>
  <si>
    <t>IRO7SHOP0000</t>
  </si>
  <si>
    <t>19174032</t>
  </si>
  <si>
    <t>Shomal Invest</t>
  </si>
  <si>
    <t>2020-11-27 17:22:14.465</t>
  </si>
  <si>
    <t>IRO7MILP0008</t>
  </si>
  <si>
    <t>19174017</t>
  </si>
  <si>
    <t>Alan And Folad Co</t>
  </si>
  <si>
    <t>2020-11-27 17:22:14.427</t>
  </si>
  <si>
    <t>IRO7GSMP0003</t>
  </si>
  <si>
    <t>19174006</t>
  </si>
  <si>
    <t>Gheshm Marine</t>
  </si>
  <si>
    <t>2020-11-27 17:22:14.39</t>
  </si>
  <si>
    <t>IRO7DTKP0007</t>
  </si>
  <si>
    <t>19173288</t>
  </si>
  <si>
    <t>Datak Co</t>
  </si>
  <si>
    <t>2020-11-27 17:22:14.358</t>
  </si>
  <si>
    <t>IRO3POMP0000</t>
  </si>
  <si>
    <t>18915483</t>
  </si>
  <si>
    <t>Pars Pomp Co</t>
  </si>
  <si>
    <t>2020-11-27 17:22:14.291</t>
  </si>
  <si>
    <t>IRO7FZBP0008</t>
  </si>
  <si>
    <t>18915477</t>
  </si>
  <si>
    <t>Iran Zob Casting Co</t>
  </si>
  <si>
    <t>2020-11-27 17:22:14.26</t>
  </si>
  <si>
    <t>IRO7ARMP0000</t>
  </si>
  <si>
    <t>18915473</t>
  </si>
  <si>
    <t>Arman Insurance</t>
  </si>
  <si>
    <t>2020-11-27 17:22:14.197</t>
  </si>
  <si>
    <t>IRO7ZNJP0000</t>
  </si>
  <si>
    <t>18382949</t>
  </si>
  <si>
    <t>Zanjan Petrochemical Industries Co</t>
  </si>
  <si>
    <t>2020-11-27 17:22:14.164</t>
  </si>
  <si>
    <t>IRO7TSEP0008</t>
  </si>
  <si>
    <t>18382835</t>
  </si>
  <si>
    <t>Development Credit Bank</t>
  </si>
  <si>
    <t>2020-11-27 17:22:14.096</t>
  </si>
  <si>
    <t>IRO7SHLP0003</t>
  </si>
  <si>
    <t>18382830</t>
  </si>
  <si>
    <t>Lordegan Petrochemical Co</t>
  </si>
  <si>
    <t>2020-11-27 17:22:14.065</t>
  </si>
  <si>
    <t>IRO7SEKP0007</t>
  </si>
  <si>
    <t>18382827</t>
  </si>
  <si>
    <t>Khaf Cement Co</t>
  </si>
  <si>
    <t>2020-11-27 17:22:14.027</t>
  </si>
  <si>
    <t>IRO7SARP0004</t>
  </si>
  <si>
    <t>18382825</t>
  </si>
  <si>
    <t>Soroosh Investment Co</t>
  </si>
  <si>
    <t>2020-11-27 17:22:13.997</t>
  </si>
  <si>
    <t>IRO1PASN0004</t>
  </si>
  <si>
    <t>18382768</t>
  </si>
  <si>
    <t>Parsian Oil and Gas Development Co</t>
  </si>
  <si>
    <t>2020-11-27 17:22:13.964</t>
  </si>
  <si>
    <t>IRO8MINT0001</t>
  </si>
  <si>
    <t>18382758</t>
  </si>
  <si>
    <t>Minoo Industrial</t>
  </si>
  <si>
    <t>2020-11-27 17:22:13.934</t>
  </si>
  <si>
    <t>IRO7KSEP0007</t>
  </si>
  <si>
    <t>18382693</t>
  </si>
  <si>
    <t>Eshragh Company</t>
  </si>
  <si>
    <t>2020-11-27 17:22:13.901</t>
  </si>
  <si>
    <t>IRO1KFJR0001</t>
  </si>
  <si>
    <t>18380866</t>
  </si>
  <si>
    <t>Valfajr Shipping Co</t>
  </si>
  <si>
    <t>2020-11-27 17:22:13.847</t>
  </si>
  <si>
    <t>IRO7FLTP0004</t>
  </si>
  <si>
    <t>18379127</t>
  </si>
  <si>
    <t>Falat e Iranian Industries and Minerals Investment Group</t>
  </si>
  <si>
    <t>2020-11-27 17:22:13.812</t>
  </si>
  <si>
    <t>IRO7BTAP0001</t>
  </si>
  <si>
    <t>18377079</t>
  </si>
  <si>
    <t>Tat Bank</t>
  </si>
  <si>
    <t>2020-11-27 17:22:13.781</t>
  </si>
  <si>
    <t>IRO7HJRP0008</t>
  </si>
  <si>
    <t>18375445</t>
  </si>
  <si>
    <t>Hejrat Distribution Co.</t>
  </si>
  <si>
    <t>2020-11-27 17:22:13.747</t>
  </si>
  <si>
    <t>IRO3KNRZ0009</t>
  </si>
  <si>
    <t>18374838</t>
  </si>
  <si>
    <t>Sabanour Steel Raw Material Supply Company</t>
  </si>
  <si>
    <t>2020-11-27 17:22:13.716</t>
  </si>
  <si>
    <t>IRO1RKSH0008</t>
  </si>
  <si>
    <t>18368046</t>
  </si>
  <si>
    <t>Kish Iran Credit Card Corp</t>
  </si>
  <si>
    <t>2020-11-27 17:22:13.682</t>
  </si>
  <si>
    <t>IRO3KSGZ0007</t>
  </si>
  <si>
    <t>18364420</t>
  </si>
  <si>
    <t>Shahrood N.E.</t>
  </si>
  <si>
    <t>2020-11-27 17:22:13.645</t>
  </si>
  <si>
    <t>IRO3KRMZ0000</t>
  </si>
  <si>
    <t>18364096</t>
  </si>
  <si>
    <t>Kerman Invest</t>
  </si>
  <si>
    <t>2020-11-27 17:22:13.582</t>
  </si>
  <si>
    <t>IRO3BASZ0004</t>
  </si>
  <si>
    <t>18363736</t>
  </si>
  <si>
    <t>Industrial and Engineeging Inspection Co of Iran</t>
  </si>
  <si>
    <t>2020-11-27 17:22:13.498</t>
  </si>
  <si>
    <t>2020-11-27 17:22:13.459</t>
  </si>
  <si>
    <t>IRO1LPAK0004</t>
  </si>
  <si>
    <t>1581589</t>
  </si>
  <si>
    <t>Pak Dairy Co</t>
  </si>
  <si>
    <t>2020-11-27 17:22:13.398</t>
  </si>
  <si>
    <t>2020-11-27 17:22:13.369</t>
  </si>
  <si>
    <t>IRO3IRNZ0003</t>
  </si>
  <si>
    <t>13287524</t>
  </si>
  <si>
    <t>Iran Investment Company</t>
  </si>
  <si>
    <t>2020-11-27 17:22:13.309</t>
  </si>
  <si>
    <t>IRO3PRDZ0006</t>
  </si>
  <si>
    <t>12904104</t>
  </si>
  <si>
    <t>Pardis Petrochemical Co.</t>
  </si>
  <si>
    <t>2020-11-27 17:22:13.279</t>
  </si>
  <si>
    <t>IRO3RFNZ0006</t>
  </si>
  <si>
    <t>12626518</t>
  </si>
  <si>
    <t>Ravan Fan Avar</t>
  </si>
  <si>
    <t>2020-11-27 17:22:13.247</t>
  </si>
  <si>
    <t>IRO1GTEH0008</t>
  </si>
  <si>
    <t>1256440</t>
  </si>
  <si>
    <t>Tehran Stucco Co.</t>
  </si>
  <si>
    <t>2020-11-27 17:22:13.187</t>
  </si>
  <si>
    <t>IRO1GMRO0001</t>
  </si>
  <si>
    <t>1256431</t>
  </si>
  <si>
    <t>2020-11-27 17:22:13.158</t>
  </si>
  <si>
    <t>IRO1YZDB0005</t>
  </si>
  <si>
    <t>1255999</t>
  </si>
  <si>
    <t>Yazdbaf Co</t>
  </si>
  <si>
    <t>2020-11-27 17:22:13.092</t>
  </si>
  <si>
    <t>IRO1DJBR0004</t>
  </si>
  <si>
    <t>1255741</t>
  </si>
  <si>
    <t>Jaber Ebne Hayyan Pharmaceutical Co</t>
  </si>
  <si>
    <t>2020-11-27 17:22:13.059</t>
  </si>
  <si>
    <t>IRO3BLSZ0001</t>
  </si>
  <si>
    <t>12384717</t>
  </si>
  <si>
    <t>Railway Installations &amp; Construction Engeneering Co (Ballast)</t>
  </si>
  <si>
    <t>2020-11-27 17:22:13.024</t>
  </si>
  <si>
    <t>2020-11-27 17:22:12.991</t>
  </si>
  <si>
    <t>IRO1BPST0007</t>
  </si>
  <si>
    <t>12384086</t>
  </si>
  <si>
    <t>Post Bank Iran</t>
  </si>
  <si>
    <t>2020-11-27 17:22:12.96</t>
  </si>
  <si>
    <t>IRO1MAVA0007</t>
  </si>
  <si>
    <t>12241876</t>
  </si>
  <si>
    <t>Fiber Intermediate Products Co.</t>
  </si>
  <si>
    <t>2020-11-27 17:22:12.926</t>
  </si>
  <si>
    <t>IRO1IPAR0002</t>
  </si>
  <si>
    <t>12029630</t>
  </si>
  <si>
    <t>Parsian Insurance Co.</t>
  </si>
  <si>
    <t>2020-11-27 17:22:12.893</t>
  </si>
  <si>
    <t>IRO1TSAL0002</t>
  </si>
  <si>
    <t>11672079</t>
  </si>
  <si>
    <t>Herbicides Production Co.</t>
  </si>
  <si>
    <t>2020-11-27 17:22:12.862</t>
  </si>
  <si>
    <t>IRO1TMKH0002</t>
  </si>
  <si>
    <t>11671616</t>
  </si>
  <si>
    <t>Vehicle Axle Manufacturing Co. (VAMCO)</t>
  </si>
  <si>
    <t>2020-11-27 17:22:12.816</t>
  </si>
  <si>
    <t>IRO1TFKR0009</t>
  </si>
  <si>
    <t>11671432</t>
  </si>
  <si>
    <t>Kerman Ferromolybdum Production Co.</t>
  </si>
  <si>
    <t>2020-11-27 17:22:12.784</t>
  </si>
  <si>
    <t>2020-11-27 17:22:12.747</t>
  </si>
  <si>
    <t>2020-11-27 17:22:12.714</t>
  </si>
  <si>
    <t>IRO1SHFS0004</t>
  </si>
  <si>
    <t>11670025</t>
  </si>
  <si>
    <t>Fars Chemical Industries Co.</t>
  </si>
  <si>
    <t>2020-11-27 17:22:12.676</t>
  </si>
  <si>
    <t>IRO1SBOJ0000</t>
  </si>
  <si>
    <t>11669971</t>
  </si>
  <si>
    <t>Bojnourd Cement Co.</t>
  </si>
  <si>
    <t>2020-11-27 17:22:12.644</t>
  </si>
  <si>
    <t>IRO1TAZB0005</t>
  </si>
  <si>
    <t>11669669</t>
  </si>
  <si>
    <t>Azarbayjan Development Investment</t>
  </si>
  <si>
    <t>2020-11-27 17:22:12.612</t>
  </si>
  <si>
    <t>2020-11-27 17:22:12.582</t>
  </si>
  <si>
    <t>IRO1FVAN0001</t>
  </si>
  <si>
    <t>11668544</t>
  </si>
  <si>
    <t>Kaavian Steel Co.</t>
  </si>
  <si>
    <t>2020-11-27 17:22:12.542</t>
  </si>
  <si>
    <t>IRO1RNJH0006</t>
  </si>
  <si>
    <t>11665002</t>
  </si>
  <si>
    <t>Jahan Vegetable Oil Co.</t>
  </si>
  <si>
    <t>2020-11-27 17:22:12.484</t>
  </si>
  <si>
    <t>IRO1ARDK0002</t>
  </si>
  <si>
    <t>11664913</t>
  </si>
  <si>
    <t>Ardekan Industerial Ceramic Co.</t>
  </si>
  <si>
    <t>2020-11-27 17:22:12.442</t>
  </si>
  <si>
    <t>IRO1SFNO0000</t>
  </si>
  <si>
    <t>11241687</t>
  </si>
  <si>
    <t>Siman Fars Noe</t>
  </si>
  <si>
    <t>2020-11-27 17:22:12.36</t>
  </si>
  <si>
    <t>IRO1SFRS0002</t>
  </si>
  <si>
    <t>10665456</t>
  </si>
  <si>
    <t>Fars Cement Co</t>
  </si>
  <si>
    <t>2020-11-27 17:22:12.289</t>
  </si>
  <si>
    <t>IRO1SEFH0000</t>
  </si>
  <si>
    <t>10665454</t>
  </si>
  <si>
    <t>Isfahan Cement Co</t>
  </si>
  <si>
    <t>2020-11-27 17:22:12.25</t>
  </si>
  <si>
    <t>IRO1BIRI0000</t>
  </si>
  <si>
    <t>10665452</t>
  </si>
  <si>
    <t>Iran Packing Industries</t>
  </si>
  <si>
    <t>2020-11-27 17:22:12.195</t>
  </si>
  <si>
    <t>2020-11-27 17:22:12.099</t>
  </si>
  <si>
    <t>IRO1SWIC0000</t>
  </si>
  <si>
    <t>10665446</t>
  </si>
  <si>
    <t>Pars Switch Co</t>
  </si>
  <si>
    <t>2020-11-27 17:22:12.059</t>
  </si>
  <si>
    <t>IRO1OFRS0006</t>
  </si>
  <si>
    <t>10665445</t>
  </si>
  <si>
    <t>Fars Reconstruction &amp; Development Co</t>
  </si>
  <si>
    <t>2020-11-27 17:22:12.029</t>
  </si>
  <si>
    <t>IRO1NSTH0003</t>
  </si>
  <si>
    <t>10660841</t>
  </si>
  <si>
    <t>Nosa Tehran Renovation &amp; Construction</t>
  </si>
  <si>
    <t>2020-11-27 17:22:11.994</t>
  </si>
  <si>
    <t>IRO1NGFO0004</t>
  </si>
  <si>
    <t>10660838</t>
  </si>
  <si>
    <t>Rolling Mill &amp; Still Production Co</t>
  </si>
  <si>
    <t>2020-11-27 17:22:11.959</t>
  </si>
  <si>
    <t>IRO1NALM0004</t>
  </si>
  <si>
    <t>10660831</t>
  </si>
  <si>
    <t>Aluminum Rolling Mfg. Group</t>
  </si>
  <si>
    <t>2020-11-27 17:22:11.929</t>
  </si>
  <si>
    <t>IRO1SORB0000</t>
  </si>
  <si>
    <t>10660828</t>
  </si>
  <si>
    <t>National Iranian Lead &amp; Zinc Co (NILZ)</t>
  </si>
  <si>
    <t>2020-11-27 17:22:11.886</t>
  </si>
  <si>
    <t>IRO1LSMD0006</t>
  </si>
  <si>
    <t>10660793</t>
  </si>
  <si>
    <t>Industry &amp; Mine Leasing Co</t>
  </si>
  <si>
    <t>2020-11-27 17:22:11.854</t>
  </si>
  <si>
    <t>IRO1TSRZ0007</t>
  </si>
  <si>
    <t>10659833</t>
  </si>
  <si>
    <t>Razi Pharmacutical Glass</t>
  </si>
  <si>
    <t>2020-11-27 17:22:11.82</t>
  </si>
  <si>
    <t>IRO1INFO0002</t>
  </si>
  <si>
    <t>10659829</t>
  </si>
  <si>
    <t>Informatics Services Corp.</t>
  </si>
  <si>
    <t>2020-11-27 17:22:11.783</t>
  </si>
  <si>
    <t>IRO1KCHI0007</t>
  </si>
  <si>
    <t>10659826</t>
  </si>
  <si>
    <t>Iran China Clay Industries Co</t>
  </si>
  <si>
    <t>2020-11-27 17:22:11.751</t>
  </si>
  <si>
    <t>IRO1DPAK0004</t>
  </si>
  <si>
    <t>10659824</t>
  </si>
  <si>
    <t>Daroupakhsh Pharmaceutical Mfg.</t>
  </si>
  <si>
    <t>2020-11-27 17:22:11.701</t>
  </si>
  <si>
    <t>IRO1IRDR0007</t>
  </si>
  <si>
    <t>10659823</t>
  </si>
  <si>
    <t>Iran Darou Co.</t>
  </si>
  <si>
    <t>2020-11-27 17:22:11.669</t>
  </si>
  <si>
    <t>IRO1GSHI0005</t>
  </si>
  <si>
    <t>10659821</t>
  </si>
  <si>
    <t>Shirin Khorasan agro. Industry</t>
  </si>
  <si>
    <t>2020-11-27 17:22:11.638</t>
  </si>
  <si>
    <t>IRO1GSKE0004</t>
  </si>
  <si>
    <t>10659820</t>
  </si>
  <si>
    <t>Agricultural Industries and Services Development</t>
  </si>
  <si>
    <t>2020-11-27 17:22:11.607</t>
  </si>
  <si>
    <t>IRO1GOST0003</t>
  </si>
  <si>
    <t>10653329</t>
  </si>
  <si>
    <t>Iran Khodro Investment Development Co</t>
  </si>
  <si>
    <t>2020-11-27 17:22:11.573</t>
  </si>
  <si>
    <t>IRO1GBEH0008</t>
  </si>
  <si>
    <t>10653324</t>
  </si>
  <si>
    <t>Iran Behshahr Industry Investment Group Co</t>
  </si>
  <si>
    <t>2020-11-27 17:22:11.504</t>
  </si>
  <si>
    <t>IRO1DZAH0007</t>
  </si>
  <si>
    <t>10653320</t>
  </si>
  <si>
    <t>Zahravi Pharmaceutical Co</t>
  </si>
  <si>
    <t>2020-11-27 17:22:11.468</t>
  </si>
  <si>
    <t>IRO1EXIR0008</t>
  </si>
  <si>
    <t>10653318</t>
  </si>
  <si>
    <t>Exir Pharmaceutical Co</t>
  </si>
  <si>
    <t>2020-11-27 17:22:11.402</t>
  </si>
  <si>
    <t>IRO1BRNG0005</t>
  </si>
  <si>
    <t>10644204</t>
  </si>
  <si>
    <t>Iran Bearing Co</t>
  </si>
  <si>
    <t>2020-11-27 17:22:11.367</t>
  </si>
  <si>
    <t>IRO1TKIN0000</t>
  </si>
  <si>
    <t>10644203</t>
  </si>
  <si>
    <t>Technical Inspection and Corrosion</t>
  </si>
  <si>
    <t>2020-11-27 17:22:11.3</t>
  </si>
  <si>
    <t>IRO1AYEG0008</t>
  </si>
  <si>
    <t>10644202</t>
  </si>
  <si>
    <t>Pardis Investment Co</t>
  </si>
  <si>
    <t>2020-11-27 17:22:11.255</t>
  </si>
  <si>
    <t>IRO1AVAN0006</t>
  </si>
  <si>
    <t>10644200</t>
  </si>
  <si>
    <t>Avangan Co</t>
  </si>
  <si>
    <t>2020-11-27 17:22:11.187</t>
  </si>
  <si>
    <t>IRO1SPPE0008</t>
  </si>
  <si>
    <t>10302639</t>
  </si>
  <si>
    <t>Isfahan Pegah Dairy Co</t>
  </si>
  <si>
    <t>2020-11-27 17:22:11.146</t>
  </si>
  <si>
    <t>IRO1TSHE0004</t>
  </si>
  <si>
    <t>10302550</t>
  </si>
  <si>
    <t>Pars Tousheh Holding Co</t>
  </si>
  <si>
    <t>2020-11-27 17:22:11.085</t>
  </si>
  <si>
    <t>IRO1MEHR0002</t>
  </si>
  <si>
    <t>10302401</t>
  </si>
  <si>
    <t>Mehrabad Industrial Co</t>
  </si>
  <si>
    <t>2020-11-27 17:22:11.049</t>
  </si>
  <si>
    <t>IRO1SHZG0004</t>
  </si>
  <si>
    <t>10301360</t>
  </si>
  <si>
    <t>Hormozgan Cement Co</t>
  </si>
  <si>
    <t>2020-11-27 17:22:10.989</t>
  </si>
  <si>
    <t>2020-11-27 17:22:10.953</t>
  </si>
  <si>
    <t>IRO1PAKS0007</t>
  </si>
  <si>
    <t>1028952</t>
  </si>
  <si>
    <t>Paxan Corporation</t>
  </si>
  <si>
    <t>2020-11-27 17:22:10.921</t>
  </si>
  <si>
    <t>IRO1THDR0006</t>
  </si>
  <si>
    <t>1028950</t>
  </si>
  <si>
    <t>Tehran Darou Pharmacutical Co.</t>
  </si>
  <si>
    <t>2020-11-27 17:22:10.882</t>
  </si>
  <si>
    <t>1028947</t>
  </si>
  <si>
    <t>Sina Darou Laboratories</t>
  </si>
  <si>
    <t>2020-11-27 17:22:10.849</t>
  </si>
  <si>
    <t>IRO1PDRO0001</t>
  </si>
  <si>
    <t>1028946</t>
  </si>
  <si>
    <t>Pars Darou Co.</t>
  </si>
  <si>
    <t>2020-11-27 17:22:10.785</t>
  </si>
  <si>
    <t>IRO1DOSE0003</t>
  </si>
  <si>
    <t>1028945</t>
  </si>
  <si>
    <t>Osvah Pharmaceutical Company</t>
  </si>
  <si>
    <t>2020-11-27 17:22:10.75</t>
  </si>
  <si>
    <t>IRO1DRZK0003</t>
  </si>
  <si>
    <t>1027903</t>
  </si>
  <si>
    <t>Razak Laboratories</t>
  </si>
  <si>
    <t>2020-11-27 17:22:10.708</t>
  </si>
  <si>
    <t>IRO1LEAB0008</t>
  </si>
  <si>
    <t>1027900</t>
  </si>
  <si>
    <t>Loabiran Co.</t>
  </si>
  <si>
    <t>2020-11-27 17:22:10.674</t>
  </si>
  <si>
    <t>IRO1VARZ0003</t>
  </si>
  <si>
    <t>1027899</t>
  </si>
  <si>
    <t>Varziran Co</t>
  </si>
  <si>
    <t>2020-11-27 17:22:10.642</t>
  </si>
  <si>
    <t>IRO1OFST0004</t>
  </si>
  <si>
    <t>1027896</t>
  </si>
  <si>
    <t>Offset Press Inc.</t>
  </si>
  <si>
    <t>2020-11-27 17:22:10.59</t>
  </si>
  <si>
    <t>IRO1BPRS0009</t>
  </si>
  <si>
    <t>1027893</t>
  </si>
  <si>
    <t>Pars Packing Co</t>
  </si>
  <si>
    <t>2020-11-27 17:22:10.558</t>
  </si>
  <si>
    <t>IRO1FIBR0003</t>
  </si>
  <si>
    <t>1027890</t>
  </si>
  <si>
    <t>Royal Board Mfanufacturing Co.</t>
  </si>
  <si>
    <t>2020-11-27 17:22:10.526</t>
  </si>
  <si>
    <t>IRO1KIVN0006</t>
  </si>
  <si>
    <t>1027887</t>
  </si>
  <si>
    <t>Keivan Co</t>
  </si>
  <si>
    <t>2020-11-27 17:22:10.489</t>
  </si>
  <si>
    <t>IRO1CHOP0004</t>
  </si>
  <si>
    <t>1027883</t>
  </si>
  <si>
    <t>Chocopars Co.</t>
  </si>
  <si>
    <t>2020-11-27 17:22:10.456</t>
  </si>
  <si>
    <t>IRO1MINO0003</t>
  </si>
  <si>
    <t>1027881</t>
  </si>
  <si>
    <t>Pars Minoo Co.</t>
  </si>
  <si>
    <t>2020-11-27 17:22:10.423</t>
  </si>
  <si>
    <t>IRO1SAKH0007</t>
  </si>
  <si>
    <t>1027411</t>
  </si>
  <si>
    <t>Iran Construction Investment Co</t>
  </si>
  <si>
    <t>2020-11-27 17:22:10.386</t>
  </si>
  <si>
    <t>IRO1TSBE0000</t>
  </si>
  <si>
    <t>1027404</t>
  </si>
  <si>
    <t>Behshahr Inv.</t>
  </si>
  <si>
    <t>2020-11-27 17:22:10.352</t>
  </si>
  <si>
    <t>IRO1ALBZ0003</t>
  </si>
  <si>
    <t>1027403</t>
  </si>
  <si>
    <t>Alborz Investment</t>
  </si>
  <si>
    <t>2020-11-27 17:22:10.321</t>
  </si>
  <si>
    <t>IRO1KAVR0000</t>
  </si>
  <si>
    <t>1027164</t>
  </si>
  <si>
    <t>Iran Khodro Diesel Co</t>
  </si>
  <si>
    <t>2020-11-27 17:22:10.291</t>
  </si>
  <si>
    <t>IRO1PYAM0007</t>
  </si>
  <si>
    <t>1027159</t>
  </si>
  <si>
    <t>Payam Industrial Manufacturing Co.</t>
  </si>
  <si>
    <t>2020-11-27 17:22:10.257</t>
  </si>
  <si>
    <t>IRO1PELC0000</t>
  </si>
  <si>
    <t>1027156</t>
  </si>
  <si>
    <t>Pars Electric</t>
  </si>
  <si>
    <t>2020-11-27 17:22:10.193</t>
  </si>
  <si>
    <t>IRO1MOTJ0006</t>
  </si>
  <si>
    <t>1027153</t>
  </si>
  <si>
    <t>Motogen Co.</t>
  </si>
  <si>
    <t>2020-11-27 17:22:10.161</t>
  </si>
  <si>
    <t>IRO1SRMA0003</t>
  </si>
  <si>
    <t>1027143</t>
  </si>
  <si>
    <t>Sarma Afarin Industries</t>
  </si>
  <si>
    <t>2020-11-27 17:22:10.109</t>
  </si>
  <si>
    <t>1027141</t>
  </si>
  <si>
    <t>Firouza Co.</t>
  </si>
  <si>
    <t>2020-11-27 17:22:10.079</t>
  </si>
  <si>
    <t>IRO1GESF0001</t>
  </si>
  <si>
    <t>1027137</t>
  </si>
  <si>
    <t>Isfahan Sugar Co</t>
  </si>
  <si>
    <t>2020-11-27 17:22:10.046</t>
  </si>
  <si>
    <t>IRO1PIRN0007</t>
  </si>
  <si>
    <t>1027135</t>
  </si>
  <si>
    <t>Pumpiran</t>
  </si>
  <si>
    <t>2020-11-27 17:22:09.995</t>
  </si>
  <si>
    <t>IR1100025011</t>
  </si>
  <si>
    <t>1027115</t>
  </si>
  <si>
    <t>Ama Industrial Co</t>
  </si>
  <si>
    <t>2020-11-27 17:22:09.963</t>
  </si>
  <si>
    <t>IR1100077012</t>
  </si>
  <si>
    <t>1027106</t>
  </si>
  <si>
    <t>Chin Chin Cultivation Complex</t>
  </si>
  <si>
    <t>2020-11-27 17:22:09.931</t>
  </si>
  <si>
    <t>IRO1AZRT0007</t>
  </si>
  <si>
    <t>1027104</t>
  </si>
  <si>
    <t>Azarit Co.</t>
  </si>
  <si>
    <t>2020-11-27 17:22:09.899</t>
  </si>
  <si>
    <t>IRO1IRNT0003</t>
  </si>
  <si>
    <t>1027102</t>
  </si>
  <si>
    <t>Iranit Co.</t>
  </si>
  <si>
    <t>2020-11-27 17:22:09.86</t>
  </si>
  <si>
    <t>IRO1CHIR0000</t>
  </si>
  <si>
    <t>1027087</t>
  </si>
  <si>
    <t>Irana Tile Chini Iran Co.</t>
  </si>
  <si>
    <t>2020-11-27 17:22:09.829</t>
  </si>
  <si>
    <t>IRO1TAMI0003</t>
  </si>
  <si>
    <t>1027081</t>
  </si>
  <si>
    <t>Sand Foundry Prepration Co.</t>
  </si>
  <si>
    <t>2020-11-27 17:22:09.799</t>
  </si>
  <si>
    <t>IRO1RSAP0000</t>
  </si>
  <si>
    <t>10238112</t>
  </si>
  <si>
    <t>Rayan Saipa Leasing Co.</t>
  </si>
  <si>
    <t>2020-11-27 17:22:09.767</t>
  </si>
  <si>
    <t>IRO1SPDZ0007</t>
  </si>
  <si>
    <t>10234491</t>
  </si>
  <si>
    <t>Saipa Diesel</t>
  </si>
  <si>
    <t>2020-11-27 17:22:09.735</t>
  </si>
  <si>
    <t>10234477</t>
  </si>
  <si>
    <t>Shiraz Petrochemical Co</t>
  </si>
  <si>
    <t>2020-11-27 17:22:09.696</t>
  </si>
  <si>
    <t>IRO1ABAD0002</t>
  </si>
  <si>
    <t>10228556</t>
  </si>
  <si>
    <t>Touristi va Refahi Abadgarane Iran</t>
  </si>
  <si>
    <t>2020-11-27 17:22:09.645</t>
  </si>
  <si>
    <t>IRO1MNGZ0002</t>
  </si>
  <si>
    <t>10228517</t>
  </si>
  <si>
    <t>Iran Manganese Mines Co.</t>
  </si>
  <si>
    <t>2020-11-27 17:22:09.612</t>
  </si>
  <si>
    <t>IRO1GNBO0008</t>
  </si>
  <si>
    <t>10228039</t>
  </si>
  <si>
    <t>Naishabur Sugar Manufacturing Company</t>
  </si>
  <si>
    <t>2020-11-27 17:22:09.581</t>
  </si>
  <si>
    <t>2020-11-27 17:22:09.547</t>
  </si>
  <si>
    <t>IRO1LKGH0008</t>
  </si>
  <si>
    <t>10194753</t>
  </si>
  <si>
    <t>Ghadir Khodro Leasing Co</t>
  </si>
  <si>
    <t>2020-11-27 17:22:09.483</t>
  </si>
  <si>
    <t>IRO1FRDO0003</t>
  </si>
  <si>
    <t>10192223</t>
  </si>
  <si>
    <t>Farsit Doroud Co</t>
  </si>
  <si>
    <t>2020-11-27 17:22:09.451</t>
  </si>
  <si>
    <t>IRO1MRIN0000</t>
  </si>
  <si>
    <t>10192197</t>
  </si>
  <si>
    <t>Iranmerinos Woollen Co</t>
  </si>
  <si>
    <t>2020-11-27 17:22:09.392</t>
  </si>
  <si>
    <t>IRO1NOVN0005</t>
  </si>
  <si>
    <t>10187731</t>
  </si>
  <si>
    <t>Eghtesad Novin Bank</t>
  </si>
  <si>
    <t>2020-11-27 17:22:09.358</t>
  </si>
  <si>
    <t>2020-11-27 17:22:09.292</t>
  </si>
  <si>
    <t>IRO1HPKO0004</t>
  </si>
  <si>
    <t>10186634</t>
  </si>
  <si>
    <t>Hepco</t>
  </si>
  <si>
    <t>2020-11-27 17:22:09.248</t>
  </si>
  <si>
    <t>IRO1KRAF0000</t>
  </si>
  <si>
    <t>10186552</t>
  </si>
  <si>
    <t>Karafarin Bank</t>
  </si>
  <si>
    <t>2020-11-27 17:22:09.172</t>
  </si>
  <si>
    <t>IRO1BAMA0001</t>
  </si>
  <si>
    <t>10186503</t>
  </si>
  <si>
    <t>Bama Co</t>
  </si>
  <si>
    <t>2020-11-27 17:22:09.099</t>
  </si>
  <si>
    <t>IRO1FNAR0007</t>
  </si>
  <si>
    <t>10186211</t>
  </si>
  <si>
    <t>Fanarsazi Zar Co</t>
  </si>
  <si>
    <t>2020-11-27 17:22:09.064</t>
  </si>
  <si>
    <t>CND10003QXV7</t>
  </si>
  <si>
    <t>57337927</t>
  </si>
  <si>
    <t>The Xinjiang Production and Construction Corps</t>
  </si>
  <si>
    <t>2020-11-27 17:22:09.005</t>
  </si>
  <si>
    <t>CND10003QXT1</t>
  </si>
  <si>
    <t>57337926</t>
  </si>
  <si>
    <t>2020-11-27 17:22:08.946</t>
  </si>
  <si>
    <t>CND10003L226</t>
  </si>
  <si>
    <t>56730285</t>
  </si>
  <si>
    <t>Xinjiang Tianye (Group) Ltd</t>
  </si>
  <si>
    <t>2020-11-27 17:22:08.902</t>
  </si>
  <si>
    <t>CND10003KPW4</t>
  </si>
  <si>
    <t>56635493</t>
  </si>
  <si>
    <t>Xinjiang Tianfu Group Co.	 Ltd.</t>
  </si>
  <si>
    <t>2020-11-27 17:22:08.865</t>
  </si>
  <si>
    <t>CND10003GPT8</t>
  </si>
  <si>
    <t>56213220</t>
  </si>
  <si>
    <t>2020-11-27 17:22:08.812</t>
  </si>
  <si>
    <t>CND10003CLQ2</t>
  </si>
  <si>
    <t>55613727</t>
  </si>
  <si>
    <t>2020-11-27 17:22:08.767</t>
  </si>
  <si>
    <t>CND10003CLR0</t>
  </si>
  <si>
    <t>55585420</t>
  </si>
  <si>
    <t>2020-11-27 17:22:08.721</t>
  </si>
  <si>
    <t>CND100038BR9</t>
  </si>
  <si>
    <t>55121724</t>
  </si>
  <si>
    <t>2020-11-27 17:22:08.683</t>
  </si>
  <si>
    <t>CND100038BQ1</t>
  </si>
  <si>
    <t>55121723</t>
  </si>
  <si>
    <t>2020-11-27 17:22:08.649</t>
  </si>
  <si>
    <t>CND100036L88</t>
  </si>
  <si>
    <t>54538600</t>
  </si>
  <si>
    <t>2020-11-27 17:22:08.588</t>
  </si>
  <si>
    <t>CND1000355R3</t>
  </si>
  <si>
    <t>54279050</t>
  </si>
  <si>
    <t>2020-11-27 17:22:08.552</t>
  </si>
  <si>
    <t>CND10002S363</t>
  </si>
  <si>
    <t>53333771</t>
  </si>
  <si>
    <t>2020-11-27 17:22:08.516</t>
  </si>
  <si>
    <t>CND10002RS38</t>
  </si>
  <si>
    <t>52751704</t>
  </si>
  <si>
    <t>2020-11-27 17:22:08.481</t>
  </si>
  <si>
    <t>CND10002L1H4</t>
  </si>
  <si>
    <t>52157989</t>
  </si>
  <si>
    <t>2020-11-27 17:22:08.411</t>
  </si>
  <si>
    <t>CND10002LGM4</t>
  </si>
  <si>
    <t>51964105</t>
  </si>
  <si>
    <t>2020-11-27 17:22:08.373</t>
  </si>
  <si>
    <t>CND10002JY14</t>
  </si>
  <si>
    <t>51963882</t>
  </si>
  <si>
    <t>2020-11-27 17:22:08.336</t>
  </si>
  <si>
    <t>CND10002JY06</t>
  </si>
  <si>
    <t>51963881</t>
  </si>
  <si>
    <t>2020-11-27 17:22:08.28</t>
  </si>
  <si>
    <t>CND10002KQL7</t>
  </si>
  <si>
    <t>51437817</t>
  </si>
  <si>
    <t>Xinjiang Tianhengji Investment (Group) Co Ltd</t>
  </si>
  <si>
    <t>2020-11-27 17:22:08.24</t>
  </si>
  <si>
    <t>CND10002J4C3</t>
  </si>
  <si>
    <t>51316328</t>
  </si>
  <si>
    <t>2020-11-27 17:22:08.146</t>
  </si>
  <si>
    <t>CND10002JCN5</t>
  </si>
  <si>
    <t>51280032</t>
  </si>
  <si>
    <t>2020-11-27 17:22:08.06</t>
  </si>
  <si>
    <t>CND10002G228</t>
  </si>
  <si>
    <t>50050208</t>
  </si>
  <si>
    <t>2020-11-27 17:22:07.974</t>
  </si>
  <si>
    <t>CND10002G1Z3</t>
  </si>
  <si>
    <t>50050205</t>
  </si>
  <si>
    <t>2020-11-27 17:22:07.904</t>
  </si>
  <si>
    <t>CND10002FZF0</t>
  </si>
  <si>
    <t>49912606</t>
  </si>
  <si>
    <t>2020-11-27 17:22:07.846</t>
  </si>
  <si>
    <t>CND10002FKG0</t>
  </si>
  <si>
    <t>49780364</t>
  </si>
  <si>
    <t>2020-11-27 17:22:07.76</t>
  </si>
  <si>
    <t>CND1000269V8</t>
  </si>
  <si>
    <t>47478188</t>
  </si>
  <si>
    <t>2020-11-27 17:22:07.67</t>
  </si>
  <si>
    <t>CND1000269T2</t>
  </si>
  <si>
    <t>47433640</t>
  </si>
  <si>
    <t>2020-11-27 17:22:07.607</t>
  </si>
  <si>
    <t>CND100025F89</t>
  </si>
  <si>
    <t>47157872</t>
  </si>
  <si>
    <t>Xinjiang Production and Construction Corps 12th division state-owned Assets Management Co.	 Ltd.</t>
  </si>
  <si>
    <t>2020-11-27 17:22:07.573</t>
  </si>
  <si>
    <t>CND10001RWM0</t>
  </si>
  <si>
    <t>44909390</t>
  </si>
  <si>
    <t>2020-11-27 17:22:07.537</t>
  </si>
  <si>
    <t>41452946</t>
  </si>
  <si>
    <t>2020-11-27 17:22:07.451</t>
  </si>
  <si>
    <t>41166369</t>
  </si>
  <si>
    <t>2020-11-27 17:22:07.395</t>
  </si>
  <si>
    <t>CND1000155V9</t>
  </si>
  <si>
    <t>41166290</t>
  </si>
  <si>
    <t>Xinjiang Production and Construction Corps SixthDivision State-Owned Assets Management Co.	 Ltd</t>
  </si>
  <si>
    <t>2020-11-27 17:22:07.367</t>
  </si>
  <si>
    <t>41166275</t>
  </si>
  <si>
    <t>2020-11-27 17:22:07.309</t>
  </si>
  <si>
    <t>37797823</t>
  </si>
  <si>
    <t>Xinjiang Qianhai Group Corporation</t>
  </si>
  <si>
    <t>2020-11-27 17:22:07.279</t>
  </si>
  <si>
    <t>37629182</t>
  </si>
  <si>
    <t>2020-11-27 17:22:07.236</t>
  </si>
  <si>
    <t>36472030</t>
  </si>
  <si>
    <t>2020-11-27 17:22:07.177</t>
  </si>
  <si>
    <t>34854524</t>
  </si>
  <si>
    <t>2020-11-27 17:22:07.142</t>
  </si>
  <si>
    <t>32295943</t>
  </si>
  <si>
    <t>Xinjiang Production and Construction Corps 10th division state-owned Assets Management Co.	 Ltd.</t>
  </si>
  <si>
    <t>2020-11-27 17:22:07.105</t>
  </si>
  <si>
    <t>32246969</t>
  </si>
  <si>
    <t>2020-11-27 17:22:07.068</t>
  </si>
  <si>
    <t>CND10000FDC8</t>
  </si>
  <si>
    <t>32235702</t>
  </si>
  <si>
    <t>2020-11-27 17:22:07.039</t>
  </si>
  <si>
    <t>32061975</t>
  </si>
  <si>
    <t>2020-11-27 17:22:06.972</t>
  </si>
  <si>
    <t>31761354</t>
  </si>
  <si>
    <t>2020-11-27 17:22:06.941</t>
  </si>
  <si>
    <t>CND10000FPR0</t>
  </si>
  <si>
    <t>30863500</t>
  </si>
  <si>
    <t>2020-11-27 17:22:06.877</t>
  </si>
  <si>
    <t>30704463</t>
  </si>
  <si>
    <t>2020-11-27 17:22:06.789</t>
  </si>
  <si>
    <t>CND100012KG8</t>
  </si>
  <si>
    <t>30609134</t>
  </si>
  <si>
    <t>2020-11-27 17:22:06.757</t>
  </si>
  <si>
    <t>30541738</t>
  </si>
  <si>
    <t>2020-11-27 17:22:06.71</t>
  </si>
  <si>
    <t>30192699</t>
  </si>
  <si>
    <t>Xinjiang Production &amp; Construction Group State-Owned Assets Managemant Co</t>
  </si>
  <si>
    <t>2020-11-27 17:22:06.677</t>
  </si>
  <si>
    <t>29611527</t>
  </si>
  <si>
    <t>2020-11-27 17:22:06.644</t>
  </si>
  <si>
    <t>28764181</t>
  </si>
  <si>
    <t>2020-11-27 17:22:06.586</t>
  </si>
  <si>
    <t>CND1000088W0</t>
  </si>
  <si>
    <t>28055813</t>
  </si>
  <si>
    <t>2020-11-27 17:22:06.553</t>
  </si>
  <si>
    <t>CND100011YB2</t>
  </si>
  <si>
    <t>27851141</t>
  </si>
  <si>
    <t>2020-11-27 17:22:06.517</t>
  </si>
  <si>
    <t>27082847</t>
  </si>
  <si>
    <t>2020-11-27 17:22:06.483</t>
  </si>
  <si>
    <t>CND100011RQ4</t>
  </si>
  <si>
    <t>26718977</t>
  </si>
  <si>
    <t>2020-11-27 17:22:06.448</t>
  </si>
  <si>
    <t>26531478</t>
  </si>
  <si>
    <t>2020-11-27 17:22:06.375</t>
  </si>
  <si>
    <t>26434757</t>
  </si>
  <si>
    <t>2020-11-27 17:22:06.343</t>
  </si>
  <si>
    <t>25559546</t>
  </si>
  <si>
    <t>2020-11-27 17:22:06.282</t>
  </si>
  <si>
    <t>25399646</t>
  </si>
  <si>
    <t>2020-11-27 17:22:06.242</t>
  </si>
  <si>
    <t>25279562</t>
  </si>
  <si>
    <t>2020-11-27 17:22:06.188</t>
  </si>
  <si>
    <t>CND100011GP9</t>
  </si>
  <si>
    <t>24505628</t>
  </si>
  <si>
    <t>2020-11-27 17:22:06.156</t>
  </si>
  <si>
    <t>23194816</t>
  </si>
  <si>
    <t>2020-11-27 17:22:06.103</t>
  </si>
  <si>
    <t>22853170</t>
  </si>
  <si>
    <t>2020-11-27 17:22:06.069</t>
  </si>
  <si>
    <t>CND100006PQ8</t>
  </si>
  <si>
    <t>21414854</t>
  </si>
  <si>
    <t>2020-11-27 17:22:05.991</t>
  </si>
  <si>
    <t>21333771</t>
  </si>
  <si>
    <t>2020-11-27 17:22:05.951</t>
  </si>
  <si>
    <t>20218187</t>
  </si>
  <si>
    <t>2020-11-27 17:22:05.882</t>
  </si>
  <si>
    <t>18336819</t>
  </si>
  <si>
    <t>Tianchen Chemical Co Ltd</t>
  </si>
  <si>
    <t>2020-11-27 17:22:05.811</t>
  </si>
  <si>
    <t>14587306</t>
  </si>
  <si>
    <t>2020-11-27 17:22:05.772</t>
  </si>
  <si>
    <t>CND1000035N0</t>
  </si>
  <si>
    <t>12047720</t>
  </si>
  <si>
    <t>2020-11-27 17:22:05.743</t>
  </si>
  <si>
    <t>976842</t>
  </si>
  <si>
    <t>2020-11-27 17:22:05.682</t>
  </si>
  <si>
    <t>CU0007259021</t>
  </si>
  <si>
    <t>725902</t>
  </si>
  <si>
    <t>Guerlain SA</t>
  </si>
  <si>
    <t>2020-11-27 17:22:05.641</t>
  </si>
  <si>
    <t>CU0007258379</t>
  </si>
  <si>
    <t>725837</t>
  </si>
  <si>
    <t>Banco Territorial de Cuba</t>
  </si>
  <si>
    <t>2020-11-27 17:22:05.601</t>
  </si>
  <si>
    <t>CU0007258056</t>
  </si>
  <si>
    <t>725805</t>
  </si>
  <si>
    <t>Cienfuegos Palmira &amp; Cruses Electric Railway &amp; Power Co</t>
  </si>
  <si>
    <t>2020-11-27 17:22:05.563</t>
  </si>
  <si>
    <t>CU0007257173</t>
  </si>
  <si>
    <t>725717</t>
  </si>
  <si>
    <t>Compania Cubana Primadera SA</t>
  </si>
  <si>
    <t>2020-11-27 17:22:05.53</t>
  </si>
  <si>
    <t>725500</t>
  </si>
  <si>
    <t>2020-11-27 17:22:05.489</t>
  </si>
  <si>
    <t>725390</t>
  </si>
  <si>
    <t>2020-11-27 17:22:05.451</t>
  </si>
  <si>
    <t>CU0007252505</t>
  </si>
  <si>
    <t>725250</t>
  </si>
  <si>
    <t>2020-11-27 17:22:05.374</t>
  </si>
  <si>
    <t>725220</t>
  </si>
  <si>
    <t>2020-11-27 17:22:05.293</t>
  </si>
  <si>
    <t>CU0025152208</t>
  </si>
  <si>
    <t>2515220</t>
  </si>
  <si>
    <t>Banco Central de Cuba</t>
  </si>
  <si>
    <t>2020-11-27 17:22:05.253</t>
  </si>
  <si>
    <t>2392466</t>
  </si>
  <si>
    <t>2020-11-27 17:22:05.183</t>
  </si>
  <si>
    <t>2392322</t>
  </si>
  <si>
    <t>2020-11-27 17:22:05.144</t>
  </si>
  <si>
    <t>2304029</t>
  </si>
  <si>
    <t>2020-11-27 17:22:05.069</t>
  </si>
  <si>
    <t>18101</t>
  </si>
  <si>
    <t>2020-11-27 17:22:04.99</t>
  </si>
  <si>
    <t>UA4000032908</t>
  </si>
  <si>
    <t>4915154</t>
  </si>
  <si>
    <t>EC Sevastopolenergo PJSC</t>
  </si>
  <si>
    <t>2020-11-27 17:22:04.946</t>
  </si>
  <si>
    <t>UA0100051103</t>
  </si>
  <si>
    <t>4358960</t>
  </si>
  <si>
    <t>Krymgaz PJSC</t>
  </si>
  <si>
    <t>2020-11-27 17:22:04.869</t>
  </si>
  <si>
    <t>2020-11-27 17:22:04.789</t>
  </si>
  <si>
    <t>3814131</t>
  </si>
  <si>
    <t>2020-11-27 17:22:04.742</t>
  </si>
  <si>
    <t>2020-11-27 17:22:04.661</t>
  </si>
  <si>
    <t>27216903</t>
  </si>
  <si>
    <t>Druzhba narodiv Nova CJSC</t>
  </si>
  <si>
    <t>2020-11-27 17:22:04.584</t>
  </si>
  <si>
    <t>23595981</t>
  </si>
  <si>
    <t>Yalta Freight Trucking PJSC</t>
  </si>
  <si>
    <t>2020-11-27 17:22:04.55</t>
  </si>
  <si>
    <t>UA0100031006</t>
  </si>
  <si>
    <t>2258985</t>
  </si>
  <si>
    <t>Crimean Soda Plant PJSC</t>
  </si>
  <si>
    <t>2020-11-27 17:22:04.483</t>
  </si>
  <si>
    <t>UA4000075030</t>
  </si>
  <si>
    <t>21702485</t>
  </si>
  <si>
    <t>Simferopol Cannery behalf of the May 1 PJSC</t>
  </si>
  <si>
    <t>2020-11-27 17:22:04.403</t>
  </si>
  <si>
    <t>UA4000135040</t>
  </si>
  <si>
    <t>21240898</t>
  </si>
  <si>
    <t>Theodosia Engineering Works PJSC</t>
  </si>
  <si>
    <t>2020-11-27 17:22:04.356</t>
  </si>
  <si>
    <t>UA4000084214</t>
  </si>
  <si>
    <t>21240828</t>
  </si>
  <si>
    <t>Stalmontazh PJSC</t>
  </si>
  <si>
    <t>2020-11-27 17:22:04.275</t>
  </si>
  <si>
    <t>20864037</t>
  </si>
  <si>
    <t>Simferopolskyi zavod silskohospodarskoho mashynobuduvannia PJSC</t>
  </si>
  <si>
    <t>2020-11-27 17:22:04.208</t>
  </si>
  <si>
    <t>20686774</t>
  </si>
  <si>
    <t>Krymske respublikanske pidpryiemstvo materialno-tekhnychnoho zabespechennia Ahrosnab PJSC</t>
  </si>
  <si>
    <t>2020-11-27 17:22:04.141</t>
  </si>
  <si>
    <t>20427632</t>
  </si>
  <si>
    <t>Santekhprom PJSC</t>
  </si>
  <si>
    <t>2020-11-27 17:22:04.053</t>
  </si>
  <si>
    <t>20398233</t>
  </si>
  <si>
    <t>Kerchenske avtotransportne pidpryiemstvo 14313  PJSC</t>
  </si>
  <si>
    <t>2020-11-27 17:22:03.972</t>
  </si>
  <si>
    <t>19531929</t>
  </si>
  <si>
    <t>2020-11-27 17:22:03.895</t>
  </si>
  <si>
    <t>18597805</t>
  </si>
  <si>
    <t>Pivobezalkogolny Kombinat Krym PJSC</t>
  </si>
  <si>
    <t>2020-11-27 17:22:03.844</t>
  </si>
  <si>
    <t>18590664</t>
  </si>
  <si>
    <t>2020-11-27 17:22:03.767</t>
  </si>
  <si>
    <t>18590659</t>
  </si>
  <si>
    <t>Simferopolskiy autoremontnyy zavod im.          Kuybysheva PAT</t>
  </si>
  <si>
    <t>2020-11-27 17:22:03.681</t>
  </si>
  <si>
    <t>18590656</t>
  </si>
  <si>
    <t>HC Yalta-Intourist PJSC</t>
  </si>
  <si>
    <t>2020-11-27 17:22:03.637</t>
  </si>
  <si>
    <t>18590652</t>
  </si>
  <si>
    <t>Krymholod PJSC</t>
  </si>
  <si>
    <t>2020-11-27 17:22:03.561</t>
  </si>
  <si>
    <t>18590641</t>
  </si>
  <si>
    <t>Dzhankoysky Elevator PJSC</t>
  </si>
  <si>
    <t>2020-11-27 17:22:03.473</t>
  </si>
  <si>
    <t>18590637</t>
  </si>
  <si>
    <t>2020-11-27 17:22:03.379</t>
  </si>
  <si>
    <t>18590555</t>
  </si>
  <si>
    <t>Morskoy Bank PJSC</t>
  </si>
  <si>
    <t>2020-11-27 17:22:03.272</t>
  </si>
  <si>
    <t>UA4000122006</t>
  </si>
  <si>
    <t>14614587</t>
  </si>
  <si>
    <t>Autonomous Republic of Crimea</t>
  </si>
  <si>
    <t>2020-11-27 17:22:03.189</t>
  </si>
  <si>
    <t>12236302</t>
  </si>
  <si>
    <t>2020-11-27 17:22:03.143</t>
  </si>
  <si>
    <t>11904382</t>
  </si>
  <si>
    <t>2020-11-27 17:22:03.04</t>
  </si>
  <si>
    <t>11753798</t>
  </si>
  <si>
    <t>2020-11-27 17:22:02.958</t>
  </si>
  <si>
    <t>11662951</t>
  </si>
  <si>
    <t>Krymhlib PJSC</t>
  </si>
  <si>
    <t>2020-11-27 17:22:02.869</t>
  </si>
  <si>
    <t>UA0104171006</t>
  </si>
  <si>
    <t>10095693</t>
  </si>
  <si>
    <t>Krymenergobud OJSC</t>
  </si>
  <si>
    <t>2020-11-27 17:22:02.748</t>
  </si>
  <si>
    <t>26362637</t>
  </si>
  <si>
    <t>2020-11-27 15:53:03.995</t>
  </si>
  <si>
    <t>RU000A102C88</t>
  </si>
  <si>
    <t>58565234</t>
  </si>
  <si>
    <t>2020-11-27 15:53:03.854</t>
  </si>
  <si>
    <t>RU000A102EA2</t>
  </si>
  <si>
    <t>58616726</t>
  </si>
  <si>
    <t>2020-11-27 03:56:41.585</t>
  </si>
  <si>
    <t>RU000A102EB0</t>
  </si>
  <si>
    <t>58616725</t>
  </si>
  <si>
    <t>2020-11-27 03:56:41.523</t>
  </si>
  <si>
    <t>RU000A102EC8</t>
  </si>
  <si>
    <t>58473527</t>
  </si>
  <si>
    <t>2020-11-26 15:57:00.096</t>
  </si>
  <si>
    <t>RU000A102E86</t>
  </si>
  <si>
    <t>58558761</t>
  </si>
  <si>
    <t>2020-11-26 15:57:00.08</t>
  </si>
  <si>
    <t>RU000A102ED6</t>
  </si>
  <si>
    <t>58559957</t>
  </si>
  <si>
    <t>2020-11-26 15:57:00.048</t>
  </si>
  <si>
    <t>RU000A102754</t>
  </si>
  <si>
    <t>58028654</t>
  </si>
  <si>
    <t>2020-11-26 15:57:00.012</t>
  </si>
  <si>
    <t>RU000A102AU8</t>
  </si>
  <si>
    <t>58559986</t>
  </si>
  <si>
    <t>2020-11-26 15:56:59.953</t>
  </si>
  <si>
    <t>RU000A102747</t>
  </si>
  <si>
    <t>58028653</t>
  </si>
  <si>
    <t>2020-11-26 15:56:59.933</t>
  </si>
  <si>
    <t>RU000A102739</t>
  </si>
  <si>
    <t>58028652</t>
  </si>
  <si>
    <t>2020-11-26 15:56:59.891</t>
  </si>
  <si>
    <t>RU000A102879</t>
  </si>
  <si>
    <t>57692854</t>
  </si>
  <si>
    <t>2020-11-26 03:52:54.945</t>
  </si>
  <si>
    <t>RU000A102AT0</t>
  </si>
  <si>
    <t>58423518</t>
  </si>
  <si>
    <t>2020-11-26 03:52:54.926</t>
  </si>
  <si>
    <t>RU000A102CU4</t>
  </si>
  <si>
    <t>58375635</t>
  </si>
  <si>
    <t>2020-11-26 03:52:54.887</t>
  </si>
  <si>
    <t>RU000A1017Y4</t>
  </si>
  <si>
    <t>51676711</t>
  </si>
  <si>
    <t>2020-11-25 03:53:22.789</t>
  </si>
  <si>
    <t>RU000A102A56</t>
  </si>
  <si>
    <t>57917658</t>
  </si>
  <si>
    <t>2020-11-25 03:53:22.768</t>
  </si>
  <si>
    <t>34139491</t>
  </si>
  <si>
    <t>2020-11-25 03:53:22.749</t>
  </si>
  <si>
    <t>47160671</t>
  </si>
  <si>
    <t>2020-11-25 03:53:22.715</t>
  </si>
  <si>
    <t>40916176</t>
  </si>
  <si>
    <t>2020-11-25 03:53:22.678</t>
  </si>
  <si>
    <t>38931927</t>
  </si>
  <si>
    <t>2020-11-25 03:53:22.602</t>
  </si>
  <si>
    <t>37287201</t>
  </si>
  <si>
    <t>2020-11-25 03:53:22.581</t>
  </si>
  <si>
    <t>40393783</t>
  </si>
  <si>
    <t>2020-11-25 03:53:22.539</t>
  </si>
  <si>
    <t>RU000A101C22</t>
  </si>
  <si>
    <t>52115291</t>
  </si>
  <si>
    <t>2020-11-25 03:53:22.518</t>
  </si>
  <si>
    <t>39701961</t>
  </si>
  <si>
    <t>2020-11-25 03:53:22.499</t>
  </si>
  <si>
    <t>38541517</t>
  </si>
  <si>
    <t>2020-11-25 03:53:22.478</t>
  </si>
  <si>
    <t>40598565</t>
  </si>
  <si>
    <t>2020-11-25 03:53:22.438</t>
  </si>
  <si>
    <t>43332674</t>
  </si>
  <si>
    <t>2020-11-25 03:53:22.417</t>
  </si>
  <si>
    <t>RU000A100VB8</t>
  </si>
  <si>
    <t>50295927</t>
  </si>
  <si>
    <t>2020-11-25 03:53:22.395</t>
  </si>
  <si>
    <t>39432635</t>
  </si>
  <si>
    <t>2020-11-25 03:53:22.371</t>
  </si>
  <si>
    <t>RU000A102A64</t>
  </si>
  <si>
    <t>57917659</t>
  </si>
  <si>
    <t>2020-11-25 03:53:22.346</t>
  </si>
  <si>
    <t>RU000A1027U1</t>
  </si>
  <si>
    <t>58473518</t>
  </si>
  <si>
    <t>2020-11-24 15:53:05.723</t>
  </si>
  <si>
    <t>RU000A102A80</t>
  </si>
  <si>
    <t>57950598</t>
  </si>
  <si>
    <t>2020-11-24 15:53:05.702</t>
  </si>
  <si>
    <t>RU000A1027H8</t>
  </si>
  <si>
    <t>58473515</t>
  </si>
  <si>
    <t>2020-11-24 15:53:05.661</t>
  </si>
  <si>
    <t>RU000A1027G0</t>
  </si>
  <si>
    <t>58473507</t>
  </si>
  <si>
    <t>2020-11-24 15:53:05.615</t>
  </si>
  <si>
    <t>RU000A102DV0</t>
  </si>
  <si>
    <t>58473526</t>
  </si>
  <si>
    <t>2020-11-24 15:53:05.572</t>
  </si>
  <si>
    <t>RU000A1027J4</t>
  </si>
  <si>
    <t>58473516</t>
  </si>
  <si>
    <t>2020-11-24 15:53:05.533</t>
  </si>
  <si>
    <t>RU000A1029R3</t>
  </si>
  <si>
    <t>58223310</t>
  </si>
  <si>
    <t>2020-11-24 03:52:35.655</t>
  </si>
  <si>
    <t>RU000A1029Q5</t>
  </si>
  <si>
    <t>58223636</t>
  </si>
  <si>
    <t>2020-11-24 03:52:35.592</t>
  </si>
  <si>
    <t>RU000A102A72</t>
  </si>
  <si>
    <t>57950579</t>
  </si>
  <si>
    <t>2020-11-24 03:52:35.549</t>
  </si>
  <si>
    <t>RU000A102B14</t>
  </si>
  <si>
    <t>58051638</t>
  </si>
  <si>
    <t>2020-11-24 03:52:35.528</t>
  </si>
  <si>
    <t>RU000A1029S1</t>
  </si>
  <si>
    <t>58222232</t>
  </si>
  <si>
    <t>2020-11-24 03:52:35.506</t>
  </si>
  <si>
    <t>RU000A102D87</t>
  </si>
  <si>
    <t>58423522</t>
  </si>
  <si>
    <t>2020-11-24 03:52:35.482</t>
  </si>
  <si>
    <t>RU000A102DG1</t>
  </si>
  <si>
    <t>58452228</t>
  </si>
  <si>
    <t>2020-11-24 03:52:35.461</t>
  </si>
  <si>
    <t>RU000A102CA6</t>
  </si>
  <si>
    <t>58428857</t>
  </si>
  <si>
    <t>2020-11-23 15:52:25.067</t>
  </si>
  <si>
    <t>RU000A102A98</t>
  </si>
  <si>
    <t>57950643</t>
  </si>
  <si>
    <t>2020-11-23 15:52:25.047</t>
  </si>
  <si>
    <t>RU000A102BG5</t>
  </si>
  <si>
    <t>58161223</t>
  </si>
  <si>
    <t>2020-11-23 15:52:24.912</t>
  </si>
  <si>
    <t>RU000A1029W3</t>
  </si>
  <si>
    <t>58223632</t>
  </si>
  <si>
    <t>2020-11-21 03:57:23.902</t>
  </si>
  <si>
    <t>RU000A102BS0</t>
  </si>
  <si>
    <t>58219274</t>
  </si>
  <si>
    <t>2020-11-21 03:57:23.855</t>
  </si>
  <si>
    <t>RU000A102BR2</t>
  </si>
  <si>
    <t>58219272</t>
  </si>
  <si>
    <t>2020-11-21 03:57:23.829</t>
  </si>
  <si>
    <t>RU000A102D38</t>
  </si>
  <si>
    <t>58398556</t>
  </si>
  <si>
    <t>2020-11-20 21:17:42.779</t>
  </si>
  <si>
    <t>CND10003XY07</t>
  </si>
  <si>
    <t>58450117</t>
  </si>
  <si>
    <t>Xinjiang Tianfu Group Co., Ltd.</t>
  </si>
  <si>
    <t>2020-11-20 21:17:42.708</t>
  </si>
  <si>
    <t>IRO1SGAZ0001</t>
  </si>
  <si>
    <t>1027084</t>
  </si>
  <si>
    <t>Glass and Gas Co.</t>
  </si>
  <si>
    <t>2020-11-20 21:17:42.671</t>
  </si>
  <si>
    <t>RU000A102DB2</t>
  </si>
  <si>
    <t>58428859</t>
  </si>
  <si>
    <t>2020-11-20 21:17:42.6</t>
  </si>
  <si>
    <t>IRO1VSIN0008</t>
  </si>
  <si>
    <t>11923437</t>
  </si>
  <si>
    <t>Sina Financial and Credit Institute</t>
  </si>
  <si>
    <t>2020-11-20 21:17:42.559</t>
  </si>
  <si>
    <t>IRO1TAIR0008</t>
  </si>
  <si>
    <t>1028957</t>
  </si>
  <si>
    <t>Iran Tire Mfg. Co</t>
  </si>
  <si>
    <t>2020-11-20 21:17:42.498</t>
  </si>
  <si>
    <t>IRO1HSHM0008</t>
  </si>
  <si>
    <t>11241587</t>
  </si>
  <si>
    <t>North Drilling Co</t>
  </si>
  <si>
    <t>2020-11-20 21:17:42.469</t>
  </si>
  <si>
    <t>IRO1NBEH0009</t>
  </si>
  <si>
    <t>3668410</t>
  </si>
  <si>
    <t>Behran Oil Co.</t>
  </si>
  <si>
    <t>2020-11-20 21:17:42.426</t>
  </si>
  <si>
    <t>44433703</t>
  </si>
  <si>
    <t>Proletarsky zavod PJSC</t>
  </si>
  <si>
    <t>2020-11-20 03:56:31.423</t>
  </si>
  <si>
    <t>30295736</t>
  </si>
  <si>
    <t>2020-11-19 15:52:41.485</t>
  </si>
  <si>
    <t>RU000A102AN3</t>
  </si>
  <si>
    <t>58223648</t>
  </si>
  <si>
    <t>2020-11-19 15:52:41.382</t>
  </si>
  <si>
    <t>RU000A1027F2</t>
  </si>
  <si>
    <t>58349057</t>
  </si>
  <si>
    <t>2020-11-19 03:52:51.985</t>
  </si>
  <si>
    <t>40210973</t>
  </si>
  <si>
    <t>Nevskoe Design Bureau Public joint-stock company</t>
  </si>
  <si>
    <t>2020-11-18 03:53:11.121</t>
  </si>
  <si>
    <t>40210976</t>
  </si>
  <si>
    <t>2020-11-18 03:53:11.075</t>
  </si>
  <si>
    <t>RU000A102AV6</t>
  </si>
  <si>
    <t>58116499</t>
  </si>
  <si>
    <t>2020-11-18 03:53:11.037</t>
  </si>
  <si>
    <t>RU000A1027Q9</t>
  </si>
  <si>
    <t>58347704</t>
  </si>
  <si>
    <t>2020-11-17 15:53:13.481</t>
  </si>
  <si>
    <t>RU000A102762</t>
  </si>
  <si>
    <t>58347724</t>
  </si>
  <si>
    <t>2020-11-17 15:53:13.462</t>
  </si>
  <si>
    <t>RU000A1029C5</t>
  </si>
  <si>
    <t>57794147</t>
  </si>
  <si>
    <t>2020-11-17 15:53:13.418</t>
  </si>
  <si>
    <t>RU000A101WE8</t>
  </si>
  <si>
    <t>58347127</t>
  </si>
  <si>
    <t>2020-11-17 15:53:13.342</t>
  </si>
  <si>
    <t>RU000A1027S5</t>
  </si>
  <si>
    <t>58077780</t>
  </si>
  <si>
    <t>2020-11-17 15:53:13.32</t>
  </si>
  <si>
    <t>RU000A1029E1</t>
  </si>
  <si>
    <t>57794148</t>
  </si>
  <si>
    <t>2020-11-17 15:53:13.274</t>
  </si>
  <si>
    <t>CND10003VDN6</t>
  </si>
  <si>
    <t>58025993</t>
  </si>
  <si>
    <t>2020-11-16 15:52:20.129</t>
  </si>
  <si>
    <t>IRO1GMEL0009</t>
  </si>
  <si>
    <t>10660814</t>
  </si>
  <si>
    <t>Melli Industrial Group</t>
  </si>
  <si>
    <t>2020-11-16 15:52:20.046</t>
  </si>
  <si>
    <t>CND10003V8P9</t>
  </si>
  <si>
    <t>58159492</t>
  </si>
  <si>
    <t>2020-11-16 15:52:20.027</t>
  </si>
  <si>
    <t>CND10003V8N4</t>
  </si>
  <si>
    <t>58159491</t>
  </si>
  <si>
    <t>2020-11-16 15:52:20.002</t>
  </si>
  <si>
    <t>RU000A102C13</t>
  </si>
  <si>
    <t>58252021</t>
  </si>
  <si>
    <t>2020-11-14 03:56:37.766</t>
  </si>
  <si>
    <t>RU000A102BZ5</t>
  </si>
  <si>
    <t>58251999</t>
  </si>
  <si>
    <t>2020-11-14 03:56:37.743</t>
  </si>
  <si>
    <t>RU000A102C62</t>
  </si>
  <si>
    <t>58289342</t>
  </si>
  <si>
    <t>United Aircraft Corporation PJSC</t>
  </si>
  <si>
    <t>2020-11-13 15:52:34.913</t>
  </si>
  <si>
    <t>RU000A1027P1</t>
  </si>
  <si>
    <t>58194342</t>
  </si>
  <si>
    <t>2020-11-12 03:53:08.902</t>
  </si>
  <si>
    <t>RU000A0NH251</t>
  </si>
  <si>
    <t>58194380</t>
  </si>
  <si>
    <t>2020-11-12 03:53:08.881</t>
  </si>
  <si>
    <t>RU000A1027M8</t>
  </si>
  <si>
    <t>58194339</t>
  </si>
  <si>
    <t>2020-11-12 03:53:08.856</t>
  </si>
  <si>
    <t>RU000A1027N6</t>
  </si>
  <si>
    <t>58194341</t>
  </si>
  <si>
    <t>2020-11-12 03:53:08.825</t>
  </si>
  <si>
    <t>RU000A101Z74</t>
  </si>
  <si>
    <t>56337935</t>
  </si>
  <si>
    <t>2020-11-11 15:52:59.739</t>
  </si>
  <si>
    <t>RU000A1029X1</t>
  </si>
  <si>
    <t>58223631</t>
  </si>
  <si>
    <t>2020-11-11 03:52:39.964</t>
  </si>
  <si>
    <t>RU000A1026P3</t>
  </si>
  <si>
    <t>57526194</t>
  </si>
  <si>
    <t>2020-11-10 03:52:26.929</t>
  </si>
  <si>
    <t>RU000A1026M0</t>
  </si>
  <si>
    <t>57526192</t>
  </si>
  <si>
    <t>2020-11-10 03:52:26.909</t>
  </si>
  <si>
    <t>RU000A102713</t>
  </si>
  <si>
    <t>57553443</t>
  </si>
  <si>
    <t>2020-11-10 03:52:26.892</t>
  </si>
  <si>
    <t>RU000A102BH3</t>
  </si>
  <si>
    <t>58167417</t>
  </si>
  <si>
    <t>Post Bank Public joint-stock company</t>
  </si>
  <si>
    <t>2020-11-10 03:52:26.816</t>
  </si>
  <si>
    <t>RU000A102689</t>
  </si>
  <si>
    <t>57423999</t>
  </si>
  <si>
    <t>2020-11-10 03:52:26.755</t>
  </si>
  <si>
    <t>RU000A100QF9</t>
  </si>
  <si>
    <t>49524786</t>
  </si>
  <si>
    <t>2020-11-10 03:52:26.689</t>
  </si>
  <si>
    <t>RU000A1026N8</t>
  </si>
  <si>
    <t>57526193</t>
  </si>
  <si>
    <t>2020-11-10 03:52:26.67</t>
  </si>
  <si>
    <t>RU000A100V87</t>
  </si>
  <si>
    <t>50267930</t>
  </si>
  <si>
    <t>2020-11-09 03:52:48.513</t>
  </si>
  <si>
    <t>RU000A0NH236</t>
  </si>
  <si>
    <t>57641078</t>
  </si>
  <si>
    <t>2020-11-07 03:57:30.892</t>
  </si>
  <si>
    <t>RU000A0NH244</t>
  </si>
  <si>
    <t>57644197</t>
  </si>
  <si>
    <t>2020-11-06 15:57:15.533</t>
  </si>
  <si>
    <t>RU000A102BE0</t>
  </si>
  <si>
    <t>58051639</t>
  </si>
  <si>
    <t>2020-11-06 03:55:39.015</t>
  </si>
  <si>
    <t>RU000A1026Q1</t>
  </si>
  <si>
    <t>57526195</t>
  </si>
  <si>
    <t>2020-11-06 03:55:38.991</t>
  </si>
  <si>
    <t>RU000A1028K0</t>
  </si>
  <si>
    <t>57952030</t>
  </si>
  <si>
    <t>2020-11-06 03:55:38.946</t>
  </si>
  <si>
    <t>RU000A1027A3</t>
  </si>
  <si>
    <t>57794149</t>
  </si>
  <si>
    <t>2020-11-06 03:55:38.907</t>
  </si>
  <si>
    <t>RU000A1028J2</t>
  </si>
  <si>
    <t>57691271</t>
  </si>
  <si>
    <t>2020-11-06 03:55:38.877</t>
  </si>
  <si>
    <t>RU000A1025K6</t>
  </si>
  <si>
    <t>57341874</t>
  </si>
  <si>
    <t>2020-11-06 03:55:38.851</t>
  </si>
  <si>
    <t>RU000A102AR4</t>
  </si>
  <si>
    <t>57984252</t>
  </si>
  <si>
    <t>2020-11-05 15:52:48.423</t>
  </si>
  <si>
    <t>ZW0009011652</t>
  </si>
  <si>
    <t>817707</t>
  </si>
  <si>
    <t>Bindura Nickel Corporation Ltd</t>
  </si>
  <si>
    <t>2020-11-04 15:52:50.708</t>
  </si>
  <si>
    <t>RU000A1012R9</t>
  </si>
  <si>
    <t>51195393</t>
  </si>
  <si>
    <t>2020-11-04 15:52:50.665</t>
  </si>
  <si>
    <t>RU000A102820</t>
  </si>
  <si>
    <t>57640284</t>
  </si>
  <si>
    <t>2020-11-04 07:32:15.764</t>
  </si>
  <si>
    <t>RU000A102846</t>
  </si>
  <si>
    <t>57641034</t>
  </si>
  <si>
    <t>2020-11-04 07:32:15.745</t>
  </si>
  <si>
    <t>RU000A102838</t>
  </si>
  <si>
    <t>57640295</t>
  </si>
  <si>
    <t>2020-11-04 07:32:15.705</t>
  </si>
  <si>
    <t>RU000A0NH2F0</t>
  </si>
  <si>
    <t>58028651</t>
  </si>
  <si>
    <t>2020-11-03 07:28:42.484</t>
  </si>
  <si>
    <t>RU000A0JQQJ8</t>
  </si>
  <si>
    <t>33878467</t>
  </si>
  <si>
    <t>2020-11-02 03:52:51.253</t>
  </si>
  <si>
    <t>RU000A100NB5</t>
  </si>
  <si>
    <t>49239206</t>
  </si>
  <si>
    <t>2020-10-31 15:57:24.344</t>
  </si>
  <si>
    <t>XS0029441622</t>
  </si>
  <si>
    <t>49322</t>
  </si>
  <si>
    <t>2020-10-30 21:15:33.035</t>
  </si>
  <si>
    <t>38348073</t>
  </si>
  <si>
    <t>2020-10-30 21:15:33.013</t>
  </si>
  <si>
    <t>US693300AT22</t>
  </si>
  <si>
    <t>1077183</t>
  </si>
  <si>
    <t>693300AT2</t>
  </si>
  <si>
    <t>2020-10-30 21:15:32.992</t>
  </si>
  <si>
    <t>IR1100030011</t>
  </si>
  <si>
    <t>1256310</t>
  </si>
  <si>
    <t>Iran Tyre Co</t>
  </si>
  <si>
    <t>2020-10-30 21:15:32.968</t>
  </si>
  <si>
    <t>RU0006752938</t>
  </si>
  <si>
    <t>972073</t>
  </si>
  <si>
    <t>Izhevski mashinostroitelnei zavod JSC</t>
  </si>
  <si>
    <t>2020-10-30 21:15:32.947</t>
  </si>
  <si>
    <t>RU000A101WT6</t>
  </si>
  <si>
    <t>56110217</t>
  </si>
  <si>
    <t>2020-10-30 21:15:32.882</t>
  </si>
  <si>
    <t>RU000A100PA2</t>
  </si>
  <si>
    <t>49345888</t>
  </si>
  <si>
    <t>2020-10-30 21:15:32.79</t>
  </si>
  <si>
    <t>RU000A100NV3</t>
  </si>
  <si>
    <t>49280498</t>
  </si>
  <si>
    <t>2020-10-30 21:15:32.773</t>
  </si>
  <si>
    <t>RU000A0NH1F2</t>
  </si>
  <si>
    <t>49085855</t>
  </si>
  <si>
    <t>2020-10-30 21:15:32.748</t>
  </si>
  <si>
    <t>46412662</t>
  </si>
  <si>
    <t>2020-10-30 21:15:32.702</t>
  </si>
  <si>
    <t>42746031</t>
  </si>
  <si>
    <t>2020-10-30 21:15:32.661</t>
  </si>
  <si>
    <t>27898883</t>
  </si>
  <si>
    <t>2020-10-30 21:15:32.602</t>
  </si>
  <si>
    <t>26539990</t>
  </si>
  <si>
    <t>2020-10-30 21:15:32.582</t>
  </si>
  <si>
    <t>IRO1FAIR0004</t>
  </si>
  <si>
    <t>12672041</t>
  </si>
  <si>
    <t>Iran Alloy Steel Co</t>
  </si>
  <si>
    <t>2020-10-30 21:15:32.502</t>
  </si>
  <si>
    <t>IRO1BSTE0000</t>
  </si>
  <si>
    <t>10644205</t>
  </si>
  <si>
    <t>International Construction Development Co</t>
  </si>
  <si>
    <t>2020-10-30 21:15:32.477</t>
  </si>
  <si>
    <t>IRO1GHOP0000</t>
  </si>
  <si>
    <t>10189152</t>
  </si>
  <si>
    <t>Ghoveh Pars Mfg. Co</t>
  </si>
  <si>
    <t>2020-10-30 21:15:32.457</t>
  </si>
  <si>
    <t>26846324</t>
  </si>
  <si>
    <t>Inturtransavto</t>
  </si>
  <si>
    <t>2020-10-30 21:15:32.439</t>
  </si>
  <si>
    <t>DE0004039409</t>
  </si>
  <si>
    <t>734869</t>
  </si>
  <si>
    <t>2020-10-30 21:15:32.419</t>
  </si>
  <si>
    <t>DE0001896413</t>
  </si>
  <si>
    <t>586847</t>
  </si>
  <si>
    <t>2020-10-30 21:15:32.403</t>
  </si>
  <si>
    <t>VEP36300AK08</t>
  </si>
  <si>
    <t>991151</t>
  </si>
  <si>
    <t>2020-10-30 21:15:32.386</t>
  </si>
  <si>
    <t>USP97497CB87</t>
  </si>
  <si>
    <t>81320</t>
  </si>
  <si>
    <t>2020-10-30 21:15:32.367</t>
  </si>
  <si>
    <t>XS0032474149</t>
  </si>
  <si>
    <t>2048660</t>
  </si>
  <si>
    <t>2020-10-30 21:15:32.348</t>
  </si>
  <si>
    <t>RU000A101BS2</t>
  </si>
  <si>
    <t>57847793</t>
  </si>
  <si>
    <t>2020-10-30 21:15:32.312</t>
  </si>
  <si>
    <t>RU000A101NX7</t>
  </si>
  <si>
    <t>54892531</t>
  </si>
  <si>
    <t>2020-10-30 21:15:32.267</t>
  </si>
  <si>
    <t>RU000A0NH1C9</t>
  </si>
  <si>
    <t>48983165</t>
  </si>
  <si>
    <t>2020-10-30 21:15:32.222</t>
  </si>
  <si>
    <t>48736082</t>
  </si>
  <si>
    <t>2020-10-30 21:15:32.202</t>
  </si>
  <si>
    <t>48619507</t>
  </si>
  <si>
    <t>2020-10-30 21:15:32.181</t>
  </si>
  <si>
    <t>47571425</t>
  </si>
  <si>
    <t>2020-10-30 21:15:32.157</t>
  </si>
  <si>
    <t>28638362</t>
  </si>
  <si>
    <t>2020-10-30 21:15:32.058</t>
  </si>
  <si>
    <t>755962</t>
  </si>
  <si>
    <t>2020-10-30 21:15:31.878</t>
  </si>
  <si>
    <t>IRO1BENN0001</t>
  </si>
  <si>
    <t>1581591</t>
  </si>
  <si>
    <t>Behnoush Iran Co</t>
  </si>
  <si>
    <t>2020-10-30 21:15:31.858</t>
  </si>
  <si>
    <t>IRO1TMEL0004</t>
  </si>
  <si>
    <t>11669672</t>
  </si>
  <si>
    <t>Tosee Melli Investment Co.</t>
  </si>
  <si>
    <t>2020-10-30 21:15:31.828</t>
  </si>
  <si>
    <t>CND10002RWL0</t>
  </si>
  <si>
    <t>53288631</t>
  </si>
  <si>
    <t>2020-10-30 21:15:31.805</t>
  </si>
  <si>
    <t>CND100027KJ0</t>
  </si>
  <si>
    <t>47625046</t>
  </si>
  <si>
    <t>2020-10-30 21:15:31.785</t>
  </si>
  <si>
    <t>31804497</t>
  </si>
  <si>
    <t>Xinjiang Production and Construction Corps Construction &amp; Engineering (Group) Co Ltd</t>
  </si>
  <si>
    <t>2020-10-30 21:15:31.762</t>
  </si>
  <si>
    <t>29287830</t>
  </si>
  <si>
    <t>2020-10-30 21:15:31.743</t>
  </si>
  <si>
    <t>21929833</t>
  </si>
  <si>
    <t>2020-10-30 21:15:31.724</t>
  </si>
  <si>
    <t>DE0001960847</t>
  </si>
  <si>
    <t>836764</t>
  </si>
  <si>
    <t>2020-10-30 21:15:31.706</t>
  </si>
  <si>
    <t>XS0029445458</t>
  </si>
  <si>
    <t>883513</t>
  </si>
  <si>
    <t>2020-10-30 21:15:31.684</t>
  </si>
  <si>
    <t>845236</t>
  </si>
  <si>
    <t>2020-10-30 21:15:31.655</t>
  </si>
  <si>
    <t>XS0029450961</t>
  </si>
  <si>
    <t>749499</t>
  </si>
  <si>
    <t>2020-10-30 21:15:31.63</t>
  </si>
  <si>
    <t>XS0029461141</t>
  </si>
  <si>
    <t>4253856</t>
  </si>
  <si>
    <t>2020-10-30 21:15:31.605</t>
  </si>
  <si>
    <t>XS0032471392</t>
  </si>
  <si>
    <t>2054133</t>
  </si>
  <si>
    <t>2020-10-30 21:15:31.585</t>
  </si>
  <si>
    <t>XS0035941813</t>
  </si>
  <si>
    <t>2051470</t>
  </si>
  <si>
    <t>2020-10-30 21:15:31.566</t>
  </si>
  <si>
    <t>21926558</t>
  </si>
  <si>
    <t>2020-10-30 21:15:31.547</t>
  </si>
  <si>
    <t>RU000A0JRBY7</t>
  </si>
  <si>
    <t>18123179</t>
  </si>
  <si>
    <t>2020-10-30 21:15:31.518</t>
  </si>
  <si>
    <t>RU000A0NH228</t>
  </si>
  <si>
    <t>57526882</t>
  </si>
  <si>
    <t>2020-10-30 21:15:31.437</t>
  </si>
  <si>
    <t>RU000A101XZ1</t>
  </si>
  <si>
    <t>56636014</t>
  </si>
  <si>
    <t>2020-10-30 21:15:31.416</t>
  </si>
  <si>
    <t>RU000A1017B2</t>
  </si>
  <si>
    <t>51732909</t>
  </si>
  <si>
    <t>2020-10-30 21:15:31.344</t>
  </si>
  <si>
    <t>RU000A1017Q0</t>
  </si>
  <si>
    <t>51697973</t>
  </si>
  <si>
    <t>2020-10-30 21:15:31.32</t>
  </si>
  <si>
    <t>RU000A100NY7</t>
  </si>
  <si>
    <t>49293528</t>
  </si>
  <si>
    <t>2020-10-30 21:15:31.263</t>
  </si>
  <si>
    <t>48609040</t>
  </si>
  <si>
    <t>2020-10-30 21:15:31.229</t>
  </si>
  <si>
    <t>48370002</t>
  </si>
  <si>
    <t>2020-10-30 21:15:31.205</t>
  </si>
  <si>
    <t>47970067</t>
  </si>
  <si>
    <t>2020-10-30 21:15:31.186</t>
  </si>
  <si>
    <t>47163060</t>
  </si>
  <si>
    <t>2020-10-30 21:15:31.164</t>
  </si>
  <si>
    <t>44666145</t>
  </si>
  <si>
    <t>2020-10-30 21:15:31.146</t>
  </si>
  <si>
    <t>41709259</t>
  </si>
  <si>
    <t>2020-10-30 21:15:31.111</t>
  </si>
  <si>
    <t>RU000A0JXCP1</t>
  </si>
  <si>
    <t>35616795</t>
  </si>
  <si>
    <t>2020-10-30 21:15:25.294</t>
  </si>
  <si>
    <t>RU000A0JX5R4</t>
  </si>
  <si>
    <t>35411103</t>
  </si>
  <si>
    <t>Region Ipoteka Aktsionernoye obschestvo</t>
  </si>
  <si>
    <t>2020-10-30 21:15:25.275</t>
  </si>
  <si>
    <t>IRO7VHYP0003</t>
  </si>
  <si>
    <t>19732272</t>
  </si>
  <si>
    <t>Ehya Sepahan Co</t>
  </si>
  <si>
    <t>2020-10-30 21:15:24.97</t>
  </si>
  <si>
    <t>IRO7PMMP0008</t>
  </si>
  <si>
    <t>18382799</t>
  </si>
  <si>
    <t>Mamasani Petrochemical Co</t>
  </si>
  <si>
    <t>2020-10-30 21:15:24.949</t>
  </si>
  <si>
    <t>IRO3BGHZ0001</t>
  </si>
  <si>
    <t>13249697</t>
  </si>
  <si>
    <t>Baghmisheh</t>
  </si>
  <si>
    <t>2020-10-30 21:15:24.927</t>
  </si>
  <si>
    <t>CND10002TBL0</t>
  </si>
  <si>
    <t>50333363</t>
  </si>
  <si>
    <t>2020-10-30 21:15:24.907</t>
  </si>
  <si>
    <t>41326057</t>
  </si>
  <si>
    <t>2020-10-30 21:15:24.889</t>
  </si>
  <si>
    <t>37331403</t>
  </si>
  <si>
    <t>2020-10-30 21:15:24.872</t>
  </si>
  <si>
    <t>43182521</t>
  </si>
  <si>
    <t>2020-10-30 21:15:24.855</t>
  </si>
  <si>
    <t>3561704</t>
  </si>
  <si>
    <t>2020-10-30 21:15:24.836</t>
  </si>
  <si>
    <t>19328619</t>
  </si>
  <si>
    <t>2020-10-30 21:15:24.815</t>
  </si>
  <si>
    <t>40917640</t>
  </si>
  <si>
    <t>2020-10-30 21:15:24.693</t>
  </si>
  <si>
    <t>26878716</t>
  </si>
  <si>
    <t>2020-10-30 21:15:24.674</t>
  </si>
  <si>
    <t>CND100011824</t>
  </si>
  <si>
    <t>22700147</t>
  </si>
  <si>
    <t>2020-10-30 21:15:24.478</t>
  </si>
  <si>
    <t>CU0007259260</t>
  </si>
  <si>
    <t>725926</t>
  </si>
  <si>
    <t>2020-10-30 21:15:24.455</t>
  </si>
  <si>
    <t>VEV0019510A6</t>
  </si>
  <si>
    <t>960846</t>
  </si>
  <si>
    <t>Corporacion Industrial De Energia</t>
  </si>
  <si>
    <t>2020-10-30 21:15:24.434</t>
  </si>
  <si>
    <t>XS0032493875</t>
  </si>
  <si>
    <t>924944</t>
  </si>
  <si>
    <t>2020-10-30 21:15:24.413</t>
  </si>
  <si>
    <t>14139396</t>
  </si>
  <si>
    <t>2020-10-30 21:15:24.392</t>
  </si>
  <si>
    <t>RU000A101400</t>
  </si>
  <si>
    <t>51342674</t>
  </si>
  <si>
    <t>2020-10-30 21:15:24.35</t>
  </si>
  <si>
    <t>RU000A100PW6</t>
  </si>
  <si>
    <t>49448789</t>
  </si>
  <si>
    <t>2020-10-30 21:15:24.33</t>
  </si>
  <si>
    <t>48249838</t>
  </si>
  <si>
    <t>2020-10-30 21:15:24.312</t>
  </si>
  <si>
    <t>43607253</t>
  </si>
  <si>
    <t>2020-10-30 21:15:24.294</t>
  </si>
  <si>
    <t>35610817</t>
  </si>
  <si>
    <t>2020-10-30 21:15:24.183</t>
  </si>
  <si>
    <t>26898385</t>
  </si>
  <si>
    <t>2020-10-30 21:15:24.143</t>
  </si>
  <si>
    <t>IRO1AZMA0003</t>
  </si>
  <si>
    <t>3668385</t>
  </si>
  <si>
    <t>Azmayesh Industrial Factories Co</t>
  </si>
  <si>
    <t>2020-10-30 21:15:23.941</t>
  </si>
  <si>
    <t>IRO8IPTT0002</t>
  </si>
  <si>
    <t>18380763</t>
  </si>
  <si>
    <t>Iranian Petrochemical Investment Co</t>
  </si>
  <si>
    <t>2020-10-30 21:15:23.921</t>
  </si>
  <si>
    <t>1776890</t>
  </si>
  <si>
    <t>2020-10-30 21:15:23.902</t>
  </si>
  <si>
    <t>IRO1NILO0004</t>
  </si>
  <si>
    <t>1027090</t>
  </si>
  <si>
    <t>Nilou Tile Co.</t>
  </si>
  <si>
    <t>2020-10-30 21:15:23.885</t>
  </si>
  <si>
    <t>VEV00008VCZ9</t>
  </si>
  <si>
    <t>1305026</t>
  </si>
  <si>
    <t>2020-10-30 21:15:23.868</t>
  </si>
  <si>
    <t>XS0029448395</t>
  </si>
  <si>
    <t>49714</t>
  </si>
  <si>
    <t>2020-10-30 21:15:23.831</t>
  </si>
  <si>
    <t>XS0029436978</t>
  </si>
  <si>
    <t>414136</t>
  </si>
  <si>
    <t>2020-10-30 21:15:23.813</t>
  </si>
  <si>
    <t>38350241</t>
  </si>
  <si>
    <t>2020-10-30 21:15:23.793</t>
  </si>
  <si>
    <t>GB0049274060</t>
  </si>
  <si>
    <t>990947</t>
  </si>
  <si>
    <t>2020-10-30 21:15:18.109</t>
  </si>
  <si>
    <t>US693300AK13</t>
  </si>
  <si>
    <t>543030</t>
  </si>
  <si>
    <t>693300AK1</t>
  </si>
  <si>
    <t>2020-10-30 21:15:18.086</t>
  </si>
  <si>
    <t>38268743</t>
  </si>
  <si>
    <t>2020-10-30 21:15:18.062</t>
  </si>
  <si>
    <t>35441181</t>
  </si>
  <si>
    <t>2020-10-30 21:15:18.036</t>
  </si>
  <si>
    <t>4495582</t>
  </si>
  <si>
    <t>Barnaultransmash JSHC</t>
  </si>
  <si>
    <t>2020-10-30 21:15:18.015</t>
  </si>
  <si>
    <t>RU000A0NH293</t>
  </si>
  <si>
    <t>57424036</t>
  </si>
  <si>
    <t>2020-10-30 21:15:17.991</t>
  </si>
  <si>
    <t>48678150</t>
  </si>
  <si>
    <t>2020-10-30 21:15:17.91</t>
  </si>
  <si>
    <t>43896549</t>
  </si>
  <si>
    <t>ALMAZ-ANTEY Air Defense Concern Main System Design Bureau named by Academician A.A. Raspletin OJSC</t>
  </si>
  <si>
    <t>2020-10-30 21:15:17.87</t>
  </si>
  <si>
    <t>43448073</t>
  </si>
  <si>
    <t>GLOBEX Commercial Bank JSC</t>
  </si>
  <si>
    <t>2020-10-30 21:15:17.826</t>
  </si>
  <si>
    <t>42356127</t>
  </si>
  <si>
    <t>2020-10-30 21:15:17.786</t>
  </si>
  <si>
    <t>29061520</t>
  </si>
  <si>
    <t>2020-10-30 21:15:17.748</t>
  </si>
  <si>
    <t>RU000A0JTJC2</t>
  </si>
  <si>
    <t>20449394</t>
  </si>
  <si>
    <t>2020-10-30 21:15:17.683</t>
  </si>
  <si>
    <t>IRO1SHSI0001</t>
  </si>
  <si>
    <t>3663804</t>
  </si>
  <si>
    <t>Sina Chemical Industries Co (SCIC)</t>
  </si>
  <si>
    <t>2020-10-30 21:15:17.592</t>
  </si>
  <si>
    <t>2258554</t>
  </si>
  <si>
    <t>2020-10-30 21:15:17.565</t>
  </si>
  <si>
    <t>IRO7DANP0005</t>
  </si>
  <si>
    <t>18379118</t>
  </si>
  <si>
    <t>Danayan Pars Investment Company</t>
  </si>
  <si>
    <t>2020-10-30 21:15:17.545</t>
  </si>
  <si>
    <t>CND10003QXY1</t>
  </si>
  <si>
    <t>57337930</t>
  </si>
  <si>
    <t>2020-10-30 21:15:17.527</t>
  </si>
  <si>
    <t>56729666</t>
  </si>
  <si>
    <t>Xinjiang Beixin Road &amp; Bridge Group Co Ltd</t>
  </si>
  <si>
    <t>2020-10-30 21:15:17.502</t>
  </si>
  <si>
    <t>CND10003J6V7</t>
  </si>
  <si>
    <t>56380379</t>
  </si>
  <si>
    <t>2020-10-30 21:15:17.484</t>
  </si>
  <si>
    <t>725655</t>
  </si>
  <si>
    <t>049141104</t>
  </si>
  <si>
    <t>2020-10-30 21:15:17.465</t>
  </si>
  <si>
    <t>DE0004118104</t>
  </si>
  <si>
    <t>117512</t>
  </si>
  <si>
    <t>2020-10-30 21:15:17.444</t>
  </si>
  <si>
    <t>XS0029455259</t>
  </si>
  <si>
    <t>924814</t>
  </si>
  <si>
    <t>2020-10-30 21:15:17.422</t>
  </si>
  <si>
    <t>XS0035939320</t>
  </si>
  <si>
    <t>634834</t>
  </si>
  <si>
    <t>2020-10-30 21:15:17.403</t>
  </si>
  <si>
    <t>38292641</t>
  </si>
  <si>
    <t>2020-10-30 21:15:17.381</t>
  </si>
  <si>
    <t>XS0029436200</t>
  </si>
  <si>
    <t>2971478</t>
  </si>
  <si>
    <t>2020-10-30 21:15:17.363</t>
  </si>
  <si>
    <t>RU000A1021P4</t>
  </si>
  <si>
    <t>56674157</t>
  </si>
  <si>
    <t>2020-10-30 21:15:17.264</t>
  </si>
  <si>
    <t>RU000A101F86</t>
  </si>
  <si>
    <t>52638251</t>
  </si>
  <si>
    <t>2020-10-30 21:15:17.2</t>
  </si>
  <si>
    <t>43359534</t>
  </si>
  <si>
    <t>2020-10-30 21:15:17.12</t>
  </si>
  <si>
    <t>41380680</t>
  </si>
  <si>
    <t>2020-10-30 21:15:17.047</t>
  </si>
  <si>
    <t>IR1100080016</t>
  </si>
  <si>
    <t>40457878</t>
  </si>
  <si>
    <t>Boroujerd Textile Co.</t>
  </si>
  <si>
    <t>2020-10-30 21:15:16.908</t>
  </si>
  <si>
    <t>IRO1ALTK0000</t>
  </si>
  <si>
    <t>3668390</t>
  </si>
  <si>
    <t>Alumtek Corp.</t>
  </si>
  <si>
    <t>2020-10-30 21:15:16.888</t>
  </si>
  <si>
    <t>IRO7TRKP0001</t>
  </si>
  <si>
    <t>19558222</t>
  </si>
  <si>
    <t>Abadgaran Kish</t>
  </si>
  <si>
    <t>2020-10-30 21:15:16.87</t>
  </si>
  <si>
    <t>IRO7STNP0007</t>
  </si>
  <si>
    <t>19174074</t>
  </si>
  <si>
    <t>Golestan Petro</t>
  </si>
  <si>
    <t>2020-10-30 21:15:16.847</t>
  </si>
  <si>
    <t>IRO7KZIP0004</t>
  </si>
  <si>
    <t>18382753</t>
  </si>
  <si>
    <t>Asia Gold Mine</t>
  </si>
  <si>
    <t>2020-10-30 21:15:16.83</t>
  </si>
  <si>
    <t>IRO1SKRN0000</t>
  </si>
  <si>
    <t>10301927</t>
  </si>
  <si>
    <t>Karoon Cement Co</t>
  </si>
  <si>
    <t>2020-10-30 21:15:16.811</t>
  </si>
  <si>
    <t>IRO1SKHS0007</t>
  </si>
  <si>
    <t>10301920</t>
  </si>
  <si>
    <t>Khash Cement Co</t>
  </si>
  <si>
    <t>2020-10-30 21:15:16.792</t>
  </si>
  <si>
    <t>UA4000122014</t>
  </si>
  <si>
    <t>14614593</t>
  </si>
  <si>
    <t>2020-10-30 21:15:16.775</t>
  </si>
  <si>
    <t>DE0001896561</t>
  </si>
  <si>
    <t>586895</t>
  </si>
  <si>
    <t>2020-10-30 21:15:16.758</t>
  </si>
  <si>
    <t>DE0001340008</t>
  </si>
  <si>
    <t>522717</t>
  </si>
  <si>
    <t>2020-10-30 21:15:16.736</t>
  </si>
  <si>
    <t>DE0001896462</t>
  </si>
  <si>
    <t>586856</t>
  </si>
  <si>
    <t>2020-10-30 21:15:16.714</t>
  </si>
  <si>
    <t>883214</t>
  </si>
  <si>
    <t>2020-10-30 21:15:16.692</t>
  </si>
  <si>
    <t>XS0035040269</t>
  </si>
  <si>
    <t>673561</t>
  </si>
  <si>
    <t>2020-10-30 21:15:16.676</t>
  </si>
  <si>
    <t>4213464</t>
  </si>
  <si>
    <t>2020-10-30 21:15:16.655</t>
  </si>
  <si>
    <t>38268768</t>
  </si>
  <si>
    <t>2020-10-30 21:15:16.637</t>
  </si>
  <si>
    <t>RU000A0JU3X0</t>
  </si>
  <si>
    <t>22243706</t>
  </si>
  <si>
    <t>2020-10-30 21:15:16.593</t>
  </si>
  <si>
    <t>SY0021100217</t>
  </si>
  <si>
    <t>28301830</t>
  </si>
  <si>
    <t>Al-Aqeelah Takaful Insurance</t>
  </si>
  <si>
    <t>2020-10-30 21:15:16.574</t>
  </si>
  <si>
    <t>RU000A101BP8</t>
  </si>
  <si>
    <t>57722307</t>
  </si>
  <si>
    <t>2020-10-30 21:15:16.554</t>
  </si>
  <si>
    <t>RU000A101A81</t>
  </si>
  <si>
    <t>52426834</t>
  </si>
  <si>
    <t>2020-10-30 21:15:16.535</t>
  </si>
  <si>
    <t>26395689</t>
  </si>
  <si>
    <t>2020-10-30 21:15:16.45</t>
  </si>
  <si>
    <t>IRO1KDPS0004</t>
  </si>
  <si>
    <t>3668443</t>
  </si>
  <si>
    <t>Khorak Dame Pars</t>
  </si>
  <si>
    <t>2020-10-30 21:15:16.405</t>
  </si>
  <si>
    <t>IRO1ARJC0006</t>
  </si>
  <si>
    <t>1255886</t>
  </si>
  <si>
    <t>Arj Manufacturing Co</t>
  </si>
  <si>
    <t>2020-10-30 21:15:16.386</t>
  </si>
  <si>
    <t>IRO1SKOR0009</t>
  </si>
  <si>
    <t>11939370</t>
  </si>
  <si>
    <t>Kordestan Cement Co.</t>
  </si>
  <si>
    <t>2020-10-30 21:15:16.369</t>
  </si>
  <si>
    <t>IRO1GCOZ0003</t>
  </si>
  <si>
    <t>10653325</t>
  </si>
  <si>
    <t>Glucosan Co</t>
  </si>
  <si>
    <t>2020-10-30 21:15:16.349</t>
  </si>
  <si>
    <t>IRO1KAFF0004</t>
  </si>
  <si>
    <t>1028951</t>
  </si>
  <si>
    <t>Kaf Co.</t>
  </si>
  <si>
    <t>2020-10-30 21:15:16.328</t>
  </si>
  <si>
    <t>CND100023FM3</t>
  </si>
  <si>
    <t>46873401</t>
  </si>
  <si>
    <t>2020-10-30 21:15:16.302</t>
  </si>
  <si>
    <t>23778038</t>
  </si>
  <si>
    <t>Sevastopolskyi morskyi zavod PJSC</t>
  </si>
  <si>
    <t>2020-10-30 21:15:16.283</t>
  </si>
  <si>
    <t>VEV00014AHA3</t>
  </si>
  <si>
    <t>1004373</t>
  </si>
  <si>
    <t>2020-10-30 21:15:16.263</t>
  </si>
  <si>
    <t>XS0029441036</t>
  </si>
  <si>
    <t>1583674</t>
  </si>
  <si>
    <t>2020-10-30 21:15:16.243</t>
  </si>
  <si>
    <t>RU000A0JRZF5</t>
  </si>
  <si>
    <t>52972305</t>
  </si>
  <si>
    <t>The Russian mobile vehicle engineering instituteJoint Stock Company</t>
  </si>
  <si>
    <t>2020-10-30 21:15:16.224</t>
  </si>
  <si>
    <t>RU000A0E6ZX0</t>
  </si>
  <si>
    <t>2306266</t>
  </si>
  <si>
    <t>2020-10-30 21:15:16.206</t>
  </si>
  <si>
    <t>RU000A102358</t>
  </si>
  <si>
    <t>56930794</t>
  </si>
  <si>
    <t>2020-10-30 21:15:16.16</t>
  </si>
  <si>
    <t>RU000A101XW8</t>
  </si>
  <si>
    <t>56213378</t>
  </si>
  <si>
    <t>2020-10-30 21:15:16.139</t>
  </si>
  <si>
    <t>RU000A101BX2</t>
  </si>
  <si>
    <t>52096428</t>
  </si>
  <si>
    <t>2020-10-30 21:15:16.12</t>
  </si>
  <si>
    <t>RU000A1010V5</t>
  </si>
  <si>
    <t>51097447</t>
  </si>
  <si>
    <t>2020-10-30 21:15:16.079</t>
  </si>
  <si>
    <t>27715414</t>
  </si>
  <si>
    <t>2020-10-30 21:15:10.695</t>
  </si>
  <si>
    <t>27355053</t>
  </si>
  <si>
    <t>2020-10-30 21:15:10.67</t>
  </si>
  <si>
    <t>IRO7SFSP0008</t>
  </si>
  <si>
    <t>19658408</t>
  </si>
  <si>
    <t>Ahvaz Farsit</t>
  </si>
  <si>
    <t>2020-10-30 21:15:10.563</t>
  </si>
  <si>
    <t>IRO7GHMP0006</t>
  </si>
  <si>
    <t>19558209</t>
  </si>
  <si>
    <t>Ghavamin Bank</t>
  </si>
  <si>
    <t>2020-10-30 21:15:10.546</t>
  </si>
  <si>
    <t>IRO1NIRO0008</t>
  </si>
  <si>
    <t>10665444</t>
  </si>
  <si>
    <t>Nirou Trans Co</t>
  </si>
  <si>
    <t>2020-10-30 21:15:10.528</t>
  </si>
  <si>
    <t>IRO1NSPS0004</t>
  </si>
  <si>
    <t>10653322</t>
  </si>
  <si>
    <t>Pars Refractories Co</t>
  </si>
  <si>
    <t>2020-10-30 21:15:10.502</t>
  </si>
  <si>
    <t>IRO1FAJR0003</t>
  </si>
  <si>
    <t>10241955</t>
  </si>
  <si>
    <t>Fajre Sepahan Galvanizing Industries Company</t>
  </si>
  <si>
    <t>2020-10-30 21:15:10.481</t>
  </si>
  <si>
    <t>12777774</t>
  </si>
  <si>
    <t>2020-10-30 21:15:10.461</t>
  </si>
  <si>
    <t>DE0001960656</t>
  </si>
  <si>
    <t>793070</t>
  </si>
  <si>
    <t>2020-10-30 21:15:10.421</t>
  </si>
  <si>
    <t>VEV00014AET0</t>
  </si>
  <si>
    <t>907270</t>
  </si>
  <si>
    <t>2020-10-30 21:15:10.374</t>
  </si>
  <si>
    <t>2774381</t>
  </si>
  <si>
    <t>2020-10-30 21:15:10.355</t>
  </si>
  <si>
    <t>RU000A0DM7F4</t>
  </si>
  <si>
    <t>2051169</t>
  </si>
  <si>
    <t>2020-10-30 21:15:10.335</t>
  </si>
  <si>
    <t>RU000A100V95</t>
  </si>
  <si>
    <t>50272640</t>
  </si>
  <si>
    <t>2020-10-30 21:15:10.267</t>
  </si>
  <si>
    <t>42020805</t>
  </si>
  <si>
    <t>2020-10-30 21:15:10.195</t>
  </si>
  <si>
    <t>37611215</t>
  </si>
  <si>
    <t>Gazprom-Media Holding Joint Stock Company</t>
  </si>
  <si>
    <t>2020-10-30 21:15:10.136</t>
  </si>
  <si>
    <t>IRO1MRAM0009</t>
  </si>
  <si>
    <t>1027107</t>
  </si>
  <si>
    <t>Mahram Manufacturing Group</t>
  </si>
  <si>
    <t>2020-10-30 21:15:09.993</t>
  </si>
  <si>
    <t>IRO1IAGM0008</t>
  </si>
  <si>
    <t>10185878</t>
  </si>
  <si>
    <t>Iran Argham Co</t>
  </si>
  <si>
    <t>2020-10-30 21:15:09.97</t>
  </si>
  <si>
    <t>CND100007MP5</t>
  </si>
  <si>
    <t>24680400</t>
  </si>
  <si>
    <t>Xinjiang Production and Construction Corps 12th division state-owned Assets Management Co., Ltd.</t>
  </si>
  <si>
    <t>2020-10-30 21:15:09.95</t>
  </si>
  <si>
    <t>DE0001960888</t>
  </si>
  <si>
    <t>836768</t>
  </si>
  <si>
    <t>2020-10-30 21:15:09.931</t>
  </si>
  <si>
    <t>VEV00014ADE4</t>
  </si>
  <si>
    <t>892959</t>
  </si>
  <si>
    <t>2020-10-30 21:15:09.892</t>
  </si>
  <si>
    <t>3933549</t>
  </si>
  <si>
    <t>2020-10-30 21:15:09.875</t>
  </si>
  <si>
    <t>RU000A101BT0</t>
  </si>
  <si>
    <t>56902455</t>
  </si>
  <si>
    <t>Sberbank Corporate-Investment-Banking CJSC</t>
  </si>
  <si>
    <t>2020-10-30 21:15:09.854</t>
  </si>
  <si>
    <t>45494474</t>
  </si>
  <si>
    <t>2020-10-30 21:15:09.815</t>
  </si>
  <si>
    <t>42063752</t>
  </si>
  <si>
    <t>2020-10-30 21:15:09.759</t>
  </si>
  <si>
    <t>32864132</t>
  </si>
  <si>
    <t>2020-10-30 21:15:09.697</t>
  </si>
  <si>
    <t>28387912</t>
  </si>
  <si>
    <t>2020-10-30 21:15:09.655</t>
  </si>
  <si>
    <t>26395601</t>
  </si>
  <si>
    <t>2020-10-30 21:15:09.626</t>
  </si>
  <si>
    <t>2020-10-30 21:15:09.606</t>
  </si>
  <si>
    <t>IRO3IBKZ0004</t>
  </si>
  <si>
    <t>13287539</t>
  </si>
  <si>
    <t>Investment Bank</t>
  </si>
  <si>
    <t>2020-10-30 21:15:09.548</t>
  </si>
  <si>
    <t>CND1000181S1</t>
  </si>
  <si>
    <t>42937758</t>
  </si>
  <si>
    <t>2020-10-30 21:15:09.525</t>
  </si>
  <si>
    <t>18584240</t>
  </si>
  <si>
    <t>2020-10-30 21:15:09.504</t>
  </si>
  <si>
    <t>US71676QAF37</t>
  </si>
  <si>
    <t>944559</t>
  </si>
  <si>
    <t>71676QAF3</t>
  </si>
  <si>
    <t>2020-10-30 21:15:09.467</t>
  </si>
  <si>
    <t>XS0029435905</t>
  </si>
  <si>
    <t>1579318</t>
  </si>
  <si>
    <t>2020-10-30 21:15:09.448</t>
  </si>
  <si>
    <t>RU000A101MX9</t>
  </si>
  <si>
    <t>54661502</t>
  </si>
  <si>
    <t>2020-10-30 21:15:09.405</t>
  </si>
  <si>
    <t>RU000A1017J5</t>
  </si>
  <si>
    <t>51677083</t>
  </si>
  <si>
    <t>2020-10-30 21:15:09.36</t>
  </si>
  <si>
    <t>RU000A101525</t>
  </si>
  <si>
    <t>51654368</t>
  </si>
  <si>
    <t>2020-10-30 21:15:09.338</t>
  </si>
  <si>
    <t>RU000A1014W5</t>
  </si>
  <si>
    <t>51423650</t>
  </si>
  <si>
    <t>2020-10-30 21:15:09.319</t>
  </si>
  <si>
    <t>KZ2C00003671</t>
  </si>
  <si>
    <t>50424151</t>
  </si>
  <si>
    <t>VTB Bank JSC Subsidiary</t>
  </si>
  <si>
    <t>2020-10-30 21:15:09.281</t>
  </si>
  <si>
    <t>40606173</t>
  </si>
  <si>
    <t>2020-10-30 21:15:09.208</t>
  </si>
  <si>
    <t>39243075</t>
  </si>
  <si>
    <t>2020-10-30 21:15:09.186</t>
  </si>
  <si>
    <t>IRO1MSHK0003</t>
  </si>
  <si>
    <t>3668379</t>
  </si>
  <si>
    <t>Melli Agrochemical Company PLC</t>
  </si>
  <si>
    <t>2020-10-30 21:15:09.021</t>
  </si>
  <si>
    <t>IRO3PZGZ0003</t>
  </si>
  <si>
    <t>13675986</t>
  </si>
  <si>
    <t>Zagros Petrochemical Co.</t>
  </si>
  <si>
    <t>2020-10-30 21:15:09.001</t>
  </si>
  <si>
    <t>IRO1BMLT0007</t>
  </si>
  <si>
    <t>11241578</t>
  </si>
  <si>
    <t>Mellat Bank</t>
  </si>
  <si>
    <t>2020-10-30 21:15:08.978</t>
  </si>
  <si>
    <t>CND10002FCL7</t>
  </si>
  <si>
    <t>49805830</t>
  </si>
  <si>
    <t>2020-10-30 21:15:08.95</t>
  </si>
  <si>
    <t>29465011</t>
  </si>
  <si>
    <t>2020-10-30 21:15:08.932</t>
  </si>
  <si>
    <t>DE0001960839</t>
  </si>
  <si>
    <t>836762</t>
  </si>
  <si>
    <t>2020-10-30 21:15:08.914</t>
  </si>
  <si>
    <t>VEV00014CFH8</t>
  </si>
  <si>
    <t>4940795</t>
  </si>
  <si>
    <t>2020-10-30 21:15:08.897</t>
  </si>
  <si>
    <t>38168349</t>
  </si>
  <si>
    <t>2020-10-30 21:15:08.873</t>
  </si>
  <si>
    <t>USP97475AB69</t>
  </si>
  <si>
    <t>1680609</t>
  </si>
  <si>
    <t>2020-10-30 21:15:08.854</t>
  </si>
  <si>
    <t>XS0132229088</t>
  </si>
  <si>
    <t>1259751</t>
  </si>
  <si>
    <t>2020-10-30 21:15:08.833</t>
  </si>
  <si>
    <t>12301157</t>
  </si>
  <si>
    <t>2020-10-30 21:15:08.813</t>
  </si>
  <si>
    <t>RSPINZE77877</t>
  </si>
  <si>
    <t>12760342</t>
  </si>
  <si>
    <t>PPT Inzenjering A.D.</t>
  </si>
  <si>
    <t>2020-10-30 21:15:08.796</t>
  </si>
  <si>
    <t>RU000A101Y67</t>
  </si>
  <si>
    <t>56876901</t>
  </si>
  <si>
    <t>2020-10-30 21:15:08.76</t>
  </si>
  <si>
    <t>RU000A101M12</t>
  </si>
  <si>
    <t>54443360</t>
  </si>
  <si>
    <t>2020-10-30 21:15:08.715</t>
  </si>
  <si>
    <t>RU000A101103</t>
  </si>
  <si>
    <t>51093712</t>
  </si>
  <si>
    <t>2020-10-30 21:15:08.696</t>
  </si>
  <si>
    <t>RU000A0NH1D7</t>
  </si>
  <si>
    <t>49038275</t>
  </si>
  <si>
    <t>2020-10-30 21:15:08.675</t>
  </si>
  <si>
    <t>RU000A0JXX78</t>
  </si>
  <si>
    <t>37665673</t>
  </si>
  <si>
    <t>2020-10-30 21:15:03.245</t>
  </si>
  <si>
    <t>755932</t>
  </si>
  <si>
    <t>2020-10-30 21:15:03.035</t>
  </si>
  <si>
    <t>IRO1COPI0003</t>
  </si>
  <si>
    <t>11668355</t>
  </si>
  <si>
    <t>Iran Compressor Manufacturing Co.</t>
  </si>
  <si>
    <t>2020-10-30 21:15:03.016</t>
  </si>
  <si>
    <t>IRO1RADI0006</t>
  </si>
  <si>
    <t>1027390</t>
  </si>
  <si>
    <t>Radiator Iran Co.</t>
  </si>
  <si>
    <t>2020-10-30 21:15:02.998</t>
  </si>
  <si>
    <t>VEV00014CIQ3</t>
  </si>
  <si>
    <t>38292649</t>
  </si>
  <si>
    <t>2020-10-30 21:15:02.98</t>
  </si>
  <si>
    <t>DE0001896520</t>
  </si>
  <si>
    <t>586876</t>
  </si>
  <si>
    <t>2020-10-30 21:15:02.957</t>
  </si>
  <si>
    <t>XS0032491747</t>
  </si>
  <si>
    <t>884218</t>
  </si>
  <si>
    <t>2020-10-30 21:15:02.939</t>
  </si>
  <si>
    <t>XS0029441465</t>
  </si>
  <si>
    <t>49313</t>
  </si>
  <si>
    <t>2020-10-30 21:15:02.92</t>
  </si>
  <si>
    <t>XS0029449799</t>
  </si>
  <si>
    <t>1184069</t>
  </si>
  <si>
    <t>2020-10-30 21:15:02.901</t>
  </si>
  <si>
    <t>1644316</t>
  </si>
  <si>
    <t>2020-10-30 21:15:02.882</t>
  </si>
  <si>
    <t>RU000A101V03</t>
  </si>
  <si>
    <t>56039179</t>
  </si>
  <si>
    <t>2020-10-30 21:15:02.812</t>
  </si>
  <si>
    <t>RU000A101TH7</t>
  </si>
  <si>
    <t>55930991</t>
  </si>
  <si>
    <t>2020-10-30 21:15:02.793</t>
  </si>
  <si>
    <t>RU000A101LL6</t>
  </si>
  <si>
    <t>54356486</t>
  </si>
  <si>
    <t>2020-10-30 21:15:02.749</t>
  </si>
  <si>
    <t>RU000A100UB0</t>
  </si>
  <si>
    <t>50268059</t>
  </si>
  <si>
    <t>2020-10-30 21:15:02.687</t>
  </si>
  <si>
    <t>48679416</t>
  </si>
  <si>
    <t>2020-10-30 21:15:02.661</t>
  </si>
  <si>
    <t>46664717</t>
  </si>
  <si>
    <t>2020-10-30 21:15:02.641</t>
  </si>
  <si>
    <t>35045098</t>
  </si>
  <si>
    <t>2020-10-30 21:15:02.579</t>
  </si>
  <si>
    <t>RU000A0JVVL4</t>
  </si>
  <si>
    <t>30201969</t>
  </si>
  <si>
    <t>2020-10-30 21:15:02.542</t>
  </si>
  <si>
    <t>26405085</t>
  </si>
  <si>
    <t>2020-10-30 21:15:02.456</t>
  </si>
  <si>
    <t>IRO1IRGC0001</t>
  </si>
  <si>
    <t>3668431</t>
  </si>
  <si>
    <t>Iran Catch Co</t>
  </si>
  <si>
    <t>2020-10-30 21:15:02.319</t>
  </si>
  <si>
    <t>IRO1TGOS0003</t>
  </si>
  <si>
    <t>11671378</t>
  </si>
  <si>
    <t>Toosgostar Investment Co.</t>
  </si>
  <si>
    <t>2020-10-30 21:15:02.296</t>
  </si>
  <si>
    <t>IRO1SHQZ0002</t>
  </si>
  <si>
    <t>1027083</t>
  </si>
  <si>
    <t>Ghazvin Glass Co.</t>
  </si>
  <si>
    <t>2020-10-30 21:15:02.274</t>
  </si>
  <si>
    <t>IRO1GOLG0005</t>
  </si>
  <si>
    <t>10241856</t>
  </si>
  <si>
    <t>Gol-E-Gohar Iron Ore Co</t>
  </si>
  <si>
    <t>2020-10-30 21:15:02.256</t>
  </si>
  <si>
    <t>IRO1SGOS0004</t>
  </si>
  <si>
    <t>10186422</t>
  </si>
  <si>
    <t>Isfahan Saman Gostar Co</t>
  </si>
  <si>
    <t>2020-10-30 21:15:02.235</t>
  </si>
  <si>
    <t>CND1000192H1</t>
  </si>
  <si>
    <t>40915647</t>
  </si>
  <si>
    <t>2020-10-30 21:15:02.217</t>
  </si>
  <si>
    <t>VEV00014ABI9</t>
  </si>
  <si>
    <t>887555</t>
  </si>
  <si>
    <t>2020-10-30 21:15:02.199</t>
  </si>
  <si>
    <t>XS0029445961</t>
  </si>
  <si>
    <t>49696</t>
  </si>
  <si>
    <t>2020-10-30 21:15:02.179</t>
  </si>
  <si>
    <t>38350226</t>
  </si>
  <si>
    <t>2020-10-30 21:15:02.159</t>
  </si>
  <si>
    <t>38312274</t>
  </si>
  <si>
    <t>2020-10-30 21:15:02.138</t>
  </si>
  <si>
    <t>RU000A0JRCL2</t>
  </si>
  <si>
    <t>3948497</t>
  </si>
  <si>
    <t>2020-10-30 21:15:02.114</t>
  </si>
  <si>
    <t>34326485</t>
  </si>
  <si>
    <t>Severnaya verf Shipbuilding plant PJSC</t>
  </si>
  <si>
    <t>2020-10-30 21:15:02.094</t>
  </si>
  <si>
    <t>AT0000A14BH9</t>
  </si>
  <si>
    <t>32517299</t>
  </si>
  <si>
    <t>SLAV Handel,Vertretung und Beteiligung AG</t>
  </si>
  <si>
    <t>2020-10-30 21:15:02.069</t>
  </si>
  <si>
    <t>1672601</t>
  </si>
  <si>
    <t>2020-10-30 21:15:02.052</t>
  </si>
  <si>
    <t>RU000A1021N9</t>
  </si>
  <si>
    <t>56673924</t>
  </si>
  <si>
    <t>2020-10-30 21:15:01.992</t>
  </si>
  <si>
    <t>RU000A101SJ5</t>
  </si>
  <si>
    <t>55349745</t>
  </si>
  <si>
    <t>2020-10-30 21:15:01.969</t>
  </si>
  <si>
    <t>RU000A101QJ9</t>
  </si>
  <si>
    <t>55102601</t>
  </si>
  <si>
    <t>2020-10-30 21:15:01.954</t>
  </si>
  <si>
    <t>RU000A101D62</t>
  </si>
  <si>
    <t>52330011</t>
  </si>
  <si>
    <t>2020-10-30 21:15:01.938</t>
  </si>
  <si>
    <t>RU000A100T32</t>
  </si>
  <si>
    <t>49917449</t>
  </si>
  <si>
    <t>2020-10-30 21:15:01.923</t>
  </si>
  <si>
    <t>RU000A0NH1P1</t>
  </si>
  <si>
    <t>49763105</t>
  </si>
  <si>
    <t>2020-10-30 21:15:01.907</t>
  </si>
  <si>
    <t>46238653</t>
  </si>
  <si>
    <t>2020-10-30 21:15:01.868</t>
  </si>
  <si>
    <t>46027762</t>
  </si>
  <si>
    <t>2020-10-30 21:15:01.848</t>
  </si>
  <si>
    <t>32054782</t>
  </si>
  <si>
    <t>2020-10-30 21:15:01.778</t>
  </si>
  <si>
    <t>IRO1GOTI0005</t>
  </si>
  <si>
    <t>11672069</t>
  </si>
  <si>
    <t>Pars Metal-Packing ID Co.</t>
  </si>
  <si>
    <t>2020-10-30 21:15:01.677</t>
  </si>
  <si>
    <t>CND10002JMG8</t>
  </si>
  <si>
    <t>50891786</t>
  </si>
  <si>
    <t>2020-10-30 21:15:01.659</t>
  </si>
  <si>
    <t>CND100017698</t>
  </si>
  <si>
    <t>32430903</t>
  </si>
  <si>
    <t>Xinjiang Production and Construction Group's    Investment Co Ltd</t>
  </si>
  <si>
    <t>2020-10-30 21:15:01.638</t>
  </si>
  <si>
    <t>VEV00014ABV2</t>
  </si>
  <si>
    <t>886211</t>
  </si>
  <si>
    <t>2020-10-30 21:15:01.617</t>
  </si>
  <si>
    <t>DE0001896439</t>
  </si>
  <si>
    <t>586850</t>
  </si>
  <si>
    <t>2020-10-30 21:15:01.599</t>
  </si>
  <si>
    <t>DE0001896447</t>
  </si>
  <si>
    <t>586851</t>
  </si>
  <si>
    <t>2020-10-30 21:15:01.563</t>
  </si>
  <si>
    <t>VEV00014ADX4</t>
  </si>
  <si>
    <t>900106</t>
  </si>
  <si>
    <t>2020-10-30 21:15:01.547</t>
  </si>
  <si>
    <t>US693300AH83</t>
  </si>
  <si>
    <t>955761</t>
  </si>
  <si>
    <t>693300AH8</t>
  </si>
  <si>
    <t>2020-10-30 21:15:01.529</t>
  </si>
  <si>
    <t>XS0029458519</t>
  </si>
  <si>
    <t>53370</t>
  </si>
  <si>
    <t>2020-10-30 21:15:01.509</t>
  </si>
  <si>
    <t>29864793</t>
  </si>
  <si>
    <t>2020-10-30 21:15:01.492</t>
  </si>
  <si>
    <t>RU000A0ZZDS4</t>
  </si>
  <si>
    <t>55989634</t>
  </si>
  <si>
    <t>Kordeks Nepublichnoye aktsionernoye obshchestvo</t>
  </si>
  <si>
    <t>2020-10-30 21:15:01.472</t>
  </si>
  <si>
    <t>43179644</t>
  </si>
  <si>
    <t>2020-10-30 21:15:01.435</t>
  </si>
  <si>
    <t>41705876</t>
  </si>
  <si>
    <t>2020-10-30 21:15:01.419</t>
  </si>
  <si>
    <t>41328799</t>
  </si>
  <si>
    <t>2020-10-30 21:14:56.353</t>
  </si>
  <si>
    <t>RU000A0JY2H1</t>
  </si>
  <si>
    <t>40316644</t>
  </si>
  <si>
    <t>Shipunovskiy elevator Aktsionernoye obshchestvo</t>
  </si>
  <si>
    <t>2020-10-30 21:14:56.292</t>
  </si>
  <si>
    <t>40195493</t>
  </si>
  <si>
    <t>Subsidiary Bank of Sberbank Russia JSC</t>
  </si>
  <si>
    <t>2020-10-30 21:14:56.27</t>
  </si>
  <si>
    <t>RU000A0JWYF8</t>
  </si>
  <si>
    <t>34571137</t>
  </si>
  <si>
    <t>2020-10-30 21:14:56.25</t>
  </si>
  <si>
    <t>RU000A0E6JS4</t>
  </si>
  <si>
    <t>2316735</t>
  </si>
  <si>
    <t>2020-10-30 21:14:56.188</t>
  </si>
  <si>
    <t>755945</t>
  </si>
  <si>
    <t>Mercantile Bank of Iran &amp; Holland</t>
  </si>
  <si>
    <t>2020-10-30 21:14:56.013</t>
  </si>
  <si>
    <t>IRO1GGAZ0005</t>
  </si>
  <si>
    <t>46064442</t>
  </si>
  <si>
    <t>Ghazvin Sugar Company</t>
  </si>
  <si>
    <t>2020-10-30 21:14:55.993</t>
  </si>
  <si>
    <t>IRO1PPAM0008</t>
  </si>
  <si>
    <t>1256350</t>
  </si>
  <si>
    <t>Pars Pamchal Chemical Co.</t>
  </si>
  <si>
    <t>2020-10-30 21:14:55.973</t>
  </si>
  <si>
    <t>IRO3LIRZ0005</t>
  </si>
  <si>
    <t>12385693</t>
  </si>
  <si>
    <t>Leasing Iranian Co</t>
  </si>
  <si>
    <t>2020-10-30 21:14:55.954</t>
  </si>
  <si>
    <t>IRO1IDOC0007</t>
  </si>
  <si>
    <t>11968550</t>
  </si>
  <si>
    <t>Iran Motorcycle Co.</t>
  </si>
  <si>
    <t>2020-10-30 21:14:55.936</t>
  </si>
  <si>
    <t>DE0004856992</t>
  </si>
  <si>
    <t>990937</t>
  </si>
  <si>
    <t>2020-10-30 21:14:55.918</t>
  </si>
  <si>
    <t>4421067</t>
  </si>
  <si>
    <t>2020-10-30 21:14:55.106</t>
  </si>
  <si>
    <t>RU000A101W36</t>
  </si>
  <si>
    <t>55988499</t>
  </si>
  <si>
    <t>2020-10-30 21:14:55.062</t>
  </si>
  <si>
    <t>RU000A100R83</t>
  </si>
  <si>
    <t>49670574</t>
  </si>
  <si>
    <t>2020-10-30 21:14:55.021</t>
  </si>
  <si>
    <t>47704466</t>
  </si>
  <si>
    <t>2020-10-30 21:14:55.001</t>
  </si>
  <si>
    <t>44472530</t>
  </si>
  <si>
    <t>2020-10-30 21:14:54.981</t>
  </si>
  <si>
    <t>34854170</t>
  </si>
  <si>
    <t>2020-10-30 21:14:54.929</t>
  </si>
  <si>
    <t>IRO1ITAL0004</t>
  </si>
  <si>
    <t>3668434</t>
  </si>
  <si>
    <t>Ital Iran</t>
  </si>
  <si>
    <t>2020-10-30 21:14:54.797</t>
  </si>
  <si>
    <t>IRO1BDZL0000</t>
  </si>
  <si>
    <t>3665602</t>
  </si>
  <si>
    <t>Bonyad Diezel</t>
  </si>
  <si>
    <t>2020-10-30 21:14:54.777</t>
  </si>
  <si>
    <t>IRO1JJNM0009</t>
  </si>
  <si>
    <t>3665523</t>
  </si>
  <si>
    <t>Jaame Jahan Nema Manufacturing Co</t>
  </si>
  <si>
    <t>2020-10-30 21:14:54.759</t>
  </si>
  <si>
    <t>IRO1VLMT0003</t>
  </si>
  <si>
    <t>32800532</t>
  </si>
  <si>
    <t>Mellat Leasing</t>
  </si>
  <si>
    <t>2020-10-30 21:14:54.734</t>
  </si>
  <si>
    <t>IRO3NPSZ0003</t>
  </si>
  <si>
    <t>21840887</t>
  </si>
  <si>
    <t>Pasargadoil co.</t>
  </si>
  <si>
    <t>2020-10-30 21:14:54.714</t>
  </si>
  <si>
    <t>IRO7BHKP0003</t>
  </si>
  <si>
    <t>18368223</t>
  </si>
  <si>
    <t>Bank Hekmat Iranian</t>
  </si>
  <si>
    <t>2020-10-30 21:14:54.69</t>
  </si>
  <si>
    <t>IRO3KHMZ0002</t>
  </si>
  <si>
    <t>18368028</t>
  </si>
  <si>
    <t>Middle East Mines and Mineral Industries Development Holding Company</t>
  </si>
  <si>
    <t>2020-10-30 21:14:54.67</t>
  </si>
  <si>
    <t>725962</t>
  </si>
  <si>
    <t>2020-10-30 21:14:54.652</t>
  </si>
  <si>
    <t>UA0101591008</t>
  </si>
  <si>
    <t>1837741</t>
  </si>
  <si>
    <t>More Rest Home JSC</t>
  </si>
  <si>
    <t>2020-10-30 21:14:54.633</t>
  </si>
  <si>
    <t>VEV00014AEO1</t>
  </si>
  <si>
    <t>903673</t>
  </si>
  <si>
    <t>2020-10-30 21:14:54.594</t>
  </si>
  <si>
    <t>586761</t>
  </si>
  <si>
    <t>2020-10-30 21:14:54.575</t>
  </si>
  <si>
    <t>38168558</t>
  </si>
  <si>
    <t>2020-10-30 21:14:54.559</t>
  </si>
  <si>
    <t>239611</t>
  </si>
  <si>
    <t>AVTODIZEL (Yaroslavl Motor Plant) PJSC</t>
  </si>
  <si>
    <t>2020-10-30 21:14:54.543</t>
  </si>
  <si>
    <t>RU000A0NH1Y3</t>
  </si>
  <si>
    <t>57257682</t>
  </si>
  <si>
    <t>2020-10-30 21:14:54.501</t>
  </si>
  <si>
    <t>RU000A101N37</t>
  </si>
  <si>
    <t>55727979</t>
  </si>
  <si>
    <t>2020-10-30 21:14:54.481</t>
  </si>
  <si>
    <t>44092728</t>
  </si>
  <si>
    <t>2020-10-30 21:14:54.402</t>
  </si>
  <si>
    <t>RU000A0ZZ2X7</t>
  </si>
  <si>
    <t>41363317</t>
  </si>
  <si>
    <t>2020-10-30 21:14:54.377</t>
  </si>
  <si>
    <t>IRO1DAML0006</t>
  </si>
  <si>
    <t>3666606</t>
  </si>
  <si>
    <t>Damloran Pharmaceutical</t>
  </si>
  <si>
    <t>2020-10-30 21:14:47.991</t>
  </si>
  <si>
    <t>IRO1SSEP0005</t>
  </si>
  <si>
    <t>1581611</t>
  </si>
  <si>
    <t>Sepahan Cement Co</t>
  </si>
  <si>
    <t>2020-10-30 21:14:47.972</t>
  </si>
  <si>
    <t>IRO1NSAZ0002</t>
  </si>
  <si>
    <t>10653321</t>
  </si>
  <si>
    <t>Azar Refractories Co</t>
  </si>
  <si>
    <t>2020-10-30 21:14:47.949</t>
  </si>
  <si>
    <t>41166418</t>
  </si>
  <si>
    <t>2020-10-30 21:14:47.927</t>
  </si>
  <si>
    <t>34813436</t>
  </si>
  <si>
    <t>2020-10-30 21:14:47.911</t>
  </si>
  <si>
    <t>UA4000090344</t>
  </si>
  <si>
    <t>18590635</t>
  </si>
  <si>
    <t>Kirovsky PJSC</t>
  </si>
  <si>
    <t>2020-10-30 21:14:47.892</t>
  </si>
  <si>
    <t>XS0029484358</t>
  </si>
  <si>
    <t>990961</t>
  </si>
  <si>
    <t>2020-10-30 21:14:47.874</t>
  </si>
  <si>
    <t>XS0029451423</t>
  </si>
  <si>
    <t>50439</t>
  </si>
  <si>
    <t>2020-10-30 21:14:47.848</t>
  </si>
  <si>
    <t>US285034AA21</t>
  </si>
  <si>
    <t>1991950</t>
  </si>
  <si>
    <t>285034AA2</t>
  </si>
  <si>
    <t>Electricidad de Caracas Finance BV</t>
  </si>
  <si>
    <t>2020-10-30 21:14:47.81</t>
  </si>
  <si>
    <t>RU0005708444</t>
  </si>
  <si>
    <t>42257497</t>
  </si>
  <si>
    <t>Plant Krasnoe Znamya Public joint stock company</t>
  </si>
  <si>
    <t>2020-10-30 21:14:47.783</t>
  </si>
  <si>
    <t>RU000A0JS5W1</t>
  </si>
  <si>
    <t>35616629</t>
  </si>
  <si>
    <t>Nauchno-proizvodstvennoye obyedineniye Elektromashina Aktsionernoye obshchestvo</t>
  </si>
  <si>
    <t>2020-10-30 21:14:47.757</t>
  </si>
  <si>
    <t>RU000A101CZ5</t>
  </si>
  <si>
    <t>52301587</t>
  </si>
  <si>
    <t>2020-10-30 21:14:47.676</t>
  </si>
  <si>
    <t>RU000A1011F6</t>
  </si>
  <si>
    <t>51114439</t>
  </si>
  <si>
    <t>2020-10-30 21:14:47.654</t>
  </si>
  <si>
    <t>48619508</t>
  </si>
  <si>
    <t>2020-10-30 21:14:47.619</t>
  </si>
  <si>
    <t>28684164</t>
  </si>
  <si>
    <t>Moskva Re OOO</t>
  </si>
  <si>
    <t>2020-10-30 21:14:47.58</t>
  </si>
  <si>
    <t>25044627</t>
  </si>
  <si>
    <t>2020-10-30 21:14:47.56</t>
  </si>
  <si>
    <t>GB00B1NFC249</t>
  </si>
  <si>
    <t>56594756</t>
  </si>
  <si>
    <t>2020-10-30 21:14:47.452</t>
  </si>
  <si>
    <t>IRO7LARP0001</t>
  </si>
  <si>
    <t>19778173</t>
  </si>
  <si>
    <t>Larestan Cement</t>
  </si>
  <si>
    <t>2020-10-30 21:14:47.396</t>
  </si>
  <si>
    <t>IRO8PDRT0009</t>
  </si>
  <si>
    <t>18382788</t>
  </si>
  <si>
    <t>Darab Petrochemical Co</t>
  </si>
  <si>
    <t>2020-10-30 21:14:47.378</t>
  </si>
  <si>
    <t>IRO1TKSM0009</t>
  </si>
  <si>
    <t>11671583</t>
  </si>
  <si>
    <t>Takceram Co.</t>
  </si>
  <si>
    <t>2020-10-30 21:14:47.359</t>
  </si>
  <si>
    <t>IRO1KLBR0001</t>
  </si>
  <si>
    <t>10659836</t>
  </si>
  <si>
    <t>Kalber Dairy Co</t>
  </si>
  <si>
    <t>2020-10-30 21:14:47.339</t>
  </si>
  <si>
    <t>CND100015SF6</t>
  </si>
  <si>
    <t>41185807</t>
  </si>
  <si>
    <t>2020-10-30 21:14:47.316</t>
  </si>
  <si>
    <t>34323896</t>
  </si>
  <si>
    <t>2020-10-30 21:14:47.295</t>
  </si>
  <si>
    <t>DE0004061262</t>
  </si>
  <si>
    <t>771457</t>
  </si>
  <si>
    <t>2020-10-30 21:14:46.694</t>
  </si>
  <si>
    <t>VEV00014ADG9</t>
  </si>
  <si>
    <t>893055</t>
  </si>
  <si>
    <t>2020-10-30 21:14:46.062</t>
  </si>
  <si>
    <t>XS0029449955</t>
  </si>
  <si>
    <t>50323</t>
  </si>
  <si>
    <t>2020-10-30 21:14:40.342</t>
  </si>
  <si>
    <t>XS0032486820</t>
  </si>
  <si>
    <t>496757</t>
  </si>
  <si>
    <t>2020-10-30 21:14:40.325</t>
  </si>
  <si>
    <t>XS0032488289</t>
  </si>
  <si>
    <t>44426</t>
  </si>
  <si>
    <t>2020-10-30 21:14:40.305</t>
  </si>
  <si>
    <t>USP97475AF73</t>
  </si>
  <si>
    <t>2365393</t>
  </si>
  <si>
    <t>2020-10-30 21:14:40.284</t>
  </si>
  <si>
    <t>XS0032472101</t>
  </si>
  <si>
    <t>2054101</t>
  </si>
  <si>
    <t>2020-10-30 21:14:40.259</t>
  </si>
  <si>
    <t>USP9395PAB78</t>
  </si>
  <si>
    <t>1655638</t>
  </si>
  <si>
    <t>2020-10-30 21:14:40.233</t>
  </si>
  <si>
    <t>XS0444611296</t>
  </si>
  <si>
    <t>10350792</t>
  </si>
  <si>
    <t>2020-10-30 21:14:40.213</t>
  </si>
  <si>
    <t>35477466</t>
  </si>
  <si>
    <t>Kamensk-Uralskiy liteynyy zavod Aktsionernoye obschestvo</t>
  </si>
  <si>
    <t>2020-10-30 21:14:40.192</t>
  </si>
  <si>
    <t>RU000A0JUBW5</t>
  </si>
  <si>
    <t>23166664</t>
  </si>
  <si>
    <t>TFC-Finance OJSC</t>
  </si>
  <si>
    <t>2020-10-30 21:14:40.167</t>
  </si>
  <si>
    <t>RU000A0PQTW2</t>
  </si>
  <si>
    <t>42260816</t>
  </si>
  <si>
    <t>Ulyanovskiy motornyy zavod Aktsionernoye        obshchestvo</t>
  </si>
  <si>
    <t>2020-10-30 21:14:40.147</t>
  </si>
  <si>
    <t>RU000A101WQ2</t>
  </si>
  <si>
    <t>56072075</t>
  </si>
  <si>
    <t>2020-10-30 21:14:40.068</t>
  </si>
  <si>
    <t>RU000A101U20</t>
  </si>
  <si>
    <t>55639738</t>
  </si>
  <si>
    <t>2020-10-30 21:14:40.048</t>
  </si>
  <si>
    <t>RU000A101327</t>
  </si>
  <si>
    <t>51227576</t>
  </si>
  <si>
    <t>2020-10-30 21:14:40.007</t>
  </si>
  <si>
    <t>RU000A100PX4</t>
  </si>
  <si>
    <t>49448788</t>
  </si>
  <si>
    <t>2020-10-30 21:14:39.963</t>
  </si>
  <si>
    <t>43082018</t>
  </si>
  <si>
    <t>2020-10-30 21:14:39.866</t>
  </si>
  <si>
    <t>41534238</t>
  </si>
  <si>
    <t>2020-10-30 21:14:39.847</t>
  </si>
  <si>
    <t>RU000A0JWZ02</t>
  </si>
  <si>
    <t>34646111</t>
  </si>
  <si>
    <t>GPB RITEYL SERVIS AO</t>
  </si>
  <si>
    <t>2020-10-30 21:14:39.793</t>
  </si>
  <si>
    <t>32342883</t>
  </si>
  <si>
    <t>2020-10-30 21:14:39.773</t>
  </si>
  <si>
    <t>IRO7AFRP0009</t>
  </si>
  <si>
    <t>19313131</t>
  </si>
  <si>
    <t>Arzesh Afarinan</t>
  </si>
  <si>
    <t>2020-10-30 21:14:39.627</t>
  </si>
  <si>
    <t>IRO1SNMA0007</t>
  </si>
  <si>
    <t>11671322</t>
  </si>
  <si>
    <t>Industry and Mine Investment Co.</t>
  </si>
  <si>
    <t>2020-10-30 21:14:39.605</t>
  </si>
  <si>
    <t>IRO1KTAK0001</t>
  </si>
  <si>
    <t>10653315</t>
  </si>
  <si>
    <t>Tak Cable Manufacturing Co</t>
  </si>
  <si>
    <t>2020-10-30 21:14:39.584</t>
  </si>
  <si>
    <t>CND10003GM77</t>
  </si>
  <si>
    <t>56067904</t>
  </si>
  <si>
    <t>2020-10-30 21:14:39.567</t>
  </si>
  <si>
    <t>VEV00014ACZ1</t>
  </si>
  <si>
    <t>892893</t>
  </si>
  <si>
    <t>2020-10-30 21:14:39.509</t>
  </si>
  <si>
    <t>DE0001960722</t>
  </si>
  <si>
    <t>793149</t>
  </si>
  <si>
    <t>2020-10-30 21:14:39.491</t>
  </si>
  <si>
    <t>38158101</t>
  </si>
  <si>
    <t>2020-10-30 21:14:39.471</t>
  </si>
  <si>
    <t>XS0029436036</t>
  </si>
  <si>
    <t>1582117</t>
  </si>
  <si>
    <t>2020-10-30 21:14:39.453</t>
  </si>
  <si>
    <t>RU000A100LN4</t>
  </si>
  <si>
    <t>49073480</t>
  </si>
  <si>
    <t>2020-10-30 21:14:39.354</t>
  </si>
  <si>
    <t>47324330</t>
  </si>
  <si>
    <t>2020-10-30 21:14:39.335</t>
  </si>
  <si>
    <t>42323364</t>
  </si>
  <si>
    <t>2020-10-30 21:14:39.311</t>
  </si>
  <si>
    <t>RU000A0JQ938</t>
  </si>
  <si>
    <t>3603027</t>
  </si>
  <si>
    <t>Radiy JSC</t>
  </si>
  <si>
    <t>2020-10-30 21:14:39.257</t>
  </si>
  <si>
    <t>26405439</t>
  </si>
  <si>
    <t>2020-10-30 21:14:39.234</t>
  </si>
  <si>
    <t>IRO1BMAS0001</t>
  </si>
  <si>
    <t>3668391</t>
  </si>
  <si>
    <t>Mashad Packing Industries</t>
  </si>
  <si>
    <t>2020-10-30 21:14:39.059</t>
  </si>
  <si>
    <t>IRO7BNDP0004</t>
  </si>
  <si>
    <t>18909621</t>
  </si>
  <si>
    <t>Sea Port Line Co</t>
  </si>
  <si>
    <t>2020-10-30 21:14:39.037</t>
  </si>
  <si>
    <t>IRO3PMRZ0005</t>
  </si>
  <si>
    <t>18382807</t>
  </si>
  <si>
    <t>Marun Petrochemical Co</t>
  </si>
  <si>
    <t>2020-10-30 21:14:39.018</t>
  </si>
  <si>
    <t>IRO1SHND0001</t>
  </si>
  <si>
    <t>10660787</t>
  </si>
  <si>
    <t>Sahand Rubber Ind.Co</t>
  </si>
  <si>
    <t>2020-10-30 21:14:39.0</t>
  </si>
  <si>
    <t>CND1000150F3</t>
  </si>
  <si>
    <t>41166322</t>
  </si>
  <si>
    <t>Xinjiang Production and Construction Corps SixthDivision State-Owned Assets Management Co., Ltd</t>
  </si>
  <si>
    <t>2020-10-30 21:14:38.982</t>
  </si>
  <si>
    <t>725813</t>
  </si>
  <si>
    <t>2020-10-30 21:14:38.962</t>
  </si>
  <si>
    <t>VEV00014AEQ6</t>
  </si>
  <si>
    <t>907017</t>
  </si>
  <si>
    <t>2020-10-30 21:14:33.166</t>
  </si>
  <si>
    <t>US693300AC96</t>
  </si>
  <si>
    <t>902636</t>
  </si>
  <si>
    <t>693300AC9</t>
  </si>
  <si>
    <t>2020-10-30 21:14:33.149</t>
  </si>
  <si>
    <t>38168404</t>
  </si>
  <si>
    <t>2020-10-30 21:14:33.128</t>
  </si>
  <si>
    <t>3332069</t>
  </si>
  <si>
    <t>BANK ROSSIYA</t>
  </si>
  <si>
    <t>2020-10-30 21:14:33.109</t>
  </si>
  <si>
    <t>28369408</t>
  </si>
  <si>
    <t>2020-10-30 21:14:33.09</t>
  </si>
  <si>
    <t>SY0021100100</t>
  </si>
  <si>
    <t>28301923</t>
  </si>
  <si>
    <t>Syria International Islamic Bank</t>
  </si>
  <si>
    <t>2020-10-30 21:14:33.065</t>
  </si>
  <si>
    <t>44339841</t>
  </si>
  <si>
    <t>2020-10-30 21:14:32.813</t>
  </si>
  <si>
    <t>30929114</t>
  </si>
  <si>
    <t>2020-10-30 21:14:32.707</t>
  </si>
  <si>
    <t>29931344</t>
  </si>
  <si>
    <t>2020-10-30 21:14:32.688</t>
  </si>
  <si>
    <t>26531111</t>
  </si>
  <si>
    <t>2020-10-30 21:14:32.671</t>
  </si>
  <si>
    <t>RU000A0JUXB3</t>
  </si>
  <si>
    <t>25842643</t>
  </si>
  <si>
    <t>2020-10-30 21:14:32.652</t>
  </si>
  <si>
    <t>25840527</t>
  </si>
  <si>
    <t>2020-10-30 21:14:32.625</t>
  </si>
  <si>
    <t>RU000A0JQHC2</t>
  </si>
  <si>
    <t>10679257</t>
  </si>
  <si>
    <t>Chernyshev Moscow machine-building enterprise   JSC</t>
  </si>
  <si>
    <t>2020-10-30 21:14:32.355</t>
  </si>
  <si>
    <t>IRO1CRBN0009</t>
  </si>
  <si>
    <t>3668395</t>
  </si>
  <si>
    <t>Iran Carbon Co.</t>
  </si>
  <si>
    <t>2020-10-30 21:14:32.31</t>
  </si>
  <si>
    <t>IR1100131017</t>
  </si>
  <si>
    <t>1027165</t>
  </si>
  <si>
    <t>Iran Vanet</t>
  </si>
  <si>
    <t>2020-10-30 21:14:32.29</t>
  </si>
  <si>
    <t>IRO1ABFR0001</t>
  </si>
  <si>
    <t>10237283</t>
  </si>
  <si>
    <t>Abfar Co</t>
  </si>
  <si>
    <t>2020-10-30 21:14:32.273</t>
  </si>
  <si>
    <t>DE0001960623</t>
  </si>
  <si>
    <t>793066</t>
  </si>
  <si>
    <t>2020-10-30 21:14:32.251</t>
  </si>
  <si>
    <t>XS0035040939</t>
  </si>
  <si>
    <t>673555</t>
  </si>
  <si>
    <t>2020-10-30 21:14:32.232</t>
  </si>
  <si>
    <t>SY0021100241</t>
  </si>
  <si>
    <t>28301909</t>
  </si>
  <si>
    <t>Solidarity Alliance Insurance Company</t>
  </si>
  <si>
    <t>2020-10-30 21:14:32.211</t>
  </si>
  <si>
    <t>SY0021100142</t>
  </si>
  <si>
    <t>28301903</t>
  </si>
  <si>
    <t>Qatar National Bank- Syria</t>
  </si>
  <si>
    <t>2020-10-30 21:14:32.191</t>
  </si>
  <si>
    <t>RU000A101YR6</t>
  </si>
  <si>
    <t>56285122</t>
  </si>
  <si>
    <t>2020-10-30 21:14:32.153</t>
  </si>
  <si>
    <t>RU000A100XL3</t>
  </si>
  <si>
    <t>51012328</t>
  </si>
  <si>
    <t>2020-10-30 21:14:32.131</t>
  </si>
  <si>
    <t>RU000A100UX4</t>
  </si>
  <si>
    <t>50216657</t>
  </si>
  <si>
    <t>2020-10-30 21:14:32.112</t>
  </si>
  <si>
    <t>48294470</t>
  </si>
  <si>
    <t>2020-10-30 21:14:32.091</t>
  </si>
  <si>
    <t>4544885</t>
  </si>
  <si>
    <t>2020-10-30 21:14:32.07</t>
  </si>
  <si>
    <t>45178414</t>
  </si>
  <si>
    <t>2020-10-30 21:14:32.051</t>
  </si>
  <si>
    <t>42212516</t>
  </si>
  <si>
    <t>Voronezh Aircraft joint-stock company PJSC</t>
  </si>
  <si>
    <t>2020-10-30 21:14:32.035</t>
  </si>
  <si>
    <t>40101985</t>
  </si>
  <si>
    <t>Sberbank-Tekhnologii Aktsionernoye obshchestvo</t>
  </si>
  <si>
    <t>2020-10-30 21:14:32.0</t>
  </si>
  <si>
    <t>RU000A0DDWK5</t>
  </si>
  <si>
    <t>2012977</t>
  </si>
  <si>
    <t>Uralvagonzavod-Finance OOO</t>
  </si>
  <si>
    <t>2020-10-30 21:14:31.897</t>
  </si>
  <si>
    <t>IRO1ATIR0008</t>
  </si>
  <si>
    <t>1581623</t>
  </si>
  <si>
    <t>Iran Tractor Forging Co</t>
  </si>
  <si>
    <t>2020-10-30 21:14:31.814</t>
  </si>
  <si>
    <t>IRO1MNSR0008</t>
  </si>
  <si>
    <t>10228053</t>
  </si>
  <si>
    <t>Nasir Machine Engineering Corporation</t>
  </si>
  <si>
    <t>2020-10-30 21:14:31.796</t>
  </si>
  <si>
    <t>CND100033VR8</t>
  </si>
  <si>
    <t>53875053</t>
  </si>
  <si>
    <t>2020-10-30 21:14:31.775</t>
  </si>
  <si>
    <t>18590636</t>
  </si>
  <si>
    <t>Krymsky Plemzavod PJSC</t>
  </si>
  <si>
    <t>2020-10-30 21:14:31.752</t>
  </si>
  <si>
    <t>DE0004057252</t>
  </si>
  <si>
    <t>991333</t>
  </si>
  <si>
    <t>2020-10-30 21:14:31.731</t>
  </si>
  <si>
    <t>VEV000571001</t>
  </si>
  <si>
    <t>991467</t>
  </si>
  <si>
    <t>Banco de Venezuela SACA</t>
  </si>
  <si>
    <t>2020-10-30 21:14:31.71</t>
  </si>
  <si>
    <t>RU000A101GV5</t>
  </si>
  <si>
    <t>52972330</t>
  </si>
  <si>
    <t>2020-10-30 21:14:31.66</t>
  </si>
  <si>
    <t>RU000A1017N7</t>
  </si>
  <si>
    <t>51676940</t>
  </si>
  <si>
    <t>2020-10-30 21:14:31.62</t>
  </si>
  <si>
    <t>RU000A1015U6</t>
  </si>
  <si>
    <t>51534012</t>
  </si>
  <si>
    <t>2020-10-30 21:14:31.601</t>
  </si>
  <si>
    <t>RU000A101202</t>
  </si>
  <si>
    <t>51176150</t>
  </si>
  <si>
    <t>2020-10-30 21:14:31.58</t>
  </si>
  <si>
    <t>IRO1SMAZ0003</t>
  </si>
  <si>
    <t>3668403</t>
  </si>
  <si>
    <t>Mazandaran Cement</t>
  </si>
  <si>
    <t>2020-10-30 21:14:26.611</t>
  </si>
  <si>
    <t>IRO1ZMYD0002</t>
  </si>
  <si>
    <t>3663800</t>
  </si>
  <si>
    <t>Zamyad Co.</t>
  </si>
  <si>
    <t>2020-10-30 21:14:26.588</t>
  </si>
  <si>
    <t>VEV00014ADT2</t>
  </si>
  <si>
    <t>900061</t>
  </si>
  <si>
    <t>2020-10-30 21:14:25.902</t>
  </si>
  <si>
    <t>GB0049274177</t>
  </si>
  <si>
    <t>990948</t>
  </si>
  <si>
    <t>2020-10-30 21:14:25.884</t>
  </si>
  <si>
    <t>RU000A0NH2B9</t>
  </si>
  <si>
    <t>57774996</t>
  </si>
  <si>
    <t>2020-10-30 21:14:25.818</t>
  </si>
  <si>
    <t>RU000A100KY3</t>
  </si>
  <si>
    <t>49004490</t>
  </si>
  <si>
    <t>2020-10-30 21:14:25.735</t>
  </si>
  <si>
    <t>46636889</t>
  </si>
  <si>
    <t>2020-10-30 21:14:25.699</t>
  </si>
  <si>
    <t>44762842</t>
  </si>
  <si>
    <t>2020-10-30 21:14:25.678</t>
  </si>
  <si>
    <t>RU000A0JRUM2</t>
  </si>
  <si>
    <t>14233652</t>
  </si>
  <si>
    <t>2020-10-30 21:14:25.58</t>
  </si>
  <si>
    <t>IRO3TORZ0009</t>
  </si>
  <si>
    <t>18382834</t>
  </si>
  <si>
    <t>Tukarail Co</t>
  </si>
  <si>
    <t>2020-10-30 21:14:25.496</t>
  </si>
  <si>
    <t>CND10001QPY1</t>
  </si>
  <si>
    <t>44636408</t>
  </si>
  <si>
    <t>2020-10-30 21:14:25.475</t>
  </si>
  <si>
    <t>CND1000059P5</t>
  </si>
  <si>
    <t>18761003</t>
  </si>
  <si>
    <t>2020-10-30 21:14:25.455</t>
  </si>
  <si>
    <t>2392456</t>
  </si>
  <si>
    <t>2020-10-30 21:14:25.435</t>
  </si>
  <si>
    <t>12899292</t>
  </si>
  <si>
    <t>2020-10-30 21:14:25.415</t>
  </si>
  <si>
    <t>VEV00014ADH7</t>
  </si>
  <si>
    <t>893061</t>
  </si>
  <si>
    <t>2020-10-30 21:14:25.377</t>
  </si>
  <si>
    <t>VEV00014CHD3</t>
  </si>
  <si>
    <t>38268760</t>
  </si>
  <si>
    <t>2020-10-30 21:14:25.358</t>
  </si>
  <si>
    <t>38350221</t>
  </si>
  <si>
    <t>2020-10-30 21:14:25.337</t>
  </si>
  <si>
    <t>XS0029458196</t>
  </si>
  <si>
    <t>1003655</t>
  </si>
  <si>
    <t>2020-10-30 21:14:25.315</t>
  </si>
  <si>
    <t>22910273</t>
  </si>
  <si>
    <t>2020-10-30 21:14:25.293</t>
  </si>
  <si>
    <t>RU000A100UD6</t>
  </si>
  <si>
    <t>50162243</t>
  </si>
  <si>
    <t>2020-10-30 21:14:25.185</t>
  </si>
  <si>
    <t>47105499</t>
  </si>
  <si>
    <t>2020-10-30 21:14:25.143</t>
  </si>
  <si>
    <t>IE00BYZKJZ04</t>
  </si>
  <si>
    <t>42475658</t>
  </si>
  <si>
    <t>GPB Finance PLC</t>
  </si>
  <si>
    <t>2020-10-30 21:14:25.08</t>
  </si>
  <si>
    <t>26435264</t>
  </si>
  <si>
    <t>2020-10-30 21:14:25.031</t>
  </si>
  <si>
    <t>IRO1RNPS0005</t>
  </si>
  <si>
    <t>1027110</t>
  </si>
  <si>
    <t>Pars Vegetable Oil Co.</t>
  </si>
  <si>
    <t>2020-10-30 21:14:24.884</t>
  </si>
  <si>
    <t>IRO1YASA0008</t>
  </si>
  <si>
    <t>10194655</t>
  </si>
  <si>
    <t>Iran Yasa Tire &amp; Tube</t>
  </si>
  <si>
    <t>2020-10-30 21:14:24.861</t>
  </si>
  <si>
    <t>IRO1CHML0000</t>
  </si>
  <si>
    <t>10188250</t>
  </si>
  <si>
    <t>Chadormalu mining &amp; Industrial Co.</t>
  </si>
  <si>
    <t>2020-10-30 21:14:24.844</t>
  </si>
  <si>
    <t>UA4000099139</t>
  </si>
  <si>
    <t>19834381</t>
  </si>
  <si>
    <t>Pobeda PJSC</t>
  </si>
  <si>
    <t>2020-10-30 21:14:24.824</t>
  </si>
  <si>
    <t>883260</t>
  </si>
  <si>
    <t>2020-10-30 21:14:24.804</t>
  </si>
  <si>
    <t>USP7867AAF41</t>
  </si>
  <si>
    <t>755831</t>
  </si>
  <si>
    <t>2020-10-30 21:14:24.785</t>
  </si>
  <si>
    <t>US693300AN51</t>
  </si>
  <si>
    <t>644668</t>
  </si>
  <si>
    <t>693300AN5</t>
  </si>
  <si>
    <t>2020-10-30 21:14:24.762</t>
  </si>
  <si>
    <t>RU000A0JU716</t>
  </si>
  <si>
    <t>22569067</t>
  </si>
  <si>
    <t>2020-10-30 21:14:24.735</t>
  </si>
  <si>
    <t>3237955</t>
  </si>
  <si>
    <t>2020-10-30 21:14:24.71</t>
  </si>
  <si>
    <t>RU000A101BL7</t>
  </si>
  <si>
    <t>57317298</t>
  </si>
  <si>
    <t>2020-10-30 21:14:24.67</t>
  </si>
  <si>
    <t>RU000A101HK6</t>
  </si>
  <si>
    <t>53123367</t>
  </si>
  <si>
    <t>2020-10-30 21:14:24.647</t>
  </si>
  <si>
    <t>RU000A1010K8</t>
  </si>
  <si>
    <t>51340940</t>
  </si>
  <si>
    <t>2020-10-30 21:14:24.628</t>
  </si>
  <si>
    <t>RU000A1011H2</t>
  </si>
  <si>
    <t>51114456</t>
  </si>
  <si>
    <t>2020-10-30 21:14:24.609</t>
  </si>
  <si>
    <t>RU000A100K56</t>
  </si>
  <si>
    <t>48914843</t>
  </si>
  <si>
    <t>2020-10-30 21:14:24.57</t>
  </si>
  <si>
    <t>38350239</t>
  </si>
  <si>
    <t>2020-10-30 21:14:19.258</t>
  </si>
  <si>
    <t>XS0032473414</t>
  </si>
  <si>
    <t>2048639</t>
  </si>
  <si>
    <t>2020-10-30 21:14:19.239</t>
  </si>
  <si>
    <t>XS0029478038</t>
  </si>
  <si>
    <t>2036450</t>
  </si>
  <si>
    <t>2020-10-30 21:14:19.221</t>
  </si>
  <si>
    <t>1696471</t>
  </si>
  <si>
    <t>2020-10-30 21:14:19.203</t>
  </si>
  <si>
    <t>RU000A1024M5</t>
  </si>
  <si>
    <t>57794152</t>
  </si>
  <si>
    <t>2020-10-30 21:14:19.153</t>
  </si>
  <si>
    <t>RU000A101B15</t>
  </si>
  <si>
    <t>55534107</t>
  </si>
  <si>
    <t>2020-10-30 21:14:19.11</t>
  </si>
  <si>
    <t>RU000A101AE4</t>
  </si>
  <si>
    <t>52701900</t>
  </si>
  <si>
    <t>2020-10-30 21:14:19.091</t>
  </si>
  <si>
    <t>RU000A100VC6</t>
  </si>
  <si>
    <t>50272636</t>
  </si>
  <si>
    <t>2020-10-30 21:14:19.026</t>
  </si>
  <si>
    <t>46774499</t>
  </si>
  <si>
    <t>2020-10-30 21:14:18.992</t>
  </si>
  <si>
    <t>43895940</t>
  </si>
  <si>
    <t>2020-10-30 21:14:18.971</t>
  </si>
  <si>
    <t>43166447</t>
  </si>
  <si>
    <t>2020-10-30 21:14:18.954</t>
  </si>
  <si>
    <t>39655458</t>
  </si>
  <si>
    <t>2020-10-30 21:14:18.915</t>
  </si>
  <si>
    <t>39558062</t>
  </si>
  <si>
    <t>2020-10-30 21:14:18.897</t>
  </si>
  <si>
    <t>RU000A0JXXP7</t>
  </si>
  <si>
    <t>38325277</t>
  </si>
  <si>
    <t>2020-10-30 21:14:18.879</t>
  </si>
  <si>
    <t>RU000A0JWGD0</t>
  </si>
  <si>
    <t>32557957</t>
  </si>
  <si>
    <t>2020-10-30 21:14:18.806</t>
  </si>
  <si>
    <t>31966141</t>
  </si>
  <si>
    <t>2020-10-30 21:14:18.787</t>
  </si>
  <si>
    <t>IRO1GTSH0002</t>
  </si>
  <si>
    <t>10186148</t>
  </si>
  <si>
    <t>Goltash Co</t>
  </si>
  <si>
    <t>2020-10-30 21:14:18.726</t>
  </si>
  <si>
    <t>41451131</t>
  </si>
  <si>
    <t>2020-10-30 21:14:18.708</t>
  </si>
  <si>
    <t>20398236</t>
  </si>
  <si>
    <t>Centralne konstruktorske biuro Korall PJSC</t>
  </si>
  <si>
    <t>2020-10-30 21:14:18.683</t>
  </si>
  <si>
    <t>36567922</t>
  </si>
  <si>
    <t>Concern Kalashnikov Joint stock company</t>
  </si>
  <si>
    <t>2020-10-30 21:14:18.662</t>
  </si>
  <si>
    <t>VEV00350ACG9</t>
  </si>
  <si>
    <t>883286</t>
  </si>
  <si>
    <t>2020-10-30 21:14:18.64</t>
  </si>
  <si>
    <t>38168356</t>
  </si>
  <si>
    <t>2020-10-30 21:14:18.623</t>
  </si>
  <si>
    <t>324938</t>
  </si>
  <si>
    <t>2020-10-30 21:14:18.608</t>
  </si>
  <si>
    <t>24966934</t>
  </si>
  <si>
    <t>2020-10-30 21:14:18.592</t>
  </si>
  <si>
    <t>XS0035942381</t>
  </si>
  <si>
    <t>2051481</t>
  </si>
  <si>
    <t>2020-10-30 21:14:18.572</t>
  </si>
  <si>
    <t>10643749</t>
  </si>
  <si>
    <t>2020-10-30 21:14:18.55</t>
  </si>
  <si>
    <t>RU000A101ZL6</t>
  </si>
  <si>
    <t>56410489</t>
  </si>
  <si>
    <t>2020-10-30 21:14:18.471</t>
  </si>
  <si>
    <t>RU000A101J25</t>
  </si>
  <si>
    <t>53404219</t>
  </si>
  <si>
    <t>2020-10-30 21:14:18.41</t>
  </si>
  <si>
    <t>35170009</t>
  </si>
  <si>
    <t>2020-10-30 21:14:18.337</t>
  </si>
  <si>
    <t>29042463</t>
  </si>
  <si>
    <t>2020-10-30 21:14:18.316</t>
  </si>
  <si>
    <t>26834741</t>
  </si>
  <si>
    <t>Omsk Engine Design Bureau JSC</t>
  </si>
  <si>
    <t>2020-10-30 21:14:18.295</t>
  </si>
  <si>
    <t>RU0007796926</t>
  </si>
  <si>
    <t>1648482</t>
  </si>
  <si>
    <t>2020-10-30 21:14:18.106</t>
  </si>
  <si>
    <t>IR1100001012</t>
  </si>
  <si>
    <t>40457899</t>
  </si>
  <si>
    <t>Pars Oil Co.</t>
  </si>
  <si>
    <t>2020-10-30 21:14:18.063</t>
  </si>
  <si>
    <t>IRO1TRIR0009</t>
  </si>
  <si>
    <t>3668408</t>
  </si>
  <si>
    <t>Iran Tractor Manufacturing Co.</t>
  </si>
  <si>
    <t>2020-10-30 21:14:18.028</t>
  </si>
  <si>
    <t>IRO1DMVN0009</t>
  </si>
  <si>
    <t>10660804</t>
  </si>
  <si>
    <t>Damavand Mineral Co</t>
  </si>
  <si>
    <t>2020-10-30 21:14:17.996</t>
  </si>
  <si>
    <t>CND10002KGT1</t>
  </si>
  <si>
    <t>51759232</t>
  </si>
  <si>
    <t>2020-10-30 21:14:17.978</t>
  </si>
  <si>
    <t>UA4000141741</t>
  </si>
  <si>
    <t>19089920</t>
  </si>
  <si>
    <t>Kerch taxi OJSC</t>
  </si>
  <si>
    <t>2020-10-30 21:14:17.96</t>
  </si>
  <si>
    <t>VEV00014ADQ8</t>
  </si>
  <si>
    <t>895785</t>
  </si>
  <si>
    <t>2020-10-30 21:14:12.481</t>
  </si>
  <si>
    <t>US71676QAD88</t>
  </si>
  <si>
    <t>944558</t>
  </si>
  <si>
    <t>71676QAD8</t>
  </si>
  <si>
    <t>2020-10-30 21:14:12.466</t>
  </si>
  <si>
    <t>VEV001611004</t>
  </si>
  <si>
    <t>59658</t>
  </si>
  <si>
    <t>Vengas SA</t>
  </si>
  <si>
    <t>2020-10-30 21:14:12.448</t>
  </si>
  <si>
    <t>XS0029435574</t>
  </si>
  <si>
    <t>2971716</t>
  </si>
  <si>
    <t>2020-10-30 21:14:12.429</t>
  </si>
  <si>
    <t>RU000A101UX2</t>
  </si>
  <si>
    <t>56039158</t>
  </si>
  <si>
    <t>2020-10-30 21:14:12.382</t>
  </si>
  <si>
    <t>RU000A101C48</t>
  </si>
  <si>
    <t>52120868</t>
  </si>
  <si>
    <t>2020-10-30 21:14:12.361</t>
  </si>
  <si>
    <t>42385694</t>
  </si>
  <si>
    <t>2020-10-30 21:14:12.305</t>
  </si>
  <si>
    <t>42212521</t>
  </si>
  <si>
    <t>2020-10-30 21:14:12.286</t>
  </si>
  <si>
    <t>42165487</t>
  </si>
  <si>
    <t>2020-10-30 21:14:12.269</t>
  </si>
  <si>
    <t>40477477</t>
  </si>
  <si>
    <t>2020-10-30 21:14:12.249</t>
  </si>
  <si>
    <t>39961181</t>
  </si>
  <si>
    <t>2020-10-30 21:14:12.231</t>
  </si>
  <si>
    <t>IR1100194015</t>
  </si>
  <si>
    <t>40457791</t>
  </si>
  <si>
    <t>Amin Pharmaceutical Company</t>
  </si>
  <si>
    <t>2020-10-30 21:14:12.081</t>
  </si>
  <si>
    <t>UA0104141009</t>
  </si>
  <si>
    <t>3606578</t>
  </si>
  <si>
    <t>Brom PJSC</t>
  </si>
  <si>
    <t>2020-10-30 21:14:12.062</t>
  </si>
  <si>
    <t>UA0100021007</t>
  </si>
  <si>
    <t>2671523</t>
  </si>
  <si>
    <t>DTEK KRYMENERGO JOINT-STOCK COMPANY</t>
  </si>
  <si>
    <t>2020-10-30 21:14:12.039</t>
  </si>
  <si>
    <t>VEV00014AFD1</t>
  </si>
  <si>
    <t>910672</t>
  </si>
  <si>
    <t>2020-10-30 21:14:12.021</t>
  </si>
  <si>
    <t>DE0001960425</t>
  </si>
  <si>
    <t>792638</t>
  </si>
  <si>
    <t>2020-10-30 21:14:12.003</t>
  </si>
  <si>
    <t>USG6954PAK69</t>
  </si>
  <si>
    <t>644686</t>
  </si>
  <si>
    <t>2020-10-30 21:14:11.981</t>
  </si>
  <si>
    <t>XS0035699007</t>
  </si>
  <si>
    <t>44688</t>
  </si>
  <si>
    <t>2020-10-30 21:14:11.961</t>
  </si>
  <si>
    <t>USG70415AA51</t>
  </si>
  <si>
    <t>2179460</t>
  </si>
  <si>
    <t>2020-10-30 21:14:11.943</t>
  </si>
  <si>
    <t>XS0029479275</t>
  </si>
  <si>
    <t>2036458</t>
  </si>
  <si>
    <t>2020-10-30 21:14:11.923</t>
  </si>
  <si>
    <t>47284470</t>
  </si>
  <si>
    <t>2020-10-30 21:14:11.86</t>
  </si>
  <si>
    <t>43833027</t>
  </si>
  <si>
    <t>2020-10-30 21:14:11.823</t>
  </si>
  <si>
    <t>42476469</t>
  </si>
  <si>
    <t>2020-10-30 21:14:11.804</t>
  </si>
  <si>
    <t>IRO1KHOC0009</t>
  </si>
  <si>
    <t>30186997</t>
  </si>
  <si>
    <t>Khoozestan CE.</t>
  </si>
  <si>
    <t>2020-10-30 21:14:11.692</t>
  </si>
  <si>
    <t>IRO7BKHP0003</t>
  </si>
  <si>
    <t>21845300</t>
  </si>
  <si>
    <t>2020-10-30 21:14:11.675</t>
  </si>
  <si>
    <t>IRO3BDYZ0003</t>
  </si>
  <si>
    <t>13672517</t>
  </si>
  <si>
    <t>Day Bank Co.</t>
  </si>
  <si>
    <t>2020-10-30 21:14:11.651</t>
  </si>
  <si>
    <t>IRO1PFRB0004</t>
  </si>
  <si>
    <t>1027897</t>
  </si>
  <si>
    <t>Farabi Petrochemical Co</t>
  </si>
  <si>
    <t>2020-10-30 21:14:11.628</t>
  </si>
  <si>
    <t>IRO1NIKI0003</t>
  </si>
  <si>
    <t>1027393</t>
  </si>
  <si>
    <t>National Investment Company of Iran (NICI)</t>
  </si>
  <si>
    <t>2020-10-30 21:14:11.611</t>
  </si>
  <si>
    <t>IRO1PSER0006</t>
  </si>
  <si>
    <t>1027086</t>
  </si>
  <si>
    <t>Pars Ceram</t>
  </si>
  <si>
    <t>2020-10-30 21:14:11.591</t>
  </si>
  <si>
    <t>CND100038BS7</t>
  </si>
  <si>
    <t>55121725</t>
  </si>
  <si>
    <t>2020-10-30 21:14:11.565</t>
  </si>
  <si>
    <t>33267757</t>
  </si>
  <si>
    <t>2020-10-30 21:14:11.544</t>
  </si>
  <si>
    <t>25690676</t>
  </si>
  <si>
    <t>2020-10-30 21:14:11.527</t>
  </si>
  <si>
    <t>XS0214851874</t>
  </si>
  <si>
    <t>2091957</t>
  </si>
  <si>
    <t>2020-10-30 21:14:11.509</t>
  </si>
  <si>
    <t>XS0029928503</t>
  </si>
  <si>
    <t>2054120</t>
  </si>
  <si>
    <t>2020-10-30 21:14:11.487</t>
  </si>
  <si>
    <t>USP19167AA67</t>
  </si>
  <si>
    <t>1181090</t>
  </si>
  <si>
    <t>2020-10-30 21:14:11.466</t>
  </si>
  <si>
    <t>39509688</t>
  </si>
  <si>
    <t>2020-10-30 21:14:11.446</t>
  </si>
  <si>
    <t>26539984</t>
  </si>
  <si>
    <t>2020-10-30 21:14:11.347</t>
  </si>
  <si>
    <t>IRO1DABO0006</t>
  </si>
  <si>
    <t>1027902</t>
  </si>
  <si>
    <t>Abouraihan Pharmaceutical Co.</t>
  </si>
  <si>
    <t>2020-10-30 21:14:11.291</t>
  </si>
  <si>
    <t>2392472</t>
  </si>
  <si>
    <t>2020-10-30 21:14:11.273</t>
  </si>
  <si>
    <t>VEV00014ACE6</t>
  </si>
  <si>
    <t>887564</t>
  </si>
  <si>
    <t>2020-10-30 21:14:11.252</t>
  </si>
  <si>
    <t>991231</t>
  </si>
  <si>
    <t>2020-10-30 21:14:11.233</t>
  </si>
  <si>
    <t>USG6954PAA87</t>
  </si>
  <si>
    <t>901802</t>
  </si>
  <si>
    <t>2020-10-30 21:14:11.216</t>
  </si>
  <si>
    <t>US71676QAA40</t>
  </si>
  <si>
    <t>663759</t>
  </si>
  <si>
    <t>71676QAA4</t>
  </si>
  <si>
    <t>2020-10-30 21:14:11.196</t>
  </si>
  <si>
    <t>XS0035921971</t>
  </si>
  <si>
    <t>495887</t>
  </si>
  <si>
    <t>2020-10-30 21:14:11.173</t>
  </si>
  <si>
    <t>XS0032473844</t>
  </si>
  <si>
    <t>2048649</t>
  </si>
  <si>
    <t>2020-10-30 21:14:11.155</t>
  </si>
  <si>
    <t>RU000A0DXNH8</t>
  </si>
  <si>
    <t>42257711</t>
  </si>
  <si>
    <t>Tverskoy ekskavator Zakrytoye aktsionernoye obshchestvo</t>
  </si>
  <si>
    <t>2020-10-30 21:14:11.136</t>
  </si>
  <si>
    <t>RU0006752946</t>
  </si>
  <si>
    <t>703732</t>
  </si>
  <si>
    <t>2020-10-30 21:14:11.119</t>
  </si>
  <si>
    <t>RU000A0ZYZQ4</t>
  </si>
  <si>
    <t>41060052</t>
  </si>
  <si>
    <t>2020-10-30 21:14:10.999</t>
  </si>
  <si>
    <t>26543057</t>
  </si>
  <si>
    <t>2020-10-30 21:14:10.888</t>
  </si>
  <si>
    <t>IRO1GLOR0002</t>
  </si>
  <si>
    <t>3668456</t>
  </si>
  <si>
    <t>Lorestan Sugar Co.</t>
  </si>
  <si>
    <t>2020-10-30 21:14:10.787</t>
  </si>
  <si>
    <t>IRO7RAZP0005</t>
  </si>
  <si>
    <t>19195357</t>
  </si>
  <si>
    <t>Razi Leasing Co</t>
  </si>
  <si>
    <t>2020-10-30 21:14:10.766</t>
  </si>
  <si>
    <t>1603902</t>
  </si>
  <si>
    <t>Sediran Drilling Company</t>
  </si>
  <si>
    <t>2020-10-30 21:14:10.744</t>
  </si>
  <si>
    <t>IRO1ROZD0009</t>
  </si>
  <si>
    <t>10653316</t>
  </si>
  <si>
    <t>Rouz Darou Pharmaceutical</t>
  </si>
  <si>
    <t>2020-10-30 21:14:10.728</t>
  </si>
  <si>
    <t>IRO1KGND0000</t>
  </si>
  <si>
    <t>10194684</t>
  </si>
  <si>
    <t>Ghandi Cables</t>
  </si>
  <si>
    <t>2020-10-30 21:14:10.71</t>
  </si>
  <si>
    <t>24786592</t>
  </si>
  <si>
    <t>2020-10-30 21:14:10.692</t>
  </si>
  <si>
    <t>725391</t>
  </si>
  <si>
    <t>2020-10-30 21:14:10.678</t>
  </si>
  <si>
    <t>CU0030803308</t>
  </si>
  <si>
    <t>3080330</t>
  </si>
  <si>
    <t>2020-10-30 21:14:10.656</t>
  </si>
  <si>
    <t>26404745</t>
  </si>
  <si>
    <t>2020-10-30 21:14:04.645</t>
  </si>
  <si>
    <t>VEV00350ACA2</t>
  </si>
  <si>
    <t>883182</t>
  </si>
  <si>
    <t>2020-10-30 21:14:04.528</t>
  </si>
  <si>
    <t>DE0004019781</t>
  </si>
  <si>
    <t>734866</t>
  </si>
  <si>
    <t>2020-10-30 21:14:04.508</t>
  </si>
  <si>
    <t>RU000A0JUX06</t>
  </si>
  <si>
    <t>41529846</t>
  </si>
  <si>
    <t>Mezhdunarodnyy aeroport Nizhniy Novgorod Publichnoye aktsionernoye obschestvo</t>
  </si>
  <si>
    <t>2020-10-30 21:14:04.469</t>
  </si>
  <si>
    <t>RU000A101QT8</t>
  </si>
  <si>
    <t>55133200</t>
  </si>
  <si>
    <t>2020-10-30 21:14:04.434</t>
  </si>
  <si>
    <t>RU000A0NH1G0</t>
  </si>
  <si>
    <t>49189854</t>
  </si>
  <si>
    <t>2020-10-30 21:14:04.37</t>
  </si>
  <si>
    <t>44912883</t>
  </si>
  <si>
    <t>2020-10-30 21:14:04.353</t>
  </si>
  <si>
    <t>43400676</t>
  </si>
  <si>
    <t>2020-10-30 21:14:04.333</t>
  </si>
  <si>
    <t>43013188</t>
  </si>
  <si>
    <t>2020-10-30 21:14:04.311</t>
  </si>
  <si>
    <t>41943323</t>
  </si>
  <si>
    <t>2020-10-30 21:14:04.294</t>
  </si>
  <si>
    <t>40940661</t>
  </si>
  <si>
    <t>2020-10-30 21:14:04.274</t>
  </si>
  <si>
    <t>39510723</t>
  </si>
  <si>
    <t>2020-10-30 21:14:04.215</t>
  </si>
  <si>
    <t>32617785</t>
  </si>
  <si>
    <t>Gazprombank Asset Management Company CJSC</t>
  </si>
  <si>
    <t>2020-10-30 21:14:04.157</t>
  </si>
  <si>
    <t>26406563</t>
  </si>
  <si>
    <t>2020-10-30 21:14:04.103</t>
  </si>
  <si>
    <t>RU000A100AZ1</t>
  </si>
  <si>
    <t>47617207</t>
  </si>
  <si>
    <t>Transkomplektkholding Aktsionernoye obshchestvo</t>
  </si>
  <si>
    <t>2020-10-30 21:14:04.039</t>
  </si>
  <si>
    <t>DE0004019716</t>
  </si>
  <si>
    <t>991081</t>
  </si>
  <si>
    <t>2020-10-30 21:14:04.019</t>
  </si>
  <si>
    <t>XS0029446936</t>
  </si>
  <si>
    <t>1580181</t>
  </si>
  <si>
    <t>2020-10-30 21:14:03.464</t>
  </si>
  <si>
    <t>XS0034999440</t>
  </si>
  <si>
    <t>149525</t>
  </si>
  <si>
    <t>2020-10-30 21:14:03.442</t>
  </si>
  <si>
    <t>RU000A1023X4</t>
  </si>
  <si>
    <t>57398181</t>
  </si>
  <si>
    <t>2020-10-30 21:14:03.383</t>
  </si>
  <si>
    <t>RU000A101MH2</t>
  </si>
  <si>
    <t>54538691</t>
  </si>
  <si>
    <t>2020-10-30 21:14:03.348</t>
  </si>
  <si>
    <t>36535505</t>
  </si>
  <si>
    <t>2020-10-30 21:14:03.222</t>
  </si>
  <si>
    <t>35767886</t>
  </si>
  <si>
    <t>The Sanatorium "Prometeus" Joint-stock company</t>
  </si>
  <si>
    <t>2020-10-30 21:14:03.202</t>
  </si>
  <si>
    <t>IRO1BMEL0004</t>
  </si>
  <si>
    <t>18915656</t>
  </si>
  <si>
    <t>Mellat Insurance</t>
  </si>
  <si>
    <t>2020-10-30 21:14:03.04</t>
  </si>
  <si>
    <t>IRO7IENP0006</t>
  </si>
  <si>
    <t>18379259</t>
  </si>
  <si>
    <t>EN Investment Co</t>
  </si>
  <si>
    <t>2020-10-30 21:14:03.022</t>
  </si>
  <si>
    <t>IRO3ARNZ0001</t>
  </si>
  <si>
    <t>13249676</t>
  </si>
  <si>
    <t>e-Arian Bank PJSC</t>
  </si>
  <si>
    <t>2020-10-30 21:14:02.995</t>
  </si>
  <si>
    <t>IRO1SBEH0004</t>
  </si>
  <si>
    <t>1027116</t>
  </si>
  <si>
    <t>Behshahr Industrial Co.</t>
  </si>
  <si>
    <t>2020-10-30 21:14:02.977</t>
  </si>
  <si>
    <t>CND1000176C5</t>
  </si>
  <si>
    <t>43093166</t>
  </si>
  <si>
    <t>2020-10-30 21:14:02.96</t>
  </si>
  <si>
    <t>26969840</t>
  </si>
  <si>
    <t>Xinjiang Bingtuan Water Conservancy And Hydropower Construction Engineering Group Co Ltd</t>
  </si>
  <si>
    <t>2020-10-30 21:14:02.943</t>
  </si>
  <si>
    <t>725700</t>
  </si>
  <si>
    <t>155789100</t>
  </si>
  <si>
    <t>2020-10-30 21:14:02.925</t>
  </si>
  <si>
    <t>20784600</t>
  </si>
  <si>
    <t>Alushta essential-oils farm-factory PJSC</t>
  </si>
  <si>
    <t>2020-10-30 21:14:02.902</t>
  </si>
  <si>
    <t>43648974</t>
  </si>
  <si>
    <t>2020-10-30 21:13:57.441</t>
  </si>
  <si>
    <t>25555939</t>
  </si>
  <si>
    <t>2020-10-30 21:13:57.293</t>
  </si>
  <si>
    <t>RU000A0JQ6H2</t>
  </si>
  <si>
    <t>10359882</t>
  </si>
  <si>
    <t>2020-10-30 21:13:57.249</t>
  </si>
  <si>
    <t>IRO1COMB0003</t>
  </si>
  <si>
    <t>3665613</t>
  </si>
  <si>
    <t>Combaine-Sazi Iran</t>
  </si>
  <si>
    <t>2020-10-30 21:13:57.229</t>
  </si>
  <si>
    <t>IRO7RZIP0007</t>
  </si>
  <si>
    <t>21844950</t>
  </si>
  <si>
    <t>Razi Insurance</t>
  </si>
  <si>
    <t>2020-10-30 21:13:57.208</t>
  </si>
  <si>
    <t>IRO1SYSM0004</t>
  </si>
  <si>
    <t>18382832</t>
  </si>
  <si>
    <t>System Group</t>
  </si>
  <si>
    <t>2020-10-30 21:13:57.187</t>
  </si>
  <si>
    <t>1433526</t>
  </si>
  <si>
    <t>2020-10-30 21:13:57.164</t>
  </si>
  <si>
    <t>28186326</t>
  </si>
  <si>
    <t>2020-10-30 21:13:57.141</t>
  </si>
  <si>
    <t>22883488</t>
  </si>
  <si>
    <t>2020-10-30 21:13:57.123</t>
  </si>
  <si>
    <t>12492280</t>
  </si>
  <si>
    <t>2020-10-30 21:13:57.097</t>
  </si>
  <si>
    <t>US2044211017</t>
  </si>
  <si>
    <t>546908</t>
  </si>
  <si>
    <t>204421101</t>
  </si>
  <si>
    <t>2020-10-30 21:13:57.071</t>
  </si>
  <si>
    <t>DE0001960524</t>
  </si>
  <si>
    <t>792658</t>
  </si>
  <si>
    <t>2020-10-30 21:13:57.052</t>
  </si>
  <si>
    <t>VEV00014AFX9</t>
  </si>
  <si>
    <t>910877</t>
  </si>
  <si>
    <t>2020-10-30 21:13:57.033</t>
  </si>
  <si>
    <t>RU000A0JTJX8</t>
  </si>
  <si>
    <t>20482152</t>
  </si>
  <si>
    <t>2020-10-30 21:13:56.998</t>
  </si>
  <si>
    <t>RU000A0JUW07</t>
  </si>
  <si>
    <t>56336289</t>
  </si>
  <si>
    <t>Gostinitsa Kuzminki</t>
  </si>
  <si>
    <t>2020-10-30 21:13:56.939</t>
  </si>
  <si>
    <t>RU000A100N79</t>
  </si>
  <si>
    <t>49239210</t>
  </si>
  <si>
    <t>2020-10-30 21:13:56.887</t>
  </si>
  <si>
    <t>RU000A0JWY03</t>
  </si>
  <si>
    <t>34527462</t>
  </si>
  <si>
    <t>2020-10-30 21:13:56.779</t>
  </si>
  <si>
    <t>IRO1PICH0002</t>
  </si>
  <si>
    <t>3668404</t>
  </si>
  <si>
    <t>Pichak Food Ind</t>
  </si>
  <si>
    <t>2020-10-30 21:13:56.502</t>
  </si>
  <si>
    <t>IRO7FANP0003</t>
  </si>
  <si>
    <t>19174114</t>
  </si>
  <si>
    <t>FanAva Co</t>
  </si>
  <si>
    <t>2020-10-30 21:13:56.484</t>
  </si>
  <si>
    <t>IRO1BANS0000</t>
  </si>
  <si>
    <t>13799265</t>
  </si>
  <si>
    <t>Ansar Bank Co.</t>
  </si>
  <si>
    <t>2020-10-30 21:13:56.457</t>
  </si>
  <si>
    <t>IRO1NAFT0005</t>
  </si>
  <si>
    <t>10236745</t>
  </si>
  <si>
    <t>Oil Industry Investment Co</t>
  </si>
  <si>
    <t>2020-10-30 21:13:56.431</t>
  </si>
  <si>
    <t>IRO1MAGS0006</t>
  </si>
  <si>
    <t>10192214</t>
  </si>
  <si>
    <t>Magsal Agricultural Co</t>
  </si>
  <si>
    <t>2020-10-30 21:13:56.412</t>
  </si>
  <si>
    <t>34793314</t>
  </si>
  <si>
    <t>2020-10-30 21:13:56.395</t>
  </si>
  <si>
    <t>DE0001765105</t>
  </si>
  <si>
    <t>168267</t>
  </si>
  <si>
    <t>2020-10-30 21:13:56.38</t>
  </si>
  <si>
    <t>RU000A0JR696</t>
  </si>
  <si>
    <t>12906750</t>
  </si>
  <si>
    <t>2020-10-30 21:13:56.341</t>
  </si>
  <si>
    <t>45900525</t>
  </si>
  <si>
    <t>Shipbuilding Plant Lotos JSC</t>
  </si>
  <si>
    <t>2020-10-30 21:13:56.319</t>
  </si>
  <si>
    <t>RU000A1013G0</t>
  </si>
  <si>
    <t>51286517</t>
  </si>
  <si>
    <t>2020-10-30 21:13:56.221</t>
  </si>
  <si>
    <t>RU000A101350</t>
  </si>
  <si>
    <t>51249505</t>
  </si>
  <si>
    <t>2020-10-30 21:13:56.204</t>
  </si>
  <si>
    <t>RU000A0NH1M8</t>
  </si>
  <si>
    <t>49527781</t>
  </si>
  <si>
    <t>2020-10-30 21:13:56.151</t>
  </si>
  <si>
    <t>26898387</t>
  </si>
  <si>
    <t>2020-10-30 21:13:56.042</t>
  </si>
  <si>
    <t>2020-10-30 21:13:55.997</t>
  </si>
  <si>
    <t>IRO1BIME0009</t>
  </si>
  <si>
    <t>755970</t>
  </si>
  <si>
    <t>Insurance Industry Investment</t>
  </si>
  <si>
    <t>2020-10-30 21:13:55.846</t>
  </si>
  <si>
    <t>IRO1NLAH0001</t>
  </si>
  <si>
    <t>3668453</t>
  </si>
  <si>
    <t>Ahwaz Rolling and Pipe Mills Co</t>
  </si>
  <si>
    <t>2020-10-30 21:13:55.829</t>
  </si>
  <si>
    <t>IRO1ALIR0006</t>
  </si>
  <si>
    <t>3665598</t>
  </si>
  <si>
    <t>Iran Aluminium Co.</t>
  </si>
  <si>
    <t>2020-10-30 21:13:55.812</t>
  </si>
  <si>
    <t>IRO1IPTR0001</t>
  </si>
  <si>
    <t>32403786</t>
  </si>
  <si>
    <t>Ir.Inv.Petr.</t>
  </si>
  <si>
    <t>2020-10-30 21:13:55.793</t>
  </si>
  <si>
    <t>IRO1ASIA0008</t>
  </si>
  <si>
    <t>12292493</t>
  </si>
  <si>
    <t>Asia Insurance</t>
  </si>
  <si>
    <t>2020-10-30 21:13:55.776</t>
  </si>
  <si>
    <t>CND1000316H6</t>
  </si>
  <si>
    <t>50686581</t>
  </si>
  <si>
    <t>2020-10-30 21:13:55.759</t>
  </si>
  <si>
    <t>DE0004108105</t>
  </si>
  <si>
    <t>83548</t>
  </si>
  <si>
    <t>2020-10-30 21:13:55.743</t>
  </si>
  <si>
    <t>VEV00350ABS6</t>
  </si>
  <si>
    <t>874150</t>
  </si>
  <si>
    <t>2020-10-30 21:13:55.727</t>
  </si>
  <si>
    <t>VEP97497AU84</t>
  </si>
  <si>
    <t>990958</t>
  </si>
  <si>
    <t>2020-10-30 21:13:55.71</t>
  </si>
  <si>
    <t>14233361</t>
  </si>
  <si>
    <t>The Republic of Venezuela 9.0 % Euro-Dollar Bonds 2023 Ltd</t>
  </si>
  <si>
    <t>2020-10-30 21:13:55.693</t>
  </si>
  <si>
    <t>RU000A0JU3Z5</t>
  </si>
  <si>
    <t>22243774</t>
  </si>
  <si>
    <t>2020-10-30 21:13:55.673</t>
  </si>
  <si>
    <t>RU000A0JTJY6</t>
  </si>
  <si>
    <t>20498934</t>
  </si>
  <si>
    <t>2020-10-30 21:13:55.656</t>
  </si>
  <si>
    <t>2984686</t>
  </si>
  <si>
    <t>PODZEMBURGAZ PJSC</t>
  </si>
  <si>
    <t>2020-10-30 21:13:55.637</t>
  </si>
  <si>
    <t>RU000A102275</t>
  </si>
  <si>
    <t>56783177</t>
  </si>
  <si>
    <t>2020-10-30 21:13:55.617</t>
  </si>
  <si>
    <t>RU000A100KW7</t>
  </si>
  <si>
    <t>49003660</t>
  </si>
  <si>
    <t>2020-10-30 21:13:55.562</t>
  </si>
  <si>
    <t>45178437</t>
  </si>
  <si>
    <t>2020-10-30 21:13:55.509</t>
  </si>
  <si>
    <t>RU000A101673</t>
  </si>
  <si>
    <t>51549990</t>
  </si>
  <si>
    <t>2020-10-30 21:13:50.417</t>
  </si>
  <si>
    <t>39923915</t>
  </si>
  <si>
    <t>2020-10-30 21:13:50.359</t>
  </si>
  <si>
    <t>30928988</t>
  </si>
  <si>
    <t>2020-10-30 21:13:50.315</t>
  </si>
  <si>
    <t>IRO1SOLI0009</t>
  </si>
  <si>
    <t>3668401</t>
  </si>
  <si>
    <t>Soliran Corporation</t>
  </si>
  <si>
    <t>2020-10-30 21:13:50.229</t>
  </si>
  <si>
    <t>IRO7PKZP0005</t>
  </si>
  <si>
    <t>19195309</t>
  </si>
  <si>
    <t>Kazeroon Petro</t>
  </si>
  <si>
    <t>2020-10-30 21:13:50.206</t>
  </si>
  <si>
    <t>IRO7BHEP0001</t>
  </si>
  <si>
    <t>18377078</t>
  </si>
  <si>
    <t>Persian Paradise Maker Trading Company LLP</t>
  </si>
  <si>
    <t>2020-10-30 21:13:50.187</t>
  </si>
  <si>
    <t>1453169</t>
  </si>
  <si>
    <t>2020-10-30 21:13:50.165</t>
  </si>
  <si>
    <t>IRO1SSHR0000</t>
  </si>
  <si>
    <t>1256405</t>
  </si>
  <si>
    <t>Shargh Cement Co</t>
  </si>
  <si>
    <t>2020-10-30 21:13:50.141</t>
  </si>
  <si>
    <t>IRO1SEPA0005</t>
  </si>
  <si>
    <t>11670037</t>
  </si>
  <si>
    <t>Sepahan Industrial Group Co.</t>
  </si>
  <si>
    <t>2020-10-30 21:13:50.122</t>
  </si>
  <si>
    <t>34474159</t>
  </si>
  <si>
    <t>2020-10-30 21:13:50.105</t>
  </si>
  <si>
    <t>US9226442088</t>
  </si>
  <si>
    <t>991430</t>
  </si>
  <si>
    <t>922644208</t>
  </si>
  <si>
    <t>Venezolana de Prerreducidos Caroni VENPRECAR C.A.</t>
  </si>
  <si>
    <t>2020-10-30 21:13:50.085</t>
  </si>
  <si>
    <t>DE0001960920</t>
  </si>
  <si>
    <t>836779</t>
  </si>
  <si>
    <t>2020-10-30 21:13:50.065</t>
  </si>
  <si>
    <t>324937</t>
  </si>
  <si>
    <t>2020-10-30 21:13:50.031</t>
  </si>
  <si>
    <t>XS0035940336</t>
  </si>
  <si>
    <t>2050737</t>
  </si>
  <si>
    <t>2020-10-30 21:13:50.014</t>
  </si>
  <si>
    <t>RU000A102168</t>
  </si>
  <si>
    <t>56635337</t>
  </si>
  <si>
    <t>2020-10-30 21:13:49.994</t>
  </si>
  <si>
    <t>RU000A100T24</t>
  </si>
  <si>
    <t>49917450</t>
  </si>
  <si>
    <t>2020-10-30 21:13:49.948</t>
  </si>
  <si>
    <t>44987697</t>
  </si>
  <si>
    <t>2020-10-30 21:13:49.884</t>
  </si>
  <si>
    <t>44825560</t>
  </si>
  <si>
    <t>2020-10-30 21:13:49.864</t>
  </si>
  <si>
    <t>37668873</t>
  </si>
  <si>
    <t>2020-10-30 21:13:49.778</t>
  </si>
  <si>
    <t>RU000A0JWE31</t>
  </si>
  <si>
    <t>32337579</t>
  </si>
  <si>
    <t>BETIAR-22 OAO</t>
  </si>
  <si>
    <t>2020-10-30 21:13:49.718</t>
  </si>
  <si>
    <t>29435605</t>
  </si>
  <si>
    <t>2020-10-30 21:13:49.699</t>
  </si>
  <si>
    <t>XS0032936618</t>
  </si>
  <si>
    <t>1583743</t>
  </si>
  <si>
    <t>2020-10-30 21:13:48.91</t>
  </si>
  <si>
    <t>XS0029436119</t>
  </si>
  <si>
    <t>1579324</t>
  </si>
  <si>
    <t>2020-10-30 21:13:48.888</t>
  </si>
  <si>
    <t>43695279</t>
  </si>
  <si>
    <t>2020-10-30 21:13:48.871</t>
  </si>
  <si>
    <t>RU000A101L13</t>
  </si>
  <si>
    <t>54195682</t>
  </si>
  <si>
    <t>2020-10-30 21:13:48.838</t>
  </si>
  <si>
    <t>41480741</t>
  </si>
  <si>
    <t>2020-10-30 21:13:48.762</t>
  </si>
  <si>
    <t>RU000A0ZYCW1</t>
  </si>
  <si>
    <t>38731592</t>
  </si>
  <si>
    <t>2020-10-30 21:13:48.744</t>
  </si>
  <si>
    <t>35767880</t>
  </si>
  <si>
    <t>GPB-Tekhnopolis Aktsionernoye obshchestvo</t>
  </si>
  <si>
    <t>2020-10-30 21:13:48.704</t>
  </si>
  <si>
    <t>IRO1SZPO0004</t>
  </si>
  <si>
    <t>10302415</t>
  </si>
  <si>
    <t>Sazeh Pouyesh Co</t>
  </si>
  <si>
    <t>2020-10-30 21:13:48.574</t>
  </si>
  <si>
    <t>IRO1SSOF0005</t>
  </si>
  <si>
    <t>1027095</t>
  </si>
  <si>
    <t>Soufian Cement Co.</t>
  </si>
  <si>
    <t>2020-10-30 21:13:48.554</t>
  </si>
  <si>
    <t>20113838</t>
  </si>
  <si>
    <t>2020-10-30 21:13:48.533</t>
  </si>
  <si>
    <t>CU0048396840</t>
  </si>
  <si>
    <t>4839684</t>
  </si>
  <si>
    <t>2020-10-30 21:13:48.518</t>
  </si>
  <si>
    <t>282832</t>
  </si>
  <si>
    <t>2020-10-30 21:13:48.499</t>
  </si>
  <si>
    <t>VEV00014ACI7</t>
  </si>
  <si>
    <t>887637</t>
  </si>
  <si>
    <t>2020-10-30 21:13:48.484</t>
  </si>
  <si>
    <t>VEV00014AAN1</t>
  </si>
  <si>
    <t>886079</t>
  </si>
  <si>
    <t>2020-10-30 21:13:48.466</t>
  </si>
  <si>
    <t>40195455</t>
  </si>
  <si>
    <t>2020-10-30 21:13:43.178</t>
  </si>
  <si>
    <t>VEP36300AQ77</t>
  </si>
  <si>
    <t>990992</t>
  </si>
  <si>
    <t>2020-10-30 21:13:42.267</t>
  </si>
  <si>
    <t>DE0001896470</t>
  </si>
  <si>
    <t>586857</t>
  </si>
  <si>
    <t>2020-10-30 21:13:42.243</t>
  </si>
  <si>
    <t>38205320</t>
  </si>
  <si>
    <t>2020-10-30 21:13:42.217</t>
  </si>
  <si>
    <t>RU000A101PR4</t>
  </si>
  <si>
    <t>54990640</t>
  </si>
  <si>
    <t>2020-10-30 21:13:42.159</t>
  </si>
  <si>
    <t>RU000A1017S6</t>
  </si>
  <si>
    <t>51697975</t>
  </si>
  <si>
    <t>2020-10-30 21:13:42.076</t>
  </si>
  <si>
    <t>RU000A100VT0</t>
  </si>
  <si>
    <t>50331086</t>
  </si>
  <si>
    <t>2020-10-30 21:13:42.057</t>
  </si>
  <si>
    <t>48357364</t>
  </si>
  <si>
    <t>2020-10-30 21:13:42.019</t>
  </si>
  <si>
    <t>47102529</t>
  </si>
  <si>
    <t>2020-10-30 21:13:41.976</t>
  </si>
  <si>
    <t>46456379</t>
  </si>
  <si>
    <t>2020-10-30 21:13:41.954</t>
  </si>
  <si>
    <t>46143178</t>
  </si>
  <si>
    <t>2020-10-30 21:13:41.935</t>
  </si>
  <si>
    <t>2020-10-30 21:13:41.814</t>
  </si>
  <si>
    <t>34347245</t>
  </si>
  <si>
    <t>2020-10-30 21:13:41.771</t>
  </si>
  <si>
    <t>27208521</t>
  </si>
  <si>
    <t>Yamal LNG JSC</t>
  </si>
  <si>
    <t>2020-10-30 21:13:41.753</t>
  </si>
  <si>
    <t>IRO1KGHM0007</t>
  </si>
  <si>
    <t>3668444</t>
  </si>
  <si>
    <t>Kaghaz-Sazi Ghaemshahr</t>
  </si>
  <si>
    <t>2020-10-30 21:13:41.583</t>
  </si>
  <si>
    <t>IR1100281010</t>
  </si>
  <si>
    <t>3665432</t>
  </si>
  <si>
    <t>Alborz Packing Industries</t>
  </si>
  <si>
    <t>2020-10-30 21:13:41.56</t>
  </si>
  <si>
    <t>IRO1ABIK0005</t>
  </si>
  <si>
    <t>19558745</t>
  </si>
  <si>
    <t>Abiak Cement</t>
  </si>
  <si>
    <t>2020-10-30 21:13:41.54</t>
  </si>
  <si>
    <t>IRO1SHMD0002</t>
  </si>
  <si>
    <t>1581607</t>
  </si>
  <si>
    <t>Hamadan Glass Co</t>
  </si>
  <si>
    <t>2020-10-30 21:13:41.518</t>
  </si>
  <si>
    <t>IRO1SHIN0006</t>
  </si>
  <si>
    <t>1028958</t>
  </si>
  <si>
    <t>Shahin Plastic Manufacturing Co.</t>
  </si>
  <si>
    <t>2020-10-30 21:13:41.5</t>
  </si>
  <si>
    <t>CND10001X7Z0</t>
  </si>
  <si>
    <t>46187360</t>
  </si>
  <si>
    <t>2020-10-30 21:13:41.478</t>
  </si>
  <si>
    <t>42355209</t>
  </si>
  <si>
    <t>2020-10-30 21:13:33.396</t>
  </si>
  <si>
    <t>CND100012XS6</t>
  </si>
  <si>
    <t>31364064</t>
  </si>
  <si>
    <t>2020-10-30 21:13:33.376</t>
  </si>
  <si>
    <t>VEV00014AGW9</t>
  </si>
  <si>
    <t>992493</t>
  </si>
  <si>
    <t>2020-10-30 21:13:33.353</t>
  </si>
  <si>
    <t>GB0049275364</t>
  </si>
  <si>
    <t>990949</t>
  </si>
  <si>
    <t>2020-10-30 21:13:33.332</t>
  </si>
  <si>
    <t>XS0032493958</t>
  </si>
  <si>
    <t>925223</t>
  </si>
  <si>
    <t>2020-10-30 21:13:33.31</t>
  </si>
  <si>
    <t>RU000A0JRXE3</t>
  </si>
  <si>
    <t>14436458</t>
  </si>
  <si>
    <t>2020-10-30 21:13:33.292</t>
  </si>
  <si>
    <t>RU000A101XL1</t>
  </si>
  <si>
    <t>56192407</t>
  </si>
  <si>
    <t>2020-10-30 21:13:33.228</t>
  </si>
  <si>
    <t>RU000A101MK6</t>
  </si>
  <si>
    <t>54538692</t>
  </si>
  <si>
    <t>2020-10-30 21:13:33.205</t>
  </si>
  <si>
    <t>RU000A101AJ3</t>
  </si>
  <si>
    <t>53060539</t>
  </si>
  <si>
    <t>2020-10-30 21:13:33.184</t>
  </si>
  <si>
    <t>RU000A1012L2</t>
  </si>
  <si>
    <t>51177372</t>
  </si>
  <si>
    <t>2020-10-30 21:13:33.162</t>
  </si>
  <si>
    <t>48424492</t>
  </si>
  <si>
    <t>2020-10-30 21:13:33.138</t>
  </si>
  <si>
    <t>IRO1GPSH0006</t>
  </si>
  <si>
    <t>3665647</t>
  </si>
  <si>
    <t>Piranshahr Sugar Co.</t>
  </si>
  <si>
    <t>2020-10-30 21:13:32.919</t>
  </si>
  <si>
    <t>IRO1TMVD0003</t>
  </si>
  <si>
    <t>3665547</t>
  </si>
  <si>
    <t>Temad Active Pharmaceutical</t>
  </si>
  <si>
    <t>2020-10-30 21:13:32.898</t>
  </si>
  <si>
    <t>IRO7PRAP0007</t>
  </si>
  <si>
    <t>19173947</t>
  </si>
  <si>
    <t>Parsa Co</t>
  </si>
  <si>
    <t>2020-10-30 21:13:32.877</t>
  </si>
  <si>
    <t>IRO1KPAS0007</t>
  </si>
  <si>
    <t>10644206</t>
  </si>
  <si>
    <t>Pars Carton Co</t>
  </si>
  <si>
    <t>2020-10-30 21:13:32.859</t>
  </si>
  <si>
    <t>53466846</t>
  </si>
  <si>
    <t>2020-10-30 21:13:32.839</t>
  </si>
  <si>
    <t>27576194</t>
  </si>
  <si>
    <t>2020-10-30 21:13:32.816</t>
  </si>
  <si>
    <t>18590642</t>
  </si>
  <si>
    <t>Simferopol Intarnational Airport PJSC</t>
  </si>
  <si>
    <t>2020-10-30 21:13:32.8</t>
  </si>
  <si>
    <t>VEV00014AEJ1</t>
  </si>
  <si>
    <t>900138</t>
  </si>
  <si>
    <t>2020-10-30 21:13:32.777</t>
  </si>
  <si>
    <t>DE0001960698</t>
  </si>
  <si>
    <t>793074</t>
  </si>
  <si>
    <t>2020-10-30 21:13:32.758</t>
  </si>
  <si>
    <t>XS0032489683</t>
  </si>
  <si>
    <t>44454</t>
  </si>
  <si>
    <t>2020-10-30 21:13:32.735</t>
  </si>
  <si>
    <t>38350285</t>
  </si>
  <si>
    <t>2020-10-30 21:13:32.715</t>
  </si>
  <si>
    <t>3655826</t>
  </si>
  <si>
    <t>2020-10-30 21:13:32.69</t>
  </si>
  <si>
    <t>US716558AA96</t>
  </si>
  <si>
    <t>12046116</t>
  </si>
  <si>
    <t>716558AA9</t>
  </si>
  <si>
    <t>2020-10-30 21:13:32.669</t>
  </si>
  <si>
    <t>RU000A0JUNW0</t>
  </si>
  <si>
    <t>24698636</t>
  </si>
  <si>
    <t>2020-10-30 21:13:32.647</t>
  </si>
  <si>
    <t>RU000A1020C4</t>
  </si>
  <si>
    <t>56486880</t>
  </si>
  <si>
    <t>2020-10-30 21:13:32.534</t>
  </si>
  <si>
    <t>RU000A101TF1</t>
  </si>
  <si>
    <t>55564521</t>
  </si>
  <si>
    <t>2020-10-30 21:13:32.506</t>
  </si>
  <si>
    <t>34413756</t>
  </si>
  <si>
    <t>2020-10-30 21:13:32.42</t>
  </si>
  <si>
    <t>32880491</t>
  </si>
  <si>
    <t>2020-10-30 21:13:32.4</t>
  </si>
  <si>
    <t>RU000A0JST97</t>
  </si>
  <si>
    <t>32216150</t>
  </si>
  <si>
    <t>VTB Life insurance JSC</t>
  </si>
  <si>
    <t>2020-10-30 21:13:32.374</t>
  </si>
  <si>
    <t>755968</t>
  </si>
  <si>
    <t>2020-10-30 21:13:32.203</t>
  </si>
  <si>
    <t>IR1100208013</t>
  </si>
  <si>
    <t>40457918</t>
  </si>
  <si>
    <t>2020-10-30 21:13:32.181</t>
  </si>
  <si>
    <t>IRO1DSOB0006</t>
  </si>
  <si>
    <t>10653317</t>
  </si>
  <si>
    <t>Sobhan Pharmaceutical Co</t>
  </si>
  <si>
    <t>2020-10-30 21:13:32.154</t>
  </si>
  <si>
    <t>IRO1PPRS0003</t>
  </si>
  <si>
    <t>10234502</t>
  </si>
  <si>
    <t>Pars Pump Engineering &amp; Mfg Co</t>
  </si>
  <si>
    <t>2020-10-30 21:13:32.135</t>
  </si>
  <si>
    <t>DE0001896454</t>
  </si>
  <si>
    <t>586853</t>
  </si>
  <si>
    <t>2020-10-30 21:13:32.115</t>
  </si>
  <si>
    <t>XS0035946887</t>
  </si>
  <si>
    <t>2051689</t>
  </si>
  <si>
    <t>2020-10-30 21:13:32.095</t>
  </si>
  <si>
    <t>2020-10-30 21:13:32.076</t>
  </si>
  <si>
    <t>RU000A0JRZJ7</t>
  </si>
  <si>
    <t>38942940</t>
  </si>
  <si>
    <t>2020-10-30 21:13:32.049</t>
  </si>
  <si>
    <t>RU000A102416</t>
  </si>
  <si>
    <t>57421253</t>
  </si>
  <si>
    <t>2020-10-30 21:13:31.99</t>
  </si>
  <si>
    <t>RU000A0NH1W7</t>
  </si>
  <si>
    <t>56930797</t>
  </si>
  <si>
    <t>2020-10-30 21:13:31.97</t>
  </si>
  <si>
    <t>RU000A101QH3</t>
  </si>
  <si>
    <t>55103171</t>
  </si>
  <si>
    <t>2020-10-30 21:13:31.927</t>
  </si>
  <si>
    <t>RU000A0JTFE6</t>
  </si>
  <si>
    <t>54329693</t>
  </si>
  <si>
    <t>2020-10-30 21:13:31.905</t>
  </si>
  <si>
    <t>RU000A1019H5</t>
  </si>
  <si>
    <t>51764171</t>
  </si>
  <si>
    <t>2020-10-30 21:13:31.861</t>
  </si>
  <si>
    <t>RU000A1018P0</t>
  </si>
  <si>
    <t>51726810</t>
  </si>
  <si>
    <t>2020-10-30 21:13:31.839</t>
  </si>
  <si>
    <t>RU000A0NH1E5</t>
  </si>
  <si>
    <t>49071383</t>
  </si>
  <si>
    <t>2020-10-30 21:13:31.781</t>
  </si>
  <si>
    <t>RU000A100KQ9</t>
  </si>
  <si>
    <t>48983298</t>
  </si>
  <si>
    <t>2020-10-30 21:13:31.762</t>
  </si>
  <si>
    <t>34822871</t>
  </si>
  <si>
    <t>2020-10-30 21:13:31.576</t>
  </si>
  <si>
    <t>755967</t>
  </si>
  <si>
    <t>2020-10-30 21:13:31.442</t>
  </si>
  <si>
    <t>IRO1KRIR0008</t>
  </si>
  <si>
    <t>1581620</t>
  </si>
  <si>
    <t>Iran Carburetter Co</t>
  </si>
  <si>
    <t>2020-10-30 21:13:31.425</t>
  </si>
  <si>
    <t>IRO3AFRZ0001</t>
  </si>
  <si>
    <t>13672450</t>
  </si>
  <si>
    <t>Afranet Co.</t>
  </si>
  <si>
    <t>2020-10-30 21:13:31.402</t>
  </si>
  <si>
    <t>IRO1BDAN0007</t>
  </si>
  <si>
    <t>12384045</t>
  </si>
  <si>
    <t>Dana Insurance</t>
  </si>
  <si>
    <t>2020-10-30 21:13:31.381</t>
  </si>
  <si>
    <t>10241874</t>
  </si>
  <si>
    <t>2020-10-30 21:13:31.362</t>
  </si>
  <si>
    <t>VEV00014AEH5</t>
  </si>
  <si>
    <t>890189</t>
  </si>
  <si>
    <t>2020-10-30 21:13:31.343</t>
  </si>
  <si>
    <t>VEV00014AFQ3</t>
  </si>
  <si>
    <t>910841</t>
  </si>
  <si>
    <t>2020-10-30 21:13:25.083</t>
  </si>
  <si>
    <t>VEP974551106</t>
  </si>
  <si>
    <t>991429</t>
  </si>
  <si>
    <t>2020-10-30 21:13:25.059</t>
  </si>
  <si>
    <t>RU0003880096</t>
  </si>
  <si>
    <t>1639145</t>
  </si>
  <si>
    <t>2020-10-30 21:13:25.034</t>
  </si>
  <si>
    <t>RU000A101S40</t>
  </si>
  <si>
    <t>55261992</t>
  </si>
  <si>
    <t>2020-10-30 21:13:24.949</t>
  </si>
  <si>
    <t>RU000A101AQ8</t>
  </si>
  <si>
    <t>53840010</t>
  </si>
  <si>
    <t>2020-10-30 21:13:24.931</t>
  </si>
  <si>
    <t>47158191</t>
  </si>
  <si>
    <t>Slavneft Oil&amp;Gas Public Joint Stock Company</t>
  </si>
  <si>
    <t>2020-10-30 21:13:24.873</t>
  </si>
  <si>
    <t>RU000A0JXX37</t>
  </si>
  <si>
    <t>37643793</t>
  </si>
  <si>
    <t>2020-10-30 21:13:24.752</t>
  </si>
  <si>
    <t>IRO1SINA0003</t>
  </si>
  <si>
    <t>11669983</t>
  </si>
  <si>
    <t>Sina Tile &amp; Ceramic Co.</t>
  </si>
  <si>
    <t>2020-10-30 21:13:24.648</t>
  </si>
  <si>
    <t>874153</t>
  </si>
  <si>
    <t>2020-10-30 21:13:24.629</t>
  </si>
  <si>
    <t>DE0001960433</t>
  </si>
  <si>
    <t>792640</t>
  </si>
  <si>
    <t>2020-10-30 21:13:24.611</t>
  </si>
  <si>
    <t>DE0001896504</t>
  </si>
  <si>
    <t>586865</t>
  </si>
  <si>
    <t>2020-10-30 21:13:23.988</t>
  </si>
  <si>
    <t>939875</t>
  </si>
  <si>
    <t>922646AT1</t>
  </si>
  <si>
    <t>2020-10-30 21:13:23.967</t>
  </si>
  <si>
    <t>XS0035923753</t>
  </si>
  <si>
    <t>884237</t>
  </si>
  <si>
    <t>2020-10-30 21:13:23.942</t>
  </si>
  <si>
    <t>XS0029460093</t>
  </si>
  <si>
    <t>53406</t>
  </si>
  <si>
    <t>2020-10-30 21:13:23.924</t>
  </si>
  <si>
    <t>XS0041540534</t>
  </si>
  <si>
    <t>35580</t>
  </si>
  <si>
    <t>2020-10-30 21:13:23.904</t>
  </si>
  <si>
    <t>XS0029457974</t>
  </si>
  <si>
    <t>1583679</t>
  </si>
  <si>
    <t>2020-10-30 21:13:23.884</t>
  </si>
  <si>
    <t>RU0009102834</t>
  </si>
  <si>
    <t>564125</t>
  </si>
  <si>
    <t>GAZ PJSC</t>
  </si>
  <si>
    <t>2020-10-30 21:13:23.865</t>
  </si>
  <si>
    <t>RU000A101129</t>
  </si>
  <si>
    <t>51093004</t>
  </si>
  <si>
    <t>2020-10-30 21:13:23.781</t>
  </si>
  <si>
    <t>RU000A100QV6</t>
  </si>
  <si>
    <t>49589639</t>
  </si>
  <si>
    <t>2020-10-30 21:13:23.766</t>
  </si>
  <si>
    <t>35118351</t>
  </si>
  <si>
    <t>EXIMBANK OF RUSSIA</t>
  </si>
  <si>
    <t>2020-10-30 21:13:23.665</t>
  </si>
  <si>
    <t>32529614</t>
  </si>
  <si>
    <t>2020-10-30 21:13:23.624</t>
  </si>
  <si>
    <t>IRO3BMAZ0000</t>
  </si>
  <si>
    <t>20345269</t>
  </si>
  <si>
    <t>Bargh Mapna Co</t>
  </si>
  <si>
    <t>2020-10-30 21:13:13.214</t>
  </si>
  <si>
    <t>IRO7DBRP0000</t>
  </si>
  <si>
    <t>18912449</t>
  </si>
  <si>
    <t>Tadbirgaran Inv</t>
  </si>
  <si>
    <t>2020-10-30 21:13:13.194</t>
  </si>
  <si>
    <t>IRO1DFRB0008</t>
  </si>
  <si>
    <t>1581603</t>
  </si>
  <si>
    <t>Farabi Pharmaceutical Co</t>
  </si>
  <si>
    <t>2020-10-30 21:13:13.176</t>
  </si>
  <si>
    <t>IRO1SISH0001</t>
  </si>
  <si>
    <t>11670049</t>
  </si>
  <si>
    <t>Saipa Glass Co.</t>
  </si>
  <si>
    <t>2020-10-30 21:13:13.156</t>
  </si>
  <si>
    <t>VEP36300AH78</t>
  </si>
  <si>
    <t>991139</t>
  </si>
  <si>
    <t>2020-10-30 21:13:12.209</t>
  </si>
  <si>
    <t>DE0001960946</t>
  </si>
  <si>
    <t>836782</t>
  </si>
  <si>
    <t>2020-10-30 21:13:12.192</t>
  </si>
  <si>
    <t>US693300AQ82</t>
  </si>
  <si>
    <t>644682</t>
  </si>
  <si>
    <t>693300AQ8</t>
  </si>
  <si>
    <t>2020-10-30 21:13:12.172</t>
  </si>
  <si>
    <t>38158457</t>
  </si>
  <si>
    <t>2020-10-30 21:13:12.154</t>
  </si>
  <si>
    <t>RU000A101B07</t>
  </si>
  <si>
    <t>55502267</t>
  </si>
  <si>
    <t>2020-10-30 21:13:12.118</t>
  </si>
  <si>
    <t>RU000A101517</t>
  </si>
  <si>
    <t>51633552</t>
  </si>
  <si>
    <t>2020-10-30 21:13:12.081</t>
  </si>
  <si>
    <t>RU000A100U70</t>
  </si>
  <si>
    <t>50473182</t>
  </si>
  <si>
    <t>2020-10-30 21:13:12.036</t>
  </si>
  <si>
    <t>RU000A100UC8</t>
  </si>
  <si>
    <t>50245409</t>
  </si>
  <si>
    <t>2020-10-30 21:13:12.005</t>
  </si>
  <si>
    <t>48634038</t>
  </si>
  <si>
    <t>2020-10-30 21:13:11.949</t>
  </si>
  <si>
    <t>48424490</t>
  </si>
  <si>
    <t>2020-10-30 21:13:11.928</t>
  </si>
  <si>
    <t>39704515</t>
  </si>
  <si>
    <t>2020-10-30 21:13:11.795</t>
  </si>
  <si>
    <t>36472303</t>
  </si>
  <si>
    <t>2020-10-30 21:13:11.756</t>
  </si>
  <si>
    <t>25348444</t>
  </si>
  <si>
    <t>Sberbank CZ a.s.</t>
  </si>
  <si>
    <t>2020-10-30 21:13:11.737</t>
  </si>
  <si>
    <t>20165904</t>
  </si>
  <si>
    <t>2020-10-30 21:13:11.68</t>
  </si>
  <si>
    <t>755921</t>
  </si>
  <si>
    <t>2020-10-30 21:13:11.609</t>
  </si>
  <si>
    <t>755915</t>
  </si>
  <si>
    <t>Fiatec Co.Ltd.</t>
  </si>
  <si>
    <t>2020-10-30 21:13:11.593</t>
  </si>
  <si>
    <t>IRO1DKSR0002</t>
  </si>
  <si>
    <t>3666599</t>
  </si>
  <si>
    <t>Cosar Pharmaceutical Co.</t>
  </si>
  <si>
    <t>2020-10-30 21:13:11.572</t>
  </si>
  <si>
    <t>IRO1NGRB0005</t>
  </si>
  <si>
    <t>3663786</t>
  </si>
  <si>
    <t>Nasaji Gharb</t>
  </si>
  <si>
    <t>2020-10-30 21:13:11.555</t>
  </si>
  <si>
    <t>XD0002749469</t>
  </si>
  <si>
    <t>274946</t>
  </si>
  <si>
    <t>2020-10-30 21:13:11.531</t>
  </si>
  <si>
    <t>IRO1BRAK0004</t>
  </si>
  <si>
    <t>13684393</t>
  </si>
  <si>
    <t>Iran Barak Woolen Co.</t>
  </si>
  <si>
    <t>2020-10-30 21:13:11.513</t>
  </si>
  <si>
    <t>IRO1PNES0000</t>
  </si>
  <si>
    <t>11927180</t>
  </si>
  <si>
    <t>Esfahan Oil Refining Co</t>
  </si>
  <si>
    <t>2020-10-30 21:13:11.493</t>
  </si>
  <si>
    <t>IRO1ZNGN0001</t>
  </si>
  <si>
    <t>11671839</t>
  </si>
  <si>
    <t>Zangan Electrical Equipment Co.</t>
  </si>
  <si>
    <t>2020-10-30 21:13:11.469</t>
  </si>
  <si>
    <t>CND10003GPV4</t>
  </si>
  <si>
    <t>56213221</t>
  </si>
  <si>
    <t>2020-10-30 21:13:11.448</t>
  </si>
  <si>
    <t>2392449</t>
  </si>
  <si>
    <t>2020-10-30 21:13:11.427</t>
  </si>
  <si>
    <t>IRO1COLR0006</t>
  </si>
  <si>
    <t>3663801</t>
  </si>
  <si>
    <t>Cooler-Sazi Iran</t>
  </si>
  <si>
    <t>2020-10-30 21:13:06.808</t>
  </si>
  <si>
    <t>IRO7TFSP0007</t>
  </si>
  <si>
    <t>19195342</t>
  </si>
  <si>
    <t>IRISLMTC</t>
  </si>
  <si>
    <t>2020-10-30 21:13:06.789</t>
  </si>
  <si>
    <t>IRO1LYZD0003</t>
  </si>
  <si>
    <t>19195303</t>
  </si>
  <si>
    <t>Yazd Tire</t>
  </si>
  <si>
    <t>2020-10-30 21:13:06.769</t>
  </si>
  <si>
    <t>IRO7BISP0004</t>
  </si>
  <si>
    <t>18909101</t>
  </si>
  <si>
    <t>Bisotun Petrochemical Company</t>
  </si>
  <si>
    <t>2020-10-30 21:13:06.753</t>
  </si>
  <si>
    <t>IRO1VASH0004</t>
  </si>
  <si>
    <t>10185905</t>
  </si>
  <si>
    <t>Henkel Pakvash Co</t>
  </si>
  <si>
    <t>2020-10-30 21:13:06.731</t>
  </si>
  <si>
    <t>CND10002BP96</t>
  </si>
  <si>
    <t>47837208</t>
  </si>
  <si>
    <t>2020-10-30 21:13:06.712</t>
  </si>
  <si>
    <t>CND10001QPX3</t>
  </si>
  <si>
    <t>44636407</t>
  </si>
  <si>
    <t>2020-10-30 21:13:06.694</t>
  </si>
  <si>
    <t>3890310</t>
  </si>
  <si>
    <t>2020-10-30 21:13:06.671</t>
  </si>
  <si>
    <t>CU0048397004</t>
  </si>
  <si>
    <t>4839700</t>
  </si>
  <si>
    <t>2020-10-30 21:13:06.649</t>
  </si>
  <si>
    <t>VEV00014AFS9</t>
  </si>
  <si>
    <t>910845</t>
  </si>
  <si>
    <t>2020-10-30 21:13:06.628</t>
  </si>
  <si>
    <t>VEP363001200</t>
  </si>
  <si>
    <t>290862</t>
  </si>
  <si>
    <t>2020-10-30 21:13:06.605</t>
  </si>
  <si>
    <t>XS0029435814</t>
  </si>
  <si>
    <t>1579316</t>
  </si>
  <si>
    <t>2020-10-30 21:13:06.585</t>
  </si>
  <si>
    <t>2233773</t>
  </si>
  <si>
    <t>2020-10-30 21:13:06.563</t>
  </si>
  <si>
    <t>711505</t>
  </si>
  <si>
    <t>2020-10-30 21:13:06.537</t>
  </si>
  <si>
    <t>RU000A1026E7</t>
  </si>
  <si>
    <t>57447320</t>
  </si>
  <si>
    <t>2020-10-30 21:13:06.472</t>
  </si>
  <si>
    <t>RU000A1025Z4</t>
  </si>
  <si>
    <t>57400271</t>
  </si>
  <si>
    <t>2020-10-30 21:13:06.451</t>
  </si>
  <si>
    <t>RU000A0NH1X5</t>
  </si>
  <si>
    <t>56930811</t>
  </si>
  <si>
    <t>2020-10-30 21:13:06.425</t>
  </si>
  <si>
    <t>RU000A101AB0</t>
  </si>
  <si>
    <t>52595233</t>
  </si>
  <si>
    <t>2020-10-30 21:13:06.383</t>
  </si>
  <si>
    <t>RU000A100XN9</t>
  </si>
  <si>
    <t>51110297</t>
  </si>
  <si>
    <t>2020-10-30 21:13:06.362</t>
  </si>
  <si>
    <t>RU000A100UY2</t>
  </si>
  <si>
    <t>50220276</t>
  </si>
  <si>
    <t>2020-10-30 21:13:06.323</t>
  </si>
  <si>
    <t>RU000A100RC4</t>
  </si>
  <si>
    <t>49684168</t>
  </si>
  <si>
    <t>2020-10-30 21:13:06.302</t>
  </si>
  <si>
    <t>RU000A100C15</t>
  </si>
  <si>
    <t>47846312</t>
  </si>
  <si>
    <t>Kamov OJSC</t>
  </si>
  <si>
    <t>2020-10-30 21:13:06.281</t>
  </si>
  <si>
    <t>42941598</t>
  </si>
  <si>
    <t>2020-10-30 21:13:06.24</t>
  </si>
  <si>
    <t>39702510</t>
  </si>
  <si>
    <t>2020-10-30 21:13:06.184</t>
  </si>
  <si>
    <t>31911580</t>
  </si>
  <si>
    <t>2020-10-30 21:13:06.108</t>
  </si>
  <si>
    <t>25704211</t>
  </si>
  <si>
    <t>2020-10-30 21:13:06.089</t>
  </si>
  <si>
    <t>1699607</t>
  </si>
  <si>
    <t>2020-10-30 21:13:05.971</t>
  </si>
  <si>
    <t>IRO1ZPRS0001</t>
  </si>
  <si>
    <t>49239212</t>
  </si>
  <si>
    <t>Pars Agro.</t>
  </si>
  <si>
    <t>2020-10-30 21:13:05.956</t>
  </si>
  <si>
    <t>IRO1SURO0007</t>
  </si>
  <si>
    <t>3668405</t>
  </si>
  <si>
    <t>Oroumiyeh Cement Co.</t>
  </si>
  <si>
    <t>2020-10-30 21:13:05.937</t>
  </si>
  <si>
    <t>IRO1MKBT0008</t>
  </si>
  <si>
    <t>11664347</t>
  </si>
  <si>
    <t>Iran Telecommunications Co.</t>
  </si>
  <si>
    <t>2020-10-30 21:13:05.917</t>
  </si>
  <si>
    <t>33503620</t>
  </si>
  <si>
    <t>2020-10-30 21:13:05.898</t>
  </si>
  <si>
    <t>725924</t>
  </si>
  <si>
    <t>2020-10-30 21:13:05.878</t>
  </si>
  <si>
    <t>XS0035107605</t>
  </si>
  <si>
    <t>44679</t>
  </si>
  <si>
    <t>2020-10-30 21:13:05.853</t>
  </si>
  <si>
    <t>RU000A101SF3</t>
  </si>
  <si>
    <t>55302834</t>
  </si>
  <si>
    <t>2020-10-30 21:13:05.751</t>
  </si>
  <si>
    <t>RU000A101SS6</t>
  </si>
  <si>
    <t>55265194</t>
  </si>
  <si>
    <t>2020-10-30 21:13:05.729</t>
  </si>
  <si>
    <t>RU000A101MU5</t>
  </si>
  <si>
    <t>54661505</t>
  </si>
  <si>
    <t>2020-10-30 21:13:05.686</t>
  </si>
  <si>
    <t>RU000A101JT3</t>
  </si>
  <si>
    <t>53763344</t>
  </si>
  <si>
    <t>2020-10-30 21:13:05.663</t>
  </si>
  <si>
    <t>RU000A101EB2</t>
  </si>
  <si>
    <t>52518952</t>
  </si>
  <si>
    <t>2020-10-30 21:13:05.644</t>
  </si>
  <si>
    <t>RU000A100S41</t>
  </si>
  <si>
    <t>49780140</t>
  </si>
  <si>
    <t>2020-10-30 21:13:05.592</t>
  </si>
  <si>
    <t>45019624</t>
  </si>
  <si>
    <t>2020-10-30 21:13:05.557</t>
  </si>
  <si>
    <t>RU000A0ZZT07</t>
  </si>
  <si>
    <t>44825233</t>
  </si>
  <si>
    <t>Bummash-Energo Aktsionernoye obshchestvo</t>
  </si>
  <si>
    <t>2020-10-30 21:13:05.538</t>
  </si>
  <si>
    <t>44762887</t>
  </si>
  <si>
    <t>2020-10-30 21:13:05.52</t>
  </si>
  <si>
    <t>35138898</t>
  </si>
  <si>
    <t>2020-10-30 21:13:05.391</t>
  </si>
  <si>
    <t>33315959</t>
  </si>
  <si>
    <t>2020-10-30 21:13:05.373</t>
  </si>
  <si>
    <t>RU000A0JUTJ4</t>
  </si>
  <si>
    <t>25401471</t>
  </si>
  <si>
    <t>2020-10-30 21:13:05.33</t>
  </si>
  <si>
    <t>RU000A0GSZ01</t>
  </si>
  <si>
    <t>2695619</t>
  </si>
  <si>
    <t>2020-10-30 21:13:05.23</t>
  </si>
  <si>
    <t>IRO1JSHO0004</t>
  </si>
  <si>
    <t>3668442</t>
  </si>
  <si>
    <t>Iran Weld And Oxygen</t>
  </si>
  <si>
    <t>2020-10-30 21:13:05.212</t>
  </si>
  <si>
    <t>IRO1KNRZ0001</t>
  </si>
  <si>
    <t>24665578</t>
  </si>
  <si>
    <t>Saba Noor</t>
  </si>
  <si>
    <t>2020-10-30 21:13:05.19</t>
  </si>
  <si>
    <t>IRO1BAHN0003</t>
  </si>
  <si>
    <t>1027130</t>
  </si>
  <si>
    <t>Shahid Bahonar Copper Industries Co.</t>
  </si>
  <si>
    <t>2020-10-30 21:13:05.173</t>
  </si>
  <si>
    <t>IRO1FRVR0008</t>
  </si>
  <si>
    <t>10189108</t>
  </si>
  <si>
    <t>Iran Mineral Processing</t>
  </si>
  <si>
    <t>2020-10-30 21:13:05.155</t>
  </si>
  <si>
    <t>23846685</t>
  </si>
  <si>
    <t>2020-10-30 21:13:05.138</t>
  </si>
  <si>
    <t>725370</t>
  </si>
  <si>
    <t>Interest rate</t>
  </si>
  <si>
    <t>2020-10-30 21:13:05.117</t>
  </si>
  <si>
    <t>DE0001960490</t>
  </si>
  <si>
    <t>792655</t>
  </si>
  <si>
    <t>2020-10-30 21:13:05.099</t>
  </si>
  <si>
    <t>XS0034999283</t>
  </si>
  <si>
    <t>991253</t>
  </si>
  <si>
    <t>2020-10-30 21:13:05.08</t>
  </si>
  <si>
    <t>34309669</t>
  </si>
  <si>
    <t>2020-10-30 21:13:05.059</t>
  </si>
  <si>
    <t>2020-10-30 21:13:05.04</t>
  </si>
  <si>
    <t>RU0009107650</t>
  </si>
  <si>
    <t>631420</t>
  </si>
  <si>
    <t>2020-10-30 21:13:04.999</t>
  </si>
  <si>
    <t>RU000A101AV8</t>
  </si>
  <si>
    <t>54247144</t>
  </si>
  <si>
    <t>2020-10-30 21:13:00.218</t>
  </si>
  <si>
    <t>RU000A101KC7</t>
  </si>
  <si>
    <t>53925853</t>
  </si>
  <si>
    <t>2020-10-30 21:13:00.192</t>
  </si>
  <si>
    <t>RU000A101AF1</t>
  </si>
  <si>
    <t>52791907</t>
  </si>
  <si>
    <t>2020-10-30 21:13:00.172</t>
  </si>
  <si>
    <t>44762896</t>
  </si>
  <si>
    <t>2020-10-30 21:13:00.052</t>
  </si>
  <si>
    <t>IR1100173019</t>
  </si>
  <si>
    <t>40271306</t>
  </si>
  <si>
    <t>2020-10-30 21:12:59.768</t>
  </si>
  <si>
    <t>CND10002RS20</t>
  </si>
  <si>
    <t>52791564</t>
  </si>
  <si>
    <t>2020-10-30 21:12:59.744</t>
  </si>
  <si>
    <t>324935</t>
  </si>
  <si>
    <t>2020-10-30 21:12:58.983</t>
  </si>
  <si>
    <t>JO0005514329</t>
  </si>
  <si>
    <t>1037571</t>
  </si>
  <si>
    <t>Beit El-Mal Holdings Co</t>
  </si>
  <si>
    <t>2020-10-30 21:12:58.963</t>
  </si>
  <si>
    <t>RU000A101BM5</t>
  </si>
  <si>
    <t>57339597</t>
  </si>
  <si>
    <t>2020-10-30 21:12:58.923</t>
  </si>
  <si>
    <t>RU000A101T64</t>
  </si>
  <si>
    <t>55441292</t>
  </si>
  <si>
    <t>2020-10-30 21:12:58.886</t>
  </si>
  <si>
    <t>RU000A101GX1</t>
  </si>
  <si>
    <t>52972375</t>
  </si>
  <si>
    <t>2020-10-30 21:12:58.846</t>
  </si>
  <si>
    <t>RU000A1018R6</t>
  </si>
  <si>
    <t>51726748</t>
  </si>
  <si>
    <t>2020-10-30 21:12:58.81</t>
  </si>
  <si>
    <t>41162460</t>
  </si>
  <si>
    <t>2020-10-30 21:12:58.758</t>
  </si>
  <si>
    <t>40624238</t>
  </si>
  <si>
    <t>2020-10-30 21:12:58.721</t>
  </si>
  <si>
    <t>RU000A0JXKB4</t>
  </si>
  <si>
    <t>35946922</t>
  </si>
  <si>
    <t>Rovnenskiy elevator Aktsionernoye obshchestvo</t>
  </si>
  <si>
    <t>2020-10-30 21:12:58.668</t>
  </si>
  <si>
    <t>26399374</t>
  </si>
  <si>
    <t>2020-10-30 21:12:58.626</t>
  </si>
  <si>
    <t>IR1100147013</t>
  </si>
  <si>
    <t>755972</t>
  </si>
  <si>
    <t>Ahvaz Sugar Refinery Co Ltd</t>
  </si>
  <si>
    <t>2020-10-30 21:12:58.529</t>
  </si>
  <si>
    <t>IRO1MAKA0000</t>
  </si>
  <si>
    <t>3668455</t>
  </si>
  <si>
    <t>Makhmale Kashan</t>
  </si>
  <si>
    <t>2020-10-30 21:12:58.51</t>
  </si>
  <si>
    <t>IRO1FRIS0004</t>
  </si>
  <si>
    <t>3665643</t>
  </si>
  <si>
    <t>Iran Ferrosilice Company Public Joint Stock</t>
  </si>
  <si>
    <t>2020-10-30 21:12:58.493</t>
  </si>
  <si>
    <t>IRO1SEPP0008</t>
  </si>
  <si>
    <t>35722232</t>
  </si>
  <si>
    <t>Spahan Naft</t>
  </si>
  <si>
    <t>2020-10-30 21:12:58.475</t>
  </si>
  <si>
    <t>IRO7BVMP0003</t>
  </si>
  <si>
    <t>20099214</t>
  </si>
  <si>
    <t>Bime Ma Co</t>
  </si>
  <si>
    <t>2020-10-30 21:12:58.457</t>
  </si>
  <si>
    <t>IRO1MOZI0009</t>
  </si>
  <si>
    <t>10660807</t>
  </si>
  <si>
    <t>Iran Tractor Machinery</t>
  </si>
  <si>
    <t>2020-10-30 21:12:58.438</t>
  </si>
  <si>
    <t>IRO1PKHA0000</t>
  </si>
  <si>
    <t>10234376</t>
  </si>
  <si>
    <t>Khark Petrochemical Co</t>
  </si>
  <si>
    <t>2020-10-30 21:12:58.42</t>
  </si>
  <si>
    <t>27777705</t>
  </si>
  <si>
    <t>2020-10-30 21:12:58.402</t>
  </si>
  <si>
    <t>XD0002823835</t>
  </si>
  <si>
    <t>282383</t>
  </si>
  <si>
    <t>Commodity</t>
  </si>
  <si>
    <t>2020-10-30 21:12:58.386</t>
  </si>
  <si>
    <t>12848051</t>
  </si>
  <si>
    <t>Simferopolsky KHP OJCS</t>
  </si>
  <si>
    <t>2020-10-30 21:12:58.367</t>
  </si>
  <si>
    <t>VEV00014ADK1</t>
  </si>
  <si>
    <t>895317</t>
  </si>
  <si>
    <t>2020-10-30 21:12:58.347</t>
  </si>
  <si>
    <t>DE0001960664</t>
  </si>
  <si>
    <t>793071</t>
  </si>
  <si>
    <t>2020-10-30 21:12:58.327</t>
  </si>
  <si>
    <t>US156877AA08</t>
  </si>
  <si>
    <t>963265</t>
  </si>
  <si>
    <t>156877AA0</t>
  </si>
  <si>
    <t>2020-10-30 21:12:58.308</t>
  </si>
  <si>
    <t>RU000A101U46</t>
  </si>
  <si>
    <t>55643714</t>
  </si>
  <si>
    <t>2020-10-30 21:12:52.916</t>
  </si>
  <si>
    <t>2020-10-30 21:12:52.896</t>
  </si>
  <si>
    <t>RU000A101AC8</t>
  </si>
  <si>
    <t>52658864</t>
  </si>
  <si>
    <t>2020-10-30 21:12:52.871</t>
  </si>
  <si>
    <t>RU000A101889</t>
  </si>
  <si>
    <t>52093601</t>
  </si>
  <si>
    <t>2020-10-30 21:12:52.844</t>
  </si>
  <si>
    <t>48099481</t>
  </si>
  <si>
    <t>2020-10-30 21:12:52.817</t>
  </si>
  <si>
    <t>45423307</t>
  </si>
  <si>
    <t>2020-10-30 21:12:52.796</t>
  </si>
  <si>
    <t>32277321</t>
  </si>
  <si>
    <t>2020-10-30 21:12:52.715</t>
  </si>
  <si>
    <t>26393870</t>
  </si>
  <si>
    <t>2020-10-30 21:12:52.695</t>
  </si>
  <si>
    <t>DE0008044702</t>
  </si>
  <si>
    <t>329055</t>
  </si>
  <si>
    <t>2020-10-30 21:12:52.59</t>
  </si>
  <si>
    <t>IRK1G01294C7</t>
  </si>
  <si>
    <t>30634259</t>
  </si>
  <si>
    <t>Zorat 9412-23</t>
  </si>
  <si>
    <t>2020-10-30 21:12:52.569</t>
  </si>
  <si>
    <t>IRO1SHPZ0003</t>
  </si>
  <si>
    <t>10302630</t>
  </si>
  <si>
    <t>Iran East Azarbaijan Pegah Dairy Co</t>
  </si>
  <si>
    <t>2020-10-30 21:12:52.55</t>
  </si>
  <si>
    <t>IRO1GORJ0006</t>
  </si>
  <si>
    <t>1027127</t>
  </si>
  <si>
    <t>Georgian Biscuits Co</t>
  </si>
  <si>
    <t>2020-10-30 21:12:52.532</t>
  </si>
  <si>
    <t>UA0100661000</t>
  </si>
  <si>
    <t>4681447</t>
  </si>
  <si>
    <t>Yugreftransflot OJSC</t>
  </si>
  <si>
    <t>2020-10-30 21:12:52.513</t>
  </si>
  <si>
    <t>VEV00014AIN4</t>
  </si>
  <si>
    <t>1004790</t>
  </si>
  <si>
    <t>2020-10-30 21:12:52.474</t>
  </si>
  <si>
    <t>XS0029442513</t>
  </si>
  <si>
    <t>49620</t>
  </si>
  <si>
    <t>2020-10-30 21:12:52.457</t>
  </si>
  <si>
    <t>XS0029439303</t>
  </si>
  <si>
    <t>36442</t>
  </si>
  <si>
    <t>2020-10-30 21:12:52.439</t>
  </si>
  <si>
    <t>XS0032472796</t>
  </si>
  <si>
    <t>2048560</t>
  </si>
  <si>
    <t>2020-10-30 21:12:52.42</t>
  </si>
  <si>
    <t>USP7807HAJ43</t>
  </si>
  <si>
    <t>12045996</t>
  </si>
  <si>
    <t>2020-10-30 21:12:52.4</t>
  </si>
  <si>
    <t>RU000A102242</t>
  </si>
  <si>
    <t>56930799</t>
  </si>
  <si>
    <t>2020-10-30 21:12:52.335</t>
  </si>
  <si>
    <t>RU000A101AA2</t>
  </si>
  <si>
    <t>52569884</t>
  </si>
  <si>
    <t>2020-10-30 21:12:52.294</t>
  </si>
  <si>
    <t>RU000A100SQ2</t>
  </si>
  <si>
    <t>49894594</t>
  </si>
  <si>
    <t>2020-10-30 21:12:52.275</t>
  </si>
  <si>
    <t>46236600</t>
  </si>
  <si>
    <t>2020-10-30 21:12:52.22</t>
  </si>
  <si>
    <t>32045780</t>
  </si>
  <si>
    <t>2020-10-30 21:12:52.163</t>
  </si>
  <si>
    <t>IRO1RREI0006</t>
  </si>
  <si>
    <t>3668421</t>
  </si>
  <si>
    <t>Rey Textil Co. (RTC)</t>
  </si>
  <si>
    <t>2020-10-30 21:12:52.103</t>
  </si>
  <si>
    <t>IRO7GSIP0009</t>
  </si>
  <si>
    <t>18909568</t>
  </si>
  <si>
    <t>G.T.S. Iran Co</t>
  </si>
  <si>
    <t>2020-10-30 21:12:52.083</t>
  </si>
  <si>
    <t>IRO1SBHN0003</t>
  </si>
  <si>
    <t>10665451</t>
  </si>
  <si>
    <t>Behbahan Cement Co</t>
  </si>
  <si>
    <t>2020-10-30 21:12:52.058</t>
  </si>
  <si>
    <t>VEV00014AEK9</t>
  </si>
  <si>
    <t>892855</t>
  </si>
  <si>
    <t>2020-10-30 21:12:52.038</t>
  </si>
  <si>
    <t>VEV00014CEO7</t>
  </si>
  <si>
    <t>18531645</t>
  </si>
  <si>
    <t>2020-10-30 21:12:52.02</t>
  </si>
  <si>
    <t>XAP97497AB08</t>
  </si>
  <si>
    <t>990935</t>
  </si>
  <si>
    <t>2020-10-30 21:12:52.002</t>
  </si>
  <si>
    <t>2401238</t>
  </si>
  <si>
    <t>2020-10-30 21:12:51.985</t>
  </si>
  <si>
    <t>14358085</t>
  </si>
  <si>
    <t>2020-10-30 21:12:51.964</t>
  </si>
  <si>
    <t>RU000A100U62</t>
  </si>
  <si>
    <t>50530114</t>
  </si>
  <si>
    <t>2020-10-30 21:12:51.942</t>
  </si>
  <si>
    <t>47598658</t>
  </si>
  <si>
    <t>2020-10-30 21:12:51.923</t>
  </si>
  <si>
    <t>45015078</t>
  </si>
  <si>
    <t>2020-10-30 21:12:51.902</t>
  </si>
  <si>
    <t>30558053</t>
  </si>
  <si>
    <t>2020-10-30 21:12:51.837</t>
  </si>
  <si>
    <t>IRO3SBZZ0005</t>
  </si>
  <si>
    <t>12420352</t>
  </si>
  <si>
    <t>Sabzevar Cement</t>
  </si>
  <si>
    <t>2020-10-30 21:12:51.69</t>
  </si>
  <si>
    <t>IRO3PRSZ0009</t>
  </si>
  <si>
    <t>12387000</t>
  </si>
  <si>
    <t>Parsian E-Commerce</t>
  </si>
  <si>
    <t>2020-10-30 21:12:51.665</t>
  </si>
  <si>
    <t>XD0002823843</t>
  </si>
  <si>
    <t>282384</t>
  </si>
  <si>
    <t>2020-10-30 21:12:51.644</t>
  </si>
  <si>
    <t>990983</t>
  </si>
  <si>
    <t>2020-10-30 21:12:51.622</t>
  </si>
  <si>
    <t>RU000A101HZ4</t>
  </si>
  <si>
    <t>53363522</t>
  </si>
  <si>
    <t>BIZNESPARK NOVAYA RIGA AKTSIONERNOYE OBSHCHESTVO</t>
  </si>
  <si>
    <t>2020-10-30 21:12:51.559</t>
  </si>
  <si>
    <t>38831255</t>
  </si>
  <si>
    <t>2020-10-30 21:12:51.424</t>
  </si>
  <si>
    <t>32277643</t>
  </si>
  <si>
    <t>2020-10-30 21:12:51.353</t>
  </si>
  <si>
    <t>25710276</t>
  </si>
  <si>
    <t>2020-10-30 21:12:51.335</t>
  </si>
  <si>
    <t>IRO1PETR0005</t>
  </si>
  <si>
    <t>1027407</t>
  </si>
  <si>
    <t>Petrochemical Industries Investment Co</t>
  </si>
  <si>
    <t>2020-10-30 21:12:51.206</t>
  </si>
  <si>
    <t>IRO1SIMS0004</t>
  </si>
  <si>
    <t>1027092</t>
  </si>
  <si>
    <t>Shomal Cement Co.</t>
  </si>
  <si>
    <t>2020-10-30 21:12:51.175</t>
  </si>
  <si>
    <t>RU000A100Y92</t>
  </si>
  <si>
    <t>50721312</t>
  </si>
  <si>
    <t>2020-10-30 21:12:45.987</t>
  </si>
  <si>
    <t>RU000A0NH1U1</t>
  </si>
  <si>
    <t>50023300</t>
  </si>
  <si>
    <t>2020-10-30 21:12:45.966</t>
  </si>
  <si>
    <t>47944766</t>
  </si>
  <si>
    <t>2020-10-30 21:12:45.949</t>
  </si>
  <si>
    <t>47552617</t>
  </si>
  <si>
    <t>2020-10-30 21:12:45.932</t>
  </si>
  <si>
    <t>46595684</t>
  </si>
  <si>
    <t>2020-10-30 21:12:45.915</t>
  </si>
  <si>
    <t>39558057</t>
  </si>
  <si>
    <t>2020-10-30 21:12:45.876</t>
  </si>
  <si>
    <t>37251760</t>
  </si>
  <si>
    <t>2020-10-30 21:12:45.858</t>
  </si>
  <si>
    <t>RU000A0JWEK0</t>
  </si>
  <si>
    <t>32376052</t>
  </si>
  <si>
    <t>Carcade LLC</t>
  </si>
  <si>
    <t>2020-10-30 21:12:45.798</t>
  </si>
  <si>
    <t>31755458</t>
  </si>
  <si>
    <t>2020-10-30 21:12:45.779</t>
  </si>
  <si>
    <t>27832536</t>
  </si>
  <si>
    <t>2020-10-30 21:12:45.76</t>
  </si>
  <si>
    <t>IRO1ALMR0000</t>
  </si>
  <si>
    <t>10644198</t>
  </si>
  <si>
    <t>Alomrad Co</t>
  </si>
  <si>
    <t>2020-10-30 21:12:45.585</t>
  </si>
  <si>
    <t>IRO1AMLH0002</t>
  </si>
  <si>
    <t>10186675</t>
  </si>
  <si>
    <t>Iran Amlah Co. Mineral Salts</t>
  </si>
  <si>
    <t>2020-10-30 21:12:45.56</t>
  </si>
  <si>
    <t>42786500</t>
  </si>
  <si>
    <t>2020-10-30 21:12:45.535</t>
  </si>
  <si>
    <t>CU0007259963</t>
  </si>
  <si>
    <t>725996</t>
  </si>
  <si>
    <t>Trans-Cuba Oil Co.</t>
  </si>
  <si>
    <t>2020-10-30 21:12:45.52</t>
  </si>
  <si>
    <t>VEV00350ABJ5</t>
  </si>
  <si>
    <t>872294</t>
  </si>
  <si>
    <t>2020-10-30 21:12:45.501</t>
  </si>
  <si>
    <t>VEV00014ACW8</t>
  </si>
  <si>
    <t>889269</t>
  </si>
  <si>
    <t>2020-10-30 21:12:45.483</t>
  </si>
  <si>
    <t>45582993</t>
  </si>
  <si>
    <t>2020-10-30 21:12:45.467</t>
  </si>
  <si>
    <t>RU000A101LB7</t>
  </si>
  <si>
    <t>54247214</t>
  </si>
  <si>
    <t>2020-10-30 21:12:45.432</t>
  </si>
  <si>
    <t>47997291</t>
  </si>
  <si>
    <t>2020-10-30 21:12:45.369</t>
  </si>
  <si>
    <t>33202668</t>
  </si>
  <si>
    <t>2020-10-30 21:12:45.33</t>
  </si>
  <si>
    <t>2020-10-30 21:12:45.283</t>
  </si>
  <si>
    <t>CH0001710364</t>
  </si>
  <si>
    <t>171036</t>
  </si>
  <si>
    <t>Sberbank (Switzerland) AG</t>
  </si>
  <si>
    <t>2020-10-30 21:12:45.225</t>
  </si>
  <si>
    <t>RU0006935954</t>
  </si>
  <si>
    <t>1699628</t>
  </si>
  <si>
    <t>2020-10-30 21:12:45.207</t>
  </si>
  <si>
    <t>IRO1HMRZ0007</t>
  </si>
  <si>
    <t>12671871</t>
  </si>
  <si>
    <t>2020-10-30 21:12:45.159</t>
  </si>
  <si>
    <t>IRO1PKOD0008</t>
  </si>
  <si>
    <t>10659830</t>
  </si>
  <si>
    <t>Pars Khodro Co</t>
  </si>
  <si>
    <t>2020-10-30 21:12:45.142</t>
  </si>
  <si>
    <t>IRO1LAMI0001</t>
  </si>
  <si>
    <t>1027119</t>
  </si>
  <si>
    <t>Lamiran Co</t>
  </si>
  <si>
    <t>2020-10-30 21:12:45.124</t>
  </si>
  <si>
    <t>CND100012400</t>
  </si>
  <si>
    <t>29469374</t>
  </si>
  <si>
    <t>2020-10-30 21:12:45.104</t>
  </si>
  <si>
    <t>990940</t>
  </si>
  <si>
    <t>2020-10-30 21:12:44.203</t>
  </si>
  <si>
    <t>CH0022875782</t>
  </si>
  <si>
    <t>2287578</t>
  </si>
  <si>
    <t>2020-10-30 21:12:36.436</t>
  </si>
  <si>
    <t>XS0035929875</t>
  </si>
  <si>
    <t>2049463</t>
  </si>
  <si>
    <t>2020-10-30 21:12:36.417</t>
  </si>
  <si>
    <t>XS0029465134</t>
  </si>
  <si>
    <t>2036366</t>
  </si>
  <si>
    <t>2020-10-30 21:12:36.393</t>
  </si>
  <si>
    <t>XS0042409952</t>
  </si>
  <si>
    <t>1583847</t>
  </si>
  <si>
    <t>2020-10-30 21:12:36.373</t>
  </si>
  <si>
    <t>XS0042413129</t>
  </si>
  <si>
    <t>1583780</t>
  </si>
  <si>
    <t>2020-10-30 21:12:36.354</t>
  </si>
  <si>
    <t>VEV001361022</t>
  </si>
  <si>
    <t>146831</t>
  </si>
  <si>
    <t>CEMEX VENEZUELA SACA</t>
  </si>
  <si>
    <t>2020-10-30 21:12:36.334</t>
  </si>
  <si>
    <t>RU000A100XD0</t>
  </si>
  <si>
    <t>50581641</t>
  </si>
  <si>
    <t>2020-10-30 21:12:36.313</t>
  </si>
  <si>
    <t>RU000A0GGF09</t>
  </si>
  <si>
    <t>2386722</t>
  </si>
  <si>
    <t>2020-10-30 21:12:36.293</t>
  </si>
  <si>
    <t>IRK1G00894C5</t>
  </si>
  <si>
    <t>30576564</t>
  </si>
  <si>
    <t>Zorat 9412-11</t>
  </si>
  <si>
    <t>2020-10-30 21:12:31.471</t>
  </si>
  <si>
    <t>IRO7KLAP0008</t>
  </si>
  <si>
    <t>19899537</t>
  </si>
  <si>
    <t>Iran Mercantile Exchange</t>
  </si>
  <si>
    <t>2020-10-30 21:12:31.45</t>
  </si>
  <si>
    <t>IRO7BSAP0002</t>
  </si>
  <si>
    <t>18915463</t>
  </si>
  <si>
    <t>Saman Bank</t>
  </si>
  <si>
    <t>2020-10-30 21:12:31.43</t>
  </si>
  <si>
    <t>IRO3BMDZ0007</t>
  </si>
  <si>
    <t>12384784</t>
  </si>
  <si>
    <t>Day Insurance Co</t>
  </si>
  <si>
    <t>2020-10-30 21:12:31.41</t>
  </si>
  <si>
    <t>IRO1PIAZ0002</t>
  </si>
  <si>
    <t>10659834</t>
  </si>
  <si>
    <t>Piazar Agro Industrial Co</t>
  </si>
  <si>
    <t>2020-10-30 21:12:31.391</t>
  </si>
  <si>
    <t>IRO1GAZL0008</t>
  </si>
  <si>
    <t>10653323</t>
  </si>
  <si>
    <t>Gazlouleh Co</t>
  </si>
  <si>
    <t>2020-10-30 21:12:31.363</t>
  </si>
  <si>
    <t>IRO1GENR0002</t>
  </si>
  <si>
    <t>1027149</t>
  </si>
  <si>
    <t>General Industries. Inc.</t>
  </si>
  <si>
    <t>2020-10-30 21:12:31.344</t>
  </si>
  <si>
    <t>10196790</t>
  </si>
  <si>
    <t>2020-10-30 21:12:31.323</t>
  </si>
  <si>
    <t>41604465</t>
  </si>
  <si>
    <t>2020-10-30 21:12:31.302</t>
  </si>
  <si>
    <t>XS0029472262</t>
  </si>
  <si>
    <t>2036379</t>
  </si>
  <si>
    <t>2020-10-30 21:12:31.262</t>
  </si>
  <si>
    <t>XS0140341370</t>
  </si>
  <si>
    <t>1340079</t>
  </si>
  <si>
    <t>2020-10-30 21:12:31.244</t>
  </si>
  <si>
    <t>RU000A0JQPM4</t>
  </si>
  <si>
    <t>55751973</t>
  </si>
  <si>
    <t>KIRSCABLE OPEN JOINT-STOCK COMPANY</t>
  </si>
  <si>
    <t>2020-10-30 21:12:31.223</t>
  </si>
  <si>
    <t>RU000A0JPPC7</t>
  </si>
  <si>
    <t>3998292</t>
  </si>
  <si>
    <t>2020-10-30 21:12:31.202</t>
  </si>
  <si>
    <t>43856972</t>
  </si>
  <si>
    <t>2020-10-30 21:12:31.156</t>
  </si>
  <si>
    <t>RU000A0JXTH2</t>
  </si>
  <si>
    <t>37137636</t>
  </si>
  <si>
    <t>2020-10-30 21:12:31.099</t>
  </si>
  <si>
    <t>36198292</t>
  </si>
  <si>
    <t>GPB Aerofinance</t>
  </si>
  <si>
    <t>2020-10-30 21:12:31.058</t>
  </si>
  <si>
    <t>1027898</t>
  </si>
  <si>
    <t>Shazand Petrochemical Company</t>
  </si>
  <si>
    <t>2020-10-30 21:12:30.748</t>
  </si>
  <si>
    <t>IRO1AZIN0004</t>
  </si>
  <si>
    <t>10230769</t>
  </si>
  <si>
    <t>Saipa Azin Co</t>
  </si>
  <si>
    <t>2020-10-30 21:12:30.726</t>
  </si>
  <si>
    <t>725280</t>
  </si>
  <si>
    <t>229561AA3</t>
  </si>
  <si>
    <t>2020-10-30 21:12:30.697</t>
  </si>
  <si>
    <t>UA4000001168</t>
  </si>
  <si>
    <t>3704706</t>
  </si>
  <si>
    <t>Simferopol Steering Wheel Plant JSC</t>
  </si>
  <si>
    <t>2020-10-30 21:12:30.677</t>
  </si>
  <si>
    <t>48704727</t>
  </si>
  <si>
    <t>2020-10-30 21:12:24.388</t>
  </si>
  <si>
    <t>RU000A0JXX60</t>
  </si>
  <si>
    <t>37665692</t>
  </si>
  <si>
    <t>Mortgage agent VTB 2014 JSC</t>
  </si>
  <si>
    <t>2020-10-30 21:12:24.348</t>
  </si>
  <si>
    <t>32216159</t>
  </si>
  <si>
    <t>2020-10-30 21:12:24.291</t>
  </si>
  <si>
    <t>30546736</t>
  </si>
  <si>
    <t>2020-10-30 21:12:24.246</t>
  </si>
  <si>
    <t>IRO1GBIS0001</t>
  </si>
  <si>
    <t>3668452</t>
  </si>
  <si>
    <t>Ghand Bistoon</t>
  </si>
  <si>
    <t>2020-10-30 21:12:24.094</t>
  </si>
  <si>
    <t>10659827</t>
  </si>
  <si>
    <t>2020-10-30 21:12:24.064</t>
  </si>
  <si>
    <t>41166331</t>
  </si>
  <si>
    <t>2020-10-30 21:12:24.04</t>
  </si>
  <si>
    <t>19531419</t>
  </si>
  <si>
    <t>Krymzalizobeton OJSC</t>
  </si>
  <si>
    <t>2020-10-30 21:12:24.023</t>
  </si>
  <si>
    <t>12492215</t>
  </si>
  <si>
    <t>2020-10-30 21:12:24.002</t>
  </si>
  <si>
    <t>DE0001960409</t>
  </si>
  <si>
    <t>792629</t>
  </si>
  <si>
    <t>2020-10-30 21:12:23.981</t>
  </si>
  <si>
    <t>VEV00014ACJ5</t>
  </si>
  <si>
    <t>887642</t>
  </si>
  <si>
    <t>2020-10-30 21:12:23.962</t>
  </si>
  <si>
    <t>2546680</t>
  </si>
  <si>
    <t>2020-10-30 21:12:23.938</t>
  </si>
  <si>
    <t>2359689</t>
  </si>
  <si>
    <t>2020-10-30 21:12:23.915</t>
  </si>
  <si>
    <t>1652582</t>
  </si>
  <si>
    <t>Yaroslavskiy zavod dizelnoy apparatury AO</t>
  </si>
  <si>
    <t>2020-10-30 21:12:23.897</t>
  </si>
  <si>
    <t>RU000A101B64</t>
  </si>
  <si>
    <t>56172801</t>
  </si>
  <si>
    <t>2020-10-30 21:12:23.805</t>
  </si>
  <si>
    <t>RU000A0JXXQ5</t>
  </si>
  <si>
    <t>38347907</t>
  </si>
  <si>
    <t>2020-10-30 21:12:23.72</t>
  </si>
  <si>
    <t>32617788</t>
  </si>
  <si>
    <t>2020-10-30 21:12:23.643</t>
  </si>
  <si>
    <t>26537303</t>
  </si>
  <si>
    <t>Sukhoi Civil Aircraft JSC</t>
  </si>
  <si>
    <t>2020-10-30 21:12:23.623</t>
  </si>
  <si>
    <t>IRO1PKRS0008</t>
  </si>
  <si>
    <t>3665506</t>
  </si>
  <si>
    <t>Risandegi Va Bafandegi Pakris</t>
  </si>
  <si>
    <t>2020-10-30 21:12:23.539</t>
  </si>
  <si>
    <t>IRO1ROOI0007</t>
  </si>
  <si>
    <t>11671695</t>
  </si>
  <si>
    <t>Iran Zinc Mines Development Co.</t>
  </si>
  <si>
    <t>2020-10-30 21:12:23.516</t>
  </si>
  <si>
    <t>IRO1SIPA0001</t>
  </si>
  <si>
    <t>1027167</t>
  </si>
  <si>
    <t>Saipa Co.</t>
  </si>
  <si>
    <t>2020-10-30 21:12:23.487</t>
  </si>
  <si>
    <t>32030087</t>
  </si>
  <si>
    <t>2020-10-30 21:12:23.465</t>
  </si>
  <si>
    <t>31911554</t>
  </si>
  <si>
    <t>2020-10-30 21:12:23.445</t>
  </si>
  <si>
    <t>VEV00014ACH9</t>
  </si>
  <si>
    <t>887634</t>
  </si>
  <si>
    <t>2020-10-30 21:12:23.428</t>
  </si>
  <si>
    <t>DE0001896496</t>
  </si>
  <si>
    <t>586864</t>
  </si>
  <si>
    <t>2020-10-30 21:12:22.763</t>
  </si>
  <si>
    <t>DE0001960607</t>
  </si>
  <si>
    <t>793143</t>
  </si>
  <si>
    <t>2020-10-30 21:12:22.746</t>
  </si>
  <si>
    <t>XS0032494097</t>
  </si>
  <si>
    <t>884221</t>
  </si>
  <si>
    <t>2020-10-30 21:12:22.728</t>
  </si>
  <si>
    <t>35475997</t>
  </si>
  <si>
    <t>2020-10-30 21:12:22.711</t>
  </si>
  <si>
    <t>XS0029924775</t>
  </si>
  <si>
    <t>2036502</t>
  </si>
  <si>
    <t>2020-10-30 21:12:22.689</t>
  </si>
  <si>
    <t>XS0034999366</t>
  </si>
  <si>
    <t>149772</t>
  </si>
  <si>
    <t>2020-10-30 21:12:22.672</t>
  </si>
  <si>
    <t>RU000A101TZ9</t>
  </si>
  <si>
    <t>55610364</t>
  </si>
  <si>
    <t>2020-10-30 21:12:22.639</t>
  </si>
  <si>
    <t>RU000A101CE0</t>
  </si>
  <si>
    <t>52220192</t>
  </si>
  <si>
    <t>2020-10-30 21:12:22.594</t>
  </si>
  <si>
    <t>RU000A100XB4</t>
  </si>
  <si>
    <t>50554762</t>
  </si>
  <si>
    <t>2020-10-30 21:12:22.539</t>
  </si>
  <si>
    <t>48704724</t>
  </si>
  <si>
    <t>2020-10-30 21:12:22.5</t>
  </si>
  <si>
    <t>47736948</t>
  </si>
  <si>
    <t>2020-10-30 21:12:22.48</t>
  </si>
  <si>
    <t>4544888</t>
  </si>
  <si>
    <t>2020-10-30 21:12:22.46</t>
  </si>
  <si>
    <t>41924673</t>
  </si>
  <si>
    <t>2020-10-30 21:12:22.415</t>
  </si>
  <si>
    <t>41563423</t>
  </si>
  <si>
    <t>2020-10-30 21:12:22.393</t>
  </si>
  <si>
    <t>991141</t>
  </si>
  <si>
    <t>2020-10-30 21:12:16.406</t>
  </si>
  <si>
    <t>VEV000661000</t>
  </si>
  <si>
    <t>992107</t>
  </si>
  <si>
    <t>Fabrica Nacional de Cementos CA FNC</t>
  </si>
  <si>
    <t>2020-10-30 21:12:16.386</t>
  </si>
  <si>
    <t>XS0029444725</t>
  </si>
  <si>
    <t>494208</t>
  </si>
  <si>
    <t>2020-10-30 21:12:16.364</t>
  </si>
  <si>
    <t>XS0029441200</t>
  </si>
  <si>
    <t>49307</t>
  </si>
  <si>
    <t>2020-10-30 21:12:16.337</t>
  </si>
  <si>
    <t>XS0040864810</t>
  </si>
  <si>
    <t>10706</t>
  </si>
  <si>
    <t>2020-10-30 21:12:16.316</t>
  </si>
  <si>
    <t>RU000A0JQ920</t>
  </si>
  <si>
    <t>3603018</t>
  </si>
  <si>
    <t>2020-10-30 21:12:16.295</t>
  </si>
  <si>
    <t>RU000A101VK7</t>
  </si>
  <si>
    <t>55897450</t>
  </si>
  <si>
    <t>2020-10-30 21:12:16.213</t>
  </si>
  <si>
    <t>RU000A100KZ0</t>
  </si>
  <si>
    <t>49004535</t>
  </si>
  <si>
    <t>2020-10-30 21:12:16.168</t>
  </si>
  <si>
    <t>RU000A0JX6M3</t>
  </si>
  <si>
    <t>35497266</t>
  </si>
  <si>
    <t>Astrakhanskaya Neftegazovaya Kompaniya Aktsionernoye obschestvo</t>
  </si>
  <si>
    <t>2020-10-30 21:12:16.074</t>
  </si>
  <si>
    <t>2020-10-30 21:12:15.995</t>
  </si>
  <si>
    <t>755920</t>
  </si>
  <si>
    <t>2020-10-30 21:12:15.923</t>
  </si>
  <si>
    <t>IRO1MSKN0005</t>
  </si>
  <si>
    <t>11669992</t>
  </si>
  <si>
    <t>Housing Investment Co.</t>
  </si>
  <si>
    <t>2020-10-30 21:12:15.902</t>
  </si>
  <si>
    <t>IRO1SHGN0008</t>
  </si>
  <si>
    <t>11669956</t>
  </si>
  <si>
    <t>Hegmatan Cement Co.</t>
  </si>
  <si>
    <t>2020-10-30 21:12:15.883</t>
  </si>
  <si>
    <t>IRO1ABDI0004</t>
  </si>
  <si>
    <t>1028949</t>
  </si>
  <si>
    <t>Dr.Gholam-Ali Abidi Pharma Laboratory</t>
  </si>
  <si>
    <t>2020-10-30 21:12:15.856</t>
  </si>
  <si>
    <t>IRO1MEDD0002</t>
  </si>
  <si>
    <t>1027112</t>
  </si>
  <si>
    <t>Mehdi Tools Manufacturing Co.</t>
  </si>
  <si>
    <t>2020-10-30 21:12:15.833</t>
  </si>
  <si>
    <t>CND100017WD9</t>
  </si>
  <si>
    <t>42800422</t>
  </si>
  <si>
    <t>2020-10-30 21:12:15.814</t>
  </si>
  <si>
    <t>VEV00014ABR0</t>
  </si>
  <si>
    <t>886202</t>
  </si>
  <si>
    <t>2020-10-30 21:12:15.779</t>
  </si>
  <si>
    <t>XS0029475109</t>
  </si>
  <si>
    <t>990957</t>
  </si>
  <si>
    <t>2020-10-30 21:12:15.76</t>
  </si>
  <si>
    <t>944583</t>
  </si>
  <si>
    <t>2020-10-30 21:12:15.738</t>
  </si>
  <si>
    <t>VEV00014MAA3</t>
  </si>
  <si>
    <t>885551</t>
  </si>
  <si>
    <t>2020-10-30 21:12:15.722</t>
  </si>
  <si>
    <t>RU000A101AX4</t>
  </si>
  <si>
    <t>54946513</t>
  </si>
  <si>
    <t>2020-10-30 21:12:15.662</t>
  </si>
  <si>
    <t>RU000A101C14</t>
  </si>
  <si>
    <t>52096429</t>
  </si>
  <si>
    <t>2020-10-30 21:12:15.621</t>
  </si>
  <si>
    <t>RU000A1014Z8</t>
  </si>
  <si>
    <t>51502972</t>
  </si>
  <si>
    <t>2020-10-30 21:12:15.601</t>
  </si>
  <si>
    <t>RU000A0ZZ943</t>
  </si>
  <si>
    <t>42146731</t>
  </si>
  <si>
    <t>2020-10-30 21:12:15.51</t>
  </si>
  <si>
    <t>IRO1BHSM0004</t>
  </si>
  <si>
    <t>11671500</t>
  </si>
  <si>
    <t>Behceram Co.</t>
  </si>
  <si>
    <t>2020-10-30 21:12:15.417</t>
  </si>
  <si>
    <t>45572460</t>
  </si>
  <si>
    <t>2020-10-30 21:12:15.395</t>
  </si>
  <si>
    <t>22372403</t>
  </si>
  <si>
    <t>2020-10-30 21:12:15.378</t>
  </si>
  <si>
    <t>XS0032493016</t>
  </si>
  <si>
    <t>1318813</t>
  </si>
  <si>
    <t>2020-10-30 21:12:15.359</t>
  </si>
  <si>
    <t>XS0460546798</t>
  </si>
  <si>
    <t>10689308</t>
  </si>
  <si>
    <t>2020-10-30 21:12:15.339</t>
  </si>
  <si>
    <t>RU000A101K97</t>
  </si>
  <si>
    <t>53943512</t>
  </si>
  <si>
    <t>2020-10-30 21:12:15.282</t>
  </si>
  <si>
    <t>RU000A1013E5</t>
  </si>
  <si>
    <t>51342673</t>
  </si>
  <si>
    <t>2020-10-30 21:12:15.261</t>
  </si>
  <si>
    <t>RU000A100X51</t>
  </si>
  <si>
    <t>50530210</t>
  </si>
  <si>
    <t>2020-10-30 21:12:15.239</t>
  </si>
  <si>
    <t>IRO7ARAP0004</t>
  </si>
  <si>
    <t>18377077</t>
  </si>
  <si>
    <t>Arya Shipping Lines PJSC</t>
  </si>
  <si>
    <t>2020-10-30 21:12:10.008</t>
  </si>
  <si>
    <t>IRO1SAHD0006</t>
  </si>
  <si>
    <t>11669420</t>
  </si>
  <si>
    <t>Shahed Investment Co.</t>
  </si>
  <si>
    <t>2020-10-30 21:12:09.989</t>
  </si>
  <si>
    <t>IRO1TOLT0005</t>
  </si>
  <si>
    <t>1028961</t>
  </si>
  <si>
    <t>Tehran Manufacturing Co.</t>
  </si>
  <si>
    <t>2020-10-30 21:12:09.97</t>
  </si>
  <si>
    <t>22316445</t>
  </si>
  <si>
    <t>2020-10-30 21:12:09.949</t>
  </si>
  <si>
    <t>US2266161007</t>
  </si>
  <si>
    <t>2260185</t>
  </si>
  <si>
    <t>226616100</t>
  </si>
  <si>
    <t>2020-10-30 21:12:09.921</t>
  </si>
  <si>
    <t>11845975</t>
  </si>
  <si>
    <t>2020-10-30 21:12:09.887</t>
  </si>
  <si>
    <t>DE0004019724</t>
  </si>
  <si>
    <t>990979</t>
  </si>
  <si>
    <t>2020-10-30 21:12:09.862</t>
  </si>
  <si>
    <t>VEV00014AES2</t>
  </si>
  <si>
    <t>907098</t>
  </si>
  <si>
    <t>2020-10-30 21:12:09.836</t>
  </si>
  <si>
    <t>38350238</t>
  </si>
  <si>
    <t>2020-10-30 21:12:09.802</t>
  </si>
  <si>
    <t>RU000A0JWGU4</t>
  </si>
  <si>
    <t>32649327</t>
  </si>
  <si>
    <t>2020-10-30 21:12:09.782</t>
  </si>
  <si>
    <t>RU000A1010H4</t>
  </si>
  <si>
    <t>51248101</t>
  </si>
  <si>
    <t>2020-10-30 21:12:09.739</t>
  </si>
  <si>
    <t>32541540</t>
  </si>
  <si>
    <t>2020-10-30 21:12:09.659</t>
  </si>
  <si>
    <t>IR1100034013</t>
  </si>
  <si>
    <t>40457870</t>
  </si>
  <si>
    <t>Sabet Khorasan Industries &amp; Manufacturing</t>
  </si>
  <si>
    <t>2020-10-30 21:12:09.555</t>
  </si>
  <si>
    <t>IRO7KHZP0005</t>
  </si>
  <si>
    <t>18380881</t>
  </si>
  <si>
    <t>Khazar Sea Shipping Lines Co</t>
  </si>
  <si>
    <t>2020-10-30 21:12:09.538</t>
  </si>
  <si>
    <t>IRO3GRDZ0007</t>
  </si>
  <si>
    <t>13673256</t>
  </si>
  <si>
    <t>Tourism Bank Co.</t>
  </si>
  <si>
    <t>2020-10-30 21:12:09.509</t>
  </si>
  <si>
    <t>IRO1KIMI0004</t>
  </si>
  <si>
    <t>10659831</t>
  </si>
  <si>
    <t>Chimidarou Co</t>
  </si>
  <si>
    <t>2020-10-30 21:12:09.486</t>
  </si>
  <si>
    <t>IRO1RENA0008</t>
  </si>
  <si>
    <t>1027408</t>
  </si>
  <si>
    <t>Rena Industrial Group Investment</t>
  </si>
  <si>
    <t>2020-10-30 21:12:09.459</t>
  </si>
  <si>
    <t>VEV00014AFA7</t>
  </si>
  <si>
    <t>910638</t>
  </si>
  <si>
    <t>2020-10-30 21:12:09.44</t>
  </si>
  <si>
    <t>DE0001960540</t>
  </si>
  <si>
    <t>792662</t>
  </si>
  <si>
    <t>2020-10-30 21:12:09.415</t>
  </si>
  <si>
    <t>DE0001960912</t>
  </si>
  <si>
    <t>836777</t>
  </si>
  <si>
    <t>2020-10-30 21:12:09.396</t>
  </si>
  <si>
    <t>XS0029459590</t>
  </si>
  <si>
    <t>498068</t>
  </si>
  <si>
    <t>2020-10-30 21:12:09.372</t>
  </si>
  <si>
    <t>45583002</t>
  </si>
  <si>
    <t>2020-10-30 21:12:09.352</t>
  </si>
  <si>
    <t>38268742</t>
  </si>
  <si>
    <t>2020-10-30 21:12:09.333</t>
  </si>
  <si>
    <t>38168546</t>
  </si>
  <si>
    <t>2020-10-30 21:12:09.312</t>
  </si>
  <si>
    <t>23117100</t>
  </si>
  <si>
    <t>2020-10-30 21:12:09.294</t>
  </si>
  <si>
    <t>XS0029460762</t>
  </si>
  <si>
    <t>1579244</t>
  </si>
  <si>
    <t>2020-10-30 21:12:09.27</t>
  </si>
  <si>
    <t>RU000A101616</t>
  </si>
  <si>
    <t>51534058</t>
  </si>
  <si>
    <t>2020-10-30 21:12:09.198</t>
  </si>
  <si>
    <t>RU000A1010Y9</t>
  </si>
  <si>
    <t>51094176</t>
  </si>
  <si>
    <t>2020-10-30 21:12:09.181</t>
  </si>
  <si>
    <t>38444808</t>
  </si>
  <si>
    <t>2020-10-30 21:12:09.097</t>
  </si>
  <si>
    <t>32200373</t>
  </si>
  <si>
    <t>2020-10-30 21:12:09.031</t>
  </si>
  <si>
    <t>19823237</t>
  </si>
  <si>
    <t>2020-10-30 21:12:08.971</t>
  </si>
  <si>
    <t>IRO1PYSZ0002</t>
  </si>
  <si>
    <t>3668370</t>
  </si>
  <si>
    <t>Paysaz</t>
  </si>
  <si>
    <t>2020-10-30 21:12:08.951</t>
  </si>
  <si>
    <t>IRO1BRKT0003</t>
  </si>
  <si>
    <t>35656947</t>
  </si>
  <si>
    <t>G.Barekat Pharm</t>
  </si>
  <si>
    <t>2020-10-30 21:12:08.925</t>
  </si>
  <si>
    <t>IRO7PDHP0006</t>
  </si>
  <si>
    <t>18382781</t>
  </si>
  <si>
    <t>Dehdasht Petrochemical Co</t>
  </si>
  <si>
    <t>2020-10-30 21:12:08.907</t>
  </si>
  <si>
    <t>XS0155012510</t>
  </si>
  <si>
    <t>1497855</t>
  </si>
  <si>
    <t>Bank Saderat Plc</t>
  </si>
  <si>
    <t>2020-10-30 21:12:08.885</t>
  </si>
  <si>
    <t>UA4000121982</t>
  </si>
  <si>
    <t>14610868</t>
  </si>
  <si>
    <t>2020-10-30 21:12:08.86</t>
  </si>
  <si>
    <t>XS0029467692</t>
  </si>
  <si>
    <t>1583713</t>
  </si>
  <si>
    <t>2020-10-30 21:12:08.379</t>
  </si>
  <si>
    <t>DE0001070324</t>
  </si>
  <si>
    <t>1056531</t>
  </si>
  <si>
    <t>2020-10-30 21:12:08.359</t>
  </si>
  <si>
    <t>RU000A0JPWS9</t>
  </si>
  <si>
    <t>4495930</t>
  </si>
  <si>
    <t>2020-10-30 21:12:08.339</t>
  </si>
  <si>
    <t>SY0021100159</t>
  </si>
  <si>
    <t>28301900</t>
  </si>
  <si>
    <t>Syrian National Insurance Company</t>
  </si>
  <si>
    <t>2020-10-30 21:12:08.321</t>
  </si>
  <si>
    <t>RU000A101ML4</t>
  </si>
  <si>
    <t>54539694</t>
  </si>
  <si>
    <t>2020-10-30 21:12:08.281</t>
  </si>
  <si>
    <t>RU000A100U88</t>
  </si>
  <si>
    <t>50394587</t>
  </si>
  <si>
    <t>2020-10-30 21:12:08.257</t>
  </si>
  <si>
    <t>RU000A100TW8</t>
  </si>
  <si>
    <t>50098939</t>
  </si>
  <si>
    <t>2020-10-30 21:12:08.24</t>
  </si>
  <si>
    <t>RU000A100TM9</t>
  </si>
  <si>
    <t>50070658</t>
  </si>
  <si>
    <t>2020-10-30 21:12:08.219</t>
  </si>
  <si>
    <t>KZ2C00003663</t>
  </si>
  <si>
    <t>49670549</t>
  </si>
  <si>
    <t>2020-10-30 21:12:08.202</t>
  </si>
  <si>
    <t>43566929</t>
  </si>
  <si>
    <t>2020-10-30 21:12:08.18</t>
  </si>
  <si>
    <t>RU000A101BJ1</t>
  </si>
  <si>
    <t>57094348</t>
  </si>
  <si>
    <t>2020-10-30 21:12:03.027</t>
  </si>
  <si>
    <t>RU000A101FD5</t>
  </si>
  <si>
    <t>52639425</t>
  </si>
  <si>
    <t>2020-10-30 21:12:02.978</t>
  </si>
  <si>
    <t>RU000A101954</t>
  </si>
  <si>
    <t>51744206</t>
  </si>
  <si>
    <t>2020-10-30 21:12:02.959</t>
  </si>
  <si>
    <t>RU000A100XE8</t>
  </si>
  <si>
    <t>50632168</t>
  </si>
  <si>
    <t>2020-10-30 21:12:02.94</t>
  </si>
  <si>
    <t>RU000A100L48</t>
  </si>
  <si>
    <t>49027749</t>
  </si>
  <si>
    <t>2020-10-30 21:12:02.923</t>
  </si>
  <si>
    <t>42548534</t>
  </si>
  <si>
    <t>2020-10-30 21:12:02.838</t>
  </si>
  <si>
    <t>IRO7SASP0003</t>
  </si>
  <si>
    <t>19174149</t>
  </si>
  <si>
    <t>Asia Cement</t>
  </si>
  <si>
    <t>2020-10-30 21:12:02.528</t>
  </si>
  <si>
    <t>IRO7PKBP0003</t>
  </si>
  <si>
    <t>18368075</t>
  </si>
  <si>
    <t>Amir Kabir Petrochemical Company</t>
  </si>
  <si>
    <t>2020-10-30 21:12:02.508</t>
  </si>
  <si>
    <t>CU0048396493</t>
  </si>
  <si>
    <t>4839649</t>
  </si>
  <si>
    <t>2020-10-30 21:12:02.489</t>
  </si>
  <si>
    <t>XD0002748768</t>
  </si>
  <si>
    <t>274876</t>
  </si>
  <si>
    <t>2020-10-30 21:12:02.468</t>
  </si>
  <si>
    <t>DE0001960565</t>
  </si>
  <si>
    <t>792664</t>
  </si>
  <si>
    <t>2020-10-30 21:12:02.446</t>
  </si>
  <si>
    <t>38350264</t>
  </si>
  <si>
    <t>2020-10-30 21:12:02.413</t>
  </si>
  <si>
    <t>RU000A07CHR9</t>
  </si>
  <si>
    <t>42260792</t>
  </si>
  <si>
    <t>SAZ Joint Stock Company</t>
  </si>
  <si>
    <t>2020-10-30 21:12:02.392</t>
  </si>
  <si>
    <t>RU000A101WV2</t>
  </si>
  <si>
    <t>56110245</t>
  </si>
  <si>
    <t>2020-10-30 21:12:02.273</t>
  </si>
  <si>
    <t>RU000A101JE5</t>
  </si>
  <si>
    <t>53575547</t>
  </si>
  <si>
    <t>2020-10-30 21:12:02.229</t>
  </si>
  <si>
    <t>47324346</t>
  </si>
  <si>
    <t>2020-10-30 21:12:02.191</t>
  </si>
  <si>
    <t>41380521</t>
  </si>
  <si>
    <t>2020-10-30 21:12:02.114</t>
  </si>
  <si>
    <t>33403298</t>
  </si>
  <si>
    <t>2020-10-30 21:12:02.078</t>
  </si>
  <si>
    <t>RU000A0JWM15</t>
  </si>
  <si>
    <t>33072717</t>
  </si>
  <si>
    <t>2020-10-30 21:12:02.056</t>
  </si>
  <si>
    <t>IRO1HJPT0002</t>
  </si>
  <si>
    <t>10659822</t>
  </si>
  <si>
    <t>Petrochemical Transport Co</t>
  </si>
  <si>
    <t>2020-10-30 21:12:01.966</t>
  </si>
  <si>
    <t>CND10002FWH3</t>
  </si>
  <si>
    <t>49805843</t>
  </si>
  <si>
    <t>2020-10-30 21:12:01.95</t>
  </si>
  <si>
    <t>20314539</t>
  </si>
  <si>
    <t>Po turyzmu ta ekskursiiakh Krymtur PJSC</t>
  </si>
  <si>
    <t>2020-10-30 21:12:01.927</t>
  </si>
  <si>
    <t>VEV00014AGE7</t>
  </si>
  <si>
    <t>1004732</t>
  </si>
  <si>
    <t>2020-10-30 21:12:01.902</t>
  </si>
  <si>
    <t>VEV00350ABX6</t>
  </si>
  <si>
    <t>874157</t>
  </si>
  <si>
    <t>2020-10-30 21:12:01.883</t>
  </si>
  <si>
    <t>DE0004019807</t>
  </si>
  <si>
    <t>734868</t>
  </si>
  <si>
    <t>2020-10-30 21:12:01.117</t>
  </si>
  <si>
    <t>XS0029482816</t>
  </si>
  <si>
    <t>2036486</t>
  </si>
  <si>
    <t>2020-10-30 21:12:01.099</t>
  </si>
  <si>
    <t>US922646BM57</t>
  </si>
  <si>
    <t>1963862</t>
  </si>
  <si>
    <t>922646BM5</t>
  </si>
  <si>
    <t>2020-10-30 21:12:01.08</t>
  </si>
  <si>
    <t>RU000A0JTG67</t>
  </si>
  <si>
    <t>55131820</t>
  </si>
  <si>
    <t>Astrakhanskoye Sudostroitelnoye Proizvodstvennoy e Obyedineniye aktsionernoye obshchestvo</t>
  </si>
  <si>
    <t>2020-10-30 21:12:01.035</t>
  </si>
  <si>
    <t>RU000A102226</t>
  </si>
  <si>
    <t>56776211</t>
  </si>
  <si>
    <t>2020-10-30 21:11:55.462</t>
  </si>
  <si>
    <t>RU000A1011Z4</t>
  </si>
  <si>
    <t>51176151</t>
  </si>
  <si>
    <t>2020-10-30 21:11:55.439</t>
  </si>
  <si>
    <t>44146578</t>
  </si>
  <si>
    <t>2020-10-30 21:11:55.378</t>
  </si>
  <si>
    <t>42275438</t>
  </si>
  <si>
    <t>2020-10-30 21:11:55.356</t>
  </si>
  <si>
    <t>34558350</t>
  </si>
  <si>
    <t>2020-10-30 21:11:55.28</t>
  </si>
  <si>
    <t>755977</t>
  </si>
  <si>
    <t>Tehran Chemical Co.</t>
  </si>
  <si>
    <t>2020-10-30 21:11:55.111</t>
  </si>
  <si>
    <t>IRO1BAKH0006</t>
  </si>
  <si>
    <t>3668398</t>
  </si>
  <si>
    <t>Kabl Bakhtar</t>
  </si>
  <si>
    <t>2020-10-30 21:11:55.089</t>
  </si>
  <si>
    <t>IRO1PKLJ0005</t>
  </si>
  <si>
    <t>21842937</t>
  </si>
  <si>
    <t>Persian Gulf Petrochemical Industry Co.</t>
  </si>
  <si>
    <t>2020-10-30 21:11:55.06</t>
  </si>
  <si>
    <t>IRO1RELK0008</t>
  </si>
  <si>
    <t>10644199</t>
  </si>
  <si>
    <t>Arya Electronics Iran Co</t>
  </si>
  <si>
    <t>2020-10-30 21:11:55.036</t>
  </si>
  <si>
    <t>IRO1KRTI0006</t>
  </si>
  <si>
    <t>1027891</t>
  </si>
  <si>
    <t>Iran Carton INC</t>
  </si>
  <si>
    <t>2020-10-30 21:11:55.018</t>
  </si>
  <si>
    <t>IRO1ASAL0003</t>
  </si>
  <si>
    <t>1027147</t>
  </si>
  <si>
    <t>Absal Co.</t>
  </si>
  <si>
    <t>2020-10-30 21:11:54.996</t>
  </si>
  <si>
    <t>30429006</t>
  </si>
  <si>
    <t>2020-10-30 21:11:54.975</t>
  </si>
  <si>
    <t>CH0100755138</t>
  </si>
  <si>
    <t>10075513</t>
  </si>
  <si>
    <t>2020-10-30 21:11:54.956</t>
  </si>
  <si>
    <t>DE0004019732</t>
  </si>
  <si>
    <t>734851</t>
  </si>
  <si>
    <t>2020-10-30 21:11:54.938</t>
  </si>
  <si>
    <t>VEV00014AFN0</t>
  </si>
  <si>
    <t>910826</t>
  </si>
  <si>
    <t>2020-10-30 21:11:54.897</t>
  </si>
  <si>
    <t>DE0004019773</t>
  </si>
  <si>
    <t>734865</t>
  </si>
  <si>
    <t>2020-10-30 21:11:54.876</t>
  </si>
  <si>
    <t>XS0029463352</t>
  </si>
  <si>
    <t>986192</t>
  </si>
  <si>
    <t>2020-10-30 21:11:54.855</t>
  </si>
  <si>
    <t>XS0035039840</t>
  </si>
  <si>
    <t>673566</t>
  </si>
  <si>
    <t>2020-10-30 21:11:54.838</t>
  </si>
  <si>
    <t>XS0035164663</t>
  </si>
  <si>
    <t>44681</t>
  </si>
  <si>
    <t>2020-10-30 21:11:54.816</t>
  </si>
  <si>
    <t>RU000A101UZ7</t>
  </si>
  <si>
    <t>56039119</t>
  </si>
  <si>
    <t>2020-10-30 21:11:54.74</t>
  </si>
  <si>
    <t>RU000A100YQ0</t>
  </si>
  <si>
    <t>50765267</t>
  </si>
  <si>
    <t>2020-10-30 21:11:54.666</t>
  </si>
  <si>
    <t>RU000A100J00</t>
  </si>
  <si>
    <t>48846766</t>
  </si>
  <si>
    <t>2020-10-30 21:11:54.644</t>
  </si>
  <si>
    <t>RU000A0JUZD4</t>
  </si>
  <si>
    <t>27222937</t>
  </si>
  <si>
    <t>Firma VAO R.PRIM CJSC</t>
  </si>
  <si>
    <t>2020-10-30 21:11:54.582</t>
  </si>
  <si>
    <t>755925</t>
  </si>
  <si>
    <t>Iran Interconsult Engineering Co</t>
  </si>
  <si>
    <t>2020-10-30 21:11:54.477</t>
  </si>
  <si>
    <t>IRO1SLMN0004</t>
  </si>
  <si>
    <t>10665449</t>
  </si>
  <si>
    <t>Salemin Factory</t>
  </si>
  <si>
    <t>2020-10-30 21:11:54.456</t>
  </si>
  <si>
    <t>CND1000199T1</t>
  </si>
  <si>
    <t>43051822</t>
  </si>
  <si>
    <t>2020-10-30 21:11:54.438</t>
  </si>
  <si>
    <t>43182518</t>
  </si>
  <si>
    <t>2020-10-30 21:11:53.607</t>
  </si>
  <si>
    <t>38350173</t>
  </si>
  <si>
    <t>2020-10-30 21:11:53.591</t>
  </si>
  <si>
    <t>RU000A1022R8</t>
  </si>
  <si>
    <t>56874930</t>
  </si>
  <si>
    <t>2020-10-30 21:11:53.556</t>
  </si>
  <si>
    <t>RU000A100Y76</t>
  </si>
  <si>
    <t>50723398</t>
  </si>
  <si>
    <t>2020-10-30 21:11:53.519</t>
  </si>
  <si>
    <t>26399405</t>
  </si>
  <si>
    <t>2020-10-30 21:11:53.404</t>
  </si>
  <si>
    <t>41131254</t>
  </si>
  <si>
    <t>2020-10-30 21:11:48.227</t>
  </si>
  <si>
    <t>41037296</t>
  </si>
  <si>
    <t>2020-10-30 21:11:48.204</t>
  </si>
  <si>
    <t>41022963</t>
  </si>
  <si>
    <t>2020-10-30 21:11:48.184</t>
  </si>
  <si>
    <t>IRO1NASI0003</t>
  </si>
  <si>
    <t>3668433</t>
  </si>
  <si>
    <t>Iran Refractories Co. (IREFCO)</t>
  </si>
  <si>
    <t>2020-10-30 21:11:48.05</t>
  </si>
  <si>
    <t>IRO7SNVP0003</t>
  </si>
  <si>
    <t>19658390</t>
  </si>
  <si>
    <t>Tamin Maskan Co</t>
  </si>
  <si>
    <t>2020-10-30 21:11:48.03</t>
  </si>
  <si>
    <t>IRO1BEPP0007</t>
  </si>
  <si>
    <t>1027120</t>
  </si>
  <si>
    <t>Behpaak Industrial Co.</t>
  </si>
  <si>
    <t>2020-10-30 21:11:48.012</t>
  </si>
  <si>
    <t>CND1000165C8</t>
  </si>
  <si>
    <t>41833463</t>
  </si>
  <si>
    <t>2020-10-30 21:11:47.99</t>
  </si>
  <si>
    <t>28642361</t>
  </si>
  <si>
    <t>2020-10-30 21:11:47.973</t>
  </si>
  <si>
    <t>23114740</t>
  </si>
  <si>
    <t>2020-10-30 21:11:47.955</t>
  </si>
  <si>
    <t>1332773</t>
  </si>
  <si>
    <t>2020-10-30 21:11:47.527</t>
  </si>
  <si>
    <t>38350283</t>
  </si>
  <si>
    <t>2020-10-30 21:11:47.512</t>
  </si>
  <si>
    <t>3602945</t>
  </si>
  <si>
    <t>2020-10-30 21:11:47.492</t>
  </si>
  <si>
    <t>RU0007661823</t>
  </si>
  <si>
    <t>868891</t>
  </si>
  <si>
    <t>Irkutskkabel Joint-Stock Company</t>
  </si>
  <si>
    <t>2020-10-30 21:11:47.476</t>
  </si>
  <si>
    <t>35477470</t>
  </si>
  <si>
    <t>2020-10-30 21:11:47.455</t>
  </si>
  <si>
    <t>RU000A0NH1Z0</t>
  </si>
  <si>
    <t>57424049</t>
  </si>
  <si>
    <t>2020-10-30 21:11:47.395</t>
  </si>
  <si>
    <t>RU000A101JW7</t>
  </si>
  <si>
    <t>53812707</t>
  </si>
  <si>
    <t>2020-10-30 21:11:47.377</t>
  </si>
  <si>
    <t>41216934</t>
  </si>
  <si>
    <t>2020-10-30 21:11:47.356</t>
  </si>
  <si>
    <t>38325281</t>
  </si>
  <si>
    <t>2020-10-30 21:11:47.337</t>
  </si>
  <si>
    <t>2020-10-30 21:11:47.318</t>
  </si>
  <si>
    <t>35217687</t>
  </si>
  <si>
    <t>2020-10-30 21:11:47.297</t>
  </si>
  <si>
    <t>34905939</t>
  </si>
  <si>
    <t>2020-10-30 21:11:47.279</t>
  </si>
  <si>
    <t>31254448</t>
  </si>
  <si>
    <t>2020-10-30 21:11:47.238</t>
  </si>
  <si>
    <t>IRO1MOBN0000</t>
  </si>
  <si>
    <t>30240543</t>
  </si>
  <si>
    <t>Mobin Petrochemical Company</t>
  </si>
  <si>
    <t>2020-10-30 21:11:47.118</t>
  </si>
  <si>
    <t>IRO1FGMS0001</t>
  </si>
  <si>
    <t>11668568</t>
  </si>
  <si>
    <t>Mashad Food Co.</t>
  </si>
  <si>
    <t>2020-10-30 21:11:47.097</t>
  </si>
  <si>
    <t>IRO1SPKH0000</t>
  </si>
  <si>
    <t>10302650</t>
  </si>
  <si>
    <t>Khorasan Pegah Dairy Co</t>
  </si>
  <si>
    <t>2020-10-30 21:11:47.079</t>
  </si>
  <si>
    <t>CND10001KLL0</t>
  </si>
  <si>
    <t>33981855</t>
  </si>
  <si>
    <t>Xinjiang Production and Construction Corps 10th division state-owned Assets Management Co., Ltd.</t>
  </si>
  <si>
    <t>2020-10-30 21:11:47.049</t>
  </si>
  <si>
    <t>UA4000120018</t>
  </si>
  <si>
    <t>18812484</t>
  </si>
  <si>
    <t>Vremya OJSC</t>
  </si>
  <si>
    <t>2020-10-30 21:11:47.03</t>
  </si>
  <si>
    <t>883115</t>
  </si>
  <si>
    <t>2020-10-30 21:11:47.009</t>
  </si>
  <si>
    <t>XS0034652924</t>
  </si>
  <si>
    <t>883679</t>
  </si>
  <si>
    <t>2020-10-30 21:11:46.994</t>
  </si>
  <si>
    <t>XS0029449369</t>
  </si>
  <si>
    <t>493836</t>
  </si>
  <si>
    <t>2020-10-30 21:11:46.978</t>
  </si>
  <si>
    <t>38158438</t>
  </si>
  <si>
    <t>2020-10-30 21:11:46.959</t>
  </si>
  <si>
    <t>123752</t>
  </si>
  <si>
    <t>2020-10-30 21:11:46.94</t>
  </si>
  <si>
    <t>RU000A102341</t>
  </si>
  <si>
    <t>56930796</t>
  </si>
  <si>
    <t>2020-10-30 21:11:46.898</t>
  </si>
  <si>
    <t>RU000A1017U2</t>
  </si>
  <si>
    <t>52048197</t>
  </si>
  <si>
    <t>2020-10-30 21:11:46.862</t>
  </si>
  <si>
    <t>RU000A100UM7</t>
  </si>
  <si>
    <t>50162026</t>
  </si>
  <si>
    <t>2020-10-30 21:11:46.779</t>
  </si>
  <si>
    <t>RU000A100KX5</t>
  </si>
  <si>
    <t>49003671</t>
  </si>
  <si>
    <t>2020-10-30 21:11:46.759</t>
  </si>
  <si>
    <t>36259533</t>
  </si>
  <si>
    <t>2020-10-30 21:11:46.698</t>
  </si>
  <si>
    <t>26364104</t>
  </si>
  <si>
    <t>2020-10-30 21:11:46.656</t>
  </si>
  <si>
    <t>IRO1PLKK0002</t>
  </si>
  <si>
    <t>3668382</t>
  </si>
  <si>
    <t>Plascokar Saipa Co.</t>
  </si>
  <si>
    <t>2020-10-30 21:11:46.453</t>
  </si>
  <si>
    <t>IRT1CSNF0003</t>
  </si>
  <si>
    <t>24728263</t>
  </si>
  <si>
    <t>Sepehr Novin</t>
  </si>
  <si>
    <t>2020-10-30 21:11:46.435</t>
  </si>
  <si>
    <t>IRO7SNJP0009</t>
  </si>
  <si>
    <t>20198519</t>
  </si>
  <si>
    <t>Sanandaj</t>
  </si>
  <si>
    <t>2020-10-30 21:11:46.417</t>
  </si>
  <si>
    <t>IRO7TSNP0007</t>
  </si>
  <si>
    <t>18908797</t>
  </si>
  <si>
    <t>Tasnim Drink Beverage Products</t>
  </si>
  <si>
    <t>2020-10-30 21:11:46.397</t>
  </si>
  <si>
    <t>IRO1ALPS0006</t>
  </si>
  <si>
    <t>1028962</t>
  </si>
  <si>
    <t>Alminium Pars</t>
  </si>
  <si>
    <t>2020-10-30 21:11:46.378</t>
  </si>
  <si>
    <t>CND1000256X1</t>
  </si>
  <si>
    <t>47078080</t>
  </si>
  <si>
    <t>2020-10-30 21:11:46.356</t>
  </si>
  <si>
    <t>CND100030T03</t>
  </si>
  <si>
    <t>45091041</t>
  </si>
  <si>
    <t>2020-10-30 21:11:46.333</t>
  </si>
  <si>
    <t>725718</t>
  </si>
  <si>
    <t>2020-10-30 21:11:46.311</t>
  </si>
  <si>
    <t>VEV00014CGM6</t>
  </si>
  <si>
    <t>28085386</t>
  </si>
  <si>
    <t>2020-10-30 21:11:46.288</t>
  </si>
  <si>
    <t>RU000A100N38</t>
  </si>
  <si>
    <t>49239146</t>
  </si>
  <si>
    <t>AKADO Kholding Aktsionernoye obshchestvo</t>
  </si>
  <si>
    <t>2020-10-30 21:11:46.262</t>
  </si>
  <si>
    <t>RU000A1025R1</t>
  </si>
  <si>
    <t>57369285</t>
  </si>
  <si>
    <t>2020-10-30 21:11:46.239</t>
  </si>
  <si>
    <t>VEP363001044</t>
  </si>
  <si>
    <t>992217</t>
  </si>
  <si>
    <t>2020-10-30 21:11:40.647</t>
  </si>
  <si>
    <t>DE0001960508</t>
  </si>
  <si>
    <t>792656</t>
  </si>
  <si>
    <t>2020-10-30 21:11:40.626</t>
  </si>
  <si>
    <t>VEV00014AFU5</t>
  </si>
  <si>
    <t>910863</t>
  </si>
  <si>
    <t>2020-10-30 21:11:40.607</t>
  </si>
  <si>
    <t>1255535</t>
  </si>
  <si>
    <t>2020-10-30 21:11:40.59</t>
  </si>
  <si>
    <t>VEP36300AM63</t>
  </si>
  <si>
    <t>991142</t>
  </si>
  <si>
    <t>2020-10-30 21:11:40.566</t>
  </si>
  <si>
    <t>XS0032937269</t>
  </si>
  <si>
    <t>883675</t>
  </si>
  <si>
    <t>2020-10-30 21:11:40.544</t>
  </si>
  <si>
    <t>35459</t>
  </si>
  <si>
    <t>2020-10-30 21:11:40.525</t>
  </si>
  <si>
    <t>XS0042409366</t>
  </si>
  <si>
    <t>1770971</t>
  </si>
  <si>
    <t>2020-10-30 21:11:40.504</t>
  </si>
  <si>
    <t>12506881</t>
  </si>
  <si>
    <t>2020-10-30 21:11:40.485</t>
  </si>
  <si>
    <t>RU0006935905</t>
  </si>
  <si>
    <t>24256599</t>
  </si>
  <si>
    <t>2020-10-30 21:11:40.463</t>
  </si>
  <si>
    <t>RU000A0JRZE8</t>
  </si>
  <si>
    <t>52971299</t>
  </si>
  <si>
    <t>2020-10-30 21:11:40.426</t>
  </si>
  <si>
    <t>47415967</t>
  </si>
  <si>
    <t>2020-10-30 21:11:40.389</t>
  </si>
  <si>
    <t>40716421</t>
  </si>
  <si>
    <t>2020-10-30 21:11:40.329</t>
  </si>
  <si>
    <t>33765113</t>
  </si>
  <si>
    <t>2020-10-30 21:11:40.273</t>
  </si>
  <si>
    <t>IRO7SDRP0001</t>
  </si>
  <si>
    <t>3668386</t>
  </si>
  <si>
    <t>Sadra Iran Marine Industrial Co.</t>
  </si>
  <si>
    <t>2020-10-30 21:11:40.113</t>
  </si>
  <si>
    <t>IRO7SNOP0002</t>
  </si>
  <si>
    <t>20099131</t>
  </si>
  <si>
    <t>Novin Cons. Inv.</t>
  </si>
  <si>
    <t>2020-10-30 21:11:40.078</t>
  </si>
  <si>
    <t>IRO3OSHZ0002</t>
  </si>
  <si>
    <t>12386737</t>
  </si>
  <si>
    <t>Shshed Improvement &amp; Development Co</t>
  </si>
  <si>
    <t>2020-10-30 21:11:40.06</t>
  </si>
  <si>
    <t>725440</t>
  </si>
  <si>
    <t>Cuban Mortgage Bank</t>
  </si>
  <si>
    <t>2020-10-30 21:11:40.038</t>
  </si>
  <si>
    <t>XS0067300946</t>
  </si>
  <si>
    <t>491253</t>
  </si>
  <si>
    <t>2020-10-30 21:11:40.017</t>
  </si>
  <si>
    <t>US693300AB14</t>
  </si>
  <si>
    <t>902570</t>
  </si>
  <si>
    <t>693300AB1</t>
  </si>
  <si>
    <t>2020-10-30 21:11:39.995</t>
  </si>
  <si>
    <t>XS0105796519</t>
  </si>
  <si>
    <t>1089907</t>
  </si>
  <si>
    <t>2020-10-30 21:11:39.973</t>
  </si>
  <si>
    <t>RU000A0JU955</t>
  </si>
  <si>
    <t>22743147</t>
  </si>
  <si>
    <t>2020-10-30 21:11:39.953</t>
  </si>
  <si>
    <t>RU000A101P01</t>
  </si>
  <si>
    <t>54890443</t>
  </si>
  <si>
    <t>2020-10-30 21:11:39.898</t>
  </si>
  <si>
    <t>RU000A100UK1</t>
  </si>
  <si>
    <t>50156493</t>
  </si>
  <si>
    <t>2020-10-30 21:11:39.859</t>
  </si>
  <si>
    <t>RU000A100KU1</t>
  </si>
  <si>
    <t>49001113</t>
  </si>
  <si>
    <t>2020-10-30 21:11:39.839</t>
  </si>
  <si>
    <t>39267053</t>
  </si>
  <si>
    <t>2020-10-30 21:11:39.822</t>
  </si>
  <si>
    <t>29530527</t>
  </si>
  <si>
    <t>CHAYKA OAO</t>
  </si>
  <si>
    <t>2020-10-30 21:11:39.8</t>
  </si>
  <si>
    <t>IRO1VTAN0005</t>
  </si>
  <si>
    <t>3668409</t>
  </si>
  <si>
    <t>Vatan Esfahan</t>
  </si>
  <si>
    <t>2020-10-30 21:11:39.666</t>
  </si>
  <si>
    <t>IRO1KHSH0000</t>
  </si>
  <si>
    <t>10188662</t>
  </si>
  <si>
    <t>East Electric Vehicle Co</t>
  </si>
  <si>
    <t>2020-10-30 21:11:39.628</t>
  </si>
  <si>
    <t>DE0004019740</t>
  </si>
  <si>
    <t>990988</t>
  </si>
  <si>
    <t>2020-10-30 21:11:39.608</t>
  </si>
  <si>
    <t>IRO1ABGN0004</t>
  </si>
  <si>
    <t>3668380</t>
  </si>
  <si>
    <t>2020-10-30 21:11:32.709</t>
  </si>
  <si>
    <t>IRO1PTEH0007</t>
  </si>
  <si>
    <t>34577209</t>
  </si>
  <si>
    <t>Palayesh Tehran</t>
  </si>
  <si>
    <t>2020-10-30 21:11:32.687</t>
  </si>
  <si>
    <t>IRO7DHVP0008</t>
  </si>
  <si>
    <t>19173958</t>
  </si>
  <si>
    <t>Alhavi Co</t>
  </si>
  <si>
    <t>2020-10-30 21:11:32.667</t>
  </si>
  <si>
    <t>IRO1PKER0004</t>
  </si>
  <si>
    <t>14451276</t>
  </si>
  <si>
    <t>Kermanshah Petrochemical Industries Co</t>
  </si>
  <si>
    <t>2020-10-30 21:11:32.647</t>
  </si>
  <si>
    <t>IRO1DRKH0005</t>
  </si>
  <si>
    <t>1028960</t>
  </si>
  <si>
    <t>Derakhshan Tehran Co.</t>
  </si>
  <si>
    <t>2020-10-30 21:11:32.627</t>
  </si>
  <si>
    <t>IRO1VITN0007</t>
  </si>
  <si>
    <t>1027132</t>
  </si>
  <si>
    <t>Vitana Co.</t>
  </si>
  <si>
    <t>2020-10-30 21:11:32.605</t>
  </si>
  <si>
    <t>CND10003HFS9</t>
  </si>
  <si>
    <t>56267403</t>
  </si>
  <si>
    <t>2020-10-30 21:11:32.585</t>
  </si>
  <si>
    <t>CNE100000HH5</t>
  </si>
  <si>
    <t>10689035</t>
  </si>
  <si>
    <t>2020-10-30 21:11:32.56</t>
  </si>
  <si>
    <t>725928</t>
  </si>
  <si>
    <t>2020-10-30 21:11:32.539</t>
  </si>
  <si>
    <t>VEP36300AG95</t>
  </si>
  <si>
    <t>991138</t>
  </si>
  <si>
    <t>2020-10-30 21:11:31.954</t>
  </si>
  <si>
    <t>20424544</t>
  </si>
  <si>
    <t>2020-10-30 21:11:31.446</t>
  </si>
  <si>
    <t>27216766</t>
  </si>
  <si>
    <t>Crimean Fruit Company JSC</t>
  </si>
  <si>
    <t>2020-10-30 21:11:31.428</t>
  </si>
  <si>
    <t>US693300AM78</t>
  </si>
  <si>
    <t>1078809</t>
  </si>
  <si>
    <t>693300AM7</t>
  </si>
  <si>
    <t>2020-10-30 21:11:31.388</t>
  </si>
  <si>
    <t>RU000A1021Q2</t>
  </si>
  <si>
    <t>56674287</t>
  </si>
  <si>
    <t>2020-10-30 21:11:31.342</t>
  </si>
  <si>
    <t>RU000A101KB9</t>
  </si>
  <si>
    <t>53943521</t>
  </si>
  <si>
    <t>2020-10-30 21:11:31.301</t>
  </si>
  <si>
    <t>RU000A0JT9R2</t>
  </si>
  <si>
    <t>53527172</t>
  </si>
  <si>
    <t>Upravlyayushchaya kompaniya Dinamo Aktsionernoye obshchestvo</t>
  </si>
  <si>
    <t>2020-10-30 21:11:31.281</t>
  </si>
  <si>
    <t>RU000A101GK8</t>
  </si>
  <si>
    <t>52875428</t>
  </si>
  <si>
    <t>TELEKOM INVESTITSII AKTSIONERNOYE OBSHCHESTVO</t>
  </si>
  <si>
    <t>2020-10-30 21:11:31.258</t>
  </si>
  <si>
    <t>RU000A1017V0</t>
  </si>
  <si>
    <t>52139344</t>
  </si>
  <si>
    <t>2020-10-30 21:11:31.24</t>
  </si>
  <si>
    <t>RU000A1017C0</t>
  </si>
  <si>
    <t>52042932</t>
  </si>
  <si>
    <t>2020-10-30 21:11:31.224</t>
  </si>
  <si>
    <t>RU000A100R91</t>
  </si>
  <si>
    <t>49670572</t>
  </si>
  <si>
    <t>2020-10-30 21:11:31.159</t>
  </si>
  <si>
    <t>48217202</t>
  </si>
  <si>
    <t>2020-10-30 21:11:31.134</t>
  </si>
  <si>
    <t>46213844</t>
  </si>
  <si>
    <t>2020-10-30 21:11:31.116</t>
  </si>
  <si>
    <t>44883428</t>
  </si>
  <si>
    <t>2020-10-30 21:11:31.099</t>
  </si>
  <si>
    <t>43194687</t>
  </si>
  <si>
    <t>2020-10-30 21:11:31.08</t>
  </si>
  <si>
    <t>38693134</t>
  </si>
  <si>
    <t>2020-10-30 21:11:31.041</t>
  </si>
  <si>
    <t>33740078</t>
  </si>
  <si>
    <t>Nauchno-proizvodstvennaya firma Tsentralnoye    konstruktorskoye byuro Armaturostroyenia AO</t>
  </si>
  <si>
    <t>2020-10-30 21:11:30.986</t>
  </si>
  <si>
    <t>VEV00350JRM6</t>
  </si>
  <si>
    <t>38367111</t>
  </si>
  <si>
    <t>2020-10-30 21:11:25.676</t>
  </si>
  <si>
    <t>VEV00014ABC2</t>
  </si>
  <si>
    <t>886140</t>
  </si>
  <si>
    <t>2020-10-30 21:11:25.656</t>
  </si>
  <si>
    <t>VEV00014AFL4</t>
  </si>
  <si>
    <t>910749</t>
  </si>
  <si>
    <t>2020-10-30 21:11:25.638</t>
  </si>
  <si>
    <t>USG6954PAE00</t>
  </si>
  <si>
    <t>979484</t>
  </si>
  <si>
    <t>2020-10-30 21:11:25.618</t>
  </si>
  <si>
    <t>43376571</t>
  </si>
  <si>
    <t>2020-10-30 21:11:25.6</t>
  </si>
  <si>
    <t>1907818</t>
  </si>
  <si>
    <t>RATEP Aktsionernoye obshchestvo</t>
  </si>
  <si>
    <t>2020-10-30 21:11:25.58</t>
  </si>
  <si>
    <t>RU000A101BA0</t>
  </si>
  <si>
    <t>56673884</t>
  </si>
  <si>
    <t>2020-10-30 21:11:25.52</t>
  </si>
  <si>
    <t>RU000A1010Q5</t>
  </si>
  <si>
    <t>51094424</t>
  </si>
  <si>
    <t>2020-10-30 21:11:25.449</t>
  </si>
  <si>
    <t>48549281</t>
  </si>
  <si>
    <t>2020-10-30 21:11:25.387</t>
  </si>
  <si>
    <t>47567717</t>
  </si>
  <si>
    <t>2020-10-30 21:11:25.32</t>
  </si>
  <si>
    <t>45638540</t>
  </si>
  <si>
    <t>2020-10-30 21:11:25.302</t>
  </si>
  <si>
    <t>RU000A0JQ1Y8</t>
  </si>
  <si>
    <t>33902985</t>
  </si>
  <si>
    <t>2020-10-30 21:11:25.225</t>
  </si>
  <si>
    <t>32744419</t>
  </si>
  <si>
    <t>Beloglinskiy elevator Aktsionernoye obshchestvo</t>
  </si>
  <si>
    <t>2020-10-30 21:11:25.207</t>
  </si>
  <si>
    <t>32670400</t>
  </si>
  <si>
    <t>2020-10-30 21:11:25.19</t>
  </si>
  <si>
    <t>26297425</t>
  </si>
  <si>
    <t>2020-10-30 21:11:25.151</t>
  </si>
  <si>
    <t>IRO1EKBT0008</t>
  </si>
  <si>
    <t>3666612</t>
  </si>
  <si>
    <t>Farsh Ekbatan</t>
  </si>
  <si>
    <t>2020-10-30 21:11:24.958</t>
  </si>
  <si>
    <t>IRO1TOPI0004</t>
  </si>
  <si>
    <t>1028953</t>
  </si>
  <si>
    <t>Tolypers</t>
  </si>
  <si>
    <t>2020-10-30 21:11:24.94</t>
  </si>
  <si>
    <t>DE0001960771</t>
  </si>
  <si>
    <t>793151</t>
  </si>
  <si>
    <t>2020-10-30 21:11:24.05</t>
  </si>
  <si>
    <t>XS0078310645</t>
  </si>
  <si>
    <t>713139</t>
  </si>
  <si>
    <t>2020-10-30 21:11:24.032</t>
  </si>
  <si>
    <t>42763657</t>
  </si>
  <si>
    <t>2020-10-30 21:11:24.015</t>
  </si>
  <si>
    <t>SY0021100035</t>
  </si>
  <si>
    <t>28301847</t>
  </si>
  <si>
    <t>Banque Bemo Saudi Fransi</t>
  </si>
  <si>
    <t>2020-10-30 21:11:23.995</t>
  </si>
  <si>
    <t>RU000A0JSAJ8</t>
  </si>
  <si>
    <t>41380545</t>
  </si>
  <si>
    <t>Podporozhskiy mekhanicheskiy zavod Aktsionernoyeobshchestvo</t>
  </si>
  <si>
    <t>2020-10-30 21:11:23.978</t>
  </si>
  <si>
    <t>RU000A101B56</t>
  </si>
  <si>
    <t>56093609</t>
  </si>
  <si>
    <t>2020-10-30 21:11:23.941</t>
  </si>
  <si>
    <t>RU000A101TK1</t>
  </si>
  <si>
    <t>55534144</t>
  </si>
  <si>
    <t>2020-10-30 21:11:18.481</t>
  </si>
  <si>
    <t>47569468</t>
  </si>
  <si>
    <t>2020-10-30 21:11:18.435</t>
  </si>
  <si>
    <t>28868650</t>
  </si>
  <si>
    <t>Poligraficeskij kompleks Puskinskaa plosad AO</t>
  </si>
  <si>
    <t>2020-10-30 21:11:18.338</t>
  </si>
  <si>
    <t>XS0085385903</t>
  </si>
  <si>
    <t>921876</t>
  </si>
  <si>
    <t>2020-10-30 21:11:18.18</t>
  </si>
  <si>
    <t>IR1100246013</t>
  </si>
  <si>
    <t>40457927</t>
  </si>
  <si>
    <t>Butane Industrial Group</t>
  </si>
  <si>
    <t>2020-10-30 21:11:18.148</t>
  </si>
  <si>
    <t>IRO1ALVN0003</t>
  </si>
  <si>
    <t>3668447</t>
  </si>
  <si>
    <t>Alvand Tile &amp; Ceramic Industries</t>
  </si>
  <si>
    <t>2020-10-30 21:11:18.123</t>
  </si>
  <si>
    <t>IRO7KBDP0007</t>
  </si>
  <si>
    <t>19313121</t>
  </si>
  <si>
    <t>Abadeh Fireclay</t>
  </si>
  <si>
    <t>2020-10-30 21:11:18.102</t>
  </si>
  <si>
    <t>IRO1BORS0000</t>
  </si>
  <si>
    <t>19174138</t>
  </si>
  <si>
    <t>Tehran Stock Exchange</t>
  </si>
  <si>
    <t>2020-10-30 21:11:18.079</t>
  </si>
  <si>
    <t>IRO8CDST0003</t>
  </si>
  <si>
    <t>18377080</t>
  </si>
  <si>
    <t>Central Securities Depository of Iran</t>
  </si>
  <si>
    <t>2020-10-30 21:11:18.057</t>
  </si>
  <si>
    <t>CND10001QPW5</t>
  </si>
  <si>
    <t>44636406</t>
  </si>
  <si>
    <t>2020-10-30 21:11:18.013</t>
  </si>
  <si>
    <t>13484729</t>
  </si>
  <si>
    <t>2020-10-30 21:11:17.992</t>
  </si>
  <si>
    <t>US716558AB79</t>
  </si>
  <si>
    <t>11958536</t>
  </si>
  <si>
    <t>716558AB7</t>
  </si>
  <si>
    <t>2020-10-30 21:11:17.973</t>
  </si>
  <si>
    <t>3048333</t>
  </si>
  <si>
    <t>Sobinbank OJSC</t>
  </si>
  <si>
    <t>2020-10-30 21:11:17.95</t>
  </si>
  <si>
    <t>30226599</t>
  </si>
  <si>
    <t>2020-10-30 21:11:17.929</t>
  </si>
  <si>
    <t>SY0021100076</t>
  </si>
  <si>
    <t>28301877</t>
  </si>
  <si>
    <t>The International Bank For Trade &amp; Finance</t>
  </si>
  <si>
    <t>2020-10-30 21:11:17.905</t>
  </si>
  <si>
    <t>RU0009091300</t>
  </si>
  <si>
    <t>699054</t>
  </si>
  <si>
    <t>ZVEZDA PJSC</t>
  </si>
  <si>
    <t>2020-10-30 21:11:17.885</t>
  </si>
  <si>
    <t>RU000A0NH2D5</t>
  </si>
  <si>
    <t>57794145</t>
  </si>
  <si>
    <t>2020-10-30 21:11:17.863</t>
  </si>
  <si>
    <t>40220514</t>
  </si>
  <si>
    <t>2020-10-30 21:11:17.823</t>
  </si>
  <si>
    <t>IR1100020012</t>
  </si>
  <si>
    <t>40457885</t>
  </si>
  <si>
    <t>2020-10-30 21:11:17.591</t>
  </si>
  <si>
    <t>IRO1NOSH0008</t>
  </si>
  <si>
    <t>3668375</t>
  </si>
  <si>
    <t>Mazandaran Noush Co.</t>
  </si>
  <si>
    <t>2020-10-30 21:11:17.568</t>
  </si>
  <si>
    <t>IRO1MGHI0001</t>
  </si>
  <si>
    <t>3663796</t>
  </si>
  <si>
    <t>Iran Insulator Co.</t>
  </si>
  <si>
    <t>2020-10-30 21:11:17.549</t>
  </si>
  <si>
    <t>IRO1PJMZ0007</t>
  </si>
  <si>
    <t>30240538</t>
  </si>
  <si>
    <t>Jam Petrochemical Company</t>
  </si>
  <si>
    <t>2020-10-30 21:11:17.53</t>
  </si>
  <si>
    <t>IRO3DSOZ0006</t>
  </si>
  <si>
    <t>12387932</t>
  </si>
  <si>
    <t>Sobhan Darou Co</t>
  </si>
  <si>
    <t>2020-10-30 21:11:17.513</t>
  </si>
  <si>
    <t>IRO1FKHZ0003</t>
  </si>
  <si>
    <t>11704368</t>
  </si>
  <si>
    <t>Khouzestan Steel Co.</t>
  </si>
  <si>
    <t>2020-10-30 21:11:17.495</t>
  </si>
  <si>
    <t>IRO1BARZ0007</t>
  </si>
  <si>
    <t>10660797</t>
  </si>
  <si>
    <t>Kerman Tire &amp; Rubber Co</t>
  </si>
  <si>
    <t>2020-10-30 21:11:17.477</t>
  </si>
  <si>
    <t>IRO1JAMD0000</t>
  </si>
  <si>
    <t>1027123</t>
  </si>
  <si>
    <t>Jaam Darou Co.</t>
  </si>
  <si>
    <t>2020-10-30 21:11:17.458</t>
  </si>
  <si>
    <t>IRO1MRGN0002</t>
  </si>
  <si>
    <t>1027113</t>
  </si>
  <si>
    <t>Margarin Co.</t>
  </si>
  <si>
    <t>2020-10-30 21:11:17.44</t>
  </si>
  <si>
    <t>CND10002J081</t>
  </si>
  <si>
    <t>51359383</t>
  </si>
  <si>
    <t>2020-10-30 21:11:17.417</t>
  </si>
  <si>
    <t>CU0007257975</t>
  </si>
  <si>
    <t>725797</t>
  </si>
  <si>
    <t>Cia Minera San Joaquin SA</t>
  </si>
  <si>
    <t>2020-10-30 21:11:17.398</t>
  </si>
  <si>
    <t>VEV00014AFI0</t>
  </si>
  <si>
    <t>903589</t>
  </si>
  <si>
    <t>2020-10-30 21:11:17.378</t>
  </si>
  <si>
    <t>DE0001960763</t>
  </si>
  <si>
    <t>793083</t>
  </si>
  <si>
    <t>2020-10-30 21:11:17.336</t>
  </si>
  <si>
    <t>714349</t>
  </si>
  <si>
    <t>2020-10-30 21:11:17.311</t>
  </si>
  <si>
    <t>XS0032489170</t>
  </si>
  <si>
    <t>497341</t>
  </si>
  <si>
    <t>2020-10-30 21:11:17.294</t>
  </si>
  <si>
    <t>38291781</t>
  </si>
  <si>
    <t>2020-10-30 21:11:17.273</t>
  </si>
  <si>
    <t>31497674</t>
  </si>
  <si>
    <t>2020-10-30 21:11:17.249</t>
  </si>
  <si>
    <t>21927271</t>
  </si>
  <si>
    <t>2020-10-30 21:11:17.219</t>
  </si>
  <si>
    <t>RU0008113535</t>
  </si>
  <si>
    <t>1699603</t>
  </si>
  <si>
    <t>2020-10-30 21:11:17.197</t>
  </si>
  <si>
    <t>RU000A101Y83</t>
  </si>
  <si>
    <t>56212946</t>
  </si>
  <si>
    <t>2020-10-30 21:11:17.106</t>
  </si>
  <si>
    <t>RU000A1014X3</t>
  </si>
  <si>
    <t>51441664</t>
  </si>
  <si>
    <t>2020-10-30 21:11:17.087</t>
  </si>
  <si>
    <t>RU000A0NH1K2</t>
  </si>
  <si>
    <t>49430086</t>
  </si>
  <si>
    <t>2020-10-30 21:11:17.07</t>
  </si>
  <si>
    <t>46754977</t>
  </si>
  <si>
    <t>2020-10-30 21:11:17.049</t>
  </si>
  <si>
    <t>42257250</t>
  </si>
  <si>
    <t>2020-10-30 21:11:16.951</t>
  </si>
  <si>
    <t>35519749</t>
  </si>
  <si>
    <t>2020-10-30 21:11:16.858</t>
  </si>
  <si>
    <t>27634318</t>
  </si>
  <si>
    <t>2020-10-30 21:11:16.819</t>
  </si>
  <si>
    <t>25637924</t>
  </si>
  <si>
    <t>2020-10-30 21:11:16.794</t>
  </si>
  <si>
    <t>IRO7ETKP0006</t>
  </si>
  <si>
    <t>21841197</t>
  </si>
  <si>
    <t>Iranian Etekai</t>
  </si>
  <si>
    <t>2020-10-30 21:11:16.624</t>
  </si>
  <si>
    <t>IRO1KMOA0004</t>
  </si>
  <si>
    <t>10659832</t>
  </si>
  <si>
    <t>Iran Telecomunication Manufacturing Co</t>
  </si>
  <si>
    <t>2020-10-30 21:11:16.601</t>
  </si>
  <si>
    <t>41414979</t>
  </si>
  <si>
    <t>2020-10-30 21:11:16.579</t>
  </si>
  <si>
    <t>21180136</t>
  </si>
  <si>
    <t>2020-10-30 21:11:16.563</t>
  </si>
  <si>
    <t>725644</t>
  </si>
  <si>
    <t>2020-10-30 21:11:16.546</t>
  </si>
  <si>
    <t>1837610</t>
  </si>
  <si>
    <t>Pervomaysky Rayagrokhim OJSC</t>
  </si>
  <si>
    <t>2020-10-30 21:11:16.528</t>
  </si>
  <si>
    <t>USG6954PAC44</t>
  </si>
  <si>
    <t>906890</t>
  </si>
  <si>
    <t>2020-10-30 21:11:16.512</t>
  </si>
  <si>
    <t>XS0029453478</t>
  </si>
  <si>
    <t>50450</t>
  </si>
  <si>
    <t>2020-10-30 21:11:16.488</t>
  </si>
  <si>
    <t>23128638</t>
  </si>
  <si>
    <t>2020-10-30 21:11:16.467</t>
  </si>
  <si>
    <t>XS0614385135</t>
  </si>
  <si>
    <t>18803509</t>
  </si>
  <si>
    <t>2020-10-30 21:11:16.448</t>
  </si>
  <si>
    <t>12520445</t>
  </si>
  <si>
    <t>2020-10-30 21:11:16.427</t>
  </si>
  <si>
    <t>US693300AP00</t>
  </si>
  <si>
    <t>1078327</t>
  </si>
  <si>
    <t>693300AP0</t>
  </si>
  <si>
    <t>2020-10-30 21:11:16.407</t>
  </si>
  <si>
    <t>RU000A0JUVY9</t>
  </si>
  <si>
    <t>56336282</t>
  </si>
  <si>
    <t>Gostinichnyy kompleks Orekhovo Aktsionernoye obshchestvo</t>
  </si>
  <si>
    <t>2020-10-30 21:11:16.36</t>
  </si>
  <si>
    <t>IRO3ZOBZ0009</t>
  </si>
  <si>
    <t>18382951</t>
  </si>
  <si>
    <t>Esfahan Steel Co</t>
  </si>
  <si>
    <t>2020-10-30 21:11:10.021</t>
  </si>
  <si>
    <t>IRO1TBAS0004</t>
  </si>
  <si>
    <t>11672165</t>
  </si>
  <si>
    <t>Negin Tabas Lignite Co.</t>
  </si>
  <si>
    <t>2020-10-30 21:11:10.004</t>
  </si>
  <si>
    <t>IRO1MESI0000</t>
  </si>
  <si>
    <t>10228526</t>
  </si>
  <si>
    <t>Iran Khodro Mehvarsazan Industrial Co</t>
  </si>
  <si>
    <t>2020-10-30 21:11:09.984</t>
  </si>
  <si>
    <t>CND100011P91</t>
  </si>
  <si>
    <t>25899876</t>
  </si>
  <si>
    <t>2020-10-30 21:11:09.963</t>
  </si>
  <si>
    <t>3739275</t>
  </si>
  <si>
    <t>Orchid Trde Company Ltd</t>
  </si>
  <si>
    <t>2020-10-30 21:11:09.944</t>
  </si>
  <si>
    <t>18812465</t>
  </si>
  <si>
    <t>Krimmetallotorg i Kompaniya PJSC</t>
  </si>
  <si>
    <t>2020-10-30 21:11:09.92</t>
  </si>
  <si>
    <t>18590572</t>
  </si>
  <si>
    <t>Foton PJSC</t>
  </si>
  <si>
    <t>2020-10-30 21:11:09.901</t>
  </si>
  <si>
    <t>VEV00014AEU8</t>
  </si>
  <si>
    <t>907296</t>
  </si>
  <si>
    <t>2020-10-30 21:11:09.88</t>
  </si>
  <si>
    <t>DE0001960714</t>
  </si>
  <si>
    <t>793075</t>
  </si>
  <si>
    <t>2020-10-30 21:11:09.862</t>
  </si>
  <si>
    <t>VEP36300AF13</t>
  </si>
  <si>
    <t>991136</t>
  </si>
  <si>
    <t>2020-10-30 21:11:09.839</t>
  </si>
  <si>
    <t>VEV00014AEI3</t>
  </si>
  <si>
    <t>892840</t>
  </si>
  <si>
    <t>2020-10-30 21:11:09.783</t>
  </si>
  <si>
    <t>XS0029439055</t>
  </si>
  <si>
    <t>36484</t>
  </si>
  <si>
    <t>2020-10-30 21:11:09.763</t>
  </si>
  <si>
    <t>AT0000958707</t>
  </si>
  <si>
    <t>1140375</t>
  </si>
  <si>
    <t>2020-10-30 21:11:09.744</t>
  </si>
  <si>
    <t>RU000A101WG3</t>
  </si>
  <si>
    <t>56070061</t>
  </si>
  <si>
    <t>2020-10-30 21:11:09.723</t>
  </si>
  <si>
    <t>48131513</t>
  </si>
  <si>
    <t>2020-10-30 21:11:09.644</t>
  </si>
  <si>
    <t>47031025</t>
  </si>
  <si>
    <t>2020-10-30 21:11:09.627</t>
  </si>
  <si>
    <t>39688097</t>
  </si>
  <si>
    <t>2020-10-30 21:11:09.569</t>
  </si>
  <si>
    <t>RU000A0JWGC2</t>
  </si>
  <si>
    <t>32557725</t>
  </si>
  <si>
    <t>2020-10-30 21:11:09.549</t>
  </si>
  <si>
    <t>IRO1CIDC0001</t>
  </si>
  <si>
    <t>35718184</t>
  </si>
  <si>
    <t>Cement Industries Development And Investment Company Public Shareholding Company</t>
  </si>
  <si>
    <t>2020-10-30 21:11:09.439</t>
  </si>
  <si>
    <t>12386876</t>
  </si>
  <si>
    <t>Fanavaran Petrochemical Co</t>
  </si>
  <si>
    <t>2020-10-30 21:11:09.417</t>
  </si>
  <si>
    <t>IRO1SNRO0006</t>
  </si>
  <si>
    <t>11669193</t>
  </si>
  <si>
    <t>Nirou Investment Co.</t>
  </si>
  <si>
    <t>2020-10-30 21:11:09.4</t>
  </si>
  <si>
    <t>36014982</t>
  </si>
  <si>
    <t>2020-10-30 21:11:09.378</t>
  </si>
  <si>
    <t>CU0007258007</t>
  </si>
  <si>
    <t>725800</t>
  </si>
  <si>
    <t>Cia Minera Serafina</t>
  </si>
  <si>
    <t>2020-10-30 21:11:09.361</t>
  </si>
  <si>
    <t>20664207</t>
  </si>
  <si>
    <t>Azymut PJSC</t>
  </si>
  <si>
    <t>2020-10-30 21:11:09.338</t>
  </si>
  <si>
    <t>DE0001960631</t>
  </si>
  <si>
    <t>793068</t>
  </si>
  <si>
    <t>2020-10-30 21:11:09.317</t>
  </si>
  <si>
    <t>38348054</t>
  </si>
  <si>
    <t>2020-10-30 21:11:09.298</t>
  </si>
  <si>
    <t>2717376</t>
  </si>
  <si>
    <t>2020-10-30 21:11:09.276</t>
  </si>
  <si>
    <t>RU000A101W28</t>
  </si>
  <si>
    <t>55984189</t>
  </si>
  <si>
    <t>2020-10-30 21:11:09.196</t>
  </si>
  <si>
    <t>RU000A101AH7</t>
  </si>
  <si>
    <t>53016380</t>
  </si>
  <si>
    <t>2020-10-30 21:11:09.173</t>
  </si>
  <si>
    <t>RU000A100UE4</t>
  </si>
  <si>
    <t>50134352</t>
  </si>
  <si>
    <t>2020-10-30 21:11:09.151</t>
  </si>
  <si>
    <t>28941407</t>
  </si>
  <si>
    <t>2020-10-30 21:11:08.978</t>
  </si>
  <si>
    <t>GB00B1GGWS03</t>
  </si>
  <si>
    <t>3238876</t>
  </si>
  <si>
    <t>2020-10-30 21:11:08.89</t>
  </si>
  <si>
    <t>IRO1SMRI0005</t>
  </si>
  <si>
    <t>1581615</t>
  </si>
  <si>
    <t>Iran Telecommunication Mfg Co (ITMC)</t>
  </si>
  <si>
    <t>2020-10-30 21:11:08.865</t>
  </si>
  <si>
    <t>22372392</t>
  </si>
  <si>
    <t>2020-10-30 21:11:08.846</t>
  </si>
  <si>
    <t>2736555</t>
  </si>
  <si>
    <t>2020-10-30 21:11:08.826</t>
  </si>
  <si>
    <t>883243</t>
  </si>
  <si>
    <t>2020-10-30 21:11:08.79</t>
  </si>
  <si>
    <t>VEV00350JRR5</t>
  </si>
  <si>
    <t>38367109</t>
  </si>
  <si>
    <t>2020-10-30 21:11:08.774</t>
  </si>
  <si>
    <t>586754</t>
  </si>
  <si>
    <t>2020-10-30 21:11:08.757</t>
  </si>
  <si>
    <t>XS0037595807</t>
  </si>
  <si>
    <t>1496849</t>
  </si>
  <si>
    <t>2020-10-30 21:11:08.739</t>
  </si>
  <si>
    <t>RU000A0JTW42</t>
  </si>
  <si>
    <t>21283247</t>
  </si>
  <si>
    <t>2020-10-30 21:11:08.719</t>
  </si>
  <si>
    <t>RU000A101QR2</t>
  </si>
  <si>
    <t>55133196</t>
  </si>
  <si>
    <t>2020-10-30 21:11:08.695</t>
  </si>
  <si>
    <t>RU000A101AW6</t>
  </si>
  <si>
    <t>54920702</t>
  </si>
  <si>
    <t>2020-10-30 21:11:08.676</t>
  </si>
  <si>
    <t>RU000A101KE3</t>
  </si>
  <si>
    <t>53929041</t>
  </si>
  <si>
    <t>2020-10-30 21:11:08.655</t>
  </si>
  <si>
    <t>45164499</t>
  </si>
  <si>
    <t>2020-10-30 21:11:08.551</t>
  </si>
  <si>
    <t>43487807</t>
  </si>
  <si>
    <t>2020-10-30 21:11:08.531</t>
  </si>
  <si>
    <t>38195254</t>
  </si>
  <si>
    <t>2020-10-30 21:11:08.51</t>
  </si>
  <si>
    <t>32744248</t>
  </si>
  <si>
    <t>Albashskiy elevator OAO</t>
  </si>
  <si>
    <t>2020-10-30 21:11:08.49</t>
  </si>
  <si>
    <t>RU000A0JVHF5</t>
  </si>
  <si>
    <t>28596391</t>
  </si>
  <si>
    <t>2020-10-30 21:11:08.472</t>
  </si>
  <si>
    <t>IRO1FOLD0009</t>
  </si>
  <si>
    <t>12028437</t>
  </si>
  <si>
    <t>Esfahan's Mobarakeh Steel Company</t>
  </si>
  <si>
    <t>2020-10-30 21:11:08.352</t>
  </si>
  <si>
    <t>IRO1STEH0004</t>
  </si>
  <si>
    <t>1027091</t>
  </si>
  <si>
    <t>Tehran Cement Co.</t>
  </si>
  <si>
    <t>2020-10-30 21:11:08.332</t>
  </si>
  <si>
    <t>CND10003KBJ1</t>
  </si>
  <si>
    <t>56561001</t>
  </si>
  <si>
    <t>2020-10-30 21:11:08.314</t>
  </si>
  <si>
    <t>USG6954PAB60</t>
  </si>
  <si>
    <t>905208</t>
  </si>
  <si>
    <t>2020-10-30 21:11:08.291</t>
  </si>
  <si>
    <t>38292643</t>
  </si>
  <si>
    <t>2020-10-30 21:11:08.267</t>
  </si>
  <si>
    <t>2020-10-30 21:11:08.243</t>
  </si>
  <si>
    <t>2020-10-30 21:11:08.223</t>
  </si>
  <si>
    <t>RU000A102267</t>
  </si>
  <si>
    <t>56783078</t>
  </si>
  <si>
    <t>2020-10-30 21:11:08.183</t>
  </si>
  <si>
    <t>RU000A101B98</t>
  </si>
  <si>
    <t>56464834</t>
  </si>
  <si>
    <t>2020-10-30 21:11:08.161</t>
  </si>
  <si>
    <t>IRO3FAYZ0002</t>
  </si>
  <si>
    <t>12622503</t>
  </si>
  <si>
    <t>Yazd Alloy Steel Co</t>
  </si>
  <si>
    <t>2020-10-30 21:11:02.417</t>
  </si>
  <si>
    <t>IRO1SFLZ0009</t>
  </si>
  <si>
    <t>10665455</t>
  </si>
  <si>
    <t>Iran Metal Industries</t>
  </si>
  <si>
    <t>2020-10-30 21:11:02.396</t>
  </si>
  <si>
    <t>IRO1CHNL0009</t>
  </si>
  <si>
    <t>1027085</t>
  </si>
  <si>
    <t>Alborz Porcelain Co.</t>
  </si>
  <si>
    <t>2020-10-30 21:11:02.373</t>
  </si>
  <si>
    <t>IRO1CONT0002</t>
  </si>
  <si>
    <t>10192180</t>
  </si>
  <si>
    <t>Iran Counter (SKI)</t>
  </si>
  <si>
    <t>2020-10-30 21:11:02.354</t>
  </si>
  <si>
    <t>RU000A0ZYCR1</t>
  </si>
  <si>
    <t>38695037</t>
  </si>
  <si>
    <t>2020-10-30 21:11:02.333</t>
  </si>
  <si>
    <t>US693300AJ40</t>
  </si>
  <si>
    <t>981926</t>
  </si>
  <si>
    <t>693300AJ4</t>
  </si>
  <si>
    <t>2020-10-30 21:11:00.989</t>
  </si>
  <si>
    <t>US693300AE52</t>
  </si>
  <si>
    <t>921484</t>
  </si>
  <si>
    <t>693300AE5</t>
  </si>
  <si>
    <t>2020-10-30 21:11:00.964</t>
  </si>
  <si>
    <t>US922646AR53</t>
  </si>
  <si>
    <t>659326</t>
  </si>
  <si>
    <t>922646AR5</t>
  </si>
  <si>
    <t>2020-10-30 21:11:00.935</t>
  </si>
  <si>
    <t>2020-10-30 21:11:00.913</t>
  </si>
  <si>
    <t>RU000A101V11</t>
  </si>
  <si>
    <t>56039180</t>
  </si>
  <si>
    <t>2020-10-30 21:11:00.835</t>
  </si>
  <si>
    <t>RU000A101SW8</t>
  </si>
  <si>
    <t>55265193</t>
  </si>
  <si>
    <t>2020-10-30 21:11:00.815</t>
  </si>
  <si>
    <t>RU000A101509</t>
  </si>
  <si>
    <t>51549739</t>
  </si>
  <si>
    <t>2020-10-30 21:11:00.774</t>
  </si>
  <si>
    <t>46141423</t>
  </si>
  <si>
    <t>2020-10-30 21:11:00.706</t>
  </si>
  <si>
    <t>43129404</t>
  </si>
  <si>
    <t>2020-10-30 21:11:00.671</t>
  </si>
  <si>
    <t>39670600</t>
  </si>
  <si>
    <t>2020-10-30 21:11:00.627</t>
  </si>
  <si>
    <t>37819775</t>
  </si>
  <si>
    <t>2020-10-30 21:11:00.611</t>
  </si>
  <si>
    <t>35410153</t>
  </si>
  <si>
    <t>2020-10-30 21:11:00.555</t>
  </si>
  <si>
    <t>42887009</t>
  </si>
  <si>
    <t>2020-10-30 21:10:53.2</t>
  </si>
  <si>
    <t>30274221</t>
  </si>
  <si>
    <t>2020-10-30 21:10:53.121</t>
  </si>
  <si>
    <t>26532210</t>
  </si>
  <si>
    <t>2020-10-30 21:10:53.1</t>
  </si>
  <si>
    <t>IRO1BAZD0003</t>
  </si>
  <si>
    <t>3668388</t>
  </si>
  <si>
    <t>Azadi Texture Mfg Co</t>
  </si>
  <si>
    <t>2020-10-30 21:10:53.0</t>
  </si>
  <si>
    <t>IRO1ATMF0006</t>
  </si>
  <si>
    <t>1256361</t>
  </si>
  <si>
    <t>Atmosphere Industrial Co</t>
  </si>
  <si>
    <t>2020-10-30 21:10:52.977</t>
  </si>
  <si>
    <t>IRO1GHAT0002</t>
  </si>
  <si>
    <t>10653327</t>
  </si>
  <si>
    <t>Iran Auto-Parts Industrial Group</t>
  </si>
  <si>
    <t>2020-10-30 21:10:52.953</t>
  </si>
  <si>
    <t>IRO1PSLN0001</t>
  </si>
  <si>
    <t>1028955</t>
  </si>
  <si>
    <t>Parsylon</t>
  </si>
  <si>
    <t>2020-10-30 21:10:52.933</t>
  </si>
  <si>
    <t>VEP1335L1005</t>
  </si>
  <si>
    <t>991502</t>
  </si>
  <si>
    <t>Banco Industrial de Venezuela</t>
  </si>
  <si>
    <t>2020-10-30 21:10:52.913</t>
  </si>
  <si>
    <t>RU000A101A57</t>
  </si>
  <si>
    <t>52193253</t>
  </si>
  <si>
    <t>2020-10-30 21:10:52.786</t>
  </si>
  <si>
    <t>25767878</t>
  </si>
  <si>
    <t>2020-10-30 21:10:52.634</t>
  </si>
  <si>
    <t>IR1100209011</t>
  </si>
  <si>
    <t>755976</t>
  </si>
  <si>
    <t>Tehran Laviran</t>
  </si>
  <si>
    <t>2020-10-30 21:10:52.545</t>
  </si>
  <si>
    <t>IRO1DARO0008</t>
  </si>
  <si>
    <t>3668436</t>
  </si>
  <si>
    <t>Darou Pakhsh</t>
  </si>
  <si>
    <t>2020-10-30 21:10:52.518</t>
  </si>
  <si>
    <t>IRO1KSKA0002</t>
  </si>
  <si>
    <t>3665667</t>
  </si>
  <si>
    <t>Kaveh Paper Ind</t>
  </si>
  <si>
    <t>2020-10-30 21:10:52.499</t>
  </si>
  <si>
    <t>IRO1BVMA0006</t>
  </si>
  <si>
    <t>30240553</t>
  </si>
  <si>
    <t>2020-10-30 21:10:52.482</t>
  </si>
  <si>
    <t>IRO7VOSP0002</t>
  </si>
  <si>
    <t>21842503</t>
  </si>
  <si>
    <t>Vosoogh Invest</t>
  </si>
  <si>
    <t>2020-10-30 21:10:52.464</t>
  </si>
  <si>
    <t>IRO7APAP0006</t>
  </si>
  <si>
    <t>19778626</t>
  </si>
  <si>
    <t>Apadana Ceram</t>
  </si>
  <si>
    <t>2020-10-30 21:10:52.446</t>
  </si>
  <si>
    <t>IRO7ZARP0005</t>
  </si>
  <si>
    <t>19174038</t>
  </si>
  <si>
    <t>Zarbal</t>
  </si>
  <si>
    <t>2020-10-30 21:10:52.422</t>
  </si>
  <si>
    <t>IRO7ASKP0001</t>
  </si>
  <si>
    <t>19174022</t>
  </si>
  <si>
    <t>Askarieh FC</t>
  </si>
  <si>
    <t>2020-10-30 21:10:52.403</t>
  </si>
  <si>
    <t>IRO1PNBA0003</t>
  </si>
  <si>
    <t>18915486</t>
  </si>
  <si>
    <t>Bandar Abbas Oil Refining Co</t>
  </si>
  <si>
    <t>2020-10-30 21:10:52.38</t>
  </si>
  <si>
    <t>IRO7TJMP0009</t>
  </si>
  <si>
    <t>18915469</t>
  </si>
  <si>
    <t>Takhte Jamshid</t>
  </si>
  <si>
    <t>2020-10-30 21:10:52.36</t>
  </si>
  <si>
    <t>IRO1SRNG0006</t>
  </si>
  <si>
    <t>1256391</t>
  </si>
  <si>
    <t>Sepehr Rang Paint Manufacturing Co</t>
  </si>
  <si>
    <t>2020-10-30 21:10:52.34</t>
  </si>
  <si>
    <t>IRO1SKER0001</t>
  </si>
  <si>
    <t>1027094</t>
  </si>
  <si>
    <t>Kerman Cement Co.</t>
  </si>
  <si>
    <t>2020-10-30 21:10:52.313</t>
  </si>
  <si>
    <t>IRO1MHKM0009</t>
  </si>
  <si>
    <t>10228552</t>
  </si>
  <si>
    <t>Mehrcam Pars</t>
  </si>
  <si>
    <t>2020-10-30 21:10:52.293</t>
  </si>
  <si>
    <t>CND10003QGG3</t>
  </si>
  <si>
    <t>57251657</t>
  </si>
  <si>
    <t>2020-10-30 21:10:52.275</t>
  </si>
  <si>
    <t>3739299</t>
  </si>
  <si>
    <t>2020-10-30 21:10:52.254</t>
  </si>
  <si>
    <t>UA4000089551</t>
  </si>
  <si>
    <t>14322022</t>
  </si>
  <si>
    <t>2020-10-30 21:10:52.233</t>
  </si>
  <si>
    <t>VEV00014AGX7</t>
  </si>
  <si>
    <t>1000258</t>
  </si>
  <si>
    <t>2020-10-30 21:10:52.21</t>
  </si>
  <si>
    <t>XS0032491077</t>
  </si>
  <si>
    <t>44571</t>
  </si>
  <si>
    <t>2020-10-30 21:10:52.185</t>
  </si>
  <si>
    <t>US693300AR65</t>
  </si>
  <si>
    <t>1078387</t>
  </si>
  <si>
    <t>693300AR6</t>
  </si>
  <si>
    <t>2020-10-30 21:10:52.165</t>
  </si>
  <si>
    <t>RU000A1015B6</t>
  </si>
  <si>
    <t>51468378</t>
  </si>
  <si>
    <t>2020-10-30 21:10:52.116</t>
  </si>
  <si>
    <t>RU000A100P93</t>
  </si>
  <si>
    <t>49320453</t>
  </si>
  <si>
    <t>2020-10-30 21:10:52.071</t>
  </si>
  <si>
    <t>46344047</t>
  </si>
  <si>
    <t>2020-10-30 21:10:52.012</t>
  </si>
  <si>
    <t>43929926</t>
  </si>
  <si>
    <t>2020-10-30 21:10:51.97</t>
  </si>
  <si>
    <t>43448250</t>
  </si>
  <si>
    <t>2020-10-30 21:10:51.95</t>
  </si>
  <si>
    <t>27140995</t>
  </si>
  <si>
    <t>2020-10-30 21:10:51.772</t>
  </si>
  <si>
    <t>12599862</t>
  </si>
  <si>
    <t>2020-10-30 21:10:51.684</t>
  </si>
  <si>
    <t>IRO7NORP0003</t>
  </si>
  <si>
    <t>21845171</t>
  </si>
  <si>
    <t>Noor Invest</t>
  </si>
  <si>
    <t>2020-10-30 21:10:51.663</t>
  </si>
  <si>
    <t>IRO3KHRZ0007</t>
  </si>
  <si>
    <t>13249710</t>
  </si>
  <si>
    <t>Kharazmi Investment Co</t>
  </si>
  <si>
    <t>2020-10-30 21:10:51.636</t>
  </si>
  <si>
    <t>IRO1HTOK0000</t>
  </si>
  <si>
    <t>10660834</t>
  </si>
  <si>
    <t>Tuka Transportation Co</t>
  </si>
  <si>
    <t>2020-10-30 21:10:51.617</t>
  </si>
  <si>
    <t>IRO1SDAB0002</t>
  </si>
  <si>
    <t>10301889</t>
  </si>
  <si>
    <t>Darab Cement Co</t>
  </si>
  <si>
    <t>2020-10-30 21:10:51.598</t>
  </si>
  <si>
    <t>IRO1LKPS0004</t>
  </si>
  <si>
    <t>1027150</t>
  </si>
  <si>
    <t>Pars Alliance Mfg.Co</t>
  </si>
  <si>
    <t>2020-10-30 21:10:51.577</t>
  </si>
  <si>
    <t>IRO1PMET0000</t>
  </si>
  <si>
    <t>10238328</t>
  </si>
  <si>
    <t>Parsmetal Co</t>
  </si>
  <si>
    <t>2020-10-30 21:10:51.548</t>
  </si>
  <si>
    <t>CND10003QXW5</t>
  </si>
  <si>
    <t>57337928</t>
  </si>
  <si>
    <t>2020-10-30 21:10:51.524</t>
  </si>
  <si>
    <t>VEV00014AFM2</t>
  </si>
  <si>
    <t>910811</t>
  </si>
  <si>
    <t>2020-10-30 21:10:51.5</t>
  </si>
  <si>
    <t>US71676QAC06</t>
  </si>
  <si>
    <t>663741</t>
  </si>
  <si>
    <t>71676QAC0</t>
  </si>
  <si>
    <t>2020-10-30 21:10:51.479</t>
  </si>
  <si>
    <t>45582999</t>
  </si>
  <si>
    <t>2020-10-30 21:10:51.455</t>
  </si>
  <si>
    <t>RU0009095244</t>
  </si>
  <si>
    <t>646071</t>
  </si>
  <si>
    <t>2020-10-30 21:10:51.431</t>
  </si>
  <si>
    <t>RU000A0NH285</t>
  </si>
  <si>
    <t>57145370</t>
  </si>
  <si>
    <t>2020-10-30 21:10:51.355</t>
  </si>
  <si>
    <t>RU000A100Z75</t>
  </si>
  <si>
    <t>50818467</t>
  </si>
  <si>
    <t>2020-10-30 21:10:51.273</t>
  </si>
  <si>
    <t>32744288</t>
  </si>
  <si>
    <t>Velichkovskiy elevator OAO</t>
  </si>
  <si>
    <t>2020-10-30 21:10:51.174</t>
  </si>
  <si>
    <t>SE0007045380</t>
  </si>
  <si>
    <t>28741428</t>
  </si>
  <si>
    <t>Design Your Home Holding AB</t>
  </si>
  <si>
    <t>2020-10-30 21:10:51.158</t>
  </si>
  <si>
    <t>28667604</t>
  </si>
  <si>
    <t>Moskovskiy gorodskoy kombinat lombardov Mosgorlombard AO</t>
  </si>
  <si>
    <t>2020-10-30 21:10:51.138</t>
  </si>
  <si>
    <t>IRO1DMOR0004</t>
  </si>
  <si>
    <t>3668425</t>
  </si>
  <si>
    <t>Dashte Morghab</t>
  </si>
  <si>
    <t>2020-10-30 21:10:51.012</t>
  </si>
  <si>
    <t>IRO3ASPZ0008</t>
  </si>
  <si>
    <t>13672490</t>
  </si>
  <si>
    <t>A.S.P. Co.</t>
  </si>
  <si>
    <t>2020-10-30 21:10:50.975</t>
  </si>
  <si>
    <t>XS0029476925</t>
  </si>
  <si>
    <t>990989</t>
  </si>
  <si>
    <t>2020-10-30 21:10:45.803</t>
  </si>
  <si>
    <t>XS0029440905</t>
  </si>
  <si>
    <t>49296</t>
  </si>
  <si>
    <t>2020-10-30 21:10:45.783</t>
  </si>
  <si>
    <t>44140330</t>
  </si>
  <si>
    <t>2020-10-30 21:10:45.763</t>
  </si>
  <si>
    <t>RU0007976916</t>
  </si>
  <si>
    <t>1671736</t>
  </si>
  <si>
    <t>2020-10-30 21:10:45.742</t>
  </si>
  <si>
    <t>RU000A0JR6D0</t>
  </si>
  <si>
    <t>12207920</t>
  </si>
  <si>
    <t>2020-10-30 21:10:45.714</t>
  </si>
  <si>
    <t>RU000A101RN9</t>
  </si>
  <si>
    <t>55262984</t>
  </si>
  <si>
    <t>2020-10-30 21:10:45.619</t>
  </si>
  <si>
    <t>RU000A1010Z6</t>
  </si>
  <si>
    <t>51094876</t>
  </si>
  <si>
    <t>2020-10-30 21:10:45.597</t>
  </si>
  <si>
    <t>US78308B1008</t>
  </si>
  <si>
    <t>12924296</t>
  </si>
  <si>
    <t>78308B100</t>
  </si>
  <si>
    <t>2020-10-30 21:10:45.364</t>
  </si>
  <si>
    <t>IRO1KSAD0001</t>
  </si>
  <si>
    <t>3668446</t>
  </si>
  <si>
    <t>Saadi Tile &amp; Ceramic Co.</t>
  </si>
  <si>
    <t>2020-10-30 21:10:45.319</t>
  </si>
  <si>
    <t>IRO1NGHM0004</t>
  </si>
  <si>
    <t>3668415</t>
  </si>
  <si>
    <t>Nasaji Ghaemshahr</t>
  </si>
  <si>
    <t>2020-10-30 21:10:45.287</t>
  </si>
  <si>
    <t>IRO1KSHJ0008</t>
  </si>
  <si>
    <t>11897385</t>
  </si>
  <si>
    <t>Islamic Republic of Iran Shipping Lines</t>
  </si>
  <si>
    <t>2020-10-30 21:10:45.261</t>
  </si>
  <si>
    <t>IRO1KHAZ0008</t>
  </si>
  <si>
    <t>10659828</t>
  </si>
  <si>
    <t>Pars Khazar Industrial</t>
  </si>
  <si>
    <t>2020-10-30 21:10:45.238</t>
  </si>
  <si>
    <t>CND10002RWM8</t>
  </si>
  <si>
    <t>53288633</t>
  </si>
  <si>
    <t>2020-10-30 21:10:45.198</t>
  </si>
  <si>
    <t>CND100017714</t>
  </si>
  <si>
    <t>41644574</t>
  </si>
  <si>
    <t>2020-10-30 21:10:45.175</t>
  </si>
  <si>
    <t>883285</t>
  </si>
  <si>
    <t>2020-10-30 21:10:45.153</t>
  </si>
  <si>
    <t>DE0001960466</t>
  </si>
  <si>
    <t>792643</t>
  </si>
  <si>
    <t>2020-10-30 21:10:45.126</t>
  </si>
  <si>
    <t>XS0029451266</t>
  </si>
  <si>
    <t>50430</t>
  </si>
  <si>
    <t>2020-10-30 21:10:45.104</t>
  </si>
  <si>
    <t>38328935</t>
  </si>
  <si>
    <t>2020-10-30 21:10:45.081</t>
  </si>
  <si>
    <t>3028953</t>
  </si>
  <si>
    <t>2020-10-30 21:10:45.061</t>
  </si>
  <si>
    <t>RU000A101VD2</t>
  </si>
  <si>
    <t>56359057</t>
  </si>
  <si>
    <t>2020-10-30 21:10:44.983</t>
  </si>
  <si>
    <t>RU000A1010L6</t>
  </si>
  <si>
    <t>51395169</t>
  </si>
  <si>
    <t>2020-10-30 21:10:44.959</t>
  </si>
  <si>
    <t>43492926</t>
  </si>
  <si>
    <t>2020-10-30 21:10:44.907</t>
  </si>
  <si>
    <t>RU000A0ZZ6L3</t>
  </si>
  <si>
    <t>41863056</t>
  </si>
  <si>
    <t>2020-10-30 21:10:44.863</t>
  </si>
  <si>
    <t>36436539</t>
  </si>
  <si>
    <t>VTB Registrator Aktsionernoye obshchestvo</t>
  </si>
  <si>
    <t>2020-10-30 21:10:44.84</t>
  </si>
  <si>
    <t>32430062</t>
  </si>
  <si>
    <t>Bank GPB-Mortgage JSC</t>
  </si>
  <si>
    <t>2020-10-30 21:10:44.812</t>
  </si>
  <si>
    <t>RU000A0JVEQ9</t>
  </si>
  <si>
    <t>28348710</t>
  </si>
  <si>
    <t>2020-10-30 21:10:44.759</t>
  </si>
  <si>
    <t>IRO1NJEY0000</t>
  </si>
  <si>
    <t>18915657</t>
  </si>
  <si>
    <t>Naft Jey Co.</t>
  </si>
  <si>
    <t>2020-10-30 21:10:44.599</t>
  </si>
  <si>
    <t>IRO1TTIM0002</t>
  </si>
  <si>
    <t>11672105</t>
  </si>
  <si>
    <t>S.S.T.Team</t>
  </si>
  <si>
    <t>2020-10-30 21:10:44.581</t>
  </si>
  <si>
    <t>CND10002G202</t>
  </si>
  <si>
    <t>50050206</t>
  </si>
  <si>
    <t>2020-10-30 21:10:44.564</t>
  </si>
  <si>
    <t>19389291</t>
  </si>
  <si>
    <t>2020-10-30 21:10:44.539</t>
  </si>
  <si>
    <t>18590684</t>
  </si>
  <si>
    <t>2020-10-30 21:10:44.52</t>
  </si>
  <si>
    <t>VEV00350ABV0</t>
  </si>
  <si>
    <t>874154</t>
  </si>
  <si>
    <t>2020-10-30 21:10:44.497</t>
  </si>
  <si>
    <t>VEV00014ADI5</t>
  </si>
  <si>
    <t>895247</t>
  </si>
  <si>
    <t>2020-10-30 21:10:44.478</t>
  </si>
  <si>
    <t>US9226441098</t>
  </si>
  <si>
    <t>993052</t>
  </si>
  <si>
    <t>922644109</t>
  </si>
  <si>
    <t>2020-10-30 21:10:44.459</t>
  </si>
  <si>
    <t>XS0029435491</t>
  </si>
  <si>
    <t>990955</t>
  </si>
  <si>
    <t>2020-10-30 21:10:44.438</t>
  </si>
  <si>
    <t>39270431</t>
  </si>
  <si>
    <t>2020-10-30 21:10:44.394</t>
  </si>
  <si>
    <t>RU000A101DD0</t>
  </si>
  <si>
    <t>52380245</t>
  </si>
  <si>
    <t>2020-10-30 21:10:44.33</t>
  </si>
  <si>
    <t>RU000A100XF5</t>
  </si>
  <si>
    <t>50662626</t>
  </si>
  <si>
    <t>2020-10-30 21:10:44.31</t>
  </si>
  <si>
    <t>RU000A100PH7</t>
  </si>
  <si>
    <t>49406691</t>
  </si>
  <si>
    <t>2020-10-30 21:10:44.29</t>
  </si>
  <si>
    <t>48637741</t>
  </si>
  <si>
    <t>2020-10-30 21:10:44.265</t>
  </si>
  <si>
    <t>47414690</t>
  </si>
  <si>
    <t>2020-10-30 21:10:44.242</t>
  </si>
  <si>
    <t>41361945</t>
  </si>
  <si>
    <t>2020-10-30 21:10:44.158</t>
  </si>
  <si>
    <t>31363081</t>
  </si>
  <si>
    <t>2020-10-30 21:10:44.028</t>
  </si>
  <si>
    <t>US46271W1045</t>
  </si>
  <si>
    <t>2367957</t>
  </si>
  <si>
    <t>46271W104</t>
  </si>
  <si>
    <t>2020-10-30 21:10:44.008</t>
  </si>
  <si>
    <t>IR1100226015</t>
  </si>
  <si>
    <t>40457888</t>
  </si>
  <si>
    <t>Simane Ghaen</t>
  </si>
  <si>
    <t>2020-10-30 21:10:43.803</t>
  </si>
  <si>
    <t>IRO3PTRZ0008</t>
  </si>
  <si>
    <t>18911549</t>
  </si>
  <si>
    <t>2020-10-30 21:10:43.78</t>
  </si>
  <si>
    <t>IRO1SESF0007</t>
  </si>
  <si>
    <t>11669065</t>
  </si>
  <si>
    <t>Isfahan Construction Co.</t>
  </si>
  <si>
    <t>2020-10-30 21:10:43.764</t>
  </si>
  <si>
    <t>IRO1ARTA0006</t>
  </si>
  <si>
    <t>10660824</t>
  </si>
  <si>
    <t>Artavil Tire Industrial Complex</t>
  </si>
  <si>
    <t>2020-10-30 21:10:43.746</t>
  </si>
  <si>
    <t>10228535</t>
  </si>
  <si>
    <t>MAPNA Group</t>
  </si>
  <si>
    <t>2020-10-30 21:10:43.729</t>
  </si>
  <si>
    <t>37740378</t>
  </si>
  <si>
    <t>2020-10-30 21:10:43.704</t>
  </si>
  <si>
    <t>RU000A0ZZTK7</t>
  </si>
  <si>
    <t>44890345</t>
  </si>
  <si>
    <t>2020-10-30 21:10:43.687</t>
  </si>
  <si>
    <t>1703675</t>
  </si>
  <si>
    <t>Vimpel Ship building company OJSC</t>
  </si>
  <si>
    <t>2020-10-30 21:10:43.668</t>
  </si>
  <si>
    <t>VEV00014ADJ3</t>
  </si>
  <si>
    <t>895269</t>
  </si>
  <si>
    <t>2020-10-30 21:10:43.649</t>
  </si>
  <si>
    <t>RU000A101G28</t>
  </si>
  <si>
    <t>53361162</t>
  </si>
  <si>
    <t>2020-10-30 21:10:43.56</t>
  </si>
  <si>
    <t>VEV00014ADO3</t>
  </si>
  <si>
    <t>895737</t>
  </si>
  <si>
    <t>2020-10-30 21:10:35.684</t>
  </si>
  <si>
    <t>VEV001361014</t>
  </si>
  <si>
    <t>992377</t>
  </si>
  <si>
    <t>2020-10-30 21:10:35.667</t>
  </si>
  <si>
    <t>XS0034653815</t>
  </si>
  <si>
    <t>990956</t>
  </si>
  <si>
    <t>2020-10-30 21:10:35.645</t>
  </si>
  <si>
    <t>VEP97497AR55</t>
  </si>
  <si>
    <t>990951</t>
  </si>
  <si>
    <t>2020-10-30 21:10:35.622</t>
  </si>
  <si>
    <t>990950</t>
  </si>
  <si>
    <t>2020-10-30 21:10:35.602</t>
  </si>
  <si>
    <t>XS0029926804</t>
  </si>
  <si>
    <t>2036527</t>
  </si>
  <si>
    <t>2020-10-30 21:10:35.579</t>
  </si>
  <si>
    <t>RU000A101KA1</t>
  </si>
  <si>
    <t>53926989</t>
  </si>
  <si>
    <t>2020-10-30 21:10:35.52</t>
  </si>
  <si>
    <t>48506714</t>
  </si>
  <si>
    <t>2020-10-30 21:10:35.499</t>
  </si>
  <si>
    <t>47626486</t>
  </si>
  <si>
    <t>2020-10-30 21:10:35.479</t>
  </si>
  <si>
    <t>RU000A0ZZJ74</t>
  </si>
  <si>
    <t>43421724</t>
  </si>
  <si>
    <t>2020-10-30 21:10:35.442</t>
  </si>
  <si>
    <t>43124923</t>
  </si>
  <si>
    <t>2020-10-30 21:10:35.403</t>
  </si>
  <si>
    <t>27375520</t>
  </si>
  <si>
    <t>2020-10-30 21:10:35.366</t>
  </si>
  <si>
    <t>RU0009831358</t>
  </si>
  <si>
    <t>1652321</t>
  </si>
  <si>
    <t>2020-10-30 21:10:35.287</t>
  </si>
  <si>
    <t>IRO3BIPZ0009</t>
  </si>
  <si>
    <t>18909329</t>
  </si>
  <si>
    <t>Pasargad Insurance</t>
  </si>
  <si>
    <t>2020-10-30 21:10:35.234</t>
  </si>
  <si>
    <t>IRO7PFSP0001</t>
  </si>
  <si>
    <t>18382792</t>
  </si>
  <si>
    <t>Fasa Petrochemical Company</t>
  </si>
  <si>
    <t>2020-10-30 21:10:35.214</t>
  </si>
  <si>
    <t>IRO7NARP0009</t>
  </si>
  <si>
    <t>18375220</t>
  </si>
  <si>
    <t>Taknar Copper Mines Complex</t>
  </si>
  <si>
    <t>2020-10-30 21:10:35.192</t>
  </si>
  <si>
    <t>IRO1SAND0008</t>
  </si>
  <si>
    <t>11670002</t>
  </si>
  <si>
    <t>Civil Pension Fund Investment Co.</t>
  </si>
  <si>
    <t>2020-10-30 21:10:35.176</t>
  </si>
  <si>
    <t>1027398</t>
  </si>
  <si>
    <t>Bank Melli Iran Investment Co.</t>
  </si>
  <si>
    <t>2020-10-30 21:10:35.154</t>
  </si>
  <si>
    <t>CND10002G210</t>
  </si>
  <si>
    <t>50050207</t>
  </si>
  <si>
    <t>2020-10-30 21:10:35.128</t>
  </si>
  <si>
    <t>CU0009860214</t>
  </si>
  <si>
    <t>986021</t>
  </si>
  <si>
    <t>Empresa De Levaduras y Fermentos SA LEFERSA</t>
  </si>
  <si>
    <t>2020-10-30 21:10:35.108</t>
  </si>
  <si>
    <t>13243789</t>
  </si>
  <si>
    <t>2020-10-30 21:10:35.092</t>
  </si>
  <si>
    <t>DE0008044751</t>
  </si>
  <si>
    <t>329058</t>
  </si>
  <si>
    <t>2020-10-30 21:10:35.027</t>
  </si>
  <si>
    <t>38350277</t>
  </si>
  <si>
    <t>2020-10-30 21:10:34.285</t>
  </si>
  <si>
    <t>RU000A0JRWT3</t>
  </si>
  <si>
    <t>55131691</t>
  </si>
  <si>
    <t>SUDOSTROITELNOSUDOREMONTNYY ZAVOD IMENI III INT ERNATSIONALA AKTSIONERNOYE OBSHCHESTVO</t>
  </si>
  <si>
    <t>2020-10-30 21:10:34.26</t>
  </si>
  <si>
    <t>18123203</t>
  </si>
  <si>
    <t>SADKO OJSC</t>
  </si>
  <si>
    <t>2020-10-30 21:10:34.238</t>
  </si>
  <si>
    <t>SY0021100209</t>
  </si>
  <si>
    <t>28301927</t>
  </si>
  <si>
    <t>United Insurance Company</t>
  </si>
  <si>
    <t>2020-10-30 21:10:34.208</t>
  </si>
  <si>
    <t>RU000A101Y42</t>
  </si>
  <si>
    <t>56877071</t>
  </si>
  <si>
    <t>2020-10-30 21:10:34.15</t>
  </si>
  <si>
    <t>RU000A101B23</t>
  </si>
  <si>
    <t>55776996</t>
  </si>
  <si>
    <t>2020-10-30 21:10:34.124</t>
  </si>
  <si>
    <t>RU000A101TW6</t>
  </si>
  <si>
    <t>55620243</t>
  </si>
  <si>
    <t>Special financial organization VTB Investment Products Limited liability company</t>
  </si>
  <si>
    <t>2020-10-30 21:10:34.106</t>
  </si>
  <si>
    <t>RU000A101QX0</t>
  </si>
  <si>
    <t>55133205</t>
  </si>
  <si>
    <t>2020-10-30 21:10:34.088</t>
  </si>
  <si>
    <t>41879509</t>
  </si>
  <si>
    <t>2020-10-30 21:10:33.882</t>
  </si>
  <si>
    <t>37976200</t>
  </si>
  <si>
    <t>2020-10-30 21:10:33.865</t>
  </si>
  <si>
    <t>36603509</t>
  </si>
  <si>
    <t>2020-10-30 21:10:33.824</t>
  </si>
  <si>
    <t>37918693</t>
  </si>
  <si>
    <t>2020-10-30 21:10:14.281</t>
  </si>
  <si>
    <t>18590544</t>
  </si>
  <si>
    <t>2020-10-30 21:10:14.253</t>
  </si>
  <si>
    <t>US2850291046</t>
  </si>
  <si>
    <t>859776</t>
  </si>
  <si>
    <t>285029104</t>
  </si>
  <si>
    <t>2020-10-30 21:10:14.224</t>
  </si>
  <si>
    <t>DE0001896553</t>
  </si>
  <si>
    <t>586892</t>
  </si>
  <si>
    <t>2020-10-30 21:10:14.203</t>
  </si>
  <si>
    <t>VEV00014CIR1</t>
  </si>
  <si>
    <t>38292651</t>
  </si>
  <si>
    <t>2020-10-30 21:10:14.184</t>
  </si>
  <si>
    <t>RU000A0JUBZ8</t>
  </si>
  <si>
    <t>23166668</t>
  </si>
  <si>
    <t>2020-10-30 21:10:14.16</t>
  </si>
  <si>
    <t>SY0009657956</t>
  </si>
  <si>
    <t>274956</t>
  </si>
  <si>
    <t>Central Bank of Syria</t>
  </si>
  <si>
    <t>2020-10-30 21:10:14.128</t>
  </si>
  <si>
    <t>41498167</t>
  </si>
  <si>
    <t>2020-10-30 21:10:14.109</t>
  </si>
  <si>
    <t>RU000A1027C9</t>
  </si>
  <si>
    <t>57771536</t>
  </si>
  <si>
    <t>2020-10-30 21:10:14.091</t>
  </si>
  <si>
    <t>RU000A1024N3</t>
  </si>
  <si>
    <t>57195616</t>
  </si>
  <si>
    <t>2020-10-30 21:10:14.069</t>
  </si>
  <si>
    <t>RU000A101NU3</t>
  </si>
  <si>
    <t>54866325</t>
  </si>
  <si>
    <t>Kornet Aktsionernoye obshchestvo</t>
  </si>
  <si>
    <t>2020-10-30 21:10:14.027</t>
  </si>
  <si>
    <t>47617175</t>
  </si>
  <si>
    <t>2020-10-30 21:10:13.942</t>
  </si>
  <si>
    <t>46774498</t>
  </si>
  <si>
    <t>2020-10-30 21:10:13.92</t>
  </si>
  <si>
    <t>41872749</t>
  </si>
  <si>
    <t>2020-10-30 21:10:13.863</t>
  </si>
  <si>
    <t>27089683</t>
  </si>
  <si>
    <t>2020-10-30 21:10:13.759</t>
  </si>
  <si>
    <t>26540865</t>
  </si>
  <si>
    <t>2020-10-30 21:10:13.741</t>
  </si>
  <si>
    <t>IRO1JOSH0004</t>
  </si>
  <si>
    <t>10302094</t>
  </si>
  <si>
    <t>Jooshkab Yazd Industrial Co</t>
  </si>
  <si>
    <t>2020-10-30 21:10:13.621</t>
  </si>
  <si>
    <t>26113832</t>
  </si>
  <si>
    <t>2020-10-30 21:10:13.6</t>
  </si>
  <si>
    <t>VEP36300AJ35</t>
  </si>
  <si>
    <t>991140</t>
  </si>
  <si>
    <t>2020-10-30 21:10:12.775</t>
  </si>
  <si>
    <t>VEV00008VGH8</t>
  </si>
  <si>
    <t>1624023</t>
  </si>
  <si>
    <t>2020-10-30 21:10:12.756</t>
  </si>
  <si>
    <t>IRO1KBLI0002</t>
  </si>
  <si>
    <t>3665606</t>
  </si>
  <si>
    <t>Cablsazi Iran</t>
  </si>
  <si>
    <t>2020-10-30 21:10:12.433</t>
  </si>
  <si>
    <t>IRK1G01994C2</t>
  </si>
  <si>
    <t>30557933</t>
  </si>
  <si>
    <t>Zorat 9412-20</t>
  </si>
  <si>
    <t>2020-10-30 21:10:12.414</t>
  </si>
  <si>
    <t>IRO1TODR0007</t>
  </si>
  <si>
    <t>1028948</t>
  </si>
  <si>
    <t>Tolid Daru Co.</t>
  </si>
  <si>
    <t>2020-10-30 21:10:12.391</t>
  </si>
  <si>
    <t>UA010197AB09</t>
  </si>
  <si>
    <t>3677051</t>
  </si>
  <si>
    <t>Druzba narodov Nova JSC</t>
  </si>
  <si>
    <t>2020-10-30 21:10:12.374</t>
  </si>
  <si>
    <t>35610835</t>
  </si>
  <si>
    <t>2020-10-30 21:10:06.882</t>
  </si>
  <si>
    <t>26879031</t>
  </si>
  <si>
    <t>2020-10-30 21:10:06.82</t>
  </si>
  <si>
    <t>AT0004124025</t>
  </si>
  <si>
    <t>150636</t>
  </si>
  <si>
    <t>2020-10-30 21:10:06.435</t>
  </si>
  <si>
    <t>RU000A0NH1V9</t>
  </si>
  <si>
    <t>50050185</t>
  </si>
  <si>
    <t>2020-10-30 21:09:57.521</t>
  </si>
  <si>
    <t>IRO1HWEB0008</t>
  </si>
  <si>
    <t>38328826</t>
  </si>
  <si>
    <t>HiWeb</t>
  </si>
  <si>
    <t>2020-10-30 21:09:57.194</t>
  </si>
  <si>
    <t>IRO1KAWE0004</t>
  </si>
  <si>
    <t>3665533</t>
  </si>
  <si>
    <t>Kaveh Industrial Co.</t>
  </si>
  <si>
    <t>2020-10-30 21:09:57.161</t>
  </si>
  <si>
    <t>XS0159023612</t>
  </si>
  <si>
    <t>1528208</t>
  </si>
  <si>
    <t>Bank Sepah International PLC</t>
  </si>
  <si>
    <t>2020-10-30 21:09:57.127</t>
  </si>
  <si>
    <t>IRO1BALB0001</t>
  </si>
  <si>
    <t>11241567</t>
  </si>
  <si>
    <t>Alborz Insurance Co.</t>
  </si>
  <si>
    <t>2020-10-30 21:09:57.104</t>
  </si>
  <si>
    <t>IRO1LZIN0001</t>
  </si>
  <si>
    <t>10660790</t>
  </si>
  <si>
    <t>Leasing Iran Co</t>
  </si>
  <si>
    <t>2020-10-30 21:09:57.083</t>
  </si>
  <si>
    <t>IRO1RNAB0001</t>
  </si>
  <si>
    <t>1027124</t>
  </si>
  <si>
    <t>Naab Industrial Co.</t>
  </si>
  <si>
    <t>2020-10-30 21:09:57.057</t>
  </si>
  <si>
    <t>VEV00014ABM1</t>
  </si>
  <si>
    <t>887655</t>
  </si>
  <si>
    <t>2020-10-30 21:09:57.036</t>
  </si>
  <si>
    <t>US71676QAB23</t>
  </si>
  <si>
    <t>944396</t>
  </si>
  <si>
    <t>71676QAB2</t>
  </si>
  <si>
    <t>2020-10-30 21:09:57.017</t>
  </si>
  <si>
    <t>XS0029923967</t>
  </si>
  <si>
    <t>587372</t>
  </si>
  <si>
    <t>2020-10-30 21:09:56.993</t>
  </si>
  <si>
    <t>1732489</t>
  </si>
  <si>
    <t>2020-10-30 21:09:56.972</t>
  </si>
  <si>
    <t>XS0029438750</t>
  </si>
  <si>
    <t>149020</t>
  </si>
  <si>
    <t>2020-10-30 21:09:56.948</t>
  </si>
  <si>
    <t>35834403</t>
  </si>
  <si>
    <t>2020-10-30 21:09:56.902</t>
  </si>
  <si>
    <t>29168099</t>
  </si>
  <si>
    <t>2020-10-30 21:09:56.878</t>
  </si>
  <si>
    <t>RU000A101T56</t>
  </si>
  <si>
    <t>55441291</t>
  </si>
  <si>
    <t>2020-10-30 21:09:56.835</t>
  </si>
  <si>
    <t>RU000A101L21</t>
  </si>
  <si>
    <t>54195680</t>
  </si>
  <si>
    <t>2020-10-30 21:09:56.816</t>
  </si>
  <si>
    <t>RU000A101ED8</t>
  </si>
  <si>
    <t>52518950</t>
  </si>
  <si>
    <t>2020-10-30 21:09:56.767</t>
  </si>
  <si>
    <t>RU000A100XG3</t>
  </si>
  <si>
    <t>50738635</t>
  </si>
  <si>
    <t>2020-10-30 21:09:56.744</t>
  </si>
  <si>
    <t>45954126</t>
  </si>
  <si>
    <t>2020-10-30 21:09:56.654</t>
  </si>
  <si>
    <t>43146204</t>
  </si>
  <si>
    <t>2020-10-30 21:09:56.607</t>
  </si>
  <si>
    <t>41547538</t>
  </si>
  <si>
    <t>2020-10-30 21:09:56.561</t>
  </si>
  <si>
    <t>41252862</t>
  </si>
  <si>
    <t>2020-10-30 21:09:56.541</t>
  </si>
  <si>
    <t>33301845</t>
  </si>
  <si>
    <t>2020-10-30 21:09:56.465</t>
  </si>
  <si>
    <t>RU000A0JVVW1</t>
  </si>
  <si>
    <t>30256980</t>
  </si>
  <si>
    <t>2020-10-30 21:09:40.87</t>
  </si>
  <si>
    <t>2020-10-30 21:09:40.85</t>
  </si>
  <si>
    <t>SY0021100068</t>
  </si>
  <si>
    <t>28301839</t>
  </si>
  <si>
    <t>Bank Audi Syria sa</t>
  </si>
  <si>
    <t>2020-10-30 21:09:40.831</t>
  </si>
  <si>
    <t>RU000A1025U5</t>
  </si>
  <si>
    <t>57400261</t>
  </si>
  <si>
    <t>2020-10-30 21:09:40.81</t>
  </si>
  <si>
    <t>RU000A101A99</t>
  </si>
  <si>
    <t>52471972</t>
  </si>
  <si>
    <t>2020-10-30 21:09:40.746</t>
  </si>
  <si>
    <t>41362982</t>
  </si>
  <si>
    <t>2020-10-30 21:09:40.615</t>
  </si>
  <si>
    <t>28817396</t>
  </si>
  <si>
    <t>2020-10-30 21:09:40.595</t>
  </si>
  <si>
    <t>26435003</t>
  </si>
  <si>
    <t>2020-10-30 21:09:40.528</t>
  </si>
  <si>
    <t>IRO1SADB0002</t>
  </si>
  <si>
    <t>10665448</t>
  </si>
  <si>
    <t>Ardebil Cement Co</t>
  </si>
  <si>
    <t>2020-10-30 21:09:40.339</t>
  </si>
  <si>
    <t>IRO1SDOR0008</t>
  </si>
  <si>
    <t>10301899</t>
  </si>
  <si>
    <t>Doroud Cement Co</t>
  </si>
  <si>
    <t>2020-10-30 21:09:40.318</t>
  </si>
  <si>
    <t>CH0032028166</t>
  </si>
  <si>
    <t>3202816</t>
  </si>
  <si>
    <t>2020-10-30 21:09:40.3</t>
  </si>
  <si>
    <t>DE0001960417</t>
  </si>
  <si>
    <t>792632</t>
  </si>
  <si>
    <t>2020-10-30 21:09:40.281</t>
  </si>
  <si>
    <t>XS0035040004</t>
  </si>
  <si>
    <t>749480</t>
  </si>
  <si>
    <t>2020-10-30 21:09:40.262</t>
  </si>
  <si>
    <t>38158050</t>
  </si>
  <si>
    <t>2020-10-30 21:09:40.245</t>
  </si>
  <si>
    <t>XS0029468740</t>
  </si>
  <si>
    <t>2036373</t>
  </si>
  <si>
    <t>2020-10-30 21:09:40.221</t>
  </si>
  <si>
    <t>RU000A1029H4</t>
  </si>
  <si>
    <t>57952094</t>
  </si>
  <si>
    <t>2020-10-30 21:09:40.203</t>
  </si>
  <si>
    <t>2655318</t>
  </si>
  <si>
    <t>2020-10-30 21:09:40.183</t>
  </si>
  <si>
    <t>RU0006334430</t>
  </si>
  <si>
    <t>1641253</t>
  </si>
  <si>
    <t>2020-10-30 21:09:40.158</t>
  </si>
  <si>
    <t>RU000A101NV1</t>
  </si>
  <si>
    <t>54866290</t>
  </si>
  <si>
    <t>Moskovskiy mezhrespublikanskiy vinodelcheskiy zavod Otkrytoye aktsionernoye obshchestvo</t>
  </si>
  <si>
    <t>2020-10-30 21:09:40.101</t>
  </si>
  <si>
    <t>RU000A101MP5</t>
  </si>
  <si>
    <t>54571422</t>
  </si>
  <si>
    <t>Rosneft-Sakhalin Otkrytoye aktsionernoye obshch estvo</t>
  </si>
  <si>
    <t>2020-10-30 21:09:40.079</t>
  </si>
  <si>
    <t>RU000A100V04</t>
  </si>
  <si>
    <t>50247351</t>
  </si>
  <si>
    <t>2020-10-30 21:09:40.058</t>
  </si>
  <si>
    <t>RU000A0NH1R7</t>
  </si>
  <si>
    <t>49805912</t>
  </si>
  <si>
    <t>2020-10-30 21:09:40.038</t>
  </si>
  <si>
    <t>44890338</t>
  </si>
  <si>
    <t>2020-10-30 21:09:40.017</t>
  </si>
  <si>
    <t>29505306</t>
  </si>
  <si>
    <t>2020-10-30 21:09:39.892</t>
  </si>
  <si>
    <t>IR1100157012</t>
  </si>
  <si>
    <t>40457840</t>
  </si>
  <si>
    <t>2020-10-30 21:09:39.801</t>
  </si>
  <si>
    <t>IRO7NZMP0005</t>
  </si>
  <si>
    <t>19558103</t>
  </si>
  <si>
    <t>Eng. Council</t>
  </si>
  <si>
    <t>2020-10-30 21:09:39.78</t>
  </si>
  <si>
    <t>IRO7FTRP0008</t>
  </si>
  <si>
    <t>18379131</t>
  </si>
  <si>
    <t>Torbat Steel</t>
  </si>
  <si>
    <t>2020-10-30 21:09:39.763</t>
  </si>
  <si>
    <t>IRO1NKOL0000</t>
  </si>
  <si>
    <t>10228027</t>
  </si>
  <si>
    <t>NiroCholor Co</t>
  </si>
  <si>
    <t>2020-10-30 21:09:39.748</t>
  </si>
  <si>
    <t>USP974551025</t>
  </si>
  <si>
    <t>991425</t>
  </si>
  <si>
    <t>2020-10-30 21:09:39.731</t>
  </si>
  <si>
    <t>DE0001960870</t>
  </si>
  <si>
    <t>836767</t>
  </si>
  <si>
    <t>2020-10-30 21:09:39.689</t>
  </si>
  <si>
    <t>VEV00014ACO5</t>
  </si>
  <si>
    <t>887652</t>
  </si>
  <si>
    <t>2020-10-30 21:09:39.668</t>
  </si>
  <si>
    <t>XS0029456067</t>
  </si>
  <si>
    <t>451459</t>
  </si>
  <si>
    <t>2020-10-30 21:09:39.651</t>
  </si>
  <si>
    <t>33833415</t>
  </si>
  <si>
    <t>2020-10-30 21:09:39.625</t>
  </si>
  <si>
    <t>RU000A0JNLM0</t>
  </si>
  <si>
    <t>42256164</t>
  </si>
  <si>
    <t>2020-10-30 21:09:39.603</t>
  </si>
  <si>
    <t>RU000A101N11</t>
  </si>
  <si>
    <t>56896953</t>
  </si>
  <si>
    <t>2020-10-30 21:09:39.583</t>
  </si>
  <si>
    <t>RU000A101M38</t>
  </si>
  <si>
    <t>54443176</t>
  </si>
  <si>
    <t>2020-10-30 21:09:39.535</t>
  </si>
  <si>
    <t>RU000A101LU7</t>
  </si>
  <si>
    <t>54385536</t>
  </si>
  <si>
    <t>2020-10-30 21:09:39.515</t>
  </si>
  <si>
    <t>RU000A101J58</t>
  </si>
  <si>
    <t>53476006</t>
  </si>
  <si>
    <t>2020-10-30 21:09:39.496</t>
  </si>
  <si>
    <t>46506860</t>
  </si>
  <si>
    <t>2020-10-30 21:09:39.436</t>
  </si>
  <si>
    <t>DE0001960805</t>
  </si>
  <si>
    <t>836759</t>
  </si>
  <si>
    <t>2020-10-30 21:09:31.245</t>
  </si>
  <si>
    <t>XS0029465647</t>
  </si>
  <si>
    <t>986189</t>
  </si>
  <si>
    <t>2020-10-30 21:09:31.224</t>
  </si>
  <si>
    <t>VEV00014CEU4</t>
  </si>
  <si>
    <t>46664222</t>
  </si>
  <si>
    <t>2020-10-30 21:09:31.202</t>
  </si>
  <si>
    <t>XS0029484192</t>
  </si>
  <si>
    <t>158132</t>
  </si>
  <si>
    <t>2020-10-30 21:09:31.18</t>
  </si>
  <si>
    <t>RU000A0JXCN6</t>
  </si>
  <si>
    <t>56607938</t>
  </si>
  <si>
    <t>Fleet of Novorossiysk Commercial Sea Port Joint Stock Company</t>
  </si>
  <si>
    <t>2020-10-30 21:09:31.094</t>
  </si>
  <si>
    <t>RU000A101B72</t>
  </si>
  <si>
    <t>56194550</t>
  </si>
  <si>
    <t>2020-10-30 21:09:31.072</t>
  </si>
  <si>
    <t>RU000A101CY8</t>
  </si>
  <si>
    <t>52293875</t>
  </si>
  <si>
    <t>2020-10-30 21:09:31.014</t>
  </si>
  <si>
    <t>48822014</t>
  </si>
  <si>
    <t>2020-10-30 21:09:30.994</t>
  </si>
  <si>
    <t>46661113</t>
  </si>
  <si>
    <t>2020-10-30 21:09:30.974</t>
  </si>
  <si>
    <t>IRO1MADN0004</t>
  </si>
  <si>
    <t>10660818</t>
  </si>
  <si>
    <t>Metals &amp; Minerals Development</t>
  </si>
  <si>
    <t>2020-10-30 21:09:25.183</t>
  </si>
  <si>
    <t>35323454</t>
  </si>
  <si>
    <t>2020-10-30 21:09:25.162</t>
  </si>
  <si>
    <t>20398241</t>
  </si>
  <si>
    <t>Simferopolske avtotransportne pidpryiemstvo -   14355 PJSC</t>
  </si>
  <si>
    <t>2020-10-30 21:09:25.143</t>
  </si>
  <si>
    <t>20231455</t>
  </si>
  <si>
    <t>Shyroke PJSC</t>
  </si>
  <si>
    <t>2020-10-30 21:09:25.12</t>
  </si>
  <si>
    <t>VEV001935007</t>
  </si>
  <si>
    <t>991419</t>
  </si>
  <si>
    <t>2020-10-30 21:09:25.1</t>
  </si>
  <si>
    <t>XS0029466025</t>
  </si>
  <si>
    <t>924730</t>
  </si>
  <si>
    <t>2020-10-30 21:09:25.079</t>
  </si>
  <si>
    <t>USG6954PAJ96</t>
  </si>
  <si>
    <t>644671</t>
  </si>
  <si>
    <t>2020-10-30 21:09:25.044</t>
  </si>
  <si>
    <t>USN29037AA10</t>
  </si>
  <si>
    <t>1982986</t>
  </si>
  <si>
    <t>2020-10-30 21:09:25.019</t>
  </si>
  <si>
    <t>XS0029454369</t>
  </si>
  <si>
    <t>1776461</t>
  </si>
  <si>
    <t>2020-10-30 21:09:24.996</t>
  </si>
  <si>
    <t>XS0029458949</t>
  </si>
  <si>
    <t>1318726</t>
  </si>
  <si>
    <t>2020-10-30 21:09:24.976</t>
  </si>
  <si>
    <t>2020-10-30 21:09:24.954</t>
  </si>
  <si>
    <t>RU0007661864</t>
  </si>
  <si>
    <t>789521</t>
  </si>
  <si>
    <t>2020-10-30 21:09:24.932</t>
  </si>
  <si>
    <t>RU000A100TN7</t>
  </si>
  <si>
    <t>50070661</t>
  </si>
  <si>
    <t>2020-10-30 21:09:24.865</t>
  </si>
  <si>
    <t>47262246</t>
  </si>
  <si>
    <t>2020-10-30 21:09:24.848</t>
  </si>
  <si>
    <t>40102228</t>
  </si>
  <si>
    <t>Sberbank Lizing Aktsionernoye obshchestvo</t>
  </si>
  <si>
    <t>2020-10-30 21:09:24.76</t>
  </si>
  <si>
    <t>RU000A0JXX94</t>
  </si>
  <si>
    <t>37665696</t>
  </si>
  <si>
    <t>2020-10-30 21:09:24.739</t>
  </si>
  <si>
    <t>28983743</t>
  </si>
  <si>
    <t>2020-10-30 21:09:24.699</t>
  </si>
  <si>
    <t>RU000A0JV409</t>
  </si>
  <si>
    <t>26532184</t>
  </si>
  <si>
    <t>2020-10-30 21:09:24.679</t>
  </si>
  <si>
    <t>46412691</t>
  </si>
  <si>
    <t>2020-10-30 21:09:17.285</t>
  </si>
  <si>
    <t>46002686</t>
  </si>
  <si>
    <t>2020-10-30 21:09:17.262</t>
  </si>
  <si>
    <t>40928469</t>
  </si>
  <si>
    <t>2020-10-30 21:09:17.197</t>
  </si>
  <si>
    <t>32958997</t>
  </si>
  <si>
    <t>2020-10-30 21:09:17.085</t>
  </si>
  <si>
    <t>RU000A0JPLZ7</t>
  </si>
  <si>
    <t>10621479</t>
  </si>
  <si>
    <t>2020-10-30 21:09:16.95</t>
  </si>
  <si>
    <t>IRO3MIHZ0006</t>
  </si>
  <si>
    <t>18368219</t>
  </si>
  <si>
    <t>MIHAN Insurance Co</t>
  </si>
  <si>
    <t>2020-10-30 21:09:16.92</t>
  </si>
  <si>
    <t>IRO1RINM0000</t>
  </si>
  <si>
    <t>10665447</t>
  </si>
  <si>
    <t>Mashad Wheel Mfg.Co</t>
  </si>
  <si>
    <t>2020-10-30 21:09:16.901</t>
  </si>
  <si>
    <t>CND10001X803</t>
  </si>
  <si>
    <t>46187361</t>
  </si>
  <si>
    <t>2020-10-30 21:09:16.882</t>
  </si>
  <si>
    <t>VEV00014AFW1</t>
  </si>
  <si>
    <t>910868</t>
  </si>
  <si>
    <t>2020-10-30 21:09:15.979</t>
  </si>
  <si>
    <t>RU000A0JX1A9</t>
  </si>
  <si>
    <t>34961900</t>
  </si>
  <si>
    <t>2020-10-30 21:09:15.96</t>
  </si>
  <si>
    <t>2636553</t>
  </si>
  <si>
    <t>Lengazspetsstroy AO</t>
  </si>
  <si>
    <t>2020-10-30 21:09:15.94</t>
  </si>
  <si>
    <t>3374897</t>
  </si>
  <si>
    <t>2020-10-30 21:09:15.919</t>
  </si>
  <si>
    <t>RU000A100XH1</t>
  </si>
  <si>
    <t>50759081</t>
  </si>
  <si>
    <t>2020-10-30 21:09:15.862</t>
  </si>
  <si>
    <t>42787197</t>
  </si>
  <si>
    <t>2020-10-30 21:09:15.807</t>
  </si>
  <si>
    <t>42636142</t>
  </si>
  <si>
    <t>2020-10-30 21:09:15.788</t>
  </si>
  <si>
    <t>41217524</t>
  </si>
  <si>
    <t>2020-10-30 21:09:15.767</t>
  </si>
  <si>
    <t>33967531</t>
  </si>
  <si>
    <t>AeroKompozit-Ulyanovsk ZAO</t>
  </si>
  <si>
    <t>2020-10-30 21:09:15.664</t>
  </si>
  <si>
    <t>33850343</t>
  </si>
  <si>
    <t>2020-10-30 21:09:15.646</t>
  </si>
  <si>
    <t>27115214</t>
  </si>
  <si>
    <t>2020-10-30 21:09:15.604</t>
  </si>
  <si>
    <t>3668417</t>
  </si>
  <si>
    <t>2020-10-30 21:09:15.529</t>
  </si>
  <si>
    <t>IRO3CGRZ0008</t>
  </si>
  <si>
    <t>20454859</t>
  </si>
  <si>
    <t>Shomal Gharb Co</t>
  </si>
  <si>
    <t>2020-10-30 21:09:15.51</t>
  </si>
  <si>
    <t>IRO1EPRS0006</t>
  </si>
  <si>
    <t>18915493</t>
  </si>
  <si>
    <t>Parsian Ecommerc</t>
  </si>
  <si>
    <t>2020-10-30 21:09:15.488</t>
  </si>
  <si>
    <t>IRO1SEIL0001</t>
  </si>
  <si>
    <t>10665453</t>
  </si>
  <si>
    <t>Ilam Cement Co</t>
  </si>
  <si>
    <t>2020-10-30 21:09:15.469</t>
  </si>
  <si>
    <t>IRO1SGRB0000</t>
  </si>
  <si>
    <t>1027100</t>
  </si>
  <si>
    <t>Gharb Cement Industries</t>
  </si>
  <si>
    <t>2020-10-30 21:09:15.447</t>
  </si>
  <si>
    <t>CND100025SK5</t>
  </si>
  <si>
    <t>47415116</t>
  </si>
  <si>
    <t>2020-10-30 21:09:15.425</t>
  </si>
  <si>
    <t>CNE1000004P0</t>
  </si>
  <si>
    <t>2458350</t>
  </si>
  <si>
    <t>Xinjiang Tianye Water Saving Irrigation System Company Ltd</t>
  </si>
  <si>
    <t>2020-10-30 21:09:15.404</t>
  </si>
  <si>
    <t>XS0029436622</t>
  </si>
  <si>
    <t>990952</t>
  </si>
  <si>
    <t>2020-10-30 21:09:10.083</t>
  </si>
  <si>
    <t>XS0029444998</t>
  </si>
  <si>
    <t>49677</t>
  </si>
  <si>
    <t>2020-10-30 21:09:10.061</t>
  </si>
  <si>
    <t>RU000A0JS7U1</t>
  </si>
  <si>
    <t>55751896</t>
  </si>
  <si>
    <t>2020-10-30 21:09:10.016</t>
  </si>
  <si>
    <t>RU000A0JXVA3</t>
  </si>
  <si>
    <t>37470603</t>
  </si>
  <si>
    <t>2020-10-30 21:09:09.983</t>
  </si>
  <si>
    <t>RU000A1022Q0</t>
  </si>
  <si>
    <t>56874929</t>
  </si>
  <si>
    <t>2020-10-30 21:09:09.962</t>
  </si>
  <si>
    <t>RU000A1013F2</t>
  </si>
  <si>
    <t>51342672</t>
  </si>
  <si>
    <t>2020-10-30 21:09:09.943</t>
  </si>
  <si>
    <t>47474331</t>
  </si>
  <si>
    <t>2020-10-30 21:09:09.879</t>
  </si>
  <si>
    <t>47231321</t>
  </si>
  <si>
    <t>2020-10-30 21:09:09.859</t>
  </si>
  <si>
    <t>45634960</t>
  </si>
  <si>
    <t>2020-10-30 21:09:09.839</t>
  </si>
  <si>
    <t>41534675</t>
  </si>
  <si>
    <t>2020-10-30 21:09:09.795</t>
  </si>
  <si>
    <t>RU000A0JXX52</t>
  </si>
  <si>
    <t>37665690</t>
  </si>
  <si>
    <t>2020-10-30 21:09:09.775</t>
  </si>
  <si>
    <t>36307274</t>
  </si>
  <si>
    <t>2020-10-30 21:09:09.756</t>
  </si>
  <si>
    <t>RU0002637182</t>
  </si>
  <si>
    <t>1704691</t>
  </si>
  <si>
    <t>2020-10-30 21:09:09.656</t>
  </si>
  <si>
    <t>IRO1MSTI0003</t>
  </si>
  <si>
    <t>10230762</t>
  </si>
  <si>
    <t>Motorsazan Co</t>
  </si>
  <si>
    <t>2020-10-30 21:09:09.596</t>
  </si>
  <si>
    <t>CND10003QXX3</t>
  </si>
  <si>
    <t>57337929</t>
  </si>
  <si>
    <t>2020-10-30 21:09:09.577</t>
  </si>
  <si>
    <t>41452499</t>
  </si>
  <si>
    <t>2020-10-30 21:09:09.557</t>
  </si>
  <si>
    <t>922072</t>
  </si>
  <si>
    <t>2020-10-30 21:09:09.541</t>
  </si>
  <si>
    <t>VEV00014AIM6</t>
  </si>
  <si>
    <t>1004789</t>
  </si>
  <si>
    <t>2020-10-30 21:09:09.527</t>
  </si>
  <si>
    <t>DE0001896488</t>
  </si>
  <si>
    <t>586862</t>
  </si>
  <si>
    <t>2020-10-30 21:09:09.51</t>
  </si>
  <si>
    <t>XS0029452660</t>
  </si>
  <si>
    <t>441132</t>
  </si>
  <si>
    <t>2020-10-30 21:09:09.491</t>
  </si>
  <si>
    <t>USP97475AC43</t>
  </si>
  <si>
    <t>1703933</t>
  </si>
  <si>
    <t>2020-10-30 21:09:09.469</t>
  </si>
  <si>
    <t>RU000A0DKUU3</t>
  </si>
  <si>
    <t>54329649</t>
  </si>
  <si>
    <t>Elektrosignal Otkrytoye aktsionernoye obshchestvo</t>
  </si>
  <si>
    <t>2020-10-30 21:09:09.446</t>
  </si>
  <si>
    <t>RU000A1024T0</t>
  </si>
  <si>
    <t>57194287</t>
  </si>
  <si>
    <t>2020-10-30 21:09:09.422</t>
  </si>
  <si>
    <t>RURU000A1014</t>
  </si>
  <si>
    <t>56359042</t>
  </si>
  <si>
    <t>2020-10-30 21:09:09.396</t>
  </si>
  <si>
    <t>RU000A101G51</t>
  </si>
  <si>
    <t>53464722</t>
  </si>
  <si>
    <t>2020-10-30 21:09:09.375</t>
  </si>
  <si>
    <t>RU000A1016G3</t>
  </si>
  <si>
    <t>52875419</t>
  </si>
  <si>
    <t>2020-10-30 21:09:09.336</t>
  </si>
  <si>
    <t>RU000A1014J2</t>
  </si>
  <si>
    <t>51383962</t>
  </si>
  <si>
    <t>2020-10-30 21:09:09.295</t>
  </si>
  <si>
    <t>RU000A100Z42</t>
  </si>
  <si>
    <t>50818690</t>
  </si>
  <si>
    <t>2020-10-30 21:09:09.274</t>
  </si>
  <si>
    <t>46124016</t>
  </si>
  <si>
    <t>2020-10-30 21:09:09.205</t>
  </si>
  <si>
    <t>2020-10-30 21:09:09.037</t>
  </si>
  <si>
    <t>28648656</t>
  </si>
  <si>
    <t>CB NOVIKOMBANK SC</t>
  </si>
  <si>
    <t>2020-10-30 21:09:08.993</t>
  </si>
  <si>
    <t>IRO3PSKZ0006</t>
  </si>
  <si>
    <t>20624828</t>
  </si>
  <si>
    <t>Khorasan Petro</t>
  </si>
  <si>
    <t>2020-10-30 21:09:08.894</t>
  </si>
  <si>
    <t>IRO1NPPS0007</t>
  </si>
  <si>
    <t>10665443</t>
  </si>
  <si>
    <t>Pars Profile&amp; Rolling Mills Industrial</t>
  </si>
  <si>
    <t>2020-10-30 21:09:08.876</t>
  </si>
  <si>
    <t>IRO1PLST0005</t>
  </si>
  <si>
    <t>1028959</t>
  </si>
  <si>
    <t>Plastiran Manufacturing Co.</t>
  </si>
  <si>
    <t>2020-10-30 21:09:08.859</t>
  </si>
  <si>
    <t>IRO1LENT0003</t>
  </si>
  <si>
    <t>1027389</t>
  </si>
  <si>
    <t>Iran Brake Lent</t>
  </si>
  <si>
    <t>2020-10-30 21:09:08.84</t>
  </si>
  <si>
    <t>CU0007252604</t>
  </si>
  <si>
    <t>725260</t>
  </si>
  <si>
    <t>2020-10-30 21:09:08.817</t>
  </si>
  <si>
    <t>RU000A101E38</t>
  </si>
  <si>
    <t>52515741</t>
  </si>
  <si>
    <t>2020-10-30 21:09:08.659</t>
  </si>
  <si>
    <t>RU000A1010J0</t>
  </si>
  <si>
    <t>51294147</t>
  </si>
  <si>
    <t>2020-10-30 21:09:08.641</t>
  </si>
  <si>
    <t>44568386</t>
  </si>
  <si>
    <t>2020-10-30 21:09:08.564</t>
  </si>
  <si>
    <t>41706157</t>
  </si>
  <si>
    <t>2020-10-30 21:09:08.545</t>
  </si>
  <si>
    <t>39509697</t>
  </si>
  <si>
    <t>2020-10-30 21:09:08.49</t>
  </si>
  <si>
    <t>755825</t>
  </si>
  <si>
    <t>2020-10-30 21:09:08.4</t>
  </si>
  <si>
    <t>IRO1SNGH0008</t>
  </si>
  <si>
    <t>3668416</t>
  </si>
  <si>
    <t>Naghshiran Industrial Group</t>
  </si>
  <si>
    <t>2020-10-30 21:09:08.378</t>
  </si>
  <si>
    <t>IRO1FTIR0003</t>
  </si>
  <si>
    <t>3665471</t>
  </si>
  <si>
    <t>Iran Parenteral Products Co</t>
  </si>
  <si>
    <t>2020-10-30 21:09:08.359</t>
  </si>
  <si>
    <t>IRO1IRVG0008</t>
  </si>
  <si>
    <t>11671551</t>
  </si>
  <si>
    <t>Iran &amp; West Manufacturing and Industrial Co.</t>
  </si>
  <si>
    <t>2020-10-30 21:09:08.341</t>
  </si>
  <si>
    <t>DE0001896579</t>
  </si>
  <si>
    <t>586896</t>
  </si>
  <si>
    <t>2020-10-30 21:09:03.463</t>
  </si>
  <si>
    <t>VEV00014ACY4</t>
  </si>
  <si>
    <t>889292</t>
  </si>
  <si>
    <t>2020-10-30 21:09:03.444</t>
  </si>
  <si>
    <t>990933</t>
  </si>
  <si>
    <t>922646AE4</t>
  </si>
  <si>
    <t>2020-10-30 21:09:03.426</t>
  </si>
  <si>
    <t>XS0042412824</t>
  </si>
  <si>
    <t>1583617</t>
  </si>
  <si>
    <t>2020-10-30 21:09:03.407</t>
  </si>
  <si>
    <t>RU000A0CAWG1</t>
  </si>
  <si>
    <t>1827660</t>
  </si>
  <si>
    <t>Ekaterinburg Non-Ferrous Metals Processing      Plant JSC</t>
  </si>
  <si>
    <t>2020-10-30 21:09:03.385</t>
  </si>
  <si>
    <t>RU000A101XY4</t>
  </si>
  <si>
    <t>56338229</t>
  </si>
  <si>
    <t>2020-10-30 21:09:03.319</t>
  </si>
  <si>
    <t>RU000A101T31</t>
  </si>
  <si>
    <t>55265196</t>
  </si>
  <si>
    <t>2020-10-30 21:09:03.301</t>
  </si>
  <si>
    <t>27727581</t>
  </si>
  <si>
    <t>2020-10-30 21:09:03.181</t>
  </si>
  <si>
    <t>IRO1MALI0001</t>
  </si>
  <si>
    <t>3668393</t>
  </si>
  <si>
    <t>Sanati Malayer</t>
  </si>
  <si>
    <t>2020-10-30 21:09:03.061</t>
  </si>
  <si>
    <t>IR1100251013</t>
  </si>
  <si>
    <t>3668378</t>
  </si>
  <si>
    <t>Bafgh Mining Co.</t>
  </si>
  <si>
    <t>2020-10-30 21:09:03.04</t>
  </si>
  <si>
    <t>IRO1IKHR0000</t>
  </si>
  <si>
    <t>23185414</t>
  </si>
  <si>
    <t>Kharazmy Invest</t>
  </si>
  <si>
    <t>2020-10-30 21:09:03.014</t>
  </si>
  <si>
    <t>IRO1SHAD0006</t>
  </si>
  <si>
    <t>1027889</t>
  </si>
  <si>
    <t>Shahdiran Inc.</t>
  </si>
  <si>
    <t>2020-10-30 21:09:02.993</t>
  </si>
  <si>
    <t>IRO1MELT0004</t>
  </si>
  <si>
    <t>1027400</t>
  </si>
  <si>
    <t>2020-10-30 21:09:02.974</t>
  </si>
  <si>
    <t>57420990</t>
  </si>
  <si>
    <t>2020-10-30 21:09:02.953</t>
  </si>
  <si>
    <t>20864041</t>
  </si>
  <si>
    <t>2020-10-30 21:09:02.933</t>
  </si>
  <si>
    <t>XS0029478897</t>
  </si>
  <si>
    <t>990982</t>
  </si>
  <si>
    <t>2020-10-30 21:09:02.909</t>
  </si>
  <si>
    <t>XS0029446852</t>
  </si>
  <si>
    <t>990954</t>
  </si>
  <si>
    <t>2020-10-30 21:09:02.889</t>
  </si>
  <si>
    <t>XS0029476339</t>
  </si>
  <si>
    <t>587369</t>
  </si>
  <si>
    <t>2020-10-30 21:09:02.869</t>
  </si>
  <si>
    <t>38168535</t>
  </si>
  <si>
    <t>2020-10-30 21:09:02.849</t>
  </si>
  <si>
    <t>XS0029927448</t>
  </si>
  <si>
    <t>2036845</t>
  </si>
  <si>
    <t>2020-10-30 21:09:02.824</t>
  </si>
  <si>
    <t>RU000A0JUFR6</t>
  </si>
  <si>
    <t>55751974</t>
  </si>
  <si>
    <t>2020-10-30 21:09:02.805</t>
  </si>
  <si>
    <t>RU0005295343</t>
  </si>
  <si>
    <t>1641249</t>
  </si>
  <si>
    <t>2020-10-30 21:09:02.782</t>
  </si>
  <si>
    <t>RU000A0NH2A1</t>
  </si>
  <si>
    <t>57771320</t>
  </si>
  <si>
    <t>2020-10-30 21:09:02.74</t>
  </si>
  <si>
    <t>RU000A101J90</t>
  </si>
  <si>
    <t>53467899</t>
  </si>
  <si>
    <t>2020-10-30 21:09:02.72</t>
  </si>
  <si>
    <t>RU000A101780</t>
  </si>
  <si>
    <t>51655136</t>
  </si>
  <si>
    <t>2020-10-30 21:09:02.673</t>
  </si>
  <si>
    <t>41436320</t>
  </si>
  <si>
    <t>2020-10-30 21:09:02.577</t>
  </si>
  <si>
    <t>40487752</t>
  </si>
  <si>
    <t>2020-10-30 21:09:02.558</t>
  </si>
  <si>
    <t>IRO1TZRO0001</t>
  </si>
  <si>
    <t>3665421</t>
  </si>
  <si>
    <t>Tovlidi Tiz Row</t>
  </si>
  <si>
    <t>2020-10-30 21:09:02.466</t>
  </si>
  <si>
    <t>IRO1BPAS0008</t>
  </si>
  <si>
    <t>13683734</t>
  </si>
  <si>
    <t>Pasargad Bank</t>
  </si>
  <si>
    <t>2020-10-30 21:09:02.447</t>
  </si>
  <si>
    <t>IRO1ALAD0000</t>
  </si>
  <si>
    <t>1256290</t>
  </si>
  <si>
    <t>Alaeddin Iran Co</t>
  </si>
  <si>
    <t>2020-10-30 21:09:02.42</t>
  </si>
  <si>
    <t>IRO1ATDM0008</t>
  </si>
  <si>
    <t>10237320</t>
  </si>
  <si>
    <t>Atye Damavand Investment Co</t>
  </si>
  <si>
    <t>2020-10-30 21:09:02.395</t>
  </si>
  <si>
    <t>CND10001TLP2</t>
  </si>
  <si>
    <t>45160916</t>
  </si>
  <si>
    <t>2020-10-30 21:09:02.362</t>
  </si>
  <si>
    <t>35781166</t>
  </si>
  <si>
    <t>2020-10-30 21:09:02.343</t>
  </si>
  <si>
    <t>34510824</t>
  </si>
  <si>
    <t>2020-10-30 21:09:02.325</t>
  </si>
  <si>
    <t>US92915R1014</t>
  </si>
  <si>
    <t>31429225</t>
  </si>
  <si>
    <t>92915R101</t>
  </si>
  <si>
    <t>Vozrozhdenie Bank</t>
  </si>
  <si>
    <t>2020-10-30 21:08:56.258</t>
  </si>
  <si>
    <t>1073473</t>
  </si>
  <si>
    <t>2020-10-30 21:08:56.089</t>
  </si>
  <si>
    <t>IRO7PSMP0002</t>
  </si>
  <si>
    <t>19174041</t>
  </si>
  <si>
    <t>Meyar Sanat</t>
  </si>
  <si>
    <t>2020-10-30 21:08:56.069</t>
  </si>
  <si>
    <t>2020-10-30 21:08:56.044</t>
  </si>
  <si>
    <t>IRO1KMSH0003</t>
  </si>
  <si>
    <t>1027894</t>
  </si>
  <si>
    <t>Mashad Carton Co.</t>
  </si>
  <si>
    <t>2020-10-30 21:08:56.017</t>
  </si>
  <si>
    <t>CND10002JY30</t>
  </si>
  <si>
    <t>51718091</t>
  </si>
  <si>
    <t>2020-10-30 21:08:55.997</t>
  </si>
  <si>
    <t>CND1000176J0</t>
  </si>
  <si>
    <t>35971924</t>
  </si>
  <si>
    <t>2020-10-30 21:08:55.979</t>
  </si>
  <si>
    <t>CU0009860206</t>
  </si>
  <si>
    <t>986020</t>
  </si>
  <si>
    <t>2020-10-30 21:08:55.958</t>
  </si>
  <si>
    <t>963291</t>
  </si>
  <si>
    <t>2020-10-30 21:08:55.918</t>
  </si>
  <si>
    <t>48217036</t>
  </si>
  <si>
    <t>2020-10-30 21:08:55.768</t>
  </si>
  <si>
    <t>45718269</t>
  </si>
  <si>
    <t>2020-10-30 21:08:55.722</t>
  </si>
  <si>
    <t>45625451</t>
  </si>
  <si>
    <t>2020-10-30 21:08:55.704</t>
  </si>
  <si>
    <t>44433837</t>
  </si>
  <si>
    <t>2020-10-30 21:08:55.64</t>
  </si>
  <si>
    <t>32744414</t>
  </si>
  <si>
    <t>2020-10-30 21:08:55.595</t>
  </si>
  <si>
    <t>28408964</t>
  </si>
  <si>
    <t>2020-10-30 21:08:55.571</t>
  </si>
  <si>
    <t>755975</t>
  </si>
  <si>
    <t>2020-10-30 21:08:55.422</t>
  </si>
  <si>
    <t>IRO1BOTA0008</t>
  </si>
  <si>
    <t>3668411</t>
  </si>
  <si>
    <t>2020-10-30 21:08:55.401</t>
  </si>
  <si>
    <t>IRO1BROJ0001</t>
  </si>
  <si>
    <t>3668373</t>
  </si>
  <si>
    <t>2020-10-30 21:08:55.382</t>
  </si>
  <si>
    <t>IRO7KSDP0008</t>
  </si>
  <si>
    <t>19173950</t>
  </si>
  <si>
    <t>Kashi Sadaf Co</t>
  </si>
  <si>
    <t>2020-10-30 21:08:55.355</t>
  </si>
  <si>
    <t>IRO1SKBV0008</t>
  </si>
  <si>
    <t>18364515</t>
  </si>
  <si>
    <t>Banks Employees</t>
  </si>
  <si>
    <t>2020-10-30 21:08:55.335</t>
  </si>
  <si>
    <t>IRO1HFRS0005</t>
  </si>
  <si>
    <t>14839182</t>
  </si>
  <si>
    <t>Parsian Gulf Transportation Co</t>
  </si>
  <si>
    <t>2020-10-30 21:08:55.313</t>
  </si>
  <si>
    <t>IRO1GBJN0005</t>
  </si>
  <si>
    <t>1027879</t>
  </si>
  <si>
    <t>Shirvan, Quchan And Bojnourd Sugar Co.</t>
  </si>
  <si>
    <t>2020-10-30 21:08:55.294</t>
  </si>
  <si>
    <t>20398229</t>
  </si>
  <si>
    <t>Zuiska silhosptekhnika PJSC</t>
  </si>
  <si>
    <t>2020-10-30 21:08:55.276</t>
  </si>
  <si>
    <t>XS0029483038</t>
  </si>
  <si>
    <t>990985</t>
  </si>
  <si>
    <t>2020-10-30 21:08:55.233</t>
  </si>
  <si>
    <t>925827</t>
  </si>
  <si>
    <t>2020-10-30 21:08:55.212</t>
  </si>
  <si>
    <t>XS0042109131</t>
  </si>
  <si>
    <t>1978048</t>
  </si>
  <si>
    <t>2020-10-30 21:08:55.191</t>
  </si>
  <si>
    <t>RU000A101AY2</t>
  </si>
  <si>
    <t>55133209</t>
  </si>
  <si>
    <t>2020-10-30 21:08:55.112</t>
  </si>
  <si>
    <t>RU000A101KD5</t>
  </si>
  <si>
    <t>53943542</t>
  </si>
  <si>
    <t>2020-10-30 21:08:55.091</t>
  </si>
  <si>
    <t>RU000A101764</t>
  </si>
  <si>
    <t>51676322</t>
  </si>
  <si>
    <t>2020-10-30 21:08:55.068</t>
  </si>
  <si>
    <t>RU000A1015V4</t>
  </si>
  <si>
    <t>51534011</t>
  </si>
  <si>
    <t>2020-10-30 21:08:55.047</t>
  </si>
  <si>
    <t>47182688</t>
  </si>
  <si>
    <t>2020-10-30 21:08:55.02</t>
  </si>
  <si>
    <t>47125317</t>
  </si>
  <si>
    <t>2020-10-30 21:08:54.997</t>
  </si>
  <si>
    <t>43394883</t>
  </si>
  <si>
    <t>2020-10-30 21:08:54.979</t>
  </si>
  <si>
    <t>2020-10-30 21:08:54.902</t>
  </si>
  <si>
    <t>26898383</t>
  </si>
  <si>
    <t>2020-10-30 21:08:54.884</t>
  </si>
  <si>
    <t>IRO1NBRS0001</t>
  </si>
  <si>
    <t>35656972</t>
  </si>
  <si>
    <t>TSE financial</t>
  </si>
  <si>
    <t>2020-10-30 21:08:54.75</t>
  </si>
  <si>
    <t>IRO1DSBH0005</t>
  </si>
  <si>
    <t>31928857</t>
  </si>
  <si>
    <t>Sobhan Pharm</t>
  </si>
  <si>
    <t>2020-10-30 21:08:54.732</t>
  </si>
  <si>
    <t>IRO1ENAZ0008</t>
  </si>
  <si>
    <t>10653328</t>
  </si>
  <si>
    <t>Azarab Energy ID</t>
  </si>
  <si>
    <t>2020-10-30 21:08:54.711</t>
  </si>
  <si>
    <t>CND10001X829</t>
  </si>
  <si>
    <t>46187363</t>
  </si>
  <si>
    <t>2020-10-30 21:08:54.692</t>
  </si>
  <si>
    <t>CU0030803258</t>
  </si>
  <si>
    <t>3080325</t>
  </si>
  <si>
    <t>2020-10-30 21:08:54.674</t>
  </si>
  <si>
    <t>UA4000104137</t>
  </si>
  <si>
    <t>14606478</t>
  </si>
  <si>
    <t>Kirovskye Mixed Fodder Plant PJSC</t>
  </si>
  <si>
    <t>2020-10-30 21:08:54.656</t>
  </si>
  <si>
    <t>14322012</t>
  </si>
  <si>
    <t>2020-10-30 21:08:54.638</t>
  </si>
  <si>
    <t>DE0001960797</t>
  </si>
  <si>
    <t>836758</t>
  </si>
  <si>
    <t>2020-10-30 21:08:54.619</t>
  </si>
  <si>
    <t>82678</t>
  </si>
  <si>
    <t>2020-10-30 21:08:54.582</t>
  </si>
  <si>
    <t>XS0034664853</t>
  </si>
  <si>
    <t>883652</t>
  </si>
  <si>
    <t>2020-10-30 21:08:54.565</t>
  </si>
  <si>
    <t>38168564</t>
  </si>
  <si>
    <t>2020-10-30 21:08:54.548</t>
  </si>
  <si>
    <t>19151072</t>
  </si>
  <si>
    <t>The Republic Of Venezuela 9.375% Global Bonds   2034 Limited</t>
  </si>
  <si>
    <t>2020-10-30 21:08:54.53</t>
  </si>
  <si>
    <t>RU000A101ZM4</t>
  </si>
  <si>
    <t>56410488</t>
  </si>
  <si>
    <t>2020-10-30 21:08:54.441</t>
  </si>
  <si>
    <t>RU000A0JUVZ6</t>
  </si>
  <si>
    <t>56336291</t>
  </si>
  <si>
    <t>Gostinitsa Voskhod Aktsionernoye obshchestvo</t>
  </si>
  <si>
    <t>2020-10-30 21:08:54.419</t>
  </si>
  <si>
    <t>RU000A0JVQ20</t>
  </si>
  <si>
    <t>29491464</t>
  </si>
  <si>
    <t>FINANCIAL ASSISTANT LTD</t>
  </si>
  <si>
    <t>2020-10-30 21:08:48.415</t>
  </si>
  <si>
    <t>IRO3ZMNZ0007</t>
  </si>
  <si>
    <t>19226051</t>
  </si>
  <si>
    <t>Iran Zamin Bank</t>
  </si>
  <si>
    <t>2020-10-30 21:08:48.193</t>
  </si>
  <si>
    <t>IRO7ZAGP0008</t>
  </si>
  <si>
    <t>18909122</t>
  </si>
  <si>
    <t>Zangan Industry</t>
  </si>
  <si>
    <t>2020-10-30 21:08:48.175</t>
  </si>
  <si>
    <t>IRO1LSDD0007</t>
  </si>
  <si>
    <t>10660800</t>
  </si>
  <si>
    <t>Sadid Pipe &amp; Equipments Co</t>
  </si>
  <si>
    <t>2020-10-30 21:08:48.155</t>
  </si>
  <si>
    <t>XS0029435657</t>
  </si>
  <si>
    <t>1032466</t>
  </si>
  <si>
    <t>2020-10-30 21:08:47.376</t>
  </si>
  <si>
    <t>883259</t>
  </si>
  <si>
    <t>2020-10-30 21:08:47.354</t>
  </si>
  <si>
    <t>RU000A100MM4</t>
  </si>
  <si>
    <t>49173694</t>
  </si>
  <si>
    <t>2020-10-30 21:08:47.069</t>
  </si>
  <si>
    <t>47131668</t>
  </si>
  <si>
    <t>2020-10-30 21:08:47.029</t>
  </si>
  <si>
    <t>44092725</t>
  </si>
  <si>
    <t>2020-10-30 21:08:46.95</t>
  </si>
  <si>
    <t>RU000A0JY2J7</t>
  </si>
  <si>
    <t>40316649</t>
  </si>
  <si>
    <t>2020-10-30 21:08:46.925</t>
  </si>
  <si>
    <t>39460860</t>
  </si>
  <si>
    <t>2020-10-30 21:08:46.907</t>
  </si>
  <si>
    <t>26898386</t>
  </si>
  <si>
    <t>2020-10-30 21:08:46.8</t>
  </si>
  <si>
    <t>IRO1DHKM0000</t>
  </si>
  <si>
    <t>3668440</t>
  </si>
  <si>
    <t>Hakim Pharmaceutical Co</t>
  </si>
  <si>
    <t>2020-10-30 21:08:46.699</t>
  </si>
  <si>
    <t>IRO3PRZZ0000</t>
  </si>
  <si>
    <t>18915455</t>
  </si>
  <si>
    <t>Shiraz Oil Refinery Co</t>
  </si>
  <si>
    <t>2020-10-30 21:08:46.679</t>
  </si>
  <si>
    <t>IRO7RAHP0007</t>
  </si>
  <si>
    <t>18382823</t>
  </si>
  <si>
    <t>Rhshad Sepahan</t>
  </si>
  <si>
    <t>2020-10-30 21:08:46.662</t>
  </si>
  <si>
    <t>12029665</t>
  </si>
  <si>
    <t>Tabriz Oil Refining Co.</t>
  </si>
  <si>
    <t>2020-10-30 21:08:46.641</t>
  </si>
  <si>
    <t>DE0001960599</t>
  </si>
  <si>
    <t>793065</t>
  </si>
  <si>
    <t>2020-10-30 21:08:46.623</t>
  </si>
  <si>
    <t>713721</t>
  </si>
  <si>
    <t>2020-10-30 21:08:46.605</t>
  </si>
  <si>
    <t>XS0035930378</t>
  </si>
  <si>
    <t>44703</t>
  </si>
  <si>
    <t>2020-10-30 21:08:46.582</t>
  </si>
  <si>
    <t>XS0029476842</t>
  </si>
  <si>
    <t>2036442</t>
  </si>
  <si>
    <t>2020-10-30 21:08:46.565</t>
  </si>
  <si>
    <t>XS0029458352</t>
  </si>
  <si>
    <t>1579189</t>
  </si>
  <si>
    <t>2020-10-30 21:08:46.548</t>
  </si>
  <si>
    <t>10267987</t>
  </si>
  <si>
    <t>2020-10-30 21:08:46.531</t>
  </si>
  <si>
    <t>2020-10-30 21:08:46.512</t>
  </si>
  <si>
    <t>2020-10-30 21:08:46.487</t>
  </si>
  <si>
    <t>RU000A101TJ3</t>
  </si>
  <si>
    <t>55751897</t>
  </si>
  <si>
    <t>2020-10-30 21:08:46.408</t>
  </si>
  <si>
    <t>19151076</t>
  </si>
  <si>
    <t>The Republic Of Venezuela 6.00% Euro-Dollar Bonds 2020 Limited</t>
  </si>
  <si>
    <t>2020-10-30 21:08:40.554</t>
  </si>
  <si>
    <t>3263342</t>
  </si>
  <si>
    <t>Volgogaz OJSC</t>
  </si>
  <si>
    <t>2020-10-30 21:08:40.532</t>
  </si>
  <si>
    <t>RU000A04GBX8</t>
  </si>
  <si>
    <t>41479480</t>
  </si>
  <si>
    <t>Invest Motors Zakrytoye aktsionernoye obshchestvo</t>
  </si>
  <si>
    <t>2020-10-30 21:08:40.512</t>
  </si>
  <si>
    <t>RU000A101SK3</t>
  </si>
  <si>
    <t>55349746</t>
  </si>
  <si>
    <t>2020-10-30 21:08:40.449</t>
  </si>
  <si>
    <t>45421230</t>
  </si>
  <si>
    <t>2020-10-30 21:08:40.408</t>
  </si>
  <si>
    <t>41452277</t>
  </si>
  <si>
    <t>2020-10-30 21:08:40.388</t>
  </si>
  <si>
    <t>29045749</t>
  </si>
  <si>
    <t>2020-10-30 21:08:40.368</t>
  </si>
  <si>
    <t>28079318</t>
  </si>
  <si>
    <t>2020-10-30 21:08:40.343</t>
  </si>
  <si>
    <t>IRO1BHMN0009</t>
  </si>
  <si>
    <t>3861281</t>
  </si>
  <si>
    <t>Bahman Group</t>
  </si>
  <si>
    <t>2020-10-30 21:08:40.175</t>
  </si>
  <si>
    <t>IRO1MRTB0001</t>
  </si>
  <si>
    <t>3668454</t>
  </si>
  <si>
    <t>Tolidi Sanati Moratab</t>
  </si>
  <si>
    <t>2020-10-30 21:08:40.15</t>
  </si>
  <si>
    <t>IRO1SGEN0001</t>
  </si>
  <si>
    <t>3668389</t>
  </si>
  <si>
    <t>2020-10-30 21:08:40.123</t>
  </si>
  <si>
    <t>CU0007257900</t>
  </si>
  <si>
    <t>725790</t>
  </si>
  <si>
    <t>Compania Industrial &amp; Comercial Americana SA</t>
  </si>
  <si>
    <t>2020-10-30 21:08:40.102</t>
  </si>
  <si>
    <t>4212137</t>
  </si>
  <si>
    <t>2020-10-30 21:08:40.082</t>
  </si>
  <si>
    <t>VEV00014CHE1</t>
  </si>
  <si>
    <t>38268765</t>
  </si>
  <si>
    <t>2020-10-30 21:08:40.058</t>
  </si>
  <si>
    <t>XS0189056558</t>
  </si>
  <si>
    <t>1821092</t>
  </si>
  <si>
    <t>2020-10-30 21:08:40.036</t>
  </si>
  <si>
    <t>US922646BH62</t>
  </si>
  <si>
    <t>1680618</t>
  </si>
  <si>
    <t>922646BH6</t>
  </si>
  <si>
    <t>2020-10-30 21:08:40.004</t>
  </si>
  <si>
    <t>RU000A1018M7</t>
  </si>
  <si>
    <t>51727197</t>
  </si>
  <si>
    <t>Limited liability company Special Organization  for Project Finance Factory of Project Finance</t>
  </si>
  <si>
    <t>2020-10-30 21:08:39.962</t>
  </si>
  <si>
    <t>47010479</t>
  </si>
  <si>
    <t>2020-10-30 21:08:39.942</t>
  </si>
  <si>
    <t>46425859</t>
  </si>
  <si>
    <t>2020-10-30 21:08:39.922</t>
  </si>
  <si>
    <t>44856775</t>
  </si>
  <si>
    <t>2020-10-30 21:08:39.902</t>
  </si>
  <si>
    <t>36634744</t>
  </si>
  <si>
    <t>2020-10-30 21:08:39.796</t>
  </si>
  <si>
    <t>RU0007774998</t>
  </si>
  <si>
    <t>1439337</t>
  </si>
  <si>
    <t>2020-10-30 21:08:39.757</t>
  </si>
  <si>
    <t>XS0078980538</t>
  </si>
  <si>
    <t>699532</t>
  </si>
  <si>
    <t>Tong Yang Southeast Asia Co Ltd</t>
  </si>
  <si>
    <t>2020-10-30 21:08:39.713</t>
  </si>
  <si>
    <t>IRO1SSNR0002</t>
  </si>
  <si>
    <t>12387046</t>
  </si>
  <si>
    <t>Neiriz Cement Co</t>
  </si>
  <si>
    <t>2020-10-30 21:08:39.69</t>
  </si>
  <si>
    <t>IRO3MRJZ0003</t>
  </si>
  <si>
    <t>12386287</t>
  </si>
  <si>
    <t>Marjan Kar</t>
  </si>
  <si>
    <t>2020-10-30 21:08:39.673</t>
  </si>
  <si>
    <t>USG6954PAD27</t>
  </si>
  <si>
    <t>906873</t>
  </si>
  <si>
    <t>2020-10-30 21:08:39.656</t>
  </si>
  <si>
    <t>XS0035941144</t>
  </si>
  <si>
    <t>2050750</t>
  </si>
  <si>
    <t>2020-10-30 21:08:39.635</t>
  </si>
  <si>
    <t>RU000A0ZYC49</t>
  </si>
  <si>
    <t>38577005</t>
  </si>
  <si>
    <t>2020-10-30 21:08:39.618</t>
  </si>
  <si>
    <t>RU000A1023Z9</t>
  </si>
  <si>
    <t>57421254</t>
  </si>
  <si>
    <t>2020-10-30 21:08:39.542</t>
  </si>
  <si>
    <t>RU000A101TN5</t>
  </si>
  <si>
    <t>55670716</t>
  </si>
  <si>
    <t>2020-10-30 21:08:39.476</t>
  </si>
  <si>
    <t>RU000A101HH2</t>
  </si>
  <si>
    <t>53065683</t>
  </si>
  <si>
    <t>2020-10-30 21:08:39.435</t>
  </si>
  <si>
    <t>36967282</t>
  </si>
  <si>
    <t>2020-10-30 21:08:39.25</t>
  </si>
  <si>
    <t>30909031</t>
  </si>
  <si>
    <t>Pyerovskoye OAO</t>
  </si>
  <si>
    <t>2020-10-30 21:08:39.22</t>
  </si>
  <si>
    <t>30450450</t>
  </si>
  <si>
    <t>2020-10-30 21:08:39.198</t>
  </si>
  <si>
    <t>RU000A0JUT85</t>
  </si>
  <si>
    <t>25342468</t>
  </si>
  <si>
    <t>2020-10-30 21:08:39.162</t>
  </si>
  <si>
    <t>CND10002L4D7</t>
  </si>
  <si>
    <t>52089268</t>
  </si>
  <si>
    <t>2020-10-30 21:08:38.991</t>
  </si>
  <si>
    <t>282615</t>
  </si>
  <si>
    <t>2020-10-30 21:08:38.966</t>
  </si>
  <si>
    <t>VEV00014ADP0</t>
  </si>
  <si>
    <t>895761</t>
  </si>
  <si>
    <t>2020-10-30 21:08:38.95</t>
  </si>
  <si>
    <t>VEV00350ACC8</t>
  </si>
  <si>
    <t>883201</t>
  </si>
  <si>
    <t>2020-10-30 21:08:38.934</t>
  </si>
  <si>
    <t>XS0270863490</t>
  </si>
  <si>
    <t>11577046</t>
  </si>
  <si>
    <t>2020-10-30 21:08:38.916</t>
  </si>
  <si>
    <t>RU000A1013U1</t>
  </si>
  <si>
    <t>51318213</t>
  </si>
  <si>
    <t>2020-10-30 21:08:38.882</t>
  </si>
  <si>
    <t>RU000A100JB3</t>
  </si>
  <si>
    <t>48852677</t>
  </si>
  <si>
    <t>2020-10-30 21:08:38.861</t>
  </si>
  <si>
    <t>XS0029440731</t>
  </si>
  <si>
    <t>37102</t>
  </si>
  <si>
    <t>2020-10-30 21:08:38.494</t>
  </si>
  <si>
    <t>US922646BK91</t>
  </si>
  <si>
    <t>1704851</t>
  </si>
  <si>
    <t>922646BK9</t>
  </si>
  <si>
    <t>2020-10-30 21:08:38.474</t>
  </si>
  <si>
    <t>RU0005928307</t>
  </si>
  <si>
    <t>1701768</t>
  </si>
  <si>
    <t>2020-10-30 21:08:32.628</t>
  </si>
  <si>
    <t>RU000A0JQHZ3</t>
  </si>
  <si>
    <t>38585681</t>
  </si>
  <si>
    <t>2020-10-30 21:08:32.603</t>
  </si>
  <si>
    <t>2020-10-30 21:08:32.576</t>
  </si>
  <si>
    <t>RU000A101XM9</t>
  </si>
  <si>
    <t>56192406</t>
  </si>
  <si>
    <t>2020-10-30 21:08:32.512</t>
  </si>
  <si>
    <t>RU000A101AG9</t>
  </si>
  <si>
    <t>52828749</t>
  </si>
  <si>
    <t>2020-10-30 21:08:32.467</t>
  </si>
  <si>
    <t>RU000A100F20</t>
  </si>
  <si>
    <t>48422490</t>
  </si>
  <si>
    <t>2020-10-30 21:08:32.425</t>
  </si>
  <si>
    <t>48247864</t>
  </si>
  <si>
    <t>2020-10-30 21:08:32.403</t>
  </si>
  <si>
    <t>45513673</t>
  </si>
  <si>
    <t>2020-10-30 21:08:32.379</t>
  </si>
  <si>
    <t>40100668</t>
  </si>
  <si>
    <t>IKS Aktsionernoye obshchestvo</t>
  </si>
  <si>
    <t>2020-10-30 21:08:32.333</t>
  </si>
  <si>
    <t>34176095</t>
  </si>
  <si>
    <t>2020-10-30 21:08:32.296</t>
  </si>
  <si>
    <t>28976123</t>
  </si>
  <si>
    <t>2020-10-30 21:08:32.278</t>
  </si>
  <si>
    <t>RU000A0JVFD4</t>
  </si>
  <si>
    <t>28424215</t>
  </si>
  <si>
    <t>2020-10-30 21:08:32.252</t>
  </si>
  <si>
    <t>IRO1SDST0002</t>
  </si>
  <si>
    <t>11670010</t>
  </si>
  <si>
    <t>Dashtestan Cement Ind.</t>
  </si>
  <si>
    <t>2020-10-30 21:08:32.141</t>
  </si>
  <si>
    <t>CND10003KBK9</t>
  </si>
  <si>
    <t>56560978</t>
  </si>
  <si>
    <t>2020-10-30 21:08:32.121</t>
  </si>
  <si>
    <t>CND10002KC09</t>
  </si>
  <si>
    <t>51574958</t>
  </si>
  <si>
    <t>2020-10-30 21:08:32.095</t>
  </si>
  <si>
    <t>VEV00014AFK6</t>
  </si>
  <si>
    <t>910722</t>
  </si>
  <si>
    <t>2020-10-30 21:08:31.575</t>
  </si>
  <si>
    <t>44558405</t>
  </si>
  <si>
    <t>2020-10-30 21:08:31.557</t>
  </si>
  <si>
    <t>RU0005708469</t>
  </si>
  <si>
    <t>42257352</t>
  </si>
  <si>
    <t>2020-10-30 21:08:31.533</t>
  </si>
  <si>
    <t>RU000A101YG9</t>
  </si>
  <si>
    <t>56267472</t>
  </si>
  <si>
    <t>2020-10-30 21:08:31.503</t>
  </si>
  <si>
    <t>RU000A101WF5</t>
  </si>
  <si>
    <t>56214039</t>
  </si>
  <si>
    <t>2020-10-30 21:08:31.478</t>
  </si>
  <si>
    <t>RU000A1011K6</t>
  </si>
  <si>
    <t>51113224</t>
  </si>
  <si>
    <t>2020-10-30 21:08:31.455</t>
  </si>
  <si>
    <t>IRO1KESF0005</t>
  </si>
  <si>
    <t>3668439</t>
  </si>
  <si>
    <t>Isfahan Tile Industries</t>
  </si>
  <si>
    <t>2020-10-30 21:08:31.249</t>
  </si>
  <si>
    <t>CND10003RMM7</t>
  </si>
  <si>
    <t>57446175</t>
  </si>
  <si>
    <t>2020-10-30 21:08:31.203</t>
  </si>
  <si>
    <t>CND10002HHR9</t>
  </si>
  <si>
    <t>50719771</t>
  </si>
  <si>
    <t>2020-10-30 21:08:31.18</t>
  </si>
  <si>
    <t>CND10001XR65</t>
  </si>
  <si>
    <t>46137646</t>
  </si>
  <si>
    <t>2020-10-30 21:08:31.154</t>
  </si>
  <si>
    <t>2392458</t>
  </si>
  <si>
    <t>2020-10-30 21:08:31.135</t>
  </si>
  <si>
    <t>922417</t>
  </si>
  <si>
    <t>2020-10-30 21:08:31.119</t>
  </si>
  <si>
    <t>2122225</t>
  </si>
  <si>
    <t>2020-10-30 21:08:31.102</t>
  </si>
  <si>
    <t>XS0035107944</t>
  </si>
  <si>
    <t>1583755</t>
  </si>
  <si>
    <t>2020-10-30 21:08:31.079</t>
  </si>
  <si>
    <t>32067043</t>
  </si>
  <si>
    <t>2020-10-30 21:08:31.05</t>
  </si>
  <si>
    <t>RU0006935897</t>
  </si>
  <si>
    <t>24256602</t>
  </si>
  <si>
    <t>2020-10-30 21:08:31.033</t>
  </si>
  <si>
    <t>SY0031100058</t>
  </si>
  <si>
    <t>28301925</t>
  </si>
  <si>
    <t>United Group For Publishing Advertising and Marketing</t>
  </si>
  <si>
    <t>2020-10-30 21:08:31.014</t>
  </si>
  <si>
    <t>RU000A101SX6</t>
  </si>
  <si>
    <t>55265192</t>
  </si>
  <si>
    <t>2020-10-30 21:08:30.932</t>
  </si>
  <si>
    <t>41987098</t>
  </si>
  <si>
    <t>2020-10-30 21:08:24.983</t>
  </si>
  <si>
    <t>IRO1AMIN0009</t>
  </si>
  <si>
    <t>3666595</t>
  </si>
  <si>
    <t>2020-10-30 21:08:24.688</t>
  </si>
  <si>
    <t>IRO1NMAZ0008</t>
  </si>
  <si>
    <t>10660811</t>
  </si>
  <si>
    <t>Mazandaran Textile Co</t>
  </si>
  <si>
    <t>2020-10-30 21:08:24.667</t>
  </si>
  <si>
    <t>CND100016V31</t>
  </si>
  <si>
    <t>41579278</t>
  </si>
  <si>
    <t>2020-10-30 21:08:24.648</t>
  </si>
  <si>
    <t>VEP97497BA12</t>
  </si>
  <si>
    <t>990969</t>
  </si>
  <si>
    <t>2020-10-30 21:08:24.627</t>
  </si>
  <si>
    <t>XS0032491820</t>
  </si>
  <si>
    <t>44650</t>
  </si>
  <si>
    <t>2020-10-30 21:08:24.606</t>
  </si>
  <si>
    <t>XS0042413046</t>
  </si>
  <si>
    <t>44148</t>
  </si>
  <si>
    <t>2020-10-30 21:08:24.584</t>
  </si>
  <si>
    <t>XS0029479515</t>
  </si>
  <si>
    <t>158721</t>
  </si>
  <si>
    <t>2020-10-30 21:08:24.564</t>
  </si>
  <si>
    <t>RU000A1022S6</t>
  </si>
  <si>
    <t>56874931</t>
  </si>
  <si>
    <t>2020-10-30 21:08:24.521</t>
  </si>
  <si>
    <t>RU000A101ZT9</t>
  </si>
  <si>
    <t>56436412</t>
  </si>
  <si>
    <t>2020-10-30 21:08:24.496</t>
  </si>
  <si>
    <t>RU000A100UA2</t>
  </si>
  <si>
    <t>50293686</t>
  </si>
  <si>
    <t>2020-10-30 21:08:24.467</t>
  </si>
  <si>
    <t>48704725</t>
  </si>
  <si>
    <t>2020-10-30 21:08:24.448</t>
  </si>
  <si>
    <t>48571207</t>
  </si>
  <si>
    <t>2020-10-30 21:08:24.426</t>
  </si>
  <si>
    <t>48093912</t>
  </si>
  <si>
    <t>2020-10-30 21:08:24.385</t>
  </si>
  <si>
    <t>42850545</t>
  </si>
  <si>
    <t>2020-10-30 21:08:24.343</t>
  </si>
  <si>
    <t>37488132</t>
  </si>
  <si>
    <t>2020-10-30 21:08:24.305</t>
  </si>
  <si>
    <t>26406559</t>
  </si>
  <si>
    <t>2020-10-30 21:08:24.255</t>
  </si>
  <si>
    <t>IRO7TKDP0007</t>
  </si>
  <si>
    <t>19558211</t>
  </si>
  <si>
    <t>Takado</t>
  </si>
  <si>
    <t>2020-10-30 21:08:24.111</t>
  </si>
  <si>
    <t>IRO3PMTZ0003</t>
  </si>
  <si>
    <t>18382811</t>
  </si>
  <si>
    <t>Housing Investment Tehran Co</t>
  </si>
  <si>
    <t>2020-10-30 21:08:24.074</t>
  </si>
  <si>
    <t>XS0163921389</t>
  </si>
  <si>
    <t>1569406</t>
  </si>
  <si>
    <t>Persia International Bank PLC</t>
  </si>
  <si>
    <t>2020-10-30 21:08:24.046</t>
  </si>
  <si>
    <t>IRO1OIMC0006</t>
  </si>
  <si>
    <t>12762059</t>
  </si>
  <si>
    <t>Omid Investment Management Co</t>
  </si>
  <si>
    <t>2020-10-30 21:08:24.019</t>
  </si>
  <si>
    <t>IRO1TOKA0007</t>
  </si>
  <si>
    <t>10236713</t>
  </si>
  <si>
    <t>Tukafoolad Investment Co</t>
  </si>
  <si>
    <t>2020-10-30 21:08:23.996</t>
  </si>
  <si>
    <t>33640630</t>
  </si>
  <si>
    <t>2020-10-30 21:08:23.97</t>
  </si>
  <si>
    <t>35201466</t>
  </si>
  <si>
    <t>2020-10-30 21:08:23.951</t>
  </si>
  <si>
    <t>VEV00014ADW6</t>
  </si>
  <si>
    <t>900092</t>
  </si>
  <si>
    <t>2020-10-30 21:08:23.925</t>
  </si>
  <si>
    <t>CH0534679557</t>
  </si>
  <si>
    <t>53467955</t>
  </si>
  <si>
    <t>TNK Trading International SA</t>
  </si>
  <si>
    <t>2020-10-30 21:08:23.903</t>
  </si>
  <si>
    <t>XS0039849665</t>
  </si>
  <si>
    <t>44722</t>
  </si>
  <si>
    <t>2020-10-30 21:08:23.872</t>
  </si>
  <si>
    <t>691656</t>
  </si>
  <si>
    <t>2020-10-30 21:08:23.849</t>
  </si>
  <si>
    <t>RU000A100TU2</t>
  </si>
  <si>
    <t>50098960</t>
  </si>
  <si>
    <t>2020-10-30 21:08:23.735</t>
  </si>
  <si>
    <t>44931704</t>
  </si>
  <si>
    <t>2020-10-30 21:08:23.709</t>
  </si>
  <si>
    <t>44541062</t>
  </si>
  <si>
    <t>2020-10-30 21:08:23.686</t>
  </si>
  <si>
    <t>24768083</t>
  </si>
  <si>
    <t>2020-10-30 21:08:23.62</t>
  </si>
  <si>
    <t>IRO1APPE0008</t>
  </si>
  <si>
    <t>34357548</t>
  </si>
  <si>
    <t>Asan Pardakht Persian</t>
  </si>
  <si>
    <t>2020-10-30 21:08:23.256</t>
  </si>
  <si>
    <t>IRO1NMOH0004</t>
  </si>
  <si>
    <t>10228033</t>
  </si>
  <si>
    <t>Nirou Moharreke Industrial Co.</t>
  </si>
  <si>
    <t>2020-10-30 21:08:23.204</t>
  </si>
  <si>
    <t>CND10002JY22</t>
  </si>
  <si>
    <t>51963883</t>
  </si>
  <si>
    <t>2020-10-30 21:08:23.167</t>
  </si>
  <si>
    <t>SY0021100126</t>
  </si>
  <si>
    <t>28301845</t>
  </si>
  <si>
    <t>Byblos Bank Syria S.A.</t>
  </si>
  <si>
    <t>2020-10-30 21:08:17.427</t>
  </si>
  <si>
    <t>39380079</t>
  </si>
  <si>
    <t>2020-10-30 21:08:17.403</t>
  </si>
  <si>
    <t>RU000A101WU4</t>
  </si>
  <si>
    <t>56110238</t>
  </si>
  <si>
    <t>2020-10-30 21:08:17.332</t>
  </si>
  <si>
    <t>RU000A101VL5</t>
  </si>
  <si>
    <t>55897693</t>
  </si>
  <si>
    <t>2020-10-30 21:08:17.31</t>
  </si>
  <si>
    <t>RU000A101GF8</t>
  </si>
  <si>
    <t>52728024</t>
  </si>
  <si>
    <t>2020-10-30 21:08:17.286</t>
  </si>
  <si>
    <t>RU000A101F78</t>
  </si>
  <si>
    <t>52638252</t>
  </si>
  <si>
    <t>2020-10-30 21:08:17.263</t>
  </si>
  <si>
    <t>42887014</t>
  </si>
  <si>
    <t>2020-10-30 21:08:17.241</t>
  </si>
  <si>
    <t>32744301</t>
  </si>
  <si>
    <t>Malorossyyskyy elevator OAO</t>
  </si>
  <si>
    <t>2020-10-30 21:08:17.201</t>
  </si>
  <si>
    <t>25884061</t>
  </si>
  <si>
    <t>2020-10-30 21:08:17.156</t>
  </si>
  <si>
    <t>IRO1GGOH0001</t>
  </si>
  <si>
    <t>3668427</t>
  </si>
  <si>
    <t>Ghand Ghahestan</t>
  </si>
  <si>
    <t>2020-10-30 21:08:17.013</t>
  </si>
  <si>
    <t>IRO1SASN0001</t>
  </si>
  <si>
    <t>1027888</t>
  </si>
  <si>
    <t>Sasan Co</t>
  </si>
  <si>
    <t>2020-10-30 21:08:16.97</t>
  </si>
  <si>
    <t>IRO1TOSA0009</t>
  </si>
  <si>
    <t>1027409</t>
  </si>
  <si>
    <t>Iran Industrial Development Investment</t>
  </si>
  <si>
    <t>2020-10-30 21:08:16.945</t>
  </si>
  <si>
    <t>IRO1DODE0000</t>
  </si>
  <si>
    <t>10230774</t>
  </si>
  <si>
    <t>Pars Carbon Black</t>
  </si>
  <si>
    <t>2020-10-30 21:08:16.921</t>
  </si>
  <si>
    <t>CND100033VS6</t>
  </si>
  <si>
    <t>53722982</t>
  </si>
  <si>
    <t>2020-10-30 21:08:16.899</t>
  </si>
  <si>
    <t>DE0004685359</t>
  </si>
  <si>
    <t>990943</t>
  </si>
  <si>
    <t>2020-10-30 21:08:16.876</t>
  </si>
  <si>
    <t>DE0001960482</t>
  </si>
  <si>
    <t>792648</t>
  </si>
  <si>
    <t>2020-10-30 21:08:16.845</t>
  </si>
  <si>
    <t>VEV00350ACB0</t>
  </si>
  <si>
    <t>883185</t>
  </si>
  <si>
    <t>2020-10-30 21:08:16.814</t>
  </si>
  <si>
    <t>VEV00014AEG7</t>
  </si>
  <si>
    <t>890188</t>
  </si>
  <si>
    <t>2020-10-30 21:08:16.794</t>
  </si>
  <si>
    <t>IRO3KVRZ0009</t>
  </si>
  <si>
    <t>12385651</t>
  </si>
  <si>
    <t>Kavir Tire Co</t>
  </si>
  <si>
    <t>2020-10-30 21:08:16.195</t>
  </si>
  <si>
    <t>IRO1KSIM0002</t>
  </si>
  <si>
    <t>10659825</t>
  </si>
  <si>
    <t>Calcimine Co</t>
  </si>
  <si>
    <t>2020-10-30 21:08:16.16</t>
  </si>
  <si>
    <t>IRO1KALZ0002</t>
  </si>
  <si>
    <t>1027154</t>
  </si>
  <si>
    <t>Alborz Cable Co.</t>
  </si>
  <si>
    <t>2020-10-30 21:08:16.134</t>
  </si>
  <si>
    <t>26846347</t>
  </si>
  <si>
    <t>Simferopolskyi motornyi zavod PJSC</t>
  </si>
  <si>
    <t>2020-10-30 21:08:16.112</t>
  </si>
  <si>
    <t>XS0035925618</t>
  </si>
  <si>
    <t>986191</t>
  </si>
  <si>
    <t>2020-10-30 21:08:16.091</t>
  </si>
  <si>
    <t>XS0029446266</t>
  </si>
  <si>
    <t>883528</t>
  </si>
  <si>
    <t>2020-10-30 21:08:16.07</t>
  </si>
  <si>
    <t>US693300AL95</t>
  </si>
  <si>
    <t>644652</t>
  </si>
  <si>
    <t>693300AL9</t>
  </si>
  <si>
    <t>2020-10-30 21:08:16.047</t>
  </si>
  <si>
    <t>XS0029443677</t>
  </si>
  <si>
    <t>494125</t>
  </si>
  <si>
    <t>2020-10-30 21:08:16.025</t>
  </si>
  <si>
    <t>RU000A0JVDW9</t>
  </si>
  <si>
    <t>43376607</t>
  </si>
  <si>
    <t>2020-10-30 21:08:16.006</t>
  </si>
  <si>
    <t>RU000A1024A0</t>
  </si>
  <si>
    <t>57146406</t>
  </si>
  <si>
    <t>2020-10-30 21:08:15.985</t>
  </si>
  <si>
    <t>RU000A101BD4</t>
  </si>
  <si>
    <t>56930819</t>
  </si>
  <si>
    <t>2020-10-30 21:08:15.963</t>
  </si>
  <si>
    <t>RU000A1020G5</t>
  </si>
  <si>
    <t>56519638</t>
  </si>
  <si>
    <t>2020-10-30 21:08:15.939</t>
  </si>
  <si>
    <t>RU000A1013P1</t>
  </si>
  <si>
    <t>51279946</t>
  </si>
  <si>
    <t>2020-10-30 21:08:15.872</t>
  </si>
  <si>
    <t>RU000A100WV4</t>
  </si>
  <si>
    <t>50489939</t>
  </si>
  <si>
    <t>2020-10-30 21:08:15.853</t>
  </si>
  <si>
    <t>45144917</t>
  </si>
  <si>
    <t>2020-10-30 21:08:15.808</t>
  </si>
  <si>
    <t>27270691</t>
  </si>
  <si>
    <t>2020-10-30 21:08:15.654</t>
  </si>
  <si>
    <t>755820</t>
  </si>
  <si>
    <t>Ameaster Shipping Corp</t>
  </si>
  <si>
    <t>2020-10-30 21:08:15.467</t>
  </si>
  <si>
    <t>IRO1SAVE0007</t>
  </si>
  <si>
    <t>18915505</t>
  </si>
  <si>
    <t>Saveh Cement</t>
  </si>
  <si>
    <t>2020-10-30 21:08:15.447</t>
  </si>
  <si>
    <t>18590623</t>
  </si>
  <si>
    <t>2020-10-30 21:08:15.427</t>
  </si>
  <si>
    <t>883128</t>
  </si>
  <si>
    <t>2020-10-30 21:08:15.402</t>
  </si>
  <si>
    <t>XS0032486408</t>
  </si>
  <si>
    <t>497678</t>
  </si>
  <si>
    <t>2020-10-30 21:08:15.346</t>
  </si>
  <si>
    <t>38158432</t>
  </si>
  <si>
    <t>2020-10-30 21:08:15.329</t>
  </si>
  <si>
    <t>XS0460546442</t>
  </si>
  <si>
    <t>10689075</t>
  </si>
  <si>
    <t>2020-10-30 21:08:15.308</t>
  </si>
  <si>
    <t>RU000A102648</t>
  </si>
  <si>
    <t>57400224</t>
  </si>
  <si>
    <t>2020-10-30 21:08:15.283</t>
  </si>
  <si>
    <t>RU000A0NR0M8</t>
  </si>
  <si>
    <t>41480726</t>
  </si>
  <si>
    <t>Volzhskaya investitsionnaya kompaniya Zakrytoye aktsionernoye obshchestvo</t>
  </si>
  <si>
    <t>2020-10-30 21:08:15.263</t>
  </si>
  <si>
    <t>RU000A101ZR3</t>
  </si>
  <si>
    <t>56436545</t>
  </si>
  <si>
    <t>2020-10-30 21:08:15.243</t>
  </si>
  <si>
    <t>RU000A101E46</t>
  </si>
  <si>
    <t>52515742</t>
  </si>
  <si>
    <t>2020-10-30 21:08:15.199</t>
  </si>
  <si>
    <t>VEV00014ACD8</t>
  </si>
  <si>
    <t>886237</t>
  </si>
  <si>
    <t>2020-10-30 21:08:08.796</t>
  </si>
  <si>
    <t>VEP36300AB09</t>
  </si>
  <si>
    <t>991137</t>
  </si>
  <si>
    <t>2020-10-30 21:08:08.776</t>
  </si>
  <si>
    <t>DE0001960680</t>
  </si>
  <si>
    <t>793158</t>
  </si>
  <si>
    <t>2020-10-30 21:08:08.755</t>
  </si>
  <si>
    <t>XS0042172501</t>
  </si>
  <si>
    <t>431285</t>
  </si>
  <si>
    <t>2020-10-30 21:08:08.73</t>
  </si>
  <si>
    <t>40210830</t>
  </si>
  <si>
    <t>2020-10-30 21:08:08.708</t>
  </si>
  <si>
    <t>RU000A101DQ2</t>
  </si>
  <si>
    <t>52466690</t>
  </si>
  <si>
    <t>Ekvivalent Zakrytoye aktsionernoye obshchestvo</t>
  </si>
  <si>
    <t>2020-10-30 21:08:08.595</t>
  </si>
  <si>
    <t>RU000A100U47</t>
  </si>
  <si>
    <t>50121155</t>
  </si>
  <si>
    <t>2020-10-30 21:08:08.552</t>
  </si>
  <si>
    <t>46873623</t>
  </si>
  <si>
    <t>2020-10-30 21:08:08.531</t>
  </si>
  <si>
    <t>36535545</t>
  </si>
  <si>
    <t>2020-10-30 21:08:08.416</t>
  </si>
  <si>
    <t>34875650</t>
  </si>
  <si>
    <t>Luzhskiy kombikormovyy zavod OAO</t>
  </si>
  <si>
    <t>2020-10-30 21:08:08.371</t>
  </si>
  <si>
    <t>32978269</t>
  </si>
  <si>
    <t>2020-10-30 21:08:08.353</t>
  </si>
  <si>
    <t>IRO3PNLZ0000</t>
  </si>
  <si>
    <t>19777167</t>
  </si>
  <si>
    <t>Lavan Oil Refinery</t>
  </si>
  <si>
    <t>2020-10-30 21:08:08.236</t>
  </si>
  <si>
    <t>IRO3MWOZ0009</t>
  </si>
  <si>
    <t>18911554</t>
  </si>
  <si>
    <t>Mazandaran Wood</t>
  </si>
  <si>
    <t>2020-10-30 21:08:08.216</t>
  </si>
  <si>
    <t>IRO1PTOS0002</t>
  </si>
  <si>
    <t>1256329</t>
  </si>
  <si>
    <t>Tous Woolen Co</t>
  </si>
  <si>
    <t>2020-10-30 21:08:08.195</t>
  </si>
  <si>
    <t>CND100036L96</t>
  </si>
  <si>
    <t>54538583</t>
  </si>
  <si>
    <t>2020-10-30 21:08:08.168</t>
  </si>
  <si>
    <t>CND10001X811</t>
  </si>
  <si>
    <t>46187362</t>
  </si>
  <si>
    <t>2020-10-30 21:08:08.145</t>
  </si>
  <si>
    <t>CND100018D23</t>
  </si>
  <si>
    <t>26090517</t>
  </si>
  <si>
    <t>2020-10-30 21:08:08.122</t>
  </si>
  <si>
    <t>VEP3803Q1082</t>
  </si>
  <si>
    <t>992106</t>
  </si>
  <si>
    <t>2020-10-30 21:08:08.1</t>
  </si>
  <si>
    <t>VEV00014AFP5</t>
  </si>
  <si>
    <t>910833</t>
  </si>
  <si>
    <t>2020-10-30 21:08:08.074</t>
  </si>
  <si>
    <t>VEP97497BD50</t>
  </si>
  <si>
    <t>990966</t>
  </si>
  <si>
    <t>2020-10-30 21:08:08.053</t>
  </si>
  <si>
    <t>VEV00014CIS9</t>
  </si>
  <si>
    <t>38292678</t>
  </si>
  <si>
    <t>2020-10-30 21:08:08.029</t>
  </si>
  <si>
    <t>RU000A1007K4</t>
  </si>
  <si>
    <t>47158350</t>
  </si>
  <si>
    <t>Astrakhanskiy morskoy port Zakrytoye            Aktsionernoye Obschestvo</t>
  </si>
  <si>
    <t>2020-10-30 21:08:08.007</t>
  </si>
  <si>
    <t>RU000A0JX0Y1</t>
  </si>
  <si>
    <t>34907368</t>
  </si>
  <si>
    <t>2020-10-30 21:08:07.985</t>
  </si>
  <si>
    <t>RU0002614819</t>
  </si>
  <si>
    <t>1700333</t>
  </si>
  <si>
    <t>2020-10-30 21:08:07.963</t>
  </si>
  <si>
    <t>RU000A101ZV5</t>
  </si>
  <si>
    <t>56436355</t>
  </si>
  <si>
    <t>2020-10-30 21:08:07.916</t>
  </si>
  <si>
    <t>RU000A101UE2</t>
  </si>
  <si>
    <t>55701042</t>
  </si>
  <si>
    <t>2020-10-30 21:08:07.862</t>
  </si>
  <si>
    <t>RU000A100TP2</t>
  </si>
  <si>
    <t>50070662</t>
  </si>
  <si>
    <t>2020-10-30 21:08:07.802</t>
  </si>
  <si>
    <t>RU000A0NH1H8</t>
  </si>
  <si>
    <t>49260434</t>
  </si>
  <si>
    <t>2020-10-30 21:08:07.783</t>
  </si>
  <si>
    <t>48927087</t>
  </si>
  <si>
    <t>2020-10-30 21:08:07.763</t>
  </si>
  <si>
    <t>46926688</t>
  </si>
  <si>
    <t>2020-10-30 21:08:07.74</t>
  </si>
  <si>
    <t>RU000A0ZZC89</t>
  </si>
  <si>
    <t>42662972</t>
  </si>
  <si>
    <t>2020-10-30 21:08:07.693</t>
  </si>
  <si>
    <t>RU000A0ZZAN1</t>
  </si>
  <si>
    <t>42412601</t>
  </si>
  <si>
    <t>2020-10-30 21:08:07.674</t>
  </si>
  <si>
    <t>IRO1SPER0006</t>
  </si>
  <si>
    <t>3668369</t>
  </si>
  <si>
    <t>Iran Asbest (Persit)</t>
  </si>
  <si>
    <t>2020-10-30 21:08:07.591</t>
  </si>
  <si>
    <t>CND10002B4V1</t>
  </si>
  <si>
    <t>48202306</t>
  </si>
  <si>
    <t>2020-10-30 21:08:07.569</t>
  </si>
  <si>
    <t>DE0001960896</t>
  </si>
  <si>
    <t>836769</t>
  </si>
  <si>
    <t>2020-10-30 21:08:01.726</t>
  </si>
  <si>
    <t>48843654</t>
  </si>
  <si>
    <t>2020-10-30 21:08:01.506</t>
  </si>
  <si>
    <t>48353425</t>
  </si>
  <si>
    <t>2020-10-30 21:08:01.484</t>
  </si>
  <si>
    <t>44339810</t>
  </si>
  <si>
    <t>2020-10-30 21:08:01.438</t>
  </si>
  <si>
    <t>43719627</t>
  </si>
  <si>
    <t>2020-10-30 21:08:01.416</t>
  </si>
  <si>
    <t>42123332</t>
  </si>
  <si>
    <t>2020-10-30 21:08:01.393</t>
  </si>
  <si>
    <t>40804151</t>
  </si>
  <si>
    <t>2020-10-30 21:08:01.372</t>
  </si>
  <si>
    <t>29642846</t>
  </si>
  <si>
    <t>2020-10-30 21:08:01.24</t>
  </si>
  <si>
    <t>IRO1IFRM0000</t>
  </si>
  <si>
    <t>3668435</t>
  </si>
  <si>
    <t>Iran Form</t>
  </si>
  <si>
    <t>2020-10-30 21:08:00.815</t>
  </si>
  <si>
    <t>IRK1G01594C0</t>
  </si>
  <si>
    <t>30576567</t>
  </si>
  <si>
    <t>Zorat 9412-26</t>
  </si>
  <si>
    <t>2020-10-30 21:08:00.793</t>
  </si>
  <si>
    <t>IRO7NIRP0001</t>
  </si>
  <si>
    <t>18382764</t>
  </si>
  <si>
    <t>Niroo Investment Company</t>
  </si>
  <si>
    <t>2020-10-30 21:08:00.772</t>
  </si>
  <si>
    <t>IRO1LALZ0001</t>
  </si>
  <si>
    <t>11668739</t>
  </si>
  <si>
    <t>Alborz Tire Manufacturing Co.</t>
  </si>
  <si>
    <t>2020-10-30 21:08:00.751</t>
  </si>
  <si>
    <t>IRO1LIFT0009</t>
  </si>
  <si>
    <t>1027138</t>
  </si>
  <si>
    <t>Sahand Fork Lift Manufacturing Co.</t>
  </si>
  <si>
    <t>2020-10-30 21:08:00.73</t>
  </si>
  <si>
    <t>CNE000000R10</t>
  </si>
  <si>
    <t>651126</t>
  </si>
  <si>
    <t>Xinjiang Tianye Co Ltd</t>
  </si>
  <si>
    <t>2020-10-30 21:08:00.708</t>
  </si>
  <si>
    <t>VEP36300AD64</t>
  </si>
  <si>
    <t>991150</t>
  </si>
  <si>
    <t>2020-10-30 21:08:00.685</t>
  </si>
  <si>
    <t>729708</t>
  </si>
  <si>
    <t>2020-10-30 21:08:00.665</t>
  </si>
  <si>
    <t>XS0032488958</t>
  </si>
  <si>
    <t>44447</t>
  </si>
  <si>
    <t>2020-10-30 21:08:00.646</t>
  </si>
  <si>
    <t>RU000A101Y26</t>
  </si>
  <si>
    <t>56754830</t>
  </si>
  <si>
    <t>2020-10-30 21:08:00.598</t>
  </si>
  <si>
    <t>RU000A101M53</t>
  </si>
  <si>
    <t>54459371</t>
  </si>
  <si>
    <t>2020-10-30 21:08:00.571</t>
  </si>
  <si>
    <t>RU000A100X44</t>
  </si>
  <si>
    <t>50528994</t>
  </si>
  <si>
    <t>2020-10-30 21:08:00.493</t>
  </si>
  <si>
    <t>41965471</t>
  </si>
  <si>
    <t>2020-10-30 21:08:00.431</t>
  </si>
  <si>
    <t>34875645</t>
  </si>
  <si>
    <t>2020-10-30 21:08:00.365</t>
  </si>
  <si>
    <t>28741782</t>
  </si>
  <si>
    <t>2020-10-30 21:08:00.347</t>
  </si>
  <si>
    <t>26364056</t>
  </si>
  <si>
    <t>2020-10-30 21:08:00.32</t>
  </si>
  <si>
    <t>IRO7FRBP0008</t>
  </si>
  <si>
    <t>19732266</t>
  </si>
  <si>
    <t>Fara Bourse Co</t>
  </si>
  <si>
    <t>2020-10-30 21:08:00.153</t>
  </si>
  <si>
    <t>IRO1MNMH0006</t>
  </si>
  <si>
    <t>10660821</t>
  </si>
  <si>
    <t>Niroumoharekeh Machine Mfg. Co</t>
  </si>
  <si>
    <t>2020-10-30 21:08:00.13</t>
  </si>
  <si>
    <t>IRO1AZAB0006</t>
  </si>
  <si>
    <t>1027144</t>
  </si>
  <si>
    <t>Azarab Industries Co.</t>
  </si>
  <si>
    <t>2020-10-30 21:08:00.106</t>
  </si>
  <si>
    <t>CND10003NJC3</t>
  </si>
  <si>
    <t>56955755</t>
  </si>
  <si>
    <t>2020-10-30 21:08:00.078</t>
  </si>
  <si>
    <t>CND100003DM0</t>
  </si>
  <si>
    <t>14893637</t>
  </si>
  <si>
    <t>2020-10-30 21:08:00.057</t>
  </si>
  <si>
    <t>UA0101731000</t>
  </si>
  <si>
    <t>3683505</t>
  </si>
  <si>
    <t>2020-10-30 21:08:00.033</t>
  </si>
  <si>
    <t>DE0001960672</t>
  </si>
  <si>
    <t>793072</t>
  </si>
  <si>
    <t>2020-10-30 21:08:00.004</t>
  </si>
  <si>
    <t>935149</t>
  </si>
  <si>
    <t>2020-10-30 21:07:59.984</t>
  </si>
  <si>
    <t>XS0042761915</t>
  </si>
  <si>
    <t>58324</t>
  </si>
  <si>
    <t>2020-10-30 21:07:59.958</t>
  </si>
  <si>
    <t>XS0037785176</t>
  </si>
  <si>
    <t>420920</t>
  </si>
  <si>
    <t>2020-10-30 21:07:59.938</t>
  </si>
  <si>
    <t>XS0035943868</t>
  </si>
  <si>
    <t>2051497</t>
  </si>
  <si>
    <t>2020-10-30 21:07:59.915</t>
  </si>
  <si>
    <t>RU000A101VS0</t>
  </si>
  <si>
    <t>55933836</t>
  </si>
  <si>
    <t>2020-10-30 21:07:59.893</t>
  </si>
  <si>
    <t>RU000A101PW4</t>
  </si>
  <si>
    <t>55039674</t>
  </si>
  <si>
    <t>2020-10-30 21:07:59.862</t>
  </si>
  <si>
    <t>RU000A101GT9</t>
  </si>
  <si>
    <t>52970103</t>
  </si>
  <si>
    <t>2020-10-30 21:07:59.817</t>
  </si>
  <si>
    <t>35590433</t>
  </si>
  <si>
    <t>2020-10-30 21:07:59.649</t>
  </si>
  <si>
    <t>RU000A0JWH87</t>
  </si>
  <si>
    <t>32683538</t>
  </si>
  <si>
    <t>2020-10-30 21:07:59.626</t>
  </si>
  <si>
    <t>RU000A0JUXK4</t>
  </si>
  <si>
    <t>27216911</t>
  </si>
  <si>
    <t>Vologdametalloopttorg Aktsionernoye obshchestvo</t>
  </si>
  <si>
    <t>2020-10-30 21:07:59.606</t>
  </si>
  <si>
    <t>RU000A0JU9R9</t>
  </si>
  <si>
    <t>22848719</t>
  </si>
  <si>
    <t>2020-10-30 21:07:59.588</t>
  </si>
  <si>
    <t>2020-10-30 21:07:59.521</t>
  </si>
  <si>
    <t>2020-10-30 21:07:59.435</t>
  </si>
  <si>
    <t>IQ000A2DP8A5</t>
  </si>
  <si>
    <t>37047118</t>
  </si>
  <si>
    <t>Al-Ataa Islamic Bank</t>
  </si>
  <si>
    <t>2020-10-30 21:07:59.388</t>
  </si>
  <si>
    <t>IRO1SKAZ0005</t>
  </si>
  <si>
    <t>1027096</t>
  </si>
  <si>
    <t>Khazar Cement Co.</t>
  </si>
  <si>
    <t>2020-10-30 21:07:59.361</t>
  </si>
  <si>
    <t>37740379</t>
  </si>
  <si>
    <t>2020-10-30 21:07:59.338</t>
  </si>
  <si>
    <t>37679774</t>
  </si>
  <si>
    <t>2020-10-30 21:07:59.292</t>
  </si>
  <si>
    <t>23470120</t>
  </si>
  <si>
    <t>2020-10-30 21:07:59.274</t>
  </si>
  <si>
    <t>VEV000081001</t>
  </si>
  <si>
    <t>992216</t>
  </si>
  <si>
    <t>2020-10-30 21:07:53.992</t>
  </si>
  <si>
    <t>XS0033292086</t>
  </si>
  <si>
    <t>60656</t>
  </si>
  <si>
    <t>2020-10-30 21:07:53.965</t>
  </si>
  <si>
    <t>XS0035924306</t>
  </si>
  <si>
    <t>44702</t>
  </si>
  <si>
    <t>2020-10-30 21:07:53.933</t>
  </si>
  <si>
    <t>38330512</t>
  </si>
  <si>
    <t>2020-10-30 21:07:53.908</t>
  </si>
  <si>
    <t>38292687</t>
  </si>
  <si>
    <t>2020-10-30 21:07:53.885</t>
  </si>
  <si>
    <t>DE0006490998</t>
  </si>
  <si>
    <t>1226844</t>
  </si>
  <si>
    <t>2020-10-30 21:07:53.863</t>
  </si>
  <si>
    <t>RU000A0NH269</t>
  </si>
  <si>
    <t>56876882</t>
  </si>
  <si>
    <t>2020-10-30 21:07:53.79</t>
  </si>
  <si>
    <t>RU000A101LK8</t>
  </si>
  <si>
    <t>54356451</t>
  </si>
  <si>
    <t>2020-10-30 21:07:53.762</t>
  </si>
  <si>
    <t>RU000A101KF0</t>
  </si>
  <si>
    <t>53929614</t>
  </si>
  <si>
    <t>2020-10-30 21:07:53.697</t>
  </si>
  <si>
    <t>RU000A101G69</t>
  </si>
  <si>
    <t>52728022</t>
  </si>
  <si>
    <t>2020-10-30 21:07:53.667</t>
  </si>
  <si>
    <t>47101860</t>
  </si>
  <si>
    <t>2020-10-30 21:07:53.557</t>
  </si>
  <si>
    <t>46907457</t>
  </si>
  <si>
    <t>2020-10-30 21:07:53.516</t>
  </si>
  <si>
    <t>RU000A0JXQU1</t>
  </si>
  <si>
    <t>36753679</t>
  </si>
  <si>
    <t>Mortgage agent Vozrozhdenie 5 Limited Liability Company</t>
  </si>
  <si>
    <t>2020-10-30 21:07:53.354</t>
  </si>
  <si>
    <t>IRO1KHFZ0003</t>
  </si>
  <si>
    <t>3668441</t>
  </si>
  <si>
    <t>Hafez Tile And Ceramic Industries Co.</t>
  </si>
  <si>
    <t>2020-10-30 21:07:53.096</t>
  </si>
  <si>
    <t>IRO1PRMT0005</t>
  </si>
  <si>
    <t>3668372</t>
  </si>
  <si>
    <t>Permit</t>
  </si>
  <si>
    <t>2020-10-30 21:07:53.074</t>
  </si>
  <si>
    <t>IRO1SSAP0009</t>
  </si>
  <si>
    <t>12622491</t>
  </si>
  <si>
    <t>Teife Saipa Color &amp; Resin Industries</t>
  </si>
  <si>
    <t>2020-10-30 21:07:53.046</t>
  </si>
  <si>
    <t>IRO1TRNS0001</t>
  </si>
  <si>
    <t>1256446</t>
  </si>
  <si>
    <t>Iran Transfo Co</t>
  </si>
  <si>
    <t>2020-10-30 21:07:52.998</t>
  </si>
  <si>
    <t>IRO1PLAK0004</t>
  </si>
  <si>
    <t>1028956</t>
  </si>
  <si>
    <t>Polyacryl Iran Corporation</t>
  </si>
  <si>
    <t>2020-10-30 21:07:52.975</t>
  </si>
  <si>
    <t>IRO1SPAH0002</t>
  </si>
  <si>
    <t>1027394</t>
  </si>
  <si>
    <t>Sepah Investment Co</t>
  </si>
  <si>
    <t>2020-10-30 21:07:52.939</t>
  </si>
  <si>
    <t>CND10002J7B8</t>
  </si>
  <si>
    <t>51280025</t>
  </si>
  <si>
    <t>2020-10-30 21:07:52.887</t>
  </si>
  <si>
    <t>21019114</t>
  </si>
  <si>
    <t>2020-10-30 21:07:52.863</t>
  </si>
  <si>
    <t>UA4000044002</t>
  </si>
  <si>
    <t>19702071</t>
  </si>
  <si>
    <t>Krimska Yuridichna Grupa LLC</t>
  </si>
  <si>
    <t>2020-10-30 21:07:52.841</t>
  </si>
  <si>
    <t>VEV00014ACK3</t>
  </si>
  <si>
    <t>887645</t>
  </si>
  <si>
    <t>2020-10-30 21:07:52.81</t>
  </si>
  <si>
    <t>VEV00014AEW4</t>
  </si>
  <si>
    <t>907335</t>
  </si>
  <si>
    <t>2020-10-30 21:07:52.76</t>
  </si>
  <si>
    <t>962369</t>
  </si>
  <si>
    <t>2020-10-30 21:07:52.726</t>
  </si>
  <si>
    <t>XS0044457322</t>
  </si>
  <si>
    <t>93424</t>
  </si>
  <si>
    <t>2020-10-30 21:07:52.69</t>
  </si>
  <si>
    <t>33551589</t>
  </si>
  <si>
    <t>2020-10-30 21:07:52.664</t>
  </si>
  <si>
    <t>RU000A101KX3</t>
  </si>
  <si>
    <t>54152682</t>
  </si>
  <si>
    <t>2020-10-30 21:07:52.56</t>
  </si>
  <si>
    <t>2020-10-30 21:07:52.536</t>
  </si>
  <si>
    <t>RU000A100Z83</t>
  </si>
  <si>
    <t>50818722</t>
  </si>
  <si>
    <t>2020-10-30 21:07:52.487</t>
  </si>
  <si>
    <t>RU000A100U96</t>
  </si>
  <si>
    <t>50361375</t>
  </si>
  <si>
    <t>2020-10-30 21:07:52.455</t>
  </si>
  <si>
    <t>RU000A100Q01</t>
  </si>
  <si>
    <t>49473296</t>
  </si>
  <si>
    <t>2020-10-30 21:07:52.43</t>
  </si>
  <si>
    <t>46678687</t>
  </si>
  <si>
    <t>2020-10-30 21:07:52.403</t>
  </si>
  <si>
    <t>44700823</t>
  </si>
  <si>
    <t>2020-10-30 21:07:52.361</t>
  </si>
  <si>
    <t>37611108</t>
  </si>
  <si>
    <t>2020-10-30 21:07:52.197</t>
  </si>
  <si>
    <t>755956</t>
  </si>
  <si>
    <t>Pars Tyre Co</t>
  </si>
  <si>
    <t>2020-10-30 21:07:52.047</t>
  </si>
  <si>
    <t>IRO7SJVP0009</t>
  </si>
  <si>
    <t>19977119</t>
  </si>
  <si>
    <t>Tamin Javanan</t>
  </si>
  <si>
    <t>2020-10-30 21:07:52.009</t>
  </si>
  <si>
    <t>IRO3PMSZ0004</t>
  </si>
  <si>
    <t>14451371</t>
  </si>
  <si>
    <t>2020-10-30 21:07:51.985</t>
  </si>
  <si>
    <t>IRO1BSDR0003</t>
  </si>
  <si>
    <t>11241681</t>
  </si>
  <si>
    <t>Saderat Bank</t>
  </si>
  <si>
    <t>2020-10-30 21:07:51.948</t>
  </si>
  <si>
    <t>IRO1SAJN0002</t>
  </si>
  <si>
    <t>10665457</t>
  </si>
  <si>
    <t>Sakht Ajand Co</t>
  </si>
  <si>
    <t>2020-10-30 21:07:51.896</t>
  </si>
  <si>
    <t>20290110</t>
  </si>
  <si>
    <t>2020-10-30 21:07:51.861</t>
  </si>
  <si>
    <t>11998359</t>
  </si>
  <si>
    <t>Feodosiysky Zavod Konyakov I Vin PJSC</t>
  </si>
  <si>
    <t>2020-10-30 21:07:51.84</t>
  </si>
  <si>
    <t>VEV00014AEP8</t>
  </si>
  <si>
    <t>903681</t>
  </si>
  <si>
    <t>2020-10-30 21:07:51.77</t>
  </si>
  <si>
    <t>DE0001960730</t>
  </si>
  <si>
    <t>793076</t>
  </si>
  <si>
    <t>2020-10-30 21:07:51.743</t>
  </si>
  <si>
    <t>VEV00014ADN5</t>
  </si>
  <si>
    <t>895721</t>
  </si>
  <si>
    <t>2020-10-30 21:07:51.692</t>
  </si>
  <si>
    <t>XS0029453049</t>
  </si>
  <si>
    <t>883540</t>
  </si>
  <si>
    <t>2020-10-30 21:07:51.66</t>
  </si>
  <si>
    <t>DE0006106875</t>
  </si>
  <si>
    <t>1193982</t>
  </si>
  <si>
    <t>2020-10-30 21:07:51.614</t>
  </si>
  <si>
    <t>47263883</t>
  </si>
  <si>
    <t>2020-10-30 21:07:51.587</t>
  </si>
  <si>
    <t>RU000A0JWTX1</t>
  </si>
  <si>
    <t>34077334</t>
  </si>
  <si>
    <t>2020-10-30 21:07:51.561</t>
  </si>
  <si>
    <t>2020-10-30 21:07:51.507</t>
  </si>
  <si>
    <t>48294468</t>
  </si>
  <si>
    <t>2020-10-30 21:07:51.447</t>
  </si>
  <si>
    <t>48202513</t>
  </si>
  <si>
    <t>2020-10-30 21:07:51.402</t>
  </si>
  <si>
    <t>42513267</t>
  </si>
  <si>
    <t>2020-10-30 21:07:51.38</t>
  </si>
  <si>
    <t>32342888</t>
  </si>
  <si>
    <t>2020-10-30 21:07:51.336</t>
  </si>
  <si>
    <t>RU000A0JUZH5</t>
  </si>
  <si>
    <t>27224104</t>
  </si>
  <si>
    <t>Hermes-Moscow JSC</t>
  </si>
  <si>
    <t>2020-10-30 21:07:51.27</t>
  </si>
  <si>
    <t>IRO7PJHP0000</t>
  </si>
  <si>
    <t>18382795</t>
  </si>
  <si>
    <t>Jahrom Petrochemical Co</t>
  </si>
  <si>
    <t>2020-10-30 21:07:50.978</t>
  </si>
  <si>
    <t>IRO1GSBE0005</t>
  </si>
  <si>
    <t>1256299</t>
  </si>
  <si>
    <t>2020-10-30 21:07:50.957</t>
  </si>
  <si>
    <t>11728682</t>
  </si>
  <si>
    <t>2020-10-30 21:07:50.924</t>
  </si>
  <si>
    <t>IRO1GHND0005</t>
  </si>
  <si>
    <t>11669733</t>
  </si>
  <si>
    <t>Khoy Sugar Co.</t>
  </si>
  <si>
    <t>2020-10-30 21:07:50.894</t>
  </si>
  <si>
    <t>IRO1BTEJ0001</t>
  </si>
  <si>
    <t>11241725</t>
  </si>
  <si>
    <t>Tejarat Bank</t>
  </si>
  <si>
    <t>2020-10-30 21:07:50.856</t>
  </si>
  <si>
    <t>IRO1DADE0006</t>
  </si>
  <si>
    <t>10653319</t>
  </si>
  <si>
    <t>Data Processing Iran Co</t>
  </si>
  <si>
    <t>2020-10-30 21:07:50.777</t>
  </si>
  <si>
    <t>22153984</t>
  </si>
  <si>
    <t>Sevastopolgaz PJSC</t>
  </si>
  <si>
    <t>2020-10-30 21:07:50.741</t>
  </si>
  <si>
    <t>USP7807HAN54</t>
  </si>
  <si>
    <t>13410127</t>
  </si>
  <si>
    <t>2020-10-30 21:07:45.094</t>
  </si>
  <si>
    <t>SY0021100167</t>
  </si>
  <si>
    <t>28301860</t>
  </si>
  <si>
    <t>Bank of Jordan Syria</t>
  </si>
  <si>
    <t>2020-10-30 21:07:45.062</t>
  </si>
  <si>
    <t>RU000A102622</t>
  </si>
  <si>
    <t>57398184</t>
  </si>
  <si>
    <t>2020-10-30 21:07:45.003</t>
  </si>
  <si>
    <t>RU000A101VB6</t>
  </si>
  <si>
    <t>56284886</t>
  </si>
  <si>
    <t>2020-10-30 21:07:44.963</t>
  </si>
  <si>
    <t>RU000A100X36</t>
  </si>
  <si>
    <t>50530259</t>
  </si>
  <si>
    <t>2020-10-30 21:07:44.911</t>
  </si>
  <si>
    <t>RU000A100SS8</t>
  </si>
  <si>
    <t>49894693</t>
  </si>
  <si>
    <t>2020-10-30 21:07:44.883</t>
  </si>
  <si>
    <t>46661059</t>
  </si>
  <si>
    <t>2020-10-30 21:07:44.858</t>
  </si>
  <si>
    <t>42048696</t>
  </si>
  <si>
    <t>2020-10-30 21:07:44.797</t>
  </si>
  <si>
    <t>40961607</t>
  </si>
  <si>
    <t>2020-10-30 21:07:44.7</t>
  </si>
  <si>
    <t>36198265</t>
  </si>
  <si>
    <t>2020-10-30 21:07:44.647</t>
  </si>
  <si>
    <t>28648673</t>
  </si>
  <si>
    <t>2020-10-30 21:07:44.557</t>
  </si>
  <si>
    <t>IRO1PMSZ0006</t>
  </si>
  <si>
    <t>24835731</t>
  </si>
  <si>
    <t>2020-10-30 21:07:44.367</t>
  </si>
  <si>
    <t>IRO7KSNP0006</t>
  </si>
  <si>
    <t>19558268</t>
  </si>
  <si>
    <t>Kisoun Co</t>
  </si>
  <si>
    <t>2020-10-30 21:07:44.342</t>
  </si>
  <si>
    <t>IRO3IMFZ0008</t>
  </si>
  <si>
    <t>13675201</t>
  </si>
  <si>
    <t>Iran Cultural Heritage and Tourism Investment Corporation (SEMEGA)</t>
  </si>
  <si>
    <t>2020-10-30 21:07:44.274</t>
  </si>
  <si>
    <t>IRO1ALYF0000</t>
  </si>
  <si>
    <t>1028954</t>
  </si>
  <si>
    <t>Aliaf Co.</t>
  </si>
  <si>
    <t>2020-10-30 21:07:44.243</t>
  </si>
  <si>
    <t>CND100014PV2</t>
  </si>
  <si>
    <t>41451127</t>
  </si>
  <si>
    <t>2020-10-30 21:07:44.199</t>
  </si>
  <si>
    <t>VEV00014CIF6</t>
  </si>
  <si>
    <t>38292637</t>
  </si>
  <si>
    <t>2020-10-30 21:07:44.168</t>
  </si>
  <si>
    <t>VEV00014CIK6</t>
  </si>
  <si>
    <t>38292639</t>
  </si>
  <si>
    <t>2020-10-30 21:07:42.84</t>
  </si>
  <si>
    <t>XS0029455929</t>
  </si>
  <si>
    <t>986184</t>
  </si>
  <si>
    <t>2020-10-30 21:07:42.792</t>
  </si>
  <si>
    <t>XS0029459673</t>
  </si>
  <si>
    <t>1579232</t>
  </si>
  <si>
    <t>2020-10-30 21:07:42.761</t>
  </si>
  <si>
    <t>RU0007579058</t>
  </si>
  <si>
    <t>1701769</t>
  </si>
  <si>
    <t>2020-10-30 21:07:42.736</t>
  </si>
  <si>
    <t>UA4000059422</t>
  </si>
  <si>
    <t>14606487</t>
  </si>
  <si>
    <t>2020-10-30 21:07:42.712</t>
  </si>
  <si>
    <t>SY0021100027</t>
  </si>
  <si>
    <t>28284076</t>
  </si>
  <si>
    <t>Arab Bank - Syria</t>
  </si>
  <si>
    <t>2020-10-30 21:07:42.682</t>
  </si>
  <si>
    <t>RU000A102259</t>
  </si>
  <si>
    <t>56930800</t>
  </si>
  <si>
    <t>2020-10-30 21:07:42.594</t>
  </si>
  <si>
    <t>RU000A101ZJ0</t>
  </si>
  <si>
    <t>56410630</t>
  </si>
  <si>
    <t>2020-10-30 21:07:42.542</t>
  </si>
  <si>
    <t>RU000A101VA8</t>
  </si>
  <si>
    <t>56284887</t>
  </si>
  <si>
    <t>2020-10-30 21:07:42.516</t>
  </si>
  <si>
    <t>RU000A100VR4</t>
  </si>
  <si>
    <t>50317189</t>
  </si>
  <si>
    <t>2020-10-30 21:07:42.465</t>
  </si>
  <si>
    <t>42818684</t>
  </si>
  <si>
    <t>2020-10-30 21:07:42.275</t>
  </si>
  <si>
    <t>41281794</t>
  </si>
  <si>
    <t>2020-10-30 21:07:42.193</t>
  </si>
  <si>
    <t>30263077</t>
  </si>
  <si>
    <t>2020-10-30 21:07:41.885</t>
  </si>
  <si>
    <t>IR1100044012</t>
  </si>
  <si>
    <t>3668424</t>
  </si>
  <si>
    <t>Sarmayegozari Sanati Melli</t>
  </si>
  <si>
    <t>2020-10-30 21:07:41.727</t>
  </si>
  <si>
    <t>IRO7BKSP0000</t>
  </si>
  <si>
    <t>20624552</t>
  </si>
  <si>
    <t>Kosar Ins</t>
  </si>
  <si>
    <t>2020-10-30 21:07:41.7</t>
  </si>
  <si>
    <t>IRO3CHRZ0007</t>
  </si>
  <si>
    <t>19778227</t>
  </si>
  <si>
    <t>Mahal Sugar</t>
  </si>
  <si>
    <t>2020-10-30 21:07:41.67</t>
  </si>
  <si>
    <t>IRO1SPTA0008</t>
  </si>
  <si>
    <t>1256005</t>
  </si>
  <si>
    <t>Sepanta Industrial &amp; Investment Co.</t>
  </si>
  <si>
    <t>2020-10-30 21:07:41.641</t>
  </si>
  <si>
    <t>IRO1FKAS0009</t>
  </si>
  <si>
    <t>11890416</t>
  </si>
  <si>
    <t>Khorasan Steel Complex Co.</t>
  </si>
  <si>
    <t>2020-10-30 21:07:41.591</t>
  </si>
  <si>
    <t>IRO1SSIN0003</t>
  </si>
  <si>
    <t>11670084</t>
  </si>
  <si>
    <t>Iran Chemical Industrial Investment Co.</t>
  </si>
  <si>
    <t>2020-10-30 21:07:41.444</t>
  </si>
  <si>
    <t>Safe</t>
  </si>
  <si>
    <t>4094.t</t>
  </si>
  <si>
    <t>5563.t</t>
  </si>
  <si>
    <t>4047.T</t>
  </si>
  <si>
    <t>6246.T</t>
  </si>
  <si>
    <t>6882.T</t>
  </si>
  <si>
    <t>4044.T</t>
  </si>
  <si>
    <t>5232.T</t>
  </si>
  <si>
    <t>7259.T</t>
  </si>
  <si>
    <t>SFR.AX</t>
  </si>
  <si>
    <t>LU1867072222 - Pharus Sicav - Electric Mobility NichesQ</t>
  </si>
  <si>
    <t>5563.T</t>
  </si>
  <si>
    <t>IT0005424814</t>
  </si>
  <si>
    <t>osaiw</t>
  </si>
  <si>
    <t>Osai WARR</t>
  </si>
  <si>
    <t xml:space="preserve">        </t>
  </si>
  <si>
    <t>5233.T</t>
  </si>
  <si>
    <t>Margin deposit</t>
  </si>
  <si>
    <t xml:space="preserve">IBP </t>
  </si>
  <si>
    <t>IBP</t>
  </si>
  <si>
    <t>CA65401N1078</t>
  </si>
  <si>
    <t>Electric mobility theme y/n</t>
  </si>
  <si>
    <t>Y</t>
  </si>
  <si>
    <t>OSAIW</t>
  </si>
  <si>
    <t>NULL</t>
  </si>
  <si>
    <t>The record could not be found</t>
  </si>
  <si>
    <t>Glencore PLC</t>
  </si>
  <si>
    <t>Soulbrain Holdings Co Ltd</t>
  </si>
  <si>
    <t>Posco</t>
  </si>
  <si>
    <t>SFA Engineering Corp</t>
  </si>
  <si>
    <t>Kureha Corp</t>
  </si>
  <si>
    <t>Zeon Corp</t>
  </si>
  <si>
    <t>Toshiba Corp</t>
  </si>
  <si>
    <t>IGO Ltd</t>
  </si>
  <si>
    <t>Bushveld Minerals Ltd</t>
  </si>
  <si>
    <t>Nippon Denko Co Ltd</t>
  </si>
  <si>
    <t>Kanto Denka Kogyo Co Ltd</t>
  </si>
  <si>
    <t>Techno Smart Corp</t>
  </si>
  <si>
    <t>Sansha Electric Manufacturing Co Ltd</t>
  </si>
  <si>
    <t>Central Glass Co Ltd</t>
  </si>
  <si>
    <t>Sumitomo Osaka Cement Co Ltd</t>
  </si>
  <si>
    <t>Sandfire Resources Ltd</t>
  </si>
  <si>
    <t>Taiheiyo Cement Corp</t>
  </si>
  <si>
    <t>Nickel 28 Capital Corp</t>
  </si>
  <si>
    <t>SNT Motiv Co Ltd</t>
  </si>
  <si>
    <t>Valeo SE</t>
  </si>
  <si>
    <t>Aisin Corp</t>
  </si>
  <si>
    <t>CUSTODIAN TR. FEES</t>
  </si>
  <si>
    <t>SETTLEMENT TR. FEES</t>
  </si>
  <si>
    <t>383310.KQ</t>
  </si>
  <si>
    <t>Ecopro HN Co Ltd</t>
  </si>
  <si>
    <t>spin off</t>
  </si>
  <si>
    <t>Samsung SecuritiesKR</t>
  </si>
  <si>
    <t>IMIAU</t>
  </si>
  <si>
    <t>CITIUS33XXX</t>
  </si>
  <si>
    <t>IMIAT</t>
  </si>
  <si>
    <t>IMIBE</t>
  </si>
  <si>
    <t>IMICA</t>
  </si>
  <si>
    <t>IMICS</t>
  </si>
  <si>
    <t>UNIYCZPPXXX</t>
  </si>
  <si>
    <t>808003039231</t>
  </si>
  <si>
    <t>IMIDK</t>
  </si>
  <si>
    <t>IMIFI</t>
  </si>
  <si>
    <t>IMIFR</t>
  </si>
  <si>
    <t>IMIDE</t>
  </si>
  <si>
    <t>IMIGR</t>
  </si>
  <si>
    <t>HCSDGRAAXXX</t>
  </si>
  <si>
    <t>PARBGRAXXXX</t>
  </si>
  <si>
    <t>IMIHK</t>
  </si>
  <si>
    <t>HSBCHKHHHKH</t>
  </si>
  <si>
    <t>IMIIE</t>
  </si>
  <si>
    <t>IMIIT</t>
  </si>
  <si>
    <t>IMIJP</t>
  </si>
  <si>
    <t>IMINL</t>
  </si>
  <si>
    <t>IMINZ</t>
  </si>
  <si>
    <t>RBNZNZ22XXX</t>
  </si>
  <si>
    <t>CITINZ2XXXX</t>
  </si>
  <si>
    <t>IMINO</t>
  </si>
  <si>
    <t>IMIPL</t>
  </si>
  <si>
    <t>IMIPT</t>
  </si>
  <si>
    <t>IMIES</t>
  </si>
  <si>
    <t>IBRCESMMXXX</t>
  </si>
  <si>
    <t>IMISE</t>
  </si>
  <si>
    <t>IMICH</t>
  </si>
  <si>
    <t>IMIGB</t>
  </si>
  <si>
    <t>IMIUS</t>
  </si>
  <si>
    <t>IMI</t>
  </si>
  <si>
    <t>Row Labels</t>
  </si>
  <si>
    <t>(blank)</t>
  </si>
  <si>
    <t>KR7064960008</t>
  </si>
  <si>
    <t>KR7357780006</t>
  </si>
  <si>
    <t>KR7005490008</t>
  </si>
  <si>
    <t>KR7056190002</t>
  </si>
  <si>
    <t>JP3271600003</t>
  </si>
  <si>
    <t>JP3725400000</t>
  </si>
  <si>
    <t>JP3592200004</t>
  </si>
  <si>
    <t>SE0014957353</t>
  </si>
  <si>
    <t>AU000000IGO4</t>
  </si>
  <si>
    <t>GG00B4TM3943</t>
  </si>
  <si>
    <t>JP3734600004</t>
  </si>
  <si>
    <t>JP3232600001</t>
  </si>
  <si>
    <t>JP3147200004</t>
  </si>
  <si>
    <t>JP3332600000</t>
  </si>
  <si>
    <t>JP3425000001</t>
  </si>
  <si>
    <t>JP3400900001</t>
  </si>
  <si>
    <t>JP3102000001</t>
  </si>
  <si>
    <t>AU000000SFR8</t>
  </si>
  <si>
    <t>JP3449020001</t>
  </si>
  <si>
    <t>KR7383310000</t>
  </si>
  <si>
    <t>CNE100000296</t>
  </si>
  <si>
    <t>JP3385820000</t>
  </si>
  <si>
    <t>CH0110303119</t>
  </si>
  <si>
    <t>SE0014957379</t>
  </si>
  <si>
    <t>KR7096770003</t>
  </si>
  <si>
    <t>IT0005424830</t>
  </si>
  <si>
    <t>IT0005424822</t>
  </si>
  <si>
    <t>Antofagasta PLC</t>
  </si>
  <si>
    <t>BYD Co Ltd</t>
  </si>
  <si>
    <t>SoulBrain Holdings Co Ltd</t>
  </si>
  <si>
    <t>GS Yuasa Corp</t>
  </si>
  <si>
    <t>Leclanche SA</t>
  </si>
  <si>
    <t>Osai Automation System SpA</t>
  </si>
  <si>
    <t>Unable to resolve and collect data for all requested identifiers and fields.</t>
  </si>
  <si>
    <t>6752 JP</t>
  </si>
  <si>
    <t>5713 JP</t>
  </si>
  <si>
    <t>4004 JP</t>
  </si>
  <si>
    <t>4005 JP</t>
  </si>
  <si>
    <t>3401 JP</t>
  </si>
  <si>
    <t>051915 KS</t>
  </si>
  <si>
    <t>006405 KS</t>
  </si>
  <si>
    <t>096775 KS</t>
  </si>
  <si>
    <t>NK FP</t>
  </si>
  <si>
    <t>ERA FP</t>
  </si>
  <si>
    <t>FR FP</t>
  </si>
  <si>
    <t>CON GR</t>
  </si>
  <si>
    <t>RNO FP</t>
  </si>
  <si>
    <t>SYR AU</t>
  </si>
  <si>
    <t>EAF US</t>
  </si>
  <si>
    <t>8053 JP</t>
  </si>
  <si>
    <t>1958 HK</t>
  </si>
  <si>
    <t>WSA AU</t>
  </si>
  <si>
    <t>VOW3 GY</t>
  </si>
  <si>
    <t>005490 KS</t>
  </si>
  <si>
    <t>6502 JP</t>
  </si>
  <si>
    <t>IGO AU</t>
  </si>
  <si>
    <t>Bloomberg PC</t>
  </si>
  <si>
    <t>NIcheAM</t>
  </si>
  <si>
    <t>4080 JP</t>
  </si>
  <si>
    <t>4092 JP</t>
  </si>
  <si>
    <t>4100 JP</t>
  </si>
  <si>
    <t>5302 JP</t>
  </si>
  <si>
    <t>086520 KQ</t>
  </si>
  <si>
    <t>036830 KQ</t>
  </si>
  <si>
    <t>NKL CN</t>
  </si>
  <si>
    <t>ALELIO SS</t>
  </si>
  <si>
    <t>005420 KS</t>
  </si>
  <si>
    <t>4094 JP</t>
  </si>
  <si>
    <t>NILSY US</t>
  </si>
  <si>
    <t>4109 JP</t>
  </si>
  <si>
    <t>GLEN LN</t>
  </si>
  <si>
    <t>064960 KS</t>
  </si>
  <si>
    <t>4023 JP</t>
  </si>
  <si>
    <t>4205 JP</t>
  </si>
  <si>
    <t>BMN LN</t>
  </si>
  <si>
    <t>5563 JP</t>
  </si>
  <si>
    <t>4047 JP</t>
  </si>
  <si>
    <t>6246 JP</t>
  </si>
  <si>
    <t>6882 JP</t>
  </si>
  <si>
    <t>4044 JP</t>
  </si>
  <si>
    <t>5232 JP</t>
  </si>
  <si>
    <t>SFR AU</t>
  </si>
  <si>
    <t>5233 JP</t>
  </si>
  <si>
    <t>5310 JP</t>
  </si>
  <si>
    <t>POSCO</t>
  </si>
  <si>
    <t>Nippon Chemical Industrial Co</t>
  </si>
  <si>
    <t>Beijing Automotive Group Co Lt</t>
  </si>
  <si>
    <t>MMC Norilsk Nickel PJSC</t>
  </si>
  <si>
    <t>Sansha Electric Manufacturing</t>
  </si>
  <si>
    <t>Electric Mobility</t>
  </si>
  <si>
    <t>JN</t>
  </si>
  <si>
    <t>SK</t>
  </si>
  <si>
    <t>Valeo</t>
  </si>
  <si>
    <t>PAYABLE-MGT FEES</t>
  </si>
  <si>
    <t>PAYABLE-GL.PRICING FEES</t>
  </si>
  <si>
    <t>#N/A Invalid Security</t>
  </si>
  <si>
    <t>056190.KS</t>
  </si>
  <si>
    <t>PAYABLE-UCITS TAXES</t>
  </si>
  <si>
    <t>CIKBBCITITMMD02000L10</t>
  </si>
  <si>
    <t>BCITITMMD02</t>
  </si>
  <si>
    <t>02 2000 11802147 0</t>
  </si>
  <si>
    <t>SICVBCITITMMD02000L10</t>
  </si>
  <si>
    <t>DAKV8145000</t>
  </si>
  <si>
    <t>718-652464-085</t>
  </si>
  <si>
    <t>4JQAQ</t>
  </si>
  <si>
    <t>MOTIBCITITMMXXX6011600</t>
  </si>
  <si>
    <t>BCITITM1T20</t>
  </si>
  <si>
    <t>0100-50-2630</t>
  </si>
  <si>
    <t>NECIBCITITMMD02000L10</t>
  </si>
  <si>
    <t>010-60.016.086</t>
  </si>
  <si>
    <t>000029629500</t>
  </si>
  <si>
    <t>01-100 211 020</t>
  </si>
  <si>
    <t>0835-0951260-75-011</t>
  </si>
  <si>
    <t>CEDELULLXXX</t>
  </si>
  <si>
    <t>CEDE</t>
  </si>
  <si>
    <t xml:space="preserve">                  </t>
  </si>
  <si>
    <t xml:space="preserve">                          </t>
  </si>
  <si>
    <t xml:space="preserve">                               </t>
  </si>
  <si>
    <t>005420 ks</t>
  </si>
  <si>
    <t>056190 KS</t>
  </si>
  <si>
    <t xml:space="preserve">SFA Engineering </t>
  </si>
  <si>
    <t xml:space="preserve">Cosmo Chemical </t>
  </si>
  <si>
    <t xml:space="preserve">SNT MOTIV </t>
  </si>
  <si>
    <t>GEOGRAPHICAL RISK MATRIX</t>
  </si>
  <si>
    <t>Country Rating</t>
  </si>
  <si>
    <t>High risk</t>
  </si>
  <si>
    <t xml:space="preserve">Non-compliant - There are major shortcomings. </t>
  </si>
  <si>
    <t xml:space="preserve">Medium High risk </t>
  </si>
  <si>
    <t>Partially compliant - There are moderate shortcomings</t>
  </si>
  <si>
    <t xml:space="preserve">Medium low risk </t>
  </si>
  <si>
    <t>Largely compliant - There are only minor shortcomings</t>
  </si>
  <si>
    <t xml:space="preserve">Low risk </t>
  </si>
  <si>
    <t>Compliant</t>
  </si>
  <si>
    <t>Amount bought in USD</t>
  </si>
  <si>
    <t>Amount sold currency ex-USD</t>
  </si>
  <si>
    <t>FORWARD USD</t>
  </si>
  <si>
    <t>Geographical Risk Matrix Check</t>
  </si>
  <si>
    <t>Ticker Bloomberg</t>
  </si>
  <si>
    <t>SOUTH KOREA</t>
  </si>
  <si>
    <t>UNITED STATES</t>
  </si>
  <si>
    <t>AUSTRALIA</t>
  </si>
  <si>
    <t>AUSTRIA</t>
  </si>
  <si>
    <t>BELGIUM</t>
  </si>
  <si>
    <t>CANADA</t>
  </si>
  <si>
    <t>CAYMAN ISLANDS</t>
  </si>
  <si>
    <t>CHILE</t>
  </si>
  <si>
    <t>CHINA</t>
  </si>
  <si>
    <t>CZECH REPUBLIC</t>
  </si>
  <si>
    <t>DENMARK</t>
  </si>
  <si>
    <t>EGYPT</t>
  </si>
  <si>
    <t>FINLAND</t>
  </si>
  <si>
    <t>FRANCE</t>
  </si>
  <si>
    <t>GERMANY</t>
  </si>
  <si>
    <t>GIBRALTAR</t>
  </si>
  <si>
    <t>GREECE</t>
  </si>
  <si>
    <t>HONG KONG</t>
  </si>
  <si>
    <t>HUNGARY</t>
  </si>
  <si>
    <t>ICELAND</t>
  </si>
  <si>
    <t>INDONESIA</t>
  </si>
  <si>
    <t>IRELAND</t>
  </si>
  <si>
    <t>ISLE OF MAN</t>
  </si>
  <si>
    <t>ISRAEL</t>
  </si>
  <si>
    <t>ITALY</t>
  </si>
  <si>
    <t>JAPAN</t>
  </si>
  <si>
    <t>JERSEY</t>
  </si>
  <si>
    <t>LUXEMBOURG</t>
  </si>
  <si>
    <t>MALAYSIA</t>
  </si>
  <si>
    <t>MALTA</t>
  </si>
  <si>
    <t>MONACO</t>
  </si>
  <si>
    <t>NETHERLANDS</t>
  </si>
  <si>
    <t>NEW ZEALAND</t>
  </si>
  <si>
    <t>NIGERIA</t>
  </si>
  <si>
    <t>NORWAY</t>
  </si>
  <si>
    <t>PHILIPPINES</t>
  </si>
  <si>
    <t>POLAND</t>
  </si>
  <si>
    <t>PORTUGAL</t>
  </si>
  <si>
    <t>RUSSIAN FEDERATION</t>
  </si>
  <si>
    <t>SINGAPORE</t>
  </si>
  <si>
    <t>SOUTH AFRICA</t>
  </si>
  <si>
    <t>SPAIN</t>
  </si>
  <si>
    <t>SWEDEN</t>
  </si>
  <si>
    <t>SWITZERLAND</t>
  </si>
  <si>
    <t>THAILAND</t>
  </si>
  <si>
    <t>TURKEY</t>
  </si>
  <si>
    <t>UNITED KINGDOM</t>
  </si>
  <si>
    <t>DividendFrequency</t>
  </si>
  <si>
    <t>DividendType</t>
  </si>
  <si>
    <t>Net div Ind Yield</t>
  </si>
  <si>
    <t>amount to be paid EURO</t>
  </si>
  <si>
    <t>next_est_date</t>
  </si>
  <si>
    <t>6762 JP</t>
  </si>
  <si>
    <t>#N/A Requesting Data...</t>
  </si>
  <si>
    <t>VTSC GR</t>
  </si>
  <si>
    <t>DE000VTSC017</t>
  </si>
  <si>
    <t>7013 JT</t>
  </si>
  <si>
    <t>JP3134800006</t>
  </si>
  <si>
    <t>Vitesco Technologies Group AG</t>
  </si>
  <si>
    <t>IHI Corp</t>
  </si>
  <si>
    <t>PAYABLE-RISK MGT FEES</t>
  </si>
  <si>
    <t>PAYABLE-AUDIT FEES</t>
  </si>
  <si>
    <t>SPIN OFF</t>
  </si>
  <si>
    <t>right sub</t>
  </si>
  <si>
    <t>EUREUR Curncy</t>
  </si>
  <si>
    <t>6502 jp</t>
  </si>
  <si>
    <t>086520 KS</t>
  </si>
  <si>
    <t>4092 jp</t>
  </si>
  <si>
    <t>Grand Total</t>
  </si>
  <si>
    <t>7013 JP</t>
  </si>
  <si>
    <t>3407 JP</t>
  </si>
  <si>
    <t>036830 KS</t>
  </si>
  <si>
    <t>7013 Jp</t>
  </si>
  <si>
    <t>JPY/USD</t>
  </si>
  <si>
    <t>rtg_moody</t>
  </si>
  <si>
    <t>rtg_fitch</t>
  </si>
  <si>
    <t>rtg_sp</t>
  </si>
  <si>
    <t>*=M19</t>
  </si>
  <si>
    <t>*=PosAggregate!E174</t>
  </si>
  <si>
    <t>PAYB CRYSTAL PERFORM FEES</t>
  </si>
  <si>
    <t>PAYAB - PERF FEES</t>
  </si>
  <si>
    <t>5/10/40 Rule%</t>
  </si>
  <si>
    <t>Firm Limit</t>
  </si>
  <si>
    <t>Max 10 % Rule</t>
  </si>
  <si>
    <t>MNOD LI</t>
  </si>
  <si>
    <t>RU</t>
  </si>
  <si>
    <t>Forward Foreign Exchange</t>
  </si>
  <si>
    <t>7-DAY Price check</t>
  </si>
  <si>
    <t>Fund ID BPERE</t>
  </si>
  <si>
    <t xml:space="preserve">SANDFIRE RESSOURCE LTD                                      </t>
  </si>
  <si>
    <t xml:space="preserve">SYRAH RESSOURCES LTD                                        </t>
  </si>
  <si>
    <t xml:space="preserve">NICKEL 28 CAP - REGISTERED SHS                              </t>
  </si>
  <si>
    <t xml:space="preserve">CONTINENTAL AG                                              </t>
  </si>
  <si>
    <t xml:space="preserve">VITESCO TECHNOLOGIES GROUP                                  </t>
  </si>
  <si>
    <t xml:space="preserve">IMERYS SA                                                   </t>
  </si>
  <si>
    <t xml:space="preserve">ERAMET SA                                                   </t>
  </si>
  <si>
    <t xml:space="preserve">RENAULT SA                                                  </t>
  </si>
  <si>
    <t xml:space="preserve">VALEO SA                                                    </t>
  </si>
  <si>
    <t xml:space="preserve">BUSHVELD MINERALS LIMITED                                   </t>
  </si>
  <si>
    <t xml:space="preserve">GLENCORE PLC                                                </t>
  </si>
  <si>
    <t xml:space="preserve">BAIC MOTOR -H- UNITARY 144A/REGS                            </t>
  </si>
  <si>
    <t xml:space="preserve">ASAHI KASEI CORPORATION                                     </t>
  </si>
  <si>
    <t xml:space="preserve">IHI CORP                                                    </t>
  </si>
  <si>
    <t xml:space="preserve">INOUE KINZOKU                                               </t>
  </si>
  <si>
    <t xml:space="preserve">KANTO DENKA KOGYO CO LTD                                    </t>
  </si>
  <si>
    <t xml:space="preserve">KUREHA CORP                                                 </t>
  </si>
  <si>
    <t xml:space="preserve">SANSHA ELECTRIC MANUFACTURING CO                            </t>
  </si>
  <si>
    <t xml:space="preserve">SHOWA DENKO KK                                              </t>
  </si>
  <si>
    <t xml:space="preserve">STELLA CHEMIFA                                              </t>
  </si>
  <si>
    <t xml:space="preserve">SUMITOMO CHEMICAL CO LTD                                    </t>
  </si>
  <si>
    <t xml:space="preserve">SUMITOMO METAL MINING CO LTD                                </t>
  </si>
  <si>
    <t xml:space="preserve">CENTRAL GLASS CO LTD                                        </t>
  </si>
  <si>
    <t xml:space="preserve">TAIHEIYO CEMENT CORP                                        </t>
  </si>
  <si>
    <t xml:space="preserve">TANAKA CHEMICAL CORP                                        </t>
  </si>
  <si>
    <t xml:space="preserve">TDK CORP                                                    </t>
  </si>
  <si>
    <t xml:space="preserve">TEIJIN LTD                                                  </t>
  </si>
  <si>
    <t xml:space="preserve">TOSHIBA CORP                                                </t>
  </si>
  <si>
    <t xml:space="preserve">TODA KOGYO CORP                                             </t>
  </si>
  <si>
    <t xml:space="preserve">NIPPON CARBON CO LTD                                        </t>
  </si>
  <si>
    <t xml:space="preserve">NIPPON CHEMIC.IND.                                          </t>
  </si>
  <si>
    <t xml:space="preserve">NIHON KAGAKU SANGYOREGISTERED SHS                           </t>
  </si>
  <si>
    <t xml:space="preserve">ZEON CORP                                                   </t>
  </si>
  <si>
    <t xml:space="preserve">NIPPON DENKO CO LTD                                         </t>
  </si>
  <si>
    <t xml:space="preserve">SOULBRAIN HOLDINGS CO., LTD.                                </t>
  </si>
  <si>
    <t xml:space="preserve">SFA ENGINEERING                                             </t>
  </si>
  <si>
    <t xml:space="preserve">SNT MOTIV                                                   </t>
  </si>
  <si>
    <t xml:space="preserve">SK INNOVATION CO LTD NON VOTING                             </t>
  </si>
  <si>
    <t xml:space="preserve">ALELION ENERGY                                              </t>
  </si>
  <si>
    <t xml:space="preserve">GRAFTECH INTL                                               </t>
  </si>
  <si>
    <t xml:space="preserve">VOLKSWAGEN AG VORZ.AKT                                      </t>
  </si>
  <si>
    <t xml:space="preserve">SAMSUNG SDI           PFD NON-VOTG                          </t>
  </si>
  <si>
    <t xml:space="preserve">LG CHEMICAL LTD PREF./ISSUE 01                              </t>
  </si>
  <si>
    <t>Bloomberg price</t>
  </si>
  <si>
    <t>EDR Price</t>
  </si>
  <si>
    <t>+/-</t>
  </si>
  <si>
    <t>CCY</t>
  </si>
  <si>
    <t>Amount to be sold LC</t>
  </si>
  <si>
    <t>TOTAL Exposure</t>
  </si>
  <si>
    <t>Diff</t>
  </si>
  <si>
    <t>dif 7 days</t>
  </si>
  <si>
    <t>7-DAY Price check Innactive</t>
  </si>
  <si>
    <t xml:space="preserve">POSCO HOLDINGS INC.                                         </t>
  </si>
  <si>
    <t>Visor</t>
  </si>
  <si>
    <t>Visorxxxxxx</t>
  </si>
  <si>
    <t>VISORBE</t>
  </si>
  <si>
    <t>BCRECH22XXX</t>
  </si>
  <si>
    <t xml:space="preserve">             </t>
  </si>
  <si>
    <t>INSECHZZTRA</t>
  </si>
  <si>
    <t>MGTCBEBEXXX</t>
  </si>
  <si>
    <t>VISORDK</t>
  </si>
  <si>
    <t>VISORFI</t>
  </si>
  <si>
    <t>VISORFR</t>
  </si>
  <si>
    <t>VISORDE</t>
  </si>
  <si>
    <t>SECGDEFFEUR</t>
  </si>
  <si>
    <t>VISORNL</t>
  </si>
  <si>
    <t>NECILN2AXXX</t>
  </si>
  <si>
    <t>VISORNO</t>
  </si>
  <si>
    <t>VISORPL</t>
  </si>
  <si>
    <t>VISORPT</t>
  </si>
  <si>
    <t>VISORES</t>
  </si>
  <si>
    <t>VISORSE</t>
  </si>
  <si>
    <t>ESSESESS</t>
  </si>
  <si>
    <t>VISORCH</t>
  </si>
  <si>
    <t>CH100025</t>
  </si>
  <si>
    <t>UBSWCHZH80A</t>
  </si>
  <si>
    <t>VISORGB</t>
  </si>
  <si>
    <t>O8MAY</t>
  </si>
  <si>
    <t>PARBGB2L</t>
  </si>
  <si>
    <t>VISORIT</t>
  </si>
  <si>
    <t>MOTIPARBITMMXXX6347900</t>
  </si>
  <si>
    <t>PARBITMMXXX</t>
  </si>
  <si>
    <t>VISORAT</t>
  </si>
  <si>
    <t>INGBPLPWXXX</t>
  </si>
  <si>
    <t>OCSD250500</t>
  </si>
  <si>
    <t>VISORJP</t>
  </si>
  <si>
    <t>HSBCJPJT</t>
  </si>
  <si>
    <t>VISORAU</t>
  </si>
  <si>
    <t>2312-0001-11-06</t>
  </si>
  <si>
    <t>CHASAU2XCCS</t>
  </si>
  <si>
    <t>VISORCA</t>
  </si>
  <si>
    <t>SXSF1001002</t>
  </si>
  <si>
    <t>COMO</t>
  </si>
  <si>
    <t>MELNUS3PGSS</t>
  </si>
  <si>
    <t>VISORUS</t>
  </si>
  <si>
    <t>CITIUS33</t>
  </si>
  <si>
    <t>VISORID</t>
  </si>
  <si>
    <t>VISORMY</t>
  </si>
  <si>
    <t>VISORHK</t>
  </si>
  <si>
    <t>511-081911-085</t>
  </si>
  <si>
    <t>VISORSG</t>
  </si>
  <si>
    <t>VISORKR</t>
  </si>
  <si>
    <t>VISORPH</t>
  </si>
  <si>
    <t>POSCO Holdings Inc</t>
  </si>
  <si>
    <r>
      <t xml:space="preserve">DPS </t>
    </r>
    <r>
      <rPr>
        <b/>
        <u/>
        <sz val="10"/>
        <color rgb="FF92D050"/>
        <rFont val="Calibri"/>
        <family val="2"/>
      </rPr>
      <t>NET</t>
    </r>
  </si>
  <si>
    <t>DIV TAX RATES</t>
  </si>
  <si>
    <t>BM</t>
  </si>
  <si>
    <t>KY</t>
  </si>
  <si>
    <t>LU</t>
  </si>
  <si>
    <t>MU</t>
  </si>
  <si>
    <t>ZQ616510 Corp</t>
  </si>
  <si>
    <t>N.A.</t>
  </si>
  <si>
    <t>BH962214 Corp</t>
  </si>
  <si>
    <t>Ba2</t>
  </si>
  <si>
    <t>BB+</t>
  </si>
  <si>
    <t>TAVIRA</t>
  </si>
  <si>
    <t>2019200590B</t>
  </si>
  <si>
    <t>5714 JP</t>
  </si>
  <si>
    <t>JP3638600001</t>
  </si>
  <si>
    <t>Dowa Holdings Co Ltd</t>
  </si>
  <si>
    <t>5711 JP</t>
  </si>
  <si>
    <t>JP3903000002</t>
  </si>
  <si>
    <t>Mitsubishi Materials Corp</t>
  </si>
  <si>
    <t xml:space="preserve">DOWA HOLDINGS CO LTD                                        </t>
  </si>
  <si>
    <t xml:space="preserve">PANASONIC HLDGS --- REGISTERED SHS                          </t>
  </si>
  <si>
    <t xml:space="preserve">MITSUBISHI MATERIAL                                         </t>
  </si>
  <si>
    <t xml:space="preserve">SK INNOVATION                                               </t>
  </si>
  <si>
    <t>Panasonic Holdings Corp</t>
  </si>
  <si>
    <t>Groupe Bruxelles Lambert SA</t>
  </si>
  <si>
    <t>mmc</t>
  </si>
  <si>
    <t>stock div</t>
  </si>
  <si>
    <t>096770 KS</t>
  </si>
  <si>
    <t xml:space="preserve">MMC NORILSK NICADR REPR SHS                                 </t>
  </si>
  <si>
    <t>Subscriptions/Redemptions</t>
  </si>
  <si>
    <t>Trades to settle EUR</t>
  </si>
  <si>
    <t>CASH TO SETTLE</t>
  </si>
  <si>
    <t>Internal Fund ID</t>
  </si>
  <si>
    <t>Fund Name</t>
  </si>
  <si>
    <t>TNA</t>
  </si>
  <si>
    <t>NAV Date</t>
  </si>
  <si>
    <t>Account detail</t>
  </si>
  <si>
    <t>Asset type</t>
  </si>
  <si>
    <t>Sub-Account ID</t>
  </si>
  <si>
    <t>Securities Description</t>
  </si>
  <si>
    <t>BBG</t>
  </si>
  <si>
    <t>Qty</t>
  </si>
  <si>
    <t>Amount in fund CCY</t>
  </si>
  <si>
    <t>Interest in fund CCY</t>
  </si>
  <si>
    <t>Fund CCY</t>
  </si>
  <si>
    <t>Amount in sec. CCY</t>
  </si>
  <si>
    <t>Interest in sec. CCY</t>
  </si>
  <si>
    <t>Securities CCY</t>
  </si>
  <si>
    <t xml:space="preserve">Unrealised in fund </t>
  </si>
  <si>
    <t>Weight</t>
  </si>
  <si>
    <t>FX rate</t>
  </si>
  <si>
    <t>Maturity date</t>
  </si>
  <si>
    <t>Asset class</t>
  </si>
  <si>
    <t>Country</t>
  </si>
  <si>
    <t>Asset held outside BPERE</t>
  </si>
  <si>
    <t>Custodian ID</t>
  </si>
  <si>
    <t>0044755</t>
  </si>
  <si>
    <t>4542</t>
  </si>
  <si>
    <t xml:space="preserve">PHARUS SICAV - ELECTRIC MOBILITY NICHES           </t>
  </si>
  <si>
    <t>Portfolio account</t>
  </si>
  <si>
    <t xml:space="preserve">COUPONS, DIVIDENDS                                </t>
  </si>
  <si>
    <t xml:space="preserve">      </t>
  </si>
  <si>
    <t xml:space="preserve">JP3111200006                                      </t>
  </si>
  <si>
    <t>3407 JT Equity</t>
  </si>
  <si>
    <t>Interest detached and Coupon</t>
  </si>
  <si>
    <t xml:space="preserve">JAPAN                                   </t>
  </si>
  <si>
    <t xml:space="preserve">EDR Europe          </t>
  </si>
  <si>
    <t xml:space="preserve">JP3134800006                                      </t>
  </si>
  <si>
    <t>7013 JT Equity</t>
  </si>
  <si>
    <t xml:space="preserve">JP3147200004                                      </t>
  </si>
  <si>
    <t>6246 JT Equity</t>
  </si>
  <si>
    <t xml:space="preserve">JP3232600001                                      </t>
  </si>
  <si>
    <t>4047 JT Equity</t>
  </si>
  <si>
    <t xml:space="preserve">JP3271600003                                      </t>
  </si>
  <si>
    <t>4023 JT Equity</t>
  </si>
  <si>
    <t xml:space="preserve">JP3332600000                                      </t>
  </si>
  <si>
    <t>6882 JT Equity</t>
  </si>
  <si>
    <t xml:space="preserve">JP3399720006                                      </t>
  </si>
  <si>
    <t>4109 JT Equity</t>
  </si>
  <si>
    <t xml:space="preserve">JP3401400001                                      </t>
  </si>
  <si>
    <t>4005 JT Equity</t>
  </si>
  <si>
    <t xml:space="preserve">JP3402600005                                      </t>
  </si>
  <si>
    <t>5713 JT Equity</t>
  </si>
  <si>
    <t xml:space="preserve">JP3425000001                                      </t>
  </si>
  <si>
    <t>4044 JT Equity</t>
  </si>
  <si>
    <t xml:space="preserve">JP3449020001                                      </t>
  </si>
  <si>
    <t>5233 JT Equity</t>
  </si>
  <si>
    <t xml:space="preserve">JP3538800008                                      </t>
  </si>
  <si>
    <t>6762 JT Equity</t>
  </si>
  <si>
    <t xml:space="preserve">JP3544000007                                      </t>
  </si>
  <si>
    <t>3401 JT Equity</t>
  </si>
  <si>
    <t xml:space="preserve">JP3592200004                                      </t>
  </si>
  <si>
    <t>6502 JT Equity</t>
  </si>
  <si>
    <t xml:space="preserve">JP3691600005                                      </t>
  </si>
  <si>
    <t>4092 JT Equity</t>
  </si>
  <si>
    <t xml:space="preserve">JP3692000007                                      </t>
  </si>
  <si>
    <t>4094 JT Equity</t>
  </si>
  <si>
    <t xml:space="preserve">JP3725400000                                      </t>
  </si>
  <si>
    <t>4205 JT Equity</t>
  </si>
  <si>
    <t xml:space="preserve">JP3866800000                                      </t>
  </si>
  <si>
    <t>6752 JT Equity</t>
  </si>
  <si>
    <t xml:space="preserve">KR7005490008                                      </t>
  </si>
  <si>
    <t>005490 KP Equity</t>
  </si>
  <si>
    <t xml:space="preserve">KOREA, REPUBLIC OF                      </t>
  </si>
  <si>
    <t xml:space="preserve">FORWARD EXCHANGE CONTRACTS                        </t>
  </si>
  <si>
    <t>Forward</t>
  </si>
  <si>
    <t xml:space="preserve">EDMOND DE ROTHSCHILD (EUROPE)                                         </t>
  </si>
  <si>
    <t xml:space="preserve">SECURITIES PORTFOLIO                              </t>
  </si>
  <si>
    <t xml:space="preserve">AU000000SFR8                                      </t>
  </si>
  <si>
    <t>SFR AT Equity</t>
  </si>
  <si>
    <t>ACTION</t>
  </si>
  <si>
    <t xml:space="preserve">AUSTRALIA                               </t>
  </si>
  <si>
    <t xml:space="preserve">AU000000SYR9                                      </t>
  </si>
  <si>
    <t>SYR AT Equity</t>
  </si>
  <si>
    <t xml:space="preserve">CA65401N1078                                      </t>
  </si>
  <si>
    <t>NKL CV Equity</t>
  </si>
  <si>
    <t xml:space="preserve">CANADA                                  </t>
  </si>
  <si>
    <t xml:space="preserve">CNE100001TJ4                                      </t>
  </si>
  <si>
    <t>1958 HK Equity</t>
  </si>
  <si>
    <t xml:space="preserve">CHINA                                   </t>
  </si>
  <si>
    <t xml:space="preserve">DE0005439004                                      </t>
  </si>
  <si>
    <t>CON GY Equity</t>
  </si>
  <si>
    <t xml:space="preserve">GERMANY                                 </t>
  </si>
  <si>
    <t xml:space="preserve">DE0007664039                                      </t>
  </si>
  <si>
    <t>VOW3 GY Equity</t>
  </si>
  <si>
    <t xml:space="preserve">DE000VTSC017                                      </t>
  </si>
  <si>
    <t>VTSC GY Equity</t>
  </si>
  <si>
    <t xml:space="preserve">FR0000120859                                      </t>
  </si>
  <si>
    <t>NK FP Equity</t>
  </si>
  <si>
    <t xml:space="preserve">FRANCE                                  </t>
  </si>
  <si>
    <t xml:space="preserve">FR0000131757                                      </t>
  </si>
  <si>
    <t>ERA FP Equity</t>
  </si>
  <si>
    <t xml:space="preserve">FR0000131906                                      </t>
  </si>
  <si>
    <t>RNO FP Equity</t>
  </si>
  <si>
    <t xml:space="preserve">FR0013176526                                      </t>
  </si>
  <si>
    <t>FR FP Equity</t>
  </si>
  <si>
    <t xml:space="preserve">GG00B4TM3943                                      </t>
  </si>
  <si>
    <t>BMN LN Equity</t>
  </si>
  <si>
    <t xml:space="preserve">LUXEMBOURG                              </t>
  </si>
  <si>
    <t xml:space="preserve">JE00B4T3BW64                                      </t>
  </si>
  <si>
    <t>GLEN LN Equity</t>
  </si>
  <si>
    <t xml:space="preserve">JERSEY                                  </t>
  </si>
  <si>
    <t xml:space="preserve">JP3368000000                                      </t>
  </si>
  <si>
    <t>4004 JT Equity</t>
  </si>
  <si>
    <t xml:space="preserve">JP3468810001                                      </t>
  </si>
  <si>
    <t>4080 JT Equity</t>
  </si>
  <si>
    <t xml:space="preserve">JP3627400009                                      </t>
  </si>
  <si>
    <t>4100 JT Equity</t>
  </si>
  <si>
    <t xml:space="preserve">JP3638600001                                      </t>
  </si>
  <si>
    <t>5714 JT Equity</t>
  </si>
  <si>
    <t xml:space="preserve">JP3690400001                                      </t>
  </si>
  <si>
    <t>5302 JT Equity</t>
  </si>
  <si>
    <t xml:space="preserve">JP3734600004                                      </t>
  </si>
  <si>
    <t>5563 JT Equity</t>
  </si>
  <si>
    <t xml:space="preserve">JP3903000002                                      </t>
  </si>
  <si>
    <t>5711 JT Equity</t>
  </si>
  <si>
    <t xml:space="preserve">KR7006401004                                      </t>
  </si>
  <si>
    <t>006405 KP Equity</t>
  </si>
  <si>
    <t xml:space="preserve">KR7036830008                                      </t>
  </si>
  <si>
    <t>036830 KQ Equity</t>
  </si>
  <si>
    <t xml:space="preserve">KR7051911006                                      </t>
  </si>
  <si>
    <t>051915 KP Equity</t>
  </si>
  <si>
    <t xml:space="preserve">KR7056190002                                      </t>
  </si>
  <si>
    <t>056190 KQ Equity</t>
  </si>
  <si>
    <t xml:space="preserve">KR7064960008                                      </t>
  </si>
  <si>
    <t>064960 KP Equity</t>
  </si>
  <si>
    <t xml:space="preserve">KR7096770003                                      </t>
  </si>
  <si>
    <t>096770 KP Equity</t>
  </si>
  <si>
    <t xml:space="preserve">KR7096771001                                      </t>
  </si>
  <si>
    <t>096775 KP Equity</t>
  </si>
  <si>
    <t xml:space="preserve">SE0008348072                                      </t>
  </si>
  <si>
    <t>ALELIO SS Equity</t>
  </si>
  <si>
    <t xml:space="preserve">US3843135084                                      </t>
  </si>
  <si>
    <t>EAF US Equity</t>
  </si>
  <si>
    <t xml:space="preserve">UNITED STATES                           </t>
  </si>
  <si>
    <t xml:space="preserve">US55315J1025                                      </t>
  </si>
  <si>
    <t>MNOD LI Equity</t>
  </si>
  <si>
    <t xml:space="preserve">RUSSIAN FEDERATION                      </t>
  </si>
  <si>
    <t xml:space="preserve">TREASURY POSITION                                 </t>
  </si>
  <si>
    <t xml:space="preserve">Depr-set-up costs   </t>
  </si>
  <si>
    <t xml:space="preserve">AF101EUR    </t>
  </si>
  <si>
    <t>Fee</t>
  </si>
  <si>
    <t xml:space="preserve">Depositary Bk- EDRE </t>
  </si>
  <si>
    <t xml:space="preserve">BK0Y9EUR    </t>
  </si>
  <si>
    <t>Liquidity</t>
  </si>
  <si>
    <t xml:space="preserve">BK0Y9USD    </t>
  </si>
  <si>
    <t>Inc exp-Set-up costs</t>
  </si>
  <si>
    <t xml:space="preserve">FA101EUR    </t>
  </si>
  <si>
    <t xml:space="preserve">Sup. custody fees   </t>
  </si>
  <si>
    <t xml:space="preserve">FP219EUR    </t>
  </si>
  <si>
    <t>Risk management fees</t>
  </si>
  <si>
    <t xml:space="preserve">FP225EUR    </t>
  </si>
  <si>
    <t xml:space="preserve">Management fees     </t>
  </si>
  <si>
    <t xml:space="preserve">FP301EURC1  </t>
  </si>
  <si>
    <t xml:space="preserve">FP301EURC2  </t>
  </si>
  <si>
    <t xml:space="preserve">FP301EURC7  </t>
  </si>
  <si>
    <t>Marketing Agent Fees</t>
  </si>
  <si>
    <t xml:space="preserve">FP306EUR    </t>
  </si>
  <si>
    <t>Crystal perform fees</t>
  </si>
  <si>
    <t xml:space="preserve">FP402EURC1  </t>
  </si>
  <si>
    <t xml:space="preserve">Audit fees          </t>
  </si>
  <si>
    <t xml:space="preserve">FP501EUR    </t>
  </si>
  <si>
    <t xml:space="preserve">Ucits taxes         </t>
  </si>
  <si>
    <t xml:space="preserve">FP603EURC1  </t>
  </si>
  <si>
    <t xml:space="preserve">FP603EURC2  </t>
  </si>
  <si>
    <t xml:space="preserve">FP603EURC7  </t>
  </si>
  <si>
    <t xml:space="preserve">Global pricing fees </t>
  </si>
  <si>
    <t xml:space="preserve">FP801EUR    </t>
  </si>
  <si>
    <t>Margin deposit- EDRE</t>
  </si>
  <si>
    <t xml:space="preserve">MA0Y9EUR    </t>
  </si>
  <si>
    <t>Payable</t>
  </si>
  <si>
    <t>SECURITIES TABLE</t>
  </si>
  <si>
    <t>Sum of Price</t>
  </si>
  <si>
    <t>Sum of Qty</t>
  </si>
  <si>
    <t>Max of FX rate</t>
  </si>
  <si>
    <t>Dividends/ Coupons</t>
  </si>
  <si>
    <t>FORWARD EUR</t>
  </si>
  <si>
    <t>FORWARD JPY</t>
  </si>
  <si>
    <t>FX Forward Position</t>
  </si>
  <si>
    <t>Payables/Receivables check</t>
  </si>
  <si>
    <t xml:space="preserve">Payable on Security                                         </t>
  </si>
  <si>
    <t xml:space="preserve">Receiv-Security                                             </t>
  </si>
  <si>
    <t xml:space="preserve">Payable on Redempt.                                         </t>
  </si>
  <si>
    <t xml:space="preserve">Receivable-Subscript                                        </t>
  </si>
  <si>
    <t>FX TABLE</t>
  </si>
  <si>
    <t>Hi,</t>
  </si>
  <si>
    <t>Execution instruction</t>
  </si>
  <si>
    <t>Please for EMN:</t>
  </si>
  <si>
    <t xml:space="preserve">BK0Y9JPY    </t>
  </si>
  <si>
    <t>5801 JP</t>
  </si>
  <si>
    <t>JP3827200001</t>
  </si>
  <si>
    <t>Furukawa Electric Co Ltd</t>
  </si>
  <si>
    <t>Massimo Baggiani &lt;massimo.baggiani@nicheam.com&gt;; Andrea Andreis &lt;andrea.andreis@nicheam.com&gt;; risk@nicheam.com; compliance &lt;compliance@nicheam.com&gt;</t>
  </si>
  <si>
    <t xml:space="preserve">FURUKAWA ELECTRIC CO LTD                                    </t>
  </si>
  <si>
    <t xml:space="preserve">JP3827200001                                      </t>
  </si>
  <si>
    <t>5801 JT Equity</t>
  </si>
  <si>
    <t xml:space="preserve">Payable on Redempt. </t>
  </si>
  <si>
    <t xml:space="preserve">PUEUR       </t>
  </si>
  <si>
    <t xml:space="preserve">V/JPY/USD/20220916   VERSE </t>
  </si>
  <si>
    <t>ICAT0001IDU3</t>
  </si>
  <si>
    <t xml:space="preserve">V/JPY/USD/20220916   RECU  </t>
  </si>
  <si>
    <t xml:space="preserve">V/JPY/EUR/20220916   RECU  </t>
  </si>
  <si>
    <t>ICAT0001IDU5</t>
  </si>
  <si>
    <t xml:space="preserve">V/JPY/EUR/20220916   VERSE </t>
  </si>
  <si>
    <t xml:space="preserve">Payable on Forex    </t>
  </si>
  <si>
    <t xml:space="preserve">PXJPY       </t>
  </si>
  <si>
    <t xml:space="preserve">Receivable on Forex </t>
  </si>
  <si>
    <t xml:space="preserve">RXEUR       </t>
  </si>
  <si>
    <t>Receivable</t>
  </si>
  <si>
    <t>wqeqweqwe</t>
  </si>
  <si>
    <t>nnnrthrh</t>
  </si>
  <si>
    <t>retert</t>
  </si>
  <si>
    <t>F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</si>
</sst>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9">
    <numFmt numFmtId="7" formatCode="#,##0.00\ &quot;€&quot;;\-#,##0.00\ &quot;€&quot;"/>
    <numFmt numFmtId="43" formatCode="_-* #,##0.00_-;\-* #,##0.00_-;_-* &quot;-&quot;??_-;_-@_-"/>
    <numFmt numFmtId="164" formatCode="_-* #,##0.00\ _€_-;\-* #,##0.00\ _€_-;_-* &quot;-&quot;??\ _€_-;_-@_-"/>
    <numFmt numFmtId="165" formatCode="&quot;€&quot;#,##0_);\(&quot;€&quot;#,##0\)"/>
    <numFmt numFmtId="166" formatCode="&quot;€&quot;#,##0.00_);\(&quot;€&quot;#,##0.00\)"/>
    <numFmt numFmtId="167" formatCode="_(&quot;€&quot;* #,##0_);_(&quot;€&quot;* \(#,##0\);_(&quot;€&quot;* &quot;-&quot;_);_(@_)"/>
    <numFmt numFmtId="168" formatCode="_(* #,##0.00_);_(* \(#,##0.00\);_(* &quot;-&quot;??_);_(@_)"/>
    <numFmt numFmtId="169" formatCode="&quot;€&quot;\ #,##0.00;\-&quot;€&quot;\ #,##0.00"/>
    <numFmt numFmtId="170" formatCode="0.0"/>
    <numFmt numFmtId="171" formatCode="0.0%"/>
    <numFmt numFmtId="172" formatCode="0.000"/>
    <numFmt numFmtId="173" formatCode="_-* #,##0_-;\-* #,##0_-;_-* &quot;-&quot;??_-;_-@_-"/>
    <numFmt numFmtId="174" formatCode="_(* #,##0_);_(* \(#,##0\);_(* &quot;-&quot;??_);_(@_)"/>
    <numFmt numFmtId="175" formatCode="0.0000"/>
    <numFmt numFmtId="176" formatCode="_-* #,##0.0000_-;\-* #,##0.0000_-;_-* &quot;-&quot;??_-;_-@_-"/>
    <numFmt numFmtId="177" formatCode="[$-409]d\-mmm\-yy;@"/>
    <numFmt numFmtId="178" formatCode="#,##0_ ;\-#,##0\ "/>
    <numFmt numFmtId="179" formatCode="_-* #,##0.0_-;\-* #,##0.0_-;_-* &quot;-&quot;??_-;_-@_-"/>
    <numFmt numFmtId="180" formatCode="d/m/yy;@"/>
    <numFmt numFmtId="181" formatCode="dd/mm/yy;@"/>
    <numFmt numFmtId="182" formatCode="#,##0\ &quot;€&quot;"/>
    <numFmt numFmtId="183" formatCode="&quot;€&quot;\ #,##0"/>
    <numFmt numFmtId="184" formatCode="_-* #,##0.0\ _€_-;\-* #,##0.0\ _€_-;_-* &quot;-&quot;?\ _€_-;_-@_-"/>
    <numFmt numFmtId="185" formatCode="dd/mm/yyyy;@"/>
    <numFmt numFmtId="186" formatCode="hh:mm:ss;@"/>
    <numFmt numFmtId="187" formatCode="[$-F400]h:mm:ss\ AM/PM"/>
    <numFmt numFmtId="188" formatCode="h:mm;@"/>
    <numFmt numFmtId="189" formatCode="#,##0\ _€"/>
    <numFmt numFmtId="190" formatCode="_-* #,##0.000_-;\-* #,##0.000_-;_-* &quot;-&quot;??_-;_-@_-"/>
    <numFmt numFmtId="191" formatCode="h:mm:ss;@"/>
    <numFmt numFmtId="192" formatCode="#,##0.0000"/>
    <numFmt numFmtId="193" formatCode="0.000%"/>
    <numFmt numFmtId="194" formatCode="_-* #,##0\ _€_-;\-* #,##0\ _€_-;_-* &quot;-&quot;??\ _€_-;_-@_-"/>
    <numFmt numFmtId="195" formatCode="_-* #,##0.0000\ _€_-;\-* #,##0.0000\ _€_-;_-* &quot;-&quot;??\ _€_-;_-@_-"/>
    <numFmt numFmtId="196" formatCode="yyyymmdd"/>
    <numFmt numFmtId="197" formatCode="0000000"/>
    <numFmt numFmtId="198" formatCode="#,##0.00\ [$€-408]"/>
    <numFmt numFmtId="199" formatCode="#,##0.000000"/>
    <numFmt numFmtId="200" formatCode="#,##0\ [$€-816]"/>
  </numFmts>
  <fonts count="118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</font>
    <font>
      <b/>
      <i/>
      <sz val="10"/>
      <color indexed="9"/>
      <name val="Calibri"/>
      <family val="2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0.5"/>
      <color theme="1"/>
      <name val="Calibri"/>
      <family val="2"/>
      <scheme val="minor"/>
    </font>
    <font>
      <b/>
      <u val="singleAccounting"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0"/>
      <name val="Calibri"/>
      <family val="2"/>
    </font>
    <font>
      <b/>
      <i/>
      <sz val="13"/>
      <color theme="1"/>
      <name val="Calibri"/>
      <family val="2"/>
      <scheme val="minor"/>
    </font>
    <font>
      <b/>
      <sz val="11"/>
      <color rgb="FF00A44A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i/>
      <sz val="11"/>
      <color theme="3"/>
      <name val="Calibri"/>
      <family val="2"/>
      <scheme val="minor"/>
    </font>
    <font>
      <i/>
      <sz val="11"/>
      <color rgb="FF00A44A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Calibri"/>
      <family val="2"/>
    </font>
    <font>
      <b/>
      <i/>
      <sz val="10"/>
      <color theme="0"/>
      <name val="Calibri"/>
      <family val="2"/>
      <scheme val="minor"/>
    </font>
    <font>
      <b/>
      <u/>
      <sz val="10"/>
      <color theme="0"/>
      <name val="Calibri"/>
      <family val="2"/>
    </font>
    <font>
      <b/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rgb="FF00A44A"/>
      <name val="Calibri"/>
      <family val="2"/>
      <scheme val="minor"/>
    </font>
    <font>
      <sz val="11"/>
      <color rgb="FF00A44A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.5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rgb="FFFF0000"/>
      <name val="Calibri"/>
      <family val="2"/>
      <scheme val="minor"/>
    </font>
    <font>
      <i/>
      <sz val="11"/>
      <color theme="3" tint="0.59999389629810485"/>
      <name val="Calibri"/>
      <family val="2"/>
      <scheme val="minor"/>
    </font>
    <font>
      <sz val="12"/>
      <color rgb="FF222222"/>
      <name val="Arial"/>
      <family val="2"/>
    </font>
    <font>
      <b/>
      <u/>
      <sz val="10"/>
      <color theme="1"/>
      <name val="Calibri"/>
      <family val="2"/>
      <scheme val="minor"/>
    </font>
    <font>
      <i/>
      <sz val="10"/>
      <color theme="4" tint="-0.249977111117893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8"/>
      <name val="Verdana"/>
      <family val="2"/>
    </font>
    <font>
      <b/>
      <i/>
      <u/>
      <sz val="10"/>
      <color rgb="FFFF0000"/>
      <name val="Calibri"/>
      <family val="2"/>
    </font>
    <font>
      <b/>
      <i/>
      <u val="singleAccounting"/>
      <sz val="11"/>
      <name val="Calibri"/>
      <family val="2"/>
      <scheme val="minor"/>
    </font>
    <font>
      <sz val="8"/>
      <name val="Calibri"/>
      <family val="2"/>
      <scheme val="minor"/>
    </font>
    <font>
      <sz val="24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color indexed="9"/>
      <name val="Verdana"/>
      <family val="2"/>
    </font>
    <font>
      <sz val="8"/>
      <color theme="1"/>
      <name val="Verdana"/>
      <family val="2"/>
    </font>
    <font>
      <u/>
      <sz val="8"/>
      <name val="Verdana"/>
      <family val="2"/>
    </font>
    <font>
      <b/>
      <sz val="8"/>
      <name val="Verdana"/>
      <family val="2"/>
    </font>
    <font>
      <b/>
      <sz val="8"/>
      <color theme="1"/>
      <name val="Verdana"/>
      <family val="2"/>
    </font>
    <font>
      <sz val="8"/>
      <color rgb="FFFF0000"/>
      <name val="Verdana"/>
      <family val="2"/>
    </font>
    <font>
      <sz val="13"/>
      <color rgb="FF3A3A3A"/>
      <name val="Inherit"/>
    </font>
    <font>
      <sz val="11"/>
      <color theme="1" tint="0.499984740745262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sz val="10"/>
      <color theme="5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1"/>
      <color indexed="72"/>
      <name val="SansSerif"/>
    </font>
    <font>
      <sz val="11"/>
      <color indexed="72"/>
      <name val="SansSerif"/>
    </font>
    <font>
      <sz val="10"/>
      <color indexed="72"/>
      <name val="SansSerif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charset val="238"/>
    </font>
    <font>
      <sz val="11"/>
      <color rgb="FF000000"/>
      <name val="Calibri"/>
      <family val="2"/>
    </font>
    <font>
      <sz val="8"/>
      <color rgb="FF000000"/>
      <name val="Calibri"/>
      <family val="2"/>
      <scheme val="minor"/>
    </font>
    <font>
      <b/>
      <i/>
      <sz val="8"/>
      <color indexed="9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4"/>
      <color theme="4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theme="4"/>
      <name val="Calibri"/>
      <family val="2"/>
      <scheme val="minor"/>
    </font>
    <font>
      <b/>
      <u/>
      <sz val="10"/>
      <color rgb="FF92D050"/>
      <name val="Calibri"/>
      <family val="2"/>
    </font>
    <font>
      <sz val="12"/>
      <color indexed="9"/>
      <name val="SansSerif"/>
    </font>
    <font>
      <sz val="10"/>
      <color indexed="48"/>
      <name val="SansSerif"/>
    </font>
    <font>
      <b/>
      <sz val="10"/>
      <color theme="0"/>
      <name val="SansSerif"/>
    </font>
    <font>
      <b/>
      <sz val="11"/>
      <color rgb="FF16365C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name val="Calibri"/>
      <family val="2"/>
    </font>
  </fonts>
  <fills count="8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A44A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E2E9E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FFF8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EBFED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8CCE4"/>
        <bgColor rgb="FF000000"/>
      </patternFill>
    </fill>
    <fill>
      <patternFill patternType="solid">
        <fgColor theme="9" tint="0.39997558519241921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6C31"/>
      </left>
      <right/>
      <top style="medium">
        <color rgb="FF006C31"/>
      </top>
      <bottom style="medium">
        <color rgb="FF006C31"/>
      </bottom>
      <diagonal/>
    </border>
    <border>
      <left/>
      <right style="medium">
        <color rgb="FF006C31"/>
      </right>
      <top style="medium">
        <color rgb="FF006C31"/>
      </top>
      <bottom style="medium">
        <color rgb="FF006C3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95B3D7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1743">
    <xf numFmtId="177" fontId="0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" fillId="33" borderId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77" fontId="20" fillId="0" borderId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77" fontId="2" fillId="0" borderId="0"/>
    <xf numFmtId="0" fontId="20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77" fontId="2" fillId="0" borderId="0"/>
    <xf numFmtId="168" fontId="2" fillId="0" borderId="0" applyFont="0" applyFill="0" applyBorder="0" applyAlignment="0" applyProtection="0"/>
    <xf numFmtId="177" fontId="20" fillId="0" borderId="0"/>
    <xf numFmtId="168" fontId="20" fillId="0" borderId="0" applyFont="0" applyFill="0" applyBorder="0" applyAlignment="0" applyProtection="0"/>
    <xf numFmtId="0" fontId="20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2" fillId="0" borderId="0"/>
    <xf numFmtId="0" fontId="2" fillId="0" borderId="0"/>
    <xf numFmtId="0" fontId="96" fillId="0" borderId="0"/>
    <xf numFmtId="0" fontId="20" fillId="0" borderId="0"/>
    <xf numFmtId="0" fontId="20" fillId="0" borderId="0"/>
    <xf numFmtId="0" fontId="9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77" fontId="20" fillId="0" borderId="0"/>
    <xf numFmtId="168" fontId="20" fillId="0" borderId="0" applyFont="0" applyFill="0" applyBorder="0" applyAlignment="0" applyProtection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77" fontId="2" fillId="0" borderId="0"/>
    <xf numFmtId="177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98" fillId="0" borderId="0" applyNumberFormat="0" applyBorder="0" applyAlignment="0"/>
    <xf numFmtId="168" fontId="98" fillId="0" borderId="0" applyFont="0" applyFill="0" applyBorder="0" applyAlignment="0" applyProtection="0"/>
    <xf numFmtId="9" fontId="98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77" fontId="2" fillId="0" borderId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2" fillId="8" borderId="8" applyNumberFormat="0" applyFont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77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2" fillId="8" borderId="8" applyNumberFormat="0" applyFont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2" fillId="0" borderId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101" fillId="0" borderId="0" applyNumberFormat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77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43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7" fontId="2" fillId="0" borderId="0"/>
    <xf numFmtId="43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7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</cellStyleXfs>
  <cellXfs count="1213">
    <xf numFmtId="177" fontId="0" fillId="0" borderId="0" xfId="0"/>
    <xf numFmtId="177" fontId="25" fillId="0" borderId="0" xfId="0" applyFont="1" applyAlignment="1">
      <alignment horizontal="center"/>
    </xf>
    <xf numFmtId="177" fontId="25" fillId="0" borderId="0" xfId="0" applyFont="1"/>
    <xf numFmtId="177" fontId="26" fillId="40" borderId="0" xfId="26" applyFont="1" applyFill="1" applyAlignment="1">
      <alignment horizontal="center" vertical="center" wrapText="1"/>
    </xf>
    <xf numFmtId="177" fontId="30" fillId="40" borderId="0" xfId="26" applyFont="1" applyFill="1" applyAlignment="1">
      <alignment horizontal="center" vertical="center" wrapText="1"/>
    </xf>
    <xf numFmtId="177" fontId="21" fillId="0" borderId="0" xfId="0" applyFont="1" applyAlignment="1">
      <alignment horizontal="center"/>
    </xf>
    <xf numFmtId="177" fontId="25" fillId="42" borderId="0" xfId="0" applyFont="1" applyFill="1"/>
    <xf numFmtId="177" fontId="25" fillId="42" borderId="0" xfId="0" applyFont="1" applyFill="1" applyAlignment="1">
      <alignment wrapText="1"/>
    </xf>
    <xf numFmtId="177" fontId="25" fillId="42" borderId="0" xfId="0" applyFont="1" applyFill="1" applyAlignment="1">
      <alignment horizontal="center"/>
    </xf>
    <xf numFmtId="14" fontId="25" fillId="42" borderId="0" xfId="0" applyNumberFormat="1" applyFont="1" applyFill="1"/>
    <xf numFmtId="177" fontId="24" fillId="42" borderId="0" xfId="0" applyFont="1" applyFill="1" applyAlignment="1">
      <alignment horizontal="center"/>
    </xf>
    <xf numFmtId="172" fontId="25" fillId="42" borderId="0" xfId="0" applyNumberFormat="1" applyFont="1" applyFill="1" applyAlignment="1">
      <alignment horizontal="center"/>
    </xf>
    <xf numFmtId="14" fontId="25" fillId="42" borderId="0" xfId="0" applyNumberFormat="1" applyFont="1" applyFill="1" applyAlignment="1">
      <alignment horizontal="center"/>
    </xf>
    <xf numFmtId="177" fontId="21" fillId="42" borderId="0" xfId="45" applyFont="1" applyFill="1" applyAlignment="1">
      <alignment horizontal="center"/>
    </xf>
    <xf numFmtId="177" fontId="25" fillId="42" borderId="0" xfId="0" applyFont="1" applyFill="1" applyAlignment="1">
      <alignment horizontal="left"/>
    </xf>
    <xf numFmtId="178" fontId="25" fillId="42" borderId="0" xfId="44" applyNumberFormat="1" applyFont="1" applyFill="1" applyAlignment="1">
      <alignment horizontal="center"/>
    </xf>
    <xf numFmtId="173" fontId="25" fillId="42" borderId="0" xfId="44" applyNumberFormat="1" applyFont="1" applyFill="1" applyAlignment="1">
      <alignment horizontal="center"/>
    </xf>
    <xf numFmtId="16" fontId="21" fillId="42" borderId="0" xfId="45" applyNumberFormat="1" applyFont="1" applyFill="1" applyAlignment="1">
      <alignment horizontal="center"/>
    </xf>
    <xf numFmtId="177" fontId="26" fillId="42" borderId="0" xfId="26" applyFont="1" applyFill="1" applyAlignment="1">
      <alignment horizontal="center" vertical="center" wrapText="1"/>
    </xf>
    <xf numFmtId="177" fontId="28" fillId="42" borderId="0" xfId="0" applyFont="1" applyFill="1" applyAlignment="1">
      <alignment horizontal="center"/>
    </xf>
    <xf numFmtId="178" fontId="25" fillId="42" borderId="0" xfId="44" applyNumberFormat="1" applyFont="1" applyFill="1"/>
    <xf numFmtId="173" fontId="20" fillId="42" borderId="0" xfId="44" applyNumberFormat="1" applyFont="1" applyFill="1"/>
    <xf numFmtId="177" fontId="0" fillId="42" borderId="0" xfId="0" applyFill="1"/>
    <xf numFmtId="2" fontId="25" fillId="42" borderId="0" xfId="0" applyNumberFormat="1" applyFont="1" applyFill="1" applyAlignment="1">
      <alignment horizontal="center"/>
    </xf>
    <xf numFmtId="174" fontId="0" fillId="42" borderId="0" xfId="44" applyNumberFormat="1" applyFont="1" applyFill="1"/>
    <xf numFmtId="174" fontId="0" fillId="42" borderId="0" xfId="44" applyNumberFormat="1" applyFont="1" applyFill="1" applyAlignment="1">
      <alignment horizontal="center"/>
    </xf>
    <xf numFmtId="177" fontId="0" fillId="42" borderId="0" xfId="0" applyFill="1" applyAlignment="1">
      <alignment horizontal="center"/>
    </xf>
    <xf numFmtId="177" fontId="39" fillId="42" borderId="0" xfId="0" applyFont="1" applyFill="1" applyAlignment="1">
      <alignment horizontal="right"/>
    </xf>
    <xf numFmtId="177" fontId="39" fillId="42" borderId="0" xfId="44" applyNumberFormat="1" applyFont="1" applyFill="1" applyAlignment="1">
      <alignment horizontal="center"/>
    </xf>
    <xf numFmtId="171" fontId="38" fillId="42" borderId="0" xfId="43" applyNumberFormat="1" applyFont="1" applyFill="1" applyAlignment="1">
      <alignment horizontal="center"/>
    </xf>
    <xf numFmtId="177" fontId="19" fillId="42" borderId="0" xfId="0" applyFont="1" applyFill="1"/>
    <xf numFmtId="177" fontId="22" fillId="42" borderId="0" xfId="0" applyFont="1" applyFill="1"/>
    <xf numFmtId="171" fontId="0" fillId="42" borderId="0" xfId="43" applyNumberFormat="1" applyFont="1" applyFill="1" applyAlignment="1">
      <alignment horizontal="center"/>
    </xf>
    <xf numFmtId="10" fontId="0" fillId="42" borderId="0" xfId="43" applyNumberFormat="1" applyFont="1" applyFill="1" applyAlignment="1">
      <alignment horizontal="center"/>
    </xf>
    <xf numFmtId="177" fontId="38" fillId="42" borderId="0" xfId="0" applyFont="1" applyFill="1"/>
    <xf numFmtId="171" fontId="39" fillId="42" borderId="0" xfId="43" applyNumberFormat="1" applyFont="1" applyFill="1" applyAlignment="1">
      <alignment horizontal="center"/>
    </xf>
    <xf numFmtId="174" fontId="19" fillId="42" borderId="0" xfId="44" applyNumberFormat="1" applyFont="1" applyFill="1" applyAlignment="1">
      <alignment horizontal="center"/>
    </xf>
    <xf numFmtId="14" fontId="0" fillId="42" borderId="0" xfId="44" applyNumberFormat="1" applyFont="1" applyFill="1"/>
    <xf numFmtId="14" fontId="19" fillId="42" borderId="0" xfId="44" applyNumberFormat="1" applyFont="1" applyFill="1"/>
    <xf numFmtId="174" fontId="19" fillId="42" borderId="0" xfId="44" applyNumberFormat="1" applyFont="1" applyFill="1"/>
    <xf numFmtId="173" fontId="25" fillId="37" borderId="10" xfId="0" applyNumberFormat="1" applyFont="1" applyFill="1" applyBorder="1"/>
    <xf numFmtId="177" fontId="30" fillId="45" borderId="0" xfId="26" applyFont="1" applyFill="1" applyAlignment="1">
      <alignment horizontal="center" vertical="center" wrapText="1"/>
    </xf>
    <xf numFmtId="177" fontId="22" fillId="42" borderId="12" xfId="0" applyFont="1" applyFill="1" applyBorder="1"/>
    <xf numFmtId="182" fontId="0" fillId="42" borderId="0" xfId="44" applyNumberFormat="1" applyFont="1" applyFill="1" applyAlignment="1">
      <alignment horizontal="right"/>
    </xf>
    <xf numFmtId="182" fontId="22" fillId="42" borderId="0" xfId="44" applyNumberFormat="1" applyFont="1" applyFill="1" applyAlignment="1">
      <alignment horizontal="right"/>
    </xf>
    <xf numFmtId="182" fontId="0" fillId="42" borderId="0" xfId="43" applyNumberFormat="1" applyFont="1" applyFill="1" applyAlignment="1">
      <alignment horizontal="right"/>
    </xf>
    <xf numFmtId="182" fontId="19" fillId="42" borderId="0" xfId="44" applyNumberFormat="1" applyFont="1" applyFill="1" applyAlignment="1">
      <alignment horizontal="right"/>
    </xf>
    <xf numFmtId="171" fontId="39" fillId="42" borderId="0" xfId="43" applyNumberFormat="1" applyFont="1" applyFill="1" applyAlignment="1">
      <alignment horizontal="right"/>
    </xf>
    <xf numFmtId="167" fontId="19" fillId="42" borderId="0" xfId="44" applyNumberFormat="1" applyFont="1" applyFill="1" applyAlignment="1">
      <alignment horizontal="center"/>
    </xf>
    <xf numFmtId="167" fontId="22" fillId="42" borderId="13" xfId="44" applyNumberFormat="1" applyFont="1" applyFill="1" applyBorder="1" applyAlignment="1">
      <alignment horizontal="center"/>
    </xf>
    <xf numFmtId="173" fontId="0" fillId="42" borderId="0" xfId="44" applyNumberFormat="1" applyFont="1" applyFill="1" applyAlignment="1">
      <alignment horizontal="center"/>
    </xf>
    <xf numFmtId="177" fontId="14" fillId="44" borderId="16" xfId="0" applyFont="1" applyFill="1" applyBorder="1"/>
    <xf numFmtId="0" fontId="25" fillId="42" borderId="0" xfId="0" applyNumberFormat="1" applyFont="1" applyFill="1" applyAlignment="1">
      <alignment horizontal="center"/>
    </xf>
    <xf numFmtId="0" fontId="0" fillId="42" borderId="0" xfId="0" applyNumberFormat="1" applyFill="1" applyAlignment="1">
      <alignment horizontal="center"/>
    </xf>
    <xf numFmtId="173" fontId="0" fillId="42" borderId="0" xfId="44" applyNumberFormat="1" applyFont="1" applyFill="1"/>
    <xf numFmtId="14" fontId="21" fillId="42" borderId="0" xfId="0" applyNumberFormat="1" applyFont="1" applyFill="1" applyAlignment="1">
      <alignment horizontal="center"/>
    </xf>
    <xf numFmtId="0" fontId="25" fillId="42" borderId="0" xfId="0" applyNumberFormat="1" applyFont="1" applyFill="1"/>
    <xf numFmtId="0" fontId="0" fillId="42" borderId="0" xfId="0" applyNumberFormat="1" applyFill="1"/>
    <xf numFmtId="0" fontId="28" fillId="42" borderId="0" xfId="0" applyNumberFormat="1" applyFont="1" applyFill="1" applyAlignment="1">
      <alignment horizontal="center"/>
    </xf>
    <xf numFmtId="0" fontId="25" fillId="42" borderId="0" xfId="0" applyNumberFormat="1" applyFont="1" applyFill="1" applyAlignment="1">
      <alignment horizontal="left"/>
    </xf>
    <xf numFmtId="0" fontId="25" fillId="0" borderId="0" xfId="0" applyNumberFormat="1" applyFont="1"/>
    <xf numFmtId="0" fontId="31" fillId="40" borderId="0" xfId="26" applyNumberFormat="1" applyFont="1" applyFill="1" applyAlignment="1">
      <alignment horizontal="center" vertical="center" wrapText="1"/>
    </xf>
    <xf numFmtId="167" fontId="22" fillId="42" borderId="0" xfId="44" applyNumberFormat="1" applyFont="1" applyFill="1" applyAlignment="1">
      <alignment horizontal="center"/>
    </xf>
    <xf numFmtId="167" fontId="38" fillId="42" borderId="0" xfId="44" applyNumberFormat="1" applyFont="1" applyFill="1" applyAlignment="1">
      <alignment horizontal="center"/>
    </xf>
    <xf numFmtId="174" fontId="22" fillId="42" borderId="0" xfId="44" applyNumberFormat="1" applyFont="1" applyFill="1"/>
    <xf numFmtId="168" fontId="0" fillId="42" borderId="0" xfId="44" applyFont="1" applyFill="1" applyAlignment="1">
      <alignment horizontal="center"/>
    </xf>
    <xf numFmtId="176" fontId="0" fillId="42" borderId="0" xfId="0" applyNumberFormat="1" applyFill="1" applyAlignment="1">
      <alignment horizontal="center"/>
    </xf>
    <xf numFmtId="174" fontId="22" fillId="42" borderId="0" xfId="44" applyNumberFormat="1" applyFont="1" applyFill="1" applyAlignment="1">
      <alignment horizontal="center"/>
    </xf>
    <xf numFmtId="168" fontId="22" fillId="42" borderId="0" xfId="44" applyFont="1" applyFill="1" applyAlignment="1">
      <alignment horizontal="center"/>
    </xf>
    <xf numFmtId="177" fontId="22" fillId="42" borderId="0" xfId="0" applyFont="1" applyFill="1" applyAlignment="1">
      <alignment horizontal="center"/>
    </xf>
    <xf numFmtId="9" fontId="22" fillId="42" borderId="0" xfId="43" applyFont="1" applyFill="1" applyAlignment="1">
      <alignment horizontal="center"/>
    </xf>
    <xf numFmtId="168" fontId="0" fillId="42" borderId="0" xfId="44" applyFont="1" applyFill="1"/>
    <xf numFmtId="168" fontId="0" fillId="42" borderId="0" xfId="0" applyNumberFormat="1" applyFill="1" applyAlignment="1">
      <alignment horizontal="center"/>
    </xf>
    <xf numFmtId="182" fontId="17" fillId="42" borderId="0" xfId="44" applyNumberFormat="1" applyFont="1" applyFill="1" applyAlignment="1">
      <alignment horizontal="right"/>
    </xf>
    <xf numFmtId="174" fontId="37" fillId="42" borderId="0" xfId="44" applyNumberFormat="1" applyFont="1" applyFill="1" applyAlignment="1">
      <alignment horizontal="center"/>
    </xf>
    <xf numFmtId="14" fontId="0" fillId="42" borderId="0" xfId="44" applyNumberFormat="1" applyFont="1" applyFill="1" applyAlignment="1">
      <alignment horizontal="center"/>
    </xf>
    <xf numFmtId="0" fontId="30" fillId="40" borderId="0" xfId="26" applyNumberFormat="1" applyFont="1" applyFill="1" applyAlignment="1">
      <alignment horizontal="center" vertical="center" wrapText="1"/>
    </xf>
    <xf numFmtId="170" fontId="25" fillId="42" borderId="0" xfId="0" applyNumberFormat="1" applyFont="1" applyFill="1"/>
    <xf numFmtId="177" fontId="51" fillId="42" borderId="0" xfId="0" applyFont="1" applyFill="1"/>
    <xf numFmtId="177" fontId="54" fillId="40" borderId="0" xfId="26" applyFont="1" applyFill="1" applyAlignment="1">
      <alignment horizontal="center" vertical="center" wrapText="1"/>
    </xf>
    <xf numFmtId="177" fontId="43" fillId="40" borderId="0" xfId="26" applyFont="1" applyFill="1" applyAlignment="1">
      <alignment horizontal="center" vertical="center" wrapText="1"/>
    </xf>
    <xf numFmtId="0" fontId="43" fillId="40" borderId="0" xfId="26" applyNumberFormat="1" applyFont="1" applyFill="1" applyAlignment="1">
      <alignment horizontal="center" vertical="center" wrapText="1"/>
    </xf>
    <xf numFmtId="177" fontId="43" fillId="42" borderId="0" xfId="26" applyFont="1" applyFill="1" applyAlignment="1">
      <alignment horizontal="center" vertical="center" wrapText="1"/>
    </xf>
    <xf numFmtId="177" fontId="24" fillId="0" borderId="0" xfId="0" applyFont="1" applyAlignment="1">
      <alignment horizontal="center"/>
    </xf>
    <xf numFmtId="14" fontId="0" fillId="42" borderId="0" xfId="0" applyNumberFormat="1" applyFill="1" applyAlignment="1">
      <alignment horizontal="center"/>
    </xf>
    <xf numFmtId="165" fontId="21" fillId="42" borderId="0" xfId="44" applyNumberFormat="1" applyFont="1" applyFill="1" applyAlignment="1">
      <alignment horizontal="center"/>
    </xf>
    <xf numFmtId="166" fontId="0" fillId="42" borderId="0" xfId="0" applyNumberFormat="1" applyFill="1" applyAlignment="1">
      <alignment horizontal="center"/>
    </xf>
    <xf numFmtId="186" fontId="0" fillId="42" borderId="0" xfId="0" applyNumberFormat="1" applyFill="1" applyAlignment="1">
      <alignment horizontal="center"/>
    </xf>
    <xf numFmtId="187" fontId="25" fillId="42" borderId="0" xfId="0" applyNumberFormat="1" applyFont="1" applyFill="1"/>
    <xf numFmtId="187" fontId="25" fillId="42" borderId="0" xfId="44" applyNumberFormat="1" applyFont="1" applyFill="1" applyAlignment="1">
      <alignment horizontal="center"/>
    </xf>
    <xf numFmtId="187" fontId="25" fillId="0" borderId="0" xfId="0" applyNumberFormat="1" applyFont="1"/>
    <xf numFmtId="186" fontId="0" fillId="42" borderId="0" xfId="44" applyNumberFormat="1" applyFont="1" applyFill="1" applyAlignment="1">
      <alignment horizontal="center"/>
    </xf>
    <xf numFmtId="0" fontId="26" fillId="40" borderId="0" xfId="26" applyNumberFormat="1" applyFont="1" applyFill="1" applyAlignment="1">
      <alignment horizontal="center" vertical="center" wrapText="1"/>
    </xf>
    <xf numFmtId="0" fontId="26" fillId="40" borderId="0" xfId="44" applyNumberFormat="1" applyFont="1" applyFill="1" applyAlignment="1">
      <alignment horizontal="center" vertical="center" wrapText="1"/>
    </xf>
    <xf numFmtId="177" fontId="27" fillId="42" borderId="0" xfId="26" applyFont="1" applyFill="1" applyAlignment="1">
      <alignment horizontal="center" vertical="center" wrapText="1"/>
    </xf>
    <xf numFmtId="0" fontId="26" fillId="40" borderId="0" xfId="26" applyNumberFormat="1" applyFont="1" applyFill="1" applyAlignment="1">
      <alignment vertical="center" wrapText="1"/>
    </xf>
    <xf numFmtId="185" fontId="0" fillId="42" borderId="11" xfId="0" applyNumberFormat="1" applyFill="1" applyBorder="1" applyAlignment="1">
      <alignment horizontal="center"/>
    </xf>
    <xf numFmtId="0" fontId="0" fillId="42" borderId="0" xfId="44" applyNumberFormat="1" applyFont="1" applyFill="1" applyAlignment="1">
      <alignment horizontal="center"/>
    </xf>
    <xf numFmtId="0" fontId="0" fillId="42" borderId="0" xfId="0" applyNumberFormat="1" applyFill="1" applyAlignment="1">
      <alignment horizontal="left"/>
    </xf>
    <xf numFmtId="0" fontId="57" fillId="42" borderId="0" xfId="0" applyNumberFormat="1" applyFont="1" applyFill="1" applyAlignment="1">
      <alignment horizontal="left"/>
    </xf>
    <xf numFmtId="0" fontId="0" fillId="0" borderId="0" xfId="0" applyNumberFormat="1"/>
    <xf numFmtId="0" fontId="2" fillId="42" borderId="0" xfId="0" applyNumberFormat="1" applyFont="1" applyFill="1" applyAlignment="1">
      <alignment horizontal="center"/>
    </xf>
    <xf numFmtId="0" fontId="59" fillId="42" borderId="11" xfId="0" applyNumberFormat="1" applyFont="1" applyFill="1" applyBorder="1" applyAlignment="1">
      <alignment horizontal="left"/>
    </xf>
    <xf numFmtId="0" fontId="58" fillId="42" borderId="11" xfId="44" applyNumberFormat="1" applyFont="1" applyFill="1" applyBorder="1" applyAlignment="1">
      <alignment horizontal="center"/>
    </xf>
    <xf numFmtId="0" fontId="58" fillId="42" borderId="11" xfId="0" applyNumberFormat="1" applyFont="1" applyFill="1" applyBorder="1" applyAlignment="1">
      <alignment horizontal="center"/>
    </xf>
    <xf numFmtId="0" fontId="57" fillId="42" borderId="11" xfId="0" applyNumberFormat="1" applyFont="1" applyFill="1" applyBorder="1" applyAlignment="1">
      <alignment horizontal="left"/>
    </xf>
    <xf numFmtId="0" fontId="0" fillId="42" borderId="11" xfId="0" applyNumberFormat="1" applyFill="1" applyBorder="1" applyAlignment="1">
      <alignment horizontal="center"/>
    </xf>
    <xf numFmtId="177" fontId="14" fillId="41" borderId="15" xfId="0" applyFont="1" applyFill="1" applyBorder="1" applyAlignment="1" applyProtection="1">
      <alignment horizontal="center"/>
      <protection locked="0"/>
    </xf>
    <xf numFmtId="173" fontId="14" fillId="41" borderId="15" xfId="44" applyNumberFormat="1" applyFont="1" applyFill="1" applyBorder="1" applyAlignment="1" applyProtection="1">
      <alignment horizontal="center"/>
      <protection locked="0"/>
    </xf>
    <xf numFmtId="177" fontId="14" fillId="44" borderId="15" xfId="0" applyFont="1" applyFill="1" applyBorder="1" applyAlignment="1" applyProtection="1">
      <alignment horizontal="center" wrapText="1"/>
      <protection locked="0"/>
    </xf>
    <xf numFmtId="9" fontId="14" fillId="44" borderId="17" xfId="0" applyNumberFormat="1" applyFont="1" applyFill="1" applyBorder="1" applyAlignment="1" applyProtection="1">
      <alignment horizontal="center"/>
      <protection locked="0"/>
    </xf>
    <xf numFmtId="178" fontId="0" fillId="50" borderId="0" xfId="44" applyNumberFormat="1" applyFont="1" applyFill="1" applyAlignment="1" applyProtection="1">
      <alignment horizontal="center"/>
      <protection locked="0"/>
    </xf>
    <xf numFmtId="177" fontId="14" fillId="44" borderId="15" xfId="0" applyFont="1" applyFill="1" applyBorder="1" applyAlignment="1" applyProtection="1">
      <alignment horizontal="center"/>
      <protection locked="0"/>
    </xf>
    <xf numFmtId="0" fontId="19" fillId="42" borderId="0" xfId="0" applyNumberFormat="1" applyFont="1" applyFill="1"/>
    <xf numFmtId="0" fontId="19" fillId="42" borderId="0" xfId="44" applyNumberFormat="1" applyFont="1" applyFill="1" applyAlignment="1">
      <alignment horizontal="center"/>
    </xf>
    <xf numFmtId="0" fontId="22" fillId="42" borderId="0" xfId="44" applyNumberFormat="1" applyFont="1" applyFill="1" applyAlignment="1">
      <alignment horizontal="center"/>
    </xf>
    <xf numFmtId="0" fontId="51" fillId="42" borderId="0" xfId="0" applyNumberFormat="1" applyFont="1" applyFill="1"/>
    <xf numFmtId="0" fontId="51" fillId="42" borderId="0" xfId="44" applyNumberFormat="1" applyFont="1" applyFill="1" applyAlignment="1">
      <alignment horizontal="center"/>
    </xf>
    <xf numFmtId="177" fontId="54" fillId="40" borderId="23" xfId="26" applyFont="1" applyFill="1" applyBorder="1" applyAlignment="1">
      <alignment horizontal="center" vertical="center" wrapText="1"/>
    </xf>
    <xf numFmtId="177" fontId="26" fillId="40" borderId="23" xfId="26" applyFont="1" applyFill="1" applyBorder="1" applyAlignment="1">
      <alignment horizontal="center" vertical="center" wrapText="1"/>
    </xf>
    <xf numFmtId="177" fontId="30" fillId="40" borderId="23" xfId="26" applyFont="1" applyFill="1" applyBorder="1" applyAlignment="1">
      <alignment horizontal="center" vertical="center" wrapText="1"/>
    </xf>
    <xf numFmtId="177" fontId="31" fillId="40" borderId="25" xfId="26" applyFont="1" applyFill="1" applyBorder="1" applyAlignment="1">
      <alignment horizontal="center" vertical="center" wrapText="1"/>
    </xf>
    <xf numFmtId="177" fontId="21" fillId="42" borderId="23" xfId="45" applyFont="1" applyFill="1" applyBorder="1" applyAlignment="1">
      <alignment horizontal="center"/>
    </xf>
    <xf numFmtId="177" fontId="25" fillId="42" borderId="23" xfId="0" applyFont="1" applyFill="1" applyBorder="1" applyAlignment="1">
      <alignment horizontal="center"/>
    </xf>
    <xf numFmtId="2" fontId="25" fillId="42" borderId="23" xfId="0" applyNumberFormat="1" applyFont="1" applyFill="1" applyBorder="1" applyAlignment="1">
      <alignment horizontal="center"/>
    </xf>
    <xf numFmtId="178" fontId="25" fillId="42" borderId="23" xfId="44" applyNumberFormat="1" applyFont="1" applyFill="1" applyBorder="1" applyAlignment="1">
      <alignment horizontal="center"/>
    </xf>
    <xf numFmtId="16" fontId="21" fillId="42" borderId="23" xfId="45" applyNumberFormat="1" applyFont="1" applyFill="1" applyBorder="1" applyAlignment="1">
      <alignment horizontal="center"/>
    </xf>
    <xf numFmtId="178" fontId="32" fillId="42" borderId="23" xfId="44" applyNumberFormat="1" applyFont="1" applyFill="1" applyBorder="1" applyAlignment="1">
      <alignment horizontal="center"/>
    </xf>
    <xf numFmtId="177" fontId="26" fillId="40" borderId="24" xfId="26" applyFont="1" applyFill="1" applyBorder="1" applyAlignment="1">
      <alignment horizontal="center" vertical="center" wrapText="1"/>
    </xf>
    <xf numFmtId="177" fontId="26" fillId="40" borderId="23" xfId="26" applyFont="1" applyFill="1" applyBorder="1" applyAlignment="1">
      <alignment vertical="center" wrapText="1"/>
    </xf>
    <xf numFmtId="178" fontId="26" fillId="40" borderId="23" xfId="44" applyNumberFormat="1" applyFont="1" applyFill="1" applyBorder="1" applyAlignment="1">
      <alignment horizontal="center" vertical="center" wrapText="1"/>
    </xf>
    <xf numFmtId="0" fontId="31" fillId="40" borderId="23" xfId="26" applyNumberFormat="1" applyFont="1" applyFill="1" applyBorder="1" applyAlignment="1">
      <alignment horizontal="center" vertical="center" wrapText="1"/>
    </xf>
    <xf numFmtId="177" fontId="31" fillId="40" borderId="23" xfId="26" applyFont="1" applyFill="1" applyBorder="1" applyAlignment="1">
      <alignment horizontal="center" vertical="center" wrapText="1"/>
    </xf>
    <xf numFmtId="14" fontId="25" fillId="42" borderId="24" xfId="0" applyNumberFormat="1" applyFont="1" applyFill="1" applyBorder="1" applyAlignment="1">
      <alignment horizontal="center"/>
    </xf>
    <xf numFmtId="14" fontId="25" fillId="42" borderId="23" xfId="0" applyNumberFormat="1" applyFont="1" applyFill="1" applyBorder="1" applyAlignment="1">
      <alignment horizontal="center"/>
    </xf>
    <xf numFmtId="177" fontId="25" fillId="42" borderId="23" xfId="0" applyFont="1" applyFill="1" applyBorder="1"/>
    <xf numFmtId="1" fontId="25" fillId="42" borderId="23" xfId="0" applyNumberFormat="1" applyFont="1" applyFill="1" applyBorder="1"/>
    <xf numFmtId="178" fontId="25" fillId="42" borderId="23" xfId="0" applyNumberFormat="1" applyFont="1" applyFill="1" applyBorder="1" applyAlignment="1">
      <alignment horizontal="center"/>
    </xf>
    <xf numFmtId="0" fontId="25" fillId="42" borderId="23" xfId="0" applyNumberFormat="1" applyFont="1" applyFill="1" applyBorder="1" applyAlignment="1">
      <alignment horizontal="center"/>
    </xf>
    <xf numFmtId="165" fontId="32" fillId="42" borderId="23" xfId="0" applyNumberFormat="1" applyFont="1" applyFill="1" applyBorder="1" applyAlignment="1">
      <alignment horizontal="center"/>
    </xf>
    <xf numFmtId="177" fontId="25" fillId="42" borderId="24" xfId="0" applyFont="1" applyFill="1" applyBorder="1" applyAlignment="1">
      <alignment horizontal="center"/>
    </xf>
    <xf numFmtId="0" fontId="25" fillId="42" borderId="23" xfId="0" applyNumberFormat="1" applyFont="1" applyFill="1" applyBorder="1"/>
    <xf numFmtId="177" fontId="25" fillId="0" borderId="24" xfId="0" applyFont="1" applyBorder="1" applyAlignment="1">
      <alignment horizontal="center"/>
    </xf>
    <xf numFmtId="177" fontId="25" fillId="0" borderId="23" xfId="0" applyFont="1" applyBorder="1" applyAlignment="1">
      <alignment horizontal="center"/>
    </xf>
    <xf numFmtId="177" fontId="25" fillId="0" borderId="23" xfId="0" applyFont="1" applyBorder="1"/>
    <xf numFmtId="0" fontId="25" fillId="0" borderId="23" xfId="0" applyNumberFormat="1" applyFont="1" applyBorder="1"/>
    <xf numFmtId="187" fontId="25" fillId="42" borderId="25" xfId="44" applyNumberFormat="1" applyFont="1" applyFill="1" applyBorder="1" applyAlignment="1">
      <alignment horizontal="center"/>
    </xf>
    <xf numFmtId="187" fontId="25" fillId="42" borderId="25" xfId="0" applyNumberFormat="1" applyFont="1" applyFill="1" applyBorder="1"/>
    <xf numFmtId="187" fontId="25" fillId="0" borderId="25" xfId="0" applyNumberFormat="1" applyFont="1" applyBorder="1"/>
    <xf numFmtId="0" fontId="0" fillId="42" borderId="0" xfId="44" applyNumberFormat="1" applyFont="1" applyFill="1"/>
    <xf numFmtId="0" fontId="59" fillId="42" borderId="11" xfId="44" applyNumberFormat="1" applyFont="1" applyFill="1" applyBorder="1" applyAlignment="1">
      <alignment horizontal="center"/>
    </xf>
    <xf numFmtId="185" fontId="0" fillId="42" borderId="0" xfId="0" applyNumberFormat="1" applyFill="1" applyAlignment="1">
      <alignment horizontal="center"/>
    </xf>
    <xf numFmtId="0" fontId="0" fillId="51" borderId="0" xfId="44" applyNumberFormat="1" applyFont="1" applyFill="1"/>
    <xf numFmtId="0" fontId="60" fillId="51" borderId="0" xfId="0" applyNumberFormat="1" applyFont="1" applyFill="1"/>
    <xf numFmtId="173" fontId="57" fillId="42" borderId="0" xfId="44" applyNumberFormat="1" applyFont="1" applyFill="1"/>
    <xf numFmtId="173" fontId="2" fillId="42" borderId="0" xfId="44" applyNumberFormat="1" applyFill="1"/>
    <xf numFmtId="178" fontId="0" fillId="42" borderId="0" xfId="44" applyNumberFormat="1" applyFont="1" applyFill="1" applyAlignment="1">
      <alignment horizontal="center"/>
    </xf>
    <xf numFmtId="185" fontId="58" fillId="42" borderId="11" xfId="0" applyNumberFormat="1" applyFont="1" applyFill="1" applyBorder="1" applyAlignment="1">
      <alignment horizontal="center"/>
    </xf>
    <xf numFmtId="0" fontId="58" fillId="42" borderId="0" xfId="0" applyNumberFormat="1" applyFont="1" applyFill="1" applyAlignment="1">
      <alignment horizontal="center"/>
    </xf>
    <xf numFmtId="0" fontId="58" fillId="42" borderId="0" xfId="44" applyNumberFormat="1" applyFont="1" applyFill="1" applyAlignment="1">
      <alignment horizontal="center"/>
    </xf>
    <xf numFmtId="0" fontId="17" fillId="42" borderId="0" xfId="44" applyNumberFormat="1" applyFont="1" applyFill="1" applyAlignment="1">
      <alignment horizontal="center"/>
    </xf>
    <xf numFmtId="0" fontId="0" fillId="42" borderId="0" xfId="44" applyNumberFormat="1" applyFont="1" applyFill="1" applyAlignment="1">
      <alignment horizontal="center" vertical="center"/>
    </xf>
    <xf numFmtId="0" fontId="0" fillId="42" borderId="0" xfId="0" applyNumberFormat="1" applyFill="1" applyAlignment="1">
      <alignment horizontal="center" vertical="center"/>
    </xf>
    <xf numFmtId="185" fontId="0" fillId="42" borderId="11" xfId="44" applyNumberFormat="1" applyFont="1" applyFill="1" applyBorder="1" applyAlignment="1">
      <alignment horizontal="center" vertical="center"/>
    </xf>
    <xf numFmtId="189" fontId="0" fillId="42" borderId="0" xfId="44" applyNumberFormat="1" applyFont="1" applyFill="1" applyAlignment="1">
      <alignment horizontal="center" vertical="center"/>
    </xf>
    <xf numFmtId="189" fontId="0" fillId="42" borderId="0" xfId="0" applyNumberFormat="1" applyFill="1" applyAlignment="1">
      <alignment horizontal="center" vertical="center"/>
    </xf>
    <xf numFmtId="173" fontId="48" fillId="42" borderId="0" xfId="44" applyNumberFormat="1" applyFont="1" applyFill="1" applyAlignment="1">
      <alignment horizontal="center"/>
    </xf>
    <xf numFmtId="9" fontId="39" fillId="42" borderId="0" xfId="43" applyFont="1" applyFill="1"/>
    <xf numFmtId="185" fontId="43" fillId="40" borderId="0" xfId="26" applyNumberFormat="1" applyFont="1" applyFill="1" applyAlignment="1">
      <alignment horizontal="center" vertical="center" wrapText="1"/>
    </xf>
    <xf numFmtId="177" fontId="27" fillId="40" borderId="0" xfId="26" applyFont="1" applyFill="1" applyAlignment="1">
      <alignment horizontal="center" vertical="center" wrapText="1"/>
    </xf>
    <xf numFmtId="9" fontId="39" fillId="42" borderId="0" xfId="43" applyFont="1" applyFill="1" applyAlignment="1">
      <alignment horizontal="center"/>
    </xf>
    <xf numFmtId="173" fontId="14" fillId="44" borderId="16" xfId="44" applyNumberFormat="1" applyFont="1" applyFill="1" applyBorder="1"/>
    <xf numFmtId="190" fontId="62" fillId="42" borderId="0" xfId="44" applyNumberFormat="1" applyFont="1" applyFill="1"/>
    <xf numFmtId="173" fontId="18" fillId="52" borderId="0" xfId="44" applyNumberFormat="1" applyFont="1" applyFill="1"/>
    <xf numFmtId="9" fontId="39" fillId="53" borderId="0" xfId="43" applyFont="1" applyFill="1" applyAlignment="1">
      <alignment horizontal="center"/>
    </xf>
    <xf numFmtId="173" fontId="0" fillId="49" borderId="0" xfId="44" applyNumberFormat="1" applyFont="1" applyFill="1"/>
    <xf numFmtId="9" fontId="39" fillId="49" borderId="0" xfId="43" applyFont="1" applyFill="1" applyAlignment="1">
      <alignment horizontal="center"/>
    </xf>
    <xf numFmtId="190" fontId="18" fillId="52" borderId="0" xfId="44" applyNumberFormat="1" applyFont="1" applyFill="1"/>
    <xf numFmtId="9" fontId="61" fillId="42" borderId="0" xfId="43" applyFont="1" applyFill="1" applyAlignment="1">
      <alignment horizontal="right"/>
    </xf>
    <xf numFmtId="176" fontId="62" fillId="42" borderId="0" xfId="44" applyNumberFormat="1" applyFont="1" applyFill="1"/>
    <xf numFmtId="173" fontId="48" fillId="42" borderId="26" xfId="44" applyNumberFormat="1" applyFont="1" applyFill="1" applyBorder="1" applyAlignment="1">
      <alignment horizontal="center"/>
    </xf>
    <xf numFmtId="177" fontId="14" fillId="44" borderId="16" xfId="0" applyFont="1" applyFill="1" applyBorder="1" applyAlignment="1">
      <alignment horizontal="center"/>
    </xf>
    <xf numFmtId="185" fontId="25" fillId="42" borderId="0" xfId="44" applyNumberFormat="1" applyFont="1" applyFill="1" applyAlignment="1">
      <alignment horizontal="center"/>
    </xf>
    <xf numFmtId="177" fontId="63" fillId="42" borderId="0" xfId="0" applyFont="1" applyFill="1"/>
    <xf numFmtId="173" fontId="2" fillId="42" borderId="0" xfId="44" applyNumberFormat="1" applyFill="1" applyAlignment="1">
      <alignment horizontal="center"/>
    </xf>
    <xf numFmtId="173" fontId="19" fillId="42" borderId="0" xfId="44" applyNumberFormat="1" applyFont="1" applyFill="1"/>
    <xf numFmtId="173" fontId="2" fillId="42" borderId="0" xfId="44" applyNumberFormat="1" applyFill="1" applyAlignment="1">
      <alignment horizontal="center" vertical="center"/>
    </xf>
    <xf numFmtId="173" fontId="0" fillId="42" borderId="11" xfId="44" applyNumberFormat="1" applyFont="1" applyFill="1" applyBorder="1" applyAlignment="1">
      <alignment horizontal="center" vertical="center"/>
    </xf>
    <xf numFmtId="190" fontId="19" fillId="42" borderId="0" xfId="44" applyNumberFormat="1" applyFont="1" applyFill="1"/>
    <xf numFmtId="177" fontId="14" fillId="52" borderId="0" xfId="0" applyFont="1" applyFill="1"/>
    <xf numFmtId="173" fontId="14" fillId="52" borderId="0" xfId="44" applyNumberFormat="1" applyFont="1" applyFill="1"/>
    <xf numFmtId="177" fontId="0" fillId="39" borderId="0" xfId="0" applyFill="1" applyAlignment="1" applyProtection="1">
      <alignment horizontal="center"/>
      <protection locked="0"/>
    </xf>
    <xf numFmtId="177" fontId="0" fillId="42" borderId="0" xfId="0" applyFill="1" applyAlignment="1" applyProtection="1">
      <alignment horizontal="center"/>
      <protection locked="0"/>
    </xf>
    <xf numFmtId="177" fontId="0" fillId="42" borderId="0" xfId="0" applyFill="1" applyProtection="1">
      <protection locked="0"/>
    </xf>
    <xf numFmtId="173" fontId="0" fillId="48" borderId="0" xfId="44" applyNumberFormat="1" applyFont="1" applyFill="1"/>
    <xf numFmtId="185" fontId="0" fillId="53" borderId="11" xfId="0" applyNumberFormat="1" applyFill="1" applyBorder="1" applyAlignment="1">
      <alignment horizontal="center" vertical="center"/>
    </xf>
    <xf numFmtId="0" fontId="58" fillId="53" borderId="11" xfId="0" applyNumberFormat="1" applyFont="1" applyFill="1" applyBorder="1" applyAlignment="1">
      <alignment horizontal="center" vertical="center"/>
    </xf>
    <xf numFmtId="0" fontId="0" fillId="53" borderId="0" xfId="0" applyNumberFormat="1" applyFill="1" applyAlignment="1">
      <alignment horizontal="center" vertical="center"/>
    </xf>
    <xf numFmtId="0" fontId="2" fillId="53" borderId="0" xfId="0" applyNumberFormat="1" applyFont="1" applyFill="1" applyAlignment="1">
      <alignment horizontal="center" vertical="center"/>
    </xf>
    <xf numFmtId="173" fontId="0" fillId="53" borderId="0" xfId="44" applyNumberFormat="1" applyFont="1" applyFill="1" applyAlignment="1">
      <alignment horizontal="center" vertical="center"/>
    </xf>
    <xf numFmtId="189" fontId="0" fillId="53" borderId="0" xfId="0" applyNumberFormat="1" applyFill="1" applyAlignment="1">
      <alignment horizontal="center" vertical="center"/>
    </xf>
    <xf numFmtId="173" fontId="17" fillId="53" borderId="0" xfId="44" applyNumberFormat="1" applyFont="1" applyFill="1" applyAlignment="1">
      <alignment horizontal="center" vertical="center"/>
    </xf>
    <xf numFmtId="173" fontId="14" fillId="44" borderId="16" xfId="44" applyNumberFormat="1" applyFont="1" applyFill="1" applyBorder="1" applyProtection="1">
      <protection locked="0"/>
    </xf>
    <xf numFmtId="185" fontId="14" fillId="44" borderId="16" xfId="44" applyNumberFormat="1" applyFont="1" applyFill="1" applyBorder="1" applyProtection="1">
      <protection locked="0"/>
    </xf>
    <xf numFmtId="177" fontId="25" fillId="42" borderId="0" xfId="0" quotePrefix="1" applyFont="1" applyFill="1"/>
    <xf numFmtId="0" fontId="64" fillId="42" borderId="0" xfId="0" applyNumberFormat="1" applyFont="1" applyFill="1"/>
    <xf numFmtId="2" fontId="25" fillId="0" borderId="0" xfId="0" applyNumberFormat="1" applyFont="1" applyAlignment="1">
      <alignment horizontal="center"/>
    </xf>
    <xf numFmtId="177" fontId="0" fillId="42" borderId="0" xfId="0" quotePrefix="1" applyFill="1" applyProtection="1">
      <protection locked="0"/>
    </xf>
    <xf numFmtId="2" fontId="21" fillId="42" borderId="0" xfId="0" applyNumberFormat="1" applyFont="1" applyFill="1" applyAlignment="1">
      <alignment horizontal="center"/>
    </xf>
    <xf numFmtId="177" fontId="2" fillId="42" borderId="0" xfId="49" applyFill="1" applyAlignment="1">
      <alignment horizontal="center"/>
    </xf>
    <xf numFmtId="177" fontId="2" fillId="42" borderId="0" xfId="49" applyFill="1"/>
    <xf numFmtId="0" fontId="25" fillId="42" borderId="0" xfId="49" applyNumberFormat="1" applyFont="1" applyFill="1" applyAlignment="1">
      <alignment horizontal="left"/>
    </xf>
    <xf numFmtId="0" fontId="25" fillId="42" borderId="0" xfId="49" applyNumberFormat="1" applyFont="1" applyFill="1" applyAlignment="1">
      <alignment horizontal="center"/>
    </xf>
    <xf numFmtId="177" fontId="45" fillId="42" borderId="0" xfId="49" applyFont="1" applyFill="1"/>
    <xf numFmtId="0" fontId="2" fillId="0" borderId="0" xfId="49" applyNumberFormat="1"/>
    <xf numFmtId="177" fontId="2" fillId="53" borderId="0" xfId="49" applyFill="1" applyAlignment="1">
      <alignment horizontal="center" vertical="center"/>
    </xf>
    <xf numFmtId="185" fontId="25" fillId="53" borderId="0" xfId="49" applyNumberFormat="1" applyFont="1" applyFill="1" applyAlignment="1">
      <alignment horizontal="center"/>
    </xf>
    <xf numFmtId="0" fontId="25" fillId="53" borderId="0" xfId="49" applyNumberFormat="1" applyFont="1" applyFill="1" applyAlignment="1">
      <alignment horizontal="center"/>
    </xf>
    <xf numFmtId="177" fontId="2" fillId="42" borderId="26" xfId="49" applyFill="1" applyBorder="1"/>
    <xf numFmtId="177" fontId="48" fillId="42" borderId="26" xfId="49" applyFont="1" applyFill="1" applyBorder="1" applyAlignment="1">
      <alignment horizontal="center"/>
    </xf>
    <xf numFmtId="177" fontId="2" fillId="42" borderId="26" xfId="49" applyFill="1" applyBorder="1" applyAlignment="1">
      <alignment horizontal="right"/>
    </xf>
    <xf numFmtId="177" fontId="48" fillId="42" borderId="0" xfId="49" applyFont="1" applyFill="1" applyAlignment="1">
      <alignment horizontal="center"/>
    </xf>
    <xf numFmtId="177" fontId="2" fillId="42" borderId="0" xfId="49" applyFill="1" applyAlignment="1">
      <alignment horizontal="right"/>
    </xf>
    <xf numFmtId="177" fontId="14" fillId="44" borderId="16" xfId="49" applyFont="1" applyFill="1" applyBorder="1" applyAlignment="1">
      <alignment horizontal="center"/>
    </xf>
    <xf numFmtId="177" fontId="0" fillId="42" borderId="0" xfId="49" applyFont="1" applyFill="1"/>
    <xf numFmtId="185" fontId="2" fillId="42" borderId="0" xfId="49" applyNumberFormat="1" applyFill="1"/>
    <xf numFmtId="2" fontId="2" fillId="42" borderId="0" xfId="49" applyNumberFormat="1" applyFill="1" applyAlignment="1">
      <alignment horizontal="center" vertical="center"/>
    </xf>
    <xf numFmtId="175" fontId="2" fillId="42" borderId="0" xfId="49" applyNumberFormat="1" applyFill="1" applyAlignment="1">
      <alignment horizontal="center" vertical="center"/>
    </xf>
    <xf numFmtId="177" fontId="14" fillId="44" borderId="16" xfId="49" applyFont="1" applyFill="1" applyBorder="1"/>
    <xf numFmtId="177" fontId="61" fillId="42" borderId="0" xfId="49" applyFont="1" applyFill="1"/>
    <xf numFmtId="2" fontId="2" fillId="42" borderId="0" xfId="49" applyNumberFormat="1" applyFill="1"/>
    <xf numFmtId="177" fontId="62" fillId="42" borderId="0" xfId="49" applyFont="1" applyFill="1"/>
    <xf numFmtId="177" fontId="18" fillId="52" borderId="0" xfId="49" applyFont="1" applyFill="1"/>
    <xf numFmtId="2" fontId="0" fillId="42" borderId="0" xfId="49" applyNumberFormat="1" applyFont="1" applyFill="1"/>
    <xf numFmtId="2" fontId="2" fillId="42" borderId="0" xfId="49" applyNumberFormat="1" applyFill="1" applyAlignment="1">
      <alignment horizontal="center"/>
    </xf>
    <xf numFmtId="172" fontId="2" fillId="42" borderId="0" xfId="49" applyNumberFormat="1" applyFill="1" applyAlignment="1">
      <alignment horizontal="center"/>
    </xf>
    <xf numFmtId="185" fontId="25" fillId="42" borderId="0" xfId="49" applyNumberFormat="1" applyFont="1" applyFill="1" applyAlignment="1">
      <alignment horizontal="center"/>
    </xf>
    <xf numFmtId="177" fontId="2" fillId="49" borderId="0" xfId="49" applyFill="1"/>
    <xf numFmtId="185" fontId="25" fillId="49" borderId="0" xfId="49" applyNumberFormat="1" applyFont="1" applyFill="1" applyAlignment="1">
      <alignment horizontal="center"/>
    </xf>
    <xf numFmtId="0" fontId="25" fillId="49" borderId="0" xfId="49" applyNumberFormat="1" applyFont="1" applyFill="1" applyAlignment="1">
      <alignment horizontal="center"/>
    </xf>
    <xf numFmtId="0" fontId="2" fillId="49" borderId="0" xfId="49" applyNumberFormat="1" applyFill="1"/>
    <xf numFmtId="177" fontId="0" fillId="0" borderId="0" xfId="0" applyAlignment="1">
      <alignment wrapText="1"/>
    </xf>
    <xf numFmtId="0" fontId="0" fillId="0" borderId="0" xfId="44" applyNumberFormat="1" applyFont="1"/>
    <xf numFmtId="0" fontId="25" fillId="39" borderId="23" xfId="0" applyNumberFormat="1" applyFont="1" applyFill="1" applyBorder="1" applyAlignment="1">
      <alignment horizontal="center"/>
    </xf>
    <xf numFmtId="14" fontId="0" fillId="42" borderId="0" xfId="44" quotePrefix="1" applyNumberFormat="1" applyFont="1" applyFill="1" applyAlignment="1">
      <alignment horizontal="center"/>
    </xf>
    <xf numFmtId="173" fontId="69" fillId="42" borderId="0" xfId="44" applyNumberFormat="1" applyFont="1" applyFill="1"/>
    <xf numFmtId="173" fontId="69" fillId="42" borderId="0" xfId="44" applyNumberFormat="1" applyFont="1" applyFill="1" applyAlignment="1">
      <alignment horizontal="center"/>
    </xf>
    <xf numFmtId="177" fontId="0" fillId="39" borderId="0" xfId="0" applyFill="1" applyAlignment="1">
      <alignment horizontal="center"/>
    </xf>
    <xf numFmtId="177" fontId="0" fillId="39" borderId="0" xfId="0" applyFill="1"/>
    <xf numFmtId="177" fontId="30" fillId="34" borderId="0" xfId="26" applyFont="1" applyFill="1" applyAlignment="1">
      <alignment horizontal="center" vertical="center" wrapText="1"/>
    </xf>
    <xf numFmtId="177" fontId="65" fillId="42" borderId="0" xfId="0" applyFont="1" applyFill="1" applyAlignment="1">
      <alignment horizontal="center"/>
    </xf>
    <xf numFmtId="177" fontId="0" fillId="42" borderId="0" xfId="0" applyFill="1" applyAlignment="1">
      <alignment horizontal="center"/>
    </xf>
    <xf numFmtId="188" fontId="40" fillId="0" borderId="0" xfId="26" applyNumberFormat="1" applyFont="1" applyFill="1" applyAlignment="1">
      <alignment horizontal="center" vertical="center" wrapText="1"/>
    </xf>
    <xf numFmtId="177" fontId="2" fillId="42" borderId="11" xfId="49" applyFill="1" applyBorder="1"/>
    <xf numFmtId="173" fontId="21" fillId="42" borderId="0" xfId="44" applyNumberFormat="1" applyFont="1" applyFill="1" applyAlignment="1">
      <alignment horizontal="center"/>
    </xf>
    <xf numFmtId="192" fontId="25" fillId="53" borderId="0" xfId="49" applyNumberFormat="1" applyFont="1" applyFill="1" applyAlignment="1">
      <alignment horizontal="center"/>
    </xf>
    <xf numFmtId="173" fontId="0" fillId="53" borderId="0" xfId="44" applyNumberFormat="1" applyFont="1" applyFill="1" applyAlignment="1">
      <alignment horizontal="center"/>
    </xf>
    <xf numFmtId="185" fontId="2" fillId="53" borderId="0" xfId="49" applyNumberFormat="1" applyFill="1" applyAlignment="1">
      <alignment horizontal="center"/>
    </xf>
    <xf numFmtId="177" fontId="2" fillId="53" borderId="0" xfId="49" applyFill="1" applyAlignment="1">
      <alignment horizontal="center"/>
    </xf>
    <xf numFmtId="9" fontId="63" fillId="42" borderId="0" xfId="43" applyFont="1" applyFill="1" applyAlignment="1">
      <alignment horizontal="center"/>
    </xf>
    <xf numFmtId="9" fontId="2" fillId="42" borderId="0" xfId="43" applyFill="1"/>
    <xf numFmtId="2" fontId="25" fillId="39" borderId="0" xfId="0" applyNumberFormat="1" applyFont="1" applyFill="1" applyAlignment="1">
      <alignment horizontal="center"/>
    </xf>
    <xf numFmtId="178" fontId="25" fillId="39" borderId="0" xfId="44" applyNumberFormat="1" applyFont="1" applyFill="1" applyAlignment="1">
      <alignment horizontal="center"/>
    </xf>
    <xf numFmtId="14" fontId="21" fillId="39" borderId="0" xfId="0" applyNumberFormat="1" applyFont="1" applyFill="1" applyAlignment="1">
      <alignment horizontal="center"/>
    </xf>
    <xf numFmtId="177" fontId="25" fillId="39" borderId="0" xfId="0" applyFont="1" applyFill="1" applyAlignment="1">
      <alignment horizontal="center"/>
    </xf>
    <xf numFmtId="0" fontId="0" fillId="39" borderId="0" xfId="0" applyNumberFormat="1" applyFill="1" applyAlignment="1">
      <alignment horizontal="center"/>
    </xf>
    <xf numFmtId="165" fontId="21" fillId="39" borderId="0" xfId="44" applyNumberFormat="1" applyFont="1" applyFill="1" applyAlignment="1">
      <alignment horizontal="center"/>
    </xf>
    <xf numFmtId="14" fontId="0" fillId="39" borderId="0" xfId="0" applyNumberFormat="1" applyFill="1" applyAlignment="1">
      <alignment horizontal="center"/>
    </xf>
    <xf numFmtId="177" fontId="21" fillId="39" borderId="0" xfId="45" applyFont="1" applyFill="1" applyAlignment="1">
      <alignment horizontal="center"/>
    </xf>
    <xf numFmtId="186" fontId="0" fillId="39" borderId="0" xfId="44" applyNumberFormat="1" applyFont="1" applyFill="1" applyAlignment="1">
      <alignment horizontal="center"/>
    </xf>
    <xf numFmtId="1" fontId="14" fillId="41" borderId="15" xfId="0" applyNumberFormat="1" applyFont="1" applyFill="1" applyBorder="1" applyAlignment="1" applyProtection="1">
      <alignment horizontal="center"/>
      <protection locked="0"/>
    </xf>
    <xf numFmtId="166" fontId="0" fillId="39" borderId="0" xfId="0" applyNumberFormat="1" applyFill="1" applyAlignment="1">
      <alignment horizontal="center"/>
    </xf>
    <xf numFmtId="186" fontId="0" fillId="39" borderId="0" xfId="0" applyNumberFormat="1" applyFill="1" applyAlignment="1">
      <alignment horizontal="center"/>
    </xf>
    <xf numFmtId="2" fontId="0" fillId="48" borderId="0" xfId="0" applyNumberFormat="1" applyFill="1" applyAlignment="1">
      <alignment horizontal="center"/>
    </xf>
    <xf numFmtId="0" fontId="51" fillId="42" borderId="0" xfId="0" applyNumberFormat="1" applyFont="1" applyFill="1" applyAlignment="1">
      <alignment horizontal="left"/>
    </xf>
    <xf numFmtId="177" fontId="0" fillId="0" borderId="0" xfId="0" applyAlignment="1">
      <alignment horizontal="center"/>
    </xf>
    <xf numFmtId="2" fontId="0" fillId="0" borderId="0" xfId="0" applyNumberFormat="1"/>
    <xf numFmtId="178" fontId="0" fillId="58" borderId="0" xfId="44" applyNumberFormat="1" applyFont="1" applyFill="1" applyAlignment="1">
      <alignment horizontal="center"/>
    </xf>
    <xf numFmtId="173" fontId="28" fillId="42" borderId="0" xfId="44" applyNumberFormat="1" applyFont="1" applyFill="1" applyAlignment="1">
      <alignment horizontal="center"/>
    </xf>
    <xf numFmtId="0" fontId="21" fillId="42" borderId="11" xfId="49" applyNumberFormat="1" applyFont="1" applyFill="1" applyBorder="1" applyAlignment="1">
      <alignment horizontal="left"/>
    </xf>
    <xf numFmtId="173" fontId="21" fillId="42" borderId="11" xfId="44" applyNumberFormat="1" applyFont="1" applyFill="1" applyBorder="1" applyAlignment="1">
      <alignment horizontal="center"/>
    </xf>
    <xf numFmtId="173" fontId="25" fillId="42" borderId="11" xfId="44" applyNumberFormat="1" applyFont="1" applyFill="1" applyBorder="1" applyAlignment="1">
      <alignment horizontal="center"/>
    </xf>
    <xf numFmtId="173" fontId="25" fillId="37" borderId="0" xfId="0" applyNumberFormat="1" applyFont="1" applyFill="1"/>
    <xf numFmtId="173" fontId="73" fillId="42" borderId="0" xfId="0" applyNumberFormat="1" applyFont="1" applyFill="1" applyAlignment="1">
      <alignment horizontal="center"/>
    </xf>
    <xf numFmtId="177" fontId="17" fillId="0" borderId="0" xfId="0" applyFont="1" applyAlignment="1">
      <alignment wrapText="1"/>
    </xf>
    <xf numFmtId="177" fontId="0" fillId="0" borderId="33" xfId="0" applyBorder="1"/>
    <xf numFmtId="1" fontId="74" fillId="0" borderId="0" xfId="0" applyNumberFormat="1" applyFont="1" applyAlignment="1">
      <alignment horizontal="center"/>
    </xf>
    <xf numFmtId="169" fontId="0" fillId="42" borderId="0" xfId="0" applyNumberFormat="1" applyFill="1" applyAlignment="1">
      <alignment horizontal="center"/>
    </xf>
    <xf numFmtId="177" fontId="25" fillId="0" borderId="0" xfId="0" applyFont="1" applyFill="1" applyAlignment="1">
      <alignment horizontal="center"/>
    </xf>
    <xf numFmtId="22" fontId="0" fillId="42" borderId="0" xfId="0" applyNumberFormat="1" applyFill="1" applyAlignment="1">
      <alignment horizontal="center"/>
    </xf>
    <xf numFmtId="171" fontId="2" fillId="42" borderId="0" xfId="43" applyNumberFormat="1" applyFill="1"/>
    <xf numFmtId="173" fontId="63" fillId="49" borderId="0" xfId="44" applyNumberFormat="1" applyFont="1" applyFill="1"/>
    <xf numFmtId="168" fontId="2" fillId="42" borderId="0" xfId="44" applyFill="1"/>
    <xf numFmtId="173" fontId="76" fillId="42" borderId="0" xfId="44" applyNumberFormat="1" applyFont="1" applyFill="1"/>
    <xf numFmtId="173" fontId="25" fillId="42" borderId="0" xfId="43" applyNumberFormat="1" applyFont="1" applyFill="1" applyAlignment="1">
      <alignment horizontal="center"/>
    </xf>
    <xf numFmtId="177" fontId="0" fillId="42" borderId="0" xfId="0" applyFill="1" applyAlignment="1">
      <alignment horizontal="center"/>
    </xf>
    <xf numFmtId="177" fontId="6" fillId="42" borderId="0" xfId="0" applyFont="1" applyFill="1"/>
    <xf numFmtId="167" fontId="22" fillId="60" borderId="0" xfId="44" applyNumberFormat="1" applyFont="1" applyFill="1" applyAlignment="1">
      <alignment horizontal="center"/>
    </xf>
    <xf numFmtId="9" fontId="19" fillId="0" borderId="0" xfId="43" applyFont="1" applyAlignment="1">
      <alignment horizontal="center"/>
    </xf>
    <xf numFmtId="177" fontId="79" fillId="45" borderId="11" xfId="0" applyFont="1" applyFill="1" applyBorder="1" applyAlignment="1">
      <alignment horizontal="center" vertical="center" wrapText="1"/>
    </xf>
    <xf numFmtId="177" fontId="18" fillId="45" borderId="11" xfId="0" applyFont="1" applyFill="1" applyBorder="1" applyAlignment="1">
      <alignment horizontal="center" vertical="center" wrapText="1"/>
    </xf>
    <xf numFmtId="172" fontId="18" fillId="45" borderId="0" xfId="0" applyNumberFormat="1" applyFont="1" applyFill="1" applyAlignment="1">
      <alignment horizontal="center" vertical="center" wrapText="1"/>
    </xf>
    <xf numFmtId="172" fontId="18" fillId="45" borderId="11" xfId="0" applyNumberFormat="1" applyFont="1" applyFill="1" applyBorder="1" applyAlignment="1">
      <alignment horizontal="center" vertical="center" wrapText="1"/>
    </xf>
    <xf numFmtId="177" fontId="18" fillId="45" borderId="0" xfId="0" applyFont="1" applyFill="1" applyAlignment="1">
      <alignment horizontal="center" vertical="center" wrapText="1"/>
    </xf>
    <xf numFmtId="177" fontId="79" fillId="36" borderId="11" xfId="0" applyFont="1" applyFill="1" applyBorder="1" applyAlignment="1">
      <alignment horizontal="center" vertical="center" wrapText="1"/>
    </xf>
    <xf numFmtId="177" fontId="79" fillId="36" borderId="0" xfId="0" applyFont="1" applyFill="1" applyAlignment="1">
      <alignment horizontal="center" vertical="center" wrapText="1"/>
    </xf>
    <xf numFmtId="10" fontId="79" fillId="36" borderId="0" xfId="43" applyNumberFormat="1" applyFont="1" applyFill="1" applyAlignment="1">
      <alignment horizontal="center" vertical="center" wrapText="1"/>
    </xf>
    <xf numFmtId="10" fontId="22" fillId="0" borderId="0" xfId="0" applyNumberFormat="1" applyFont="1"/>
    <xf numFmtId="2" fontId="19" fillId="0" borderId="0" xfId="0" applyNumberFormat="1" applyFont="1"/>
    <xf numFmtId="172" fontId="19" fillId="0" borderId="0" xfId="0" applyNumberFormat="1" applyFont="1" applyAlignment="1">
      <alignment horizontal="center"/>
    </xf>
    <xf numFmtId="1" fontId="19" fillId="0" borderId="0" xfId="0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77" fontId="19" fillId="0" borderId="0" xfId="0" applyFont="1" applyAlignment="1">
      <alignment horizontal="center"/>
    </xf>
    <xf numFmtId="195" fontId="19" fillId="0" borderId="0" xfId="60" applyNumberFormat="1" applyFont="1"/>
    <xf numFmtId="164" fontId="19" fillId="0" borderId="0" xfId="60" applyFont="1" applyAlignment="1">
      <alignment horizontal="right" vertical="center"/>
    </xf>
    <xf numFmtId="171" fontId="19" fillId="0" borderId="0" xfId="43" applyNumberFormat="1" applyFont="1" applyAlignment="1">
      <alignment horizontal="center" vertical="center"/>
    </xf>
    <xf numFmtId="10" fontId="22" fillId="0" borderId="0" xfId="43" applyNumberFormat="1" applyFont="1" applyAlignment="1">
      <alignment horizontal="center"/>
    </xf>
    <xf numFmtId="177" fontId="19" fillId="0" borderId="0" xfId="0" applyFont="1"/>
    <xf numFmtId="177" fontId="0" fillId="58" borderId="0" xfId="0" applyFill="1"/>
    <xf numFmtId="177" fontId="0" fillId="0" borderId="0" xfId="0" applyAlignment="1">
      <alignment vertical="center"/>
    </xf>
    <xf numFmtId="177" fontId="19" fillId="0" borderId="11" xfId="0" applyFont="1" applyBorder="1" applyAlignment="1">
      <alignment horizontal="center"/>
    </xf>
    <xf numFmtId="195" fontId="19" fillId="0" borderId="11" xfId="60" applyNumberFormat="1" applyFont="1" applyBorder="1"/>
    <xf numFmtId="164" fontId="19" fillId="0" borderId="11" xfId="60" applyFont="1" applyBorder="1" applyAlignment="1">
      <alignment horizontal="right" vertical="center"/>
    </xf>
    <xf numFmtId="171" fontId="19" fillId="0" borderId="11" xfId="43" applyNumberFormat="1" applyFont="1" applyBorder="1" applyAlignment="1">
      <alignment horizontal="center" vertical="center"/>
    </xf>
    <xf numFmtId="10" fontId="22" fillId="0" borderId="11" xfId="43" applyNumberFormat="1" applyFont="1" applyBorder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77" fontId="74" fillId="0" borderId="0" xfId="0" applyFont="1" applyAlignment="1">
      <alignment horizontal="center"/>
    </xf>
    <xf numFmtId="177" fontId="80" fillId="62" borderId="0" xfId="0" applyFont="1" applyFill="1" applyAlignment="1">
      <alignment horizontal="center" vertical="center"/>
    </xf>
    <xf numFmtId="0" fontId="74" fillId="0" borderId="0" xfId="50" applyFont="1" applyAlignment="1">
      <alignment horizontal="center"/>
    </xf>
    <xf numFmtId="177" fontId="81" fillId="0" borderId="0" xfId="0" applyFont="1" applyAlignment="1">
      <alignment horizontal="center"/>
    </xf>
    <xf numFmtId="0" fontId="80" fillId="62" borderId="0" xfId="61" applyFont="1" applyFill="1" applyAlignment="1">
      <alignment horizontal="center" vertical="center"/>
    </xf>
    <xf numFmtId="0" fontId="74" fillId="39" borderId="0" xfId="62" applyFont="1" applyFill="1" applyAlignment="1">
      <alignment horizontal="center"/>
    </xf>
    <xf numFmtId="0" fontId="82" fillId="39" borderId="0" xfId="62" applyFont="1" applyFill="1" applyAlignment="1">
      <alignment horizontal="center"/>
    </xf>
    <xf numFmtId="0" fontId="81" fillId="39" borderId="0" xfId="62" applyFont="1" applyFill="1" applyAlignment="1">
      <alignment horizontal="center"/>
    </xf>
    <xf numFmtId="0" fontId="74" fillId="39" borderId="34" xfId="62" applyFont="1" applyFill="1" applyBorder="1" applyAlignment="1">
      <alignment horizontal="center"/>
    </xf>
    <xf numFmtId="0" fontId="81" fillId="39" borderId="34" xfId="62" applyFont="1" applyFill="1" applyBorder="1" applyAlignment="1">
      <alignment horizontal="center"/>
    </xf>
    <xf numFmtId="0" fontId="74" fillId="39" borderId="35" xfId="62" applyFont="1" applyFill="1" applyBorder="1" applyAlignment="1">
      <alignment horizontal="center"/>
    </xf>
    <xf numFmtId="177" fontId="21" fillId="0" borderId="23" xfId="45" applyFont="1" applyFill="1" applyBorder="1" applyAlignment="1">
      <alignment horizontal="center"/>
    </xf>
    <xf numFmtId="196" fontId="74" fillId="63" borderId="0" xfId="0" applyNumberFormat="1" applyFont="1" applyFill="1" applyAlignment="1">
      <alignment horizontal="center" vertical="center"/>
    </xf>
    <xf numFmtId="177" fontId="74" fillId="63" borderId="0" xfId="0" applyFont="1" applyFill="1" applyAlignment="1">
      <alignment horizontal="center" vertical="center"/>
    </xf>
    <xf numFmtId="177" fontId="80" fillId="47" borderId="0" xfId="0" applyFont="1" applyFill="1" applyAlignment="1">
      <alignment horizontal="center" vertical="center"/>
    </xf>
    <xf numFmtId="0" fontId="74" fillId="48" borderId="0" xfId="50" applyFont="1" applyFill="1" applyAlignment="1">
      <alignment horizontal="center"/>
    </xf>
    <xf numFmtId="196" fontId="74" fillId="63" borderId="0" xfId="0" applyNumberFormat="1" applyFont="1" applyFill="1" applyAlignment="1">
      <alignment horizontal="center"/>
    </xf>
    <xf numFmtId="14" fontId="74" fillId="63" borderId="0" xfId="0" applyNumberFormat="1" applyFont="1" applyFill="1" applyAlignment="1">
      <alignment horizontal="center"/>
    </xf>
    <xf numFmtId="177" fontId="74" fillId="48" borderId="0" xfId="0" applyFont="1" applyFill="1" applyAlignment="1">
      <alignment horizontal="center"/>
    </xf>
    <xf numFmtId="2" fontId="74" fillId="63" borderId="0" xfId="0" applyNumberFormat="1" applyFont="1" applyFill="1" applyAlignment="1">
      <alignment horizontal="center"/>
    </xf>
    <xf numFmtId="0" fontId="74" fillId="48" borderId="0" xfId="0" applyNumberFormat="1" applyFont="1" applyFill="1" applyAlignment="1">
      <alignment horizontal="center"/>
    </xf>
    <xf numFmtId="0" fontId="74" fillId="63" borderId="0" xfId="0" applyNumberFormat="1" applyFont="1" applyFill="1" applyAlignment="1">
      <alignment horizontal="center"/>
    </xf>
    <xf numFmtId="1" fontId="74" fillId="47" borderId="0" xfId="0" applyNumberFormat="1" applyFont="1" applyFill="1" applyAlignment="1">
      <alignment horizontal="center"/>
    </xf>
    <xf numFmtId="197" fontId="74" fillId="47" borderId="0" xfId="0" applyNumberFormat="1" applyFont="1" applyFill="1" applyAlignment="1">
      <alignment horizontal="center"/>
    </xf>
    <xf numFmtId="177" fontId="74" fillId="47" borderId="0" xfId="0" applyFont="1" applyFill="1" applyAlignment="1">
      <alignment horizontal="center"/>
    </xf>
    <xf numFmtId="0" fontId="74" fillId="0" borderId="0" xfId="0" applyNumberFormat="1" applyFont="1" applyAlignment="1">
      <alignment horizontal="center"/>
    </xf>
    <xf numFmtId="0" fontId="28" fillId="0" borderId="0" xfId="0" applyNumberFormat="1" applyFont="1"/>
    <xf numFmtId="0" fontId="74" fillId="39" borderId="0" xfId="62" applyFont="1" applyFill="1" applyBorder="1" applyAlignment="1">
      <alignment horizontal="center"/>
    </xf>
    <xf numFmtId="0" fontId="74" fillId="0" borderId="0" xfId="62" applyFont="1" applyFill="1" applyAlignment="1">
      <alignment horizontal="center"/>
    </xf>
    <xf numFmtId="0" fontId="74" fillId="0" borderId="0" xfId="50" applyFont="1" applyFill="1" applyAlignment="1">
      <alignment horizontal="center"/>
    </xf>
    <xf numFmtId="0" fontId="81" fillId="0" borderId="0" xfId="62" applyFont="1" applyFill="1" applyAlignment="1">
      <alignment horizontal="center"/>
    </xf>
    <xf numFmtId="0" fontId="74" fillId="0" borderId="34" xfId="62" applyFont="1" applyFill="1" applyBorder="1" applyAlignment="1">
      <alignment horizontal="center"/>
    </xf>
    <xf numFmtId="0" fontId="83" fillId="0" borderId="0" xfId="50" applyFont="1" applyFill="1" applyAlignment="1">
      <alignment horizontal="center"/>
    </xf>
    <xf numFmtId="0" fontId="84" fillId="0" borderId="0" xfId="62" applyFont="1" applyFill="1" applyAlignment="1">
      <alignment horizontal="center"/>
    </xf>
    <xf numFmtId="0" fontId="83" fillId="0" borderId="0" xfId="62" applyFont="1" applyFill="1" applyAlignment="1">
      <alignment horizontal="center"/>
    </xf>
    <xf numFmtId="1" fontId="74" fillId="0" borderId="34" xfId="62" applyNumberFormat="1" applyFont="1" applyFill="1" applyBorder="1" applyAlignment="1">
      <alignment horizontal="center"/>
    </xf>
    <xf numFmtId="0" fontId="74" fillId="0" borderId="35" xfId="62" applyFont="1" applyFill="1" applyBorder="1" applyAlignment="1">
      <alignment horizontal="center"/>
    </xf>
    <xf numFmtId="49" fontId="74" fillId="0" borderId="35" xfId="62" applyNumberFormat="1" applyFont="1" applyFill="1" applyBorder="1" applyAlignment="1">
      <alignment horizontal="center"/>
    </xf>
    <xf numFmtId="177" fontId="74" fillId="0" borderId="0" xfId="0" applyFont="1" applyFill="1" applyAlignment="1">
      <alignment horizontal="center"/>
    </xf>
    <xf numFmtId="0" fontId="74" fillId="0" borderId="0" xfId="62" applyNumberFormat="1" applyFont="1" applyFill="1" applyAlignment="1">
      <alignment horizontal="center"/>
    </xf>
    <xf numFmtId="0" fontId="74" fillId="0" borderId="0" xfId="0" applyNumberFormat="1" applyFont="1" applyFill="1" applyAlignment="1">
      <alignment horizontal="center"/>
    </xf>
    <xf numFmtId="177" fontId="83" fillId="0" borderId="0" xfId="0" applyFont="1" applyFill="1" applyAlignment="1">
      <alignment horizontal="center"/>
    </xf>
    <xf numFmtId="0" fontId="80" fillId="62" borderId="0" xfId="61" applyNumberFormat="1" applyFont="1" applyFill="1" applyAlignment="1">
      <alignment horizontal="center" vertical="center"/>
    </xf>
    <xf numFmtId="0" fontId="81" fillId="0" borderId="0" xfId="62" applyNumberFormat="1" applyFont="1" applyFill="1" applyAlignment="1">
      <alignment horizontal="center"/>
    </xf>
    <xf numFmtId="0" fontId="74" fillId="0" borderId="34" xfId="62" applyNumberFormat="1" applyFont="1" applyFill="1" applyBorder="1" applyAlignment="1">
      <alignment horizontal="center"/>
    </xf>
    <xf numFmtId="0" fontId="74" fillId="0" borderId="0" xfId="50" applyNumberFormat="1" applyFont="1" applyFill="1" applyAlignment="1">
      <alignment horizontal="center"/>
    </xf>
    <xf numFmtId="0" fontId="81" fillId="0" borderId="0" xfId="0" applyNumberFormat="1" applyFont="1" applyFill="1" applyAlignment="1">
      <alignment horizontal="center"/>
    </xf>
    <xf numFmtId="177" fontId="74" fillId="48" borderId="0" xfId="0" applyFont="1" applyFill="1" applyAlignment="1">
      <alignment horizontal="center" vertical="center"/>
    </xf>
    <xf numFmtId="0" fontId="85" fillId="0" borderId="0" xfId="0" applyNumberFormat="1" applyFont="1" applyAlignment="1">
      <alignment horizontal="center"/>
    </xf>
    <xf numFmtId="0" fontId="28" fillId="39" borderId="0" xfId="0" applyNumberFormat="1" applyFont="1" applyFill="1"/>
    <xf numFmtId="177" fontId="0" fillId="42" borderId="0" xfId="0" applyFill="1" applyAlignment="1">
      <alignment horizontal="center"/>
    </xf>
    <xf numFmtId="0" fontId="28" fillId="0" borderId="0" xfId="0" applyNumberFormat="1" applyFont="1" applyFill="1"/>
    <xf numFmtId="177" fontId="86" fillId="0" borderId="0" xfId="0" applyFont="1" applyAlignment="1">
      <alignment horizontal="left" vertical="center" indent="2"/>
    </xf>
    <xf numFmtId="177" fontId="0" fillId="42" borderId="0" xfId="0" applyFill="1" applyAlignment="1">
      <alignment horizontal="center"/>
    </xf>
    <xf numFmtId="0" fontId="17" fillId="42" borderId="0" xfId="0" applyNumberFormat="1" applyFont="1" applyFill="1" applyAlignment="1">
      <alignment horizontal="center"/>
    </xf>
    <xf numFmtId="177" fontId="0" fillId="47" borderId="0" xfId="0" applyFill="1"/>
    <xf numFmtId="181" fontId="0" fillId="0" borderId="0" xfId="0" applyNumberFormat="1"/>
    <xf numFmtId="168" fontId="0" fillId="0" borderId="0" xfId="44" applyFont="1"/>
    <xf numFmtId="10" fontId="0" fillId="0" borderId="0" xfId="44" applyNumberFormat="1" applyFont="1"/>
    <xf numFmtId="177" fontId="2" fillId="49" borderId="0" xfId="49" applyFill="1" applyAlignment="1">
      <alignment horizontal="center" vertical="center"/>
    </xf>
    <xf numFmtId="192" fontId="25" fillId="49" borderId="0" xfId="49" applyNumberFormat="1" applyFont="1" applyFill="1" applyAlignment="1">
      <alignment horizontal="center"/>
    </xf>
    <xf numFmtId="173" fontId="0" fillId="49" borderId="0" xfId="44" applyNumberFormat="1" applyFont="1" applyFill="1" applyAlignment="1">
      <alignment horizontal="center"/>
    </xf>
    <xf numFmtId="185" fontId="2" fillId="49" borderId="0" xfId="49" applyNumberFormat="1" applyFill="1" applyAlignment="1">
      <alignment horizontal="center"/>
    </xf>
    <xf numFmtId="177" fontId="2" fillId="49" borderId="0" xfId="49" applyFill="1" applyAlignment="1">
      <alignment horizontal="center"/>
    </xf>
    <xf numFmtId="177" fontId="17" fillId="35" borderId="0" xfId="0" applyFont="1" applyFill="1"/>
    <xf numFmtId="177" fontId="14" fillId="64" borderId="0" xfId="0" applyFont="1" applyFill="1"/>
    <xf numFmtId="177" fontId="17" fillId="65" borderId="27" xfId="0" applyFont="1" applyFill="1" applyBorder="1"/>
    <xf numFmtId="0" fontId="28" fillId="66" borderId="0" xfId="0" applyNumberFormat="1" applyFont="1" applyFill="1"/>
    <xf numFmtId="177" fontId="0" fillId="66" borderId="0" xfId="0" applyFill="1"/>
    <xf numFmtId="0" fontId="74" fillId="66" borderId="0" xfId="50" applyFont="1" applyFill="1" applyAlignment="1">
      <alignment horizontal="center"/>
    </xf>
    <xf numFmtId="196" fontId="74" fillId="66" borderId="0" xfId="0" applyNumberFormat="1" applyFont="1" applyFill="1" applyAlignment="1">
      <alignment horizontal="center"/>
    </xf>
    <xf numFmtId="14" fontId="74" fillId="66" borderId="0" xfId="0" applyNumberFormat="1" applyFont="1" applyFill="1" applyAlignment="1">
      <alignment horizontal="center"/>
    </xf>
    <xf numFmtId="177" fontId="74" fillId="66" borderId="0" xfId="0" applyFont="1" applyFill="1" applyAlignment="1">
      <alignment horizontal="center"/>
    </xf>
    <xf numFmtId="2" fontId="74" fillId="66" borderId="0" xfId="0" applyNumberFormat="1" applyFont="1" applyFill="1" applyAlignment="1">
      <alignment horizontal="center"/>
    </xf>
    <xf numFmtId="0" fontId="74" fillId="66" borderId="0" xfId="0" applyNumberFormat="1" applyFont="1" applyFill="1" applyAlignment="1">
      <alignment horizontal="center"/>
    </xf>
    <xf numFmtId="1" fontId="74" fillId="66" borderId="0" xfId="0" applyNumberFormat="1" applyFont="1" applyFill="1" applyAlignment="1">
      <alignment horizontal="center"/>
    </xf>
    <xf numFmtId="197" fontId="74" fillId="66" borderId="0" xfId="0" applyNumberFormat="1" applyFont="1" applyFill="1" applyAlignment="1">
      <alignment horizontal="center"/>
    </xf>
    <xf numFmtId="0" fontId="85" fillId="66" borderId="0" xfId="0" applyNumberFormat="1" applyFont="1" applyFill="1" applyAlignment="1">
      <alignment horizontal="center"/>
    </xf>
    <xf numFmtId="0" fontId="28" fillId="48" borderId="0" xfId="0" applyNumberFormat="1" applyFont="1" applyFill="1"/>
    <xf numFmtId="177" fontId="0" fillId="42" borderId="0" xfId="0" applyFill="1" applyAlignment="1">
      <alignment horizontal="center"/>
    </xf>
    <xf numFmtId="188" fontId="25" fillId="0" borderId="0" xfId="0" applyNumberFormat="1" applyFont="1" applyFill="1"/>
    <xf numFmtId="177" fontId="15" fillId="0" borderId="0" xfId="0" applyFont="1"/>
    <xf numFmtId="2" fontId="15" fillId="0" borderId="0" xfId="0" applyNumberFormat="1" applyFont="1"/>
    <xf numFmtId="10" fontId="0" fillId="0" borderId="0" xfId="43" applyNumberFormat="1" applyFont="1"/>
    <xf numFmtId="0" fontId="21" fillId="0" borderId="0" xfId="0" applyNumberFormat="1" applyFont="1" applyFill="1"/>
    <xf numFmtId="0" fontId="34" fillId="0" borderId="0" xfId="0" applyNumberFormat="1" applyFont="1" applyFill="1"/>
    <xf numFmtId="0" fontId="74" fillId="39" borderId="0" xfId="0" applyNumberFormat="1" applyFont="1" applyFill="1" applyAlignment="1">
      <alignment horizontal="center"/>
    </xf>
    <xf numFmtId="0" fontId="74" fillId="0" borderId="0" xfId="50" applyNumberFormat="1" applyFont="1" applyAlignment="1">
      <alignment horizontal="center"/>
    </xf>
    <xf numFmtId="0" fontId="74" fillId="0" borderId="0" xfId="0" quotePrefix="1" applyNumberFormat="1" applyFont="1" applyAlignment="1">
      <alignment horizontal="center"/>
    </xf>
    <xf numFmtId="0" fontId="81" fillId="0" borderId="0" xfId="0" applyNumberFormat="1" applyFont="1" applyAlignment="1">
      <alignment horizontal="center"/>
    </xf>
    <xf numFmtId="0" fontId="85" fillId="0" borderId="0" xfId="0" quotePrefix="1" applyNumberFormat="1" applyFont="1" applyAlignment="1">
      <alignment horizontal="center"/>
    </xf>
    <xf numFmtId="0" fontId="74" fillId="39" borderId="34" xfId="0" applyNumberFormat="1" applyFont="1" applyFill="1" applyBorder="1" applyAlignment="1">
      <alignment horizontal="center"/>
    </xf>
    <xf numFmtId="0" fontId="74" fillId="0" borderId="34" xfId="0" applyNumberFormat="1" applyFont="1" applyBorder="1" applyAlignment="1">
      <alignment horizontal="center"/>
    </xf>
    <xf numFmtId="0" fontId="74" fillId="39" borderId="11" xfId="62" applyFont="1" applyFill="1" applyBorder="1" applyAlignment="1">
      <alignment horizontal="center"/>
    </xf>
    <xf numFmtId="177" fontId="74" fillId="0" borderId="11" xfId="0" applyFont="1" applyFill="1" applyBorder="1" applyAlignment="1">
      <alignment horizontal="center"/>
    </xf>
    <xf numFmtId="0" fontId="74" fillId="0" borderId="11" xfId="50" applyFont="1" applyFill="1" applyBorder="1" applyAlignment="1">
      <alignment horizontal="center"/>
    </xf>
    <xf numFmtId="0" fontId="74" fillId="0" borderId="11" xfId="0" applyNumberFormat="1" applyFont="1" applyFill="1" applyBorder="1" applyAlignment="1">
      <alignment horizontal="center"/>
    </xf>
    <xf numFmtId="0" fontId="74" fillId="0" borderId="11" xfId="50" applyNumberFormat="1" applyFont="1" applyFill="1" applyBorder="1" applyAlignment="1">
      <alignment horizontal="center"/>
    </xf>
    <xf numFmtId="177" fontId="0" fillId="0" borderId="11" xfId="0" applyBorder="1"/>
    <xf numFmtId="2" fontId="0" fillId="42" borderId="0" xfId="0" applyNumberFormat="1" applyFill="1"/>
    <xf numFmtId="0" fontId="34" fillId="47" borderId="0" xfId="0" applyNumberFormat="1" applyFont="1" applyFill="1"/>
    <xf numFmtId="177" fontId="0" fillId="42" borderId="0" xfId="0" applyFill="1" applyAlignment="1">
      <alignment horizontal="center"/>
    </xf>
    <xf numFmtId="177" fontId="17" fillId="0" borderId="0" xfId="0" applyFont="1"/>
    <xf numFmtId="2" fontId="17" fillId="0" borderId="0" xfId="0" applyNumberFormat="1" applyFont="1"/>
    <xf numFmtId="177" fontId="17" fillId="39" borderId="0" xfId="0" applyFont="1" applyFill="1"/>
    <xf numFmtId="2" fontId="17" fillId="39" borderId="0" xfId="0" applyNumberFormat="1" applyFont="1" applyFill="1"/>
    <xf numFmtId="2" fontId="51" fillId="0" borderId="0" xfId="0" applyNumberFormat="1" applyFont="1"/>
    <xf numFmtId="177" fontId="0" fillId="42" borderId="0" xfId="0" applyFill="1" applyAlignment="1">
      <alignment horizontal="center"/>
    </xf>
    <xf numFmtId="173" fontId="51" fillId="42" borderId="0" xfId="44" applyNumberFormat="1" applyFont="1" applyFill="1"/>
    <xf numFmtId="0" fontId="91" fillId="47" borderId="0" xfId="0" applyNumberFormat="1" applyFont="1" applyFill="1" applyBorder="1" applyAlignment="1">
      <alignment horizontal="center" wrapText="1"/>
    </xf>
    <xf numFmtId="177" fontId="0" fillId="0" borderId="0" xfId="0" applyFont="1"/>
    <xf numFmtId="0" fontId="92" fillId="0" borderId="0" xfId="0" applyNumberFormat="1" applyFont="1" applyAlignment="1">
      <alignment horizontal="left" vertical="center" wrapText="1"/>
    </xf>
    <xf numFmtId="2" fontId="0" fillId="0" borderId="0" xfId="0" applyNumberFormat="1" applyFont="1"/>
    <xf numFmtId="0" fontId="0" fillId="0" borderId="0" xfId="0" applyNumberFormat="1" applyFont="1"/>
    <xf numFmtId="0" fontId="74" fillId="0" borderId="0" xfId="50" quotePrefix="1" applyNumberFormat="1" applyFont="1" applyFill="1" applyAlignment="1">
      <alignment horizontal="center"/>
    </xf>
    <xf numFmtId="0" fontId="93" fillId="0" borderId="0" xfId="0" applyNumberFormat="1" applyFont="1" applyAlignment="1">
      <alignment horizontal="left" vertical="center" wrapText="1"/>
    </xf>
    <xf numFmtId="0" fontId="34" fillId="48" borderId="0" xfId="0" applyNumberFormat="1" applyFont="1" applyFill="1"/>
    <xf numFmtId="177" fontId="0" fillId="48" borderId="0" xfId="0" applyFill="1"/>
    <xf numFmtId="196" fontId="74" fillId="48" borderId="0" xfId="0" applyNumberFormat="1" applyFont="1" applyFill="1" applyAlignment="1">
      <alignment horizontal="center"/>
    </xf>
    <xf numFmtId="14" fontId="74" fillId="48" borderId="0" xfId="0" applyNumberFormat="1" applyFont="1" applyFill="1" applyAlignment="1">
      <alignment horizontal="center"/>
    </xf>
    <xf numFmtId="2" fontId="74" fillId="48" borderId="0" xfId="0" applyNumberFormat="1" applyFont="1" applyFill="1" applyAlignment="1">
      <alignment horizontal="center"/>
    </xf>
    <xf numFmtId="1" fontId="74" fillId="48" borderId="0" xfId="0" applyNumberFormat="1" applyFont="1" applyFill="1" applyAlignment="1">
      <alignment horizontal="center"/>
    </xf>
    <xf numFmtId="197" fontId="74" fillId="48" borderId="0" xfId="0" applyNumberFormat="1" applyFont="1" applyFill="1" applyAlignment="1">
      <alignment horizontal="center"/>
    </xf>
    <xf numFmtId="177" fontId="0" fillId="42" borderId="0" xfId="0" applyFill="1" applyAlignment="1">
      <alignment horizontal="center"/>
    </xf>
    <xf numFmtId="0" fontId="74" fillId="39" borderId="0" xfId="62" applyFont="1" applyFill="1" applyAlignment="1">
      <alignment horizontal="center"/>
    </xf>
    <xf numFmtId="0" fontId="74" fillId="0" borderId="0" xfId="62" applyFont="1" applyAlignment="1">
      <alignment horizontal="center"/>
    </xf>
    <xf numFmtId="0" fontId="74" fillId="0" borderId="0" xfId="64" applyFont="1" applyAlignment="1">
      <alignment horizontal="center"/>
    </xf>
    <xf numFmtId="0" fontId="74" fillId="0" borderId="34" xfId="64" applyFont="1" applyBorder="1" applyAlignment="1">
      <alignment horizontal="center"/>
    </xf>
    <xf numFmtId="0" fontId="74" fillId="39" borderId="0" xfId="62" applyFont="1" applyFill="1" applyBorder="1" applyAlignment="1">
      <alignment horizontal="center"/>
    </xf>
    <xf numFmtId="0" fontId="74" fillId="0" borderId="0" xfId="62" applyFont="1" applyBorder="1" applyAlignment="1">
      <alignment horizontal="center"/>
    </xf>
    <xf numFmtId="177" fontId="0" fillId="42" borderId="0" xfId="0" applyFill="1" applyAlignment="1">
      <alignment horizontal="center"/>
    </xf>
    <xf numFmtId="177" fontId="0" fillId="42" borderId="0" xfId="0" applyFill="1" applyAlignment="1">
      <alignment horizontal="center"/>
    </xf>
    <xf numFmtId="177" fontId="0" fillId="67" borderId="27" xfId="0" applyFill="1" applyBorder="1" applyAlignment="1">
      <alignment vertical="center" wrapText="1"/>
    </xf>
    <xf numFmtId="177" fontId="0" fillId="68" borderId="0" xfId="0" applyFill="1"/>
    <xf numFmtId="177" fontId="0" fillId="42" borderId="0" xfId="0" applyFill="1" applyAlignment="1">
      <alignment horizontal="center"/>
    </xf>
    <xf numFmtId="177" fontId="22" fillId="0" borderId="0" xfId="0" applyFont="1"/>
    <xf numFmtId="177" fontId="0" fillId="42" borderId="0" xfId="0" applyFill="1" applyAlignment="1">
      <alignment horizontal="center"/>
    </xf>
    <xf numFmtId="0" fontId="93" fillId="0" borderId="0" xfId="59" applyNumberFormat="1" applyFont="1" applyFill="1" applyBorder="1" applyAlignment="1" applyProtection="1">
      <alignment horizontal="left" vertical="center" wrapText="1"/>
    </xf>
    <xf numFmtId="192" fontId="93" fillId="0" borderId="0" xfId="59" applyNumberFormat="1" applyFont="1" applyFill="1" applyBorder="1" applyAlignment="1" applyProtection="1">
      <alignment horizontal="right" vertical="center" wrapText="1"/>
    </xf>
    <xf numFmtId="177" fontId="0" fillId="42" borderId="0" xfId="0" applyFill="1" applyAlignment="1">
      <alignment horizontal="center"/>
    </xf>
    <xf numFmtId="173" fontId="0" fillId="0" borderId="0" xfId="44" applyNumberFormat="1" applyFont="1" applyFill="1" applyAlignment="1">
      <alignment horizontal="center"/>
    </xf>
    <xf numFmtId="14" fontId="60" fillId="51" borderId="0" xfId="0" applyNumberFormat="1" applyFont="1" applyFill="1"/>
    <xf numFmtId="177" fontId="0" fillId="42" borderId="0" xfId="0" applyFill="1" applyAlignment="1">
      <alignment horizontal="center"/>
    </xf>
    <xf numFmtId="0" fontId="83" fillId="39" borderId="0" xfId="542" applyFont="1" applyFill="1" applyAlignment="1">
      <alignment horizontal="center"/>
    </xf>
    <xf numFmtId="0" fontId="74" fillId="0" borderId="0" xfId="543" applyFont="1" applyFill="1" applyAlignment="1">
      <alignment horizontal="center"/>
    </xf>
    <xf numFmtId="0" fontId="25" fillId="39" borderId="0" xfId="0" applyNumberFormat="1" applyFont="1" applyFill="1"/>
    <xf numFmtId="177" fontId="0" fillId="42" borderId="0" xfId="0" applyFill="1" applyAlignment="1">
      <alignment horizontal="center"/>
    </xf>
    <xf numFmtId="7" fontId="0" fillId="42" borderId="0" xfId="0" applyNumberFormat="1" applyFill="1" applyAlignment="1">
      <alignment horizontal="center"/>
    </xf>
    <xf numFmtId="177" fontId="19" fillId="46" borderId="0" xfId="0" applyFont="1" applyFill="1"/>
    <xf numFmtId="177" fontId="83" fillId="39" borderId="0" xfId="0" applyFont="1" applyFill="1" applyAlignment="1">
      <alignment horizontal="center"/>
    </xf>
    <xf numFmtId="0" fontId="74" fillId="0" borderId="0" xfId="50" applyFont="1" applyAlignment="1">
      <alignment horizontal="left"/>
    </xf>
    <xf numFmtId="4" fontId="0" fillId="0" borderId="0" xfId="44" applyNumberFormat="1" applyFont="1"/>
    <xf numFmtId="177" fontId="0" fillId="0" borderId="37" xfId="0" applyBorder="1"/>
    <xf numFmtId="0" fontId="108" fillId="71" borderId="27" xfId="0" applyNumberFormat="1" applyFont="1" applyFill="1" applyBorder="1" applyAlignment="1">
      <alignment horizontal="center" vertical="center"/>
    </xf>
    <xf numFmtId="0" fontId="107" fillId="0" borderId="27" xfId="0" applyNumberFormat="1" applyFont="1" applyBorder="1"/>
    <xf numFmtId="0" fontId="107" fillId="72" borderId="27" xfId="0" applyNumberFormat="1" applyFont="1" applyFill="1" applyBorder="1" applyAlignment="1">
      <alignment horizontal="center"/>
    </xf>
    <xf numFmtId="0" fontId="107" fillId="73" borderId="27" xfId="0" applyNumberFormat="1" applyFont="1" applyFill="1" applyBorder="1" applyAlignment="1">
      <alignment horizontal="center"/>
    </xf>
    <xf numFmtId="0" fontId="107" fillId="74" borderId="27" xfId="0" applyNumberFormat="1" applyFont="1" applyFill="1" applyBorder="1" applyAlignment="1">
      <alignment horizontal="center"/>
    </xf>
    <xf numFmtId="0" fontId="107" fillId="74" borderId="27" xfId="0" applyNumberFormat="1" applyFont="1" applyFill="1" applyBorder="1"/>
    <xf numFmtId="0" fontId="107" fillId="73" borderId="27" xfId="0" applyNumberFormat="1" applyFont="1" applyFill="1" applyBorder="1"/>
    <xf numFmtId="0" fontId="107" fillId="75" borderId="38" xfId="0" applyNumberFormat="1" applyFont="1" applyFill="1" applyBorder="1"/>
    <xf numFmtId="0" fontId="107" fillId="75" borderId="39" xfId="0" applyNumberFormat="1" applyFont="1" applyFill="1" applyBorder="1"/>
    <xf numFmtId="0" fontId="107" fillId="75" borderId="39" xfId="0" applyNumberFormat="1" applyFont="1" applyFill="1" applyBorder="1" applyAlignment="1">
      <alignment horizontal="center"/>
    </xf>
    <xf numFmtId="177" fontId="0" fillId="0" borderId="40" xfId="0" applyBorder="1"/>
    <xf numFmtId="0" fontId="107" fillId="74" borderId="41" xfId="0" applyNumberFormat="1" applyFont="1" applyFill="1" applyBorder="1"/>
    <xf numFmtId="177" fontId="0" fillId="0" borderId="42" xfId="0" applyBorder="1"/>
    <xf numFmtId="0" fontId="107" fillId="73" borderId="41" xfId="0" applyNumberFormat="1" applyFont="1" applyFill="1" applyBorder="1"/>
    <xf numFmtId="0" fontId="107" fillId="72" borderId="43" xfId="0" applyNumberFormat="1" applyFont="1" applyFill="1" applyBorder="1"/>
    <xf numFmtId="0" fontId="107" fillId="72" borderId="44" xfId="0" applyNumberFormat="1" applyFont="1" applyFill="1" applyBorder="1"/>
    <xf numFmtId="0" fontId="107" fillId="72" borderId="44" xfId="0" applyNumberFormat="1" applyFont="1" applyFill="1" applyBorder="1" applyAlignment="1">
      <alignment horizontal="center"/>
    </xf>
    <xf numFmtId="177" fontId="0" fillId="0" borderId="45" xfId="0" applyBorder="1"/>
    <xf numFmtId="14" fontId="0" fillId="0" borderId="0" xfId="0" applyNumberFormat="1"/>
    <xf numFmtId="177" fontId="0" fillId="42" borderId="0" xfId="0" applyFill="1" applyAlignment="1">
      <alignment horizontal="center"/>
    </xf>
    <xf numFmtId="14" fontId="25" fillId="42" borderId="0" xfId="0" applyNumberFormat="1" applyFont="1" applyFill="1" applyAlignment="1" applyProtection="1">
      <alignment horizontal="center"/>
    </xf>
    <xf numFmtId="173" fontId="14" fillId="36" borderId="0" xfId="0" applyNumberFormat="1" applyFont="1" applyFill="1" applyAlignment="1" applyProtection="1">
      <alignment horizontal="center"/>
    </xf>
    <xf numFmtId="181" fontId="24" fillId="36" borderId="0" xfId="0" applyNumberFormat="1" applyFont="1" applyFill="1" applyAlignment="1" applyProtection="1">
      <alignment horizontal="center"/>
    </xf>
    <xf numFmtId="177" fontId="28" fillId="42" borderId="0" xfId="0" applyFont="1" applyFill="1" applyProtection="1"/>
    <xf numFmtId="0" fontId="28" fillId="42" borderId="0" xfId="0" applyNumberFormat="1" applyFont="1" applyFill="1" applyProtection="1"/>
    <xf numFmtId="173" fontId="39" fillId="39" borderId="0" xfId="44" applyNumberFormat="1" applyFont="1" applyFill="1" applyAlignment="1" applyProtection="1">
      <alignment horizontal="center"/>
    </xf>
    <xf numFmtId="177" fontId="25" fillId="42" borderId="0" xfId="0" applyFont="1" applyFill="1" applyAlignment="1" applyProtection="1">
      <alignment horizontal="center"/>
    </xf>
    <xf numFmtId="0" fontId="25" fillId="42" borderId="21" xfId="0" applyNumberFormat="1" applyFont="1" applyFill="1" applyBorder="1" applyAlignment="1" applyProtection="1">
      <alignment horizontal="center"/>
    </xf>
    <xf numFmtId="177" fontId="25" fillId="42" borderId="0" xfId="0" applyFont="1" applyFill="1" applyAlignment="1" applyProtection="1">
      <alignment horizontal="left"/>
    </xf>
    <xf numFmtId="0" fontId="25" fillId="42" borderId="0" xfId="0" applyNumberFormat="1" applyFont="1" applyFill="1" applyAlignment="1" applyProtection="1">
      <alignment horizontal="center"/>
    </xf>
    <xf numFmtId="170" fontId="25" fillId="42" borderId="0" xfId="0" applyNumberFormat="1" applyFont="1" applyFill="1" applyAlignment="1" applyProtection="1">
      <alignment horizontal="center"/>
    </xf>
    <xf numFmtId="171" fontId="25" fillId="42" borderId="0" xfId="43" applyNumberFormat="1" applyFont="1" applyFill="1" applyAlignment="1" applyProtection="1">
      <alignment horizontal="center"/>
    </xf>
    <xf numFmtId="10" fontId="25" fillId="42" borderId="0" xfId="43" applyNumberFormat="1" applyFont="1" applyFill="1" applyAlignment="1" applyProtection="1">
      <alignment horizontal="center"/>
    </xf>
    <xf numFmtId="173" fontId="25" fillId="42" borderId="0" xfId="0" applyNumberFormat="1" applyFont="1" applyFill="1" applyProtection="1"/>
    <xf numFmtId="2" fontId="25" fillId="42" borderId="0" xfId="0" applyNumberFormat="1" applyFont="1" applyFill="1" applyAlignment="1" applyProtection="1">
      <alignment horizontal="center"/>
    </xf>
    <xf numFmtId="177" fontId="25" fillId="59" borderId="0" xfId="0" applyFont="1" applyFill="1" applyAlignment="1" applyProtection="1">
      <alignment horizontal="center"/>
    </xf>
    <xf numFmtId="177" fontId="25" fillId="0" borderId="0" xfId="0" applyFont="1" applyFill="1" applyAlignment="1" applyProtection="1">
      <alignment horizontal="center"/>
    </xf>
    <xf numFmtId="170" fontId="25" fillId="0" borderId="0" xfId="0" applyNumberFormat="1" applyFont="1" applyFill="1" applyAlignment="1" applyProtection="1">
      <alignment horizontal="center"/>
    </xf>
    <xf numFmtId="171" fontId="25" fillId="0" borderId="0" xfId="43" applyNumberFormat="1" applyFont="1" applyFill="1" applyAlignment="1" applyProtection="1">
      <alignment horizontal="center"/>
    </xf>
    <xf numFmtId="177" fontId="25" fillId="39" borderId="0" xfId="0" applyFont="1" applyFill="1" applyAlignment="1" applyProtection="1">
      <alignment horizontal="center"/>
    </xf>
    <xf numFmtId="170" fontId="25" fillId="39" borderId="0" xfId="0" applyNumberFormat="1" applyFont="1" applyFill="1" applyAlignment="1" applyProtection="1">
      <alignment horizontal="center"/>
    </xf>
    <xf numFmtId="171" fontId="25" fillId="39" borderId="0" xfId="43" applyNumberFormat="1" applyFont="1" applyFill="1" applyAlignment="1" applyProtection="1">
      <alignment horizontal="center"/>
    </xf>
    <xf numFmtId="173" fontId="25" fillId="39" borderId="0" xfId="0" applyNumberFormat="1" applyFont="1" applyFill="1" applyAlignment="1" applyProtection="1">
      <alignment horizontal="center"/>
    </xf>
    <xf numFmtId="173" fontId="25" fillId="42" borderId="0" xfId="44" applyNumberFormat="1" applyFont="1" applyFill="1" applyAlignment="1" applyProtection="1">
      <alignment horizontal="center"/>
    </xf>
    <xf numFmtId="173" fontId="25" fillId="0" borderId="0" xfId="0" applyNumberFormat="1" applyFont="1" applyFill="1" applyAlignment="1" applyProtection="1">
      <alignment horizontal="center"/>
    </xf>
    <xf numFmtId="173" fontId="25" fillId="42" borderId="0" xfId="0" applyNumberFormat="1" applyFont="1" applyFill="1" applyAlignment="1" applyProtection="1">
      <alignment horizontal="center"/>
    </xf>
    <xf numFmtId="173" fontId="25" fillId="39" borderId="0" xfId="44" applyNumberFormat="1" applyFont="1" applyFill="1" applyAlignment="1" applyProtection="1">
      <alignment horizontal="center"/>
    </xf>
    <xf numFmtId="171" fontId="29" fillId="42" borderId="0" xfId="43" applyNumberFormat="1" applyFont="1" applyFill="1" applyAlignment="1" applyProtection="1">
      <alignment horizontal="center"/>
    </xf>
    <xf numFmtId="2" fontId="25" fillId="42" borderId="0" xfId="43" applyNumberFormat="1" applyFont="1" applyFill="1" applyAlignment="1" applyProtection="1">
      <alignment horizontal="center"/>
    </xf>
    <xf numFmtId="165" fontId="25" fillId="42" borderId="0" xfId="0" applyNumberFormat="1" applyFont="1" applyFill="1" applyAlignment="1" applyProtection="1">
      <alignment horizontal="center"/>
    </xf>
    <xf numFmtId="171" fontId="29" fillId="0" borderId="0" xfId="43" applyNumberFormat="1" applyFont="1" applyFill="1" applyAlignment="1" applyProtection="1">
      <alignment horizontal="center"/>
    </xf>
    <xf numFmtId="165" fontId="25" fillId="0" borderId="0" xfId="0" applyNumberFormat="1" applyFont="1" applyFill="1" applyAlignment="1" applyProtection="1">
      <alignment horizontal="center"/>
    </xf>
    <xf numFmtId="171" fontId="29" fillId="39" borderId="0" xfId="43" applyNumberFormat="1" applyFont="1" applyFill="1" applyAlignment="1" applyProtection="1">
      <alignment horizontal="center"/>
    </xf>
    <xf numFmtId="165" fontId="25" fillId="39" borderId="0" xfId="0" applyNumberFormat="1" applyFont="1" applyFill="1" applyAlignment="1" applyProtection="1">
      <alignment horizontal="center"/>
    </xf>
    <xf numFmtId="177" fontId="25" fillId="42" borderId="0" xfId="0" applyFont="1" applyFill="1" applyProtection="1"/>
    <xf numFmtId="177" fontId="25" fillId="39" borderId="0" xfId="0" applyFont="1" applyFill="1" applyProtection="1"/>
    <xf numFmtId="10" fontId="25" fillId="39" borderId="0" xfId="43" applyNumberFormat="1" applyFont="1" applyFill="1" applyAlignment="1" applyProtection="1">
      <alignment horizontal="center"/>
    </xf>
    <xf numFmtId="190" fontId="25" fillId="48" borderId="0" xfId="44" applyNumberFormat="1" applyFont="1" applyFill="1" applyAlignment="1" applyProtection="1">
      <alignment horizontal="left"/>
    </xf>
    <xf numFmtId="173" fontId="39" fillId="42" borderId="0" xfId="44" applyNumberFormat="1" applyFont="1" applyFill="1" applyAlignment="1" applyProtection="1">
      <alignment horizontal="center"/>
    </xf>
    <xf numFmtId="190" fontId="25" fillId="48" borderId="0" xfId="44" applyNumberFormat="1" applyFont="1" applyFill="1" applyAlignment="1" applyProtection="1">
      <alignment horizontal="center"/>
    </xf>
    <xf numFmtId="173" fontId="25" fillId="48" borderId="0" xfId="44" applyNumberFormat="1" applyFont="1" applyFill="1" applyAlignment="1" applyProtection="1">
      <alignment horizontal="left"/>
    </xf>
    <xf numFmtId="10" fontId="39" fillId="42" borderId="0" xfId="43" applyNumberFormat="1" applyFont="1" applyFill="1" applyAlignment="1" applyProtection="1">
      <alignment horizontal="center"/>
    </xf>
    <xf numFmtId="177" fontId="27" fillId="33" borderId="0" xfId="26" applyFont="1" applyAlignment="1" applyProtection="1">
      <alignment horizontal="center" vertical="center" wrapText="1"/>
    </xf>
    <xf numFmtId="173" fontId="0" fillId="42" borderId="0" xfId="44" applyNumberFormat="1" applyFont="1" applyFill="1" applyAlignment="1" applyProtection="1">
      <alignment horizontal="center"/>
    </xf>
    <xf numFmtId="179" fontId="0" fillId="42" borderId="0" xfId="44" applyNumberFormat="1" applyFont="1" applyFill="1" applyAlignment="1" applyProtection="1">
      <alignment horizontal="center"/>
    </xf>
    <xf numFmtId="172" fontId="25" fillId="42" borderId="0" xfId="43" applyNumberFormat="1" applyFont="1" applyFill="1" applyAlignment="1" applyProtection="1">
      <alignment horizontal="center"/>
    </xf>
    <xf numFmtId="165" fontId="25" fillId="55" borderId="0" xfId="0" applyNumberFormat="1" applyFont="1" applyFill="1" applyAlignment="1" applyProtection="1">
      <alignment horizontal="center"/>
    </xf>
    <xf numFmtId="173" fontId="25" fillId="35" borderId="0" xfId="43" applyNumberFormat="1" applyFont="1" applyFill="1" applyAlignment="1" applyProtection="1">
      <alignment horizontal="center"/>
    </xf>
    <xf numFmtId="173" fontId="25" fillId="35" borderId="10" xfId="44" applyNumberFormat="1" applyFont="1" applyFill="1" applyBorder="1" applyAlignment="1" applyProtection="1">
      <alignment horizontal="center"/>
    </xf>
    <xf numFmtId="0" fontId="32" fillId="46" borderId="0" xfId="0" applyNumberFormat="1" applyFont="1" applyFill="1" applyAlignment="1" applyProtection="1">
      <alignment horizontal="center"/>
    </xf>
    <xf numFmtId="182" fontId="24" fillId="36" borderId="0" xfId="0" applyNumberFormat="1" applyFont="1" applyFill="1" applyAlignment="1" applyProtection="1">
      <alignment horizontal="center"/>
    </xf>
    <xf numFmtId="182" fontId="24" fillId="36" borderId="11" xfId="0" applyNumberFormat="1" applyFont="1" applyFill="1" applyBorder="1" applyAlignment="1" applyProtection="1">
      <alignment horizontal="center"/>
    </xf>
    <xf numFmtId="10" fontId="24" fillId="36" borderId="0" xfId="43" applyNumberFormat="1" applyFont="1" applyFill="1" applyAlignment="1" applyProtection="1">
      <alignment horizontal="center"/>
    </xf>
    <xf numFmtId="171" fontId="24" fillId="36" borderId="0" xfId="43" applyNumberFormat="1" applyFont="1" applyFill="1" applyAlignment="1" applyProtection="1">
      <alignment horizontal="center"/>
    </xf>
    <xf numFmtId="10" fontId="24" fillId="36" borderId="11" xfId="43" applyNumberFormat="1" applyFont="1" applyFill="1" applyBorder="1" applyAlignment="1" applyProtection="1">
      <alignment horizontal="center"/>
    </xf>
    <xf numFmtId="171" fontId="25" fillId="42" borderId="0" xfId="43" quotePrefix="1" applyNumberFormat="1" applyFont="1" applyFill="1" applyProtection="1"/>
    <xf numFmtId="164" fontId="25" fillId="49" borderId="0" xfId="0" applyNumberFormat="1" applyFont="1" applyFill="1" applyProtection="1"/>
    <xf numFmtId="177" fontId="28" fillId="42" borderId="0" xfId="0" applyFont="1" applyFill="1" applyProtection="1">
      <protection locked="0"/>
    </xf>
    <xf numFmtId="177" fontId="25" fillId="42" borderId="0" xfId="0" applyFont="1" applyFill="1" applyAlignment="1" applyProtection="1">
      <alignment horizontal="center"/>
      <protection locked="0"/>
    </xf>
    <xf numFmtId="170" fontId="25" fillId="42" borderId="0" xfId="0" applyNumberFormat="1" applyFont="1" applyFill="1" applyAlignment="1" applyProtection="1">
      <alignment horizontal="center"/>
      <protection locked="0"/>
    </xf>
    <xf numFmtId="171" fontId="25" fillId="42" borderId="0" xfId="43" applyNumberFormat="1" applyFont="1" applyFill="1" applyAlignment="1" applyProtection="1">
      <alignment horizontal="center"/>
      <protection locked="0"/>
    </xf>
    <xf numFmtId="177" fontId="25" fillId="0" borderId="0" xfId="0" applyFont="1" applyFill="1" applyAlignment="1" applyProtection="1">
      <alignment horizontal="center"/>
      <protection locked="0"/>
    </xf>
    <xf numFmtId="177" fontId="25" fillId="39" borderId="0" xfId="0" applyFont="1" applyFill="1" applyAlignment="1" applyProtection="1">
      <alignment horizontal="center"/>
      <protection locked="0"/>
    </xf>
    <xf numFmtId="171" fontId="25" fillId="39" borderId="0" xfId="43" applyNumberFormat="1" applyFont="1" applyFill="1" applyAlignment="1" applyProtection="1">
      <alignment horizontal="center"/>
      <protection locked="0"/>
    </xf>
    <xf numFmtId="177" fontId="25" fillId="42" borderId="0" xfId="0" applyFont="1" applyFill="1" applyProtection="1">
      <protection locked="0"/>
    </xf>
    <xf numFmtId="177" fontId="25" fillId="39" borderId="0" xfId="0" applyFont="1" applyFill="1" applyProtection="1">
      <protection locked="0"/>
    </xf>
    <xf numFmtId="177" fontId="27" fillId="33" borderId="0" xfId="26" applyFont="1" applyAlignment="1" applyProtection="1">
      <alignment horizontal="center" vertical="center" wrapText="1"/>
      <protection locked="0"/>
    </xf>
    <xf numFmtId="177" fontId="0" fillId="0" borderId="0" xfId="0" applyProtection="1">
      <protection locked="0"/>
    </xf>
    <xf numFmtId="182" fontId="24" fillId="36" borderId="0" xfId="0" applyNumberFormat="1" applyFont="1" applyFill="1" applyAlignment="1" applyProtection="1">
      <alignment horizontal="center"/>
      <protection locked="0"/>
    </xf>
    <xf numFmtId="177" fontId="25" fillId="42" borderId="0" xfId="0" quotePrefix="1" applyFont="1" applyFill="1" applyProtection="1">
      <protection locked="0"/>
    </xf>
    <xf numFmtId="177" fontId="22" fillId="42" borderId="0" xfId="0" applyFont="1" applyFill="1" applyAlignment="1" applyProtection="1">
      <alignment horizontal="left"/>
      <protection locked="0"/>
    </xf>
    <xf numFmtId="177" fontId="26" fillId="33" borderId="0" xfId="26" applyFont="1" applyAlignment="1" applyProtection="1">
      <alignment horizontal="center" vertical="center" wrapText="1"/>
      <protection locked="0"/>
    </xf>
    <xf numFmtId="177" fontId="27" fillId="34" borderId="0" xfId="26" applyFont="1" applyFill="1" applyAlignment="1" applyProtection="1">
      <alignment horizontal="center" vertical="center" wrapText="1"/>
      <protection locked="0"/>
    </xf>
    <xf numFmtId="0" fontId="52" fillId="47" borderId="0" xfId="26" applyNumberFormat="1" applyFont="1" applyFill="1" applyAlignment="1" applyProtection="1">
      <alignment horizontal="center" vertical="center" wrapText="1"/>
      <protection locked="0"/>
    </xf>
    <xf numFmtId="180" fontId="43" fillId="33" borderId="0" xfId="26" applyNumberFormat="1" applyFont="1" applyAlignment="1" applyProtection="1">
      <alignment horizontal="center" vertical="center" wrapText="1"/>
      <protection locked="0"/>
    </xf>
    <xf numFmtId="180" fontId="26" fillId="33" borderId="0" xfId="26" applyNumberFormat="1" applyFont="1" applyAlignment="1" applyProtection="1">
      <alignment horizontal="center" vertical="center" wrapText="1"/>
      <protection locked="0"/>
    </xf>
    <xf numFmtId="177" fontId="100" fillId="33" borderId="0" xfId="26" applyFont="1" applyAlignment="1" applyProtection="1">
      <alignment horizontal="center" vertical="center" wrapText="1"/>
      <protection locked="0"/>
    </xf>
    <xf numFmtId="177" fontId="26" fillId="33" borderId="0" xfId="26" applyFont="1" applyAlignment="1" applyProtection="1">
      <alignment horizontal="left" vertical="center" wrapText="1"/>
      <protection locked="0"/>
    </xf>
    <xf numFmtId="177" fontId="24" fillId="36" borderId="0" xfId="0" applyFont="1" applyFill="1" applyProtection="1">
      <protection locked="0"/>
    </xf>
    <xf numFmtId="177" fontId="24" fillId="36" borderId="0" xfId="0" applyFont="1" applyFill="1" applyAlignment="1" applyProtection="1">
      <alignment horizontal="center"/>
      <protection locked="0"/>
    </xf>
    <xf numFmtId="177" fontId="27" fillId="33" borderId="21" xfId="26" applyFont="1" applyBorder="1" applyAlignment="1" applyProtection="1">
      <alignment horizontal="center" vertical="center" wrapText="1"/>
      <protection locked="0"/>
    </xf>
    <xf numFmtId="177" fontId="26" fillId="42" borderId="0" xfId="26" applyFont="1" applyFill="1" applyAlignment="1" applyProtection="1">
      <alignment horizontal="center" vertical="center" wrapText="1"/>
      <protection locked="0"/>
    </xf>
    <xf numFmtId="177" fontId="39" fillId="39" borderId="0" xfId="0" applyFont="1" applyFill="1" applyAlignment="1" applyProtection="1">
      <alignment horizontal="left"/>
      <protection locked="0"/>
    </xf>
    <xf numFmtId="177" fontId="39" fillId="39" borderId="0" xfId="0" applyFont="1" applyFill="1" applyAlignment="1" applyProtection="1">
      <alignment horizontal="center"/>
      <protection locked="0"/>
    </xf>
    <xf numFmtId="177" fontId="25" fillId="0" borderId="0" xfId="0" applyFont="1" applyFill="1" applyProtection="1">
      <protection locked="0"/>
    </xf>
    <xf numFmtId="177" fontId="72" fillId="42" borderId="0" xfId="0" applyFont="1" applyFill="1" applyAlignment="1" applyProtection="1">
      <alignment horizontal="center"/>
      <protection locked="0"/>
    </xf>
    <xf numFmtId="177" fontId="72" fillId="0" borderId="11" xfId="0" applyFont="1" applyFill="1" applyBorder="1" applyAlignment="1" applyProtection="1">
      <alignment horizontal="center"/>
      <protection locked="0"/>
    </xf>
    <xf numFmtId="1" fontId="72" fillId="42" borderId="0" xfId="0" applyNumberFormat="1" applyFont="1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left"/>
      <protection locked="0"/>
    </xf>
    <xf numFmtId="0" fontId="25" fillId="48" borderId="0" xfId="0" applyNumberFormat="1" applyFont="1" applyFill="1" applyProtection="1">
      <protection locked="0"/>
    </xf>
    <xf numFmtId="0" fontId="42" fillId="0" borderId="11" xfId="0" applyNumberFormat="1" applyFont="1" applyFill="1" applyBorder="1" applyProtection="1">
      <protection locked="0"/>
    </xf>
    <xf numFmtId="177" fontId="39" fillId="42" borderId="0" xfId="0" applyFont="1" applyFill="1" applyAlignment="1" applyProtection="1">
      <alignment horizontal="left"/>
      <protection locked="0"/>
    </xf>
    <xf numFmtId="177" fontId="72" fillId="42" borderId="11" xfId="0" applyFont="1" applyFill="1" applyBorder="1" applyAlignment="1" applyProtection="1">
      <alignment horizontal="center"/>
      <protection locked="0"/>
    </xf>
    <xf numFmtId="177" fontId="14" fillId="42" borderId="0" xfId="0" applyFont="1" applyFill="1" applyProtection="1">
      <protection locked="0"/>
    </xf>
    <xf numFmtId="177" fontId="25" fillId="0" borderId="0" xfId="0" applyFont="1" applyAlignment="1" applyProtection="1">
      <alignment horizontal="center"/>
      <protection locked="0"/>
    </xf>
    <xf numFmtId="177" fontId="25" fillId="35" borderId="0" xfId="0" applyFont="1" applyFill="1" applyProtection="1">
      <protection locked="0"/>
    </xf>
    <xf numFmtId="1" fontId="55" fillId="42" borderId="11" xfId="0" applyNumberFormat="1" applyFont="1" applyFill="1" applyBorder="1" applyAlignment="1" applyProtection="1">
      <alignment horizontal="center" wrapText="1"/>
      <protection locked="0"/>
    </xf>
    <xf numFmtId="1" fontId="56" fillId="42" borderId="11" xfId="0" applyNumberFormat="1" applyFont="1" applyFill="1" applyBorder="1" applyAlignment="1" applyProtection="1">
      <alignment horizontal="center" wrapText="1"/>
      <protection locked="0"/>
    </xf>
    <xf numFmtId="9" fontId="35" fillId="39" borderId="0" xfId="43" applyFont="1" applyFill="1" applyAlignment="1" applyProtection="1">
      <alignment horizontal="center"/>
      <protection locked="0"/>
    </xf>
    <xf numFmtId="9" fontId="28" fillId="39" borderId="0" xfId="43" applyFont="1" applyFill="1" applyAlignment="1" applyProtection="1">
      <alignment horizontal="center"/>
      <protection locked="0"/>
    </xf>
    <xf numFmtId="1" fontId="53" fillId="36" borderId="11" xfId="0" applyNumberFormat="1" applyFont="1" applyFill="1" applyBorder="1" applyProtection="1">
      <protection locked="0"/>
    </xf>
    <xf numFmtId="177" fontId="24" fillId="36" borderId="11" xfId="0" applyFont="1" applyFill="1" applyBorder="1" applyProtection="1">
      <protection locked="0"/>
    </xf>
    <xf numFmtId="177" fontId="42" fillId="42" borderId="0" xfId="0" applyFont="1" applyFill="1" applyAlignment="1" applyProtection="1">
      <alignment horizontal="left" vertical="center" wrapText="1"/>
      <protection locked="0"/>
    </xf>
    <xf numFmtId="171" fontId="0" fillId="0" borderId="0" xfId="0" applyNumberFormat="1" applyFill="1" applyAlignment="1" applyProtection="1">
      <alignment horizontal="center"/>
      <protection locked="0"/>
    </xf>
    <xf numFmtId="171" fontId="0" fillId="0" borderId="0" xfId="0" applyNumberFormat="1" applyAlignment="1" applyProtection="1">
      <alignment horizontal="center"/>
      <protection locked="0"/>
    </xf>
    <xf numFmtId="177" fontId="0" fillId="0" borderId="0" xfId="0" pivotButton="1" applyProtection="1">
      <protection locked="0"/>
    </xf>
    <xf numFmtId="177" fontId="0" fillId="0" borderId="0" xfId="0" applyFill="1" applyAlignment="1" applyProtection="1">
      <alignment horizontal="left"/>
      <protection locked="0"/>
    </xf>
    <xf numFmtId="177" fontId="0" fillId="0" borderId="0" xfId="0" applyAlignment="1" applyProtection="1">
      <alignment horizontal="left"/>
      <protection locked="0"/>
    </xf>
    <xf numFmtId="21" fontId="0" fillId="0" borderId="0" xfId="0" applyNumberFormat="1" applyAlignment="1" applyProtection="1">
      <alignment horizontal="left"/>
      <protection locked="0"/>
    </xf>
    <xf numFmtId="177" fontId="18" fillId="42" borderId="0" xfId="0" applyFont="1" applyFill="1" applyAlignment="1" applyProtection="1">
      <alignment horizontal="right"/>
      <protection locked="0"/>
    </xf>
    <xf numFmtId="177" fontId="79" fillId="61" borderId="0" xfId="0" applyFont="1" applyFill="1" applyProtection="1">
      <protection locked="0"/>
    </xf>
    <xf numFmtId="177" fontId="14" fillId="44" borderId="14" xfId="0" applyFont="1" applyFill="1" applyBorder="1" applyProtection="1">
      <protection locked="0"/>
    </xf>
    <xf numFmtId="177" fontId="0" fillId="50" borderId="0" xfId="0" applyFill="1" applyProtection="1">
      <protection locked="0"/>
    </xf>
    <xf numFmtId="177" fontId="0" fillId="42" borderId="0" xfId="0" applyFill="1" applyAlignment="1" applyProtection="1">
      <alignment horizontal="left"/>
      <protection locked="0"/>
    </xf>
    <xf numFmtId="177" fontId="17" fillId="42" borderId="16" xfId="0" applyFont="1" applyFill="1" applyBorder="1" applyProtection="1">
      <protection locked="0"/>
    </xf>
    <xf numFmtId="177" fontId="39" fillId="42" borderId="0" xfId="0" applyFont="1" applyFill="1" applyProtection="1">
      <protection locked="0"/>
    </xf>
    <xf numFmtId="177" fontId="45" fillId="42" borderId="0" xfId="0" applyFont="1" applyFill="1" applyProtection="1">
      <protection locked="0"/>
    </xf>
    <xf numFmtId="177" fontId="14" fillId="44" borderId="16" xfId="0" applyFont="1" applyFill="1" applyBorder="1" applyProtection="1">
      <protection locked="0"/>
    </xf>
    <xf numFmtId="177" fontId="50" fillId="42" borderId="0" xfId="0" applyFont="1" applyFill="1" applyProtection="1">
      <protection locked="0"/>
    </xf>
    <xf numFmtId="177" fontId="0" fillId="39" borderId="0" xfId="0" quotePrefix="1" applyFill="1" applyProtection="1">
      <protection locked="0"/>
    </xf>
    <xf numFmtId="171" fontId="0" fillId="42" borderId="0" xfId="43" applyNumberFormat="1" applyFont="1" applyFill="1" applyAlignment="1" applyProtection="1">
      <alignment horizontal="center"/>
      <protection locked="0"/>
    </xf>
    <xf numFmtId="171" fontId="0" fillId="39" borderId="0" xfId="0" quotePrefix="1" applyNumberFormat="1" applyFill="1" applyProtection="1">
      <protection locked="0"/>
    </xf>
    <xf numFmtId="2" fontId="0" fillId="42" borderId="0" xfId="0" applyNumberFormat="1" applyFill="1" applyAlignment="1" applyProtection="1">
      <alignment horizontal="center"/>
      <protection locked="0"/>
    </xf>
    <xf numFmtId="0" fontId="25" fillId="42" borderId="0" xfId="0" applyNumberFormat="1" applyFont="1" applyFill="1" applyProtection="1">
      <protection locked="0"/>
    </xf>
    <xf numFmtId="177" fontId="25" fillId="42" borderId="0" xfId="0" applyFont="1" applyFill="1" applyAlignment="1" applyProtection="1">
      <alignment wrapText="1"/>
      <protection locked="0"/>
    </xf>
    <xf numFmtId="0" fontId="25" fillId="42" borderId="0" xfId="0" applyNumberFormat="1" applyFont="1" applyFill="1" applyAlignment="1" applyProtection="1">
      <alignment horizontal="center"/>
      <protection locked="0"/>
    </xf>
    <xf numFmtId="0" fontId="0" fillId="42" borderId="0" xfId="0" applyNumberFormat="1" applyFill="1" applyProtection="1">
      <protection locked="0"/>
    </xf>
    <xf numFmtId="177" fontId="24" fillId="42" borderId="0" xfId="0" applyFont="1" applyFill="1" applyProtection="1">
      <protection locked="0"/>
    </xf>
    <xf numFmtId="173" fontId="0" fillId="42" borderId="0" xfId="44" quotePrefix="1" applyNumberFormat="1" applyFont="1" applyFill="1" applyProtection="1">
      <protection locked="0"/>
    </xf>
    <xf numFmtId="177" fontId="44" fillId="42" borderId="0" xfId="0" applyFont="1" applyFill="1" applyProtection="1">
      <protection locked="0"/>
    </xf>
    <xf numFmtId="177" fontId="14" fillId="41" borderId="14" xfId="0" applyFont="1" applyFill="1" applyBorder="1" applyProtection="1">
      <protection locked="0"/>
    </xf>
    <xf numFmtId="167" fontId="49" fillId="0" borderId="0" xfId="44" quotePrefix="1" applyNumberFormat="1" applyFont="1" applyProtection="1">
      <protection locked="0"/>
    </xf>
    <xf numFmtId="193" fontId="0" fillId="42" borderId="0" xfId="43" applyNumberFormat="1" applyFont="1" applyFill="1" applyProtection="1">
      <protection locked="0"/>
    </xf>
    <xf numFmtId="1" fontId="0" fillId="42" borderId="0" xfId="0" applyNumberFormat="1" applyFill="1" applyAlignment="1" applyProtection="1">
      <alignment horizontal="center"/>
      <protection locked="0"/>
    </xf>
    <xf numFmtId="177" fontId="17" fillId="42" borderId="18" xfId="0" applyFont="1" applyFill="1" applyBorder="1" applyProtection="1">
      <protection locked="0"/>
    </xf>
    <xf numFmtId="177" fontId="15" fillId="42" borderId="0" xfId="0" quotePrefix="1" applyFont="1" applyFill="1" applyProtection="1">
      <protection locked="0"/>
    </xf>
    <xf numFmtId="177" fontId="17" fillId="42" borderId="0" xfId="0" applyFont="1" applyFill="1" applyProtection="1">
      <protection locked="0"/>
    </xf>
    <xf numFmtId="9" fontId="17" fillId="42" borderId="0" xfId="0" applyNumberFormat="1" applyFont="1" applyFill="1" applyAlignment="1" applyProtection="1">
      <alignment horizontal="center"/>
      <protection locked="0"/>
    </xf>
    <xf numFmtId="0" fontId="0" fillId="46" borderId="0" xfId="0" applyNumberFormat="1" applyFill="1" applyProtection="1">
      <protection locked="0"/>
    </xf>
    <xf numFmtId="177" fontId="0" fillId="42" borderId="18" xfId="0" applyFill="1" applyBorder="1" applyProtection="1">
      <protection locked="0"/>
    </xf>
    <xf numFmtId="190" fontId="0" fillId="42" borderId="0" xfId="44" applyNumberFormat="1" applyFont="1" applyFill="1" applyProtection="1">
      <protection locked="0"/>
    </xf>
    <xf numFmtId="177" fontId="48" fillId="42" borderId="0" xfId="0" applyFont="1" applyFill="1" applyProtection="1">
      <protection locked="0"/>
    </xf>
    <xf numFmtId="10" fontId="39" fillId="42" borderId="0" xfId="43" applyNumberFormat="1" applyFont="1" applyFill="1" applyAlignment="1" applyProtection="1">
      <alignment horizontal="center"/>
      <protection locked="0"/>
    </xf>
    <xf numFmtId="171" fontId="39" fillId="42" borderId="0" xfId="43" applyNumberFormat="1" applyFont="1" applyFill="1" applyAlignment="1" applyProtection="1">
      <alignment horizontal="center"/>
      <protection locked="0"/>
    </xf>
    <xf numFmtId="10" fontId="0" fillId="42" borderId="0" xfId="43" applyNumberFormat="1" applyFont="1" applyFill="1" applyAlignment="1" applyProtection="1">
      <alignment horizontal="center"/>
      <protection locked="0"/>
    </xf>
    <xf numFmtId="173" fontId="0" fillId="42" borderId="0" xfId="44" applyNumberFormat="1" applyFont="1" applyFill="1" applyProtection="1">
      <protection locked="0"/>
    </xf>
    <xf numFmtId="171" fontId="0" fillId="42" borderId="0" xfId="43" applyNumberFormat="1" applyFont="1" applyFill="1" applyProtection="1">
      <protection locked="0"/>
    </xf>
    <xf numFmtId="177" fontId="46" fillId="42" borderId="0" xfId="0" applyFont="1" applyFill="1" applyProtection="1">
      <protection locked="0"/>
    </xf>
    <xf numFmtId="0" fontId="0" fillId="42" borderId="0" xfId="0" applyNumberFormat="1" applyFill="1" applyAlignment="1" applyProtection="1">
      <alignment horizontal="center"/>
      <protection locked="0"/>
    </xf>
    <xf numFmtId="171" fontId="0" fillId="42" borderId="0" xfId="0" applyNumberFormat="1" applyFill="1" applyAlignment="1" applyProtection="1">
      <alignment horizontal="center"/>
      <protection locked="0"/>
    </xf>
    <xf numFmtId="171" fontId="0" fillId="42" borderId="0" xfId="0" quotePrefix="1" applyNumberFormat="1" applyFill="1" applyAlignment="1" applyProtection="1">
      <alignment horizontal="center"/>
      <protection locked="0"/>
    </xf>
    <xf numFmtId="173" fontId="0" fillId="42" borderId="0" xfId="44" applyNumberFormat="1" applyFont="1" applyFill="1" applyAlignment="1" applyProtection="1">
      <alignment horizontal="center"/>
      <protection locked="0"/>
    </xf>
    <xf numFmtId="12" fontId="47" fillId="42" borderId="0" xfId="0" applyNumberFormat="1" applyFont="1" applyFill="1" applyAlignment="1" applyProtection="1">
      <alignment horizontal="center"/>
      <protection locked="0"/>
    </xf>
    <xf numFmtId="172" fontId="0" fillId="42" borderId="0" xfId="0" applyNumberFormat="1" applyFill="1" applyProtection="1">
      <protection locked="0"/>
    </xf>
    <xf numFmtId="177" fontId="0" fillId="0" borderId="0" xfId="0" applyFill="1" applyAlignment="1" applyProtection="1">
      <alignment horizontal="center"/>
      <protection locked="0"/>
    </xf>
    <xf numFmtId="168" fontId="0" fillId="42" borderId="0" xfId="44" applyFont="1" applyFill="1" applyProtection="1">
      <protection locked="0"/>
    </xf>
    <xf numFmtId="177" fontId="15" fillId="42" borderId="0" xfId="0" applyFont="1" applyFill="1" applyProtection="1">
      <protection locked="0"/>
    </xf>
    <xf numFmtId="177" fontId="0" fillId="42" borderId="0" xfId="0" applyFont="1" applyFill="1" applyProtection="1">
      <protection locked="0"/>
    </xf>
    <xf numFmtId="186" fontId="0" fillId="42" borderId="0" xfId="0" applyNumberFormat="1" applyFill="1" applyAlignment="1" applyProtection="1">
      <alignment horizontal="center"/>
      <protection locked="0"/>
    </xf>
    <xf numFmtId="0" fontId="46" fillId="42" borderId="0" xfId="0" quotePrefix="1" applyNumberFormat="1" applyFont="1" applyFill="1" applyAlignment="1" applyProtection="1">
      <alignment horizontal="center"/>
      <protection locked="0"/>
    </xf>
    <xf numFmtId="177" fontId="19" fillId="42" borderId="0" xfId="0" applyFont="1" applyFill="1" applyProtection="1">
      <protection locked="0"/>
    </xf>
    <xf numFmtId="177" fontId="0" fillId="42" borderId="0" xfId="0" applyFill="1" applyAlignment="1" applyProtection="1">
      <alignment horizontal="left" vertical="top" wrapText="1"/>
      <protection locked="0"/>
    </xf>
    <xf numFmtId="173" fontId="39" fillId="42" borderId="0" xfId="44" applyNumberFormat="1" applyFont="1" applyFill="1" applyAlignment="1" applyProtection="1">
      <alignment horizontal="center"/>
      <protection locked="0"/>
    </xf>
    <xf numFmtId="185" fontId="0" fillId="42" borderId="0" xfId="0" applyNumberFormat="1" applyFill="1" applyProtection="1"/>
    <xf numFmtId="167" fontId="79" fillId="61" borderId="0" xfId="44" quotePrefix="1" applyNumberFormat="1" applyFont="1" applyFill="1" applyProtection="1"/>
    <xf numFmtId="177" fontId="0" fillId="42" borderId="0" xfId="0" applyFill="1" applyProtection="1"/>
    <xf numFmtId="191" fontId="0" fillId="42" borderId="0" xfId="0" applyNumberFormat="1" applyFill="1" applyProtection="1"/>
    <xf numFmtId="177" fontId="0" fillId="42" borderId="0" xfId="0" applyFill="1" applyAlignment="1" applyProtection="1">
      <alignment horizontal="center"/>
    </xf>
    <xf numFmtId="172" fontId="0" fillId="42" borderId="0" xfId="0" applyNumberForma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/>
    </xf>
    <xf numFmtId="1" fontId="0" fillId="42" borderId="0" xfId="0" applyNumberFormat="1" applyFill="1" applyAlignment="1" applyProtection="1">
      <alignment horizontal="center"/>
    </xf>
    <xf numFmtId="1" fontId="17" fillId="42" borderId="19" xfId="0" applyNumberFormat="1" applyFont="1" applyFill="1" applyBorder="1" applyAlignment="1" applyProtection="1">
      <alignment horizontal="center"/>
    </xf>
    <xf numFmtId="0" fontId="0" fillId="46" borderId="0" xfId="0" applyNumberFormat="1" applyFill="1" applyProtection="1"/>
    <xf numFmtId="10" fontId="2" fillId="42" borderId="19" xfId="43" applyNumberFormat="1" applyFill="1" applyBorder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10" fontId="0" fillId="42" borderId="0" xfId="43" applyNumberFormat="1" applyFont="1" applyFill="1" applyAlignment="1" applyProtection="1">
      <alignment horizontal="center"/>
    </xf>
    <xf numFmtId="183" fontId="0" fillId="42" borderId="0" xfId="43" applyNumberFormat="1" applyFont="1" applyFill="1" applyAlignment="1" applyProtection="1">
      <alignment horizontal="center"/>
    </xf>
    <xf numFmtId="171" fontId="39" fillId="42" borderId="0" xfId="43" applyNumberFormat="1" applyFont="1" applyFill="1" applyAlignment="1" applyProtection="1">
      <alignment horizontal="center"/>
    </xf>
    <xf numFmtId="0" fontId="0" fillId="42" borderId="0" xfId="0" applyNumberFormat="1" applyFill="1" applyAlignment="1" applyProtection="1">
      <alignment horizontal="center"/>
    </xf>
    <xf numFmtId="171" fontId="0" fillId="42" borderId="0" xfId="43" applyNumberFormat="1" applyFont="1" applyFill="1" applyAlignment="1" applyProtection="1">
      <alignment horizontal="center"/>
    </xf>
    <xf numFmtId="0" fontId="15" fillId="46" borderId="0" xfId="0" applyNumberFormat="1" applyFont="1" applyFill="1" applyProtection="1"/>
    <xf numFmtId="171" fontId="0" fillId="42" borderId="0" xfId="0" applyNumberFormat="1" applyFill="1" applyAlignment="1" applyProtection="1">
      <alignment horizontal="center"/>
    </xf>
    <xf numFmtId="177" fontId="39" fillId="42" borderId="0" xfId="0" applyFont="1" applyFill="1" applyAlignment="1" applyProtection="1">
      <alignment horizontal="center"/>
    </xf>
    <xf numFmtId="177" fontId="0" fillId="0" borderId="0" xfId="0" applyFill="1" applyAlignment="1" applyProtection="1">
      <alignment horizontal="center"/>
    </xf>
    <xf numFmtId="177" fontId="0" fillId="39" borderId="0" xfId="0" applyFont="1" applyFill="1" applyAlignment="1" applyProtection="1">
      <alignment horizontal="center"/>
    </xf>
    <xf numFmtId="173" fontId="17" fillId="42" borderId="19" xfId="44" applyNumberFormat="1" applyFont="1" applyFill="1" applyBorder="1" applyAlignment="1" applyProtection="1">
      <alignment horizontal="center"/>
    </xf>
    <xf numFmtId="171" fontId="2" fillId="42" borderId="19" xfId="43" applyNumberFormat="1" applyFill="1" applyBorder="1" applyAlignment="1" applyProtection="1">
      <alignment horizontal="center"/>
    </xf>
    <xf numFmtId="171" fontId="39" fillId="42" borderId="0" xfId="0" applyNumberFormat="1" applyFont="1" applyFill="1" applyAlignment="1" applyProtection="1">
      <alignment horizontal="center"/>
    </xf>
    <xf numFmtId="171" fontId="2" fillId="42" borderId="0" xfId="43" applyNumberFormat="1" applyFont="1" applyFill="1" applyAlignment="1" applyProtection="1">
      <alignment horizontal="center"/>
    </xf>
    <xf numFmtId="0" fontId="46" fillId="46" borderId="0" xfId="0" quotePrefix="1" applyNumberFormat="1" applyFont="1" applyFill="1" applyAlignment="1" applyProtection="1">
      <alignment horizontal="center"/>
    </xf>
    <xf numFmtId="177" fontId="14" fillId="55" borderId="0" xfId="0" applyFont="1" applyFill="1" applyProtection="1"/>
    <xf numFmtId="173" fontId="0" fillId="42" borderId="0" xfId="0" applyNumberFormat="1" applyFill="1" applyAlignment="1" applyProtection="1">
      <alignment horizontal="center"/>
    </xf>
    <xf numFmtId="177" fontId="0" fillId="39" borderId="0" xfId="0" applyFill="1" applyAlignment="1" applyProtection="1">
      <alignment horizontal="center"/>
    </xf>
    <xf numFmtId="0" fontId="46" fillId="42" borderId="0" xfId="0" quotePrefix="1" applyNumberFormat="1" applyFont="1" applyFill="1" applyAlignment="1" applyProtection="1">
      <alignment horizontal="center"/>
    </xf>
    <xf numFmtId="0" fontId="0" fillId="42" borderId="0" xfId="43" applyNumberFormat="1" applyFont="1" applyFill="1" applyAlignment="1" applyProtection="1">
      <alignment horizontal="center"/>
    </xf>
    <xf numFmtId="171" fontId="25" fillId="42" borderId="0" xfId="0" applyNumberFormat="1" applyFont="1" applyFill="1" applyAlignment="1" applyProtection="1">
      <alignment horizontal="center"/>
      <protection locked="0"/>
    </xf>
    <xf numFmtId="177" fontId="42" fillId="42" borderId="0" xfId="0" applyFont="1" applyFill="1" applyAlignment="1" applyProtection="1">
      <alignment horizontal="center" vertical="center" wrapText="1"/>
      <protection locked="0"/>
    </xf>
    <xf numFmtId="0" fontId="28" fillId="42" borderId="0" xfId="0" applyNumberFormat="1" applyFont="1" applyFill="1" applyAlignment="1" applyProtection="1">
      <alignment horizontal="left" vertical="top"/>
      <protection locked="0"/>
    </xf>
    <xf numFmtId="0" fontId="25" fillId="42" borderId="0" xfId="0" applyNumberFormat="1" applyFont="1" applyFill="1" applyAlignment="1" applyProtection="1">
      <alignment horizontal="left" vertical="top"/>
      <protection locked="0"/>
    </xf>
    <xf numFmtId="173" fontId="25" fillId="42" borderId="0" xfId="44" applyNumberFormat="1" applyFont="1" applyFill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left" vertical="top"/>
      <protection locked="0"/>
    </xf>
    <xf numFmtId="177" fontId="25" fillId="42" borderId="0" xfId="0" applyFont="1" applyFill="1" applyBorder="1" applyProtection="1">
      <protection locked="0"/>
    </xf>
    <xf numFmtId="177" fontId="42" fillId="42" borderId="0" xfId="0" applyFont="1" applyFill="1" applyBorder="1" applyAlignment="1" applyProtection="1">
      <alignment horizontal="center" vertical="center" wrapText="1"/>
      <protection locked="0"/>
    </xf>
    <xf numFmtId="10" fontId="25" fillId="42" borderId="0" xfId="0" applyNumberFormat="1" applyFont="1" applyFill="1" applyBorder="1" applyAlignment="1" applyProtection="1">
      <alignment horizontal="right" vertical="top"/>
      <protection locked="0"/>
    </xf>
    <xf numFmtId="0" fontId="25" fillId="42" borderId="0" xfId="0" applyNumberFormat="1" applyFont="1" applyFill="1" applyBorder="1" applyAlignment="1" applyProtection="1">
      <alignment horizontal="left" vertical="top"/>
      <protection locked="0"/>
    </xf>
    <xf numFmtId="177" fontId="0" fillId="42" borderId="0" xfId="0" applyFill="1" applyBorder="1" applyAlignment="1" applyProtection="1">
      <alignment horizontal="center"/>
      <protection locked="0"/>
    </xf>
    <xf numFmtId="171" fontId="25" fillId="42" borderId="0" xfId="0" applyNumberFormat="1" applyFont="1" applyFill="1" applyBorder="1" applyAlignment="1" applyProtection="1">
      <alignment horizontal="center" vertical="center" wrapText="1"/>
      <protection locked="0"/>
    </xf>
    <xf numFmtId="177" fontId="25" fillId="42" borderId="0" xfId="0" applyFont="1" applyFill="1" applyBorder="1" applyAlignment="1" applyProtection="1">
      <alignment horizontal="center" vertical="center" wrapText="1"/>
      <protection locked="0"/>
    </xf>
    <xf numFmtId="177" fontId="25" fillId="42" borderId="0" xfId="0" applyFont="1" applyFill="1" applyAlignment="1" applyProtection="1">
      <alignment horizontal="center" vertical="center" wrapText="1"/>
      <protection locked="0"/>
    </xf>
    <xf numFmtId="177" fontId="25" fillId="42" borderId="0" xfId="0" applyFont="1" applyFill="1" applyBorder="1" applyAlignment="1" applyProtection="1">
      <alignment horizontal="center"/>
      <protection locked="0"/>
    </xf>
    <xf numFmtId="173" fontId="25" fillId="42" borderId="0" xfId="44" applyNumberFormat="1" applyFont="1" applyFill="1" applyBorder="1" applyAlignment="1" applyProtection="1">
      <alignment horizontal="left" vertical="top"/>
      <protection locked="0"/>
    </xf>
    <xf numFmtId="177" fontId="0" fillId="42" borderId="0" xfId="0" applyFill="1" applyBorder="1" applyProtection="1">
      <protection locked="0"/>
    </xf>
    <xf numFmtId="177" fontId="28" fillId="54" borderId="0" xfId="0" quotePrefix="1" applyFont="1" applyFill="1" applyBorder="1" applyAlignment="1" applyProtection="1">
      <alignment horizontal="center"/>
      <protection locked="0"/>
    </xf>
    <xf numFmtId="10" fontId="0" fillId="42" borderId="0" xfId="43" applyNumberFormat="1" applyFont="1" applyFill="1" applyBorder="1" applyAlignment="1" applyProtection="1">
      <alignment horizontal="center"/>
      <protection locked="0"/>
    </xf>
    <xf numFmtId="171" fontId="25" fillId="42" borderId="0" xfId="43" applyNumberFormat="1" applyFont="1" applyFill="1" applyBorder="1" applyAlignment="1" applyProtection="1">
      <alignment horizontal="center"/>
      <protection locked="0"/>
    </xf>
    <xf numFmtId="164" fontId="25" fillId="42" borderId="0" xfId="0" applyNumberFormat="1" applyFont="1" applyFill="1" applyProtection="1">
      <protection locked="0"/>
    </xf>
    <xf numFmtId="177" fontId="25" fillId="0" borderId="0" xfId="0" applyFont="1" applyProtection="1">
      <protection locked="0"/>
    </xf>
    <xf numFmtId="173" fontId="25" fillId="42" borderId="0" xfId="0" applyNumberFormat="1" applyFont="1" applyFill="1" applyBorder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center"/>
      <protection locked="0"/>
    </xf>
    <xf numFmtId="2" fontId="70" fillId="0" borderId="0" xfId="0" applyNumberFormat="1" applyFont="1" applyProtection="1">
      <protection locked="0"/>
    </xf>
    <xf numFmtId="173" fontId="25" fillId="42" borderId="0" xfId="44" applyNumberFormat="1" applyFont="1" applyFill="1" applyAlignment="1" applyProtection="1">
      <alignment horizontal="center"/>
      <protection locked="0"/>
    </xf>
    <xf numFmtId="177" fontId="39" fillId="42" borderId="0" xfId="0" applyFont="1" applyFill="1" applyBorder="1" applyAlignment="1" applyProtection="1">
      <alignment horizontal="left"/>
      <protection locked="0"/>
    </xf>
    <xf numFmtId="173" fontId="39" fillId="42" borderId="0" xfId="44" applyNumberFormat="1" applyFont="1" applyFill="1" applyBorder="1" applyAlignment="1" applyProtection="1">
      <alignment horizontal="center"/>
      <protection locked="0"/>
    </xf>
    <xf numFmtId="177" fontId="39" fillId="42" borderId="0" xfId="0" applyFont="1" applyFill="1" applyBorder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center" vertical="center" wrapText="1"/>
      <protection locked="0"/>
    </xf>
    <xf numFmtId="177" fontId="27" fillId="42" borderId="0" xfId="26" applyFont="1" applyFill="1" applyBorder="1" applyAlignment="1" applyProtection="1">
      <alignment horizontal="center" vertical="center" wrapText="1"/>
      <protection locked="0"/>
    </xf>
    <xf numFmtId="177" fontId="25" fillId="0" borderId="0" xfId="0" applyFont="1" applyAlignment="1" applyProtection="1">
      <alignment horizontal="center" vertical="center" wrapText="1"/>
      <protection locked="0"/>
    </xf>
    <xf numFmtId="9" fontId="24" fillId="36" borderId="0" xfId="43" applyFont="1" applyFill="1" applyAlignment="1" applyProtection="1">
      <alignment horizontal="center"/>
      <protection locked="0"/>
    </xf>
    <xf numFmtId="0" fontId="27" fillId="47" borderId="0" xfId="26" applyNumberFormat="1" applyFont="1" applyFill="1" applyAlignment="1" applyProtection="1">
      <alignment horizontal="center" vertical="center" wrapText="1"/>
      <protection locked="0"/>
    </xf>
    <xf numFmtId="177" fontId="25" fillId="42" borderId="0" xfId="0" pivotButton="1" applyFont="1" applyFill="1" applyProtection="1">
      <protection locked="0"/>
    </xf>
    <xf numFmtId="177" fontId="28" fillId="42" borderId="0" xfId="0" applyFont="1" applyFill="1" applyAlignment="1" applyProtection="1">
      <alignment horizontal="center"/>
      <protection locked="0"/>
    </xf>
    <xf numFmtId="0" fontId="25" fillId="42" borderId="0" xfId="0" applyNumberFormat="1" applyFont="1" applyFill="1" applyBorder="1" applyProtection="1">
      <protection locked="0"/>
    </xf>
    <xf numFmtId="0" fontId="25" fillId="42" borderId="0" xfId="0" applyNumberFormat="1" applyFont="1" applyFill="1" applyBorder="1" applyAlignment="1" applyProtection="1">
      <alignment horizontal="center"/>
      <protection locked="0"/>
    </xf>
    <xf numFmtId="177" fontId="41" fillId="42" borderId="0" xfId="0" applyFont="1" applyFill="1" applyProtection="1">
      <protection locked="0"/>
    </xf>
    <xf numFmtId="177" fontId="24" fillId="42" borderId="0" xfId="0" applyFont="1" applyFill="1" applyAlignment="1" applyProtection="1">
      <alignment horizontal="center"/>
      <protection locked="0"/>
    </xf>
    <xf numFmtId="170" fontId="24" fillId="42" borderId="0" xfId="0" applyNumberFormat="1" applyFont="1" applyFill="1" applyAlignment="1" applyProtection="1">
      <alignment horizontal="center"/>
      <protection locked="0"/>
    </xf>
    <xf numFmtId="0" fontId="24" fillId="42" borderId="0" xfId="0" applyNumberFormat="1" applyFont="1" applyFill="1" applyAlignment="1" applyProtection="1">
      <alignment horizontal="center"/>
      <protection locked="0"/>
    </xf>
    <xf numFmtId="173" fontId="32" fillId="42" borderId="0" xfId="0" applyNumberFormat="1" applyFont="1" applyFill="1" applyAlignment="1" applyProtection="1">
      <alignment horizontal="center"/>
      <protection locked="0"/>
    </xf>
    <xf numFmtId="173" fontId="24" fillId="42" borderId="0" xfId="0" applyNumberFormat="1" applyFont="1" applyFill="1" applyAlignment="1" applyProtection="1">
      <alignment horizontal="center"/>
      <protection locked="0"/>
    </xf>
    <xf numFmtId="9" fontId="24" fillId="42" borderId="0" xfId="43" applyFont="1" applyFill="1" applyAlignment="1" applyProtection="1">
      <alignment horizontal="center"/>
      <protection locked="0"/>
    </xf>
    <xf numFmtId="0" fontId="25" fillId="42" borderId="21" xfId="0" applyNumberFormat="1" applyFont="1" applyFill="1" applyBorder="1" applyAlignment="1" applyProtection="1">
      <alignment horizontal="center"/>
      <protection locked="0"/>
    </xf>
    <xf numFmtId="177" fontId="25" fillId="42" borderId="0" xfId="0" applyFont="1" applyFill="1" applyAlignment="1" applyProtection="1">
      <alignment horizontal="left"/>
      <protection locked="0"/>
    </xf>
    <xf numFmtId="10" fontId="25" fillId="42" borderId="0" xfId="43" applyNumberFormat="1" applyFont="1" applyFill="1" applyAlignment="1" applyProtection="1">
      <alignment horizontal="center"/>
      <protection locked="0"/>
    </xf>
    <xf numFmtId="173" fontId="25" fillId="42" borderId="0" xfId="0" applyNumberFormat="1" applyFont="1" applyFill="1" applyProtection="1">
      <protection locked="0"/>
    </xf>
    <xf numFmtId="2" fontId="25" fillId="42" borderId="0" xfId="0" applyNumberFormat="1" applyFont="1" applyFill="1" applyAlignment="1" applyProtection="1">
      <alignment horizontal="center"/>
      <protection locked="0"/>
    </xf>
    <xf numFmtId="2" fontId="25" fillId="42" borderId="0" xfId="43" applyNumberFormat="1" applyFont="1" applyFill="1" applyAlignment="1" applyProtection="1">
      <alignment horizontal="center"/>
      <protection locked="0"/>
    </xf>
    <xf numFmtId="171" fontId="29" fillId="42" borderId="0" xfId="43" applyNumberFormat="1" applyFont="1" applyFill="1" applyAlignment="1" applyProtection="1">
      <alignment horizontal="center"/>
      <protection locked="0"/>
    </xf>
    <xf numFmtId="165" fontId="25" fillId="42" borderId="0" xfId="0" applyNumberFormat="1" applyFont="1" applyFill="1" applyAlignment="1" applyProtection="1">
      <alignment horizontal="center"/>
      <protection locked="0"/>
    </xf>
    <xf numFmtId="177" fontId="27" fillId="42" borderId="0" xfId="26" applyFont="1" applyFill="1" applyAlignment="1" applyProtection="1">
      <alignment horizontal="center" vertical="center" wrapText="1"/>
      <protection locked="0"/>
    </xf>
    <xf numFmtId="177" fontId="0" fillId="48" borderId="0" xfId="0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center"/>
      <protection locked="0"/>
    </xf>
    <xf numFmtId="170" fontId="25" fillId="0" borderId="0" xfId="0" applyNumberFormat="1" applyFont="1" applyFill="1" applyAlignment="1" applyProtection="1">
      <alignment horizontal="center"/>
      <protection locked="0"/>
    </xf>
    <xf numFmtId="2" fontId="25" fillId="0" borderId="0" xfId="43" applyNumberFormat="1" applyFont="1" applyFill="1" applyAlignment="1" applyProtection="1">
      <alignment horizontal="center"/>
      <protection locked="0"/>
    </xf>
    <xf numFmtId="173" fontId="0" fillId="0" borderId="0" xfId="44" applyNumberFormat="1" applyFont="1" applyFill="1" applyBorder="1" applyAlignment="1" applyProtection="1">
      <alignment horizontal="center"/>
      <protection locked="0"/>
    </xf>
    <xf numFmtId="177" fontId="0" fillId="0" borderId="0" xfId="0" applyFill="1" applyBorder="1" applyAlignment="1" applyProtection="1">
      <alignment horizontal="center"/>
      <protection locked="0"/>
    </xf>
    <xf numFmtId="177" fontId="0" fillId="0" borderId="11" xfId="0" applyFill="1" applyBorder="1" applyAlignment="1" applyProtection="1">
      <alignment horizontal="center"/>
      <protection locked="0"/>
    </xf>
    <xf numFmtId="0" fontId="25" fillId="0" borderId="11" xfId="0" applyNumberFormat="1" applyFont="1" applyFill="1" applyBorder="1" applyAlignment="1" applyProtection="1">
      <alignment horizontal="center"/>
      <protection locked="0"/>
    </xf>
    <xf numFmtId="0" fontId="25" fillId="0" borderId="0" xfId="0" applyNumberFormat="1" applyFont="1" applyFill="1" applyAlignment="1" applyProtection="1">
      <alignment horizontal="center"/>
      <protection locked="0"/>
    </xf>
    <xf numFmtId="173" fontId="0" fillId="42" borderId="0" xfId="44" applyNumberFormat="1" applyFont="1" applyFill="1" applyBorder="1" applyAlignment="1" applyProtection="1">
      <alignment horizontal="center"/>
      <protection locked="0"/>
    </xf>
    <xf numFmtId="9" fontId="0" fillId="42" borderId="0" xfId="43" applyFont="1" applyFill="1" applyAlignment="1" applyProtection="1">
      <alignment horizontal="center"/>
      <protection locked="0"/>
    </xf>
    <xf numFmtId="173" fontId="25" fillId="42" borderId="0" xfId="0" applyNumberFormat="1" applyFont="1" applyFill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left"/>
      <protection locked="0"/>
    </xf>
    <xf numFmtId="170" fontId="25" fillId="39" borderId="0" xfId="0" applyNumberFormat="1" applyFont="1" applyFill="1" applyAlignment="1" applyProtection="1">
      <alignment horizontal="center"/>
      <protection locked="0"/>
    </xf>
    <xf numFmtId="173" fontId="25" fillId="39" borderId="0" xfId="44" applyNumberFormat="1" applyFont="1" applyFill="1" applyAlignment="1" applyProtection="1">
      <alignment horizontal="center"/>
      <protection locked="0"/>
    </xf>
    <xf numFmtId="2" fontId="25" fillId="39" borderId="0" xfId="43" applyNumberFormat="1" applyFont="1" applyFill="1" applyAlignment="1" applyProtection="1">
      <alignment horizontal="center"/>
      <protection locked="0"/>
    </xf>
    <xf numFmtId="173" fontId="0" fillId="39" borderId="0" xfId="44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Alignment="1" applyProtection="1">
      <alignment horizontal="left"/>
      <protection locked="0"/>
    </xf>
    <xf numFmtId="177" fontId="0" fillId="39" borderId="0" xfId="0" applyFill="1" applyProtection="1">
      <protection locked="0"/>
    </xf>
    <xf numFmtId="0" fontId="25" fillId="39" borderId="0" xfId="0" applyNumberFormat="1" applyFont="1" applyFill="1" applyAlignment="1" applyProtection="1">
      <alignment horizontal="center"/>
      <protection locked="0"/>
    </xf>
    <xf numFmtId="2" fontId="21" fillId="42" borderId="23" xfId="45" applyNumberFormat="1" applyFont="1" applyFill="1" applyBorder="1" applyProtection="1">
      <protection locked="0"/>
    </xf>
    <xf numFmtId="172" fontId="25" fillId="42" borderId="0" xfId="43" applyNumberFormat="1" applyFont="1" applyFill="1" applyAlignment="1" applyProtection="1">
      <alignment horizontal="center"/>
      <protection locked="0"/>
    </xf>
    <xf numFmtId="173" fontId="25" fillId="0" borderId="0" xfId="44" applyNumberFormat="1" applyFont="1" applyFill="1" applyAlignment="1" applyProtection="1">
      <alignment horizontal="center"/>
      <protection locked="0"/>
    </xf>
    <xf numFmtId="177" fontId="25" fillId="42" borderId="0" xfId="0" quotePrefix="1" applyFont="1" applyFill="1" applyAlignment="1" applyProtection="1">
      <alignment horizontal="center"/>
      <protection locked="0"/>
    </xf>
    <xf numFmtId="1" fontId="25" fillId="42" borderId="0" xfId="0" applyNumberFormat="1" applyFont="1" applyFill="1" applyAlignment="1" applyProtection="1">
      <alignment horizontal="center"/>
      <protection locked="0"/>
    </xf>
    <xf numFmtId="167" fontId="25" fillId="0" borderId="0" xfId="44" applyNumberFormat="1" applyFont="1" applyFill="1" applyAlignment="1" applyProtection="1">
      <alignment horizontal="center"/>
      <protection locked="0"/>
    </xf>
    <xf numFmtId="167" fontId="25" fillId="42" borderId="0" xfId="44" applyNumberFormat="1" applyFont="1" applyFill="1" applyAlignment="1" applyProtection="1">
      <alignment horizontal="center"/>
      <protection locked="0"/>
    </xf>
    <xf numFmtId="170" fontId="28" fillId="42" borderId="0" xfId="0" applyNumberFormat="1" applyFont="1" applyFill="1" applyAlignment="1" applyProtection="1">
      <alignment horizontal="center"/>
      <protection locked="0"/>
    </xf>
    <xf numFmtId="172" fontId="25" fillId="42" borderId="0" xfId="0" applyNumberFormat="1" applyFont="1" applyFill="1" applyAlignment="1" applyProtection="1">
      <alignment horizontal="center"/>
      <protection locked="0"/>
    </xf>
    <xf numFmtId="177" fontId="25" fillId="42" borderId="11" xfId="0" applyFont="1" applyFill="1" applyBorder="1" applyAlignment="1" applyProtection="1">
      <alignment horizontal="center"/>
      <protection locked="0"/>
    </xf>
    <xf numFmtId="0" fontId="25" fillId="42" borderId="31" xfId="0" applyNumberFormat="1" applyFont="1" applyFill="1" applyBorder="1" applyAlignment="1" applyProtection="1">
      <alignment horizontal="center"/>
      <protection locked="0"/>
    </xf>
    <xf numFmtId="177" fontId="25" fillId="42" borderId="11" xfId="0" applyFont="1" applyFill="1" applyBorder="1" applyAlignment="1" applyProtection="1">
      <alignment horizontal="left"/>
      <protection locked="0"/>
    </xf>
    <xf numFmtId="0" fontId="25" fillId="42" borderId="11" xfId="0" applyNumberFormat="1" applyFont="1" applyFill="1" applyBorder="1" applyAlignment="1" applyProtection="1">
      <alignment horizontal="center"/>
      <protection locked="0"/>
    </xf>
    <xf numFmtId="170" fontId="25" fillId="42" borderId="11" xfId="0" applyNumberFormat="1" applyFont="1" applyFill="1" applyBorder="1" applyAlignment="1" applyProtection="1">
      <alignment horizontal="center"/>
      <protection locked="0"/>
    </xf>
    <xf numFmtId="171" fontId="25" fillId="42" borderId="11" xfId="43" applyNumberFormat="1" applyFont="1" applyFill="1" applyBorder="1" applyAlignment="1" applyProtection="1">
      <alignment horizontal="center"/>
      <protection locked="0"/>
    </xf>
    <xf numFmtId="173" fontId="25" fillId="42" borderId="11" xfId="0" applyNumberFormat="1" applyFont="1" applyFill="1" applyBorder="1" applyAlignment="1" applyProtection="1">
      <alignment horizontal="center"/>
      <protection locked="0"/>
    </xf>
    <xf numFmtId="1" fontId="25" fillId="42" borderId="11" xfId="0" applyNumberFormat="1" applyFont="1" applyFill="1" applyBorder="1" applyAlignment="1" applyProtection="1">
      <alignment horizontal="center"/>
      <protection locked="0"/>
    </xf>
    <xf numFmtId="167" fontId="25" fillId="42" borderId="11" xfId="44" applyNumberFormat="1" applyFont="1" applyFill="1" applyBorder="1" applyAlignment="1" applyProtection="1">
      <alignment horizontal="center"/>
      <protection locked="0"/>
    </xf>
    <xf numFmtId="2" fontId="25" fillId="42" borderId="11" xfId="43" applyNumberFormat="1" applyFont="1" applyFill="1" applyBorder="1" applyAlignment="1" applyProtection="1">
      <alignment horizontal="center"/>
      <protection locked="0"/>
    </xf>
    <xf numFmtId="171" fontId="29" fillId="42" borderId="11" xfId="43" applyNumberFormat="1" applyFont="1" applyFill="1" applyBorder="1" applyAlignment="1" applyProtection="1">
      <alignment horizontal="center"/>
      <protection locked="0"/>
    </xf>
    <xf numFmtId="172" fontId="25" fillId="42" borderId="11" xfId="43" applyNumberFormat="1" applyFont="1" applyFill="1" applyBorder="1" applyAlignment="1" applyProtection="1">
      <alignment horizontal="center"/>
      <protection locked="0"/>
    </xf>
    <xf numFmtId="165" fontId="25" fillId="42" borderId="11" xfId="0" applyNumberFormat="1" applyFont="1" applyFill="1" applyBorder="1" applyAlignment="1" applyProtection="1">
      <alignment horizontal="center"/>
      <protection locked="0"/>
    </xf>
    <xf numFmtId="0" fontId="25" fillId="42" borderId="30" xfId="0" applyNumberFormat="1" applyFont="1" applyFill="1" applyBorder="1" applyAlignment="1" applyProtection="1">
      <alignment horizontal="center"/>
      <protection locked="0"/>
    </xf>
    <xf numFmtId="170" fontId="25" fillId="42" borderId="0" xfId="43" applyNumberFormat="1" applyFont="1" applyFill="1" applyAlignment="1" applyProtection="1">
      <alignment horizontal="center"/>
      <protection locked="0"/>
    </xf>
    <xf numFmtId="167" fontId="25" fillId="39" borderId="0" xfId="44" applyNumberFormat="1" applyFont="1" applyFill="1" applyAlignment="1" applyProtection="1">
      <alignment horizontal="center"/>
      <protection locked="0"/>
    </xf>
    <xf numFmtId="165" fontId="25" fillId="55" borderId="0" xfId="0" applyNumberFormat="1" applyFont="1" applyFill="1" applyAlignment="1" applyProtection="1">
      <alignment horizontal="center"/>
      <protection locked="0"/>
    </xf>
    <xf numFmtId="177" fontId="25" fillId="35" borderId="0" xfId="0" applyFont="1" applyFill="1" applyAlignment="1" applyProtection="1">
      <alignment horizontal="center"/>
      <protection locked="0"/>
    </xf>
    <xf numFmtId="177" fontId="25" fillId="35" borderId="0" xfId="0" applyFont="1" applyFill="1" applyAlignment="1" applyProtection="1">
      <alignment horizontal="left"/>
      <protection locked="0"/>
    </xf>
    <xf numFmtId="0" fontId="25" fillId="35" borderId="0" xfId="0" applyNumberFormat="1" applyFont="1" applyFill="1" applyAlignment="1" applyProtection="1">
      <alignment horizontal="center"/>
      <protection locked="0"/>
    </xf>
    <xf numFmtId="175" fontId="25" fillId="42" borderId="0" xfId="43" applyNumberFormat="1" applyFont="1" applyFill="1" applyAlignment="1" applyProtection="1">
      <alignment horizontal="center"/>
      <protection locked="0"/>
    </xf>
    <xf numFmtId="171" fontId="21" fillId="42" borderId="0" xfId="43" applyNumberFormat="1" applyFont="1" applyFill="1" applyAlignment="1" applyProtection="1">
      <alignment horizontal="center"/>
      <protection locked="0"/>
    </xf>
    <xf numFmtId="177" fontId="23" fillId="42" borderId="0" xfId="26" applyFont="1" applyFill="1" applyAlignment="1" applyProtection="1">
      <alignment horizontal="center" vertical="center" wrapText="1"/>
      <protection locked="0"/>
    </xf>
    <xf numFmtId="1" fontId="25" fillId="42" borderId="0" xfId="0" applyNumberFormat="1" applyFont="1" applyFill="1" applyProtection="1">
      <protection locked="0"/>
    </xf>
    <xf numFmtId="1" fontId="24" fillId="36" borderId="11" xfId="0" applyNumberFormat="1" applyFont="1" applyFill="1" applyBorder="1" applyAlignment="1" applyProtection="1">
      <alignment horizontal="center"/>
      <protection locked="0"/>
    </xf>
    <xf numFmtId="0" fontId="32" fillId="46" borderId="0" xfId="0" applyNumberFormat="1" applyFont="1" applyFill="1" applyAlignment="1" applyProtection="1">
      <alignment horizontal="center"/>
      <protection locked="0"/>
    </xf>
    <xf numFmtId="1" fontId="25" fillId="0" borderId="0" xfId="0" applyNumberFormat="1" applyFont="1" applyProtection="1">
      <protection locked="0"/>
    </xf>
    <xf numFmtId="177" fontId="32" fillId="42" borderId="0" xfId="0" quotePrefix="1" applyFont="1" applyFill="1" applyAlignment="1" applyProtection="1">
      <alignment horizontal="left"/>
      <protection locked="0"/>
    </xf>
    <xf numFmtId="177" fontId="68" fillId="42" borderId="0" xfId="0" applyFont="1" applyFill="1" applyAlignment="1" applyProtection="1">
      <alignment horizontal="center"/>
      <protection locked="0"/>
    </xf>
    <xf numFmtId="177" fontId="24" fillId="36" borderId="11" xfId="0" applyFont="1" applyFill="1" applyBorder="1" applyAlignment="1" applyProtection="1">
      <alignment horizontal="center"/>
      <protection locked="0"/>
    </xf>
    <xf numFmtId="0" fontId="25" fillId="0" borderId="0" xfId="0" applyNumberFormat="1" applyFont="1" applyProtection="1">
      <protection locked="0"/>
    </xf>
    <xf numFmtId="0" fontId="25" fillId="0" borderId="0" xfId="0" applyNumberFormat="1" applyFont="1" applyAlignment="1" applyProtection="1">
      <alignment horizontal="center"/>
      <protection locked="0"/>
    </xf>
    <xf numFmtId="177" fontId="21" fillId="42" borderId="0" xfId="0" applyFont="1" applyFill="1" applyAlignment="1" applyProtection="1">
      <alignment horizontal="center"/>
      <protection locked="0"/>
    </xf>
    <xf numFmtId="2" fontId="25" fillId="42" borderId="0" xfId="0" applyNumberFormat="1" applyFont="1" applyFill="1" applyProtection="1">
      <protection locked="0"/>
    </xf>
    <xf numFmtId="188" fontId="25" fillId="42" borderId="0" xfId="0" applyNumberFormat="1" applyFont="1" applyFill="1" applyProtection="1">
      <protection locked="0"/>
    </xf>
    <xf numFmtId="177" fontId="28" fillId="0" borderId="0" xfId="0" applyFont="1" applyFill="1" applyProtection="1">
      <protection locked="0"/>
    </xf>
    <xf numFmtId="177" fontId="21" fillId="42" borderId="0" xfId="0" applyFont="1" applyFill="1" applyProtection="1">
      <protection locked="0"/>
    </xf>
    <xf numFmtId="177" fontId="28" fillId="0" borderId="0" xfId="0" applyFont="1" applyFill="1" applyAlignment="1" applyProtection="1">
      <alignment horizontal="center"/>
      <protection locked="0"/>
    </xf>
    <xf numFmtId="177" fontId="21" fillId="0" borderId="0" xfId="0" applyFont="1" applyFill="1" applyAlignment="1" applyProtection="1">
      <alignment horizontal="center"/>
      <protection locked="0"/>
    </xf>
    <xf numFmtId="2" fontId="25" fillId="0" borderId="0" xfId="0" applyNumberFormat="1" applyFont="1" applyFill="1" applyProtection="1">
      <protection locked="0"/>
    </xf>
    <xf numFmtId="0" fontId="25" fillId="0" borderId="0" xfId="0" applyNumberFormat="1" applyFont="1" applyFill="1" applyProtection="1">
      <protection locked="0"/>
    </xf>
    <xf numFmtId="188" fontId="25" fillId="0" borderId="0" xfId="0" applyNumberFormat="1" applyFont="1" applyFill="1" applyProtection="1">
      <protection locked="0"/>
    </xf>
    <xf numFmtId="177" fontId="54" fillId="40" borderId="24" xfId="26" applyFont="1" applyFill="1" applyBorder="1" applyAlignment="1" applyProtection="1">
      <alignment horizontal="center" vertical="center" wrapText="1"/>
      <protection locked="0"/>
    </xf>
    <xf numFmtId="177" fontId="54" fillId="40" borderId="23" xfId="26" applyFont="1" applyFill="1" applyBorder="1" applyAlignment="1" applyProtection="1">
      <alignment horizontal="center" vertical="center" wrapText="1"/>
      <protection locked="0"/>
    </xf>
    <xf numFmtId="177" fontId="30" fillId="40" borderId="23" xfId="26" applyFont="1" applyFill="1" applyBorder="1" applyAlignment="1" applyProtection="1">
      <alignment vertical="center" wrapText="1"/>
      <protection locked="0"/>
    </xf>
    <xf numFmtId="177" fontId="26" fillId="40" borderId="23" xfId="26" applyFont="1" applyFill="1" applyBorder="1" applyAlignment="1" applyProtection="1">
      <alignment horizontal="center" vertical="center" wrapText="1"/>
      <protection locked="0"/>
    </xf>
    <xf numFmtId="177" fontId="30" fillId="40" borderId="23" xfId="26" applyFont="1" applyFill="1" applyBorder="1" applyAlignment="1" applyProtection="1">
      <alignment horizontal="center" vertical="center" wrapText="1"/>
      <protection locked="0"/>
    </xf>
    <xf numFmtId="2" fontId="30" fillId="40" borderId="23" xfId="26" applyNumberFormat="1" applyFont="1" applyFill="1" applyBorder="1" applyAlignment="1" applyProtection="1">
      <alignment horizontal="center" vertical="center" wrapText="1"/>
      <protection locked="0"/>
    </xf>
    <xf numFmtId="177" fontId="31" fillId="40" borderId="25" xfId="26" applyFont="1" applyFill="1" applyBorder="1" applyAlignment="1" applyProtection="1">
      <alignment horizontal="center" vertical="center" wrapText="1"/>
      <protection locked="0"/>
    </xf>
    <xf numFmtId="177" fontId="31" fillId="0" borderId="25" xfId="26" applyFont="1" applyFill="1" applyBorder="1" applyAlignment="1" applyProtection="1">
      <alignment horizontal="center" vertical="center" wrapText="1"/>
      <protection locked="0"/>
    </xf>
    <xf numFmtId="177" fontId="31" fillId="40" borderId="0" xfId="26" applyFont="1" applyFill="1" applyBorder="1" applyAlignment="1" applyProtection="1">
      <alignment horizontal="center" vertical="center" wrapText="1"/>
      <protection locked="0"/>
    </xf>
    <xf numFmtId="177" fontId="80" fillId="62" borderId="0" xfId="0" applyFont="1" applyFill="1" applyAlignment="1" applyProtection="1">
      <alignment horizontal="center" vertical="center"/>
      <protection locked="0"/>
    </xf>
    <xf numFmtId="14" fontId="21" fillId="42" borderId="0" xfId="0" applyNumberFormat="1" applyFont="1" applyFill="1" applyAlignment="1" applyProtection="1">
      <alignment horizontal="center"/>
      <protection locked="0"/>
    </xf>
    <xf numFmtId="177" fontId="21" fillId="42" borderId="23" xfId="45" applyFont="1" applyFill="1" applyBorder="1" applyAlignment="1" applyProtection="1">
      <alignment horizontal="center"/>
      <protection locked="0"/>
    </xf>
    <xf numFmtId="177" fontId="25" fillId="0" borderId="23" xfId="0" applyFont="1" applyFill="1" applyBorder="1" applyAlignment="1" applyProtection="1">
      <alignment horizontal="center"/>
      <protection locked="0"/>
    </xf>
    <xf numFmtId="177" fontId="25" fillId="42" borderId="23" xfId="0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Alignment="1" applyProtection="1">
      <alignment horizontal="center"/>
      <protection locked="0"/>
    </xf>
    <xf numFmtId="178" fontId="25" fillId="42" borderId="0" xfId="44" applyNumberFormat="1" applyFont="1" applyFill="1" applyAlignment="1" applyProtection="1">
      <alignment horizontal="center"/>
      <protection locked="0"/>
    </xf>
    <xf numFmtId="173" fontId="32" fillId="42" borderId="23" xfId="44" applyNumberFormat="1" applyFont="1" applyFill="1" applyBorder="1" applyAlignment="1" applyProtection="1">
      <alignment horizontal="center"/>
      <protection locked="0"/>
    </xf>
    <xf numFmtId="173" fontId="25" fillId="42" borderId="23" xfId="44" applyNumberFormat="1" applyFont="1" applyFill="1" applyBorder="1" applyProtection="1">
      <protection locked="0"/>
    </xf>
    <xf numFmtId="165" fontId="32" fillId="42" borderId="0" xfId="44" applyNumberFormat="1" applyFont="1" applyFill="1" applyAlignment="1" applyProtection="1">
      <alignment horizontal="center"/>
      <protection locked="0"/>
    </xf>
    <xf numFmtId="16" fontId="21" fillId="42" borderId="22" xfId="45" applyNumberFormat="1" applyFont="1" applyFill="1" applyBorder="1" applyAlignment="1" applyProtection="1">
      <alignment horizontal="center"/>
      <protection locked="0"/>
    </xf>
    <xf numFmtId="188" fontId="40" fillId="42" borderId="0" xfId="26" applyNumberFormat="1" applyFont="1" applyFill="1" applyAlignment="1" applyProtection="1">
      <alignment horizontal="center" vertical="center" wrapText="1"/>
      <protection locked="0"/>
    </xf>
    <xf numFmtId="2" fontId="28" fillId="0" borderId="0" xfId="0" applyNumberFormat="1" applyFont="1" applyFill="1" applyAlignment="1" applyProtection="1">
      <alignment horizontal="center"/>
      <protection locked="0"/>
    </xf>
    <xf numFmtId="188" fontId="40" fillId="0" borderId="0" xfId="26" applyNumberFormat="1" applyFont="1" applyFill="1" applyAlignment="1" applyProtection="1">
      <alignment horizontal="center" vertical="center" wrapText="1"/>
      <protection locked="0"/>
    </xf>
    <xf numFmtId="178" fontId="71" fillId="42" borderId="0" xfId="44" applyNumberFormat="1" applyFont="1" applyFill="1" applyAlignment="1" applyProtection="1">
      <alignment horizontal="center"/>
      <protection locked="0"/>
    </xf>
    <xf numFmtId="14" fontId="21" fillId="42" borderId="11" xfId="0" applyNumberFormat="1" applyFont="1" applyFill="1" applyBorder="1" applyAlignment="1" applyProtection="1">
      <alignment horizontal="center"/>
      <protection locked="0"/>
    </xf>
    <xf numFmtId="2" fontId="21" fillId="42" borderId="32" xfId="45" applyNumberFormat="1" applyFont="1" applyFill="1" applyBorder="1" applyProtection="1">
      <protection locked="0"/>
    </xf>
    <xf numFmtId="177" fontId="25" fillId="42" borderId="32" xfId="0" applyFont="1" applyFill="1" applyBorder="1" applyAlignment="1" applyProtection="1">
      <alignment horizontal="center"/>
      <protection locked="0"/>
    </xf>
    <xf numFmtId="2" fontId="25" fillId="42" borderId="11" xfId="0" applyNumberFormat="1" applyFont="1" applyFill="1" applyBorder="1" applyAlignment="1" applyProtection="1">
      <alignment horizontal="center"/>
      <protection locked="0"/>
    </xf>
    <xf numFmtId="2" fontId="36" fillId="42" borderId="11" xfId="0" applyNumberFormat="1" applyFont="1" applyFill="1" applyBorder="1" applyAlignment="1" applyProtection="1">
      <alignment horizontal="center"/>
      <protection locked="0"/>
    </xf>
    <xf numFmtId="178" fontId="25" fillId="42" borderId="11" xfId="44" applyNumberFormat="1" applyFont="1" applyFill="1" applyBorder="1" applyAlignment="1" applyProtection="1">
      <alignment horizontal="center"/>
      <protection locked="0"/>
    </xf>
    <xf numFmtId="16" fontId="21" fillId="42" borderId="32" xfId="45" applyNumberFormat="1" applyFont="1" applyFill="1" applyBorder="1" applyAlignment="1" applyProtection="1">
      <alignment horizontal="center"/>
      <protection locked="0"/>
    </xf>
    <xf numFmtId="177" fontId="21" fillId="42" borderId="32" xfId="45" applyFont="1" applyFill="1" applyBorder="1" applyAlignment="1" applyProtection="1">
      <alignment horizontal="center"/>
      <protection locked="0"/>
    </xf>
    <xf numFmtId="188" fontId="40" fillId="0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42" borderId="0" xfId="45" applyNumberFormat="1" applyFont="1" applyFill="1" applyBorder="1" applyProtection="1">
      <protection locked="0"/>
    </xf>
    <xf numFmtId="16" fontId="21" fillId="42" borderId="20" xfId="45" applyNumberFormat="1" applyFont="1" applyFill="1" applyBorder="1" applyAlignment="1" applyProtection="1">
      <alignment horizontal="center"/>
      <protection locked="0"/>
    </xf>
    <xf numFmtId="177" fontId="21" fillId="42" borderId="0" xfId="45" applyFont="1" applyFill="1" applyBorder="1" applyAlignment="1" applyProtection="1">
      <alignment horizontal="center"/>
      <protection locked="0"/>
    </xf>
    <xf numFmtId="178" fontId="25" fillId="39" borderId="0" xfId="44" applyNumberFormat="1" applyFont="1" applyFill="1" applyAlignment="1" applyProtection="1">
      <alignment horizontal="center"/>
      <protection locked="0"/>
    </xf>
    <xf numFmtId="177" fontId="21" fillId="42" borderId="11" xfId="45" applyFont="1" applyFill="1" applyBorder="1" applyAlignment="1" applyProtection="1">
      <alignment horizontal="center"/>
      <protection locked="0"/>
    </xf>
    <xf numFmtId="188" fontId="40" fillId="42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56" borderId="23" xfId="45" applyNumberFormat="1" applyFont="1" applyFill="1" applyBorder="1" applyProtection="1">
      <protection locked="0"/>
    </xf>
    <xf numFmtId="2" fontId="21" fillId="57" borderId="23" xfId="45" applyNumberFormat="1" applyFont="1" applyFill="1" applyBorder="1" applyProtection="1">
      <protection locked="0"/>
    </xf>
    <xf numFmtId="16" fontId="21" fillId="42" borderId="23" xfId="45" applyNumberFormat="1" applyFont="1" applyFill="1" applyBorder="1" applyAlignment="1" applyProtection="1">
      <alignment horizontal="center"/>
      <protection locked="0"/>
    </xf>
    <xf numFmtId="2" fontId="21" fillId="42" borderId="11" xfId="45" applyNumberFormat="1" applyFont="1" applyFill="1" applyBorder="1" applyProtection="1">
      <protection locked="0"/>
    </xf>
    <xf numFmtId="16" fontId="21" fillId="42" borderId="11" xfId="45" applyNumberFormat="1" applyFont="1" applyFill="1" applyBorder="1" applyAlignment="1" applyProtection="1">
      <alignment horizontal="center"/>
      <protection locked="0"/>
    </xf>
    <xf numFmtId="177" fontId="25" fillId="0" borderId="11" xfId="0" applyFont="1" applyBorder="1" applyProtection="1">
      <protection locked="0"/>
    </xf>
    <xf numFmtId="14" fontId="21" fillId="42" borderId="0" xfId="0" applyNumberFormat="1" applyFont="1" applyFill="1" applyBorder="1" applyAlignment="1" applyProtection="1">
      <alignment horizontal="center"/>
      <protection locked="0"/>
    </xf>
    <xf numFmtId="2" fontId="25" fillId="42" borderId="0" xfId="0" applyNumberFormat="1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Border="1" applyAlignment="1" applyProtection="1">
      <alignment horizontal="center"/>
      <protection locked="0"/>
    </xf>
    <xf numFmtId="178" fontId="25" fillId="42" borderId="0" xfId="44" applyNumberFormat="1" applyFont="1" applyFill="1" applyBorder="1" applyAlignment="1" applyProtection="1">
      <alignment horizontal="center"/>
      <protection locked="0"/>
    </xf>
    <xf numFmtId="16" fontId="21" fillId="42" borderId="0" xfId="45" applyNumberFormat="1" applyFont="1" applyFill="1" applyBorder="1" applyAlignment="1" applyProtection="1">
      <alignment horizontal="center"/>
      <protection locked="0"/>
    </xf>
    <xf numFmtId="188" fontId="40" fillId="39" borderId="0" xfId="26" applyNumberFormat="1" applyFont="1" applyFill="1" applyBorder="1" applyAlignment="1" applyProtection="1">
      <alignment horizontal="center" vertical="center" wrapText="1"/>
      <protection locked="0"/>
    </xf>
    <xf numFmtId="177" fontId="25" fillId="0" borderId="0" xfId="0" applyFont="1" applyBorder="1" applyProtection="1">
      <protection locked="0"/>
    </xf>
    <xf numFmtId="188" fontId="40" fillId="42" borderId="0" xfId="26" applyNumberFormat="1" applyFont="1" applyFill="1" applyBorder="1" applyAlignment="1" applyProtection="1">
      <alignment horizontal="center" vertical="center" wrapText="1"/>
      <protection locked="0"/>
    </xf>
    <xf numFmtId="1" fontId="74" fillId="0" borderId="0" xfId="0" applyNumberFormat="1" applyFont="1" applyAlignment="1" applyProtection="1">
      <alignment horizontal="center"/>
      <protection locked="0"/>
    </xf>
    <xf numFmtId="1" fontId="74" fillId="42" borderId="0" xfId="0" applyNumberFormat="1" applyFont="1" applyFill="1" applyAlignment="1" applyProtection="1">
      <alignment horizontal="center"/>
      <protection locked="0"/>
    </xf>
    <xf numFmtId="173" fontId="25" fillId="0" borderId="23" xfId="44" applyNumberFormat="1" applyFont="1" applyFill="1" applyBorder="1" applyProtection="1">
      <protection locked="0"/>
    </xf>
    <xf numFmtId="188" fontId="40" fillId="39" borderId="0" xfId="26" applyNumberFormat="1" applyFont="1" applyFill="1" applyAlignment="1" applyProtection="1">
      <alignment horizontal="center" vertical="center" wrapText="1"/>
      <protection locked="0"/>
    </xf>
    <xf numFmtId="0" fontId="25" fillId="0" borderId="0" xfId="0" applyNumberFormat="1" applyFont="1" applyAlignment="1" applyProtection="1">
      <alignment horizontal="center" vertical="top"/>
      <protection locked="0"/>
    </xf>
    <xf numFmtId="2" fontId="25" fillId="0" borderId="0" xfId="0" applyNumberFormat="1" applyFont="1" applyFill="1" applyAlignment="1" applyProtection="1">
      <alignment horizontal="center"/>
      <protection locked="0"/>
    </xf>
    <xf numFmtId="2" fontId="36" fillId="0" borderId="0" xfId="0" applyNumberFormat="1" applyFont="1" applyFill="1" applyAlignment="1" applyProtection="1">
      <alignment horizontal="center"/>
      <protection locked="0"/>
    </xf>
    <xf numFmtId="178" fontId="25" fillId="0" borderId="0" xfId="44" applyNumberFormat="1" applyFont="1" applyFill="1" applyAlignment="1" applyProtection="1">
      <alignment horizontal="center"/>
      <protection locked="0"/>
    </xf>
    <xf numFmtId="177" fontId="21" fillId="0" borderId="0" xfId="0" applyFont="1" applyAlignment="1" applyProtection="1">
      <alignment horizontal="center"/>
      <protection locked="0"/>
    </xf>
    <xf numFmtId="177" fontId="25" fillId="39" borderId="23" xfId="0" applyFont="1" applyFill="1" applyBorder="1" applyAlignment="1" applyProtection="1">
      <alignment horizontal="center"/>
      <protection locked="0"/>
    </xf>
    <xf numFmtId="188" fontId="75" fillId="42" borderId="0" xfId="26" applyNumberFormat="1" applyFont="1" applyFill="1" applyAlignment="1" applyProtection="1">
      <alignment horizontal="center" vertical="center" wrapText="1"/>
      <protection locked="0"/>
    </xf>
    <xf numFmtId="173" fontId="32" fillId="0" borderId="23" xfId="44" applyNumberFormat="1" applyFont="1" applyFill="1" applyBorder="1" applyAlignment="1" applyProtection="1">
      <alignment horizontal="center"/>
      <protection locked="0"/>
    </xf>
    <xf numFmtId="2" fontId="25" fillId="0" borderId="0" xfId="0" applyNumberFormat="1" applyFont="1" applyProtection="1">
      <protection locked="0"/>
    </xf>
    <xf numFmtId="2" fontId="28" fillId="42" borderId="0" xfId="0" applyNumberFormat="1" applyFont="1" applyFill="1" applyAlignment="1" applyProtection="1">
      <alignment horizontal="center"/>
      <protection locked="0"/>
    </xf>
    <xf numFmtId="14" fontId="21" fillId="0" borderId="0" xfId="0" applyNumberFormat="1" applyFont="1" applyFill="1" applyAlignment="1" applyProtection="1">
      <alignment horizontal="center"/>
      <protection locked="0"/>
    </xf>
    <xf numFmtId="177" fontId="32" fillId="42" borderId="23" xfId="45" applyFont="1" applyFill="1" applyBorder="1" applyAlignment="1" applyProtection="1">
      <alignment horizontal="center"/>
      <protection locked="0"/>
    </xf>
    <xf numFmtId="0" fontId="32" fillId="0" borderId="0" xfId="0" applyNumberFormat="1" applyFont="1" applyAlignment="1" applyProtection="1">
      <alignment horizontal="right"/>
      <protection locked="0"/>
    </xf>
    <xf numFmtId="14" fontId="32" fillId="0" borderId="0" xfId="0" applyNumberFormat="1" applyFont="1" applyFill="1" applyAlignment="1" applyProtection="1">
      <alignment horizontal="center"/>
      <protection locked="0"/>
    </xf>
    <xf numFmtId="14" fontId="32" fillId="42" borderId="0" xfId="0" applyNumberFormat="1" applyFont="1" applyFill="1" applyAlignment="1" applyProtection="1">
      <alignment horizontal="center"/>
      <protection locked="0"/>
    </xf>
    <xf numFmtId="2" fontId="32" fillId="42" borderId="23" xfId="45" applyNumberFormat="1" applyFont="1" applyFill="1" applyBorder="1" applyProtection="1">
      <protection locked="0"/>
    </xf>
    <xf numFmtId="177" fontId="32" fillId="42" borderId="0" xfId="0" applyFont="1" applyFill="1" applyAlignment="1" applyProtection="1">
      <alignment horizontal="center"/>
      <protection locked="0"/>
    </xf>
    <xf numFmtId="177" fontId="32" fillId="42" borderId="23" xfId="0" applyFont="1" applyFill="1" applyBorder="1" applyAlignment="1" applyProtection="1">
      <alignment horizontal="center"/>
      <protection locked="0"/>
    </xf>
    <xf numFmtId="2" fontId="32" fillId="42" borderId="0" xfId="0" applyNumberFormat="1" applyFont="1" applyFill="1" applyAlignment="1" applyProtection="1">
      <alignment horizontal="center"/>
      <protection locked="0"/>
    </xf>
    <xf numFmtId="2" fontId="88" fillId="42" borderId="0" xfId="0" applyNumberFormat="1" applyFont="1" applyFill="1" applyAlignment="1" applyProtection="1">
      <alignment horizontal="center"/>
      <protection locked="0"/>
    </xf>
    <xf numFmtId="178" fontId="32" fillId="42" borderId="0" xfId="44" applyNumberFormat="1" applyFont="1" applyFill="1" applyAlignment="1" applyProtection="1">
      <alignment horizontal="center"/>
      <protection locked="0"/>
    </xf>
    <xf numFmtId="178" fontId="32" fillId="0" borderId="0" xfId="44" applyNumberFormat="1" applyFont="1" applyFill="1" applyAlignment="1" applyProtection="1">
      <alignment horizontal="center"/>
      <protection locked="0"/>
    </xf>
    <xf numFmtId="173" fontId="32" fillId="42" borderId="23" xfId="44" applyNumberFormat="1" applyFont="1" applyFill="1" applyBorder="1" applyProtection="1">
      <protection locked="0"/>
    </xf>
    <xf numFmtId="16" fontId="32" fillId="42" borderId="22" xfId="45" applyNumberFormat="1" applyFont="1" applyFill="1" applyBorder="1" applyAlignment="1" applyProtection="1">
      <alignment horizontal="center"/>
      <protection locked="0"/>
    </xf>
    <xf numFmtId="2" fontId="41" fillId="0" borderId="0" xfId="0" applyNumberFormat="1" applyFont="1" applyFill="1" applyAlignment="1" applyProtection="1">
      <alignment horizontal="center"/>
      <protection locked="0"/>
    </xf>
    <xf numFmtId="177" fontId="32" fillId="0" borderId="0" xfId="0" applyFont="1" applyProtection="1">
      <protection locked="0"/>
    </xf>
    <xf numFmtId="0" fontId="32" fillId="0" borderId="0" xfId="0" applyNumberFormat="1" applyFont="1" applyProtection="1">
      <protection locked="0"/>
    </xf>
    <xf numFmtId="2" fontId="21" fillId="0" borderId="0" xfId="45" applyNumberFormat="1" applyFont="1" applyFill="1" applyBorder="1" applyProtection="1">
      <protection locked="0"/>
    </xf>
    <xf numFmtId="2" fontId="21" fillId="0" borderId="23" xfId="45" applyNumberFormat="1" applyFont="1" applyFill="1" applyBorder="1" applyProtection="1">
      <protection locked="0"/>
    </xf>
    <xf numFmtId="165" fontId="32" fillId="0" borderId="0" xfId="44" applyNumberFormat="1" applyFont="1" applyFill="1" applyAlignment="1" applyProtection="1">
      <alignment horizontal="center"/>
      <protection locked="0"/>
    </xf>
    <xf numFmtId="16" fontId="21" fillId="0" borderId="22" xfId="45" applyNumberFormat="1" applyFont="1" applyFill="1" applyBorder="1" applyAlignment="1" applyProtection="1">
      <alignment horizontal="center"/>
      <protection locked="0"/>
    </xf>
    <xf numFmtId="177" fontId="21" fillId="0" borderId="23" xfId="45" applyFont="1" applyFill="1" applyBorder="1" applyAlignment="1" applyProtection="1">
      <alignment horizontal="center"/>
      <protection locked="0"/>
    </xf>
    <xf numFmtId="0" fontId="28" fillId="0" borderId="0" xfId="0" applyNumberFormat="1" applyFont="1" applyProtection="1">
      <protection locked="0"/>
    </xf>
    <xf numFmtId="14" fontId="21" fillId="55" borderId="0" xfId="0" applyNumberFormat="1" applyFont="1" applyFill="1" applyAlignment="1" applyProtection="1">
      <alignment horizontal="center"/>
      <protection locked="0"/>
    </xf>
    <xf numFmtId="0" fontId="28" fillId="0" borderId="0" xfId="0" applyNumberFormat="1" applyFont="1" applyFill="1" applyProtection="1">
      <protection locked="0"/>
    </xf>
    <xf numFmtId="177" fontId="21" fillId="42" borderId="23" xfId="0" applyFont="1" applyFill="1" applyBorder="1" applyAlignment="1" applyProtection="1">
      <alignment horizontal="center"/>
      <protection locked="0"/>
    </xf>
    <xf numFmtId="2" fontId="25" fillId="39" borderId="0" xfId="0" applyNumberFormat="1" applyFont="1" applyFill="1" applyProtection="1">
      <protection locked="0"/>
    </xf>
    <xf numFmtId="188" fontId="25" fillId="0" borderId="0" xfId="0" applyNumberFormat="1" applyFont="1" applyProtection="1">
      <protection locked="0"/>
    </xf>
    <xf numFmtId="0" fontId="28" fillId="48" borderId="0" xfId="0" applyNumberFormat="1" applyFont="1" applyFill="1" applyProtection="1">
      <protection locked="0"/>
    </xf>
    <xf numFmtId="14" fontId="21" fillId="48" borderId="0" xfId="0" applyNumberFormat="1" applyFont="1" applyFill="1" applyAlignment="1" applyProtection="1">
      <alignment horizontal="center"/>
      <protection locked="0"/>
    </xf>
    <xf numFmtId="177" fontId="21" fillId="48" borderId="0" xfId="0" applyFont="1" applyFill="1" applyAlignment="1" applyProtection="1">
      <alignment horizontal="center"/>
      <protection locked="0"/>
    </xf>
    <xf numFmtId="2" fontId="21" fillId="48" borderId="23" xfId="45" applyNumberFormat="1" applyFont="1" applyFill="1" applyBorder="1" applyProtection="1">
      <protection locked="0"/>
    </xf>
    <xf numFmtId="177" fontId="25" fillId="48" borderId="0" xfId="0" applyFont="1" applyFill="1" applyAlignment="1" applyProtection="1">
      <alignment horizontal="center"/>
      <protection locked="0"/>
    </xf>
    <xf numFmtId="177" fontId="25" fillId="48" borderId="0" xfId="0" applyFont="1" applyFill="1" applyProtection="1">
      <protection locked="0"/>
    </xf>
    <xf numFmtId="177" fontId="25" fillId="48" borderId="23" xfId="0" applyFont="1" applyFill="1" applyBorder="1" applyAlignment="1" applyProtection="1">
      <alignment horizontal="center"/>
      <protection locked="0"/>
    </xf>
    <xf numFmtId="2" fontId="25" fillId="48" borderId="0" xfId="0" applyNumberFormat="1" applyFont="1" applyFill="1" applyAlignment="1" applyProtection="1">
      <alignment horizontal="center"/>
      <protection locked="0"/>
    </xf>
    <xf numFmtId="2" fontId="36" fillId="48" borderId="0" xfId="0" applyNumberFormat="1" applyFont="1" applyFill="1" applyAlignment="1" applyProtection="1">
      <alignment horizontal="center"/>
      <protection locked="0"/>
    </xf>
    <xf numFmtId="178" fontId="25" fillId="48" borderId="0" xfId="44" applyNumberFormat="1" applyFont="1" applyFill="1" applyAlignment="1" applyProtection="1">
      <alignment horizontal="center"/>
      <protection locked="0"/>
    </xf>
    <xf numFmtId="2" fontId="25" fillId="48" borderId="0" xfId="0" applyNumberFormat="1" applyFont="1" applyFill="1" applyProtection="1">
      <protection locked="0"/>
    </xf>
    <xf numFmtId="16" fontId="21" fillId="48" borderId="22" xfId="45" applyNumberFormat="1" applyFont="1" applyFill="1" applyBorder="1" applyAlignment="1" applyProtection="1">
      <alignment horizontal="center"/>
      <protection locked="0"/>
    </xf>
    <xf numFmtId="188" fontId="25" fillId="48" borderId="0" xfId="0" applyNumberFormat="1" applyFont="1" applyFill="1" applyProtection="1">
      <protection locked="0"/>
    </xf>
    <xf numFmtId="0" fontId="41" fillId="0" borderId="0" xfId="0" applyNumberFormat="1" applyFont="1" applyFill="1" applyAlignment="1" applyProtection="1">
      <alignment horizontal="center"/>
      <protection locked="0"/>
    </xf>
    <xf numFmtId="0" fontId="34" fillId="0" borderId="0" xfId="0" applyNumberFormat="1" applyFont="1" applyFill="1" applyProtection="1">
      <protection locked="0"/>
    </xf>
    <xf numFmtId="178" fontId="28" fillId="42" borderId="0" xfId="44" applyNumberFormat="1" applyFont="1" applyFill="1" applyAlignment="1" applyProtection="1">
      <alignment horizontal="center"/>
      <protection locked="0"/>
    </xf>
    <xf numFmtId="1" fontId="25" fillId="0" borderId="0" xfId="0" applyNumberFormat="1" applyFont="1" applyFill="1" applyAlignment="1" applyProtection="1">
      <alignment horizontal="center"/>
      <protection locked="0"/>
    </xf>
    <xf numFmtId="0" fontId="89" fillId="0" borderId="0" xfId="0" applyNumberFormat="1" applyFont="1" applyFill="1" applyProtection="1">
      <protection locked="0"/>
    </xf>
    <xf numFmtId="177" fontId="90" fillId="0" borderId="0" xfId="0" applyFont="1" applyFill="1" applyAlignment="1" applyProtection="1">
      <alignment horizontal="center"/>
      <protection locked="0"/>
    </xf>
    <xf numFmtId="165" fontId="41" fillId="0" borderId="0" xfId="44" applyNumberFormat="1" applyFont="1" applyFill="1" applyAlignment="1" applyProtection="1">
      <alignment horizontal="center"/>
      <protection locked="0"/>
    </xf>
    <xf numFmtId="177" fontId="25" fillId="0" borderId="11" xfId="0" applyFont="1" applyFill="1" applyBorder="1" applyAlignment="1" applyProtection="1">
      <alignment horizontal="center"/>
      <protection locked="0"/>
    </xf>
    <xf numFmtId="177" fontId="21" fillId="0" borderId="0" xfId="0" applyFont="1" applyFill="1" applyProtection="1">
      <protection locked="0"/>
    </xf>
    <xf numFmtId="177" fontId="21" fillId="0" borderId="23" xfId="0" applyFont="1" applyFill="1" applyBorder="1" applyAlignment="1" applyProtection="1">
      <alignment horizontal="center"/>
      <protection locked="0"/>
    </xf>
    <xf numFmtId="2" fontId="21" fillId="0" borderId="0" xfId="0" applyNumberFormat="1" applyFont="1" applyFill="1" applyAlignment="1" applyProtection="1">
      <alignment horizontal="center"/>
      <protection locked="0"/>
    </xf>
    <xf numFmtId="2" fontId="21" fillId="0" borderId="0" xfId="0" applyNumberFormat="1" applyFont="1" applyFill="1" applyProtection="1">
      <protection locked="0"/>
    </xf>
    <xf numFmtId="188" fontId="21" fillId="0" borderId="0" xfId="0" applyNumberFormat="1" applyFont="1" applyFill="1" applyProtection="1">
      <protection locked="0"/>
    </xf>
    <xf numFmtId="0" fontId="34" fillId="66" borderId="0" xfId="0" applyNumberFormat="1" applyFont="1" applyFill="1" applyProtection="1">
      <protection locked="0"/>
    </xf>
    <xf numFmtId="177" fontId="21" fillId="66" borderId="0" xfId="0" applyFont="1" applyFill="1" applyAlignment="1" applyProtection="1">
      <alignment horizontal="center"/>
      <protection locked="0"/>
    </xf>
    <xf numFmtId="2" fontId="21" fillId="66" borderId="23" xfId="45" applyNumberFormat="1" applyFont="1" applyFill="1" applyBorder="1" applyProtection="1">
      <protection locked="0"/>
    </xf>
    <xf numFmtId="177" fontId="25" fillId="66" borderId="0" xfId="0" applyFont="1" applyFill="1" applyAlignment="1" applyProtection="1">
      <alignment horizontal="center"/>
      <protection locked="0"/>
    </xf>
    <xf numFmtId="177" fontId="25" fillId="66" borderId="0" xfId="0" applyFont="1" applyFill="1" applyProtection="1">
      <protection locked="0"/>
    </xf>
    <xf numFmtId="177" fontId="25" fillId="66" borderId="23" xfId="0" applyFont="1" applyFill="1" applyBorder="1" applyAlignment="1" applyProtection="1">
      <alignment horizontal="center"/>
      <protection locked="0"/>
    </xf>
    <xf numFmtId="2" fontId="21" fillId="66" borderId="0" xfId="0" applyNumberFormat="1" applyFont="1" applyFill="1" applyAlignment="1" applyProtection="1">
      <alignment horizontal="center"/>
      <protection locked="0"/>
    </xf>
    <xf numFmtId="2" fontId="25" fillId="66" borderId="0" xfId="0" applyNumberFormat="1" applyFont="1" applyFill="1" applyProtection="1">
      <protection locked="0"/>
    </xf>
    <xf numFmtId="2" fontId="25" fillId="66" borderId="0" xfId="0" applyNumberFormat="1" applyFont="1" applyFill="1" applyAlignment="1" applyProtection="1">
      <alignment horizontal="center"/>
      <protection locked="0"/>
    </xf>
    <xf numFmtId="188" fontId="25" fillId="66" borderId="0" xfId="0" applyNumberFormat="1" applyFont="1" applyFill="1" applyProtection="1">
      <protection locked="0"/>
    </xf>
    <xf numFmtId="177" fontId="28" fillId="0" borderId="23" xfId="0" applyFont="1" applyFill="1" applyBorder="1" applyAlignment="1" applyProtection="1">
      <alignment horizontal="center"/>
      <protection locked="0"/>
    </xf>
    <xf numFmtId="177" fontId="28" fillId="42" borderId="23" xfId="0" applyFont="1" applyFill="1" applyBorder="1" applyAlignment="1" applyProtection="1">
      <alignment horizontal="center"/>
      <protection locked="0"/>
    </xf>
    <xf numFmtId="2" fontId="21" fillId="48" borderId="0" xfId="0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Protection="1">
      <protection locked="0"/>
    </xf>
    <xf numFmtId="2" fontId="21" fillId="0" borderId="0" xfId="0" applyNumberFormat="1" applyFont="1" applyAlignment="1" applyProtection="1">
      <alignment horizontal="center"/>
      <protection locked="0"/>
    </xf>
    <xf numFmtId="2" fontId="25" fillId="0" borderId="0" xfId="0" applyNumberFormat="1" applyFont="1" applyAlignment="1" applyProtection="1">
      <alignment horizontal="center"/>
      <protection locked="0"/>
    </xf>
    <xf numFmtId="177" fontId="102" fillId="69" borderId="36" xfId="0" applyFont="1" applyFill="1" applyBorder="1" applyAlignment="1" applyProtection="1">
      <alignment horizontal="center"/>
      <protection locked="0"/>
    </xf>
    <xf numFmtId="0" fontId="102" fillId="0" borderId="0" xfId="0" applyNumberFormat="1" applyFont="1" applyProtection="1">
      <protection locked="0"/>
    </xf>
    <xf numFmtId="177" fontId="103" fillId="0" borderId="0" xfId="0" applyFont="1" applyAlignment="1" applyProtection="1">
      <alignment horizontal="center"/>
      <protection locked="0"/>
    </xf>
    <xf numFmtId="177" fontId="103" fillId="69" borderId="36" xfId="45" applyFont="1" applyFill="1" applyBorder="1" applyAlignment="1" applyProtection="1">
      <alignment horizontal="center"/>
      <protection locked="0"/>
    </xf>
    <xf numFmtId="177" fontId="102" fillId="0" borderId="0" xfId="0" applyFont="1" applyAlignment="1" applyProtection="1">
      <alignment horizontal="center"/>
      <protection locked="0"/>
    </xf>
    <xf numFmtId="177" fontId="102" fillId="0" borderId="0" xfId="0" applyFont="1" applyProtection="1">
      <protection locked="0"/>
    </xf>
    <xf numFmtId="2" fontId="103" fillId="0" borderId="0" xfId="0" applyNumberFormat="1" applyFont="1" applyAlignment="1" applyProtection="1">
      <alignment horizontal="center"/>
      <protection locked="0"/>
    </xf>
    <xf numFmtId="173" fontId="104" fillId="70" borderId="36" xfId="44" applyNumberFormat="1" applyFont="1" applyFill="1" applyBorder="1" applyAlignment="1" applyProtection="1">
      <alignment horizontal="center"/>
      <protection locked="0"/>
    </xf>
    <xf numFmtId="2" fontId="102" fillId="0" borderId="0" xfId="0" applyNumberFormat="1" applyFont="1" applyProtection="1">
      <protection locked="0"/>
    </xf>
    <xf numFmtId="173" fontId="102" fillId="0" borderId="36" xfId="44" applyNumberFormat="1" applyFont="1" applyFill="1" applyBorder="1" applyProtection="1">
      <protection locked="0"/>
    </xf>
    <xf numFmtId="2" fontId="102" fillId="0" borderId="0" xfId="0" applyNumberFormat="1" applyFont="1" applyAlignment="1" applyProtection="1">
      <alignment horizontal="center"/>
      <protection locked="0"/>
    </xf>
    <xf numFmtId="188" fontId="102" fillId="0" borderId="0" xfId="0" applyNumberFormat="1" applyFont="1" applyProtection="1">
      <protection locked="0"/>
    </xf>
    <xf numFmtId="2" fontId="105" fillId="0" borderId="0" xfId="0" applyNumberFormat="1" applyFont="1" applyAlignment="1" applyProtection="1">
      <alignment horizontal="center"/>
      <protection locked="0"/>
    </xf>
    <xf numFmtId="168" fontId="25" fillId="42" borderId="0" xfId="44" applyFont="1" applyFill="1" applyAlignment="1" applyProtection="1">
      <alignment horizontal="center"/>
    </xf>
    <xf numFmtId="2" fontId="28" fillId="0" borderId="0" xfId="0" applyNumberFormat="1" applyFont="1" applyFill="1" applyAlignment="1" applyProtection="1">
      <alignment horizontal="center"/>
    </xf>
    <xf numFmtId="177" fontId="25" fillId="0" borderId="0" xfId="0" applyFont="1" applyProtection="1"/>
    <xf numFmtId="0" fontId="25" fillId="0" borderId="0" xfId="0" applyNumberFormat="1" applyFont="1" applyProtection="1"/>
    <xf numFmtId="173" fontId="32" fillId="42" borderId="23" xfId="44" applyNumberFormat="1" applyFont="1" applyFill="1" applyBorder="1" applyAlignment="1" applyProtection="1">
      <alignment horizontal="center"/>
    </xf>
    <xf numFmtId="173" fontId="32" fillId="42" borderId="32" xfId="44" applyNumberFormat="1" applyFont="1" applyFill="1" applyBorder="1" applyAlignment="1" applyProtection="1">
      <alignment horizontal="center"/>
    </xf>
    <xf numFmtId="173" fontId="32" fillId="42" borderId="0" xfId="44" applyNumberFormat="1" applyFont="1" applyFill="1" applyBorder="1" applyAlignment="1" applyProtection="1">
      <alignment horizontal="center"/>
    </xf>
    <xf numFmtId="173" fontId="32" fillId="42" borderId="11" xfId="44" applyNumberFormat="1" applyFont="1" applyFill="1" applyBorder="1" applyAlignment="1" applyProtection="1">
      <alignment horizontal="center"/>
    </xf>
    <xf numFmtId="173" fontId="25" fillId="42" borderId="23" xfId="44" applyNumberFormat="1" applyFont="1" applyFill="1" applyBorder="1" applyProtection="1"/>
    <xf numFmtId="173" fontId="25" fillId="42" borderId="32" xfId="44" applyNumberFormat="1" applyFont="1" applyFill="1" applyBorder="1" applyProtection="1"/>
    <xf numFmtId="173" fontId="25" fillId="42" borderId="0" xfId="44" applyNumberFormat="1" applyFont="1" applyFill="1" applyBorder="1" applyProtection="1"/>
    <xf numFmtId="173" fontId="25" fillId="42" borderId="11" xfId="44" applyNumberFormat="1" applyFont="1" applyFill="1" applyBorder="1" applyProtection="1"/>
    <xf numFmtId="173" fontId="25" fillId="0" borderId="23" xfId="44" applyNumberFormat="1" applyFont="1" applyFill="1" applyBorder="1" applyProtection="1"/>
    <xf numFmtId="165" fontId="32" fillId="42" borderId="0" xfId="44" applyNumberFormat="1" applyFont="1" applyFill="1" applyAlignment="1" applyProtection="1">
      <alignment horizontal="center"/>
    </xf>
    <xf numFmtId="178" fontId="25" fillId="42" borderId="0" xfId="44" applyNumberFormat="1" applyFont="1" applyFill="1" applyAlignment="1" applyProtection="1">
      <alignment horizontal="center"/>
    </xf>
    <xf numFmtId="173" fontId="32" fillId="0" borderId="23" xfId="44" applyNumberFormat="1" applyFont="1" applyFill="1" applyBorder="1" applyAlignment="1" applyProtection="1">
      <alignment horizontal="center"/>
    </xf>
    <xf numFmtId="0" fontId="25" fillId="0" borderId="0" xfId="0" applyNumberFormat="1" applyFont="1" applyFill="1" applyProtection="1"/>
    <xf numFmtId="0" fontId="25" fillId="48" borderId="0" xfId="0" applyNumberFormat="1" applyFont="1" applyFill="1" applyProtection="1"/>
    <xf numFmtId="177" fontId="25" fillId="0" borderId="0" xfId="0" applyFont="1" applyFill="1" applyProtection="1"/>
    <xf numFmtId="177" fontId="25" fillId="48" borderId="0" xfId="0" applyFont="1" applyFill="1" applyProtection="1"/>
    <xf numFmtId="173" fontId="32" fillId="48" borderId="23" xfId="44" applyNumberFormat="1" applyFont="1" applyFill="1" applyBorder="1" applyAlignment="1" applyProtection="1">
      <alignment horizontal="center"/>
    </xf>
    <xf numFmtId="173" fontId="25" fillId="48" borderId="23" xfId="44" applyNumberFormat="1" applyFont="1" applyFill="1" applyBorder="1" applyProtection="1"/>
    <xf numFmtId="2" fontId="28" fillId="48" borderId="0" xfId="0" applyNumberFormat="1" applyFont="1" applyFill="1" applyAlignment="1" applyProtection="1">
      <alignment horizontal="center"/>
    </xf>
    <xf numFmtId="0" fontId="28" fillId="48" borderId="0" xfId="0" applyNumberFormat="1" applyFont="1" applyFill="1" applyProtection="1"/>
    <xf numFmtId="0" fontId="28" fillId="0" borderId="0" xfId="0" applyNumberFormat="1" applyFont="1" applyFill="1" applyProtection="1"/>
    <xf numFmtId="165" fontId="32" fillId="0" borderId="0" xfId="44" applyNumberFormat="1" applyFont="1" applyFill="1" applyAlignment="1" applyProtection="1">
      <alignment horizontal="center"/>
    </xf>
    <xf numFmtId="0" fontId="21" fillId="0" borderId="0" xfId="0" applyNumberFormat="1" applyFont="1" applyFill="1" applyProtection="1"/>
    <xf numFmtId="177" fontId="21" fillId="0" borderId="0" xfId="0" applyFont="1" applyFill="1" applyProtection="1"/>
    <xf numFmtId="165" fontId="41" fillId="0" borderId="0" xfId="44" applyNumberFormat="1" applyFont="1" applyFill="1" applyAlignment="1" applyProtection="1">
      <alignment horizontal="center"/>
    </xf>
    <xf numFmtId="2" fontId="25" fillId="0" borderId="0" xfId="0" applyNumberFormat="1" applyFont="1" applyFill="1" applyProtection="1"/>
    <xf numFmtId="0" fontId="34" fillId="0" borderId="0" xfId="0" applyNumberFormat="1" applyFont="1" applyFill="1" applyProtection="1"/>
    <xf numFmtId="2" fontId="34" fillId="0" borderId="0" xfId="0" applyNumberFormat="1" applyFont="1" applyFill="1" applyAlignment="1" applyProtection="1">
      <alignment horizontal="center"/>
    </xf>
    <xf numFmtId="177" fontId="25" fillId="66" borderId="0" xfId="0" applyFont="1" applyFill="1" applyProtection="1"/>
    <xf numFmtId="0" fontId="25" fillId="66" borderId="0" xfId="0" applyNumberFormat="1" applyFont="1" applyFill="1" applyProtection="1"/>
    <xf numFmtId="165" fontId="41" fillId="66" borderId="0" xfId="44" applyNumberFormat="1" applyFont="1" applyFill="1" applyAlignment="1" applyProtection="1">
      <alignment horizontal="center"/>
    </xf>
    <xf numFmtId="0" fontId="34" fillId="48" borderId="0" xfId="0" applyNumberFormat="1" applyFont="1" applyFill="1" applyProtection="1"/>
    <xf numFmtId="177" fontId="21" fillId="42" borderId="23" xfId="45" applyFont="1" applyFill="1" applyBorder="1" applyAlignment="1" applyProtection="1">
      <alignment horizontal="center"/>
    </xf>
    <xf numFmtId="177" fontId="25" fillId="42" borderId="23" xfId="0" applyFont="1" applyFill="1" applyBorder="1" applyAlignment="1" applyProtection="1">
      <alignment horizontal="center"/>
    </xf>
    <xf numFmtId="173" fontId="32" fillId="66" borderId="23" xfId="44" applyNumberFormat="1" applyFont="1" applyFill="1" applyBorder="1" applyAlignment="1" applyProtection="1">
      <alignment horizontal="center"/>
    </xf>
    <xf numFmtId="173" fontId="32" fillId="47" borderId="23" xfId="44" applyNumberFormat="1" applyFont="1" applyFill="1" applyBorder="1" applyAlignment="1" applyProtection="1">
      <alignment horizontal="center"/>
    </xf>
    <xf numFmtId="173" fontId="25" fillId="66" borderId="23" xfId="44" applyNumberFormat="1" applyFont="1" applyFill="1" applyBorder="1" applyProtection="1"/>
    <xf numFmtId="2" fontId="28" fillId="66" borderId="0" xfId="0" applyNumberFormat="1" applyFont="1" applyFill="1" applyAlignment="1" applyProtection="1">
      <alignment horizontal="center"/>
    </xf>
    <xf numFmtId="2" fontId="28" fillId="0" borderId="0" xfId="0" applyNumberFormat="1" applyFont="1" applyAlignment="1" applyProtection="1">
      <alignment horizontal="center"/>
    </xf>
    <xf numFmtId="2" fontId="21" fillId="0" borderId="23" xfId="45" applyNumberFormat="1" applyFont="1" applyFill="1" applyBorder="1" applyProtection="1"/>
    <xf numFmtId="0" fontId="28" fillId="0" borderId="0" xfId="0" applyNumberFormat="1" applyFont="1" applyProtection="1"/>
    <xf numFmtId="186" fontId="25" fillId="42" borderId="0" xfId="0" applyNumberFormat="1" applyFont="1" applyFill="1" applyProtection="1">
      <protection locked="0"/>
    </xf>
    <xf numFmtId="186" fontId="25" fillId="42" borderId="0" xfId="44" applyNumberFormat="1" applyFont="1" applyFill="1" applyAlignment="1" applyProtection="1">
      <alignment horizontal="center"/>
      <protection locked="0"/>
    </xf>
    <xf numFmtId="0" fontId="25" fillId="42" borderId="0" xfId="44" applyNumberFormat="1" applyFont="1" applyFill="1" applyAlignment="1" applyProtection="1">
      <alignment horizontal="center"/>
      <protection locked="0"/>
    </xf>
    <xf numFmtId="178" fontId="25" fillId="42" borderId="0" xfId="44" applyNumberFormat="1" applyFont="1" applyFill="1" applyProtection="1">
      <protection locked="0"/>
    </xf>
    <xf numFmtId="173" fontId="20" fillId="42" borderId="0" xfId="44" applyNumberFormat="1" applyFont="1" applyFill="1" applyProtection="1">
      <protection locked="0"/>
    </xf>
    <xf numFmtId="16" fontId="21" fillId="42" borderId="0" xfId="45" applyNumberFormat="1" applyFont="1" applyFill="1" applyAlignment="1" applyProtection="1">
      <alignment horizontal="center"/>
      <protection locked="0"/>
    </xf>
    <xf numFmtId="177" fontId="26" fillId="40" borderId="24" xfId="26" applyFont="1" applyFill="1" applyBorder="1" applyAlignment="1" applyProtection="1">
      <alignment horizontal="center" vertical="center" wrapText="1"/>
      <protection locked="0"/>
    </xf>
    <xf numFmtId="177" fontId="26" fillId="40" borderId="23" xfId="26" applyFont="1" applyFill="1" applyBorder="1" applyAlignment="1" applyProtection="1">
      <alignment vertical="center" wrapText="1"/>
      <protection locked="0"/>
    </xf>
    <xf numFmtId="178" fontId="26" fillId="40" borderId="23" xfId="44" applyNumberFormat="1" applyFont="1" applyFill="1" applyBorder="1" applyAlignment="1" applyProtection="1">
      <alignment horizontal="center" vertical="center" wrapText="1"/>
      <protection locked="0"/>
    </xf>
    <xf numFmtId="0" fontId="31" fillId="40" borderId="23" xfId="26" applyNumberFormat="1" applyFont="1" applyFill="1" applyBorder="1" applyAlignment="1" applyProtection="1">
      <alignment horizontal="center" vertical="center" wrapText="1"/>
      <protection locked="0"/>
    </xf>
    <xf numFmtId="177" fontId="31" fillId="40" borderId="23" xfId="26" applyFont="1" applyFill="1" applyBorder="1" applyAlignment="1" applyProtection="1">
      <alignment horizontal="center" vertical="center" wrapText="1"/>
      <protection locked="0"/>
    </xf>
    <xf numFmtId="0" fontId="27" fillId="43" borderId="0" xfId="26" applyNumberFormat="1" applyFont="1" applyFill="1" applyAlignment="1" applyProtection="1">
      <alignment horizontal="center" vertical="center" wrapText="1"/>
      <protection locked="0"/>
    </xf>
    <xf numFmtId="177" fontId="27" fillId="43" borderId="0" xfId="26" applyFont="1" applyFill="1" applyAlignment="1" applyProtection="1">
      <alignment horizontal="center" vertical="center" wrapText="1"/>
      <protection locked="0"/>
    </xf>
    <xf numFmtId="177" fontId="26" fillId="43" borderId="0" xfId="26" applyFont="1" applyFill="1" applyAlignment="1" applyProtection="1">
      <alignment horizontal="center" vertical="center" wrapText="1"/>
      <protection locked="0"/>
    </xf>
    <xf numFmtId="14" fontId="25" fillId="42" borderId="24" xfId="0" applyNumberFormat="1" applyFont="1" applyFill="1" applyBorder="1" applyAlignment="1" applyProtection="1">
      <alignment horizontal="center"/>
      <protection locked="0"/>
    </xf>
    <xf numFmtId="14" fontId="25" fillId="42" borderId="23" xfId="0" applyNumberFormat="1" applyFont="1" applyFill="1" applyBorder="1" applyAlignment="1" applyProtection="1">
      <alignment horizontal="center"/>
      <protection locked="0"/>
    </xf>
    <xf numFmtId="177" fontId="99" fillId="0" borderId="0" xfId="0" applyFont="1" applyProtection="1">
      <protection locked="0"/>
    </xf>
    <xf numFmtId="177" fontId="25" fillId="42" borderId="23" xfId="0" applyFont="1" applyFill="1" applyBorder="1" applyProtection="1">
      <protection locked="0"/>
    </xf>
    <xf numFmtId="2" fontId="25" fillId="42" borderId="23" xfId="0" applyNumberFormat="1" applyFont="1" applyFill="1" applyBorder="1" applyAlignment="1" applyProtection="1">
      <alignment horizontal="center"/>
      <protection locked="0"/>
    </xf>
    <xf numFmtId="178" fontId="25" fillId="42" borderId="23" xfId="44" applyNumberFormat="1" applyFont="1" applyFill="1" applyBorder="1" applyAlignment="1" applyProtection="1">
      <alignment horizontal="center"/>
      <protection locked="0"/>
    </xf>
    <xf numFmtId="1" fontId="25" fillId="42" borderId="23" xfId="0" applyNumberFormat="1" applyFont="1" applyFill="1" applyBorder="1" applyProtection="1">
      <protection locked="0"/>
    </xf>
    <xf numFmtId="173" fontId="25" fillId="42" borderId="23" xfId="44" applyNumberFormat="1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Alignment="1" applyProtection="1">
      <alignment horizontal="center"/>
      <protection locked="0"/>
    </xf>
    <xf numFmtId="14" fontId="21" fillId="42" borderId="23" xfId="45" applyNumberFormat="1" applyFont="1" applyFill="1" applyBorder="1" applyAlignment="1" applyProtection="1">
      <alignment horizontal="center"/>
      <protection locked="0"/>
    </xf>
    <xf numFmtId="186" fontId="25" fillId="42" borderId="25" xfId="44" applyNumberFormat="1" applyFont="1" applyFill="1" applyBorder="1" applyAlignment="1" applyProtection="1">
      <alignment horizontal="center"/>
      <protection locked="0"/>
    </xf>
    <xf numFmtId="168" fontId="29" fillId="42" borderId="0" xfId="44" applyFont="1" applyFill="1" applyAlignment="1" applyProtection="1">
      <alignment horizontal="center"/>
      <protection locked="0"/>
    </xf>
    <xf numFmtId="173" fontId="29" fillId="42" borderId="0" xfId="44" applyNumberFormat="1" applyFont="1" applyFill="1" applyAlignment="1" applyProtection="1">
      <alignment horizontal="center"/>
      <protection locked="0"/>
    </xf>
    <xf numFmtId="177" fontId="25" fillId="42" borderId="24" xfId="0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Protection="1">
      <protection locked="0"/>
    </xf>
    <xf numFmtId="186" fontId="25" fillId="42" borderId="25" xfId="0" applyNumberFormat="1" applyFont="1" applyFill="1" applyBorder="1" applyProtection="1">
      <protection locked="0"/>
    </xf>
    <xf numFmtId="186" fontId="25" fillId="0" borderId="0" xfId="0" applyNumberFormat="1" applyFont="1" applyProtection="1">
      <protection locked="0"/>
    </xf>
    <xf numFmtId="177" fontId="25" fillId="42" borderId="23" xfId="0" applyFont="1" applyFill="1" applyBorder="1" applyProtection="1"/>
    <xf numFmtId="14" fontId="21" fillId="42" borderId="23" xfId="45" applyNumberFormat="1" applyFont="1" applyFill="1" applyBorder="1" applyAlignment="1" applyProtection="1">
      <alignment horizontal="center"/>
    </xf>
    <xf numFmtId="178" fontId="32" fillId="42" borderId="23" xfId="44" applyNumberFormat="1" applyFont="1" applyFill="1" applyBorder="1" applyAlignment="1" applyProtection="1">
      <alignment horizontal="center"/>
    </xf>
    <xf numFmtId="178" fontId="25" fillId="42" borderId="23" xfId="0" applyNumberFormat="1" applyFont="1" applyFill="1" applyBorder="1" applyAlignment="1" applyProtection="1">
      <alignment horizontal="center"/>
    </xf>
    <xf numFmtId="165" fontId="32" fillId="42" borderId="23" xfId="0" applyNumberFormat="1" applyFont="1" applyFill="1" applyBorder="1" applyAlignment="1" applyProtection="1">
      <alignment horizontal="center"/>
    </xf>
    <xf numFmtId="171" fontId="0" fillId="42" borderId="0" xfId="0" quotePrefix="1" applyNumberFormat="1" applyFill="1" applyProtection="1">
      <protection locked="0"/>
    </xf>
    <xf numFmtId="9" fontId="0" fillId="42" borderId="0" xfId="0" applyNumberFormat="1" applyFill="1" applyAlignment="1" applyProtection="1">
      <alignment horizontal="center"/>
      <protection locked="0"/>
    </xf>
    <xf numFmtId="177" fontId="39" fillId="42" borderId="0" xfId="0" quotePrefix="1" applyFont="1" applyFill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171" fontId="0" fillId="42" borderId="0" xfId="0" applyNumberFormat="1" applyFill="1" applyProtection="1">
      <protection locked="0"/>
    </xf>
    <xf numFmtId="167" fontId="79" fillId="61" borderId="0" xfId="44" applyNumberFormat="1" applyFont="1" applyFill="1" applyProtection="1"/>
    <xf numFmtId="177" fontId="0" fillId="42" borderId="0" xfId="0" applyFill="1" applyAlignment="1" applyProtection="1">
      <alignment horizontal="left"/>
    </xf>
    <xf numFmtId="178" fontId="0" fillId="50" borderId="0" xfId="44" applyNumberFormat="1" applyFont="1" applyFill="1" applyAlignment="1" applyProtection="1">
      <alignment horizontal="center"/>
    </xf>
    <xf numFmtId="9" fontId="14" fillId="44" borderId="15" xfId="43" applyFont="1" applyFill="1" applyBorder="1" applyAlignment="1" applyProtection="1">
      <alignment horizontal="center" wrapText="1"/>
    </xf>
    <xf numFmtId="177" fontId="87" fillId="42" borderId="0" xfId="0" applyFont="1" applyFill="1" applyProtection="1"/>
    <xf numFmtId="177" fontId="51" fillId="42" borderId="0" xfId="0" quotePrefix="1" applyFont="1" applyFill="1" applyProtection="1"/>
    <xf numFmtId="2" fontId="0" fillId="0" borderId="0" xfId="0" applyNumberFormat="1" applyFill="1" applyAlignment="1" applyProtection="1">
      <alignment horizontal="center"/>
    </xf>
    <xf numFmtId="2" fontId="0" fillId="46" borderId="0" xfId="0" applyNumberFormat="1" applyFill="1" applyAlignment="1" applyProtection="1">
      <alignment horizontal="center"/>
    </xf>
    <xf numFmtId="1" fontId="17" fillId="42" borderId="17" xfId="0" applyNumberFormat="1" applyFont="1" applyFill="1" applyBorder="1" applyAlignment="1" applyProtection="1">
      <alignment horizontal="center"/>
    </xf>
    <xf numFmtId="0" fontId="0" fillId="50" borderId="0" xfId="0" applyNumberFormat="1" applyFill="1" applyAlignment="1" applyProtection="1">
      <alignment horizontal="center"/>
    </xf>
    <xf numFmtId="173" fontId="0" fillId="50" borderId="0" xfId="44" applyNumberFormat="1" applyFont="1" applyFill="1" applyAlignment="1" applyProtection="1">
      <alignment horizontal="center"/>
    </xf>
    <xf numFmtId="173" fontId="50" fillId="42" borderId="0" xfId="44" applyNumberFormat="1" applyFon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 vertical="center"/>
    </xf>
    <xf numFmtId="184" fontId="0" fillId="42" borderId="0" xfId="44" applyNumberFormat="1" applyFont="1" applyFill="1" applyAlignment="1" applyProtection="1">
      <alignment horizontal="center" vertical="center"/>
    </xf>
    <xf numFmtId="178" fontId="25" fillId="42" borderId="0" xfId="0" applyNumberFormat="1" applyFont="1" applyFill="1" applyAlignment="1" applyProtection="1">
      <alignment horizontal="center"/>
    </xf>
    <xf numFmtId="168" fontId="0" fillId="50" borderId="0" xfId="44" applyFont="1" applyFill="1" applyAlignment="1" applyProtection="1">
      <alignment horizontal="center"/>
    </xf>
    <xf numFmtId="2" fontId="21" fillId="48" borderId="23" xfId="45" applyNumberFormat="1" applyFont="1" applyFill="1" applyBorder="1" applyProtection="1"/>
    <xf numFmtId="177" fontId="21" fillId="48" borderId="23" xfId="45" applyFont="1" applyFill="1" applyBorder="1" applyAlignment="1" applyProtection="1">
      <alignment horizontal="center"/>
    </xf>
    <xf numFmtId="177" fontId="25" fillId="48" borderId="23" xfId="0" applyFont="1" applyFill="1" applyBorder="1" applyAlignment="1" applyProtection="1">
      <alignment horizontal="center"/>
    </xf>
    <xf numFmtId="165" fontId="41" fillId="48" borderId="0" xfId="44" applyNumberFormat="1" applyFont="1" applyFill="1" applyAlignment="1" applyProtection="1">
      <alignment horizontal="center"/>
    </xf>
    <xf numFmtId="10" fontId="0" fillId="42" borderId="0" xfId="43" applyNumberFormat="1" applyFont="1" applyFill="1"/>
    <xf numFmtId="2" fontId="25" fillId="42" borderId="0" xfId="44" applyNumberFormat="1" applyFont="1" applyFill="1" applyAlignment="1">
      <alignment horizontal="center"/>
    </xf>
    <xf numFmtId="2" fontId="103" fillId="0" borderId="36" xfId="45" applyNumberFormat="1" applyFont="1" applyBorder="1"/>
    <xf numFmtId="177" fontId="103" fillId="69" borderId="36" xfId="45" applyFont="1" applyFill="1" applyBorder="1" applyAlignment="1">
      <alignment horizontal="center"/>
    </xf>
    <xf numFmtId="177" fontId="102" fillId="69" borderId="36" xfId="0" applyFont="1" applyFill="1" applyBorder="1" applyAlignment="1">
      <alignment horizontal="center"/>
    </xf>
    <xf numFmtId="2" fontId="103" fillId="76" borderId="0" xfId="0" applyNumberFormat="1" applyFont="1" applyFill="1" applyAlignment="1" applyProtection="1">
      <alignment horizontal="center"/>
      <protection locked="0"/>
    </xf>
    <xf numFmtId="173" fontId="102" fillId="0" borderId="36" xfId="44" applyNumberFormat="1" applyFont="1" applyFill="1" applyBorder="1" applyProtection="1"/>
    <xf numFmtId="165" fontId="40" fillId="0" borderId="0" xfId="44" applyNumberFormat="1" applyFont="1" applyFill="1" applyBorder="1" applyAlignment="1" applyProtection="1">
      <alignment horizontal="center"/>
    </xf>
    <xf numFmtId="2" fontId="105" fillId="0" borderId="0" xfId="0" applyNumberFormat="1" applyFont="1" applyAlignment="1">
      <alignment horizontal="center"/>
    </xf>
    <xf numFmtId="177" fontId="102" fillId="0" borderId="0" xfId="0" applyFont="1"/>
    <xf numFmtId="0" fontId="102" fillId="0" borderId="0" xfId="0" applyNumberFormat="1" applyFont="1"/>
    <xf numFmtId="177" fontId="0" fillId="53" borderId="0" xfId="49" applyFont="1" applyFill="1" applyAlignment="1">
      <alignment horizontal="center"/>
    </xf>
    <xf numFmtId="192" fontId="25" fillId="39" borderId="0" xfId="49" applyNumberFormat="1" applyFont="1" applyFill="1" applyAlignment="1">
      <alignment horizontal="center"/>
    </xf>
    <xf numFmtId="167" fontId="79" fillId="61" borderId="0" xfId="44" quotePrefix="1" applyNumberFormat="1" applyFont="1" applyFill="1" applyProtection="1">
      <protection locked="0"/>
    </xf>
    <xf numFmtId="177" fontId="0" fillId="42" borderId="0" xfId="0" applyFill="1" applyAlignment="1">
      <alignment horizontal="center"/>
    </xf>
    <xf numFmtId="167" fontId="38" fillId="0" borderId="0" xfId="44" applyNumberFormat="1" applyFont="1" applyFill="1" applyAlignment="1">
      <alignment horizontal="center"/>
    </xf>
    <xf numFmtId="4" fontId="0" fillId="39" borderId="0" xfId="44" applyNumberFormat="1" applyFont="1" applyFill="1"/>
    <xf numFmtId="14" fontId="0" fillId="39" borderId="0" xfId="0" applyNumberFormat="1" applyFill="1"/>
    <xf numFmtId="0" fontId="0" fillId="39" borderId="0" xfId="0" applyNumberFormat="1" applyFill="1"/>
    <xf numFmtId="10" fontId="0" fillId="39" borderId="0" xfId="44" applyNumberFormat="1" applyFont="1" applyFill="1"/>
    <xf numFmtId="173" fontId="109" fillId="42" borderId="0" xfId="44" applyNumberFormat="1" applyFont="1" applyFill="1"/>
    <xf numFmtId="177" fontId="0" fillId="0" borderId="0" xfId="0" applyFill="1"/>
    <xf numFmtId="177" fontId="17" fillId="0" borderId="0" xfId="0" applyFont="1" applyFill="1"/>
    <xf numFmtId="2" fontId="17" fillId="0" borderId="0" xfId="0" applyNumberFormat="1" applyFont="1" applyFill="1"/>
    <xf numFmtId="2" fontId="0" fillId="0" borderId="0" xfId="0" applyNumberFormat="1" applyFill="1"/>
    <xf numFmtId="9" fontId="28" fillId="39" borderId="0" xfId="43" applyFont="1" applyFill="1" applyBorder="1" applyAlignment="1" applyProtection="1">
      <alignment horizontal="center"/>
      <protection locked="0"/>
    </xf>
    <xf numFmtId="9" fontId="35" fillId="39" borderId="0" xfId="43" applyFont="1" applyFill="1" applyBorder="1" applyAlignment="1" applyProtection="1">
      <alignment horizontal="center"/>
      <protection locked="0"/>
    </xf>
    <xf numFmtId="9" fontId="25" fillId="52" borderId="12" xfId="43" applyFont="1" applyFill="1" applyBorder="1" applyAlignment="1" applyProtection="1">
      <alignment horizontal="center"/>
      <protection locked="0"/>
    </xf>
    <xf numFmtId="10" fontId="25" fillId="52" borderId="13" xfId="43" applyNumberFormat="1" applyFont="1" applyFill="1" applyBorder="1" applyAlignment="1" applyProtection="1">
      <alignment horizontal="center"/>
      <protection locked="0"/>
    </xf>
    <xf numFmtId="185" fontId="58" fillId="42" borderId="0" xfId="0" applyNumberFormat="1" applyFont="1" applyFill="1" applyBorder="1" applyAlignment="1">
      <alignment horizontal="center"/>
    </xf>
    <xf numFmtId="177" fontId="21" fillId="0" borderId="23" xfId="45" applyFont="1" applyFill="1" applyBorder="1" applyAlignment="1" applyProtection="1">
      <alignment horizontal="center"/>
    </xf>
    <xf numFmtId="177" fontId="25" fillId="0" borderId="23" xfId="0" applyFont="1" applyFill="1" applyBorder="1" applyAlignment="1" applyProtection="1">
      <alignment horizontal="center"/>
    </xf>
    <xf numFmtId="2" fontId="103" fillId="0" borderId="0" xfId="0" applyNumberFormat="1" applyFont="1" applyFill="1" applyAlignment="1" applyProtection="1">
      <alignment horizontal="center"/>
      <protection locked="0"/>
    </xf>
    <xf numFmtId="9" fontId="0" fillId="42" borderId="0" xfId="43" applyFont="1" applyFill="1" applyProtection="1">
      <protection locked="0"/>
    </xf>
    <xf numFmtId="10" fontId="15" fillId="42" borderId="0" xfId="43" applyNumberFormat="1" applyFont="1" applyFill="1" applyProtection="1">
      <protection locked="0"/>
    </xf>
    <xf numFmtId="9" fontId="18" fillId="41" borderId="0" xfId="43" applyFont="1" applyFill="1" applyAlignment="1" applyProtection="1">
      <alignment horizontal="center"/>
      <protection locked="0"/>
    </xf>
    <xf numFmtId="1" fontId="25" fillId="52" borderId="13" xfId="43" applyNumberFormat="1" applyFont="1" applyFill="1" applyBorder="1" applyAlignment="1" applyProtection="1">
      <alignment horizontal="center"/>
      <protection locked="0"/>
    </xf>
    <xf numFmtId="173" fontId="0" fillId="42" borderId="0" xfId="44" applyNumberFormat="1" applyFont="1" applyFill="1" applyAlignment="1" applyProtection="1">
      <alignment horizontal="center" vertical="center"/>
    </xf>
    <xf numFmtId="177" fontId="18" fillId="55" borderId="0" xfId="0" applyFont="1" applyFill="1" applyProtection="1"/>
    <xf numFmtId="2" fontId="103" fillId="60" borderId="0" xfId="0" applyNumberFormat="1" applyFont="1" applyFill="1" applyAlignment="1" applyProtection="1">
      <alignment horizontal="center"/>
      <protection locked="0"/>
    </xf>
    <xf numFmtId="43" fontId="25" fillId="0" borderId="23" xfId="44" applyNumberFormat="1" applyFont="1" applyFill="1" applyBorder="1" applyProtection="1"/>
    <xf numFmtId="177" fontId="0" fillId="42" borderId="0" xfId="0" applyFill="1" applyAlignment="1">
      <alignment horizontal="center"/>
    </xf>
    <xf numFmtId="177" fontId="25" fillId="60" borderId="0" xfId="0" applyFont="1" applyFill="1" applyAlignment="1" applyProtection="1">
      <alignment horizontal="center"/>
      <protection locked="0"/>
    </xf>
    <xf numFmtId="1" fontId="25" fillId="60" borderId="0" xfId="0" applyNumberFormat="1" applyFont="1" applyFill="1" applyAlignment="1" applyProtection="1">
      <alignment horizontal="center" vertical="center"/>
      <protection locked="0"/>
    </xf>
    <xf numFmtId="177" fontId="17" fillId="60" borderId="35" xfId="0" applyFont="1" applyFill="1" applyBorder="1" applyAlignment="1">
      <alignment vertical="center"/>
    </xf>
    <xf numFmtId="177" fontId="17" fillId="60" borderId="10" xfId="0" applyFont="1" applyFill="1" applyBorder="1" applyAlignment="1"/>
    <xf numFmtId="177" fontId="17" fillId="60" borderId="10" xfId="0" applyFont="1" applyFill="1" applyBorder="1" applyAlignment="1">
      <alignment horizontal="center" vertical="center"/>
    </xf>
    <xf numFmtId="177" fontId="0" fillId="42" borderId="47" xfId="0" applyFont="1" applyFill="1" applyBorder="1" applyAlignment="1">
      <alignment horizontal="center"/>
    </xf>
    <xf numFmtId="177" fontId="0" fillId="42" borderId="48" xfId="0" applyFont="1" applyFill="1" applyBorder="1" applyAlignment="1">
      <alignment horizontal="center"/>
    </xf>
    <xf numFmtId="0" fontId="0" fillId="42" borderId="0" xfId="0" applyNumberFormat="1" applyFont="1" applyFill="1" applyAlignment="1">
      <alignment horizontal="center"/>
    </xf>
    <xf numFmtId="0" fontId="25" fillId="42" borderId="0" xfId="0" applyNumberFormat="1" applyFont="1" applyFill="1" applyBorder="1" applyAlignment="1" applyProtection="1">
      <alignment horizontal="left"/>
      <protection locked="0"/>
    </xf>
    <xf numFmtId="173" fontId="25" fillId="42" borderId="0" xfId="44" applyNumberFormat="1" applyFont="1" applyFill="1" applyBorder="1" applyAlignment="1" applyProtection="1">
      <alignment horizontal="center"/>
      <protection locked="0"/>
    </xf>
    <xf numFmtId="2" fontId="21" fillId="42" borderId="23" xfId="45" applyNumberFormat="1" applyFont="1" applyFill="1" applyBorder="1" applyAlignment="1" applyProtection="1">
      <alignment horizontal="center"/>
    </xf>
    <xf numFmtId="2" fontId="21" fillId="42" borderId="32" xfId="45" applyNumberFormat="1" applyFont="1" applyFill="1" applyBorder="1" applyAlignment="1" applyProtection="1">
      <alignment horizontal="center"/>
    </xf>
    <xf numFmtId="2" fontId="21" fillId="42" borderId="0" xfId="45" applyNumberFormat="1" applyFont="1" applyFill="1" applyBorder="1" applyAlignment="1" applyProtection="1">
      <alignment horizontal="center"/>
    </xf>
    <xf numFmtId="2" fontId="21" fillId="42" borderId="11" xfId="45" applyNumberFormat="1" applyFont="1" applyFill="1" applyBorder="1" applyAlignment="1" applyProtection="1">
      <alignment horizontal="center"/>
    </xf>
    <xf numFmtId="2" fontId="32" fillId="42" borderId="0" xfId="45" applyNumberFormat="1" applyFont="1" applyFill="1" applyBorder="1" applyAlignment="1" applyProtection="1">
      <alignment horizontal="center"/>
    </xf>
    <xf numFmtId="2" fontId="21" fillId="0" borderId="0" xfId="45" applyNumberFormat="1" applyFont="1" applyFill="1" applyBorder="1" applyAlignment="1" applyProtection="1">
      <alignment horizontal="center"/>
    </xf>
    <xf numFmtId="2" fontId="21" fillId="48" borderId="0" xfId="45" applyNumberFormat="1" applyFont="1" applyFill="1" applyBorder="1" applyAlignment="1" applyProtection="1">
      <alignment horizontal="center"/>
    </xf>
    <xf numFmtId="2" fontId="21" fillId="66" borderId="0" xfId="45" applyNumberFormat="1" applyFont="1" applyFill="1" applyBorder="1" applyAlignment="1" applyProtection="1">
      <alignment horizontal="center"/>
    </xf>
    <xf numFmtId="2" fontId="21" fillId="0" borderId="0" xfId="45" applyNumberFormat="1" applyFont="1" applyFill="1" applyBorder="1" applyAlignment="1" applyProtection="1">
      <alignment horizontal="center"/>
      <protection locked="0"/>
    </xf>
    <xf numFmtId="2" fontId="103" fillId="0" borderId="0" xfId="45" applyNumberFormat="1" applyFont="1" applyAlignment="1" applyProtection="1">
      <alignment horizontal="center"/>
      <protection locked="0"/>
    </xf>
    <xf numFmtId="2" fontId="21" fillId="0" borderId="0" xfId="45" applyNumberFormat="1" applyFont="1" applyAlignment="1" applyProtection="1">
      <alignment horizontal="center"/>
    </xf>
    <xf numFmtId="177" fontId="74" fillId="39" borderId="0" xfId="0" applyFont="1" applyFill="1" applyAlignment="1">
      <alignment horizontal="center"/>
    </xf>
    <xf numFmtId="0" fontId="74" fillId="0" borderId="0" xfId="284" applyFont="1" applyAlignment="1">
      <alignment horizontal="center" vertical="center"/>
    </xf>
    <xf numFmtId="0" fontId="85" fillId="0" borderId="0" xfId="50" applyFont="1" applyAlignment="1">
      <alignment horizontal="center"/>
    </xf>
    <xf numFmtId="0" fontId="85" fillId="0" borderId="0" xfId="62" applyFont="1" applyAlignment="1">
      <alignment horizontal="center"/>
    </xf>
    <xf numFmtId="177" fontId="74" fillId="39" borderId="34" xfId="0" applyFont="1" applyFill="1" applyBorder="1" applyAlignment="1">
      <alignment horizontal="center"/>
    </xf>
    <xf numFmtId="177" fontId="0" fillId="0" borderId="34" xfId="0" applyBorder="1"/>
    <xf numFmtId="0" fontId="85" fillId="0" borderId="34" xfId="62" applyFont="1" applyBorder="1" applyAlignment="1">
      <alignment horizontal="center"/>
    </xf>
    <xf numFmtId="0" fontId="74" fillId="0" borderId="34" xfId="284" applyFont="1" applyBorder="1" applyAlignment="1">
      <alignment horizontal="center" vertical="center"/>
    </xf>
    <xf numFmtId="189" fontId="0" fillId="53" borderId="0" xfId="0" applyNumberFormat="1" applyFill="1" applyAlignment="1">
      <alignment horizontal="center" vertical="center"/>
    </xf>
    <xf numFmtId="177" fontId="33" fillId="38" borderId="0" xfId="0" applyFont="1" applyFill="1" applyAlignment="1">
      <alignment horizontal="center"/>
    </xf>
    <xf numFmtId="173" fontId="17" fillId="42" borderId="0" xfId="44" applyNumberFormat="1" applyFont="1" applyFill="1" applyAlignment="1">
      <alignment horizontal="center"/>
    </xf>
    <xf numFmtId="177" fontId="25" fillId="77" borderId="0" xfId="0" applyFont="1" applyFill="1"/>
    <xf numFmtId="177" fontId="25" fillId="77" borderId="0" xfId="0" applyFont="1" applyFill="1" applyAlignment="1">
      <alignment horizontal="center"/>
    </xf>
    <xf numFmtId="10" fontId="25" fillId="42" borderId="0" xfId="43" applyNumberFormat="1" applyFont="1" applyFill="1"/>
    <xf numFmtId="0" fontId="93" fillId="0" borderId="46" xfId="0" applyNumberFormat="1" applyFont="1" applyBorder="1" applyAlignment="1">
      <alignment horizontal="center" wrapText="1"/>
    </xf>
    <xf numFmtId="0" fontId="111" fillId="78" borderId="0" xfId="0" applyNumberFormat="1" applyFont="1" applyFill="1" applyAlignment="1">
      <alignment horizontal="left" vertical="center" wrapText="1"/>
    </xf>
    <xf numFmtId="0" fontId="111" fillId="78" borderId="0" xfId="0" applyNumberFormat="1" applyFont="1" applyFill="1" applyAlignment="1">
      <alignment horizontal="right" vertical="center" wrapText="1"/>
    </xf>
    <xf numFmtId="0" fontId="112" fillId="0" borderId="0" xfId="0" applyNumberFormat="1" applyFont="1" applyAlignment="1">
      <alignment horizontal="left" vertical="top" wrapText="1"/>
    </xf>
    <xf numFmtId="4" fontId="112" fillId="0" borderId="0" xfId="0" applyNumberFormat="1" applyFont="1" applyAlignment="1">
      <alignment horizontal="right" vertical="top" wrapText="1"/>
    </xf>
    <xf numFmtId="14" fontId="112" fillId="0" borderId="0" xfId="0" applyNumberFormat="1" applyFont="1" applyAlignment="1">
      <alignment horizontal="left" vertical="top" wrapText="1"/>
    </xf>
    <xf numFmtId="192" fontId="112" fillId="0" borderId="0" xfId="0" applyNumberFormat="1" applyFont="1" applyAlignment="1">
      <alignment horizontal="right" vertical="top" wrapText="1"/>
    </xf>
    <xf numFmtId="199" fontId="112" fillId="0" borderId="0" xfId="0" applyNumberFormat="1" applyFont="1" applyAlignment="1">
      <alignment horizontal="right" vertical="top" wrapText="1"/>
    </xf>
    <xf numFmtId="0" fontId="0" fillId="0" borderId="0" xfId="0" pivotButton="1" applyNumberFormat="1"/>
    <xf numFmtId="0" fontId="0" fillId="0" borderId="0" xfId="0" applyNumberFormat="1" applyAlignment="1">
      <alignment horizontal="left"/>
    </xf>
    <xf numFmtId="0" fontId="113" fillId="79" borderId="46" xfId="0" applyNumberFormat="1" applyFont="1" applyFill="1" applyBorder="1" applyAlignment="1">
      <alignment horizontal="center" wrapText="1"/>
    </xf>
    <xf numFmtId="177" fontId="0" fillId="42" borderId="0" xfId="0" applyFill="1" applyAlignment="1">
      <alignment vertical="center"/>
    </xf>
    <xf numFmtId="177" fontId="0" fillId="42" borderId="0" xfId="0" applyFill="1" applyAlignment="1"/>
    <xf numFmtId="177" fontId="17" fillId="60" borderId="13" xfId="0" quotePrefix="1" applyFont="1" applyFill="1" applyBorder="1" applyAlignment="1"/>
    <xf numFmtId="190" fontId="19" fillId="42" borderId="0" xfId="44" applyNumberFormat="1" applyFont="1" applyFill="1" applyBorder="1" applyAlignment="1">
      <alignment vertical="center"/>
    </xf>
    <xf numFmtId="172" fontId="0" fillId="42" borderId="47" xfId="0" applyNumberFormat="1" applyFill="1" applyBorder="1" applyAlignment="1"/>
    <xf numFmtId="10" fontId="0" fillId="42" borderId="42" xfId="43" applyNumberFormat="1" applyFont="1" applyFill="1" applyBorder="1" applyAlignment="1"/>
    <xf numFmtId="198" fontId="0" fillId="42" borderId="42" xfId="43" applyNumberFormat="1" applyFont="1" applyFill="1" applyBorder="1" applyAlignment="1"/>
    <xf numFmtId="198" fontId="0" fillId="42" borderId="48" xfId="43" applyNumberFormat="1" applyFont="1" applyFill="1" applyBorder="1" applyAlignment="1"/>
    <xf numFmtId="198" fontId="0" fillId="42" borderId="45" xfId="43" applyNumberFormat="1" applyFont="1" applyFill="1" applyBorder="1" applyAlignment="1"/>
    <xf numFmtId="177" fontId="0" fillId="60" borderId="12" xfId="0" applyFill="1" applyBorder="1" applyAlignment="1"/>
    <xf numFmtId="198" fontId="0" fillId="60" borderId="13" xfId="43" applyNumberFormat="1" applyFont="1" applyFill="1" applyBorder="1" applyAlignment="1"/>
    <xf numFmtId="10" fontId="0" fillId="60" borderId="13" xfId="43" applyNumberFormat="1" applyFont="1" applyFill="1" applyBorder="1" applyAlignment="1"/>
    <xf numFmtId="0" fontId="109" fillId="42" borderId="0" xfId="0" applyNumberFormat="1" applyFont="1" applyFill="1" applyAlignment="1">
      <alignment horizontal="left"/>
    </xf>
    <xf numFmtId="200" fontId="0" fillId="42" borderId="0" xfId="44" applyNumberFormat="1" applyFont="1" applyFill="1" applyAlignment="1">
      <alignment horizontal="center"/>
    </xf>
    <xf numFmtId="2" fontId="0" fillId="42" borderId="0" xfId="0" applyNumberFormat="1" applyFill="1" applyAlignment="1">
      <alignment horizontal="center"/>
    </xf>
    <xf numFmtId="200" fontId="0" fillId="48" borderId="0" xfId="44" applyNumberFormat="1" applyFont="1" applyFill="1" applyAlignment="1">
      <alignment horizontal="center"/>
    </xf>
    <xf numFmtId="200" fontId="19" fillId="48" borderId="0" xfId="44" applyNumberFormat="1" applyFont="1" applyFill="1" applyAlignment="1">
      <alignment horizontal="center"/>
    </xf>
    <xf numFmtId="0" fontId="14" fillId="64" borderId="0" xfId="0" applyNumberFormat="1" applyFont="1" applyFill="1" applyAlignment="1">
      <alignment horizontal="left"/>
    </xf>
    <xf numFmtId="0" fontId="114" fillId="69" borderId="0" xfId="0" applyNumberFormat="1" applyFont="1" applyFill="1"/>
    <xf numFmtId="200" fontId="107" fillId="69" borderId="0" xfId="44" applyNumberFormat="1" applyFont="1" applyFill="1" applyBorder="1"/>
    <xf numFmtId="0" fontId="115" fillId="69" borderId="28" xfId="0" applyNumberFormat="1" applyFont="1" applyFill="1" applyBorder="1"/>
    <xf numFmtId="200" fontId="107" fillId="69" borderId="27" xfId="44" applyNumberFormat="1" applyFont="1" applyFill="1" applyBorder="1"/>
    <xf numFmtId="0" fontId="107" fillId="69" borderId="0" xfId="0" applyNumberFormat="1" applyFont="1" applyFill="1"/>
    <xf numFmtId="0" fontId="116" fillId="69" borderId="0" xfId="0" applyNumberFormat="1" applyFont="1" applyFill="1" applyAlignment="1">
      <alignment horizontal="left"/>
    </xf>
    <xf numFmtId="0" fontId="117" fillId="80" borderId="0" xfId="0" applyNumberFormat="1" applyFont="1" applyFill="1" applyAlignment="1">
      <alignment horizontal="left"/>
    </xf>
    <xf numFmtId="14" fontId="117" fillId="80" borderId="0" xfId="0" applyNumberFormat="1" applyFont="1" applyFill="1" applyAlignment="1">
      <alignment horizontal="center"/>
    </xf>
    <xf numFmtId="200" fontId="107" fillId="69" borderId="0" xfId="44" applyNumberFormat="1" applyFont="1" applyFill="1" applyBorder="1" applyAlignment="1">
      <alignment horizontal="center"/>
    </xf>
    <xf numFmtId="0" fontId="0" fillId="35" borderId="28" xfId="0" applyNumberFormat="1" applyFill="1" applyBorder="1" applyAlignment="1">
      <alignment horizontal="left"/>
    </xf>
    <xf numFmtId="200" fontId="0" fillId="35" borderId="29" xfId="44" applyNumberFormat="1" applyFont="1" applyFill="1" applyBorder="1" applyAlignment="1">
      <alignment horizontal="center"/>
    </xf>
    <xf numFmtId="2" fontId="0" fillId="35" borderId="29" xfId="0" applyNumberFormat="1" applyFill="1" applyBorder="1" applyAlignment="1">
      <alignment horizontal="center"/>
    </xf>
    <xf numFmtId="200" fontId="0" fillId="35" borderId="27" xfId="44" applyNumberFormat="1" applyFont="1" applyFill="1" applyBorder="1" applyAlignment="1">
      <alignment horizontal="center"/>
    </xf>
    <xf numFmtId="200" fontId="17" fillId="48" borderId="0" xfId="44" applyNumberFormat="1" applyFont="1" applyFill="1" applyAlignment="1">
      <alignment horizontal="center"/>
    </xf>
    <xf numFmtId="200" fontId="17" fillId="81" borderId="0" xfId="44" applyNumberFormat="1" applyFont="1" applyFill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9" fontId="0" fillId="0" borderId="0" xfId="43" applyFont="1" applyAlignment="1" applyProtection="1">
      <alignment horizontal="center" wrapText="1"/>
      <protection locked="0"/>
    </xf>
    <xf numFmtId="0" fontId="0" fillId="0" borderId="0" xfId="0" applyNumberFormat="1" applyAlignment="1" applyProtection="1">
      <alignment horizontal="left"/>
      <protection locked="0"/>
    </xf>
    <xf numFmtId="0" fontId="0" fillId="59" borderId="0" xfId="0" applyNumberFormat="1" applyFill="1" applyAlignment="1" applyProtection="1">
      <alignment horizontal="center"/>
      <protection locked="0"/>
    </xf>
    <xf numFmtId="9" fontId="0" fillId="59" borderId="0" xfId="43" applyFont="1" applyFill="1" applyAlignment="1" applyProtection="1">
      <alignment horizontal="center" wrapText="1"/>
      <protection locked="0"/>
    </xf>
    <xf numFmtId="0" fontId="0" fillId="0" borderId="0" xfId="0" applyNumberFormat="1" applyAlignment="1">
      <alignment horizontal="center"/>
    </xf>
    <xf numFmtId="0" fontId="19" fillId="0" borderId="0" xfId="0" applyNumberFormat="1" applyFont="1" applyAlignment="1">
      <alignment horizontal="center"/>
    </xf>
    <xf numFmtId="9" fontId="0" fillId="0" borderId="0" xfId="43" applyFont="1" applyAlignment="1">
      <alignment horizontal="center"/>
    </xf>
    <xf numFmtId="0" fontId="15" fillId="0" borderId="0" xfId="0" applyNumberFormat="1" applyFont="1" applyAlignment="1">
      <alignment horizontal="center"/>
    </xf>
    <xf numFmtId="177" fontId="14" fillId="41" borderId="14" xfId="0" applyFont="1" applyFill="1" applyBorder="1" applyAlignment="1" applyProtection="1">
      <alignment horizontal="center"/>
      <protection locked="0"/>
    </xf>
    <xf numFmtId="177" fontId="25" fillId="59" borderId="0" xfId="0" applyFont="1" applyFill="1" applyAlignment="1" applyProtection="1">
      <alignment horizontal="center"/>
      <protection locked="0"/>
    </xf>
    <xf numFmtId="12" fontId="18" fillId="44" borderId="0" xfId="43" applyNumberFormat="1" applyFont="1" applyFill="1" applyAlignment="1" applyProtection="1">
      <alignment horizontal="center"/>
      <protection locked="0"/>
    </xf>
    <xf numFmtId="194" fontId="78" fillId="37" borderId="0" xfId="60" applyNumberFormat="1" applyFont="1" applyFill="1" applyAlignment="1">
      <alignment horizontal="center"/>
    </xf>
    <xf numFmtId="0" fontId="0" fillId="52" borderId="0" xfId="0" applyNumberFormat="1" applyFill="1" applyAlignment="1">
      <alignment horizontal="center"/>
    </xf>
    <xf numFmtId="0" fontId="0" fillId="60" borderId="0" xfId="0" applyNumberFormat="1" applyFill="1" applyAlignment="1">
      <alignment horizontal="center"/>
    </xf>
    <xf numFmtId="177" fontId="106" fillId="0" borderId="0" xfId="0" applyFont="1" applyAlignment="1">
      <alignment horizontal="center" wrapText="1"/>
    </xf>
  </cellXfs>
  <cellStyles count="31743">
    <cellStyle name="20% - Accent1 2" xfId="66" xr:uid="{C91D2E0A-BFC7-4A95-8D96-C4AE2DB5EAA1}"/>
    <cellStyle name="20% - Accent1 2 2" xfId="512" xr:uid="{F5062E0C-6B0D-4F0C-9960-1310D1879237}"/>
    <cellStyle name="20% - Accent1 2 3" xfId="1079" xr:uid="{44D7D126-445F-44DB-A94A-FD0014F8185F}"/>
    <cellStyle name="20% - Accent1 3" xfId="645" xr:uid="{68CB3553-CB09-491F-963E-DC7E9A9F7C2A}"/>
    <cellStyle name="20% - Accent1 4" xfId="806" xr:uid="{5E95B5AB-F864-4E27-8822-7439A8C0BF2E}"/>
    <cellStyle name="20% - Accent2 2" xfId="67" xr:uid="{2E157CB6-99C8-42B7-95EB-06ABB4AFA192}"/>
    <cellStyle name="20% - Accent2 2 2" xfId="516" xr:uid="{85E0AFB4-8D6B-4692-B605-D3CA79684500}"/>
    <cellStyle name="20% - Accent2 2 3" xfId="1080" xr:uid="{560B05E0-6396-4388-B737-F40FC832DBB3}"/>
    <cellStyle name="20% - Accent2 3" xfId="646" xr:uid="{AD20431B-E58A-483F-A422-6CFF787CBFA3}"/>
    <cellStyle name="20% - Accent2 4" xfId="807" xr:uid="{F91EC528-85B3-489C-9E2B-ACC81D3721EB}"/>
    <cellStyle name="20% - Accent3 2" xfId="68" xr:uid="{9C39BE64-F26F-489C-BA64-C1E7FD4A226E}"/>
    <cellStyle name="20% - Accent3 2 2" xfId="520" xr:uid="{B8066004-0145-4A09-8A2B-CC4B2BE02D0A}"/>
    <cellStyle name="20% - Accent3 2 3" xfId="1081" xr:uid="{BF5C59F2-34B9-4C49-94E3-FF1B87A30655}"/>
    <cellStyle name="20% - Accent3 3" xfId="647" xr:uid="{8A11AD38-B348-4DBA-BCB2-F4CCEE96C233}"/>
    <cellStyle name="20% - Accent3 4" xfId="808" xr:uid="{291913B7-A51A-4603-817F-8F9C089A8292}"/>
    <cellStyle name="20% - Accent4 2" xfId="69" xr:uid="{3F38C3ED-6E19-4577-88F9-2E38FFF42893}"/>
    <cellStyle name="20% - Accent4 2 2" xfId="524" xr:uid="{C7664A88-8BB1-407D-A12E-FBFA3F5D2535}"/>
    <cellStyle name="20% - Accent4 2 3" xfId="1082" xr:uid="{B6B1B194-9067-43FE-98D4-9BC4E94FD2AB}"/>
    <cellStyle name="20% - Accent4 3" xfId="648" xr:uid="{7AE06CEB-1292-40C9-AB51-6407056CEDE9}"/>
    <cellStyle name="20% - Accent4 4" xfId="809" xr:uid="{C0A65F4E-094B-4E34-BEFE-F91CC354B2B4}"/>
    <cellStyle name="20% - Accent5 2" xfId="70" xr:uid="{CC4A0D3A-8FCF-4FB6-928C-0D9E8A21D37B}"/>
    <cellStyle name="20% - Accent5 2 2" xfId="528" xr:uid="{3AA0DD74-8F39-442B-8E3F-4A81417556C8}"/>
    <cellStyle name="20% - Accent5 2 3" xfId="1083" xr:uid="{E66B21B1-59F8-449E-8CE7-E3903079DBED}"/>
    <cellStyle name="20% - Accent5 3" xfId="649" xr:uid="{2410982C-42C7-47C6-BED8-FAACEDE187CD}"/>
    <cellStyle name="20% - Accent5 4" xfId="810" xr:uid="{1349866D-472B-41F9-9628-1C6DB8F2F027}"/>
    <cellStyle name="20% - Accent6 2" xfId="71" xr:uid="{3ADC5BAA-3FBC-4E65-8CFB-B77B4659550F}"/>
    <cellStyle name="20% - Accent6 2 2" xfId="532" xr:uid="{B308FE8C-6F1E-47D6-A700-CA8B456F09ED}"/>
    <cellStyle name="20% - Accent6 2 3" xfId="1084" xr:uid="{1CCC1078-51F7-4922-AAA9-E95851DF68E1}"/>
    <cellStyle name="20% - Accent6 3" xfId="650" xr:uid="{589E98C1-CE82-4686-B8F0-1AA81101F033}"/>
    <cellStyle name="20% - Accent6 4" xfId="811" xr:uid="{EBAF194B-4B94-4D51-8D3F-9A94FE5744AD}"/>
    <cellStyle name="20% - Colore 1" xfId="1" builtinId="30" customBuiltin="1"/>
    <cellStyle name="20% - Colore 1 2" xfId="136" xr:uid="{ABBB173A-E3E7-4B54-83B6-A0D5A50925B3}"/>
    <cellStyle name="20% - Colore 1 2 2" xfId="387" xr:uid="{8685FBED-90C6-4371-AF83-119637401A7E}"/>
    <cellStyle name="20% - Colore 1 3" xfId="218" xr:uid="{47669C55-3253-45A9-9333-8CE0C0894156}"/>
    <cellStyle name="20% - Colore 1 3 2" xfId="440" xr:uid="{72E0A34C-D46A-4EA0-A3E2-439066AB3804}"/>
    <cellStyle name="20% - Colore 1 3 3" xfId="294" xr:uid="{DCA57471-ECC7-4977-BE50-84AB88B41E4F}"/>
    <cellStyle name="20% - Colore 1 4" xfId="344" xr:uid="{5755665E-4172-4FC6-9CCB-0E95AB292BDA}"/>
    <cellStyle name="20% - Colore 2" xfId="2" builtinId="34" customBuiltin="1"/>
    <cellStyle name="20% - Colore 2 2" xfId="137" xr:uid="{1F92295F-5C69-4F58-8D81-1F0160A8662C}"/>
    <cellStyle name="20% - Colore 2 2 2" xfId="388" xr:uid="{1F42D95D-0D28-4525-BF1E-94BCFDD9D385}"/>
    <cellStyle name="20% - Colore 2 3" xfId="222" xr:uid="{9A4C5E8C-A032-4489-B3D8-DFE24E33DB45}"/>
    <cellStyle name="20% - Colore 2 3 2" xfId="444" xr:uid="{ADD295F5-D2C9-48D3-A471-028CACC23F0B}"/>
    <cellStyle name="20% - Colore 2 3 3" xfId="295" xr:uid="{FF4090B2-3442-479C-BF56-C0E0ED8B809D}"/>
    <cellStyle name="20% - Colore 2 4" xfId="345" xr:uid="{7120B561-5D1B-40F2-8362-C569D300B315}"/>
    <cellStyle name="20% - Colore 3" xfId="3" builtinId="38" customBuiltin="1"/>
    <cellStyle name="20% - Colore 3 2" xfId="138" xr:uid="{DA23A9FB-0BC2-43E9-BB43-F0E99695E13C}"/>
    <cellStyle name="20% - Colore 3 2 2" xfId="389" xr:uid="{77AEAF90-64D7-4F91-A048-B4614B89894F}"/>
    <cellStyle name="20% - Colore 3 3" xfId="226" xr:uid="{DD8CC7B7-4815-4FEE-BFAD-B8F85EE06E67}"/>
    <cellStyle name="20% - Colore 3 3 2" xfId="448" xr:uid="{1785D0A6-E766-4703-871A-3E208FED3B5A}"/>
    <cellStyle name="20% - Colore 3 3 3" xfId="296" xr:uid="{A2F04B7F-6C14-4F2C-9067-D287C86F8F38}"/>
    <cellStyle name="20% - Colore 3 4" xfId="346" xr:uid="{422FD820-F79F-430F-B1A0-2A6777B6C2A7}"/>
    <cellStyle name="20% - Colore 4" xfId="4" builtinId="42" customBuiltin="1"/>
    <cellStyle name="20% - Colore 4 2" xfId="139" xr:uid="{3014CDC1-D422-4512-88DB-E45648D00C78}"/>
    <cellStyle name="20% - Colore 4 2 2" xfId="390" xr:uid="{F5A3C0D4-7039-4BAC-97C4-70DC75DD070B}"/>
    <cellStyle name="20% - Colore 4 3" xfId="230" xr:uid="{1CD061C8-8B5D-4BBB-9BA5-1CDA04877332}"/>
    <cellStyle name="20% - Colore 4 3 2" xfId="452" xr:uid="{F5317B08-A7F5-46BE-8878-78CE05728373}"/>
    <cellStyle name="20% - Colore 4 3 3" xfId="297" xr:uid="{C964FA14-1315-430A-B5AE-69ECC67B96F3}"/>
    <cellStyle name="20% - Colore 4 4" xfId="347" xr:uid="{B0BC6312-02D2-494C-9F13-F027D70E031F}"/>
    <cellStyle name="20% - Colore 5" xfId="5" builtinId="46" customBuiltin="1"/>
    <cellStyle name="20% - Colore 5 2" xfId="140" xr:uid="{86F66ECF-A12A-42D2-84B3-6FDDB554DA99}"/>
    <cellStyle name="20% - Colore 5 2 2" xfId="391" xr:uid="{CE5ED627-0F08-4E46-AEE3-562714AB5C5A}"/>
    <cellStyle name="20% - Colore 5 3" xfId="234" xr:uid="{CF248F4D-7520-4F99-A1C6-FAAF4659EB07}"/>
    <cellStyle name="20% - Colore 5 3 2" xfId="456" xr:uid="{FB8E55D1-A67B-4154-ABC0-FE522BEC84A8}"/>
    <cellStyle name="20% - Colore 5 3 3" xfId="298" xr:uid="{E7ED19F4-154F-41E5-8773-6B64784EDEE4}"/>
    <cellStyle name="20% - Colore 5 4" xfId="348" xr:uid="{0498B172-A7FB-4D0E-B341-FD2853D7C2CD}"/>
    <cellStyle name="20% - Colore 6" xfId="6" builtinId="50" customBuiltin="1"/>
    <cellStyle name="20% - Colore 6 2" xfId="141" xr:uid="{6B7C08B0-CD2E-4A32-BCC4-3FFA0DD54BD1}"/>
    <cellStyle name="20% - Colore 6 2 2" xfId="392" xr:uid="{5DBC2057-6D44-4D3A-8B63-D3E52452BBA3}"/>
    <cellStyle name="20% - Colore 6 3" xfId="238" xr:uid="{067E3DC2-FE67-4A0E-BA85-A992870CFEEF}"/>
    <cellStyle name="20% - Colore 6 3 2" xfId="460" xr:uid="{152FDBC1-668A-4F4B-A007-95D697AF55BC}"/>
    <cellStyle name="20% - Colore 6 3 3" xfId="299" xr:uid="{3F906881-2D56-4BA0-87ED-A62EAAE4FC37}"/>
    <cellStyle name="20% - Colore 6 4" xfId="349" xr:uid="{67DBCB2F-0CB9-4403-BDD6-0F6B2F2D3D40}"/>
    <cellStyle name="40% - Accent1 2" xfId="72" xr:uid="{C22420AE-C3B9-4C09-8DC8-5401C267B1A6}"/>
    <cellStyle name="40% - Accent1 2 2" xfId="513" xr:uid="{C97887AC-89DC-4B4E-9FDC-FBEA032FDE89}"/>
    <cellStyle name="40% - Accent1 2 3" xfId="1085" xr:uid="{B69F4E86-E738-4C16-BFF8-F0CCF07C87FA}"/>
    <cellStyle name="40% - Accent1 3" xfId="651" xr:uid="{D7C96598-A4E6-4195-B28E-8CE3C6CECCF6}"/>
    <cellStyle name="40% - Accent1 4" xfId="812" xr:uid="{FA4FF0E0-DF4B-467E-9ACA-0A4793D3703C}"/>
    <cellStyle name="40% - Accent2 2" xfId="73" xr:uid="{6E7BE011-7F9C-475C-9F30-3EC16D0F21F8}"/>
    <cellStyle name="40% - Accent2 2 2" xfId="517" xr:uid="{4E73357F-8FDE-4607-AF86-DDF4495967B5}"/>
    <cellStyle name="40% - Accent2 2 3" xfId="1086" xr:uid="{A65AFDFA-9CA4-4E1D-929F-5A5E2A3BB194}"/>
    <cellStyle name="40% - Accent2 3" xfId="652" xr:uid="{C7CE7370-BDD0-4EC7-9605-50358AFA5C39}"/>
    <cellStyle name="40% - Accent2 4" xfId="813" xr:uid="{CCFAACC9-346B-463E-A978-DD2E2EF75755}"/>
    <cellStyle name="40% - Accent3 2" xfId="74" xr:uid="{9289E74F-2375-45D0-82AE-076EA5F3049F}"/>
    <cellStyle name="40% - Accent3 2 2" xfId="521" xr:uid="{EBE443CE-F6B4-40F6-BAA8-9411C34010B1}"/>
    <cellStyle name="40% - Accent3 2 3" xfId="1087" xr:uid="{938D52B9-1140-4B39-ABD6-793AD43B86CD}"/>
    <cellStyle name="40% - Accent3 3" xfId="653" xr:uid="{A98B3494-8AAC-4B5C-AFE4-2014DE7B4004}"/>
    <cellStyle name="40% - Accent3 4" xfId="814" xr:uid="{2F594E06-2F2F-418D-AF2E-D31EDBB12D46}"/>
    <cellStyle name="40% - Accent4 2" xfId="75" xr:uid="{9A768B79-4DEE-4496-8E73-1BADF6D8DDE6}"/>
    <cellStyle name="40% - Accent4 2 2" xfId="525" xr:uid="{40726B2C-D528-4A8B-A4D5-15837DC32EC9}"/>
    <cellStyle name="40% - Accent4 2 3" xfId="1088" xr:uid="{15420A32-EDD2-4481-B8D4-3D73138A1E44}"/>
    <cellStyle name="40% - Accent4 3" xfId="654" xr:uid="{F093BC2B-9724-49DE-89D8-1BACDD6CCBB0}"/>
    <cellStyle name="40% - Accent4 4" xfId="815" xr:uid="{147E6755-4158-447B-970B-D50F49EAC907}"/>
    <cellStyle name="40% - Accent5 2" xfId="76" xr:uid="{86B6FFE0-223F-4BAE-895C-D4A7EF4E1E34}"/>
    <cellStyle name="40% - Accent5 2 2" xfId="529" xr:uid="{7EC4392A-83BC-4440-95B4-19CE366BDDB7}"/>
    <cellStyle name="40% - Accent5 2 3" xfId="1089" xr:uid="{0AC64788-A131-423F-83F9-C9C6CE9EEEEF}"/>
    <cellStyle name="40% - Accent5 3" xfId="655" xr:uid="{C99ADD2C-25FD-45D0-9775-947F0CE1ED64}"/>
    <cellStyle name="40% - Accent5 4" xfId="816" xr:uid="{81C129BD-A583-4DF0-B22A-A1B137E6C6EC}"/>
    <cellStyle name="40% - Accent6 2" xfId="77" xr:uid="{6B495E4E-54FD-4F92-9CFB-E6F491DE752D}"/>
    <cellStyle name="40% - Accent6 2 2" xfId="533" xr:uid="{DDDBBB3E-8DC7-4499-A636-D0BF8A99E073}"/>
    <cellStyle name="40% - Accent6 2 3" xfId="1090" xr:uid="{C3D21B65-3AAE-4171-9678-8CB9ADCE8E31}"/>
    <cellStyle name="40% - Accent6 3" xfId="656" xr:uid="{9FCD57FF-0F32-431A-B3B5-778E8753A5BD}"/>
    <cellStyle name="40% - Accent6 4" xfId="817" xr:uid="{5A4A71E2-04C8-4F4B-905A-90AD8CF3DE6B}"/>
    <cellStyle name="40% - Colore 1" xfId="7" builtinId="31" customBuiltin="1"/>
    <cellStyle name="40% - Colore 1 2" xfId="142" xr:uid="{BE6F898E-E87E-4A2F-99AC-41289B487EDE}"/>
    <cellStyle name="40% - Colore 1 2 2" xfId="393" xr:uid="{DB63D8D9-47BD-412A-BC46-66295C8E70DD}"/>
    <cellStyle name="40% - Colore 1 3" xfId="219" xr:uid="{49CAC435-476E-4F40-9A70-E3E5FAEF4B59}"/>
    <cellStyle name="40% - Colore 1 3 2" xfId="441" xr:uid="{D0F725B4-0C6F-488F-B93F-8F9AC180C855}"/>
    <cellStyle name="40% - Colore 1 3 3" xfId="300" xr:uid="{48DA3F40-9D03-44F9-B74B-6ADE88192D36}"/>
    <cellStyle name="40% - Colore 1 4" xfId="350" xr:uid="{3C445EB9-6185-4A46-ACB6-EC89F3726BDC}"/>
    <cellStyle name="40% - Colore 2" xfId="8" builtinId="35" customBuiltin="1"/>
    <cellStyle name="40% - Colore 2 2" xfId="143" xr:uid="{F9E1D9F5-E044-45FE-B67A-662B92A6796B}"/>
    <cellStyle name="40% - Colore 2 2 2" xfId="394" xr:uid="{F92C75C8-7A63-4BF8-A2AB-4D6824B45FF3}"/>
    <cellStyle name="40% - Colore 2 3" xfId="223" xr:uid="{720A943D-3480-4858-AFED-9466FDC5C2EF}"/>
    <cellStyle name="40% - Colore 2 3 2" xfId="445" xr:uid="{440B10AB-6B73-41B8-B2FA-BE4341DB043A}"/>
    <cellStyle name="40% - Colore 2 3 3" xfId="301" xr:uid="{2E30023A-6042-49D6-B9FA-BE34F174994B}"/>
    <cellStyle name="40% - Colore 2 4" xfId="351" xr:uid="{3582FE9B-3690-4269-96A6-FFE0D5EBA83E}"/>
    <cellStyle name="40% - Colore 3" xfId="9" builtinId="39" customBuiltin="1"/>
    <cellStyle name="40% - Colore 3 2" xfId="144" xr:uid="{628348C7-29E8-4041-B7A3-0718F68A4D73}"/>
    <cellStyle name="40% - Colore 3 2 2" xfId="395" xr:uid="{14489C7C-E38E-4A7C-A82E-32048F05C2AC}"/>
    <cellStyle name="40% - Colore 3 3" xfId="227" xr:uid="{5738DCDF-33D0-4107-B87B-90E4B9BAB694}"/>
    <cellStyle name="40% - Colore 3 3 2" xfId="449" xr:uid="{94649749-2B3D-47C8-A9BE-EF7790C4A80C}"/>
    <cellStyle name="40% - Colore 3 3 3" xfId="302" xr:uid="{28B6AD9A-C32B-443A-BC16-AC8CFC447CF0}"/>
    <cellStyle name="40% - Colore 3 4" xfId="352" xr:uid="{B503C502-C987-4ECA-AE4E-D673F2E2A4CF}"/>
    <cellStyle name="40% - Colore 4" xfId="10" builtinId="43" customBuiltin="1"/>
    <cellStyle name="40% - Colore 4 2" xfId="145" xr:uid="{688C64FF-B821-4099-93C3-F516BD425CBE}"/>
    <cellStyle name="40% - Colore 4 2 2" xfId="396" xr:uid="{38A7C8FA-FB4D-469D-814C-9B1FE4F42B6B}"/>
    <cellStyle name="40% - Colore 4 3" xfId="231" xr:uid="{81259D0E-4608-4E9F-9391-9E90694D0D3D}"/>
    <cellStyle name="40% - Colore 4 3 2" xfId="453" xr:uid="{17F205E4-E97B-4F78-94A4-2BF9600866B7}"/>
    <cellStyle name="40% - Colore 4 3 3" xfId="303" xr:uid="{67FF4C03-90AC-4901-A5CC-0CB268CD8E46}"/>
    <cellStyle name="40% - Colore 4 4" xfId="353" xr:uid="{ACEA0EC0-23D0-4D9F-8E91-271EB4BCDC33}"/>
    <cellStyle name="40% - Colore 5" xfId="11" builtinId="47" customBuiltin="1"/>
    <cellStyle name="40% - Colore 5 2" xfId="146" xr:uid="{9FC0DFEF-2584-48D3-B234-C2D49DD0C657}"/>
    <cellStyle name="40% - Colore 5 2 2" xfId="397" xr:uid="{17C78ED9-206B-4647-9F3B-297D339E7967}"/>
    <cellStyle name="40% - Colore 5 3" xfId="235" xr:uid="{D734421B-26BF-48A5-96F4-333B3D9E6232}"/>
    <cellStyle name="40% - Colore 5 3 2" xfId="457" xr:uid="{5BB40295-2715-44DB-819A-89011F408E74}"/>
    <cellStyle name="40% - Colore 5 3 3" xfId="304" xr:uid="{68B89499-E2FC-4158-B6E8-B92815997A26}"/>
    <cellStyle name="40% - Colore 5 4" xfId="354" xr:uid="{10D6E888-FDDF-464F-BD5A-1185DF5E1B2F}"/>
    <cellStyle name="40% - Colore 6" xfId="12" builtinId="51" customBuiltin="1"/>
    <cellStyle name="40% - Colore 6 2" xfId="147" xr:uid="{56848F5C-7D47-4748-8259-9730750E041A}"/>
    <cellStyle name="40% - Colore 6 2 2" xfId="398" xr:uid="{9DD44E21-1FC8-4BCA-830B-61212F6ED05A}"/>
    <cellStyle name="40% - Colore 6 3" xfId="239" xr:uid="{5D871884-FF5A-4D90-909A-4315B0177944}"/>
    <cellStyle name="40% - Colore 6 3 2" xfId="461" xr:uid="{11B935D1-90AC-48A5-99FD-03AE01273A1D}"/>
    <cellStyle name="40% - Colore 6 3 3" xfId="305" xr:uid="{4FBB847C-560E-4036-A8BA-1088FC32A826}"/>
    <cellStyle name="40% - Colore 6 4" xfId="355" xr:uid="{67BDCA09-A519-4213-BA72-4522A1EC78F6}"/>
    <cellStyle name="60% - Accent1 2" xfId="78" xr:uid="{9A846303-4901-4DC3-AAFB-26267CAEF7F4}"/>
    <cellStyle name="60% - Accent1 2 2" xfId="514" xr:uid="{ADAAF832-F0C4-4B7E-838A-5CA38A7ED81B}"/>
    <cellStyle name="60% - Accent1 2 3" xfId="1091" xr:uid="{8859893F-407A-4A4D-8895-28DBD0753943}"/>
    <cellStyle name="60% - Accent1 3" xfId="657" xr:uid="{7970B546-DA13-4302-815F-74C3CBBFB592}"/>
    <cellStyle name="60% - Accent1 4" xfId="818" xr:uid="{C7EE312A-9F6A-4EA6-BF9A-EA0E2304D532}"/>
    <cellStyle name="60% - Accent2 2" xfId="79" xr:uid="{0952E8EE-9462-44D7-856D-E507549226FF}"/>
    <cellStyle name="60% - Accent2 2 2" xfId="518" xr:uid="{245D3590-8B28-4553-B1DA-F94AD0C72D50}"/>
    <cellStyle name="60% - Accent2 2 3" xfId="1092" xr:uid="{1F55786B-9F65-490C-A016-EFE744B5FFF6}"/>
    <cellStyle name="60% - Accent2 3" xfId="658" xr:uid="{7FA96BBF-3ABE-4B9C-9B2C-784577A9603F}"/>
    <cellStyle name="60% - Accent2 4" xfId="819" xr:uid="{B2E16E78-5480-4ED6-AB75-429544F61496}"/>
    <cellStyle name="60% - Accent3 2" xfId="80" xr:uid="{F6F96240-D073-4887-894D-6BD2EF689842}"/>
    <cellStyle name="60% - Accent3 2 2" xfId="522" xr:uid="{0637D463-9DC4-4BA4-ADF1-642348ECDFD8}"/>
    <cellStyle name="60% - Accent3 2 3" xfId="1093" xr:uid="{5C2B9077-56F9-4507-8BFC-7DD9CB37D49F}"/>
    <cellStyle name="60% - Accent3 3" xfId="659" xr:uid="{0B3EB9EC-72E5-47B7-B925-4C0A28F212D1}"/>
    <cellStyle name="60% - Accent3 4" xfId="820" xr:uid="{FB21E965-5F25-4ECB-992F-B3470559120E}"/>
    <cellStyle name="60% - Accent4 2" xfId="81" xr:uid="{2767AAED-3683-49BA-B932-99824C891430}"/>
    <cellStyle name="60% - Accent4 2 2" xfId="526" xr:uid="{65507B8D-22ED-44F1-9FE1-83D8F25E88D1}"/>
    <cellStyle name="60% - Accent4 2 3" xfId="1094" xr:uid="{8B156873-65ED-46D9-B829-DE87982E0756}"/>
    <cellStyle name="60% - Accent4 3" xfId="660" xr:uid="{E4374404-6AA5-4DAF-9851-EA90591AF4C9}"/>
    <cellStyle name="60% - Accent4 4" xfId="821" xr:uid="{47D957E0-F9F2-4F57-854E-F53DD9A9B1D2}"/>
    <cellStyle name="60% - Accent5 2" xfId="82" xr:uid="{9C8BD86C-A601-4265-9827-DC661281F553}"/>
    <cellStyle name="60% - Accent5 2 2" xfId="530" xr:uid="{1BE37545-8610-4E46-9C5A-C2BC9027E83A}"/>
    <cellStyle name="60% - Accent5 2 3" xfId="1095" xr:uid="{A444B40E-8E3F-42F2-96AA-B8743E7FD207}"/>
    <cellStyle name="60% - Accent5 3" xfId="661" xr:uid="{9DD276B8-AF41-4789-BACA-F3C1BE7CD724}"/>
    <cellStyle name="60% - Accent5 4" xfId="822" xr:uid="{1F65D79A-58BD-474D-80A6-F43115799BD7}"/>
    <cellStyle name="60% - Accent6 2" xfId="83" xr:uid="{88FC0535-26AD-457C-9961-6FD00C6AA0FB}"/>
    <cellStyle name="60% - Accent6 2 2" xfId="534" xr:uid="{8D8DC54B-C5BD-48AD-BDAF-BC453617ADE6}"/>
    <cellStyle name="60% - Accent6 2 3" xfId="1096" xr:uid="{5BFCC8FC-A94B-4DB7-AA05-F4ABEFD65FAB}"/>
    <cellStyle name="60% - Accent6 3" xfId="662" xr:uid="{69EC1095-FEF0-4BD7-9965-7107953C71BD}"/>
    <cellStyle name="60% - Accent6 4" xfId="823" xr:uid="{1BB3AD4A-4A55-4488-85C5-582D7FA49EBD}"/>
    <cellStyle name="60% - Colore 1" xfId="13" builtinId="32" customBuiltin="1"/>
    <cellStyle name="60% - Colore 1 2" xfId="148" xr:uid="{7A2054B0-B0A3-4A03-96D4-B389AD9D18DA}"/>
    <cellStyle name="60% - Colore 1 3" xfId="220" xr:uid="{6F349A4E-AC14-4C85-82CE-5A4DC689AAB4}"/>
    <cellStyle name="60% - Colore 1 3 2" xfId="442" xr:uid="{42042741-A5F4-4DC4-A81A-9D11AB94496E}"/>
    <cellStyle name="60% - Colore 1 3 3" xfId="306" xr:uid="{74C716E5-2104-4FD7-B36B-EF7FF0D34EE5}"/>
    <cellStyle name="60% - Colore 2" xfId="14" builtinId="36" customBuiltin="1"/>
    <cellStyle name="60% - Colore 2 2" xfId="149" xr:uid="{413A3828-B04E-4FEA-8562-5D6C42131EF2}"/>
    <cellStyle name="60% - Colore 2 3" xfId="224" xr:uid="{069AE9C9-0C8B-4DDE-AAD1-92A47742CC9B}"/>
    <cellStyle name="60% - Colore 2 3 2" xfId="446" xr:uid="{C1C491CA-0F85-4A61-97CD-85C5D0C2372D}"/>
    <cellStyle name="60% - Colore 2 3 3" xfId="307" xr:uid="{2299CA82-6844-40E6-BAD8-296591F9177D}"/>
    <cellStyle name="60% - Colore 3" xfId="15" builtinId="40" customBuiltin="1"/>
    <cellStyle name="60% - Colore 3 2" xfId="150" xr:uid="{35B167EC-E486-465A-9677-23DB10C0268E}"/>
    <cellStyle name="60% - Colore 3 3" xfId="228" xr:uid="{9E632415-A4A6-4C4A-B633-0D0B982F1538}"/>
    <cellStyle name="60% - Colore 3 3 2" xfId="450" xr:uid="{DDD35E35-83F8-483C-8587-26DFE9BDDE7F}"/>
    <cellStyle name="60% - Colore 3 3 3" xfId="308" xr:uid="{1A6FBA97-D9AE-48F3-913E-29B374CF4B78}"/>
    <cellStyle name="60% - Colore 4" xfId="16" builtinId="44" customBuiltin="1"/>
    <cellStyle name="60% - Colore 4 2" xfId="151" xr:uid="{BE46D8BA-BE84-4A23-8E9F-1314F59036E1}"/>
    <cellStyle name="60% - Colore 4 3" xfId="232" xr:uid="{66137F6A-D862-47D7-9F86-38DD93829FBA}"/>
    <cellStyle name="60% - Colore 4 3 2" xfId="454" xr:uid="{7C60D38D-96E9-4022-A6CF-7FC0891A4F90}"/>
    <cellStyle name="60% - Colore 4 3 3" xfId="309" xr:uid="{D765377D-4E2E-4923-A2C9-B6351DE1F59E}"/>
    <cellStyle name="60% - Colore 5" xfId="17" builtinId="48" customBuiltin="1"/>
    <cellStyle name="60% - Colore 5 2" xfId="152" xr:uid="{D84283C4-B5CE-45B3-B945-473BE9EB29BA}"/>
    <cellStyle name="60% - Colore 5 3" xfId="236" xr:uid="{7C341BEC-2094-47FE-8C02-B4A5330AE5AB}"/>
    <cellStyle name="60% - Colore 5 3 2" xfId="458" xr:uid="{32084B99-41C8-4695-B05F-D8E93C652980}"/>
    <cellStyle name="60% - Colore 5 3 3" xfId="310" xr:uid="{C840EC26-7972-405D-A65E-95B784D38B84}"/>
    <cellStyle name="60% - Colore 6" xfId="18" builtinId="52" customBuiltin="1"/>
    <cellStyle name="60% - Colore 6 2" xfId="153" xr:uid="{6AA6AC6D-CAE2-4226-8E58-454E7A907B66}"/>
    <cellStyle name="60% - Colore 6 3" xfId="240" xr:uid="{A0558CEF-EC05-4D47-A3F2-F86039F5CCB2}"/>
    <cellStyle name="60% - Colore 6 3 2" xfId="462" xr:uid="{E7EBA880-70BE-4DC2-B35A-8F391E54A3A7}"/>
    <cellStyle name="60% - Colore 6 3 3" xfId="311" xr:uid="{6613EDAF-8BCD-4BBE-A0BE-3E4899353627}"/>
    <cellStyle name="Accent1 2" xfId="84" xr:uid="{34DB8579-8CCF-4C4D-AD14-05DC0EA34CE7}"/>
    <cellStyle name="Accent1 2 2" xfId="511" xr:uid="{26CBC625-38C9-43B8-9639-A3CC1887347D}"/>
    <cellStyle name="Accent1 2 3" xfId="1097" xr:uid="{25FAC044-B9ED-4E5E-BE9D-2D52BF132AFC}"/>
    <cellStyle name="Accent1 3" xfId="663" xr:uid="{629C407C-1724-4F59-A17B-DE772D6E8A9F}"/>
    <cellStyle name="Accent1 4" xfId="824" xr:uid="{E924BC25-941D-4667-8EA1-4819ACF3B388}"/>
    <cellStyle name="Accent2 2" xfId="85" xr:uid="{FBD7CADA-058B-4D10-8FA1-886407FA89EF}"/>
    <cellStyle name="Accent2 2 2" xfId="515" xr:uid="{1F839374-3045-4435-B697-9FFEDE784E21}"/>
    <cellStyle name="Accent2 2 3" xfId="1098" xr:uid="{9D164207-E195-4646-9CB9-B29333C3B23D}"/>
    <cellStyle name="Accent2 3" xfId="664" xr:uid="{053302AA-E21D-422C-BD8C-A8787342FF70}"/>
    <cellStyle name="Accent2 4" xfId="825" xr:uid="{CCD59B1B-DCA3-44EF-B800-7D76C9AAD579}"/>
    <cellStyle name="Accent3 2" xfId="86" xr:uid="{05BCFF8A-A3B2-4E03-BE56-6EEAF4ECD8F2}"/>
    <cellStyle name="Accent3 2 2" xfId="519" xr:uid="{4910CF59-AAC0-4659-960B-72B530EEA0B2}"/>
    <cellStyle name="Accent3 2 3" xfId="1099" xr:uid="{2D543AAB-63EE-447F-A753-164B4C139A92}"/>
    <cellStyle name="Accent3 3" xfId="665" xr:uid="{626AACB8-887F-4D28-A588-2B338EF447A7}"/>
    <cellStyle name="Accent3 4" xfId="826" xr:uid="{FD9B7F70-D638-4AFF-98C3-10AD14EF5F03}"/>
    <cellStyle name="Accent4 2" xfId="87" xr:uid="{A3CE4CFC-9AF8-462C-B292-B5C9E5F0893E}"/>
    <cellStyle name="Accent4 2 2" xfId="523" xr:uid="{F23F8E9D-9E2B-40FF-9BDA-A89B9BADEFEA}"/>
    <cellStyle name="Accent4 2 3" xfId="1100" xr:uid="{A8EB3F97-CE40-4BB5-A56E-04A5D0D6DBA4}"/>
    <cellStyle name="Accent4 3" xfId="666" xr:uid="{9B61D145-A23E-4916-85D8-95519843AE14}"/>
    <cellStyle name="Accent4 4" xfId="827" xr:uid="{5E712E9D-6CC1-446E-9E3D-E64F18556DD5}"/>
    <cellStyle name="Accent5 2" xfId="88" xr:uid="{4E6495AC-216B-4EEF-B9E7-954C01DEF9C0}"/>
    <cellStyle name="Accent5 2 2" xfId="527" xr:uid="{F444C731-E5F9-46A1-8CC1-39FD089F1B13}"/>
    <cellStyle name="Accent5 2 3" xfId="1101" xr:uid="{4BE6008E-EFE1-4291-B825-1E7BAF3A0E4C}"/>
    <cellStyle name="Accent5 3" xfId="667" xr:uid="{1BEFEEB7-3E59-418A-BC1D-70524B0E01AF}"/>
    <cellStyle name="Accent5 4" xfId="828" xr:uid="{EC6FDFF0-AD1C-406C-B60C-874164E609C3}"/>
    <cellStyle name="Accent6 2" xfId="89" xr:uid="{DBEE0CBE-115B-45CC-96E3-55B4DF07A9C4}"/>
    <cellStyle name="Accent6 2 2" xfId="531" xr:uid="{D1DEECCC-2B23-41B9-B921-1876E359F25B}"/>
    <cellStyle name="Accent6 2 3" xfId="1102" xr:uid="{CA489773-BA3B-4BD1-A435-C428A67E7CCE}"/>
    <cellStyle name="Accent6 3" xfId="668" xr:uid="{0F855C89-B453-40BB-B281-27CA23671910}"/>
    <cellStyle name="Accent6 4" xfId="829" xr:uid="{DCCD78B3-F4A1-4475-8B4A-EF66C1723A8E}"/>
    <cellStyle name="Bad 2" xfId="90" xr:uid="{6625467B-6890-4C66-AB36-183FE6B04897}"/>
    <cellStyle name="Bad 2 2" xfId="501" xr:uid="{CBF37A5F-43D9-447B-A4B3-E9DA00499664}"/>
    <cellStyle name="Bad 2 3" xfId="1103" xr:uid="{73A00FAD-BC41-49D7-816D-1CDEAC5A91C3}"/>
    <cellStyle name="Bad 3" xfId="669" xr:uid="{111CCA28-0893-4BFF-9CB3-29125B1F787A}"/>
    <cellStyle name="Bad 4" xfId="830" xr:uid="{6D03B8B6-34CA-4DC5-BF4D-FE84EF0DDC4C}"/>
    <cellStyle name="blp_column_header" xfId="26" xr:uid="{00000000-0005-0000-0000-000019000000}"/>
    <cellStyle name="Calcolo" xfId="27" builtinId="22" customBuiltin="1"/>
    <cellStyle name="Calcolo 2" xfId="161" xr:uid="{E97A89C9-6BBC-4934-9DAB-A866A7B2329E}"/>
    <cellStyle name="Calcolo 3" xfId="210" xr:uid="{4CAFCBAC-6B01-4230-90D9-36B4308B2C39}"/>
    <cellStyle name="Calcolo 3 2" xfId="432" xr:uid="{24D8409F-5919-4C89-9E29-0AFC43E54307}"/>
    <cellStyle name="Calcolo 3 3" xfId="319" xr:uid="{ECC060CB-679C-43AE-B9E9-F4EB8C7D2768}"/>
    <cellStyle name="Calculation 2" xfId="91" xr:uid="{156E55A6-1694-470F-BBE3-9EE808D067E2}"/>
    <cellStyle name="Calculation 2 2" xfId="504" xr:uid="{A029C185-50E6-4DD5-8A55-A0106314ECDC}"/>
    <cellStyle name="Calculation 2 3" xfId="1104" xr:uid="{2A8CE310-5462-4278-907C-9F1DFC527C86}"/>
    <cellStyle name="Calculation 3" xfId="670" xr:uid="{F89A7691-23C6-48B7-A388-50262B8B19B4}"/>
    <cellStyle name="Calculation 4" xfId="831" xr:uid="{EA929E9B-F814-4FB2-8893-7ABA6BB66067}"/>
    <cellStyle name="Cella collegata" xfId="36" builtinId="24" customBuiltin="1"/>
    <cellStyle name="Cella collegata 2" xfId="170" xr:uid="{40CD293A-7A6D-4550-A697-1446B5FCE08C}"/>
    <cellStyle name="Cella collegata 3" xfId="211" xr:uid="{D5912505-CAAD-4C78-9D0A-40BDF9FD3B04}"/>
    <cellStyle name="Cella collegata 3 2" xfId="433" xr:uid="{188A02ED-BBF4-453F-A88D-B024D5981184}"/>
    <cellStyle name="Cella collegata 3 3" xfId="328" xr:uid="{6653BE4F-CCDF-441E-AF5A-B0CE5091D637}"/>
    <cellStyle name="Cella da controllare" xfId="28" builtinId="23" customBuiltin="1"/>
    <cellStyle name="Cella da controllare 2" xfId="162" xr:uid="{F6F7A572-9D9E-469D-8E03-1D215A693D44}"/>
    <cellStyle name="Cella da controllare 3" xfId="212" xr:uid="{B2034E0F-3774-416B-B541-B5CE3995F803}"/>
    <cellStyle name="Cella da controllare 3 2" xfId="434" xr:uid="{4A9FF225-0821-4EDA-9BBD-16A7FF441238}"/>
    <cellStyle name="Cella da controllare 3 3" xfId="320" xr:uid="{FC09805C-844A-4020-B44F-5492F3B78CAD}"/>
    <cellStyle name="Check Cell 2" xfId="92" xr:uid="{899EF296-8FDD-47DC-BF02-7FA0AA24E0F8}"/>
    <cellStyle name="Check Cell 2 2" xfId="506" xr:uid="{9170C3C4-DDFD-4369-8800-16736F349A66}"/>
    <cellStyle name="Check Cell 2 3" xfId="1105" xr:uid="{346A2638-3936-4134-BD9A-A3BFF778E31E}"/>
    <cellStyle name="Check Cell 3" xfId="671" xr:uid="{19577E2B-D7D0-4185-AB74-C4C9F7CC0DA1}"/>
    <cellStyle name="Check Cell 4" xfId="832" xr:uid="{F5DB5C22-20B0-4327-8219-AE5D1DDB3BB7}"/>
    <cellStyle name="Colore 1" xfId="19" builtinId="29" customBuiltin="1"/>
    <cellStyle name="Colore 1 2" xfId="154" xr:uid="{D72CE7CE-6194-4D50-BB46-9BCE345D9F69}"/>
    <cellStyle name="Colore 1 3" xfId="217" xr:uid="{5CA282BA-4A0C-4825-A56E-D1EA2C24E9DF}"/>
    <cellStyle name="Colore 1 3 2" xfId="439" xr:uid="{5DFF0247-4756-407F-91BD-0F267CAC6A5F}"/>
    <cellStyle name="Colore 1 3 3" xfId="312" xr:uid="{2DCBD380-192D-460F-9D9A-762136EB7BFD}"/>
    <cellStyle name="Colore 2" xfId="20" builtinId="33" customBuiltin="1"/>
    <cellStyle name="Colore 2 2" xfId="155" xr:uid="{0225D07C-3854-4907-A6A2-1C15C26653B6}"/>
    <cellStyle name="Colore 2 3" xfId="221" xr:uid="{5AA6F93E-6D11-4C4B-8626-E55848B46F7A}"/>
    <cellStyle name="Colore 2 3 2" xfId="443" xr:uid="{6F72F67A-217E-4859-91AA-4EF7E63A37CC}"/>
    <cellStyle name="Colore 2 3 3" xfId="313" xr:uid="{B9F54367-4815-4210-B00E-CA891F0BA4A2}"/>
    <cellStyle name="Colore 3" xfId="21" builtinId="37" customBuiltin="1"/>
    <cellStyle name="Colore 3 2" xfId="156" xr:uid="{04ADEB35-A9D0-483C-B112-5B66BFAA2742}"/>
    <cellStyle name="Colore 3 3" xfId="225" xr:uid="{ADD21D1F-5210-465C-9B11-D8FD4AEF7596}"/>
    <cellStyle name="Colore 3 3 2" xfId="447" xr:uid="{5C26417D-CDC5-42D0-BE6B-E611611432D7}"/>
    <cellStyle name="Colore 3 3 3" xfId="314" xr:uid="{1094C67B-52B2-481C-8E29-3272148490BA}"/>
    <cellStyle name="Colore 4" xfId="22" builtinId="41" customBuiltin="1"/>
    <cellStyle name="Colore 4 2" xfId="157" xr:uid="{F244E2E8-3953-42F5-9331-1A75C7051CBC}"/>
    <cellStyle name="Colore 4 3" xfId="229" xr:uid="{AE290A25-4CFC-4017-8A7A-43DC90E66F89}"/>
    <cellStyle name="Colore 4 3 2" xfId="451" xr:uid="{D8861B01-E561-43E0-AB11-DE9F774FFE34}"/>
    <cellStyle name="Colore 4 3 3" xfId="315" xr:uid="{446DC4A6-BB0B-4AF8-8CAD-C92C029F9406}"/>
    <cellStyle name="Colore 5" xfId="23" builtinId="45" customBuiltin="1"/>
    <cellStyle name="Colore 5 2" xfId="158" xr:uid="{25DF572A-14C2-480E-86B3-90E667BA6AB5}"/>
    <cellStyle name="Colore 5 3" xfId="233" xr:uid="{E0AF7350-BA1C-4064-9970-98F3F853D2F4}"/>
    <cellStyle name="Colore 5 3 2" xfId="455" xr:uid="{38E32579-57AE-4A8F-924E-58575C6A4CA2}"/>
    <cellStyle name="Colore 5 3 3" xfId="316" xr:uid="{314B3B9B-D5D3-4171-B20D-03AFC6C4D738}"/>
    <cellStyle name="Colore 6" xfId="24" builtinId="49" customBuiltin="1"/>
    <cellStyle name="Colore 6 2" xfId="159" xr:uid="{5BCDBCF6-0F44-4BC5-8F15-E60ADF999853}"/>
    <cellStyle name="Colore 6 3" xfId="237" xr:uid="{005DF8C2-3F98-4C92-85A9-D74C4A1E0C9A}"/>
    <cellStyle name="Colore 6 3 2" xfId="459" xr:uid="{98DE6480-1661-43B3-BDE9-3E2D54716B29}"/>
    <cellStyle name="Colore 6 3 3" xfId="317" xr:uid="{BE692F19-EB23-42C0-B205-1C5E0F39D90F}"/>
    <cellStyle name="Comma 11" xfId="46" xr:uid="{00000000-0005-0000-0000-00001D000000}"/>
    <cellStyle name="Comma 11 2" xfId="179" xr:uid="{6C77704C-A26A-4343-A5BF-301C2B627FBA}"/>
    <cellStyle name="Comma 11 2 2" xfId="253" xr:uid="{8774CD34-E008-4C93-8DF5-083B6BDC75EE}"/>
    <cellStyle name="Comma 11 2 2 2" xfId="401" xr:uid="{6C5B04C9-0B66-4023-8484-0ED3A1728581}"/>
    <cellStyle name="Comma 11 2 2 2 2" xfId="492" xr:uid="{DE75CD4A-F353-4F5F-99D2-785DF2DB733D}"/>
    <cellStyle name="Comma 11 2 2 2 2 10" xfId="1458" xr:uid="{C2B19993-27C9-486E-914F-D77A061FB1BB}"/>
    <cellStyle name="Comma 11 2 2 2 2 10 2" xfId="2883" xr:uid="{770F4725-40C5-4B9E-842C-8A12BDA01C5C}"/>
    <cellStyle name="Comma 11 2 2 2 2 10 2 2" xfId="10374" xr:uid="{D7D5C3ED-4B8F-4231-881F-4B2FF7E7FD78}"/>
    <cellStyle name="Comma 11 2 2 2 2 10 2 2 2" xfId="13920" xr:uid="{C7921A71-005D-4708-886D-89060B387546}"/>
    <cellStyle name="Comma 11 2 2 2 2 10 2 2 2 2" xfId="29097" xr:uid="{2B6AF873-4423-4DB9-919B-CD6A7F372435}"/>
    <cellStyle name="Comma 11 2 2 2 2 10 2 2 3" xfId="25552" xr:uid="{00CB4575-1483-409F-B8E8-D3F947AA6B52}"/>
    <cellStyle name="Comma 11 2 2 2 2 10 2 3" xfId="6200" xr:uid="{49991EA8-C488-4042-A770-FE306F3BE5C5}"/>
    <cellStyle name="Comma 11 2 2 2 2 10 2 3 2" xfId="21380" xr:uid="{045D3239-125F-4128-BDFF-E23A2FC1D8F1}"/>
    <cellStyle name="Comma 11 2 2 2 2 10 2 4" xfId="18092" xr:uid="{BFF15283-1D65-4770-A0EC-298BDFAD14E4}"/>
    <cellStyle name="Comma 11 2 2 2 2 10 3" xfId="3770" xr:uid="{C42F00E2-4AA5-4A06-80AE-D7FCA6CE0785}"/>
    <cellStyle name="Comma 11 2 2 2 2 10 3 2" xfId="11258" xr:uid="{05E69DD9-A466-4B4E-B905-66B32124CF3E}"/>
    <cellStyle name="Comma 11 2 2 2 2 10 3 2 2" xfId="14804" xr:uid="{BFB51D19-B022-4E01-A666-616E436D3979}"/>
    <cellStyle name="Comma 11 2 2 2 2 10 3 2 2 2" xfId="29981" xr:uid="{63121E9C-A51D-42B4-9DAB-BF68222872DA}"/>
    <cellStyle name="Comma 11 2 2 2 2 10 3 2 3" xfId="26436" xr:uid="{16A4C416-BA58-4EB7-B79A-B3477E7BBEFE}"/>
    <cellStyle name="Comma 11 2 2 2 2 10 3 3" xfId="7084" xr:uid="{EFB215A3-E430-4FF8-BAE1-2604AC859DB2}"/>
    <cellStyle name="Comma 11 2 2 2 2 10 3 3 2" xfId="22264" xr:uid="{3499EA06-5919-457C-ADD4-2066A18B4E90}"/>
    <cellStyle name="Comma 11 2 2 2 2 10 3 4" xfId="18976" xr:uid="{C2E6F7C3-446E-4567-BE4A-E4F44C733B63}"/>
    <cellStyle name="Comma 11 2 2 2 2 10 4" xfId="4045" xr:uid="{2F81F98D-4115-4393-9767-70FAA26A30FD}"/>
    <cellStyle name="Comma 11 2 2 2 2 10 4 2" xfId="11530" xr:uid="{21D4E5D6-4CF1-452C-B1E0-7582695A34A2}"/>
    <cellStyle name="Comma 11 2 2 2 2 10 4 2 2" xfId="15076" xr:uid="{17A7F06C-CB94-48E1-8F13-FF6B6B1EF46C}"/>
    <cellStyle name="Comma 11 2 2 2 2 10 4 2 2 2" xfId="30253" xr:uid="{9FEE1EBC-BB52-4202-A1E0-96E5A84FAC0B}"/>
    <cellStyle name="Comma 11 2 2 2 2 10 4 2 3" xfId="26708" xr:uid="{C488E97F-07D7-4C58-99FC-4BA5BF066272}"/>
    <cellStyle name="Comma 11 2 2 2 2 10 4 3" xfId="7356" xr:uid="{315F0E0F-919D-45E1-9A7C-51E2A7F9BB0F}"/>
    <cellStyle name="Comma 11 2 2 2 2 10 4 3 2" xfId="22536" xr:uid="{700C2A72-22EA-4210-B211-BD4D278CD777}"/>
    <cellStyle name="Comma 11 2 2 2 2 10 4 4" xfId="19248" xr:uid="{D71C6030-10DA-466F-834F-FB676968B727}"/>
    <cellStyle name="Comma 11 2 2 2 2 10 5" xfId="1993" xr:uid="{F523A3AE-37EB-40A3-BD14-F4E03E0E80C0}"/>
    <cellStyle name="Comma 11 2 2 2 2 10 5 2" xfId="9490" xr:uid="{5E76A647-F3C6-469D-846D-28973E14DFC0}"/>
    <cellStyle name="Comma 11 2 2 2 2 10 5 2 2" xfId="24668" xr:uid="{78A389B6-9FD6-42E6-8C2E-C1E2EC49FDA7}"/>
    <cellStyle name="Comma 11 2 2 2 2 10 5 3" xfId="17208" xr:uid="{079FE8D9-2FCC-4E24-83E9-D76BA7A903E2}"/>
    <cellStyle name="Comma 11 2 2 2 2 10 6" xfId="8976" xr:uid="{15128E82-1DC6-4B85-B40D-D14DB758AC17}"/>
    <cellStyle name="Comma 11 2 2 2 2 10 6 2" xfId="13149" xr:uid="{D7CF32AE-8E17-48A2-A7FF-F323092F3F3E}"/>
    <cellStyle name="Comma 11 2 2 2 2 10 6 2 2" xfId="28326" xr:uid="{2F339EF0-91F8-4BB0-BDF7-33D90785F3DB}"/>
    <cellStyle name="Comma 11 2 2 2 2 10 6 3" xfId="24154" xr:uid="{73BC3710-8C22-477B-BCEB-52BE79477EBC}"/>
    <cellStyle name="Comma 11 2 2 2 2 10 7" xfId="5316" xr:uid="{C42D84E1-55D4-497D-8C55-DD0FE88E2900}"/>
    <cellStyle name="Comma 11 2 2 2 2 10 7 2" xfId="20496" xr:uid="{55255BB9-27B4-4CF1-BC60-5C3A2911915F}"/>
    <cellStyle name="Comma 11 2 2 2 2 10 8" xfId="16694" xr:uid="{F82FA032-B03F-4F9F-A8C4-8291054019CC}"/>
    <cellStyle name="Comma 11 2 2 2 2 11" xfId="1561" xr:uid="{15E308FE-E03C-44C9-B7FC-830D65139011}"/>
    <cellStyle name="Comma 11 2 2 2 2 11 2" xfId="2981" xr:uid="{70DAD772-ADE5-4DAA-BEDF-8B76084F2E51}"/>
    <cellStyle name="Comma 11 2 2 2 2 11 2 2" xfId="10472" xr:uid="{A7CD2E65-6E34-4EB5-BED8-C57593B6B253}"/>
    <cellStyle name="Comma 11 2 2 2 2 11 2 2 2" xfId="14018" xr:uid="{C0669BA4-94B0-43F9-AD2A-D3B82CF0FB38}"/>
    <cellStyle name="Comma 11 2 2 2 2 11 2 2 2 2" xfId="29195" xr:uid="{7C26ACDA-4A38-42F0-99E7-1B2E37E400D7}"/>
    <cellStyle name="Comma 11 2 2 2 2 11 2 2 3" xfId="25650" xr:uid="{DCFEAAC5-5AFA-4162-AB22-54ABAA90FA74}"/>
    <cellStyle name="Comma 11 2 2 2 2 11 2 3" xfId="6298" xr:uid="{BC6EE9C9-0DD2-46FF-BCA1-7FADC033DE21}"/>
    <cellStyle name="Comma 11 2 2 2 2 11 2 3 2" xfId="21478" xr:uid="{BC53A649-6896-403D-9906-1AE592A3287A}"/>
    <cellStyle name="Comma 11 2 2 2 2 11 2 4" xfId="18190" xr:uid="{216B33E1-F959-4E34-A53E-BADC1D09ADC8}"/>
    <cellStyle name="Comma 11 2 2 2 2 11 3" xfId="3868" xr:uid="{A7E02E28-7397-4576-9D6D-3C40B167C7A4}"/>
    <cellStyle name="Comma 11 2 2 2 2 11 3 2" xfId="11356" xr:uid="{E8A322FE-9547-47B2-846E-F9D0BCB4898D}"/>
    <cellStyle name="Comma 11 2 2 2 2 11 3 2 2" xfId="14902" xr:uid="{20E2D264-CB66-47C9-8B2B-169FE089E7EB}"/>
    <cellStyle name="Comma 11 2 2 2 2 11 3 2 2 2" xfId="30079" xr:uid="{30308919-D669-4499-BA18-154A61606C26}"/>
    <cellStyle name="Comma 11 2 2 2 2 11 3 2 3" xfId="26534" xr:uid="{FB06A092-8F5E-4E93-BE26-F569072C7F77}"/>
    <cellStyle name="Comma 11 2 2 2 2 11 3 3" xfId="7182" xr:uid="{4E65D0F1-6E41-4F6A-A969-1910D1E660CA}"/>
    <cellStyle name="Comma 11 2 2 2 2 11 3 3 2" xfId="22362" xr:uid="{FA7A6E3A-F91B-49A0-9EB3-900325B978DE}"/>
    <cellStyle name="Comma 11 2 2 2 2 11 3 4" xfId="19074" xr:uid="{AB6A08F7-E755-4C49-9B0A-206E7B48F240}"/>
    <cellStyle name="Comma 11 2 2 2 2 11 4" xfId="4046" xr:uid="{93154958-DF45-44E5-9BAA-2ED1D0144E98}"/>
    <cellStyle name="Comma 11 2 2 2 2 11 4 2" xfId="11531" xr:uid="{C63E225D-7E79-4891-A4BD-49F7FC4C8C93}"/>
    <cellStyle name="Comma 11 2 2 2 2 11 4 2 2" xfId="15077" xr:uid="{12436243-4980-4FF5-BC4D-06E28F697182}"/>
    <cellStyle name="Comma 11 2 2 2 2 11 4 2 2 2" xfId="30254" xr:uid="{EF6FEA52-F9B6-47E2-8369-8FCB4E249FE7}"/>
    <cellStyle name="Comma 11 2 2 2 2 11 4 2 3" xfId="26709" xr:uid="{66299C99-6C81-4178-A6C6-B1D5F71EB935}"/>
    <cellStyle name="Comma 11 2 2 2 2 11 4 3" xfId="7357" xr:uid="{E316E22C-8A6C-4180-AEFC-8197B458B72D}"/>
    <cellStyle name="Comma 11 2 2 2 2 11 4 3 2" xfId="22537" xr:uid="{FC1938D9-D0E1-4A8C-A5C1-DB5BF9640966}"/>
    <cellStyle name="Comma 11 2 2 2 2 11 4 4" xfId="19249" xr:uid="{99EC38CC-A763-4CE5-81BE-127A146F15F6}"/>
    <cellStyle name="Comma 11 2 2 2 2 11 5" xfId="2091" xr:uid="{28C5BC2F-E159-4F49-B95D-D6A564B8E90A}"/>
    <cellStyle name="Comma 11 2 2 2 2 11 5 2" xfId="9588" xr:uid="{50EC21B9-6A49-4B1C-A82E-85BDE233237F}"/>
    <cellStyle name="Comma 11 2 2 2 2 11 5 2 2" xfId="24766" xr:uid="{783DDB2D-536A-43C5-A59C-D0EE3F5B3615}"/>
    <cellStyle name="Comma 11 2 2 2 2 11 5 3" xfId="17306" xr:uid="{0A1D37AC-0537-4D57-BB87-A74BC3B5269E}"/>
    <cellStyle name="Comma 11 2 2 2 2 11 6" xfId="9074" xr:uid="{9C1DE718-FF8E-405E-AAE3-2ED0DFE7D93D}"/>
    <cellStyle name="Comma 11 2 2 2 2 11 6 2" xfId="13247" xr:uid="{6E5C153F-3E41-495E-A7F1-EC283CA1589B}"/>
    <cellStyle name="Comma 11 2 2 2 2 11 6 2 2" xfId="28424" xr:uid="{469C0D78-99A9-41F7-BCC7-B583A70109F4}"/>
    <cellStyle name="Comma 11 2 2 2 2 11 6 3" xfId="24252" xr:uid="{EE9B768A-DD9E-4F53-9EC5-43887089DC24}"/>
    <cellStyle name="Comma 11 2 2 2 2 11 7" xfId="5414" xr:uid="{6E0C2F6F-2192-4E58-B422-AA14BFD9C20E}"/>
    <cellStyle name="Comma 11 2 2 2 2 11 7 2" xfId="20594" xr:uid="{066BD7CF-E5EC-4D63-9C2E-56150530A29D}"/>
    <cellStyle name="Comma 11 2 2 2 2 11 8" xfId="16792" xr:uid="{D8293F86-CBB8-4BBB-A7DA-2436696EA060}"/>
    <cellStyle name="Comma 11 2 2 2 2 12" xfId="1660" xr:uid="{43C1DCF5-91CA-44DA-A137-A4E9C4BC737A}"/>
    <cellStyle name="Comma 11 2 2 2 2 12 2" xfId="3079" xr:uid="{9558DFEF-786B-4A73-80C6-74895D484C6D}"/>
    <cellStyle name="Comma 11 2 2 2 2 12 2 2" xfId="10570" xr:uid="{DFC17708-E5C0-4C43-B76A-20F2BEF83FA7}"/>
    <cellStyle name="Comma 11 2 2 2 2 12 2 2 2" xfId="14116" xr:uid="{1DF7EB52-78D4-4E24-A033-BEE467AC2AB9}"/>
    <cellStyle name="Comma 11 2 2 2 2 12 2 2 2 2" xfId="29293" xr:uid="{AD7DE224-60C7-47A4-B360-3E6B4C7E4923}"/>
    <cellStyle name="Comma 11 2 2 2 2 12 2 2 3" xfId="25748" xr:uid="{99EEE5BC-B6E1-429D-9FBC-A8A3C57D2E40}"/>
    <cellStyle name="Comma 11 2 2 2 2 12 2 3" xfId="6396" xr:uid="{12B27692-00B3-4CF5-B89A-7515B75AFEC6}"/>
    <cellStyle name="Comma 11 2 2 2 2 12 2 3 2" xfId="21576" xr:uid="{8FDBA6A8-9504-4CDF-A379-E58E37218E6C}"/>
    <cellStyle name="Comma 11 2 2 2 2 12 2 4" xfId="18288" xr:uid="{35CF42D7-701E-4CA7-B960-6971ADFD8F61}"/>
    <cellStyle name="Comma 11 2 2 2 2 12 3" xfId="3966" xr:uid="{2967EF7B-CE18-4AF2-AEED-FAD38B42D363}"/>
    <cellStyle name="Comma 11 2 2 2 2 12 3 2" xfId="11454" xr:uid="{9F6FB11A-C4D8-4F03-8EAC-0A29449D8D6D}"/>
    <cellStyle name="Comma 11 2 2 2 2 12 3 2 2" xfId="15000" xr:uid="{4822FBEB-09E1-4BFD-9546-C4527E0C50B0}"/>
    <cellStyle name="Comma 11 2 2 2 2 12 3 2 2 2" xfId="30177" xr:uid="{14E3AE6F-2E8B-4498-8B52-6E4AB814C968}"/>
    <cellStyle name="Comma 11 2 2 2 2 12 3 2 3" xfId="26632" xr:uid="{9625BFCE-E081-448A-A78F-D1C00F9AC115}"/>
    <cellStyle name="Comma 11 2 2 2 2 12 3 3" xfId="7280" xr:uid="{5125CA0F-BB6A-4B91-BA0D-EA0CD7198B30}"/>
    <cellStyle name="Comma 11 2 2 2 2 12 3 3 2" xfId="22460" xr:uid="{6B6AB3CB-E3DA-493F-A510-7CFEC6C10AC3}"/>
    <cellStyle name="Comma 11 2 2 2 2 12 3 4" xfId="19172" xr:uid="{E1838CA2-4C2F-4C0F-B1B8-FE3E497BDDFF}"/>
    <cellStyle name="Comma 11 2 2 2 2 12 4" xfId="4047" xr:uid="{BF82E932-09EF-45E9-A2D3-55DAE43C2CE3}"/>
    <cellStyle name="Comma 11 2 2 2 2 12 4 2" xfId="11532" xr:uid="{E4360A3B-6708-4073-8883-81723CEFD390}"/>
    <cellStyle name="Comma 11 2 2 2 2 12 4 2 2" xfId="15078" xr:uid="{D5342D22-A365-4222-8BC9-6DD4B4E6C73A}"/>
    <cellStyle name="Comma 11 2 2 2 2 12 4 2 2 2" xfId="30255" xr:uid="{E30C2F68-B7D9-4946-A10C-2325FBB30AFE}"/>
    <cellStyle name="Comma 11 2 2 2 2 12 4 2 3" xfId="26710" xr:uid="{142FC6C7-F5A5-4AB2-BEEF-B59027D408E6}"/>
    <cellStyle name="Comma 11 2 2 2 2 12 4 3" xfId="7358" xr:uid="{2E055C6F-6299-4951-843C-788F4788CE3F}"/>
    <cellStyle name="Comma 11 2 2 2 2 12 4 3 2" xfId="22538" xr:uid="{8F8AF8C8-F752-4C1E-BCFB-D00620E60E55}"/>
    <cellStyle name="Comma 11 2 2 2 2 12 4 4" xfId="19250" xr:uid="{56301434-71B6-4957-86F6-7D7E14883599}"/>
    <cellStyle name="Comma 11 2 2 2 2 12 5" xfId="2189" xr:uid="{B62281AB-8998-4720-AA3E-3D1618F837CD}"/>
    <cellStyle name="Comma 11 2 2 2 2 12 5 2" xfId="9686" xr:uid="{83F42DD8-1F93-47C3-A383-754DD5B637F1}"/>
    <cellStyle name="Comma 11 2 2 2 2 12 5 2 2" xfId="24864" xr:uid="{D1241EB0-F362-484D-990B-F1DDBC239279}"/>
    <cellStyle name="Comma 11 2 2 2 2 12 5 3" xfId="17404" xr:uid="{1506BB99-4243-46EF-8CD5-69ECC100CE47}"/>
    <cellStyle name="Comma 11 2 2 2 2 12 6" xfId="9172" xr:uid="{D162CF96-BA45-47EA-9933-3AE58CA7E313}"/>
    <cellStyle name="Comma 11 2 2 2 2 12 6 2" xfId="13345" xr:uid="{CE462D41-47B2-4442-9838-AD9A4E38E2AE}"/>
    <cellStyle name="Comma 11 2 2 2 2 12 6 2 2" xfId="28522" xr:uid="{5349A2A7-C328-478B-B7CF-F58143F7A744}"/>
    <cellStyle name="Comma 11 2 2 2 2 12 6 3" xfId="24350" xr:uid="{F4AE71EA-AC31-4415-93E9-3980A518AB52}"/>
    <cellStyle name="Comma 11 2 2 2 2 12 7" xfId="5512" xr:uid="{4BF0287A-9E9C-41B5-B23A-8F6F7AE6F1B1}"/>
    <cellStyle name="Comma 11 2 2 2 2 12 7 2" xfId="20692" xr:uid="{40F72821-B24A-4EC5-8DC0-92B72F7245CC}"/>
    <cellStyle name="Comma 11 2 2 2 2 12 8" xfId="16890" xr:uid="{4CF870A6-4764-4E35-84EE-290B07E01CCF}"/>
    <cellStyle name="Comma 11 2 2 2 2 13" xfId="2289" xr:uid="{B5198176-CE9E-4FD0-8922-90F8532A6427}"/>
    <cellStyle name="Comma 11 2 2 2 2 13 2" xfId="9784" xr:uid="{F529523D-707C-4F92-84B9-9C287AE13B39}"/>
    <cellStyle name="Comma 11 2 2 2 2 13 2 2" xfId="13443" xr:uid="{2263CB44-FF34-4B6B-9B53-A4A08FE71183}"/>
    <cellStyle name="Comma 11 2 2 2 2 13 2 2 2" xfId="28620" xr:uid="{231FB19F-FBDD-45CC-8194-DA35C22A31E0}"/>
    <cellStyle name="Comma 11 2 2 2 2 13 2 3" xfId="24962" xr:uid="{7D4A8379-09E6-479B-B75B-BCA11C1CB4DB}"/>
    <cellStyle name="Comma 11 2 2 2 2 13 3" xfId="5610" xr:uid="{C9BD1B8F-EBF3-45F7-BC5D-2EAEC48D0871}"/>
    <cellStyle name="Comma 11 2 2 2 2 13 3 2" xfId="20790" xr:uid="{6DD947C2-D676-4DB6-9D86-88F8D1068176}"/>
    <cellStyle name="Comma 11 2 2 2 2 13 4" xfId="17502" xr:uid="{DC74EC08-9B8E-47A7-BB61-4A4674958836}"/>
    <cellStyle name="Comma 11 2 2 2 2 14" xfId="3179" xr:uid="{6DA5AB62-6462-4D4F-B8AC-EEB748B4B627}"/>
    <cellStyle name="Comma 11 2 2 2 2 14 2" xfId="10668" xr:uid="{F8C9DED5-49CB-4E08-A95B-B32F84C1DFF6}"/>
    <cellStyle name="Comma 11 2 2 2 2 14 2 2" xfId="14214" xr:uid="{2A7C7E49-8A07-4685-A924-CF158A9A1A72}"/>
    <cellStyle name="Comma 11 2 2 2 2 14 2 2 2" xfId="29391" xr:uid="{7F325868-672F-4D1C-9DF8-543A7DB3B8AC}"/>
    <cellStyle name="Comma 11 2 2 2 2 14 2 3" xfId="25846" xr:uid="{AF85C593-104B-4E17-AFEE-2F6FF78083FE}"/>
    <cellStyle name="Comma 11 2 2 2 2 14 3" xfId="6494" xr:uid="{78C68CD4-B6E9-439B-8A65-2D6BD7CFECCC}"/>
    <cellStyle name="Comma 11 2 2 2 2 14 3 2" xfId="21674" xr:uid="{653A54F8-B135-493F-BC99-B1BFF86EE0C3}"/>
    <cellStyle name="Comma 11 2 2 2 2 14 4" xfId="18386" xr:uid="{ABB7EDC6-8334-4E74-9538-16DD50B347D5}"/>
    <cellStyle name="Comma 11 2 2 2 2 15" xfId="4048" xr:uid="{EA86B05A-BE0C-4F41-AF74-71F461B76028}"/>
    <cellStyle name="Comma 11 2 2 2 2 15 2" xfId="11533" xr:uid="{51A6AC8F-EE4D-4C2E-8CFF-9F086862475D}"/>
    <cellStyle name="Comma 11 2 2 2 2 15 2 2" xfId="15079" xr:uid="{0C648887-508B-46BF-A45A-DA85A29AA778}"/>
    <cellStyle name="Comma 11 2 2 2 2 15 2 2 2" xfId="30256" xr:uid="{BF87F048-191E-4BBE-898F-E4BEAE6FB9DE}"/>
    <cellStyle name="Comma 11 2 2 2 2 15 2 3" xfId="26711" xr:uid="{5F5149EC-3134-4F93-BE75-802323966957}"/>
    <cellStyle name="Comma 11 2 2 2 2 15 3" xfId="7359" xr:uid="{763280A3-CCEC-4510-884F-DFEF869CECA2}"/>
    <cellStyle name="Comma 11 2 2 2 2 15 3 2" xfId="22539" xr:uid="{1F799B25-6187-44C2-9B4E-09DA3FD461D7}"/>
    <cellStyle name="Comma 11 2 2 2 2 15 4" xfId="19251" xr:uid="{E1DB68D3-0E0F-428D-9450-F21A9DDE549F}"/>
    <cellStyle name="Comma 11 2 2 2 2 16" xfId="8385" xr:uid="{6843B820-2D55-4099-A8FF-8EAA3B9CD43D}"/>
    <cellStyle name="Comma 11 2 2 2 2 16 2" xfId="12559" xr:uid="{BBD0E019-A713-456F-BC3E-14C695DF3BFE}"/>
    <cellStyle name="Comma 11 2 2 2 2 16 2 2" xfId="27736" xr:uid="{8700A50C-02EF-4EC4-A119-30D79920ED66}"/>
    <cellStyle name="Comma 11 2 2 2 2 16 3" xfId="23564" xr:uid="{E749FF83-B7D1-44D0-B3FD-94E6D396794C}"/>
    <cellStyle name="Comma 11 2 2 2 2 17" xfId="16104" xr:uid="{AC780E3C-72C3-4E92-93CC-CA7D4D0FFF02}"/>
    <cellStyle name="Comma 11 2 2 2 2 18" xfId="31446" xr:uid="{BB55FD02-2964-4C68-80F1-BDD6908DCBC5}"/>
    <cellStyle name="Comma 11 2 2 2 2 19" xfId="706" xr:uid="{6ED542B4-BEF7-4EBC-8AAD-02E07749FA6E}"/>
    <cellStyle name="Comma 11 2 2 2 2 2" xfId="604" xr:uid="{1B2CFC8D-48F4-4802-A727-9AFA726BD4BD}"/>
    <cellStyle name="Comma 11 2 2 2 2 2 10" xfId="2314" xr:uid="{19637844-3150-479F-9953-B5A8597BF908}"/>
    <cellStyle name="Comma 11 2 2 2 2 2 10 2" xfId="9809" xr:uid="{59154AA5-FAE9-4C0E-BE4C-72636432BF1D}"/>
    <cellStyle name="Comma 11 2 2 2 2 2 10 2 2" xfId="13468" xr:uid="{DC78D6B7-B050-469A-BA9D-1790EB69A1CB}"/>
    <cellStyle name="Comma 11 2 2 2 2 2 10 2 2 2" xfId="28645" xr:uid="{B0B9BCA2-0F48-4ECC-B86C-24A9AA209FB8}"/>
    <cellStyle name="Comma 11 2 2 2 2 2 10 2 3" xfId="24987" xr:uid="{10CFBBDE-256F-4D0E-8AA0-DE39B2D3641F}"/>
    <cellStyle name="Comma 11 2 2 2 2 2 10 3" xfId="5635" xr:uid="{0AD61CB4-9A4E-45E8-99BB-E41ECB91275A}"/>
    <cellStyle name="Comma 11 2 2 2 2 2 10 3 2" xfId="20815" xr:uid="{0EE718B1-BE43-4C04-91AA-8DF334F47874}"/>
    <cellStyle name="Comma 11 2 2 2 2 2 10 4" xfId="17527" xr:uid="{C67533AB-EB89-4B13-998E-081DD4072700}"/>
    <cellStyle name="Comma 11 2 2 2 2 2 11" xfId="3204" xr:uid="{8CD061A6-A484-4F5F-B35D-769A6E5328E9}"/>
    <cellStyle name="Comma 11 2 2 2 2 2 11 2" xfId="10693" xr:uid="{CE4A1D22-62FE-41C2-BC40-D90DE12057E8}"/>
    <cellStyle name="Comma 11 2 2 2 2 2 11 2 2" xfId="14239" xr:uid="{CA4C510D-51E0-4C12-AF97-F65431B01A1D}"/>
    <cellStyle name="Comma 11 2 2 2 2 2 11 2 2 2" xfId="29416" xr:uid="{7F182A0B-5DB0-43CC-AB48-D25131899BD4}"/>
    <cellStyle name="Comma 11 2 2 2 2 2 11 2 3" xfId="25871" xr:uid="{412ED10F-75B3-4573-A5FE-0284DD1141D0}"/>
    <cellStyle name="Comma 11 2 2 2 2 2 11 3" xfId="6519" xr:uid="{783FA83D-090B-43FE-B27E-567299D3EFDC}"/>
    <cellStyle name="Comma 11 2 2 2 2 2 11 3 2" xfId="21699" xr:uid="{72563062-A8DA-4F3A-866E-9A7BDAE7B09E}"/>
    <cellStyle name="Comma 11 2 2 2 2 2 11 4" xfId="18411" xr:uid="{9225ABB5-812F-40FD-84A2-8946D173E298}"/>
    <cellStyle name="Comma 11 2 2 2 2 2 12" xfId="4049" xr:uid="{084B5F2A-DAEE-4001-A401-E9170696E665}"/>
    <cellStyle name="Comma 11 2 2 2 2 2 12 2" xfId="11534" xr:uid="{448F7C1A-C6A6-4F5B-ADFF-6F9C22DA4E2A}"/>
    <cellStyle name="Comma 11 2 2 2 2 2 12 2 2" xfId="15080" xr:uid="{67F5191C-2D55-4838-9132-EDB3D1450443}"/>
    <cellStyle name="Comma 11 2 2 2 2 2 12 2 2 2" xfId="30257" xr:uid="{ECD30CF7-0142-4807-A469-8A5DA00C4D5F}"/>
    <cellStyle name="Comma 11 2 2 2 2 2 12 2 3" xfId="26712" xr:uid="{59537BCF-EB0D-45B1-915C-C4C33E0F521F}"/>
    <cellStyle name="Comma 11 2 2 2 2 2 12 3" xfId="7360" xr:uid="{0B4182F9-E423-443F-BFB3-21E50E4EF6BD}"/>
    <cellStyle name="Comma 11 2 2 2 2 2 12 3 2" xfId="22540" xr:uid="{C2CB2CCE-B17F-4252-8CFD-9A3EBE3FCA74}"/>
    <cellStyle name="Comma 11 2 2 2 2 2 12 4" xfId="19252" xr:uid="{D5AE2336-CDC3-49F7-99E4-21A6FC6BBD17}"/>
    <cellStyle name="Comma 11 2 2 2 2 2 13" xfId="8410" xr:uid="{9A6A82B0-1E3C-4206-A1E6-BFCDC2C4F61D}"/>
    <cellStyle name="Comma 11 2 2 2 2 2 13 2" xfId="12584" xr:uid="{42C9BE95-D0CD-48B9-A047-37CABE4F05E4}"/>
    <cellStyle name="Comma 11 2 2 2 2 2 13 2 2" xfId="27761" xr:uid="{A9D7E7BA-23EC-430A-88EF-679E251CA563}"/>
    <cellStyle name="Comma 11 2 2 2 2 2 13 3" xfId="23589" xr:uid="{53179630-9983-42D0-B413-D1B3414D857F}"/>
    <cellStyle name="Comma 11 2 2 2 2 2 14" xfId="16129" xr:uid="{5F5E5576-6647-4D91-9336-C3B451AABA99}"/>
    <cellStyle name="Comma 11 2 2 2 2 2 15" xfId="31471" xr:uid="{4AE6A72A-5CBE-4BBD-AE97-3A65E4C6D594}"/>
    <cellStyle name="Comma 11 2 2 2 2 2 16" xfId="741" xr:uid="{9BA890D1-5086-4967-B7E8-80E8D5027E77}"/>
    <cellStyle name="Comma 11 2 2 2 2 2 2" xfId="793" xr:uid="{C5EA308B-0A77-4AEA-9BC6-A4C65D48CF96}"/>
    <cellStyle name="Comma 11 2 2 2 2 2 2 10" xfId="8459" xr:uid="{D631B049-62D1-4E83-8470-A3D82201E8DA}"/>
    <cellStyle name="Comma 11 2 2 2 2 2 2 10 2" xfId="12633" xr:uid="{1A0233F4-4BAA-4264-96A4-51E05A38CA44}"/>
    <cellStyle name="Comma 11 2 2 2 2 2 2 10 2 2" xfId="27810" xr:uid="{C9F1BE7A-1D39-4945-9F1E-570DC5E21B7F}"/>
    <cellStyle name="Comma 11 2 2 2 2 2 2 10 3" xfId="23638" xr:uid="{1DBB8A2C-9911-45D3-BDEF-D9E6EFDB8900}"/>
    <cellStyle name="Comma 11 2 2 2 2 2 2 11" xfId="16178" xr:uid="{1DF321A2-405A-4AA1-A792-2955CE3BAB44}"/>
    <cellStyle name="Comma 11 2 2 2 2 2 2 12" xfId="31520" xr:uid="{465781FA-2581-43AD-8516-F0CEA927A44F}"/>
    <cellStyle name="Comma 11 2 2 2 2 2 2 2" xfId="970" xr:uid="{77C20EAF-4E83-4DC5-942C-EB29216FAA0B}"/>
    <cellStyle name="Comma 11 2 2 2 2 2 2 2 10" xfId="16300" xr:uid="{789BC051-2BD1-4783-BDB2-49110C989B08}"/>
    <cellStyle name="Comma 11 2 2 2 2 2 2 2 11" xfId="31390" xr:uid="{56DFBAE2-3392-4423-91D8-0EC8E9FDB078}"/>
    <cellStyle name="Comma 11 2 2 2 2 2 2 2 12" xfId="31740" xr:uid="{5D038E1B-0783-41D8-8C53-E53EDC4B8FFC}"/>
    <cellStyle name="Comma 11 2 2 2 2 2 2 2 2" xfId="1331" xr:uid="{365363EC-AB83-45BA-A84E-6FA6AB54C0C9}"/>
    <cellStyle name="Comma 11 2 2 2 2 2 2 2 2 2" xfId="3648" xr:uid="{26B4D1C2-44C5-40E9-8144-59BDE16F71AC}"/>
    <cellStyle name="Comma 11 2 2 2 2 2 2 2 2 2 2" xfId="11136" xr:uid="{A1AF7EDF-0F1F-4417-9D85-F9B4B21C1666}"/>
    <cellStyle name="Comma 11 2 2 2 2 2 2 2 2 2 2 2" xfId="14682" xr:uid="{3291CE6E-C950-4FEF-B209-EC5D9B043D9D}"/>
    <cellStyle name="Comma 11 2 2 2 2 2 2 2 2 2 2 2 2" xfId="29859" xr:uid="{470946DD-578F-4690-B72F-55486F8FFF26}"/>
    <cellStyle name="Comma 11 2 2 2 2 2 2 2 2 2 2 3" xfId="26314" xr:uid="{801E1B23-113C-4287-9D6A-04EE267A2E3E}"/>
    <cellStyle name="Comma 11 2 2 2 2 2 2 2 2 2 3" xfId="6962" xr:uid="{8DBE9D1D-01D9-43EE-9694-EB29314E8E64}"/>
    <cellStyle name="Comma 11 2 2 2 2 2 2 2 2 2 3 2" xfId="22142" xr:uid="{E4D57233-53AE-4D34-82D4-5C01711D31F4}"/>
    <cellStyle name="Comma 11 2 2 2 2 2 2 2 2 2 4" xfId="18854" xr:uid="{267B9E10-CFF0-4247-B17A-8C84096AF76B}"/>
    <cellStyle name="Comma 11 2 2 2 2 2 2 2 2 3" xfId="4050" xr:uid="{447B18B1-BF03-4EA8-AE4A-14391FBF6223}"/>
    <cellStyle name="Comma 11 2 2 2 2 2 2 2 2 3 2" xfId="11535" xr:uid="{DCA2A3BB-6FDB-4FA1-9143-122827403747}"/>
    <cellStyle name="Comma 11 2 2 2 2 2 2 2 2 3 2 2" xfId="15081" xr:uid="{959A3F45-524D-4E4F-AC18-673892C41FE6}"/>
    <cellStyle name="Comma 11 2 2 2 2 2 2 2 2 3 2 2 2" xfId="30258" xr:uid="{C7BD863D-9910-473D-8108-82B50BCDFB93}"/>
    <cellStyle name="Comma 11 2 2 2 2 2 2 2 2 3 2 3" xfId="26713" xr:uid="{C9625F83-F390-4697-823E-913E4433463C}"/>
    <cellStyle name="Comma 11 2 2 2 2 2 2 2 2 3 3" xfId="7361" xr:uid="{B129C636-7371-4AED-8905-A3663566C5E8}"/>
    <cellStyle name="Comma 11 2 2 2 2 2 2 2 2 3 3 2" xfId="22541" xr:uid="{12ED5F2F-47B2-44AA-8FFE-CBCDB2C8F817}"/>
    <cellStyle name="Comma 11 2 2 2 2 2 2 2 2 3 4" xfId="19253" xr:uid="{A8883B70-DFC6-41F5-BD3C-D451CA12F8E4}"/>
    <cellStyle name="Comma 11 2 2 2 2 2 2 2 2 4" xfId="2761" xr:uid="{211A47DE-C071-48A5-B3CE-8CB0C1B85363}"/>
    <cellStyle name="Comma 11 2 2 2 2 2 2 2 2 4 2" xfId="10252" xr:uid="{59B5C1C4-57EC-4CEC-9CC0-3F637F2554FD}"/>
    <cellStyle name="Comma 11 2 2 2 2 2 2 2 2 4 2 2" xfId="25430" xr:uid="{70312F04-E84F-425D-B242-E87414FC60AD}"/>
    <cellStyle name="Comma 11 2 2 2 2 2 2 2 2 4 3" xfId="17970" xr:uid="{63D5D20B-50DB-4F29-A23E-E901B36C08C0}"/>
    <cellStyle name="Comma 11 2 2 2 2 2 2 2 2 5" xfId="8854" xr:uid="{C5661576-070B-4AB2-A3D0-E97176F7C782}"/>
    <cellStyle name="Comma 11 2 2 2 2 2 2 2 2 5 2" xfId="13027" xr:uid="{828309FD-3CB0-4C10-B7E7-B7B77F85CAC7}"/>
    <cellStyle name="Comma 11 2 2 2 2 2 2 2 2 5 2 2" xfId="28204" xr:uid="{E62CCFC9-41E7-429B-BE77-052A767FA38C}"/>
    <cellStyle name="Comma 11 2 2 2 2 2 2 2 2 5 3" xfId="24032" xr:uid="{66873CD6-A285-449C-A1C4-8B136B1D43C4}"/>
    <cellStyle name="Comma 11 2 2 2 2 2 2 2 2 6" xfId="6078" xr:uid="{32125AF2-C514-4ED0-996F-F36F10E5AB03}"/>
    <cellStyle name="Comma 11 2 2 2 2 2 2 2 2 6 2" xfId="21258" xr:uid="{68FC4AC2-5CA5-4AF2-8436-1300B6AD4D61}"/>
    <cellStyle name="Comma 11 2 2 2 2 2 2 2 2 7" xfId="16572" xr:uid="{86F393E0-DCAD-4333-9A9F-1A73A16DB445}"/>
    <cellStyle name="Comma 11 2 2 2 2 2 2 2 3" xfId="2488" xr:uid="{92FEC678-A4D6-4869-9FF0-4531A7D164FF}"/>
    <cellStyle name="Comma 11 2 2 2 2 2 2 2 3 2" xfId="9980" xr:uid="{0A33FA0C-1B9E-4E29-9E2D-B350ADCF99C2}"/>
    <cellStyle name="Comma 11 2 2 2 2 2 2 2 3 2 2" xfId="13639" xr:uid="{B851C7D6-B756-4A07-999E-8BC28A902499}"/>
    <cellStyle name="Comma 11 2 2 2 2 2 2 2 3 2 2 2" xfId="28816" xr:uid="{582D4A77-3D69-4C27-8856-AA653997330A}"/>
    <cellStyle name="Comma 11 2 2 2 2 2 2 2 3 2 3" xfId="25158" xr:uid="{CC80AD5C-5A81-4D1D-9CFB-F5328204F4D8}"/>
    <cellStyle name="Comma 11 2 2 2 2 2 2 2 3 3" xfId="5806" xr:uid="{14B9D9A7-37D7-474D-A266-099A9E09B946}"/>
    <cellStyle name="Comma 11 2 2 2 2 2 2 2 3 3 2" xfId="20986" xr:uid="{47702010-42B5-47A2-BBC5-7E1CE7F05141}"/>
    <cellStyle name="Comma 11 2 2 2 2 2 2 2 3 4" xfId="17698" xr:uid="{492AD7C8-CD6E-4D46-8E9D-8D792B91F49E}"/>
    <cellStyle name="Comma 11 2 2 2 2 2 2 2 4" xfId="3376" xr:uid="{CDA06836-6609-4226-B0BB-084AA1285CEF}"/>
    <cellStyle name="Comma 11 2 2 2 2 2 2 2 4 2" xfId="10864" xr:uid="{2F336D45-9DCF-4B46-9F00-2B69E9F60739}"/>
    <cellStyle name="Comma 11 2 2 2 2 2 2 2 4 2 2" xfId="14410" xr:uid="{F3F1764F-7A48-4534-BED6-5EC15415C7C2}"/>
    <cellStyle name="Comma 11 2 2 2 2 2 2 2 4 2 2 2" xfId="29587" xr:uid="{D0747DBB-75AA-4BDA-A5D9-595873A15D40}"/>
    <cellStyle name="Comma 11 2 2 2 2 2 2 2 4 2 3" xfId="26042" xr:uid="{324E6843-871E-4A76-80D1-4846624DAB6A}"/>
    <cellStyle name="Comma 11 2 2 2 2 2 2 2 4 3" xfId="6690" xr:uid="{D9C96CD4-217A-403A-9332-54635F811316}"/>
    <cellStyle name="Comma 11 2 2 2 2 2 2 2 4 3 2" xfId="21870" xr:uid="{CEF3ADD5-3C4D-4CC9-AA92-447426EADB99}"/>
    <cellStyle name="Comma 11 2 2 2 2 2 2 2 4 4" xfId="18582" xr:uid="{E54DC71A-6D05-4159-8DEF-20A9026C804C}"/>
    <cellStyle name="Comma 11 2 2 2 2 2 2 2 5" xfId="4051" xr:uid="{E087E88D-A45C-4376-B9E5-1B383A7FE88E}"/>
    <cellStyle name="Comma 11 2 2 2 2 2 2 2 5 2" xfId="11536" xr:uid="{61FF1685-B830-462F-8D07-5241C08CAC14}"/>
    <cellStyle name="Comma 11 2 2 2 2 2 2 2 5 2 2" xfId="15082" xr:uid="{8F3D0695-786D-46EE-93D8-303E00FD7253}"/>
    <cellStyle name="Comma 11 2 2 2 2 2 2 2 5 2 2 2" xfId="30259" xr:uid="{E63D0E32-ADF2-4297-B834-437A74F41940}"/>
    <cellStyle name="Comma 11 2 2 2 2 2 2 2 5 2 3" xfId="26714" xr:uid="{30AAC8B8-15B6-48EA-B33B-35BC8B99350F}"/>
    <cellStyle name="Comma 11 2 2 2 2 2 2 2 5 3" xfId="7362" xr:uid="{A8BEBE54-A2FE-42AF-BFF3-953512A1CA40}"/>
    <cellStyle name="Comma 11 2 2 2 2 2 2 2 5 3 2" xfId="22542" xr:uid="{D08FF35F-36FE-499F-B4DE-559A5FD14B0C}"/>
    <cellStyle name="Comma 11 2 2 2 2 2 2 2 5 4" xfId="19254" xr:uid="{DA4E9C79-7649-4A0B-A2B7-1C190E1A77FA}"/>
    <cellStyle name="Comma 11 2 2 2 2 2 2 2 6" xfId="5050" xr:uid="{53DB9FF6-DB2D-40FB-B527-DB8032C485B2}"/>
    <cellStyle name="Comma 11 2 2 2 2 2 2 2 6 2" xfId="12534" xr:uid="{A1E6BD23-1AAE-44CF-8202-D88354DDFE25}"/>
    <cellStyle name="Comma 11 2 2 2 2 2 2 2 6 2 2" xfId="16080" xr:uid="{2D2463CC-7D34-4FB8-9848-9DBB52C6D237}"/>
    <cellStyle name="Comma 11 2 2 2 2 2 2 2 6 2 2 2" xfId="31257" xr:uid="{BDC54F76-414F-4A0D-AF14-C6AFC521FD28}"/>
    <cellStyle name="Comma 11 2 2 2 2 2 2 2 6 2 3" xfId="27712" xr:uid="{154438D3-1DE9-44E5-B556-883150BC9339}"/>
    <cellStyle name="Comma 11 2 2 2 2 2 2 2 6 3" xfId="8360" xr:uid="{7B83F18B-E17D-4B95-8547-5907FCBA7064}"/>
    <cellStyle name="Comma 11 2 2 2 2 2 2 2 6 3 2" xfId="23540" xr:uid="{E6C2989D-1910-4FD2-8591-73FCA8465CC3}"/>
    <cellStyle name="Comma 11 2 2 2 2 2 2 2 6 4" xfId="20252" xr:uid="{AACF5FE0-1DC8-41F2-97C9-4C7B79E166D1}"/>
    <cellStyle name="Comma 11 2 2 2 2 2 2 2 7" xfId="1871" xr:uid="{00C044F9-46AE-45DA-9C6E-8715EFBCA99F}"/>
    <cellStyle name="Comma 11 2 2 2 2 2 2 2 7 2" xfId="9368" xr:uid="{CDA87AFA-CCE1-4063-9B67-062A224287E4}"/>
    <cellStyle name="Comma 11 2 2 2 2 2 2 2 7 2 2" xfId="24546" xr:uid="{0F4E5E5C-5DFB-4742-80C2-3DD599A908D3}"/>
    <cellStyle name="Comma 11 2 2 2 2 2 2 2 7 3" xfId="17086" xr:uid="{8683AEED-7755-4FE4-AB63-BE62783A909F}"/>
    <cellStyle name="Comma 11 2 2 2 2 2 2 2 8" xfId="8582" xr:uid="{F7BAF36B-A3B6-489D-B22C-D284B91CE0B9}"/>
    <cellStyle name="Comma 11 2 2 2 2 2 2 2 8 2" xfId="12755" xr:uid="{B9195306-E661-4E6C-B641-333705D6531A}"/>
    <cellStyle name="Comma 11 2 2 2 2 2 2 2 8 2 2" xfId="27932" xr:uid="{4A92DBB9-62DC-40BE-9C20-52A757F430B5}"/>
    <cellStyle name="Comma 11 2 2 2 2 2 2 2 8 3" xfId="23760" xr:uid="{A1DFF414-47AC-4952-B24A-8B0D0D9EE653}"/>
    <cellStyle name="Comma 11 2 2 2 2 2 2 2 9" xfId="5194" xr:uid="{DDC3757B-4EDF-4697-8DA9-56C1A735DCD5}"/>
    <cellStyle name="Comma 11 2 2 2 2 2 2 2 9 2" xfId="20374" xr:uid="{403DB4B3-FDB9-4BC8-83C7-470188FC7D27}"/>
    <cellStyle name="Comma 11 2 2 2 2 2 2 3" xfId="1073" xr:uid="{4F6045D3-2222-4FB5-A1AF-8542CDFF67BA}"/>
    <cellStyle name="Comma 11 2 2 2 2 2 2 3 10" xfId="31618" xr:uid="{EF5A9B72-9E57-4D6C-A254-67D598C66E4A}"/>
    <cellStyle name="Comma 11 2 2 2 2 2 2 3 2" xfId="1433" xr:uid="{2ABFDEC0-9A4E-4EC1-B87D-D5E84771DF9E}"/>
    <cellStyle name="Comma 11 2 2 2 2 2 2 3 2 2" xfId="3746" xr:uid="{A9190DB7-EDF5-416B-BE29-29A0A21E3ACF}"/>
    <cellStyle name="Comma 11 2 2 2 2 2 2 3 2 2 2" xfId="11234" xr:uid="{13B937B1-FE10-4CB4-B633-6FF87FCBBAFD}"/>
    <cellStyle name="Comma 11 2 2 2 2 2 2 3 2 2 2 2" xfId="14780" xr:uid="{B4C5F041-F3F5-4D7C-BDBB-5F6535D21688}"/>
    <cellStyle name="Comma 11 2 2 2 2 2 2 3 2 2 2 2 2" xfId="29957" xr:uid="{05E10BB2-FC3A-4CF5-A7A9-A3603ADD8A50}"/>
    <cellStyle name="Comma 11 2 2 2 2 2 2 3 2 2 2 3" xfId="26412" xr:uid="{AF75FC5E-1D56-440B-8EC5-95E32271DD36}"/>
    <cellStyle name="Comma 11 2 2 2 2 2 2 3 2 2 3" xfId="7060" xr:uid="{7F43DCAD-7B28-4412-BE80-4F1A4942EB6F}"/>
    <cellStyle name="Comma 11 2 2 2 2 2 2 3 2 2 3 2" xfId="22240" xr:uid="{7489AF67-C013-4B5D-8258-0A30EC404406}"/>
    <cellStyle name="Comma 11 2 2 2 2 2 2 3 2 2 4" xfId="18952" xr:uid="{F30782E2-356C-4511-B7D1-D32162767B59}"/>
    <cellStyle name="Comma 11 2 2 2 2 2 2 3 2 3" xfId="4052" xr:uid="{6E20E83B-808A-4042-B6AC-C7CA7C3FA185}"/>
    <cellStyle name="Comma 11 2 2 2 2 2 2 3 2 3 2" xfId="11537" xr:uid="{AAF084F9-76B7-4634-A33F-4822F55AB75D}"/>
    <cellStyle name="Comma 11 2 2 2 2 2 2 3 2 3 2 2" xfId="15083" xr:uid="{4A0DE692-FE8F-4A50-9397-C3B3925E594D}"/>
    <cellStyle name="Comma 11 2 2 2 2 2 2 3 2 3 2 2 2" xfId="30260" xr:uid="{5083950A-4EBC-43F2-BF78-90CF2766B59E}"/>
    <cellStyle name="Comma 11 2 2 2 2 2 2 3 2 3 2 3" xfId="26715" xr:uid="{F72098DC-F6BC-4291-924D-25922D02954C}"/>
    <cellStyle name="Comma 11 2 2 2 2 2 2 3 2 3 3" xfId="7363" xr:uid="{E33C8DFC-C206-4CCD-94B5-28106FA92E28}"/>
    <cellStyle name="Comma 11 2 2 2 2 2 2 3 2 3 3 2" xfId="22543" xr:uid="{FB4DB003-83A4-4472-85A1-991F8649CD53}"/>
    <cellStyle name="Comma 11 2 2 2 2 2 2 3 2 3 4" xfId="19255" xr:uid="{DFEB7CF8-7394-492C-99F4-C7E79ED58E2F}"/>
    <cellStyle name="Comma 11 2 2 2 2 2 2 3 2 4" xfId="2859" xr:uid="{4C3CFD57-F889-4E69-8302-AA66C0C5096A}"/>
    <cellStyle name="Comma 11 2 2 2 2 2 2 3 2 4 2" xfId="10350" xr:uid="{74269A7B-33D3-4BBB-A591-CFC692B6B503}"/>
    <cellStyle name="Comma 11 2 2 2 2 2 2 3 2 4 2 2" xfId="25528" xr:uid="{EE088D93-674D-4BFB-98E7-587E02A259AF}"/>
    <cellStyle name="Comma 11 2 2 2 2 2 2 3 2 4 3" xfId="18068" xr:uid="{78E116E5-AC89-4FC9-9BA9-DDE370B1CFFD}"/>
    <cellStyle name="Comma 11 2 2 2 2 2 2 3 2 5" xfId="8952" xr:uid="{49AB57C1-C968-4045-A8C9-DC6877F692F8}"/>
    <cellStyle name="Comma 11 2 2 2 2 2 2 3 2 5 2" xfId="13125" xr:uid="{6BD9E340-623A-409E-99E5-EF7A212995A2}"/>
    <cellStyle name="Comma 11 2 2 2 2 2 2 3 2 5 2 2" xfId="28302" xr:uid="{6F1CA7C2-7D14-4D38-AFAB-B1C5073FF85E}"/>
    <cellStyle name="Comma 11 2 2 2 2 2 2 3 2 5 3" xfId="24130" xr:uid="{9E1591CC-06C9-4775-BA39-3398F74650AE}"/>
    <cellStyle name="Comma 11 2 2 2 2 2 2 3 2 6" xfId="6176" xr:uid="{B8C98CD8-D2CB-45D7-BFFD-E76F37342DE8}"/>
    <cellStyle name="Comma 11 2 2 2 2 2 2 3 2 6 2" xfId="21356" xr:uid="{191FA7B3-D616-446C-909A-820D78E9925B}"/>
    <cellStyle name="Comma 11 2 2 2 2 2 2 3 2 7" xfId="16670" xr:uid="{4D679A6B-91A5-40AC-979C-6ACA3218AF9E}"/>
    <cellStyle name="Comma 11 2 2 2 2 2 2 3 3" xfId="2586" xr:uid="{AC1C7C44-E65F-4E66-95CF-06CDA93A2C0D}"/>
    <cellStyle name="Comma 11 2 2 2 2 2 2 3 3 2" xfId="10078" xr:uid="{B8687121-1572-4A41-AED2-462EC2B8D450}"/>
    <cellStyle name="Comma 11 2 2 2 2 2 2 3 3 2 2" xfId="13737" xr:uid="{430CC99B-D446-40D7-B6EF-9746CAF1AFF0}"/>
    <cellStyle name="Comma 11 2 2 2 2 2 2 3 3 2 2 2" xfId="28914" xr:uid="{2903C031-F089-44AA-921A-0F6DACADF802}"/>
    <cellStyle name="Comma 11 2 2 2 2 2 2 3 3 2 3" xfId="25256" xr:uid="{5FC9939B-57CD-49C1-8BA7-B15139D3AFB7}"/>
    <cellStyle name="Comma 11 2 2 2 2 2 2 3 3 3" xfId="5904" xr:uid="{F87D7CAA-C4B8-4CCD-9FC4-27A4B0DFD29D}"/>
    <cellStyle name="Comma 11 2 2 2 2 2 2 3 3 3 2" xfId="21084" xr:uid="{D9904B77-C081-4B1B-88F6-7678D7F6BD1C}"/>
    <cellStyle name="Comma 11 2 2 2 2 2 2 3 3 4" xfId="17796" xr:uid="{08F8940D-824A-4301-8312-9F4659F49089}"/>
    <cellStyle name="Comma 11 2 2 2 2 2 2 3 4" xfId="3474" xr:uid="{739A881B-E752-48F1-B5CC-B6A4727EDE9B}"/>
    <cellStyle name="Comma 11 2 2 2 2 2 2 3 4 2" xfId="10962" xr:uid="{E1FC40AF-8910-4B3A-92AC-54A03DBB85EE}"/>
    <cellStyle name="Comma 11 2 2 2 2 2 2 3 4 2 2" xfId="14508" xr:uid="{D3D67247-3288-46B4-A6D6-725D2BF45129}"/>
    <cellStyle name="Comma 11 2 2 2 2 2 2 3 4 2 2 2" xfId="29685" xr:uid="{9388360E-D948-48E5-9FE1-7775E281DCDF}"/>
    <cellStyle name="Comma 11 2 2 2 2 2 2 3 4 2 3" xfId="26140" xr:uid="{C2B7476D-D90D-4586-B7BD-2D436E6A6CA5}"/>
    <cellStyle name="Comma 11 2 2 2 2 2 2 3 4 3" xfId="6788" xr:uid="{5FB61C27-8574-4A0C-9ED9-215688514EE8}"/>
    <cellStyle name="Comma 11 2 2 2 2 2 2 3 4 3 2" xfId="21968" xr:uid="{029312CA-F4DB-48E5-859A-80884A196DE5}"/>
    <cellStyle name="Comma 11 2 2 2 2 2 2 3 4 4" xfId="18680" xr:uid="{1CA3C58F-4963-4515-A9FD-6A0941A1928B}"/>
    <cellStyle name="Comma 11 2 2 2 2 2 2 3 5" xfId="4053" xr:uid="{147DF3EF-593D-4897-BC86-FAB838512474}"/>
    <cellStyle name="Comma 11 2 2 2 2 2 2 3 5 2" xfId="11538" xr:uid="{6535959D-DE40-40E7-B567-CC68AB03056A}"/>
    <cellStyle name="Comma 11 2 2 2 2 2 2 3 5 2 2" xfId="15084" xr:uid="{B6636996-F55E-4C78-AF88-D731EEB466EB}"/>
    <cellStyle name="Comma 11 2 2 2 2 2 2 3 5 2 2 2" xfId="30261" xr:uid="{9B3054DD-EAA7-436C-8AE0-AE0FC210A457}"/>
    <cellStyle name="Comma 11 2 2 2 2 2 2 3 5 2 3" xfId="26716" xr:uid="{7312B1D6-6129-4DEE-A1A0-A1437022BA82}"/>
    <cellStyle name="Comma 11 2 2 2 2 2 2 3 5 3" xfId="7364" xr:uid="{23A215BC-B26D-4A2F-AA9B-422A5BFDA1C4}"/>
    <cellStyle name="Comma 11 2 2 2 2 2 2 3 5 3 2" xfId="22544" xr:uid="{4C3AB4FD-7173-4094-941D-5DBF05592498}"/>
    <cellStyle name="Comma 11 2 2 2 2 2 2 3 5 4" xfId="19256" xr:uid="{BBBCFD32-94DE-4516-B3E5-3D50DA1E3DAC}"/>
    <cellStyle name="Comma 11 2 2 2 2 2 2 3 6" xfId="1969" xr:uid="{328078F8-6781-49C7-8EF6-9CAB908BE5BF}"/>
    <cellStyle name="Comma 11 2 2 2 2 2 2 3 6 2" xfId="9466" xr:uid="{4AEFC22D-364C-4D7A-9C28-C0AF3535E1AE}"/>
    <cellStyle name="Comma 11 2 2 2 2 2 2 3 6 2 2" xfId="24644" xr:uid="{18BBFB80-765A-4414-89E3-C40008AD983B}"/>
    <cellStyle name="Comma 11 2 2 2 2 2 2 3 6 3" xfId="17184" xr:uid="{BE06CD91-06AB-492F-AEA6-BED885612578}"/>
    <cellStyle name="Comma 11 2 2 2 2 2 2 3 7" xfId="8680" xr:uid="{280DC3EE-BF02-43C3-9D77-93C424FF1108}"/>
    <cellStyle name="Comma 11 2 2 2 2 2 2 3 7 2" xfId="12853" xr:uid="{546D580F-ACDC-4343-A33D-6A67097EAAB2}"/>
    <cellStyle name="Comma 11 2 2 2 2 2 2 3 7 2 2" xfId="28030" xr:uid="{BC8D2C8E-5B1B-47AB-A7D6-99396B3DD9EC}"/>
    <cellStyle name="Comma 11 2 2 2 2 2 2 3 7 3" xfId="23858" xr:uid="{D8485ADA-89E0-43B9-9019-3E9E4E4BC587}"/>
    <cellStyle name="Comma 11 2 2 2 2 2 2 3 8" xfId="5292" xr:uid="{2EBDC50C-EA28-47BA-A437-C410C9D917BF}"/>
    <cellStyle name="Comma 11 2 2 2 2 2 2 3 8 2" xfId="20472" xr:uid="{066D7690-4C70-40A4-A3B3-8F4E17CC4B2C}"/>
    <cellStyle name="Comma 11 2 2 2 2 2 2 3 9" xfId="16398" xr:uid="{58684CC8-A53C-4DD9-BEB9-376B6B2F73B3}"/>
    <cellStyle name="Comma 11 2 2 2 2 2 2 4" xfId="1532" xr:uid="{13D6D341-FD8B-414A-9A08-5FEC95A08553}"/>
    <cellStyle name="Comma 11 2 2 2 2 2 2 4 2" xfId="2957" xr:uid="{8D2F1312-4854-4BFC-AD7B-E28FD3292E73}"/>
    <cellStyle name="Comma 11 2 2 2 2 2 2 4 2 2" xfId="10448" xr:uid="{2088C57D-2876-4D1B-9BF3-C186AA5FDDE9}"/>
    <cellStyle name="Comma 11 2 2 2 2 2 2 4 2 2 2" xfId="13994" xr:uid="{706EAD8F-28B5-4530-B42D-2376D6ABC22E}"/>
    <cellStyle name="Comma 11 2 2 2 2 2 2 4 2 2 2 2" xfId="29171" xr:uid="{51C9184C-7E93-42EF-8D8C-685E555E8ABB}"/>
    <cellStyle name="Comma 11 2 2 2 2 2 2 4 2 2 3" xfId="25626" xr:uid="{BBA0FB90-01A6-44BB-B8C3-E9F53AA68B4B}"/>
    <cellStyle name="Comma 11 2 2 2 2 2 2 4 2 3" xfId="6274" xr:uid="{2D750665-E30C-4667-B78E-C4485693C7D4}"/>
    <cellStyle name="Comma 11 2 2 2 2 2 2 4 2 3 2" xfId="21454" xr:uid="{AB410643-B9C1-459F-B35D-0D5F0E351BC0}"/>
    <cellStyle name="Comma 11 2 2 2 2 2 2 4 2 4" xfId="18166" xr:uid="{91445D8A-391C-480D-B950-1A69F4BAA2F2}"/>
    <cellStyle name="Comma 11 2 2 2 2 2 2 4 3" xfId="3844" xr:uid="{212818F2-3627-414D-944F-49AC57F81F31}"/>
    <cellStyle name="Comma 11 2 2 2 2 2 2 4 3 2" xfId="11332" xr:uid="{2CD682D9-A5EA-42CE-B72D-4BFD9958D31D}"/>
    <cellStyle name="Comma 11 2 2 2 2 2 2 4 3 2 2" xfId="14878" xr:uid="{83824304-2972-4407-AA99-DC2AA21370EE}"/>
    <cellStyle name="Comma 11 2 2 2 2 2 2 4 3 2 2 2" xfId="30055" xr:uid="{0709F203-0A9E-4B11-A236-B34E5D912F0D}"/>
    <cellStyle name="Comma 11 2 2 2 2 2 2 4 3 2 3" xfId="26510" xr:uid="{E9B27100-8E22-4FFE-97D3-66CCDB79ED7B}"/>
    <cellStyle name="Comma 11 2 2 2 2 2 2 4 3 3" xfId="7158" xr:uid="{1CA7319E-E0C9-438A-90A8-97F46796D96B}"/>
    <cellStyle name="Comma 11 2 2 2 2 2 2 4 3 3 2" xfId="22338" xr:uid="{711F082A-13DB-4A79-A0B3-A6D619248D59}"/>
    <cellStyle name="Comma 11 2 2 2 2 2 2 4 3 4" xfId="19050" xr:uid="{86FE9805-A48F-4EC3-B7B3-F9D63B9BD758}"/>
    <cellStyle name="Comma 11 2 2 2 2 2 2 4 4" xfId="4054" xr:uid="{98E2C4D8-7DD1-4D27-9D3E-D717A30B7D4C}"/>
    <cellStyle name="Comma 11 2 2 2 2 2 2 4 4 2" xfId="11539" xr:uid="{E44A47A6-39CB-4C6E-8944-214C57FB91CC}"/>
    <cellStyle name="Comma 11 2 2 2 2 2 2 4 4 2 2" xfId="15085" xr:uid="{6CBBDBAE-8246-40A6-BC1A-5B0CA9219E25}"/>
    <cellStyle name="Comma 11 2 2 2 2 2 2 4 4 2 2 2" xfId="30262" xr:uid="{1394C907-DF92-4B1E-8CB1-A123BC64860B}"/>
    <cellStyle name="Comma 11 2 2 2 2 2 2 4 4 2 3" xfId="26717" xr:uid="{3837BCA4-3C06-4489-AD8B-18D75F1270D2}"/>
    <cellStyle name="Comma 11 2 2 2 2 2 2 4 4 3" xfId="7365" xr:uid="{D80B87E6-081F-4512-B0BC-EA1D690CE891}"/>
    <cellStyle name="Comma 11 2 2 2 2 2 2 4 4 3 2" xfId="22545" xr:uid="{3E485090-756F-4DC9-886F-04BEAB8B1B4B}"/>
    <cellStyle name="Comma 11 2 2 2 2 2 2 4 4 4" xfId="19257" xr:uid="{DE292D34-2B6C-44B7-AA25-5D9D3F018753}"/>
    <cellStyle name="Comma 11 2 2 2 2 2 2 4 5" xfId="2067" xr:uid="{55775600-8B18-44CB-82C1-CB04EE3DF9DD}"/>
    <cellStyle name="Comma 11 2 2 2 2 2 2 4 5 2" xfId="9564" xr:uid="{0E256B9D-2B08-43BE-9590-FB61450CA0CB}"/>
    <cellStyle name="Comma 11 2 2 2 2 2 2 4 5 2 2" xfId="24742" xr:uid="{C940F719-5224-4B4D-8E52-58BC078D709E}"/>
    <cellStyle name="Comma 11 2 2 2 2 2 2 4 5 3" xfId="17282" xr:uid="{3A238A1E-9AE7-4448-AE93-C6657E21768A}"/>
    <cellStyle name="Comma 11 2 2 2 2 2 2 4 6" xfId="9050" xr:uid="{20C5D0DA-9D24-4DFF-9A61-7B0F61903FE1}"/>
    <cellStyle name="Comma 11 2 2 2 2 2 2 4 6 2" xfId="13223" xr:uid="{ACFF32F2-6595-477E-9B3F-E780A7541844}"/>
    <cellStyle name="Comma 11 2 2 2 2 2 2 4 6 2 2" xfId="28400" xr:uid="{186883C1-9F12-4173-9FD6-08E8EEAC2B55}"/>
    <cellStyle name="Comma 11 2 2 2 2 2 2 4 6 3" xfId="24228" xr:uid="{0DCA8168-6D7D-4410-8898-029F929A7DD8}"/>
    <cellStyle name="Comma 11 2 2 2 2 2 2 4 7" xfId="5390" xr:uid="{0DCC89E4-2FDF-4D90-B3CD-D39985433BD2}"/>
    <cellStyle name="Comma 11 2 2 2 2 2 2 4 7 2" xfId="20570" xr:uid="{9D4D847C-C5C3-4E79-9E37-959CA00985AD}"/>
    <cellStyle name="Comma 11 2 2 2 2 2 2 4 8" xfId="16768" xr:uid="{70E1966E-FDB9-45D9-9BA9-2583AE64E45C}"/>
    <cellStyle name="Comma 11 2 2 2 2 2 2 5" xfId="1635" xr:uid="{B974C42D-A47B-45B9-9D48-C86AD8F1E9A6}"/>
    <cellStyle name="Comma 11 2 2 2 2 2 2 5 2" xfId="3055" xr:uid="{66F9C71B-77A7-4074-B62C-C0466B34EDD2}"/>
    <cellStyle name="Comma 11 2 2 2 2 2 2 5 2 2" xfId="10546" xr:uid="{A6A11873-F8CB-4589-87CC-2695B1AE2C78}"/>
    <cellStyle name="Comma 11 2 2 2 2 2 2 5 2 2 2" xfId="14092" xr:uid="{96B4C58D-6862-4F2B-8F22-28068E38A95D}"/>
    <cellStyle name="Comma 11 2 2 2 2 2 2 5 2 2 2 2" xfId="29269" xr:uid="{C115278D-A083-40F6-9742-D7634074BAC5}"/>
    <cellStyle name="Comma 11 2 2 2 2 2 2 5 2 2 3" xfId="25724" xr:uid="{1F1C6FF4-244F-4FCC-93A8-7E2DE9D90E8E}"/>
    <cellStyle name="Comma 11 2 2 2 2 2 2 5 2 3" xfId="6372" xr:uid="{50634C93-FE79-4644-9812-29E03C2A2C9C}"/>
    <cellStyle name="Comma 11 2 2 2 2 2 2 5 2 3 2" xfId="21552" xr:uid="{CEAC458B-C1E8-44B5-9C86-E44A6D77F1DA}"/>
    <cellStyle name="Comma 11 2 2 2 2 2 2 5 2 4" xfId="18264" xr:uid="{B45513F7-7C4E-4FD7-B218-B94CE87E7540}"/>
    <cellStyle name="Comma 11 2 2 2 2 2 2 5 3" xfId="3942" xr:uid="{A15F97F6-3858-442A-B955-958EEA1D6F45}"/>
    <cellStyle name="Comma 11 2 2 2 2 2 2 5 3 2" xfId="11430" xr:uid="{2FA889E3-76DE-4E44-8E57-17775A92D11E}"/>
    <cellStyle name="Comma 11 2 2 2 2 2 2 5 3 2 2" xfId="14976" xr:uid="{14DFA13B-B43F-4938-9E6D-C93F2FEB0151}"/>
    <cellStyle name="Comma 11 2 2 2 2 2 2 5 3 2 2 2" xfId="30153" xr:uid="{03F95674-87A5-4FB0-A74A-8CB6661A28AA}"/>
    <cellStyle name="Comma 11 2 2 2 2 2 2 5 3 2 3" xfId="26608" xr:uid="{A892A3A3-80DE-4A66-B127-00249D493B7A}"/>
    <cellStyle name="Comma 11 2 2 2 2 2 2 5 3 3" xfId="7256" xr:uid="{82A3FD47-995A-47A6-B31A-85AD69CA24CD}"/>
    <cellStyle name="Comma 11 2 2 2 2 2 2 5 3 3 2" xfId="22436" xr:uid="{FE5BFED2-CEC4-4B35-ADD0-9218A28EBAD2}"/>
    <cellStyle name="Comma 11 2 2 2 2 2 2 5 3 4" xfId="19148" xr:uid="{678CBF8E-4444-4B09-972A-3BC6AC62B780}"/>
    <cellStyle name="Comma 11 2 2 2 2 2 2 5 4" xfId="4055" xr:uid="{B03F72BE-D2FB-4D59-8F4B-BC0D984F0DD8}"/>
    <cellStyle name="Comma 11 2 2 2 2 2 2 5 4 2" xfId="11540" xr:uid="{87744D54-D0BC-425F-98E7-102EB15CF45D}"/>
    <cellStyle name="Comma 11 2 2 2 2 2 2 5 4 2 2" xfId="15086" xr:uid="{9690FA4A-C726-4EB9-9697-1CD998137A0B}"/>
    <cellStyle name="Comma 11 2 2 2 2 2 2 5 4 2 2 2" xfId="30263" xr:uid="{EDE915B5-6703-4E53-8296-EAD0530BBC11}"/>
    <cellStyle name="Comma 11 2 2 2 2 2 2 5 4 2 3" xfId="26718" xr:uid="{02584387-18ED-412B-B070-097704B8B44A}"/>
    <cellStyle name="Comma 11 2 2 2 2 2 2 5 4 3" xfId="7366" xr:uid="{A09F23A4-20B3-466A-AF24-38B23B4E6FFF}"/>
    <cellStyle name="Comma 11 2 2 2 2 2 2 5 4 3 2" xfId="22546" xr:uid="{461206DC-C0A1-4201-B898-F36F49161FA5}"/>
    <cellStyle name="Comma 11 2 2 2 2 2 2 5 4 4" xfId="19258" xr:uid="{DDD28D91-9864-412A-8F07-6B592BB18192}"/>
    <cellStyle name="Comma 11 2 2 2 2 2 2 5 5" xfId="2165" xr:uid="{BA5CDC3E-ABB6-41B7-930D-67532E6F5DE6}"/>
    <cellStyle name="Comma 11 2 2 2 2 2 2 5 5 2" xfId="9662" xr:uid="{618BBA00-4476-4AD4-9078-9D3375627B61}"/>
    <cellStyle name="Comma 11 2 2 2 2 2 2 5 5 2 2" xfId="24840" xr:uid="{3747ACA8-04B4-40C4-AD39-58981A463AAC}"/>
    <cellStyle name="Comma 11 2 2 2 2 2 2 5 5 3" xfId="17380" xr:uid="{BA93005C-FF9F-43F8-8B43-23B37807116E}"/>
    <cellStyle name="Comma 11 2 2 2 2 2 2 5 6" xfId="9148" xr:uid="{3FCAD5DF-4EEE-4563-B57D-A329EA021E89}"/>
    <cellStyle name="Comma 11 2 2 2 2 2 2 5 6 2" xfId="13321" xr:uid="{DF13CF9E-C09D-49DC-9DBD-719249B3D915}"/>
    <cellStyle name="Comma 11 2 2 2 2 2 2 5 6 2 2" xfId="28498" xr:uid="{8AADB2DF-BF65-4551-A7F1-F0E43A6D224A}"/>
    <cellStyle name="Comma 11 2 2 2 2 2 2 5 6 3" xfId="24326" xr:uid="{DF0DDAF2-BC25-4EE5-989D-BC038383A0F1}"/>
    <cellStyle name="Comma 11 2 2 2 2 2 2 5 7" xfId="5488" xr:uid="{B24640DD-D9E6-450C-8527-1CC309F15A8D}"/>
    <cellStyle name="Comma 11 2 2 2 2 2 2 5 7 2" xfId="20668" xr:uid="{0E6799E1-3385-4CA5-9FD8-5368D8C7079E}"/>
    <cellStyle name="Comma 11 2 2 2 2 2 2 5 8" xfId="16866" xr:uid="{450DFD67-AB96-4D84-A258-0DD893E35E5F}"/>
    <cellStyle name="Comma 11 2 2 2 2 2 2 6" xfId="1734" xr:uid="{44A57ACE-8B0B-4537-8C85-605F2FC4D324}"/>
    <cellStyle name="Comma 11 2 2 2 2 2 2 6 2" xfId="3153" xr:uid="{DCB1B530-D1E9-4601-96FD-00B2BE839B02}"/>
    <cellStyle name="Comma 11 2 2 2 2 2 2 6 2 2" xfId="10644" xr:uid="{D00A4848-1549-4A35-AE1E-A8323DC1B4BF}"/>
    <cellStyle name="Comma 11 2 2 2 2 2 2 6 2 2 2" xfId="14190" xr:uid="{33943AC3-7550-4EF9-8AC0-77305D5B8259}"/>
    <cellStyle name="Comma 11 2 2 2 2 2 2 6 2 2 2 2" xfId="29367" xr:uid="{C7F2357C-2425-4819-80E3-8CCB251F9AA8}"/>
    <cellStyle name="Comma 11 2 2 2 2 2 2 6 2 2 3" xfId="25822" xr:uid="{8A555689-AC9B-4B27-95AD-7758E766EFA5}"/>
    <cellStyle name="Comma 11 2 2 2 2 2 2 6 2 3" xfId="6470" xr:uid="{E290E586-A8E1-4E4D-A938-7E294E4231E1}"/>
    <cellStyle name="Comma 11 2 2 2 2 2 2 6 2 3 2" xfId="21650" xr:uid="{C694A3B9-CE45-4268-BE78-58A60CABE712}"/>
    <cellStyle name="Comma 11 2 2 2 2 2 2 6 2 4" xfId="18362" xr:uid="{7E1E834A-7FE1-4055-B528-5AE506A9261E}"/>
    <cellStyle name="Comma 11 2 2 2 2 2 2 6 3" xfId="4040" xr:uid="{AE4832FF-9268-4216-8B60-5BB028DD9C23}"/>
    <cellStyle name="Comma 11 2 2 2 2 2 2 6 3 2" xfId="11528" xr:uid="{DEF18600-D05B-4289-B2BB-48F981FF10F3}"/>
    <cellStyle name="Comma 11 2 2 2 2 2 2 6 3 2 2" xfId="15074" xr:uid="{BFA0FA56-9203-4ADE-BA7D-0396BDB438F0}"/>
    <cellStyle name="Comma 11 2 2 2 2 2 2 6 3 2 2 2" xfId="30251" xr:uid="{388665D3-28A8-4A96-B727-4F0FB60E4106}"/>
    <cellStyle name="Comma 11 2 2 2 2 2 2 6 3 2 3" xfId="26706" xr:uid="{CA3B8444-051E-454D-ADA7-7399F0426B4B}"/>
    <cellStyle name="Comma 11 2 2 2 2 2 2 6 3 3" xfId="7354" xr:uid="{C72493C0-491B-402F-A14B-6FE1900CDAE2}"/>
    <cellStyle name="Comma 11 2 2 2 2 2 2 6 3 3 2" xfId="22534" xr:uid="{6B768C53-896D-437F-B4DD-20D40BB58BC7}"/>
    <cellStyle name="Comma 11 2 2 2 2 2 2 6 3 4" xfId="19246" xr:uid="{E10C3D62-EF23-4CBB-8A6B-E42EA97B11B5}"/>
    <cellStyle name="Comma 11 2 2 2 2 2 2 6 4" xfId="4056" xr:uid="{A23233A5-245C-475D-808D-EBA2465DD40F}"/>
    <cellStyle name="Comma 11 2 2 2 2 2 2 6 4 2" xfId="11541" xr:uid="{8903576A-1ECC-4A89-8CAD-F40601D60B91}"/>
    <cellStyle name="Comma 11 2 2 2 2 2 2 6 4 2 2" xfId="15087" xr:uid="{6056791F-96D1-4639-905A-911BC2A33D1D}"/>
    <cellStyle name="Comma 11 2 2 2 2 2 2 6 4 2 2 2" xfId="30264" xr:uid="{330940ED-AEAB-496F-8337-90A6C318766F}"/>
    <cellStyle name="Comma 11 2 2 2 2 2 2 6 4 2 3" xfId="26719" xr:uid="{948B7884-7FFD-43A1-B6FB-40B738DF7EF8}"/>
    <cellStyle name="Comma 11 2 2 2 2 2 2 6 4 3" xfId="7367" xr:uid="{83441EC3-C109-451B-B76C-2E8CB42AE60E}"/>
    <cellStyle name="Comma 11 2 2 2 2 2 2 6 4 3 2" xfId="22547" xr:uid="{5A66F08C-986E-4E1A-9720-CF0B57C1CC99}"/>
    <cellStyle name="Comma 11 2 2 2 2 2 2 6 4 4" xfId="19259" xr:uid="{FFE5E2D1-DA5C-4412-9BE5-F12BB9CC46DC}"/>
    <cellStyle name="Comma 11 2 2 2 2 2 2 6 5" xfId="2263" xr:uid="{533909DB-6487-49B1-94C0-8E5A851CFB34}"/>
    <cellStyle name="Comma 11 2 2 2 2 2 2 6 5 2" xfId="9760" xr:uid="{A7E0E72D-DA77-4FD4-9A53-411CF9EEF8CE}"/>
    <cellStyle name="Comma 11 2 2 2 2 2 2 6 5 2 2" xfId="24938" xr:uid="{9D1F62E9-0E19-41D9-AD26-734CAC7F3523}"/>
    <cellStyle name="Comma 11 2 2 2 2 2 2 6 5 3" xfId="17478" xr:uid="{34D1F177-16E2-4A81-B95D-8B38073010D4}"/>
    <cellStyle name="Comma 11 2 2 2 2 2 2 6 6" xfId="9246" xr:uid="{450F854D-9ADD-4BAF-9FFE-624863F25118}"/>
    <cellStyle name="Comma 11 2 2 2 2 2 2 6 6 2" xfId="13419" xr:uid="{83F4E4C2-961F-4F62-B1D5-0039C178D3E3}"/>
    <cellStyle name="Comma 11 2 2 2 2 2 2 6 6 2 2" xfId="28596" xr:uid="{CFBF78DF-76FC-4E20-87F0-F52D69A3C37D}"/>
    <cellStyle name="Comma 11 2 2 2 2 2 2 6 6 3" xfId="24424" xr:uid="{3E59C8F5-CD82-4F80-90D9-69C4C8222CFF}"/>
    <cellStyle name="Comma 11 2 2 2 2 2 2 6 7" xfId="5586" xr:uid="{1F040CC3-730C-459C-A435-150DA5C20FDE}"/>
    <cellStyle name="Comma 11 2 2 2 2 2 2 6 7 2" xfId="20766" xr:uid="{D48EF4D7-FFE8-4CA4-90CD-81DBB7E99392}"/>
    <cellStyle name="Comma 11 2 2 2 2 2 2 6 8" xfId="16964" xr:uid="{CB194383-8DA5-4496-B7D3-863DFCD0902F}"/>
    <cellStyle name="Comma 11 2 2 2 2 2 2 7" xfId="2363" xr:uid="{BD5B6A3A-B696-44A4-83A9-CCAE8646452E}"/>
    <cellStyle name="Comma 11 2 2 2 2 2 2 7 2" xfId="9858" xr:uid="{4DD3BA19-018B-40FC-BEA0-F3FD5DB591CE}"/>
    <cellStyle name="Comma 11 2 2 2 2 2 2 7 2 2" xfId="13517" xr:uid="{1E9F3D57-5A49-4541-B3C7-F7289C2F7F12}"/>
    <cellStyle name="Comma 11 2 2 2 2 2 2 7 2 2 2" xfId="28694" xr:uid="{1B564268-34B2-48C4-A4BE-A5FC5175ED99}"/>
    <cellStyle name="Comma 11 2 2 2 2 2 2 7 2 3" xfId="25036" xr:uid="{E56A0FDD-C7A8-4491-A6D5-23491B63AD96}"/>
    <cellStyle name="Comma 11 2 2 2 2 2 2 7 3" xfId="5684" xr:uid="{911BBFA4-091B-40DE-9C78-A5C9309E1485}"/>
    <cellStyle name="Comma 11 2 2 2 2 2 2 7 3 2" xfId="20864" xr:uid="{B6F45B8B-C399-4F79-B8DA-904F6BD3AD50}"/>
    <cellStyle name="Comma 11 2 2 2 2 2 2 7 4" xfId="17576" xr:uid="{907D93FA-4125-4815-B8EB-ED0B912B39CD}"/>
    <cellStyle name="Comma 11 2 2 2 2 2 2 8" xfId="3253" xr:uid="{F1974046-E184-4DB5-8358-A2E2D06B3DF7}"/>
    <cellStyle name="Comma 11 2 2 2 2 2 2 8 2" xfId="10742" xr:uid="{01DB0A73-FB6A-418F-AF9D-F79D01B8334D}"/>
    <cellStyle name="Comma 11 2 2 2 2 2 2 8 2 2" xfId="14288" xr:uid="{C0932705-ED13-4D1E-A67B-E9C5139B4DD1}"/>
    <cellStyle name="Comma 11 2 2 2 2 2 2 8 2 2 2" xfId="29465" xr:uid="{19C61167-780D-4021-9C14-7EB0FF0B0F24}"/>
    <cellStyle name="Comma 11 2 2 2 2 2 2 8 2 3" xfId="25920" xr:uid="{FAF8C85F-27A7-4FF8-9D3F-7A0A07A1E28A}"/>
    <cellStyle name="Comma 11 2 2 2 2 2 2 8 3" xfId="6568" xr:uid="{ABACDD55-F52A-4052-BD25-7C239F806122}"/>
    <cellStyle name="Comma 11 2 2 2 2 2 2 8 3 2" xfId="21748" xr:uid="{22B0DDD6-4CA9-4C11-993C-A6F353E84785}"/>
    <cellStyle name="Comma 11 2 2 2 2 2 2 8 4" xfId="18460" xr:uid="{D9EAEDB0-5674-40F6-A3F3-E8DA5D6568D0}"/>
    <cellStyle name="Comma 11 2 2 2 2 2 2 9" xfId="4057" xr:uid="{B4629233-EE37-420F-908C-B6E3E071259D}"/>
    <cellStyle name="Comma 11 2 2 2 2 2 2 9 2" xfId="11542" xr:uid="{0D991037-E1DC-44C3-9A64-F04EB2177CC0}"/>
    <cellStyle name="Comma 11 2 2 2 2 2 2 9 2 2" xfId="15088" xr:uid="{C8830EBE-6488-4DAC-B489-5541937F9774}"/>
    <cellStyle name="Comma 11 2 2 2 2 2 2 9 2 2 2" xfId="30265" xr:uid="{914E7296-AA94-41C1-B958-C71CFB839905}"/>
    <cellStyle name="Comma 11 2 2 2 2 2 2 9 2 3" xfId="26720" xr:uid="{AAE011D8-F74A-483F-8C15-A64D71DCE214}"/>
    <cellStyle name="Comma 11 2 2 2 2 2 2 9 3" xfId="7368" xr:uid="{F88CA2CD-09CA-4F43-B5C0-C49F77BDBB09}"/>
    <cellStyle name="Comma 11 2 2 2 2 2 2 9 3 2" xfId="22548" xr:uid="{C6124A11-A26F-4D44-9116-17B041C599F6}"/>
    <cellStyle name="Comma 11 2 2 2 2 2 2 9 4" xfId="19260" xr:uid="{72B11214-EAAC-4A9A-B5C4-F88929499C0F}"/>
    <cellStyle name="Comma 11 2 2 2 2 2 3" xfId="921" xr:uid="{E6B78218-5352-4E0B-A9D2-2DBE0562DF04}"/>
    <cellStyle name="Comma 11 2 2 2 2 2 3 2" xfId="2439" xr:uid="{68A22AF2-B434-4757-A3CA-CC189C688AB7}"/>
    <cellStyle name="Comma 11 2 2 2 2 2 3 2 2" xfId="9931" xr:uid="{D5652E9F-F773-4858-8036-A8453D52664F}"/>
    <cellStyle name="Comma 11 2 2 2 2 2 3 2 2 2" xfId="13590" xr:uid="{30DB905F-F096-4B53-9D1E-D261966EDB0E}"/>
    <cellStyle name="Comma 11 2 2 2 2 2 3 2 2 2 2" xfId="28767" xr:uid="{F54F2044-F9DC-4AF0-88E1-57B9880620FC}"/>
    <cellStyle name="Comma 11 2 2 2 2 2 3 2 2 3" xfId="25109" xr:uid="{31580B3C-4593-4AE3-8489-EFA9052A615B}"/>
    <cellStyle name="Comma 11 2 2 2 2 2 3 2 3" xfId="5757" xr:uid="{3F02A173-E070-48EC-BD11-DEB8589513E8}"/>
    <cellStyle name="Comma 11 2 2 2 2 2 3 2 3 2" xfId="20937" xr:uid="{F5298BC0-164F-4FF4-BE93-AB6F71253F06}"/>
    <cellStyle name="Comma 11 2 2 2 2 2 3 2 4" xfId="17649" xr:uid="{036247E7-49DD-4959-811A-F22248F07A12}"/>
    <cellStyle name="Comma 11 2 2 2 2 2 3 3" xfId="3327" xr:uid="{9F494DFA-B044-4364-800A-1F700C59EFE0}"/>
    <cellStyle name="Comma 11 2 2 2 2 2 3 3 2" xfId="10815" xr:uid="{7255EDAE-6F8C-471B-94B3-A3AB3E0A8BE0}"/>
    <cellStyle name="Comma 11 2 2 2 2 2 3 3 2 2" xfId="14361" xr:uid="{8C252FB7-D373-44FC-A984-4013CCE0C60C}"/>
    <cellStyle name="Comma 11 2 2 2 2 2 3 3 2 2 2" xfId="29538" xr:uid="{103386D2-622F-4F3C-887F-896298E508AE}"/>
    <cellStyle name="Comma 11 2 2 2 2 2 3 3 2 3" xfId="25993" xr:uid="{AB3C7342-364A-41D2-87BF-D849356CA291}"/>
    <cellStyle name="Comma 11 2 2 2 2 2 3 3 3" xfId="6641" xr:uid="{4EA5D60A-BA98-4A24-BCFC-49AAEB7E56C2}"/>
    <cellStyle name="Comma 11 2 2 2 2 2 3 3 3 2" xfId="21821" xr:uid="{531E7011-4DE6-4113-B55A-BDEA5277B44F}"/>
    <cellStyle name="Comma 11 2 2 2 2 2 3 3 4" xfId="18533" xr:uid="{4992FEF5-7935-457B-821E-77FB895E27CB}"/>
    <cellStyle name="Comma 11 2 2 2 2 2 3 4" xfId="4058" xr:uid="{EC024A5A-A63F-40AC-8D1E-A74306DB10A8}"/>
    <cellStyle name="Comma 11 2 2 2 2 2 3 4 2" xfId="11543" xr:uid="{ACDF0721-DE6D-4036-A7DE-CE08ADB97542}"/>
    <cellStyle name="Comma 11 2 2 2 2 2 3 4 2 2" xfId="15089" xr:uid="{AA2CC348-7E76-4F14-A322-1167FE5524F7}"/>
    <cellStyle name="Comma 11 2 2 2 2 2 3 4 2 2 2" xfId="30266" xr:uid="{0D572DDC-BF0F-4869-B3D7-BCDCE031417F}"/>
    <cellStyle name="Comma 11 2 2 2 2 2 3 4 2 3" xfId="26721" xr:uid="{71FD9C97-C368-46B9-8CD6-F32951097237}"/>
    <cellStyle name="Comma 11 2 2 2 2 2 3 4 3" xfId="7369" xr:uid="{3F0CE28E-3D94-4223-AB5D-E2C324A8CED5}"/>
    <cellStyle name="Comma 11 2 2 2 2 2 3 4 3 2" xfId="22549" xr:uid="{9226F1CB-920E-447C-993B-BA21B24C57D6}"/>
    <cellStyle name="Comma 11 2 2 2 2 2 3 4 4" xfId="19261" xr:uid="{D2A355C4-0C28-408B-B390-1CF122431D12}"/>
    <cellStyle name="Comma 11 2 2 2 2 2 3 5" xfId="8533" xr:uid="{5AF72852-DB93-4589-AFE4-0583AECAE997}"/>
    <cellStyle name="Comma 11 2 2 2 2 2 3 5 2" xfId="12706" xr:uid="{3B47BA93-01BF-4EB2-9DFE-26CE03B425F2}"/>
    <cellStyle name="Comma 11 2 2 2 2 2 3 5 2 2" xfId="27883" xr:uid="{AC4339D9-E354-4111-87AE-A8EFD5F03FE9}"/>
    <cellStyle name="Comma 11 2 2 2 2 2 3 5 3" xfId="23711" xr:uid="{586997D4-FEF6-4B2A-9D02-9140FACD4579}"/>
    <cellStyle name="Comma 11 2 2 2 2 2 3 6" xfId="16251" xr:uid="{24BB94FA-F62A-4189-AAE3-C28D17E52312}"/>
    <cellStyle name="Comma 11 2 2 2 2 2 3 7" xfId="31691" xr:uid="{E312801A-854B-497E-B67C-F566FBD1F88B}"/>
    <cellStyle name="Comma 11 2 2 2 2 2 4" xfId="1024" xr:uid="{F968E7C6-5676-4834-AF1A-5D894DC29359}"/>
    <cellStyle name="Comma 11 2 2 2 2 2 4 2" xfId="2537" xr:uid="{212E2594-CFD7-49C3-8EBA-58ABFE39CC2B}"/>
    <cellStyle name="Comma 11 2 2 2 2 2 4 2 2" xfId="10029" xr:uid="{78CA3D1D-F1B2-45D1-BE94-480CE292FCC9}"/>
    <cellStyle name="Comma 11 2 2 2 2 2 4 2 2 2" xfId="13688" xr:uid="{048CDB91-CE3C-441C-9FF0-8578FDE6E7AD}"/>
    <cellStyle name="Comma 11 2 2 2 2 2 4 2 2 2 2" xfId="28865" xr:uid="{419D4C0A-83B4-4172-8211-207F57A844E3}"/>
    <cellStyle name="Comma 11 2 2 2 2 2 4 2 2 3" xfId="25207" xr:uid="{E5F12349-A2C5-4BA3-A8C0-2C04D450144F}"/>
    <cellStyle name="Comma 11 2 2 2 2 2 4 2 3" xfId="5855" xr:uid="{A8FA9554-43FF-41AA-A3A1-CDA10374F2E3}"/>
    <cellStyle name="Comma 11 2 2 2 2 2 4 2 3 2" xfId="21035" xr:uid="{9067A059-8AEB-441B-A112-323230A1F7F7}"/>
    <cellStyle name="Comma 11 2 2 2 2 2 4 2 4" xfId="17747" xr:uid="{673F91F6-7D56-4779-8DE9-C63C80318ED9}"/>
    <cellStyle name="Comma 11 2 2 2 2 2 4 3" xfId="3425" xr:uid="{C6193DA2-8692-4E79-9013-935297483BCD}"/>
    <cellStyle name="Comma 11 2 2 2 2 2 4 3 2" xfId="10913" xr:uid="{DD6C3E29-C4D1-488A-9270-064AFD1B9578}"/>
    <cellStyle name="Comma 11 2 2 2 2 2 4 3 2 2" xfId="14459" xr:uid="{8E14F97D-9016-4D05-B568-34F9A7AA3ADA}"/>
    <cellStyle name="Comma 11 2 2 2 2 2 4 3 2 2 2" xfId="29636" xr:uid="{DB8EB926-D185-4E87-BA94-3D011C5C185D}"/>
    <cellStyle name="Comma 11 2 2 2 2 2 4 3 2 3" xfId="26091" xr:uid="{E40E9C55-0096-4330-BB6B-E1389097B7C5}"/>
    <cellStyle name="Comma 11 2 2 2 2 2 4 3 3" xfId="6739" xr:uid="{EABF9A26-5D7F-4D2E-B1FA-C7E6629340C3}"/>
    <cellStyle name="Comma 11 2 2 2 2 2 4 3 3 2" xfId="21919" xr:uid="{1DFF1AE0-5F70-4535-945D-3135C91BFED6}"/>
    <cellStyle name="Comma 11 2 2 2 2 2 4 3 4" xfId="18631" xr:uid="{0179467B-78F2-431C-A47A-C3833DCF3ECB}"/>
    <cellStyle name="Comma 11 2 2 2 2 2 4 4" xfId="4059" xr:uid="{32D648C1-A10A-4885-B099-077783E1498F}"/>
    <cellStyle name="Comma 11 2 2 2 2 2 4 4 2" xfId="11544" xr:uid="{A54E6660-3513-4324-A866-DB487F165158}"/>
    <cellStyle name="Comma 11 2 2 2 2 2 4 4 2 2" xfId="15090" xr:uid="{16CD2E9C-38D3-429C-866D-D4735243198D}"/>
    <cellStyle name="Comma 11 2 2 2 2 2 4 4 2 2 2" xfId="30267" xr:uid="{8764AAEF-25DA-41D8-8EFA-A6C7B4138676}"/>
    <cellStyle name="Comma 11 2 2 2 2 2 4 4 2 3" xfId="26722" xr:uid="{E87A9992-B4F5-4382-8DAF-08E86A5E047F}"/>
    <cellStyle name="Comma 11 2 2 2 2 2 4 4 3" xfId="7370" xr:uid="{872DDA66-7BDB-4A42-B0F0-A51E238D84FF}"/>
    <cellStyle name="Comma 11 2 2 2 2 2 4 4 3 2" xfId="22550" xr:uid="{58E7684E-54C1-4D2A-9AB0-4DE409EF65D2}"/>
    <cellStyle name="Comma 11 2 2 2 2 2 4 4 4" xfId="19262" xr:uid="{EEC159F0-5535-490A-A5D5-2AD619ED61ED}"/>
    <cellStyle name="Comma 11 2 2 2 2 2 4 5" xfId="8631" xr:uid="{BDB58EF7-B259-478B-80C5-39C76B98963C}"/>
    <cellStyle name="Comma 11 2 2 2 2 2 4 5 2" xfId="12804" xr:uid="{1ABF158D-A1FF-4190-AD21-386A71930EBB}"/>
    <cellStyle name="Comma 11 2 2 2 2 2 4 5 2 2" xfId="27981" xr:uid="{E2B7EB2C-3CC2-4708-8085-50457EE9F7FE}"/>
    <cellStyle name="Comma 11 2 2 2 2 2 4 5 3" xfId="23809" xr:uid="{478AB458-E171-4B8B-B06B-C0F101F47786}"/>
    <cellStyle name="Comma 11 2 2 2 2 2 4 6" xfId="16349" xr:uid="{79CB3245-8988-4CF3-A1A4-026BB1AAA722}"/>
    <cellStyle name="Comma 11 2 2 2 2 2 4 7" xfId="31569" xr:uid="{2D32807E-8C16-448A-9FA9-3014D5931B8F}"/>
    <cellStyle name="Comma 11 2 2 2 2 2 5" xfId="1282" xr:uid="{2CACB902-CB67-406E-B09B-71E6A8C2E668}"/>
    <cellStyle name="Comma 11 2 2 2 2 2 5 10" xfId="31341" xr:uid="{1BD7DA91-06F3-4DD1-87EF-E776E1C9B1AE}"/>
    <cellStyle name="Comma 11 2 2 2 2 2 5 2" xfId="2712" xr:uid="{F5FFC29A-CD79-4CE8-8B7F-957D7354C9F6}"/>
    <cellStyle name="Comma 11 2 2 2 2 2 5 2 2" xfId="10203" xr:uid="{B661F2B6-B395-444F-9269-206DF63E701B}"/>
    <cellStyle name="Comma 11 2 2 2 2 2 5 2 2 2" xfId="13847" xr:uid="{A3D400A9-832F-4EAE-B739-20310475D79A}"/>
    <cellStyle name="Comma 11 2 2 2 2 2 5 2 2 2 2" xfId="29024" xr:uid="{14D6B2F9-64AB-4765-8B40-F0F095D27EC0}"/>
    <cellStyle name="Comma 11 2 2 2 2 2 5 2 2 3" xfId="25381" xr:uid="{1BE247E7-E62D-45F2-A202-0F8D6CB349C3}"/>
    <cellStyle name="Comma 11 2 2 2 2 2 5 2 3" xfId="6029" xr:uid="{9AB01E9E-E270-4A68-A700-3F9622ACFC10}"/>
    <cellStyle name="Comma 11 2 2 2 2 2 5 2 3 2" xfId="21209" xr:uid="{1AFE8438-C0BB-49F2-9C3D-A1024767CAE8}"/>
    <cellStyle name="Comma 11 2 2 2 2 2 5 2 4" xfId="17921" xr:uid="{56E5703C-59D3-472E-972E-DED3E6FDD893}"/>
    <cellStyle name="Comma 11 2 2 2 2 2 5 3" xfId="3599" xr:uid="{E4F2A2CB-3ADE-4839-9473-15EA09DB68E9}"/>
    <cellStyle name="Comma 11 2 2 2 2 2 5 3 2" xfId="11087" xr:uid="{EA8BF183-85F5-4077-B74D-A08AA3D49597}"/>
    <cellStyle name="Comma 11 2 2 2 2 2 5 3 2 2" xfId="14633" xr:uid="{34F65B70-1710-41A9-8FE9-11B8DEB22B23}"/>
    <cellStyle name="Comma 11 2 2 2 2 2 5 3 2 2 2" xfId="29810" xr:uid="{72342F1A-9CC3-4D4A-A727-BB62AACB3E7D}"/>
    <cellStyle name="Comma 11 2 2 2 2 2 5 3 2 3" xfId="26265" xr:uid="{62E6782B-BD07-4EEB-987C-66D7119CB574}"/>
    <cellStyle name="Comma 11 2 2 2 2 2 5 3 3" xfId="6913" xr:uid="{E73973E5-941C-4567-9EAC-CC07765A8A07}"/>
    <cellStyle name="Comma 11 2 2 2 2 2 5 3 3 2" xfId="22093" xr:uid="{65C3017D-621C-4AC6-BC2C-43A08C50B594}"/>
    <cellStyle name="Comma 11 2 2 2 2 2 5 3 4" xfId="18805" xr:uid="{05230404-3630-4450-8BC0-C3DF65F9CE04}"/>
    <cellStyle name="Comma 11 2 2 2 2 2 5 4" xfId="4060" xr:uid="{6BDF2A13-55FE-4A99-97DE-DF175E0F4BD6}"/>
    <cellStyle name="Comma 11 2 2 2 2 2 5 4 2" xfId="11545" xr:uid="{91111EFD-0895-4ACF-92A1-AB344A3B1A15}"/>
    <cellStyle name="Comma 11 2 2 2 2 2 5 4 2 2" xfId="15091" xr:uid="{1E81E9E9-63BA-487C-AAD0-1BF20E590C38}"/>
    <cellStyle name="Comma 11 2 2 2 2 2 5 4 2 2 2" xfId="30268" xr:uid="{647E11C8-6E0B-46FF-BCB4-DB37D4198639}"/>
    <cellStyle name="Comma 11 2 2 2 2 2 5 4 2 3" xfId="26723" xr:uid="{C5AA3DBE-E916-4931-B7E2-C17027A33890}"/>
    <cellStyle name="Comma 11 2 2 2 2 2 5 4 3" xfId="7371" xr:uid="{3F5C1853-FDCA-46E4-8060-C7D65FE717D0}"/>
    <cellStyle name="Comma 11 2 2 2 2 2 5 4 3 2" xfId="22551" xr:uid="{E1BC539D-5C04-493B-A5A1-76E1C83D1338}"/>
    <cellStyle name="Comma 11 2 2 2 2 2 5 4 4" xfId="19263" xr:uid="{6215FCAE-6134-4CA7-A75B-FE08BAA00FD8}"/>
    <cellStyle name="Comma 11 2 2 2 2 2 5 5" xfId="5001" xr:uid="{B5078945-E907-4CED-BC13-6D89A893EAA9}"/>
    <cellStyle name="Comma 11 2 2 2 2 2 5 5 2" xfId="12485" xr:uid="{5EF1676C-CC57-4D66-9AB0-185E1ED5502E}"/>
    <cellStyle name="Comma 11 2 2 2 2 2 5 5 2 2" xfId="16031" xr:uid="{A04BCF60-4347-431F-B503-D010D098A10F}"/>
    <cellStyle name="Comma 11 2 2 2 2 2 5 5 2 2 2" xfId="31208" xr:uid="{F54F9B60-32C2-46CF-940C-74015562B5E7}"/>
    <cellStyle name="Comma 11 2 2 2 2 2 5 5 2 3" xfId="27663" xr:uid="{D2795F61-32D3-447C-931E-A9009C9C1151}"/>
    <cellStyle name="Comma 11 2 2 2 2 2 5 5 3" xfId="8311" xr:uid="{85AB7AA9-084C-4DF2-BE57-83886604FFA3}"/>
    <cellStyle name="Comma 11 2 2 2 2 2 5 5 3 2" xfId="23491" xr:uid="{7D8C7838-E81F-4C8C-ACB5-37EEDBAACE08}"/>
    <cellStyle name="Comma 11 2 2 2 2 2 5 5 4" xfId="20203" xr:uid="{6EE33FED-4311-45D9-96E7-F1B996C2A79E}"/>
    <cellStyle name="Comma 11 2 2 2 2 2 5 6" xfId="1822" xr:uid="{D61A9FC6-0DB6-46CD-A5D5-C4B7FDF4D1E1}"/>
    <cellStyle name="Comma 11 2 2 2 2 2 5 6 2" xfId="9319" xr:uid="{AFF6D072-4FE5-46F5-8E63-5FCD59B9678A}"/>
    <cellStyle name="Comma 11 2 2 2 2 2 5 6 2 2" xfId="24497" xr:uid="{C75563C5-763D-4666-BF68-46531B65A6EB}"/>
    <cellStyle name="Comma 11 2 2 2 2 2 5 6 3" xfId="17037" xr:uid="{62DA9391-1089-48E4-9108-1CA1F22A6B51}"/>
    <cellStyle name="Comma 11 2 2 2 2 2 5 7" xfId="8805" xr:uid="{ACEA21A2-ECE8-417A-BA45-1C8E414E37BE}"/>
    <cellStyle name="Comma 11 2 2 2 2 2 5 7 2" xfId="12978" xr:uid="{ABF3431D-DB75-4883-9707-B156FF52B53F}"/>
    <cellStyle name="Comma 11 2 2 2 2 2 5 7 2 2" xfId="28155" xr:uid="{82617348-C94C-4EAC-86A5-AB780BF39CC6}"/>
    <cellStyle name="Comma 11 2 2 2 2 2 5 7 3" xfId="23983" xr:uid="{107EE618-38DD-4207-BE5B-7A9777FA08FB}"/>
    <cellStyle name="Comma 11 2 2 2 2 2 5 8" xfId="5145" xr:uid="{DFD0454B-5DCE-4A4D-A160-F79D73782724}"/>
    <cellStyle name="Comma 11 2 2 2 2 2 5 8 2" xfId="20325" xr:uid="{B16210F9-72C4-4ECA-A785-9C61F4AC6DED}"/>
    <cellStyle name="Comma 11 2 2 2 2 2 5 9" xfId="16523" xr:uid="{186F33B1-14EA-4363-9DA6-DD7E25E4FC01}"/>
    <cellStyle name="Comma 11 2 2 2 2 2 6" xfId="1384" xr:uid="{9007FA8B-9F0E-4462-8BBB-BEE26417352F}"/>
    <cellStyle name="Comma 11 2 2 2 2 2 6 2" xfId="2810" xr:uid="{F38D4043-759D-4DE0-9CEE-D58C9487BA74}"/>
    <cellStyle name="Comma 11 2 2 2 2 2 6 2 2" xfId="10301" xr:uid="{27104AE8-3167-414B-B978-63C4E56E6CFB}"/>
    <cellStyle name="Comma 11 2 2 2 2 2 6 2 2 2" xfId="13896" xr:uid="{79675464-9A13-43B2-A5FD-2397EB53B23C}"/>
    <cellStyle name="Comma 11 2 2 2 2 2 6 2 2 2 2" xfId="29073" xr:uid="{C52C03D4-37B9-447E-A210-84063BD5BB90}"/>
    <cellStyle name="Comma 11 2 2 2 2 2 6 2 2 3" xfId="25479" xr:uid="{61F69E3E-186A-4112-AF12-E66E4EFBE02A}"/>
    <cellStyle name="Comma 11 2 2 2 2 2 6 2 3" xfId="6127" xr:uid="{5F6FECCA-B4D1-4554-AFD2-6D38BC8AF776}"/>
    <cellStyle name="Comma 11 2 2 2 2 2 6 2 3 2" xfId="21307" xr:uid="{99BF0D63-19F6-4B40-9616-26425BC96E3F}"/>
    <cellStyle name="Comma 11 2 2 2 2 2 6 2 4" xfId="18019" xr:uid="{C93D4F78-6957-47E0-8EA1-1278219642CB}"/>
    <cellStyle name="Comma 11 2 2 2 2 2 6 3" xfId="3697" xr:uid="{1C5AE32B-0FFF-4435-ABDF-6E3C7429BB96}"/>
    <cellStyle name="Comma 11 2 2 2 2 2 6 3 2" xfId="11185" xr:uid="{C6CA60FB-EEBA-4DC6-83A1-6F97BF729F02}"/>
    <cellStyle name="Comma 11 2 2 2 2 2 6 3 2 2" xfId="14731" xr:uid="{47221016-1B90-47E0-BF83-8485FBC2615D}"/>
    <cellStyle name="Comma 11 2 2 2 2 2 6 3 2 2 2" xfId="29908" xr:uid="{7B2111D9-10C2-405F-9647-DA47E1C394C2}"/>
    <cellStyle name="Comma 11 2 2 2 2 2 6 3 2 3" xfId="26363" xr:uid="{7371F119-2298-4D1B-B986-1778D3025DBC}"/>
    <cellStyle name="Comma 11 2 2 2 2 2 6 3 3" xfId="7011" xr:uid="{DF1FB881-59D9-4AAC-9B7E-4DEEF2501763}"/>
    <cellStyle name="Comma 11 2 2 2 2 2 6 3 3 2" xfId="22191" xr:uid="{99098E12-1DE5-4722-9E8B-98143E0D40FB}"/>
    <cellStyle name="Comma 11 2 2 2 2 2 6 3 4" xfId="18903" xr:uid="{85E78A82-6E50-44C4-AC7E-62AA14901700}"/>
    <cellStyle name="Comma 11 2 2 2 2 2 6 4" xfId="4061" xr:uid="{AD591678-8E8F-4EEB-9FEA-45E8B02497A1}"/>
    <cellStyle name="Comma 11 2 2 2 2 2 6 4 2" xfId="11546" xr:uid="{01B76653-2ED6-445B-8E94-10FC98D0E667}"/>
    <cellStyle name="Comma 11 2 2 2 2 2 6 4 2 2" xfId="15092" xr:uid="{A84563FE-79E1-4C11-B798-6487DE5E937C}"/>
    <cellStyle name="Comma 11 2 2 2 2 2 6 4 2 2 2" xfId="30269" xr:uid="{F57750C2-E0FC-42A6-A515-9A067EC5786B}"/>
    <cellStyle name="Comma 11 2 2 2 2 2 6 4 2 3" xfId="26724" xr:uid="{FB9E073B-04E6-4A10-BB04-6E3CB31D7AB4}"/>
    <cellStyle name="Comma 11 2 2 2 2 2 6 4 3" xfId="7372" xr:uid="{E6D8E2A1-AB99-4B48-B779-72DDD1C2850C}"/>
    <cellStyle name="Comma 11 2 2 2 2 2 6 4 3 2" xfId="22552" xr:uid="{44967F61-A7E5-41C9-BBD2-4CB45AEEC23A}"/>
    <cellStyle name="Comma 11 2 2 2 2 2 6 4 4" xfId="19264" xr:uid="{B56D2852-C5C2-4D1C-9EFC-77674FB2831D}"/>
    <cellStyle name="Comma 11 2 2 2 2 2 6 5" xfId="1920" xr:uid="{707E2553-AB5C-469A-8889-E1938D8EE15E}"/>
    <cellStyle name="Comma 11 2 2 2 2 2 6 5 2" xfId="9417" xr:uid="{106B0C46-72EE-49FB-8828-D6331BE35163}"/>
    <cellStyle name="Comma 11 2 2 2 2 2 6 5 2 2" xfId="24595" xr:uid="{722BB0F4-AF68-4A00-8521-7E39F9A5BFC0}"/>
    <cellStyle name="Comma 11 2 2 2 2 2 6 5 3" xfId="17135" xr:uid="{98B0BA54-F3C5-4A15-AEED-63D692FB1789}"/>
    <cellStyle name="Comma 11 2 2 2 2 2 6 6" xfId="8903" xr:uid="{BDA6164F-76AF-4B37-B5CC-3CAA5EC1BD80}"/>
    <cellStyle name="Comma 11 2 2 2 2 2 6 6 2" xfId="13076" xr:uid="{290E7B7A-0AFF-4252-A77C-14CDC3FA3513}"/>
    <cellStyle name="Comma 11 2 2 2 2 2 6 6 2 2" xfId="28253" xr:uid="{0796DE99-B977-47D0-BF5A-94C4F4F3A4B7}"/>
    <cellStyle name="Comma 11 2 2 2 2 2 6 6 3" xfId="24081" xr:uid="{3C4D3A71-2222-4AA9-ADE4-0D0A010C0D21}"/>
    <cellStyle name="Comma 11 2 2 2 2 2 6 7" xfId="5243" xr:uid="{285B85A5-C0F5-427D-8E58-F4B4DC469E7C}"/>
    <cellStyle name="Comma 11 2 2 2 2 2 6 7 2" xfId="20423" xr:uid="{5B7EFECC-AFB2-49E8-9223-05CED73949EB}"/>
    <cellStyle name="Comma 11 2 2 2 2 2 6 8" xfId="16621" xr:uid="{CC5FAB2A-9B57-4995-9A2B-4781D67A59DC}"/>
    <cellStyle name="Comma 11 2 2 2 2 2 7" xfId="1483" xr:uid="{1AD4863C-2F46-426D-9111-E0C7D8677B3E}"/>
    <cellStyle name="Comma 11 2 2 2 2 2 7 2" xfId="2908" xr:uid="{5CACF353-5C45-4DA5-81EB-8137EBAB9272}"/>
    <cellStyle name="Comma 11 2 2 2 2 2 7 2 2" xfId="10399" xr:uid="{3609817C-84B2-4B04-AAD5-5B2F39D9EB96}"/>
    <cellStyle name="Comma 11 2 2 2 2 2 7 2 2 2" xfId="13945" xr:uid="{9E3F6DE0-EDA3-484A-92AB-3DD27A020203}"/>
    <cellStyle name="Comma 11 2 2 2 2 2 7 2 2 2 2" xfId="29122" xr:uid="{AB22042E-B015-411E-881F-172BD8F10BE6}"/>
    <cellStyle name="Comma 11 2 2 2 2 2 7 2 2 3" xfId="25577" xr:uid="{8CFD4C9C-3568-4524-86FB-FB8D1E169B53}"/>
    <cellStyle name="Comma 11 2 2 2 2 2 7 2 3" xfId="6225" xr:uid="{353F2D9A-225D-4575-A784-C5E8A1CF734B}"/>
    <cellStyle name="Comma 11 2 2 2 2 2 7 2 3 2" xfId="21405" xr:uid="{26395BB1-F647-4BBD-85AE-746326D9373E}"/>
    <cellStyle name="Comma 11 2 2 2 2 2 7 2 4" xfId="18117" xr:uid="{73232A50-18DC-42A5-B89A-9479327B68BF}"/>
    <cellStyle name="Comma 11 2 2 2 2 2 7 3" xfId="3795" xr:uid="{018BEF5B-0DD0-4B03-9D86-CDF7563976E1}"/>
    <cellStyle name="Comma 11 2 2 2 2 2 7 3 2" xfId="11283" xr:uid="{FAE82DB7-9B29-4006-9C6A-5E82AC7C21EF}"/>
    <cellStyle name="Comma 11 2 2 2 2 2 7 3 2 2" xfId="14829" xr:uid="{C01577B9-ECF9-4026-9692-FFB809E9870A}"/>
    <cellStyle name="Comma 11 2 2 2 2 2 7 3 2 2 2" xfId="30006" xr:uid="{416FEE07-5051-471C-A54D-B96BD0575E2D}"/>
    <cellStyle name="Comma 11 2 2 2 2 2 7 3 2 3" xfId="26461" xr:uid="{AA9FE154-2622-4267-A480-2340FB0F7EFD}"/>
    <cellStyle name="Comma 11 2 2 2 2 2 7 3 3" xfId="7109" xr:uid="{55594FCE-3C22-49B8-97F8-0C0C677DABB8}"/>
    <cellStyle name="Comma 11 2 2 2 2 2 7 3 3 2" xfId="22289" xr:uid="{3B39A316-AC46-4053-BCE1-70F95288CC45}"/>
    <cellStyle name="Comma 11 2 2 2 2 2 7 3 4" xfId="19001" xr:uid="{95EE84D6-6F1C-4009-8436-EB8EB43CFB80}"/>
    <cellStyle name="Comma 11 2 2 2 2 2 7 4" xfId="4062" xr:uid="{A37C6FE7-DF0A-4DCA-90D7-DF3DD41C4F2B}"/>
    <cellStyle name="Comma 11 2 2 2 2 2 7 4 2" xfId="11547" xr:uid="{6B00BB57-AF9C-4601-B3D7-962336C8ED29}"/>
    <cellStyle name="Comma 11 2 2 2 2 2 7 4 2 2" xfId="15093" xr:uid="{DF4DA431-B4C4-4BFD-8A91-379F9FB3648D}"/>
    <cellStyle name="Comma 11 2 2 2 2 2 7 4 2 2 2" xfId="30270" xr:uid="{B838B095-05CE-4332-BCC2-62EF84334C21}"/>
    <cellStyle name="Comma 11 2 2 2 2 2 7 4 2 3" xfId="26725" xr:uid="{4178CD7B-1544-4FD5-A77E-5B85D746FF81}"/>
    <cellStyle name="Comma 11 2 2 2 2 2 7 4 3" xfId="7373" xr:uid="{A371D692-449C-4644-8AF5-07A90C00DD5A}"/>
    <cellStyle name="Comma 11 2 2 2 2 2 7 4 3 2" xfId="22553" xr:uid="{47E9E38A-4F28-4D1D-8D71-AC017D8B5DC0}"/>
    <cellStyle name="Comma 11 2 2 2 2 2 7 4 4" xfId="19265" xr:uid="{58421AC0-590A-4124-B3F5-A5D3F7963074}"/>
    <cellStyle name="Comma 11 2 2 2 2 2 7 5" xfId="2018" xr:uid="{BE516B3A-B1B1-4C59-B88A-670B061591D5}"/>
    <cellStyle name="Comma 11 2 2 2 2 2 7 5 2" xfId="9515" xr:uid="{10723805-11C6-4B66-ACE8-B603B71F4CD8}"/>
    <cellStyle name="Comma 11 2 2 2 2 2 7 5 2 2" xfId="24693" xr:uid="{0124E486-EE35-459B-A96A-E160EFD44990}"/>
    <cellStyle name="Comma 11 2 2 2 2 2 7 5 3" xfId="17233" xr:uid="{8445C7F8-E79A-4FDC-9574-6EE12529B88F}"/>
    <cellStyle name="Comma 11 2 2 2 2 2 7 6" xfId="9001" xr:uid="{9C46D77E-D6DB-4731-BECE-E5ACB7147A7D}"/>
    <cellStyle name="Comma 11 2 2 2 2 2 7 6 2" xfId="13174" xr:uid="{C2BAEF9A-4818-4D32-BC01-2DAAF2EA65C7}"/>
    <cellStyle name="Comma 11 2 2 2 2 2 7 6 2 2" xfId="28351" xr:uid="{18C96515-6FCB-45BE-BF74-4C7AA90D3F81}"/>
    <cellStyle name="Comma 11 2 2 2 2 2 7 6 3" xfId="24179" xr:uid="{2F35F531-D256-4C49-A220-80D210417175}"/>
    <cellStyle name="Comma 11 2 2 2 2 2 7 7" xfId="5341" xr:uid="{82583E4A-EBCE-4578-962C-80BFDA713147}"/>
    <cellStyle name="Comma 11 2 2 2 2 2 7 7 2" xfId="20521" xr:uid="{CEE41CA7-6FBE-4C97-9CA2-97BC5AA42617}"/>
    <cellStyle name="Comma 11 2 2 2 2 2 7 8" xfId="16719" xr:uid="{92CF3892-011D-44F7-A4F1-F1572389B9C1}"/>
    <cellStyle name="Comma 11 2 2 2 2 2 8" xfId="1586" xr:uid="{74328883-8653-48BA-B4F3-6D52BCF0B870}"/>
    <cellStyle name="Comma 11 2 2 2 2 2 8 2" xfId="3006" xr:uid="{A0C100AF-64E2-4A24-A46C-8901D8360662}"/>
    <cellStyle name="Comma 11 2 2 2 2 2 8 2 2" xfId="10497" xr:uid="{0F64376D-EE51-4587-AB04-010CF5DB5A41}"/>
    <cellStyle name="Comma 11 2 2 2 2 2 8 2 2 2" xfId="14043" xr:uid="{234032E7-E94E-4750-9E32-9C7262346102}"/>
    <cellStyle name="Comma 11 2 2 2 2 2 8 2 2 2 2" xfId="29220" xr:uid="{920F2231-5701-4C0A-B840-7264F50E9D0F}"/>
    <cellStyle name="Comma 11 2 2 2 2 2 8 2 2 3" xfId="25675" xr:uid="{A4D7D0A1-6021-410A-8659-59EB9A577615}"/>
    <cellStyle name="Comma 11 2 2 2 2 2 8 2 3" xfId="6323" xr:uid="{BB0C7364-816A-45F8-A081-5FBCCED877C4}"/>
    <cellStyle name="Comma 11 2 2 2 2 2 8 2 3 2" xfId="21503" xr:uid="{2AF9B201-84F8-4AE0-8FA3-E83106B6D8E2}"/>
    <cellStyle name="Comma 11 2 2 2 2 2 8 2 4" xfId="18215" xr:uid="{DE0AD42A-2441-4083-9AD0-9755748854F6}"/>
    <cellStyle name="Comma 11 2 2 2 2 2 8 3" xfId="3893" xr:uid="{1C57AD53-AB1B-477C-95B0-647C775E2354}"/>
    <cellStyle name="Comma 11 2 2 2 2 2 8 3 2" xfId="11381" xr:uid="{5C76F56A-5B33-4DC7-81E7-920ADEDA7889}"/>
    <cellStyle name="Comma 11 2 2 2 2 2 8 3 2 2" xfId="14927" xr:uid="{1B5D4182-E504-4DD4-BAAE-98A8BA0CE816}"/>
    <cellStyle name="Comma 11 2 2 2 2 2 8 3 2 2 2" xfId="30104" xr:uid="{C43ED4F9-7648-4D53-AC33-BF5096FC0EB7}"/>
    <cellStyle name="Comma 11 2 2 2 2 2 8 3 2 3" xfId="26559" xr:uid="{75EFAFBF-63DC-4D44-ABB9-BD07457D4EA8}"/>
    <cellStyle name="Comma 11 2 2 2 2 2 8 3 3" xfId="7207" xr:uid="{F291AFC1-32DD-4D14-A625-37F628BE6370}"/>
    <cellStyle name="Comma 11 2 2 2 2 2 8 3 3 2" xfId="22387" xr:uid="{C3063BDE-24DF-4C31-8F9F-7FF5C7AE68D3}"/>
    <cellStyle name="Comma 11 2 2 2 2 2 8 3 4" xfId="19099" xr:uid="{2F7BF7B5-6D24-4670-8193-AB0EA4D52D18}"/>
    <cellStyle name="Comma 11 2 2 2 2 2 8 4" xfId="4063" xr:uid="{4CFA9E55-AE30-44D2-8E5D-CC4A4D6CAC84}"/>
    <cellStyle name="Comma 11 2 2 2 2 2 8 4 2" xfId="11548" xr:uid="{B94E8B4A-88F7-4547-AF63-6A772FA995F0}"/>
    <cellStyle name="Comma 11 2 2 2 2 2 8 4 2 2" xfId="15094" xr:uid="{DE8337CA-5E95-49FE-8737-777617569A61}"/>
    <cellStyle name="Comma 11 2 2 2 2 2 8 4 2 2 2" xfId="30271" xr:uid="{1165475E-2A57-4DB9-8E28-30F3821AD16A}"/>
    <cellStyle name="Comma 11 2 2 2 2 2 8 4 2 3" xfId="26726" xr:uid="{70DAF143-5107-4509-B5E8-E7E91882FF19}"/>
    <cellStyle name="Comma 11 2 2 2 2 2 8 4 3" xfId="7374" xr:uid="{FAD2F8AE-C0F6-43BD-BA70-900DFAFDE963}"/>
    <cellStyle name="Comma 11 2 2 2 2 2 8 4 3 2" xfId="22554" xr:uid="{0958BB02-4538-4B07-99A1-D3DB59EFF863}"/>
    <cellStyle name="Comma 11 2 2 2 2 2 8 4 4" xfId="19266" xr:uid="{2AD1942D-A667-4391-89E7-67AD360E6755}"/>
    <cellStyle name="Comma 11 2 2 2 2 2 8 5" xfId="2116" xr:uid="{EBA9F356-36C7-4E8F-A767-14A2686E7AA7}"/>
    <cellStyle name="Comma 11 2 2 2 2 2 8 5 2" xfId="9613" xr:uid="{3587676B-F73D-4561-B09B-E68919981239}"/>
    <cellStyle name="Comma 11 2 2 2 2 2 8 5 2 2" xfId="24791" xr:uid="{FBCD34AF-C7DB-4403-8277-044F12AA7896}"/>
    <cellStyle name="Comma 11 2 2 2 2 2 8 5 3" xfId="17331" xr:uid="{D3E97CEE-58A2-4D0C-AA88-8A4624EC9EC2}"/>
    <cellStyle name="Comma 11 2 2 2 2 2 8 6" xfId="9099" xr:uid="{75F59183-ECAE-4830-8BF0-E1624467E345}"/>
    <cellStyle name="Comma 11 2 2 2 2 2 8 6 2" xfId="13272" xr:uid="{F8C3A148-2DCA-449A-8ABF-BAC9E5441DF0}"/>
    <cellStyle name="Comma 11 2 2 2 2 2 8 6 2 2" xfId="28449" xr:uid="{7E795136-E83F-46FE-8837-11F7F43B7D0F}"/>
    <cellStyle name="Comma 11 2 2 2 2 2 8 6 3" xfId="24277" xr:uid="{741BD901-A0FA-43E1-AEDF-FC96AF2F1B09}"/>
    <cellStyle name="Comma 11 2 2 2 2 2 8 7" xfId="5439" xr:uid="{FB607487-717F-4136-BAF7-21D624306030}"/>
    <cellStyle name="Comma 11 2 2 2 2 2 8 7 2" xfId="20619" xr:uid="{5BDCA020-482A-4F00-BB20-661CE32BAE05}"/>
    <cellStyle name="Comma 11 2 2 2 2 2 8 8" xfId="16817" xr:uid="{DEBD4BAA-2DE4-4471-88A5-DEA48DEDE748}"/>
    <cellStyle name="Comma 11 2 2 2 2 2 9" xfId="1685" xr:uid="{05EB3AE6-1BD2-480A-B882-22DD6AC66C14}"/>
    <cellStyle name="Comma 11 2 2 2 2 2 9 2" xfId="3104" xr:uid="{0CF8F33F-7AAB-4A05-A2AF-31096134BB63}"/>
    <cellStyle name="Comma 11 2 2 2 2 2 9 2 2" xfId="10595" xr:uid="{D5A8EE22-E3AC-4F92-9747-D12FC8EE6964}"/>
    <cellStyle name="Comma 11 2 2 2 2 2 9 2 2 2" xfId="14141" xr:uid="{3D7254AF-6F36-4201-8C85-164262FEF864}"/>
    <cellStyle name="Comma 11 2 2 2 2 2 9 2 2 2 2" xfId="29318" xr:uid="{DA8DC7C3-56BE-48CA-96A6-D9DDDD574FFB}"/>
    <cellStyle name="Comma 11 2 2 2 2 2 9 2 2 3" xfId="25773" xr:uid="{F34539C7-652F-4DA8-8A7A-AAE4CDD1382E}"/>
    <cellStyle name="Comma 11 2 2 2 2 2 9 2 3" xfId="6421" xr:uid="{7B37074B-167D-4274-B3E6-6F02F46DB33A}"/>
    <cellStyle name="Comma 11 2 2 2 2 2 9 2 3 2" xfId="21601" xr:uid="{F864B358-7272-4345-84CD-FAEC7BF3DA74}"/>
    <cellStyle name="Comma 11 2 2 2 2 2 9 2 4" xfId="18313" xr:uid="{0FD09AB3-8E95-4FCE-A076-FA56CF2A50E3}"/>
    <cellStyle name="Comma 11 2 2 2 2 2 9 3" xfId="3991" xr:uid="{10B2EF44-F38B-4CAF-9203-BD65CCF634BF}"/>
    <cellStyle name="Comma 11 2 2 2 2 2 9 3 2" xfId="11479" xr:uid="{B1798CD8-0241-473C-81E3-6F059656E552}"/>
    <cellStyle name="Comma 11 2 2 2 2 2 9 3 2 2" xfId="15025" xr:uid="{3C9D0688-484D-4181-AC8B-350ED9C641B3}"/>
    <cellStyle name="Comma 11 2 2 2 2 2 9 3 2 2 2" xfId="30202" xr:uid="{3CAB8CF1-743C-4877-B364-E599DEDABCF1}"/>
    <cellStyle name="Comma 11 2 2 2 2 2 9 3 2 3" xfId="26657" xr:uid="{C6373B4A-B3DB-43CF-BEBB-C6B6284574C0}"/>
    <cellStyle name="Comma 11 2 2 2 2 2 9 3 3" xfId="7305" xr:uid="{D7FA2DBC-1210-4004-81DF-0B2C161C33E8}"/>
    <cellStyle name="Comma 11 2 2 2 2 2 9 3 3 2" xfId="22485" xr:uid="{D084A94E-92A8-4352-A1BD-ED8BE4FFB342}"/>
    <cellStyle name="Comma 11 2 2 2 2 2 9 3 4" xfId="19197" xr:uid="{6539DFC8-C24B-4B14-9F17-C94B8D652F77}"/>
    <cellStyle name="Comma 11 2 2 2 2 2 9 4" xfId="4064" xr:uid="{A1C6D9B8-C746-4CB2-80D4-D45A044D3433}"/>
    <cellStyle name="Comma 11 2 2 2 2 2 9 4 2" xfId="11549" xr:uid="{387BED24-748F-4479-8DA8-E3B579881283}"/>
    <cellStyle name="Comma 11 2 2 2 2 2 9 4 2 2" xfId="15095" xr:uid="{7321936F-E3B3-497B-A27A-9664F22CF2A5}"/>
    <cellStyle name="Comma 11 2 2 2 2 2 9 4 2 2 2" xfId="30272" xr:uid="{1F2B88CA-1F3B-4BDC-96F4-C57BEE8A53D2}"/>
    <cellStyle name="Comma 11 2 2 2 2 2 9 4 2 3" xfId="26727" xr:uid="{B686E33D-7BA7-4E56-9FCA-CEF279DE31FF}"/>
    <cellStyle name="Comma 11 2 2 2 2 2 9 4 3" xfId="7375" xr:uid="{F7E5A805-2D86-402A-A5D1-E9D5E18430AB}"/>
    <cellStyle name="Comma 11 2 2 2 2 2 9 4 3 2" xfId="22555" xr:uid="{52EB5232-C9F9-458F-8E4F-F5A6A26733B9}"/>
    <cellStyle name="Comma 11 2 2 2 2 2 9 4 4" xfId="19267" xr:uid="{37B9738F-C218-4D30-8F3A-796396C6E031}"/>
    <cellStyle name="Comma 11 2 2 2 2 2 9 5" xfId="2214" xr:uid="{55D4867A-1F10-4294-BE3D-DE2A2A0BF07D}"/>
    <cellStyle name="Comma 11 2 2 2 2 2 9 5 2" xfId="9711" xr:uid="{EE447A76-BC6B-4A7C-93AB-7BF81B988C62}"/>
    <cellStyle name="Comma 11 2 2 2 2 2 9 5 2 2" xfId="24889" xr:uid="{DC3B0619-F051-4436-B544-4E136FD89495}"/>
    <cellStyle name="Comma 11 2 2 2 2 2 9 5 3" xfId="17429" xr:uid="{430FDE45-466A-4488-981C-CA3FBFE83E6F}"/>
    <cellStyle name="Comma 11 2 2 2 2 2 9 6" xfId="9197" xr:uid="{BEC30C4B-BA31-44F9-94EF-666C5F20EC9E}"/>
    <cellStyle name="Comma 11 2 2 2 2 2 9 6 2" xfId="13370" xr:uid="{6A8F4D4B-F3E7-4C40-BC2E-25E042914FF6}"/>
    <cellStyle name="Comma 11 2 2 2 2 2 9 6 2 2" xfId="28547" xr:uid="{A283B9A8-AC2F-4E35-9DCB-C249EB2AF816}"/>
    <cellStyle name="Comma 11 2 2 2 2 2 9 6 3" xfId="24375" xr:uid="{2515FD97-C433-43BC-AC04-4FA592A9B0D4}"/>
    <cellStyle name="Comma 11 2 2 2 2 2 9 7" xfId="5537" xr:uid="{AA4BACFC-1E02-49F2-A6C1-7B6EE2E26876}"/>
    <cellStyle name="Comma 11 2 2 2 2 2 9 7 2" xfId="20717" xr:uid="{BF166EC5-CC21-407A-845D-F3A069255014}"/>
    <cellStyle name="Comma 11 2 2 2 2 2 9 8" xfId="16915" xr:uid="{68B854F9-C997-4728-8F15-E7A74E93F796}"/>
    <cellStyle name="Comma 11 2 2 2 2 3" xfId="768" xr:uid="{3BD78FE5-C0F2-48BA-A46B-E442027B0345}"/>
    <cellStyle name="Comma 11 2 2 2 2 3 10" xfId="8434" xr:uid="{40751937-4D9E-4FBA-BA95-B329AB629968}"/>
    <cellStyle name="Comma 11 2 2 2 2 3 10 2" xfId="12608" xr:uid="{59E29E9D-7DAF-4A4D-8450-AA2C9CF95720}"/>
    <cellStyle name="Comma 11 2 2 2 2 3 10 2 2" xfId="27785" xr:uid="{F5DDFE8C-7E2B-4749-A62C-699DA3398B01}"/>
    <cellStyle name="Comma 11 2 2 2 2 3 10 3" xfId="23613" xr:uid="{FBC24E68-C87D-444B-8712-97EA5BF694F2}"/>
    <cellStyle name="Comma 11 2 2 2 2 3 11" xfId="16153" xr:uid="{912073DB-4D50-4696-A4B8-D8C8E9486B14}"/>
    <cellStyle name="Comma 11 2 2 2 2 3 12" xfId="31495" xr:uid="{5102B3C6-4008-410F-BE51-E404A1BBCF9D}"/>
    <cellStyle name="Comma 11 2 2 2 2 3 2" xfId="945" xr:uid="{C9A67351-F6AB-40F6-A9F3-38807509ED76}"/>
    <cellStyle name="Comma 11 2 2 2 2 3 2 10" xfId="16275" xr:uid="{BDA32CB4-1AA0-475B-9091-A899A4DE78EB}"/>
    <cellStyle name="Comma 11 2 2 2 2 3 2 11" xfId="31365" xr:uid="{559A8AA2-E0C9-45F5-99B6-2302113CA404}"/>
    <cellStyle name="Comma 11 2 2 2 2 3 2 12" xfId="31715" xr:uid="{C2138EAF-E213-4599-A992-3A799084AC30}"/>
    <cellStyle name="Comma 11 2 2 2 2 3 2 2" xfId="1306" xr:uid="{F8F6A523-B6DE-4EAF-A5A6-1C8E30ED6E71}"/>
    <cellStyle name="Comma 11 2 2 2 2 3 2 2 2" xfId="3623" xr:uid="{079F1634-E9BC-4940-9DDF-D0E6F4C4A2A1}"/>
    <cellStyle name="Comma 11 2 2 2 2 3 2 2 2 2" xfId="11111" xr:uid="{447D302D-3EAF-41E1-9A30-9DFC87E17390}"/>
    <cellStyle name="Comma 11 2 2 2 2 3 2 2 2 2 2" xfId="14657" xr:uid="{159BF043-E61B-442B-8108-15C1FD6D19C6}"/>
    <cellStyle name="Comma 11 2 2 2 2 3 2 2 2 2 2 2" xfId="29834" xr:uid="{CB412A67-DC29-4BAA-A47B-9412AB3778AC}"/>
    <cellStyle name="Comma 11 2 2 2 2 3 2 2 2 2 3" xfId="26289" xr:uid="{99B51199-AFFB-4EBC-A5B9-5EE405313BC6}"/>
    <cellStyle name="Comma 11 2 2 2 2 3 2 2 2 3" xfId="6937" xr:uid="{7B69A541-46FC-425B-9BAA-C977D3B9291F}"/>
    <cellStyle name="Comma 11 2 2 2 2 3 2 2 2 3 2" xfId="22117" xr:uid="{2CFD342E-E585-4A1C-AA22-53DC7B51E6E3}"/>
    <cellStyle name="Comma 11 2 2 2 2 3 2 2 2 4" xfId="18829" xr:uid="{137C9E9B-1480-487F-BDA0-7339D19867FE}"/>
    <cellStyle name="Comma 11 2 2 2 2 3 2 2 3" xfId="4065" xr:uid="{48F55EE4-40EA-43C3-9570-FF8A604A2197}"/>
    <cellStyle name="Comma 11 2 2 2 2 3 2 2 3 2" xfId="11550" xr:uid="{E56BE183-FE3F-444E-853C-7468537F96E0}"/>
    <cellStyle name="Comma 11 2 2 2 2 3 2 2 3 2 2" xfId="15096" xr:uid="{EECB1F64-2C22-401C-BFF9-EC2EF965630A}"/>
    <cellStyle name="Comma 11 2 2 2 2 3 2 2 3 2 2 2" xfId="30273" xr:uid="{45B2251B-3541-47E5-9ADA-7FF5FB12F825}"/>
    <cellStyle name="Comma 11 2 2 2 2 3 2 2 3 2 3" xfId="26728" xr:uid="{3B60F970-FD02-46A1-95EB-C366BD2B4AFB}"/>
    <cellStyle name="Comma 11 2 2 2 2 3 2 2 3 3" xfId="7376" xr:uid="{8EC2C26B-5941-455A-8443-0A9E56A274A3}"/>
    <cellStyle name="Comma 11 2 2 2 2 3 2 2 3 3 2" xfId="22556" xr:uid="{78F0B236-040B-43FF-A4FB-07F70F95C56E}"/>
    <cellStyle name="Comma 11 2 2 2 2 3 2 2 3 4" xfId="19268" xr:uid="{28577265-2506-4D72-97FE-05C54081533D}"/>
    <cellStyle name="Comma 11 2 2 2 2 3 2 2 4" xfId="2736" xr:uid="{68A8D06D-61E9-4316-BECE-3A24FBEC4EBC}"/>
    <cellStyle name="Comma 11 2 2 2 2 3 2 2 4 2" xfId="10227" xr:uid="{A39AEE52-AC9B-4C67-AD64-DB22C78D0EB6}"/>
    <cellStyle name="Comma 11 2 2 2 2 3 2 2 4 2 2" xfId="25405" xr:uid="{2C715FC6-7A3D-472A-BF14-8DC889119700}"/>
    <cellStyle name="Comma 11 2 2 2 2 3 2 2 4 3" xfId="17945" xr:uid="{0121D750-7ED8-4822-8DAC-DEF996E1F38C}"/>
    <cellStyle name="Comma 11 2 2 2 2 3 2 2 5" xfId="8829" xr:uid="{46CD368B-5EDD-4E44-8364-7995CAE631EE}"/>
    <cellStyle name="Comma 11 2 2 2 2 3 2 2 5 2" xfId="13002" xr:uid="{87A328CF-2434-4FE4-A4CB-C7FE0D8C1F07}"/>
    <cellStyle name="Comma 11 2 2 2 2 3 2 2 5 2 2" xfId="28179" xr:uid="{13331C94-B9B8-462B-BB87-7AB2187E2505}"/>
    <cellStyle name="Comma 11 2 2 2 2 3 2 2 5 3" xfId="24007" xr:uid="{14AADBA7-973C-4CAC-997C-2E3B0F7510B3}"/>
    <cellStyle name="Comma 11 2 2 2 2 3 2 2 6" xfId="6053" xr:uid="{F22FE9D5-7674-4FB0-B40F-82B1832293DD}"/>
    <cellStyle name="Comma 11 2 2 2 2 3 2 2 6 2" xfId="21233" xr:uid="{6F538E54-E760-49F0-9A57-4C4A7AE86F8D}"/>
    <cellStyle name="Comma 11 2 2 2 2 3 2 2 7" xfId="16547" xr:uid="{31EB8A8E-6FB6-4073-A9B9-A1B707AD6222}"/>
    <cellStyle name="Comma 11 2 2 2 2 3 2 3" xfId="2463" xr:uid="{9EC4D2AF-2CA1-48C1-B4EC-37732002DAFB}"/>
    <cellStyle name="Comma 11 2 2 2 2 3 2 3 2" xfId="9955" xr:uid="{FA32979A-66DB-476C-A244-9AFF5191C4AC}"/>
    <cellStyle name="Comma 11 2 2 2 2 3 2 3 2 2" xfId="13614" xr:uid="{5D4208D3-357B-4A0D-A016-18BF4B90CFF2}"/>
    <cellStyle name="Comma 11 2 2 2 2 3 2 3 2 2 2" xfId="28791" xr:uid="{3FFAB3D5-478F-4104-B562-4B39DDED5C15}"/>
    <cellStyle name="Comma 11 2 2 2 2 3 2 3 2 3" xfId="25133" xr:uid="{6CC63D68-8017-4F0F-93A6-1B7216A7020A}"/>
    <cellStyle name="Comma 11 2 2 2 2 3 2 3 3" xfId="5781" xr:uid="{21E928D0-45D0-4A91-95B2-51F1B5E39D55}"/>
    <cellStyle name="Comma 11 2 2 2 2 3 2 3 3 2" xfId="20961" xr:uid="{2B127124-79E7-4073-AF9C-3F0418EE74E1}"/>
    <cellStyle name="Comma 11 2 2 2 2 3 2 3 4" xfId="17673" xr:uid="{A32766BC-6A80-47F4-8AEE-3465729E32A3}"/>
    <cellStyle name="Comma 11 2 2 2 2 3 2 4" xfId="3351" xr:uid="{FC37F96D-7FB3-461A-A764-60C5461196D4}"/>
    <cellStyle name="Comma 11 2 2 2 2 3 2 4 2" xfId="10839" xr:uid="{DA3CF8E2-A4FE-4BDF-8F47-B0D5E686C761}"/>
    <cellStyle name="Comma 11 2 2 2 2 3 2 4 2 2" xfId="14385" xr:uid="{772953C8-ECC2-46DB-AED3-CBB6FCE68479}"/>
    <cellStyle name="Comma 11 2 2 2 2 3 2 4 2 2 2" xfId="29562" xr:uid="{A4578941-2484-48AE-B8AF-ECF005D86DDA}"/>
    <cellStyle name="Comma 11 2 2 2 2 3 2 4 2 3" xfId="26017" xr:uid="{21018A10-6286-4A8C-8507-90B28AC35E67}"/>
    <cellStyle name="Comma 11 2 2 2 2 3 2 4 3" xfId="6665" xr:uid="{7002D1C7-CD85-4E0E-ACE7-1821E3DE4603}"/>
    <cellStyle name="Comma 11 2 2 2 2 3 2 4 3 2" xfId="21845" xr:uid="{E7264CC2-EA68-4204-BB81-08D00B65AB64}"/>
    <cellStyle name="Comma 11 2 2 2 2 3 2 4 4" xfId="18557" xr:uid="{A381C78E-F08F-44AD-8B02-42D675C037BE}"/>
    <cellStyle name="Comma 11 2 2 2 2 3 2 5" xfId="4066" xr:uid="{62F13639-FD2A-4D66-9BC1-539D4D9A20BB}"/>
    <cellStyle name="Comma 11 2 2 2 2 3 2 5 2" xfId="11551" xr:uid="{D9D49A3A-C032-4184-B86B-697128751A81}"/>
    <cellStyle name="Comma 11 2 2 2 2 3 2 5 2 2" xfId="15097" xr:uid="{6FC7F28F-4931-4F46-8997-3A46FE1A2D0D}"/>
    <cellStyle name="Comma 11 2 2 2 2 3 2 5 2 2 2" xfId="30274" xr:uid="{E1A02794-C274-4730-B38C-5DC56F13AB65}"/>
    <cellStyle name="Comma 11 2 2 2 2 3 2 5 2 3" xfId="26729" xr:uid="{61E70C46-A9D8-4F17-A56F-DC668C41210B}"/>
    <cellStyle name="Comma 11 2 2 2 2 3 2 5 3" xfId="7377" xr:uid="{0CE48430-F816-4053-B4C9-E8E9626479F9}"/>
    <cellStyle name="Comma 11 2 2 2 2 3 2 5 3 2" xfId="22557" xr:uid="{B2FD4672-3945-4051-99D9-D65D54C42391}"/>
    <cellStyle name="Comma 11 2 2 2 2 3 2 5 4" xfId="19269" xr:uid="{F5A19D8F-8135-4901-881D-A78ED267F7F6}"/>
    <cellStyle name="Comma 11 2 2 2 2 3 2 6" xfId="5025" xr:uid="{197F0C4F-425F-40CC-8364-305AB1FF437F}"/>
    <cellStyle name="Comma 11 2 2 2 2 3 2 6 2" xfId="12509" xr:uid="{D2148D95-24DB-48C1-9FD7-F8E4E1F77589}"/>
    <cellStyle name="Comma 11 2 2 2 2 3 2 6 2 2" xfId="16055" xr:uid="{829FDCBB-85A4-4A4D-AB97-0D6544564DBB}"/>
    <cellStyle name="Comma 11 2 2 2 2 3 2 6 2 2 2" xfId="31232" xr:uid="{E6D20BC4-AE06-4CF4-A504-4B800FD8C214}"/>
    <cellStyle name="Comma 11 2 2 2 2 3 2 6 2 3" xfId="27687" xr:uid="{6622AB4B-DBAA-4B95-86AF-0E79F8774410}"/>
    <cellStyle name="Comma 11 2 2 2 2 3 2 6 3" xfId="8335" xr:uid="{3B4F79C7-E991-456E-ABF4-A9C0D353EEF9}"/>
    <cellStyle name="Comma 11 2 2 2 2 3 2 6 3 2" xfId="23515" xr:uid="{B95D2B3D-6FA7-4F79-B58E-118168E6FCC6}"/>
    <cellStyle name="Comma 11 2 2 2 2 3 2 6 4" xfId="20227" xr:uid="{A3E18416-2CCE-46B1-813C-B8E96E7E6CB1}"/>
    <cellStyle name="Comma 11 2 2 2 2 3 2 7" xfId="1846" xr:uid="{AC8C15E2-1313-45A1-9ABF-A34CB7A17212}"/>
    <cellStyle name="Comma 11 2 2 2 2 3 2 7 2" xfId="9343" xr:uid="{E516E9DA-233C-4FF7-824C-F90B7B7535B9}"/>
    <cellStyle name="Comma 11 2 2 2 2 3 2 7 2 2" xfId="24521" xr:uid="{BBBF843C-646E-4117-BCCF-CD5492359990}"/>
    <cellStyle name="Comma 11 2 2 2 2 3 2 7 3" xfId="17061" xr:uid="{424FFC86-72C5-4937-8797-17874F249401}"/>
    <cellStyle name="Comma 11 2 2 2 2 3 2 8" xfId="8557" xr:uid="{A00EE7CB-B4C5-4E76-B4DE-067BCF474BCB}"/>
    <cellStyle name="Comma 11 2 2 2 2 3 2 8 2" xfId="12730" xr:uid="{363E0673-9C99-4C06-A10D-472A34896704}"/>
    <cellStyle name="Comma 11 2 2 2 2 3 2 8 2 2" xfId="27907" xr:uid="{7DED0780-CB3E-4550-8DC1-E43873401899}"/>
    <cellStyle name="Comma 11 2 2 2 2 3 2 8 3" xfId="23735" xr:uid="{7D8EC020-6F8D-45DC-A6C6-F8ADAD3C341C}"/>
    <cellStyle name="Comma 11 2 2 2 2 3 2 9" xfId="5169" xr:uid="{E5341E01-6C9E-4150-95EA-190B7E3ABE04}"/>
    <cellStyle name="Comma 11 2 2 2 2 3 2 9 2" xfId="20349" xr:uid="{703E9A84-7C36-4B3B-9CBF-9C91A759C7B8}"/>
    <cellStyle name="Comma 11 2 2 2 2 3 3" xfId="1048" xr:uid="{137FCE09-3F04-4B57-BC96-F7E0866B40F9}"/>
    <cellStyle name="Comma 11 2 2 2 2 3 3 10" xfId="31593" xr:uid="{7DFF8442-4DD6-4D59-BAC3-C426BBED19FF}"/>
    <cellStyle name="Comma 11 2 2 2 2 3 3 2" xfId="1408" xr:uid="{F4F656F6-68DA-4BA0-917C-2EEFE9CF6862}"/>
    <cellStyle name="Comma 11 2 2 2 2 3 3 2 2" xfId="3721" xr:uid="{E53F4FC2-5961-4364-AF11-8E7CAD22AA46}"/>
    <cellStyle name="Comma 11 2 2 2 2 3 3 2 2 2" xfId="11209" xr:uid="{A176D31B-71AE-4E28-A9C3-21DFF5BB1D53}"/>
    <cellStyle name="Comma 11 2 2 2 2 3 3 2 2 2 2" xfId="14755" xr:uid="{6F9231B9-0B43-49FE-B45E-AE05768D4617}"/>
    <cellStyle name="Comma 11 2 2 2 2 3 3 2 2 2 2 2" xfId="29932" xr:uid="{98CDDBAC-072E-46EB-BF4B-DC31EDA0C5AF}"/>
    <cellStyle name="Comma 11 2 2 2 2 3 3 2 2 2 3" xfId="26387" xr:uid="{5C556307-2F70-4CCB-B78B-8C876F7F05F2}"/>
    <cellStyle name="Comma 11 2 2 2 2 3 3 2 2 3" xfId="7035" xr:uid="{A822AE6E-ED7C-4F5A-8BA2-AF279F8F9C53}"/>
    <cellStyle name="Comma 11 2 2 2 2 3 3 2 2 3 2" xfId="22215" xr:uid="{FC94CBFD-5A9C-49B9-98C3-BA6BA49DF555}"/>
    <cellStyle name="Comma 11 2 2 2 2 3 3 2 2 4" xfId="18927" xr:uid="{AB76ACD3-3DFD-463D-80DE-51FB7A9D8FA9}"/>
    <cellStyle name="Comma 11 2 2 2 2 3 3 2 3" xfId="4067" xr:uid="{53E381C1-575F-40DD-87C9-F173EC4B0FBA}"/>
    <cellStyle name="Comma 11 2 2 2 2 3 3 2 3 2" xfId="11552" xr:uid="{2F5F2801-5942-4D32-8B0C-380B72A0C2CF}"/>
    <cellStyle name="Comma 11 2 2 2 2 3 3 2 3 2 2" xfId="15098" xr:uid="{D30F0218-81F8-4450-9867-9D9CCC22EA18}"/>
    <cellStyle name="Comma 11 2 2 2 2 3 3 2 3 2 2 2" xfId="30275" xr:uid="{C025663C-C42B-4642-ABCF-6F65826540FC}"/>
    <cellStyle name="Comma 11 2 2 2 2 3 3 2 3 2 3" xfId="26730" xr:uid="{C5E01FA7-3889-43A7-BB74-C175F8A8421C}"/>
    <cellStyle name="Comma 11 2 2 2 2 3 3 2 3 3" xfId="7378" xr:uid="{FEB65424-9C52-4425-9B15-FB07E40E70C6}"/>
    <cellStyle name="Comma 11 2 2 2 2 3 3 2 3 3 2" xfId="22558" xr:uid="{7E4F4EDD-8823-418D-A11C-57542650CB94}"/>
    <cellStyle name="Comma 11 2 2 2 2 3 3 2 3 4" xfId="19270" xr:uid="{A167E4D4-FA55-406B-96FE-AB289089A7DC}"/>
    <cellStyle name="Comma 11 2 2 2 2 3 3 2 4" xfId="2834" xr:uid="{1D98A859-D346-4C93-A85C-405E9B16D814}"/>
    <cellStyle name="Comma 11 2 2 2 2 3 3 2 4 2" xfId="10325" xr:uid="{E9B36F89-C841-4EB0-A61A-BB5162C8D228}"/>
    <cellStyle name="Comma 11 2 2 2 2 3 3 2 4 2 2" xfId="25503" xr:uid="{B98D7C91-60F7-482C-B752-22EAE85FBAD8}"/>
    <cellStyle name="Comma 11 2 2 2 2 3 3 2 4 3" xfId="18043" xr:uid="{4FA9D106-BA0C-4617-BD6D-36168D311735}"/>
    <cellStyle name="Comma 11 2 2 2 2 3 3 2 5" xfId="8927" xr:uid="{BDA8EADC-BF4F-4366-AC8F-627B961AA6AB}"/>
    <cellStyle name="Comma 11 2 2 2 2 3 3 2 5 2" xfId="13100" xr:uid="{2BA05BA3-4C5E-4174-9616-3B6BDED64E27}"/>
    <cellStyle name="Comma 11 2 2 2 2 3 3 2 5 2 2" xfId="28277" xr:uid="{D75B2ADC-D1CA-4EB9-A551-B6B8F72DF3C2}"/>
    <cellStyle name="Comma 11 2 2 2 2 3 3 2 5 3" xfId="24105" xr:uid="{A5EEA64D-B0A0-4B6F-BF91-6FD95C898A32}"/>
    <cellStyle name="Comma 11 2 2 2 2 3 3 2 6" xfId="6151" xr:uid="{525C4AF4-383F-4147-852C-DEF9A5F856FC}"/>
    <cellStyle name="Comma 11 2 2 2 2 3 3 2 6 2" xfId="21331" xr:uid="{12FCD155-A89A-4B88-9378-8A798EB84E86}"/>
    <cellStyle name="Comma 11 2 2 2 2 3 3 2 7" xfId="16645" xr:uid="{CD10B15F-236E-448B-AEAA-7E0989859E4B}"/>
    <cellStyle name="Comma 11 2 2 2 2 3 3 3" xfId="2561" xr:uid="{529B2720-D61E-42FE-A0B6-DF27ECEB7429}"/>
    <cellStyle name="Comma 11 2 2 2 2 3 3 3 2" xfId="10053" xr:uid="{1C4D0A8A-78EC-4017-AD8C-C2C99516628E}"/>
    <cellStyle name="Comma 11 2 2 2 2 3 3 3 2 2" xfId="13712" xr:uid="{42CA7545-7F7A-4839-8BC4-66D309939A4A}"/>
    <cellStyle name="Comma 11 2 2 2 2 3 3 3 2 2 2" xfId="28889" xr:uid="{486A60DF-A74E-4D2F-A0A7-F3FC50B1F334}"/>
    <cellStyle name="Comma 11 2 2 2 2 3 3 3 2 3" xfId="25231" xr:uid="{A3170F82-1791-47AC-8A09-0592FC1A8965}"/>
    <cellStyle name="Comma 11 2 2 2 2 3 3 3 3" xfId="5879" xr:uid="{387F7A75-8008-469B-B272-CCBC252CA054}"/>
    <cellStyle name="Comma 11 2 2 2 2 3 3 3 3 2" xfId="21059" xr:uid="{2B1FDB1F-6917-433A-9E0D-B52B5BFD5F03}"/>
    <cellStyle name="Comma 11 2 2 2 2 3 3 3 4" xfId="17771" xr:uid="{799C1AA7-FAFB-47CE-8A35-D067877BB499}"/>
    <cellStyle name="Comma 11 2 2 2 2 3 3 4" xfId="3449" xr:uid="{526979D2-BF64-4A02-9FEF-4C1749834154}"/>
    <cellStyle name="Comma 11 2 2 2 2 3 3 4 2" xfId="10937" xr:uid="{0451BFA4-F449-46F6-85ED-33FF9491BCAD}"/>
    <cellStyle name="Comma 11 2 2 2 2 3 3 4 2 2" xfId="14483" xr:uid="{229580BF-1CD2-42E4-82A8-5A931CFC8F96}"/>
    <cellStyle name="Comma 11 2 2 2 2 3 3 4 2 2 2" xfId="29660" xr:uid="{10D2EBE9-4CD5-47FF-ABAE-E14BF1505E46}"/>
    <cellStyle name="Comma 11 2 2 2 2 3 3 4 2 3" xfId="26115" xr:uid="{3D27F3DA-D8EE-46BA-86E9-DB53439E0BB8}"/>
    <cellStyle name="Comma 11 2 2 2 2 3 3 4 3" xfId="6763" xr:uid="{43ACF0E6-FF32-406B-9BB3-50FA3DA5434A}"/>
    <cellStyle name="Comma 11 2 2 2 2 3 3 4 3 2" xfId="21943" xr:uid="{7E823307-F13B-4CA0-A143-CECE254FBE82}"/>
    <cellStyle name="Comma 11 2 2 2 2 3 3 4 4" xfId="18655" xr:uid="{AE78FA58-E710-43F8-9EBF-2E015943DA1B}"/>
    <cellStyle name="Comma 11 2 2 2 2 3 3 5" xfId="4068" xr:uid="{98DA21BA-D53E-481D-9A99-C0041CAE0DE5}"/>
    <cellStyle name="Comma 11 2 2 2 2 3 3 5 2" xfId="11553" xr:uid="{171544B7-A222-4984-98DD-56A0340E6388}"/>
    <cellStyle name="Comma 11 2 2 2 2 3 3 5 2 2" xfId="15099" xr:uid="{0DD0331D-CDB3-446F-A039-36746D2F90BB}"/>
    <cellStyle name="Comma 11 2 2 2 2 3 3 5 2 2 2" xfId="30276" xr:uid="{DD7DEFE8-E38E-4D61-AA90-6D6873827C24}"/>
    <cellStyle name="Comma 11 2 2 2 2 3 3 5 2 3" xfId="26731" xr:uid="{EE344F42-A5DA-4FA2-86DB-19517DAB4E04}"/>
    <cellStyle name="Comma 11 2 2 2 2 3 3 5 3" xfId="7379" xr:uid="{CE043186-C79D-4A51-A322-74734C8EDE0B}"/>
    <cellStyle name="Comma 11 2 2 2 2 3 3 5 3 2" xfId="22559" xr:uid="{F93A34FD-9CF0-4C36-9C0B-BE303CD0B846}"/>
    <cellStyle name="Comma 11 2 2 2 2 3 3 5 4" xfId="19271" xr:uid="{3266B5B7-31AC-4650-AE5B-E19BB4715AC9}"/>
    <cellStyle name="Comma 11 2 2 2 2 3 3 6" xfId="1944" xr:uid="{31C96A33-1C1D-458C-B275-0E9CE5B58C2F}"/>
    <cellStyle name="Comma 11 2 2 2 2 3 3 6 2" xfId="9441" xr:uid="{D82EB686-3287-4940-89A6-6654423EC30A}"/>
    <cellStyle name="Comma 11 2 2 2 2 3 3 6 2 2" xfId="24619" xr:uid="{4B12C5E3-80AB-4E2C-80D1-B3050276C81B}"/>
    <cellStyle name="Comma 11 2 2 2 2 3 3 6 3" xfId="17159" xr:uid="{06AB36D9-21E8-4946-B824-5E222CF84590}"/>
    <cellStyle name="Comma 11 2 2 2 2 3 3 7" xfId="8655" xr:uid="{863780E5-3270-4581-A1F8-AF51A1CE6F80}"/>
    <cellStyle name="Comma 11 2 2 2 2 3 3 7 2" xfId="12828" xr:uid="{C9392DB9-AB9E-4CA6-B2B1-2C1D773EE063}"/>
    <cellStyle name="Comma 11 2 2 2 2 3 3 7 2 2" xfId="28005" xr:uid="{F4B3725D-2C7C-454D-BBE1-968DA80E56C3}"/>
    <cellStyle name="Comma 11 2 2 2 2 3 3 7 3" xfId="23833" xr:uid="{1940FC7E-EF81-4C55-86F7-5D7B39EB1B2B}"/>
    <cellStyle name="Comma 11 2 2 2 2 3 3 8" xfId="5267" xr:uid="{65BA7FBF-3BDF-4F4B-8D19-64043879EC46}"/>
    <cellStyle name="Comma 11 2 2 2 2 3 3 8 2" xfId="20447" xr:uid="{0A57B4AC-07C9-4AF3-8253-1C7EF2905B6F}"/>
    <cellStyle name="Comma 11 2 2 2 2 3 3 9" xfId="16373" xr:uid="{8ACCDBCF-794D-4303-9AE8-77F723A73C08}"/>
    <cellStyle name="Comma 11 2 2 2 2 3 4" xfId="1507" xr:uid="{FCB9F6AD-C1F0-4A03-9FD6-A62136839B87}"/>
    <cellStyle name="Comma 11 2 2 2 2 3 4 2" xfId="2932" xr:uid="{96516281-5448-4625-B153-F0DCBC4B9AD0}"/>
    <cellStyle name="Comma 11 2 2 2 2 3 4 2 2" xfId="10423" xr:uid="{20D89795-F292-4735-8EEB-DE112405446D}"/>
    <cellStyle name="Comma 11 2 2 2 2 3 4 2 2 2" xfId="13969" xr:uid="{02D5CE3F-9F26-4E15-8283-C4AA5C22CDCF}"/>
    <cellStyle name="Comma 11 2 2 2 2 3 4 2 2 2 2" xfId="29146" xr:uid="{5C5BE1F3-B357-40AC-977A-833351B19096}"/>
    <cellStyle name="Comma 11 2 2 2 2 3 4 2 2 3" xfId="25601" xr:uid="{12256CC9-C4E7-4B3F-B843-7A08DF526E4B}"/>
    <cellStyle name="Comma 11 2 2 2 2 3 4 2 3" xfId="6249" xr:uid="{42CB7812-D399-4166-AE79-7D6F8F5725E5}"/>
    <cellStyle name="Comma 11 2 2 2 2 3 4 2 3 2" xfId="21429" xr:uid="{76423A85-6B79-4EAF-86C7-139EC6C07AF1}"/>
    <cellStyle name="Comma 11 2 2 2 2 3 4 2 4" xfId="18141" xr:uid="{AE66F65D-0DE2-4E30-A8E1-7FECF8B21E76}"/>
    <cellStyle name="Comma 11 2 2 2 2 3 4 3" xfId="3819" xr:uid="{C6786FD9-86EF-4CF4-AC03-F02E5A3AE45B}"/>
    <cellStyle name="Comma 11 2 2 2 2 3 4 3 2" xfId="11307" xr:uid="{FA481C6F-0AAF-48C4-8368-7D96D08104CC}"/>
    <cellStyle name="Comma 11 2 2 2 2 3 4 3 2 2" xfId="14853" xr:uid="{31AB27B9-5971-464A-A837-203A0176249B}"/>
    <cellStyle name="Comma 11 2 2 2 2 3 4 3 2 2 2" xfId="30030" xr:uid="{755E7C5F-2D42-476E-A626-36B173FF8E18}"/>
    <cellStyle name="Comma 11 2 2 2 2 3 4 3 2 3" xfId="26485" xr:uid="{DF08DB04-7FE8-4569-9829-D8ED6784C79B}"/>
    <cellStyle name="Comma 11 2 2 2 2 3 4 3 3" xfId="7133" xr:uid="{05BB4D11-BFAC-40D2-B368-38994EE52C4C}"/>
    <cellStyle name="Comma 11 2 2 2 2 3 4 3 3 2" xfId="22313" xr:uid="{FB146C43-CEFF-442B-8DAB-F2C106A839A9}"/>
    <cellStyle name="Comma 11 2 2 2 2 3 4 3 4" xfId="19025" xr:uid="{A482C0D9-8460-46B9-A315-E9A643628FF1}"/>
    <cellStyle name="Comma 11 2 2 2 2 3 4 4" xfId="4069" xr:uid="{264F49FA-43BE-4E54-8740-7F7B4B0F00A9}"/>
    <cellStyle name="Comma 11 2 2 2 2 3 4 4 2" xfId="11554" xr:uid="{6DBCC30D-37F6-4D51-B6A8-78501864D802}"/>
    <cellStyle name="Comma 11 2 2 2 2 3 4 4 2 2" xfId="15100" xr:uid="{37D4DD98-06F2-4307-A9A9-A7A858F237BF}"/>
    <cellStyle name="Comma 11 2 2 2 2 3 4 4 2 2 2" xfId="30277" xr:uid="{13816373-546F-420D-888C-53018C65B2DD}"/>
    <cellStyle name="Comma 11 2 2 2 2 3 4 4 2 3" xfId="26732" xr:uid="{7C1592F1-139A-40B2-A362-A4BBCA842EC0}"/>
    <cellStyle name="Comma 11 2 2 2 2 3 4 4 3" xfId="7380" xr:uid="{5FC5457D-E860-43D8-9723-65C747FBAAA6}"/>
    <cellStyle name="Comma 11 2 2 2 2 3 4 4 3 2" xfId="22560" xr:uid="{97F238DD-1F46-47D1-902A-DD6351267CA6}"/>
    <cellStyle name="Comma 11 2 2 2 2 3 4 4 4" xfId="19272" xr:uid="{0215FDDB-9897-4285-9232-0A740F93D0D2}"/>
    <cellStyle name="Comma 11 2 2 2 2 3 4 5" xfId="2042" xr:uid="{0C8CA4B2-58AF-4F1C-AD9B-3368273E2D2C}"/>
    <cellStyle name="Comma 11 2 2 2 2 3 4 5 2" xfId="9539" xr:uid="{433737C6-010D-4689-B487-EEE289983470}"/>
    <cellStyle name="Comma 11 2 2 2 2 3 4 5 2 2" xfId="24717" xr:uid="{0E149540-0616-49D8-BBF6-1095163B4FCE}"/>
    <cellStyle name="Comma 11 2 2 2 2 3 4 5 3" xfId="17257" xr:uid="{746CAF2E-BAF6-406F-9AA4-B1C095A70855}"/>
    <cellStyle name="Comma 11 2 2 2 2 3 4 6" xfId="9025" xr:uid="{2C53765D-5FD5-40CD-AE26-8F4E78E40402}"/>
    <cellStyle name="Comma 11 2 2 2 2 3 4 6 2" xfId="13198" xr:uid="{8BECCC44-4B92-45D8-B7A4-B5711D8A5F40}"/>
    <cellStyle name="Comma 11 2 2 2 2 3 4 6 2 2" xfId="28375" xr:uid="{AC6BEA9C-67CF-4B07-900D-3CF2DAF597E7}"/>
    <cellStyle name="Comma 11 2 2 2 2 3 4 6 3" xfId="24203" xr:uid="{00CF330C-9B36-48B2-A689-0B404E666C99}"/>
    <cellStyle name="Comma 11 2 2 2 2 3 4 7" xfId="5365" xr:uid="{0EB4BC25-9B73-4559-B0A4-FC1AA1620740}"/>
    <cellStyle name="Comma 11 2 2 2 2 3 4 7 2" xfId="20545" xr:uid="{A1A05C90-DC5E-49F0-A058-1D0D4FCFA055}"/>
    <cellStyle name="Comma 11 2 2 2 2 3 4 8" xfId="16743" xr:uid="{6B08E51B-6B46-4BC4-ADDB-ACF25B0FDB4D}"/>
    <cellStyle name="Comma 11 2 2 2 2 3 5" xfId="1610" xr:uid="{AA7172F1-ECA2-46F0-9E9D-7A468B070740}"/>
    <cellStyle name="Comma 11 2 2 2 2 3 5 2" xfId="3030" xr:uid="{9FCD2BC1-893C-4EEE-AD5F-BE37DE4A2769}"/>
    <cellStyle name="Comma 11 2 2 2 2 3 5 2 2" xfId="10521" xr:uid="{3EDB85AA-955B-44B2-B89B-2E2976F9D48C}"/>
    <cellStyle name="Comma 11 2 2 2 2 3 5 2 2 2" xfId="14067" xr:uid="{5433A931-2B94-493B-BBD7-AE9770C92908}"/>
    <cellStyle name="Comma 11 2 2 2 2 3 5 2 2 2 2" xfId="29244" xr:uid="{D0E7E5EC-5673-437D-A4CA-0BF7354CE228}"/>
    <cellStyle name="Comma 11 2 2 2 2 3 5 2 2 3" xfId="25699" xr:uid="{B03D332E-919B-443E-8F23-EB476C964D48}"/>
    <cellStyle name="Comma 11 2 2 2 2 3 5 2 3" xfId="6347" xr:uid="{EA90F3CD-2D82-4CE3-8258-C4E3EC2442B1}"/>
    <cellStyle name="Comma 11 2 2 2 2 3 5 2 3 2" xfId="21527" xr:uid="{02AED0CF-FB65-46FB-B714-35DDED567391}"/>
    <cellStyle name="Comma 11 2 2 2 2 3 5 2 4" xfId="18239" xr:uid="{4EE29C5A-43FC-46CC-93CF-4D2C3265A69D}"/>
    <cellStyle name="Comma 11 2 2 2 2 3 5 3" xfId="3917" xr:uid="{C62CBF5E-EA5A-4223-B2F9-65468A699EDC}"/>
    <cellStyle name="Comma 11 2 2 2 2 3 5 3 2" xfId="11405" xr:uid="{769482AF-A166-4081-8A7A-5F0C15238960}"/>
    <cellStyle name="Comma 11 2 2 2 2 3 5 3 2 2" xfId="14951" xr:uid="{605A3C81-1C34-479A-AF37-05F8D07C5EE4}"/>
    <cellStyle name="Comma 11 2 2 2 2 3 5 3 2 2 2" xfId="30128" xr:uid="{8E42AE7F-C44F-4C23-97AE-F4070DAFDDE5}"/>
    <cellStyle name="Comma 11 2 2 2 2 3 5 3 2 3" xfId="26583" xr:uid="{9488ED8C-D97D-4C3A-B5B2-DE2682DDD430}"/>
    <cellStyle name="Comma 11 2 2 2 2 3 5 3 3" xfId="7231" xr:uid="{14CF8A9B-4C4A-413E-9410-D50735EB33D5}"/>
    <cellStyle name="Comma 11 2 2 2 2 3 5 3 3 2" xfId="22411" xr:uid="{33BAE125-365E-44E3-B1E8-F6E1EAB1C772}"/>
    <cellStyle name="Comma 11 2 2 2 2 3 5 3 4" xfId="19123" xr:uid="{AED9B850-8CCB-4E83-97F1-D744B2C86617}"/>
    <cellStyle name="Comma 11 2 2 2 2 3 5 4" xfId="4070" xr:uid="{FBD6DB27-729A-4C87-AB47-C1249E109F7E}"/>
    <cellStyle name="Comma 11 2 2 2 2 3 5 4 2" xfId="11555" xr:uid="{AA6962DF-EBA0-4858-B79B-86B5D6091BC2}"/>
    <cellStyle name="Comma 11 2 2 2 2 3 5 4 2 2" xfId="15101" xr:uid="{CB8F4656-932A-4DF4-A18E-573EFA5E7500}"/>
    <cellStyle name="Comma 11 2 2 2 2 3 5 4 2 2 2" xfId="30278" xr:uid="{A7DDB60D-168D-4275-90EA-72F2CD2AEDB2}"/>
    <cellStyle name="Comma 11 2 2 2 2 3 5 4 2 3" xfId="26733" xr:uid="{504F0943-02A7-4560-A4D9-3C2246A28F10}"/>
    <cellStyle name="Comma 11 2 2 2 2 3 5 4 3" xfId="7381" xr:uid="{9DEDF44A-8308-45F8-B06E-D13AD628CFAE}"/>
    <cellStyle name="Comma 11 2 2 2 2 3 5 4 3 2" xfId="22561" xr:uid="{A16BEA5A-AE93-4800-97CA-269FF8378A34}"/>
    <cellStyle name="Comma 11 2 2 2 2 3 5 4 4" xfId="19273" xr:uid="{45B73AC6-2A03-45C7-90CA-CB150EB3FB5C}"/>
    <cellStyle name="Comma 11 2 2 2 2 3 5 5" xfId="2140" xr:uid="{540733C8-547F-4ADD-91E2-7C961BF5506D}"/>
    <cellStyle name="Comma 11 2 2 2 2 3 5 5 2" xfId="9637" xr:uid="{FDA63F3B-78DA-4C03-969D-E6D56C792C6A}"/>
    <cellStyle name="Comma 11 2 2 2 2 3 5 5 2 2" xfId="24815" xr:uid="{27034115-6BF3-4472-836B-4498B4FE890A}"/>
    <cellStyle name="Comma 11 2 2 2 2 3 5 5 3" xfId="17355" xr:uid="{67A1627C-C612-4ECD-98BF-F2CF31D7AD66}"/>
    <cellStyle name="Comma 11 2 2 2 2 3 5 6" xfId="9123" xr:uid="{F2112F6E-8114-453C-B714-BCBB78563982}"/>
    <cellStyle name="Comma 11 2 2 2 2 3 5 6 2" xfId="13296" xr:uid="{C2406EEC-BC78-4C80-8A55-1C4531960E2C}"/>
    <cellStyle name="Comma 11 2 2 2 2 3 5 6 2 2" xfId="28473" xr:uid="{6E1C4180-8633-4B06-A598-AE338A1214F2}"/>
    <cellStyle name="Comma 11 2 2 2 2 3 5 6 3" xfId="24301" xr:uid="{5A7E8F95-FE9C-4C59-86BE-3B03B4B69874}"/>
    <cellStyle name="Comma 11 2 2 2 2 3 5 7" xfId="5463" xr:uid="{4BB63606-7C1C-4C7F-99FE-9131F85106FD}"/>
    <cellStyle name="Comma 11 2 2 2 2 3 5 7 2" xfId="20643" xr:uid="{03811B49-F3C6-48D5-87EC-C8495F9FBE1B}"/>
    <cellStyle name="Comma 11 2 2 2 2 3 5 8" xfId="16841" xr:uid="{8013412A-CA38-4A59-9293-28E15788F043}"/>
    <cellStyle name="Comma 11 2 2 2 2 3 6" xfId="1709" xr:uid="{501510FD-E9C4-47E7-882A-CED6F2BC371B}"/>
    <cellStyle name="Comma 11 2 2 2 2 3 6 2" xfId="3128" xr:uid="{4242BCAD-D0A8-40AA-9592-D86A9FB7E7D9}"/>
    <cellStyle name="Comma 11 2 2 2 2 3 6 2 2" xfId="10619" xr:uid="{A2D36029-8882-4211-83F1-710D7A8C5D29}"/>
    <cellStyle name="Comma 11 2 2 2 2 3 6 2 2 2" xfId="14165" xr:uid="{DE94B9F1-26CE-4687-80E7-B846CD2CF756}"/>
    <cellStyle name="Comma 11 2 2 2 2 3 6 2 2 2 2" xfId="29342" xr:uid="{F560B1E4-82B5-40B7-B45D-BA435754FC88}"/>
    <cellStyle name="Comma 11 2 2 2 2 3 6 2 2 3" xfId="25797" xr:uid="{44BBC81A-1708-4998-987A-AD8289B623EF}"/>
    <cellStyle name="Comma 11 2 2 2 2 3 6 2 3" xfId="6445" xr:uid="{E43E462F-5DF2-4443-A3BC-9FC39218A6B3}"/>
    <cellStyle name="Comma 11 2 2 2 2 3 6 2 3 2" xfId="21625" xr:uid="{6837AF9C-0390-429D-BD06-4B836C03E4AF}"/>
    <cellStyle name="Comma 11 2 2 2 2 3 6 2 4" xfId="18337" xr:uid="{B2AD176C-C52B-4ED9-89B6-09E8317D092F}"/>
    <cellStyle name="Comma 11 2 2 2 2 3 6 3" xfId="4015" xr:uid="{7A2C1487-EC63-46A8-87CB-550C24322435}"/>
    <cellStyle name="Comma 11 2 2 2 2 3 6 3 2" xfId="11503" xr:uid="{BE572D7A-B46E-4D4B-BB07-A8A08730DB86}"/>
    <cellStyle name="Comma 11 2 2 2 2 3 6 3 2 2" xfId="15049" xr:uid="{8145DD08-125A-4915-B264-35C5CB35966D}"/>
    <cellStyle name="Comma 11 2 2 2 2 3 6 3 2 2 2" xfId="30226" xr:uid="{2FF88F04-3064-4B6E-8302-46E84DC53C69}"/>
    <cellStyle name="Comma 11 2 2 2 2 3 6 3 2 3" xfId="26681" xr:uid="{4282A2F5-D063-4167-AD3F-7860F245C02E}"/>
    <cellStyle name="Comma 11 2 2 2 2 3 6 3 3" xfId="7329" xr:uid="{DFF62D26-3DF9-4318-AA32-BCD98DB8E1CA}"/>
    <cellStyle name="Comma 11 2 2 2 2 3 6 3 3 2" xfId="22509" xr:uid="{CD3A3A51-6CE9-460B-B6CE-6C64AB012483}"/>
    <cellStyle name="Comma 11 2 2 2 2 3 6 3 4" xfId="19221" xr:uid="{F8FFBAD2-5D57-4F6A-86D5-DF54B7730574}"/>
    <cellStyle name="Comma 11 2 2 2 2 3 6 4" xfId="4071" xr:uid="{A857CAFD-D799-48B0-93FF-E9C5092B1BA2}"/>
    <cellStyle name="Comma 11 2 2 2 2 3 6 4 2" xfId="11556" xr:uid="{B3073683-E8EB-4F72-829C-2BABCBD20A4F}"/>
    <cellStyle name="Comma 11 2 2 2 2 3 6 4 2 2" xfId="15102" xr:uid="{9217FDB3-AD8A-4125-9C49-9A896E45E860}"/>
    <cellStyle name="Comma 11 2 2 2 2 3 6 4 2 2 2" xfId="30279" xr:uid="{2D62EBCE-D52B-4D94-A18F-0361B40DCF68}"/>
    <cellStyle name="Comma 11 2 2 2 2 3 6 4 2 3" xfId="26734" xr:uid="{34453A7A-B8D5-4766-A2B2-A1376772140C}"/>
    <cellStyle name="Comma 11 2 2 2 2 3 6 4 3" xfId="7382" xr:uid="{9F870CA8-6141-47EC-9CE4-34A2F3EF6473}"/>
    <cellStyle name="Comma 11 2 2 2 2 3 6 4 3 2" xfId="22562" xr:uid="{956BC2FD-DAA8-4A46-81A8-761109640B5A}"/>
    <cellStyle name="Comma 11 2 2 2 2 3 6 4 4" xfId="19274" xr:uid="{28CE8F7E-BBEA-4A12-9C1F-78E8203D36A1}"/>
    <cellStyle name="Comma 11 2 2 2 2 3 6 5" xfId="2238" xr:uid="{5265620A-8B01-475E-AB24-C7413BA3F78F}"/>
    <cellStyle name="Comma 11 2 2 2 2 3 6 5 2" xfId="9735" xr:uid="{D4495001-236B-4924-8CBA-C20A15AD894B}"/>
    <cellStyle name="Comma 11 2 2 2 2 3 6 5 2 2" xfId="24913" xr:uid="{D3960102-2A6D-47FA-AAB1-060BCBC7478C}"/>
    <cellStyle name="Comma 11 2 2 2 2 3 6 5 3" xfId="17453" xr:uid="{8F3B9862-B229-4652-AE2D-B420190C3765}"/>
    <cellStyle name="Comma 11 2 2 2 2 3 6 6" xfId="9221" xr:uid="{A2EA2CC0-153C-4C6D-AEFE-C4956EB3EB30}"/>
    <cellStyle name="Comma 11 2 2 2 2 3 6 6 2" xfId="13394" xr:uid="{D93200A3-3E62-42E1-A0A3-1053B21D208F}"/>
    <cellStyle name="Comma 11 2 2 2 2 3 6 6 2 2" xfId="28571" xr:uid="{078B12C3-05FF-452F-93BD-78EDC5BF618F}"/>
    <cellStyle name="Comma 11 2 2 2 2 3 6 6 3" xfId="24399" xr:uid="{D0DE5368-8452-4622-AE6D-3D09B9B0EB34}"/>
    <cellStyle name="Comma 11 2 2 2 2 3 6 7" xfId="5561" xr:uid="{D98723A0-E32F-4D84-8714-85479C7547FC}"/>
    <cellStyle name="Comma 11 2 2 2 2 3 6 7 2" xfId="20741" xr:uid="{BB28A1EA-D063-432C-B49F-CDF5C9FCB388}"/>
    <cellStyle name="Comma 11 2 2 2 2 3 6 8" xfId="16939" xr:uid="{3B02198E-9182-4CE5-9EED-97A1620C9261}"/>
    <cellStyle name="Comma 11 2 2 2 2 3 7" xfId="2338" xr:uid="{16F08D6B-08FE-41FA-B0B1-05F3CF324C51}"/>
    <cellStyle name="Comma 11 2 2 2 2 3 7 2" xfId="9833" xr:uid="{CF5342A7-3B66-48ED-9E2C-813B6384C9A7}"/>
    <cellStyle name="Comma 11 2 2 2 2 3 7 2 2" xfId="13492" xr:uid="{97CFFF23-6B77-444D-8879-6C0E93CC885D}"/>
    <cellStyle name="Comma 11 2 2 2 2 3 7 2 2 2" xfId="28669" xr:uid="{FAF597DA-D7D1-46B0-A132-BA5860EEC1A7}"/>
    <cellStyle name="Comma 11 2 2 2 2 3 7 2 3" xfId="25011" xr:uid="{6F187399-ED50-46B9-9189-B5D90B430296}"/>
    <cellStyle name="Comma 11 2 2 2 2 3 7 3" xfId="5659" xr:uid="{E0EB5E21-7B04-42CF-802B-183ABEA108AB}"/>
    <cellStyle name="Comma 11 2 2 2 2 3 7 3 2" xfId="20839" xr:uid="{D20D0092-011D-4650-865D-5B9C268AFCB6}"/>
    <cellStyle name="Comma 11 2 2 2 2 3 7 4" xfId="17551" xr:uid="{E3FF2CD2-AEDC-481E-8385-F0BDA0C15FC7}"/>
    <cellStyle name="Comma 11 2 2 2 2 3 8" xfId="3228" xr:uid="{DA271088-55EF-4E1B-B40E-CD1E5CC03635}"/>
    <cellStyle name="Comma 11 2 2 2 2 3 8 2" xfId="10717" xr:uid="{36550B9A-E240-4B24-9665-915474428508}"/>
    <cellStyle name="Comma 11 2 2 2 2 3 8 2 2" xfId="14263" xr:uid="{C8AC4DD7-BCC0-400A-A188-346B2D99FA90}"/>
    <cellStyle name="Comma 11 2 2 2 2 3 8 2 2 2" xfId="29440" xr:uid="{939835C7-FE62-457C-B867-934E194B1FD7}"/>
    <cellStyle name="Comma 11 2 2 2 2 3 8 2 3" xfId="25895" xr:uid="{A9E3DB43-CC6C-4EB2-8379-E61BDEBB5C1D}"/>
    <cellStyle name="Comma 11 2 2 2 2 3 8 3" xfId="6543" xr:uid="{C6E5C297-9357-4437-93CB-0FDD904A6778}"/>
    <cellStyle name="Comma 11 2 2 2 2 3 8 3 2" xfId="21723" xr:uid="{A1D9ACB8-2BA8-4FB1-9511-2CECB9A53BEC}"/>
    <cellStyle name="Comma 11 2 2 2 2 3 8 4" xfId="18435" xr:uid="{FE1326EE-A535-45C9-9E38-FF1FBC8982F5}"/>
    <cellStyle name="Comma 11 2 2 2 2 3 9" xfId="4072" xr:uid="{EB39ED16-DA4D-4D1B-B5BC-494C310E4837}"/>
    <cellStyle name="Comma 11 2 2 2 2 3 9 2" xfId="11557" xr:uid="{8C165417-54A6-4404-AE3B-1C8430CA83EA}"/>
    <cellStyle name="Comma 11 2 2 2 2 3 9 2 2" xfId="15103" xr:uid="{C2112BDC-9E26-433C-8EAC-CED3BF4D49BF}"/>
    <cellStyle name="Comma 11 2 2 2 2 3 9 2 2 2" xfId="30280" xr:uid="{E67DDEA0-32A7-470C-A25C-46142B7538E3}"/>
    <cellStyle name="Comma 11 2 2 2 2 3 9 2 3" xfId="26735" xr:uid="{CE17283A-E42F-424F-AD5C-5939637DD4A4}"/>
    <cellStyle name="Comma 11 2 2 2 2 3 9 3" xfId="7383" xr:uid="{4E62D758-570C-4DCC-B01D-5086F6F20614}"/>
    <cellStyle name="Comma 11 2 2 2 2 3 9 3 2" xfId="22563" xr:uid="{884D6ED0-31A9-44E6-87CB-CB57EB87DCD4}"/>
    <cellStyle name="Comma 11 2 2 2 2 3 9 4" xfId="19275" xr:uid="{762637D2-11B4-417D-8C74-97C7DE58CDDC}"/>
    <cellStyle name="Comma 11 2 2 2 2 4" xfId="896" xr:uid="{2BD2B89C-B7B9-4772-A152-B6AAED5A6101}"/>
    <cellStyle name="Comma 11 2 2 2 2 4 2" xfId="2414" xr:uid="{939E971C-5CA8-4ED7-B35D-F80E3C2B6F8D}"/>
    <cellStyle name="Comma 11 2 2 2 2 4 2 2" xfId="9906" xr:uid="{98135FAA-71E5-43D9-9D8C-7C8867BAAABF}"/>
    <cellStyle name="Comma 11 2 2 2 2 4 2 2 2" xfId="13565" xr:uid="{6B5E43A5-D95B-43DF-B66F-C8F0454F36EC}"/>
    <cellStyle name="Comma 11 2 2 2 2 4 2 2 2 2" xfId="28742" xr:uid="{ABBDE52F-C34B-4397-B81B-3C6A7F99E6BD}"/>
    <cellStyle name="Comma 11 2 2 2 2 4 2 2 3" xfId="25084" xr:uid="{1760AEEF-EAD0-45E1-A4F2-EDD2ED8B6B1F}"/>
    <cellStyle name="Comma 11 2 2 2 2 4 2 3" xfId="5732" xr:uid="{7878B1DB-A82C-4B2B-8C57-01BADF4814A3}"/>
    <cellStyle name="Comma 11 2 2 2 2 4 2 3 2" xfId="20912" xr:uid="{0D23CDFD-0132-47F5-8B13-548BC74E326E}"/>
    <cellStyle name="Comma 11 2 2 2 2 4 2 4" xfId="17624" xr:uid="{A3788147-1D6C-4DDB-8F9C-0F52A90AA542}"/>
    <cellStyle name="Comma 11 2 2 2 2 4 3" xfId="3302" xr:uid="{9882F934-3B04-4AAF-9413-2D169258ACD4}"/>
    <cellStyle name="Comma 11 2 2 2 2 4 3 2" xfId="10790" xr:uid="{0FC8CF72-1675-4067-BFA8-304A4A2C6854}"/>
    <cellStyle name="Comma 11 2 2 2 2 4 3 2 2" xfId="14336" xr:uid="{3BED03EB-EA12-495A-BC6F-031EDC28BDB6}"/>
    <cellStyle name="Comma 11 2 2 2 2 4 3 2 2 2" xfId="29513" xr:uid="{076BABB8-97CC-4E6D-B220-05E81AB120C2}"/>
    <cellStyle name="Comma 11 2 2 2 2 4 3 2 3" xfId="25968" xr:uid="{1F8B9D39-FD52-4D9A-AD4E-72E3620F47EA}"/>
    <cellStyle name="Comma 11 2 2 2 2 4 3 3" xfId="6616" xr:uid="{C9AA2109-6BAB-4229-8CF5-E832A391781B}"/>
    <cellStyle name="Comma 11 2 2 2 2 4 3 3 2" xfId="21796" xr:uid="{64D94D85-F0FC-4958-866C-7164B4A2C91A}"/>
    <cellStyle name="Comma 11 2 2 2 2 4 3 4" xfId="18508" xr:uid="{39F0BE40-2989-4017-A963-71A5224EE69B}"/>
    <cellStyle name="Comma 11 2 2 2 2 4 4" xfId="4073" xr:uid="{C16110E3-696A-456B-9BD9-56AF4D28B0A4}"/>
    <cellStyle name="Comma 11 2 2 2 2 4 4 2" xfId="11558" xr:uid="{C5A5012E-3CD8-4610-B4E3-A1DB7D665E2A}"/>
    <cellStyle name="Comma 11 2 2 2 2 4 4 2 2" xfId="15104" xr:uid="{7B767BF6-3D0C-462F-AB30-B0319DD55E14}"/>
    <cellStyle name="Comma 11 2 2 2 2 4 4 2 2 2" xfId="30281" xr:uid="{A1155CB6-1E20-4C17-8DB0-93D2F222B309}"/>
    <cellStyle name="Comma 11 2 2 2 2 4 4 2 3" xfId="26736" xr:uid="{1CD94931-BA33-4F91-A680-8AE33795969A}"/>
    <cellStyle name="Comma 11 2 2 2 2 4 4 3" xfId="7384" xr:uid="{C274CFE1-3678-4CA3-90CA-888DFC4B250E}"/>
    <cellStyle name="Comma 11 2 2 2 2 4 4 3 2" xfId="22564" xr:uid="{94554ACB-36EF-48DB-AEE7-050C551C2AA7}"/>
    <cellStyle name="Comma 11 2 2 2 2 4 4 4" xfId="19276" xr:uid="{9793B854-332B-4097-AD3A-C6A7EEE27A61}"/>
    <cellStyle name="Comma 11 2 2 2 2 4 5" xfId="8508" xr:uid="{D25E4F76-8971-4646-85AF-621E10396843}"/>
    <cellStyle name="Comma 11 2 2 2 2 4 5 2" xfId="12681" xr:uid="{E11A096F-09A6-4520-A6C2-3D82B8CD6043}"/>
    <cellStyle name="Comma 11 2 2 2 2 4 5 2 2" xfId="27858" xr:uid="{AC82F1A8-74CB-412C-BF2A-E5E80A76CFA5}"/>
    <cellStyle name="Comma 11 2 2 2 2 4 5 3" xfId="23686" xr:uid="{D867275F-544F-4FE5-BD9E-1EF42C908B61}"/>
    <cellStyle name="Comma 11 2 2 2 2 4 6" xfId="16226" xr:uid="{1D86E7FE-0C2A-409C-A39C-ED9025DBACB6}"/>
    <cellStyle name="Comma 11 2 2 2 2 4 7" xfId="31666" xr:uid="{0B9AE6BA-5734-41D4-A3F5-09E70C1630BD}"/>
    <cellStyle name="Comma 11 2 2 2 2 5" xfId="999" xr:uid="{8AC1919A-784A-43A8-8A6B-3426F29E4B6C}"/>
    <cellStyle name="Comma 11 2 2 2 2 5 2" xfId="2512" xr:uid="{887A6E88-086A-4EEA-A28C-962C85C32584}"/>
    <cellStyle name="Comma 11 2 2 2 2 5 2 2" xfId="10004" xr:uid="{D10401DC-D66A-4E48-9E54-6DBAB712C462}"/>
    <cellStyle name="Comma 11 2 2 2 2 5 2 2 2" xfId="13663" xr:uid="{9108D8DF-E28E-4A96-8BE6-C8EFCDFF1055}"/>
    <cellStyle name="Comma 11 2 2 2 2 5 2 2 2 2" xfId="28840" xr:uid="{E3D6914B-F998-44D9-AF64-ED531E3FDB0C}"/>
    <cellStyle name="Comma 11 2 2 2 2 5 2 2 3" xfId="25182" xr:uid="{D0E3208C-7700-4986-95ED-0E1392F5B128}"/>
    <cellStyle name="Comma 11 2 2 2 2 5 2 3" xfId="5830" xr:uid="{C318FA7E-CAF3-420D-870B-E1493953CEB4}"/>
    <cellStyle name="Comma 11 2 2 2 2 5 2 3 2" xfId="21010" xr:uid="{3084DAA3-D45C-4880-AA4E-FB9EEC2AEF18}"/>
    <cellStyle name="Comma 11 2 2 2 2 5 2 4" xfId="17722" xr:uid="{54153D09-E61A-424B-BA81-3BE76BCFA36D}"/>
    <cellStyle name="Comma 11 2 2 2 2 5 3" xfId="3400" xr:uid="{7A24BA4F-1D69-43F8-A3C8-BBF93358D1C1}"/>
    <cellStyle name="Comma 11 2 2 2 2 5 3 2" xfId="10888" xr:uid="{7A7B7C46-046F-41F9-A7D8-C760FAF28975}"/>
    <cellStyle name="Comma 11 2 2 2 2 5 3 2 2" xfId="14434" xr:uid="{F1108ED2-8BC4-4C22-A94B-8CEA52138982}"/>
    <cellStyle name="Comma 11 2 2 2 2 5 3 2 2 2" xfId="29611" xr:uid="{34F24BB4-16EE-4AB7-B3DC-9FA8F801D74C}"/>
    <cellStyle name="Comma 11 2 2 2 2 5 3 2 3" xfId="26066" xr:uid="{E67623E2-BD8A-4F9D-9DF1-1DF932698C3E}"/>
    <cellStyle name="Comma 11 2 2 2 2 5 3 3" xfId="6714" xr:uid="{8F728DD6-FAA9-4C7C-B19F-956AEE5075F4}"/>
    <cellStyle name="Comma 11 2 2 2 2 5 3 3 2" xfId="21894" xr:uid="{9BFF090D-BEBD-40FC-BBF5-00BC6B33A994}"/>
    <cellStyle name="Comma 11 2 2 2 2 5 3 4" xfId="18606" xr:uid="{A337D343-857C-4EA1-B577-39EA9C98B8B1}"/>
    <cellStyle name="Comma 11 2 2 2 2 5 4" xfId="4074" xr:uid="{4CFF58F2-9FFE-40AF-A71C-C9F1A1799C4B}"/>
    <cellStyle name="Comma 11 2 2 2 2 5 4 2" xfId="11559" xr:uid="{5BC3A43C-A444-49F2-AFC6-EA1175F08F20}"/>
    <cellStyle name="Comma 11 2 2 2 2 5 4 2 2" xfId="15105" xr:uid="{CBAF591B-1289-4066-820E-5853DC79AD9C}"/>
    <cellStyle name="Comma 11 2 2 2 2 5 4 2 2 2" xfId="30282" xr:uid="{55388F39-84F5-46C6-B54D-369254B92178}"/>
    <cellStyle name="Comma 11 2 2 2 2 5 4 2 3" xfId="26737" xr:uid="{B2C11D91-2745-40AA-BCBE-27668E8B037E}"/>
    <cellStyle name="Comma 11 2 2 2 2 5 4 3" xfId="7385" xr:uid="{64BD4E81-B45C-457A-ADF2-6E747004C789}"/>
    <cellStyle name="Comma 11 2 2 2 2 5 4 3 2" xfId="22565" xr:uid="{E1EDD2C7-2A6B-404F-A6AD-B06D91ECAE53}"/>
    <cellStyle name="Comma 11 2 2 2 2 5 4 4" xfId="19277" xr:uid="{699B8A9B-F8C6-44A0-9E49-F13F9E1AEF64}"/>
    <cellStyle name="Comma 11 2 2 2 2 5 5" xfId="8606" xr:uid="{222BD115-BF71-4A0E-AD0B-AE7C17FCF2CC}"/>
    <cellStyle name="Comma 11 2 2 2 2 5 5 2" xfId="12779" xr:uid="{8566E56F-B55E-4E0A-AC50-EBBC9C5B84ED}"/>
    <cellStyle name="Comma 11 2 2 2 2 5 5 2 2" xfId="27956" xr:uid="{CFD5A7E2-D374-48DF-83CC-9441ECF82F08}"/>
    <cellStyle name="Comma 11 2 2 2 2 5 5 3" xfId="23784" xr:uid="{4A0EF03D-3B1A-43A2-9560-F1E4EEADD028}"/>
    <cellStyle name="Comma 11 2 2 2 2 5 6" xfId="16324" xr:uid="{B31EFDF7-0C74-4F5E-B85D-E6BFC188AE95}"/>
    <cellStyle name="Comma 11 2 2 2 2 5 7" xfId="31544" xr:uid="{3F28F600-EC4C-48C2-BE83-EC7EBC2F3EF7}"/>
    <cellStyle name="Comma 11 2 2 2 2 6" xfId="1182" xr:uid="{D2913B3F-632A-4A80-B420-8035C31BE655}"/>
    <cellStyle name="Comma 11 2 2 2 2 6 2" xfId="2615" xr:uid="{D525051C-FE88-484A-ADAD-0A3D269C65EF}"/>
    <cellStyle name="Comma 11 2 2 2 2 6 2 2" xfId="10106" xr:uid="{8A289C24-CE29-43BB-8893-03C3A64BE0D8}"/>
    <cellStyle name="Comma 11 2 2 2 2 6 2 2 2" xfId="13764" xr:uid="{490A3EC5-F736-40D4-BB51-DD2B89374674}"/>
    <cellStyle name="Comma 11 2 2 2 2 6 2 2 2 2" xfId="28941" xr:uid="{44D84EC6-EA89-46CB-997A-A131D99C1B36}"/>
    <cellStyle name="Comma 11 2 2 2 2 6 2 2 3" xfId="25284" xr:uid="{7E081883-2223-4B74-90E5-751C5E783479}"/>
    <cellStyle name="Comma 11 2 2 2 2 6 2 3" xfId="5932" xr:uid="{B0931E71-B72C-4A85-BE74-5BAFFF623531}"/>
    <cellStyle name="Comma 11 2 2 2 2 6 2 3 2" xfId="21112" xr:uid="{7DBAFCCD-0932-43E9-9435-7F2567C10ABD}"/>
    <cellStyle name="Comma 11 2 2 2 2 6 2 4" xfId="17824" xr:uid="{99AFDF23-2CC9-4ABD-BDB1-FB664DA13442}"/>
    <cellStyle name="Comma 11 2 2 2 2 6 3" xfId="3502" xr:uid="{6FE6B3E2-66FF-46E4-85C7-77DE1C5DA3D2}"/>
    <cellStyle name="Comma 11 2 2 2 2 6 3 2" xfId="10990" xr:uid="{FBB14BB2-FEDC-4876-9EB7-D1090979B444}"/>
    <cellStyle name="Comma 11 2 2 2 2 6 3 2 2" xfId="14536" xr:uid="{21FAB905-BF8A-45D8-8EEA-2B45A38E7B41}"/>
    <cellStyle name="Comma 11 2 2 2 2 6 3 2 2 2" xfId="29713" xr:uid="{C58B154C-4967-447D-AA8B-AF6443E1F90E}"/>
    <cellStyle name="Comma 11 2 2 2 2 6 3 2 3" xfId="26168" xr:uid="{12299430-6E14-499C-8D5A-B6C365D1E219}"/>
    <cellStyle name="Comma 11 2 2 2 2 6 3 3" xfId="6816" xr:uid="{3007D435-D81B-4A24-91B4-13D532FC710C}"/>
    <cellStyle name="Comma 11 2 2 2 2 6 3 3 2" xfId="21996" xr:uid="{E342E13A-D12D-456B-892C-0A47631897DD}"/>
    <cellStyle name="Comma 11 2 2 2 2 6 3 4" xfId="18708" xr:uid="{9397A125-3742-4C2D-9EA9-101CD7B7B5F4}"/>
    <cellStyle name="Comma 11 2 2 2 2 6 4" xfId="4075" xr:uid="{88C1D8B6-9365-4707-BB13-EDBB3AA5D396}"/>
    <cellStyle name="Comma 11 2 2 2 2 6 4 2" xfId="11560" xr:uid="{CEFC8BE6-C0F1-45CE-B796-A605BD2E362A}"/>
    <cellStyle name="Comma 11 2 2 2 2 6 4 2 2" xfId="15106" xr:uid="{B6700A63-5E7C-474E-9BF2-C8DA37BB026C}"/>
    <cellStyle name="Comma 11 2 2 2 2 6 4 2 2 2" xfId="30283" xr:uid="{8B27F5A6-8743-434C-B459-ACF60CEE92B3}"/>
    <cellStyle name="Comma 11 2 2 2 2 6 4 2 3" xfId="26738" xr:uid="{4CA7748D-DB4B-41F8-B846-EA68F6A46D2B}"/>
    <cellStyle name="Comma 11 2 2 2 2 6 4 3" xfId="7386" xr:uid="{D8810A11-4338-4502-8C17-91B4F80F9D89}"/>
    <cellStyle name="Comma 11 2 2 2 2 6 4 3 2" xfId="22566" xr:uid="{8AF82D67-3F2F-4B83-A2BF-96F06997603D}"/>
    <cellStyle name="Comma 11 2 2 2 2 6 4 4" xfId="19278" xr:uid="{9F2CEA10-64E2-4BF5-B442-A50944901B62}"/>
    <cellStyle name="Comma 11 2 2 2 2 6 5" xfId="8708" xr:uid="{F5C4FBEB-B502-4FBC-AFAB-0C02A9E3049E}"/>
    <cellStyle name="Comma 11 2 2 2 2 6 5 2" xfId="12881" xr:uid="{890F6A90-ACC0-4ABB-9770-59B648A370D5}"/>
    <cellStyle name="Comma 11 2 2 2 2 6 5 2 2" xfId="28058" xr:uid="{D3F00DF4-5142-4E39-9B69-47ACB2A37AC2}"/>
    <cellStyle name="Comma 11 2 2 2 2 6 5 3" xfId="23886" xr:uid="{358B0344-781E-460A-B38C-6F8EF7D94D6F}"/>
    <cellStyle name="Comma 11 2 2 2 2 6 6" xfId="16426" xr:uid="{DD557608-F0D6-4F6F-870C-EF7FC29D1866}"/>
    <cellStyle name="Comma 11 2 2 2 2 7" xfId="1208" xr:uid="{B3726049-B74C-49C7-B71E-6DF42B46BF58}"/>
    <cellStyle name="Comma 11 2 2 2 2 7 2" xfId="2639" xr:uid="{340A9450-0901-4595-8A68-487617FC701E}"/>
    <cellStyle name="Comma 11 2 2 2 2 7 2 2" xfId="10130" xr:uid="{2959ABB4-08A1-42FB-A7D8-CB871942971D}"/>
    <cellStyle name="Comma 11 2 2 2 2 7 2 2 2" xfId="13788" xr:uid="{B32980E5-6169-4F1A-8486-91678102A808}"/>
    <cellStyle name="Comma 11 2 2 2 2 7 2 2 2 2" xfId="28965" xr:uid="{C23949B6-5B2C-4303-AA5D-A3AF5F0FBC9C}"/>
    <cellStyle name="Comma 11 2 2 2 2 7 2 2 3" xfId="25308" xr:uid="{00EE49E1-068E-4A0A-921A-47DE9560F602}"/>
    <cellStyle name="Comma 11 2 2 2 2 7 2 3" xfId="5956" xr:uid="{C5E82AAB-4962-47F9-BA95-2B5790D97F9A}"/>
    <cellStyle name="Comma 11 2 2 2 2 7 2 3 2" xfId="21136" xr:uid="{2FFA3169-5B39-490F-96F2-CC3C68623FF0}"/>
    <cellStyle name="Comma 11 2 2 2 2 7 2 4" xfId="17848" xr:uid="{56EC5A80-2F32-40C8-9694-8A3FB9206718}"/>
    <cellStyle name="Comma 11 2 2 2 2 7 3" xfId="3526" xr:uid="{76891B33-F624-42A4-8FBD-94A6B8547B08}"/>
    <cellStyle name="Comma 11 2 2 2 2 7 3 2" xfId="11014" xr:uid="{4E64B7CB-94C8-4D6E-AEF2-621E7C0B66BB}"/>
    <cellStyle name="Comma 11 2 2 2 2 7 3 2 2" xfId="14560" xr:uid="{9B67BA48-3046-4742-BB81-95F0DA8E68DA}"/>
    <cellStyle name="Comma 11 2 2 2 2 7 3 2 2 2" xfId="29737" xr:uid="{5016B4EF-1534-43C6-BDB6-F6FDF1461F4C}"/>
    <cellStyle name="Comma 11 2 2 2 2 7 3 2 3" xfId="26192" xr:uid="{212B49A9-2173-485F-B992-DFE753160C67}"/>
    <cellStyle name="Comma 11 2 2 2 2 7 3 3" xfId="6840" xr:uid="{2D365AAB-1800-44FB-AD5D-BCB682E068CC}"/>
    <cellStyle name="Comma 11 2 2 2 2 7 3 3 2" xfId="22020" xr:uid="{0822EE54-272C-45E0-80F6-ADA5A74443BB}"/>
    <cellStyle name="Comma 11 2 2 2 2 7 3 4" xfId="18732" xr:uid="{57738CC0-6A49-41FE-B2D7-6B8DEF225C6A}"/>
    <cellStyle name="Comma 11 2 2 2 2 7 4" xfId="4076" xr:uid="{15858782-5934-46BF-8BBF-D2CBAC5C52DC}"/>
    <cellStyle name="Comma 11 2 2 2 2 7 4 2" xfId="11561" xr:uid="{D11CBA55-35DC-4FD2-B6CE-18CC9A924C32}"/>
    <cellStyle name="Comma 11 2 2 2 2 7 4 2 2" xfId="15107" xr:uid="{5D62DCAA-1E62-4271-9C20-017963D53F69}"/>
    <cellStyle name="Comma 11 2 2 2 2 7 4 2 2 2" xfId="30284" xr:uid="{4F0212F2-DD9F-4B0C-973B-A7A020DDF8B8}"/>
    <cellStyle name="Comma 11 2 2 2 2 7 4 2 3" xfId="26739" xr:uid="{BDB370CE-9B6F-4394-BD28-DEC7AD5B7CCF}"/>
    <cellStyle name="Comma 11 2 2 2 2 7 4 3" xfId="7387" xr:uid="{3F4D1680-233F-43F7-8925-9B6A719CB2DB}"/>
    <cellStyle name="Comma 11 2 2 2 2 7 4 3 2" xfId="22567" xr:uid="{E5F2D281-74F8-47EC-ADA2-A702BD98BBD1}"/>
    <cellStyle name="Comma 11 2 2 2 2 7 4 4" xfId="19279" xr:uid="{BD34524F-F65E-40C3-8C0D-413DC29B5AE4}"/>
    <cellStyle name="Comma 11 2 2 2 2 7 5" xfId="8732" xr:uid="{C681A85A-D6C8-4F1A-AF1B-89B53356F027}"/>
    <cellStyle name="Comma 11 2 2 2 2 7 5 2" xfId="12905" xr:uid="{608BC76A-6FF8-460E-AF71-583EA14E06A5}"/>
    <cellStyle name="Comma 11 2 2 2 2 7 5 2 2" xfId="28082" xr:uid="{E828BB12-15EC-4D27-87DC-3FCC7DA623F6}"/>
    <cellStyle name="Comma 11 2 2 2 2 7 5 3" xfId="23910" xr:uid="{0D4738A4-8E95-4408-9CE9-29EB760FE43C}"/>
    <cellStyle name="Comma 11 2 2 2 2 7 6" xfId="16450" xr:uid="{365E242C-7116-482F-80DF-2AFCC8CB0A5D}"/>
    <cellStyle name="Comma 11 2 2 2 2 8" xfId="1257" xr:uid="{189F4B1B-D117-4AA5-91F1-6A06E5DC5298}"/>
    <cellStyle name="Comma 11 2 2 2 2 8 10" xfId="31316" xr:uid="{D6A5358D-F1C5-499D-87D7-E5CBCFF586D6}"/>
    <cellStyle name="Comma 11 2 2 2 2 8 2" xfId="2687" xr:uid="{83140190-21F2-4D6B-A746-4BF3D554A845}"/>
    <cellStyle name="Comma 11 2 2 2 2 8 2 2" xfId="10178" xr:uid="{37F84EEE-4714-4253-81ED-681084EBA28A}"/>
    <cellStyle name="Comma 11 2 2 2 2 8 2 2 2" xfId="13822" xr:uid="{B6DD2C73-7298-4CCC-A5BD-5C6EFD617870}"/>
    <cellStyle name="Comma 11 2 2 2 2 8 2 2 2 2" xfId="28999" xr:uid="{0AEA3983-621C-43BD-B749-19FB5DEACB4E}"/>
    <cellStyle name="Comma 11 2 2 2 2 8 2 2 3" xfId="25356" xr:uid="{51A41417-E22F-413B-BA1B-DF346FA77F5C}"/>
    <cellStyle name="Comma 11 2 2 2 2 8 2 3" xfId="6004" xr:uid="{9298E9AD-D47B-4362-9B5B-0793B317AA89}"/>
    <cellStyle name="Comma 11 2 2 2 2 8 2 3 2" xfId="21184" xr:uid="{6917E692-2B97-4912-86E2-C4F2EFDCA971}"/>
    <cellStyle name="Comma 11 2 2 2 2 8 2 4" xfId="17896" xr:uid="{734BDC4D-7845-40C5-B3E8-1C84234B2151}"/>
    <cellStyle name="Comma 11 2 2 2 2 8 3" xfId="3574" xr:uid="{AA8FE075-1904-4001-8DE3-B837DC739C50}"/>
    <cellStyle name="Comma 11 2 2 2 2 8 3 2" xfId="11062" xr:uid="{57883954-5154-49C3-BC3F-F24D11452D86}"/>
    <cellStyle name="Comma 11 2 2 2 2 8 3 2 2" xfId="14608" xr:uid="{20331B34-9763-4B72-ACF8-A58DE9BE0D67}"/>
    <cellStyle name="Comma 11 2 2 2 2 8 3 2 2 2" xfId="29785" xr:uid="{0AD4E9BA-3535-4032-AC2F-560E3C3A0E55}"/>
    <cellStyle name="Comma 11 2 2 2 2 8 3 2 3" xfId="26240" xr:uid="{C5CC0967-E915-45A4-AE29-21FDD4654645}"/>
    <cellStyle name="Comma 11 2 2 2 2 8 3 3" xfId="6888" xr:uid="{C9316056-BAF5-463D-BA2A-4C65AB4C3E5C}"/>
    <cellStyle name="Comma 11 2 2 2 2 8 3 3 2" xfId="22068" xr:uid="{89F107C4-F2BF-48FE-A0E7-A52715CECE11}"/>
    <cellStyle name="Comma 11 2 2 2 2 8 3 4" xfId="18780" xr:uid="{F538D72A-F3A0-4794-9DDA-32C4D9BB57B3}"/>
    <cellStyle name="Comma 11 2 2 2 2 8 4" xfId="4077" xr:uid="{E927FA07-4D10-4887-993D-2EF7ED4396B7}"/>
    <cellStyle name="Comma 11 2 2 2 2 8 4 2" xfId="11562" xr:uid="{75E81604-20D5-468A-B8F5-68E46701F736}"/>
    <cellStyle name="Comma 11 2 2 2 2 8 4 2 2" xfId="15108" xr:uid="{F8E97FDF-C86E-4FC9-9AD6-83A5845ACCD4}"/>
    <cellStyle name="Comma 11 2 2 2 2 8 4 2 2 2" xfId="30285" xr:uid="{27C1D786-E6FD-48CF-BA58-6D0172CC7208}"/>
    <cellStyle name="Comma 11 2 2 2 2 8 4 2 3" xfId="26740" xr:uid="{B179819A-2EE4-41CA-8162-01A57B04BCAF}"/>
    <cellStyle name="Comma 11 2 2 2 2 8 4 3" xfId="7388" xr:uid="{DC7892E9-3CFC-4F4F-8E68-1FF5EEC5BC12}"/>
    <cellStyle name="Comma 11 2 2 2 2 8 4 3 2" xfId="22568" xr:uid="{3C3E1A59-C0D1-42DA-AD62-4B1E5CB21CDE}"/>
    <cellStyle name="Comma 11 2 2 2 2 8 4 4" xfId="19280" xr:uid="{91361104-84AC-4C2E-BA95-1EAF67B3DD6C}"/>
    <cellStyle name="Comma 11 2 2 2 2 8 5" xfId="4976" xr:uid="{B3981490-9B51-4946-B2D6-5B3E96B2EBBA}"/>
    <cellStyle name="Comma 11 2 2 2 2 8 5 2" xfId="12460" xr:uid="{3097C676-ADD1-4497-8136-6E53413C3A6C}"/>
    <cellStyle name="Comma 11 2 2 2 2 8 5 2 2" xfId="16006" xr:uid="{C1AB7B15-1E4C-45C8-BD50-0D52BEFB57B9}"/>
    <cellStyle name="Comma 11 2 2 2 2 8 5 2 2 2" xfId="31183" xr:uid="{C7879A17-2E01-4DFE-86EA-06F154F7BB39}"/>
    <cellStyle name="Comma 11 2 2 2 2 8 5 2 3" xfId="27638" xr:uid="{67BEEAA3-21C9-48FF-A182-3814BA4B3F9B}"/>
    <cellStyle name="Comma 11 2 2 2 2 8 5 3" xfId="8286" xr:uid="{FB2ED480-7163-4724-A48B-EC1D28C6A694}"/>
    <cellStyle name="Comma 11 2 2 2 2 8 5 3 2" xfId="23466" xr:uid="{16B5550A-FED4-4FC5-9564-9D852E0E4B39}"/>
    <cellStyle name="Comma 11 2 2 2 2 8 5 4" xfId="20178" xr:uid="{6E087993-06AF-4AA1-9217-09BC2506B3CD}"/>
    <cellStyle name="Comma 11 2 2 2 2 8 6" xfId="1797" xr:uid="{8C1772CD-6E7D-4EF3-BCC5-7201A806E367}"/>
    <cellStyle name="Comma 11 2 2 2 2 8 6 2" xfId="9294" xr:uid="{7B2AE978-53C2-4435-8D14-FE43E929CFD1}"/>
    <cellStyle name="Comma 11 2 2 2 2 8 6 2 2" xfId="24472" xr:uid="{3446BAED-8993-4260-AE64-6533B3EB506F}"/>
    <cellStyle name="Comma 11 2 2 2 2 8 6 3" xfId="17012" xr:uid="{85B12CAB-23FC-4534-BB8D-68D9814A4414}"/>
    <cellStyle name="Comma 11 2 2 2 2 8 7" xfId="8780" xr:uid="{0823CC70-A3D0-46F9-8B41-CDA54F5CD6E3}"/>
    <cellStyle name="Comma 11 2 2 2 2 8 7 2" xfId="12953" xr:uid="{6C17E9FD-AD3B-415C-A9D2-B39FBDF6A0B2}"/>
    <cellStyle name="Comma 11 2 2 2 2 8 7 2 2" xfId="28130" xr:uid="{622A964C-7FF6-4520-A1E9-450C6BD9CAEC}"/>
    <cellStyle name="Comma 11 2 2 2 2 8 7 3" xfId="23958" xr:uid="{BBC3CFF3-A50D-4311-8FEB-8AB050995BF0}"/>
    <cellStyle name="Comma 11 2 2 2 2 8 8" xfId="5120" xr:uid="{972E7BD6-83DE-41AE-921F-CFB23BAEBEB3}"/>
    <cellStyle name="Comma 11 2 2 2 2 8 8 2" xfId="20300" xr:uid="{2DB752A6-B14D-477E-9BDC-B050E3C63893}"/>
    <cellStyle name="Comma 11 2 2 2 2 8 9" xfId="16498" xr:uid="{C70565E8-B817-41A8-BA77-FE5DB1D8A9F6}"/>
    <cellStyle name="Comma 11 2 2 2 2 9" xfId="1359" xr:uid="{9D97AF9A-6000-4225-A337-954F95D3729B}"/>
    <cellStyle name="Comma 11 2 2 2 2 9 2" xfId="2785" xr:uid="{5057E88A-E027-4551-844A-1CA97F00D726}"/>
    <cellStyle name="Comma 11 2 2 2 2 9 2 2" xfId="10276" xr:uid="{9CB768F1-030E-4841-82A5-9ECBFD0F12D8}"/>
    <cellStyle name="Comma 11 2 2 2 2 9 2 2 2" xfId="13871" xr:uid="{0DA2E164-759F-46C4-90C6-C5A612BD7A93}"/>
    <cellStyle name="Comma 11 2 2 2 2 9 2 2 2 2" xfId="29048" xr:uid="{23C74DCB-C53D-4B0D-883B-01CAFA8DA324}"/>
    <cellStyle name="Comma 11 2 2 2 2 9 2 2 3" xfId="25454" xr:uid="{510DA945-B4A1-4EC3-897F-AF6A83D9B7C4}"/>
    <cellStyle name="Comma 11 2 2 2 2 9 2 3" xfId="6102" xr:uid="{E783C5DE-20F3-4911-A8C7-4AD27446A33A}"/>
    <cellStyle name="Comma 11 2 2 2 2 9 2 3 2" xfId="21282" xr:uid="{7875AAB9-59C6-42E4-BB77-785ACE4E61F9}"/>
    <cellStyle name="Comma 11 2 2 2 2 9 2 4" xfId="17994" xr:uid="{E0ABEF74-12B0-4D85-B76D-6D07138B7570}"/>
    <cellStyle name="Comma 11 2 2 2 2 9 3" xfId="3672" xr:uid="{EB0FE309-64B8-4439-A772-ABB9D2541B3E}"/>
    <cellStyle name="Comma 11 2 2 2 2 9 3 2" xfId="11160" xr:uid="{CB5557CC-4D92-4567-BAB3-536DF62B1C4D}"/>
    <cellStyle name="Comma 11 2 2 2 2 9 3 2 2" xfId="14706" xr:uid="{B95A3FF3-F1FE-44F1-A6D9-8C6B03C37FE8}"/>
    <cellStyle name="Comma 11 2 2 2 2 9 3 2 2 2" xfId="29883" xr:uid="{C818C090-97FB-4010-8645-3CA5E8E9AC34}"/>
    <cellStyle name="Comma 11 2 2 2 2 9 3 2 3" xfId="26338" xr:uid="{E07F152A-5EBD-48CF-8DB9-A6F028BE6027}"/>
    <cellStyle name="Comma 11 2 2 2 2 9 3 3" xfId="6986" xr:uid="{875075D8-04A4-49B6-9309-E760774D08B4}"/>
    <cellStyle name="Comma 11 2 2 2 2 9 3 3 2" xfId="22166" xr:uid="{59397634-BC1F-4BDA-AD5A-72A33282ECC4}"/>
    <cellStyle name="Comma 11 2 2 2 2 9 3 4" xfId="18878" xr:uid="{6CE37126-0EDD-4901-B17E-416D905F9E99}"/>
    <cellStyle name="Comma 11 2 2 2 2 9 4" xfId="4078" xr:uid="{7C4A8B2E-A3D8-4C91-A15B-71A5EE836374}"/>
    <cellStyle name="Comma 11 2 2 2 2 9 4 2" xfId="11563" xr:uid="{1D1BAE17-0D7A-4769-938B-9F2FF7EFEF80}"/>
    <cellStyle name="Comma 11 2 2 2 2 9 4 2 2" xfId="15109" xr:uid="{8D92CF2B-C497-4C42-AAAE-25C934029D16}"/>
    <cellStyle name="Comma 11 2 2 2 2 9 4 2 2 2" xfId="30286" xr:uid="{C2043006-C26A-46E4-A717-F4AD4E37AFD1}"/>
    <cellStyle name="Comma 11 2 2 2 2 9 4 2 3" xfId="26741" xr:uid="{8210CCC1-87C5-4610-BD2C-B676380CE094}"/>
    <cellStyle name="Comma 11 2 2 2 2 9 4 3" xfId="7389" xr:uid="{68584C53-D93B-4D4E-A718-44F484C1CCC9}"/>
    <cellStyle name="Comma 11 2 2 2 2 9 4 3 2" xfId="22569" xr:uid="{DFDF7256-3C6A-44D7-8846-95FE87D21A54}"/>
    <cellStyle name="Comma 11 2 2 2 2 9 4 4" xfId="19281" xr:uid="{3A61BA96-661D-4152-86EF-4C037669F247}"/>
    <cellStyle name="Comma 11 2 2 2 2 9 5" xfId="1895" xr:uid="{AEDC0D01-D734-4243-B980-3C5DF597A51E}"/>
    <cellStyle name="Comma 11 2 2 2 2 9 5 2" xfId="9392" xr:uid="{834E426D-A570-4A13-9266-71CAAA856EEA}"/>
    <cellStyle name="Comma 11 2 2 2 2 9 5 2 2" xfId="24570" xr:uid="{B26D7FA9-EF4A-42E2-A501-A776C4990490}"/>
    <cellStyle name="Comma 11 2 2 2 2 9 5 3" xfId="17110" xr:uid="{C0C009E4-52D7-49D8-A7E2-9A2806EF1F63}"/>
    <cellStyle name="Comma 11 2 2 2 2 9 6" xfId="8878" xr:uid="{5D263A00-3620-4F75-AB1A-062E54FCF9A3}"/>
    <cellStyle name="Comma 11 2 2 2 2 9 6 2" xfId="13051" xr:uid="{703FC548-BD21-4F34-B15F-CBC9DB670FDE}"/>
    <cellStyle name="Comma 11 2 2 2 2 9 6 2 2" xfId="28228" xr:uid="{D76D3C8A-030B-4A52-8A5F-D13890234466}"/>
    <cellStyle name="Comma 11 2 2 2 2 9 6 3" xfId="24056" xr:uid="{FB89A71A-F5F2-4673-8529-B13EAFFA4255}"/>
    <cellStyle name="Comma 11 2 2 2 2 9 7" xfId="5218" xr:uid="{34E71912-F856-49CE-A9C9-BAD989B72B56}"/>
    <cellStyle name="Comma 11 2 2 2 2 9 7 2" xfId="20398" xr:uid="{11E4A3F3-00D0-4FAA-8EC5-285DEBE52A87}"/>
    <cellStyle name="Comma 11 2 2 2 2 9 8" xfId="16596" xr:uid="{4E68F069-9D88-40D0-AC54-10819EA39445}"/>
    <cellStyle name="Comma 11 2 2 2 3" xfId="579" xr:uid="{5571F3E9-BDD4-48B9-9407-F42B31BA97C9}"/>
    <cellStyle name="Comma 11 2 2 2 3 10" xfId="16202" xr:uid="{C0972D0A-150B-4708-BAAC-AD62A98DDD4E}"/>
    <cellStyle name="Comma 11 2 2 2 3 11" xfId="31292" xr:uid="{7E94AB74-B0F3-465A-A4E1-D739BC69D7A3}"/>
    <cellStyle name="Comma 11 2 2 2 3 12" xfId="31642" xr:uid="{1A177424-3BAD-4AC7-95B7-D0FEFD1B1CF5}"/>
    <cellStyle name="Comma 11 2 2 2 3 13" xfId="870" xr:uid="{7B9579A2-C553-46F7-8662-E08775AEB5C6}"/>
    <cellStyle name="Comma 11 2 2 2 3 2" xfId="1233" xr:uid="{661B5F4F-80A7-4E08-A044-625944B1A358}"/>
    <cellStyle name="Comma 11 2 2 2 3 2 2" xfId="3550" xr:uid="{D61A0CBD-9E31-4786-8F5B-C4E90602CEE0}"/>
    <cellStyle name="Comma 11 2 2 2 3 2 2 2" xfId="11038" xr:uid="{959E2231-AC07-478C-9B3B-2163E691227F}"/>
    <cellStyle name="Comma 11 2 2 2 3 2 2 2 2" xfId="14584" xr:uid="{2D2E02D8-B6F8-4BF2-9002-BB8CFCE98629}"/>
    <cellStyle name="Comma 11 2 2 2 3 2 2 2 2 2" xfId="29761" xr:uid="{6087839B-D8E7-42E8-8F2A-B9B366545D13}"/>
    <cellStyle name="Comma 11 2 2 2 3 2 2 2 3" xfId="26216" xr:uid="{11861413-1DBA-4580-8F2B-844A8DA754B8}"/>
    <cellStyle name="Comma 11 2 2 2 3 2 2 3" xfId="6864" xr:uid="{EBE8BF06-42DE-44EC-8C39-3A7D04ED991C}"/>
    <cellStyle name="Comma 11 2 2 2 3 2 2 3 2" xfId="22044" xr:uid="{EC5D6022-A4AD-41C4-BC02-8958876C69DF}"/>
    <cellStyle name="Comma 11 2 2 2 3 2 2 4" xfId="18756" xr:uid="{269EB8B5-9361-4E83-95DD-BBD8F808C003}"/>
    <cellStyle name="Comma 11 2 2 2 3 2 3" xfId="4079" xr:uid="{09B943CF-B903-457F-8238-38EB5DBCED4D}"/>
    <cellStyle name="Comma 11 2 2 2 3 2 3 2" xfId="11564" xr:uid="{33F826D1-EB99-41F3-BDDB-BACACDF0AC9C}"/>
    <cellStyle name="Comma 11 2 2 2 3 2 3 2 2" xfId="15110" xr:uid="{F43DF48F-B39A-45E6-97A7-156919747F10}"/>
    <cellStyle name="Comma 11 2 2 2 3 2 3 2 2 2" xfId="30287" xr:uid="{B3A33779-8FFB-4AD6-8177-3EF029948467}"/>
    <cellStyle name="Comma 11 2 2 2 3 2 3 2 3" xfId="26742" xr:uid="{8C6AB35B-65E8-4F15-AB86-7C5FE3F51A4E}"/>
    <cellStyle name="Comma 11 2 2 2 3 2 3 3" xfId="7390" xr:uid="{52204004-E82A-4FAD-8987-D05976455383}"/>
    <cellStyle name="Comma 11 2 2 2 3 2 3 3 2" xfId="22570" xr:uid="{A71724C0-D7CB-44C7-BCF8-8C261E03301E}"/>
    <cellStyle name="Comma 11 2 2 2 3 2 3 4" xfId="19282" xr:uid="{A41322F9-0EB6-4F4F-8BE6-071728217098}"/>
    <cellStyle name="Comma 11 2 2 2 3 2 4" xfId="2663" xr:uid="{D291FB3B-5ADC-4BC6-B690-C13A3A5E7AA4}"/>
    <cellStyle name="Comma 11 2 2 2 3 2 4 2" xfId="10154" xr:uid="{91B506B5-443D-41D9-A9B2-A6668D013F83}"/>
    <cellStyle name="Comma 11 2 2 2 3 2 4 2 2" xfId="25332" xr:uid="{C4941170-7A6D-498E-9569-D07E0982EFE4}"/>
    <cellStyle name="Comma 11 2 2 2 3 2 4 3" xfId="17872" xr:uid="{48CDEE46-E1A2-4A29-BEED-7CF889D95652}"/>
    <cellStyle name="Comma 11 2 2 2 3 2 5" xfId="8756" xr:uid="{66C7EEDA-0531-45B3-88FD-F28D88E68FBC}"/>
    <cellStyle name="Comma 11 2 2 2 3 2 5 2" xfId="12929" xr:uid="{DDAF4AEB-714A-46AC-84C6-022DB0FA41BC}"/>
    <cellStyle name="Comma 11 2 2 2 3 2 5 2 2" xfId="28106" xr:uid="{E6FF4389-D118-479C-963B-581EA0250FAA}"/>
    <cellStyle name="Comma 11 2 2 2 3 2 5 3" xfId="23934" xr:uid="{FFA00A2D-C2EE-4C43-8398-BC7A01D1860F}"/>
    <cellStyle name="Comma 11 2 2 2 3 2 6" xfId="5980" xr:uid="{98C65332-AAB4-4D78-BFAE-30302F58DAAE}"/>
    <cellStyle name="Comma 11 2 2 2 3 2 6 2" xfId="21160" xr:uid="{48FCF393-76DB-4854-B5A7-752A8FE3B648}"/>
    <cellStyle name="Comma 11 2 2 2 3 2 7" xfId="16474" xr:uid="{2F16B59C-F0F7-4326-9B76-9C4044EA7E6E}"/>
    <cellStyle name="Comma 11 2 2 2 3 3" xfId="2388" xr:uid="{8DEDD44C-9A20-4B25-9BA6-523CD3623387}"/>
    <cellStyle name="Comma 11 2 2 2 3 3 2" xfId="9882" xr:uid="{9F056A1D-3088-465B-9EB7-8CB1A393327B}"/>
    <cellStyle name="Comma 11 2 2 2 3 3 2 2" xfId="13541" xr:uid="{E826ECAB-0768-43EB-A4AE-87300B1D312D}"/>
    <cellStyle name="Comma 11 2 2 2 3 3 2 2 2" xfId="28718" xr:uid="{F0E6A2DF-765B-428A-B260-2A7C664EE1A1}"/>
    <cellStyle name="Comma 11 2 2 2 3 3 2 3" xfId="25060" xr:uid="{0E828D0E-99F6-4821-9381-B6426553E4D5}"/>
    <cellStyle name="Comma 11 2 2 2 3 3 3" xfId="5708" xr:uid="{01F7C781-5EB2-4F78-A16B-6FFD8FF1C07D}"/>
    <cellStyle name="Comma 11 2 2 2 3 3 3 2" xfId="20888" xr:uid="{9434B146-649F-4948-81B2-980F3BEDE4E8}"/>
    <cellStyle name="Comma 11 2 2 2 3 3 4" xfId="17600" xr:uid="{422DEDC0-C84B-404E-AA53-FD5EC0CEB588}"/>
    <cellStyle name="Comma 11 2 2 2 3 4" xfId="3278" xr:uid="{7132699D-09FB-4605-8F57-BC9C32F67D1D}"/>
    <cellStyle name="Comma 11 2 2 2 3 4 2" xfId="10766" xr:uid="{C8AFD307-AD91-4BEA-A314-ECE3B73EB8D0}"/>
    <cellStyle name="Comma 11 2 2 2 3 4 2 2" xfId="14312" xr:uid="{8FCBB508-DD83-48B3-89FF-3B045032DCE1}"/>
    <cellStyle name="Comma 11 2 2 2 3 4 2 2 2" xfId="29489" xr:uid="{430BC54F-E811-43D0-96BE-AE4A769D7C20}"/>
    <cellStyle name="Comma 11 2 2 2 3 4 2 3" xfId="25944" xr:uid="{5D88F97E-D37E-4CAC-AE7F-7657C5EB055A}"/>
    <cellStyle name="Comma 11 2 2 2 3 4 3" xfId="6592" xr:uid="{E49B65F0-353C-4AD4-9268-148C4B2CE2A0}"/>
    <cellStyle name="Comma 11 2 2 2 3 4 3 2" xfId="21772" xr:uid="{3D60594B-1D9B-4918-89DF-BD4758F5DCD9}"/>
    <cellStyle name="Comma 11 2 2 2 3 4 4" xfId="18484" xr:uid="{DFE74238-B293-4B6E-A9E4-46BDAC516319}"/>
    <cellStyle name="Comma 11 2 2 2 3 5" xfId="4080" xr:uid="{549FC437-C664-4214-9112-0F2484F03FF2}"/>
    <cellStyle name="Comma 11 2 2 2 3 5 2" xfId="11565" xr:uid="{E889DC4B-B54E-445F-B610-7313D1407D43}"/>
    <cellStyle name="Comma 11 2 2 2 3 5 2 2" xfId="15111" xr:uid="{F96D8FF7-0171-4EB0-B13E-98606E31032F}"/>
    <cellStyle name="Comma 11 2 2 2 3 5 2 2 2" xfId="30288" xr:uid="{FF17DCC9-0C79-427B-9874-1C9A27B7B374}"/>
    <cellStyle name="Comma 11 2 2 2 3 5 2 3" xfId="26743" xr:uid="{39961C60-E0FC-4602-98FF-BFA3BC3FCF2B}"/>
    <cellStyle name="Comma 11 2 2 2 3 5 3" xfId="7391" xr:uid="{3E67DDAD-8892-4CC4-BE0A-69FD31FDFD51}"/>
    <cellStyle name="Comma 11 2 2 2 3 5 3 2" xfId="22571" xr:uid="{26DCF278-E6EA-4644-B947-A55742F839C5}"/>
    <cellStyle name="Comma 11 2 2 2 3 5 4" xfId="19283" xr:uid="{5EA163B7-32D0-4D7C-87B3-EDE8E83A2988}"/>
    <cellStyle name="Comma 11 2 2 2 3 6" xfId="4952" xr:uid="{AA76B7BD-0CDC-409B-A8A3-29007E2B511E}"/>
    <cellStyle name="Comma 11 2 2 2 3 6 2" xfId="12436" xr:uid="{75E31487-729E-4887-834E-356900C6E98A}"/>
    <cellStyle name="Comma 11 2 2 2 3 6 2 2" xfId="15982" xr:uid="{A7C0F04C-0D16-4CDB-B7D4-0A609DFE2287}"/>
    <cellStyle name="Comma 11 2 2 2 3 6 2 2 2" xfId="31159" xr:uid="{7397EB22-FF08-4AF3-B9F3-7B40B036BAD4}"/>
    <cellStyle name="Comma 11 2 2 2 3 6 2 3" xfId="27614" xr:uid="{BD3AE157-94F5-43DC-B098-6A5119907750}"/>
    <cellStyle name="Comma 11 2 2 2 3 6 3" xfId="8262" xr:uid="{5F936529-A422-4963-A43A-878A2C3432B2}"/>
    <cellStyle name="Comma 11 2 2 2 3 6 3 2" xfId="23442" xr:uid="{7EDCA1EE-3475-4D94-B71F-9571AF5DD3DF}"/>
    <cellStyle name="Comma 11 2 2 2 3 6 4" xfId="20154" xr:uid="{F1955E9E-C08C-469F-B1FA-7423DDC026F5}"/>
    <cellStyle name="Comma 11 2 2 2 3 7" xfId="1773" xr:uid="{99001491-11AB-4431-AEC1-87FC82FC38EE}"/>
    <cellStyle name="Comma 11 2 2 2 3 7 2" xfId="9270" xr:uid="{11BF6037-AE6C-4829-9A34-FAE3F3A1CC5D}"/>
    <cellStyle name="Comma 11 2 2 2 3 7 2 2" xfId="24448" xr:uid="{0CE7B893-9294-4218-A404-B7FE922D9DD1}"/>
    <cellStyle name="Comma 11 2 2 2 3 7 3" xfId="16988" xr:uid="{3804438E-5043-4F38-B10A-B8822E603A30}"/>
    <cellStyle name="Comma 11 2 2 2 3 8" xfId="8484" xr:uid="{36D54EB7-998C-4655-994A-8D5A4BC4F1C1}"/>
    <cellStyle name="Comma 11 2 2 2 3 8 2" xfId="12657" xr:uid="{36425D9C-9904-4C39-AEC9-7571C7D48FB7}"/>
    <cellStyle name="Comma 11 2 2 2 3 8 2 2" xfId="27834" xr:uid="{E8E5EADE-1009-45E5-9B93-327E951948CB}"/>
    <cellStyle name="Comma 11 2 2 2 3 8 3" xfId="23662" xr:uid="{BEE67B26-6930-4F33-80DC-C0A38DD7C807}"/>
    <cellStyle name="Comma 11 2 2 2 3 9" xfId="5096" xr:uid="{D492FC83-3F85-4F93-93B5-0CC6E6DA7031}"/>
    <cellStyle name="Comma 11 2 2 2 3 9 2" xfId="20276" xr:uid="{732496EB-3783-4A6C-957C-71AD4B48F359}"/>
    <cellStyle name="Comma 11 2 2 2 4" xfId="31422" xr:uid="{B7619F88-3061-47AA-9E51-86E75C6E876A}"/>
    <cellStyle name="Comma 11 2 2 2 5" xfId="630" xr:uid="{B661625A-DA6E-4DE9-8A2B-2C4B8D3581B2}"/>
    <cellStyle name="Comma 11 2 2 3" xfId="281" xr:uid="{79225967-7E3D-4F05-BF7A-AEAB2D96CF3D}"/>
    <cellStyle name="Comma 11 2 2 3 10" xfId="1445" xr:uid="{261B2B58-247D-4E98-9C9A-50C113CD2615}"/>
    <cellStyle name="Comma 11 2 2 3 10 2" xfId="2870" xr:uid="{55CFB80D-2D60-4BB1-B217-684D01FA00C2}"/>
    <cellStyle name="Comma 11 2 2 3 10 2 2" xfId="10361" xr:uid="{7A07222D-66BF-4771-B089-1B0BC0BD94D3}"/>
    <cellStyle name="Comma 11 2 2 3 10 2 2 2" xfId="13907" xr:uid="{A97B8967-009A-4C94-AA21-8D3B708E791D}"/>
    <cellStyle name="Comma 11 2 2 3 10 2 2 2 2" xfId="29084" xr:uid="{3B17A9E5-8DE8-44F7-B4A3-33E6BD4EBD3B}"/>
    <cellStyle name="Comma 11 2 2 3 10 2 2 3" xfId="25539" xr:uid="{05BE59B9-3350-4435-8CF0-684891EF779F}"/>
    <cellStyle name="Comma 11 2 2 3 10 2 3" xfId="6187" xr:uid="{ACA80EFF-CFD7-41B9-9A35-48FDC219CC31}"/>
    <cellStyle name="Comma 11 2 2 3 10 2 3 2" xfId="21367" xr:uid="{5E7E34C3-4B26-4BB0-B7DF-046F1C441AA4}"/>
    <cellStyle name="Comma 11 2 2 3 10 2 4" xfId="18079" xr:uid="{DC0816E3-7704-4B4D-9F16-1908FB59656C}"/>
    <cellStyle name="Comma 11 2 2 3 10 3" xfId="3757" xr:uid="{2EB106A9-FC71-46F2-965E-E064B37DA10C}"/>
    <cellStyle name="Comma 11 2 2 3 10 3 2" xfId="11245" xr:uid="{01895F54-13E9-4BAE-AC1A-F049CC988A52}"/>
    <cellStyle name="Comma 11 2 2 3 10 3 2 2" xfId="14791" xr:uid="{F44516BD-2A74-4642-8659-7995567E087C}"/>
    <cellStyle name="Comma 11 2 2 3 10 3 2 2 2" xfId="29968" xr:uid="{D2BFDC77-AE1B-43C2-81D0-61221D9E84C2}"/>
    <cellStyle name="Comma 11 2 2 3 10 3 2 3" xfId="26423" xr:uid="{CFEDC3E1-28ED-475C-8173-B57C2315F4A9}"/>
    <cellStyle name="Comma 11 2 2 3 10 3 3" xfId="7071" xr:uid="{BB83A675-8ED9-4765-B2D6-253E5643C0EF}"/>
    <cellStyle name="Comma 11 2 2 3 10 3 3 2" xfId="22251" xr:uid="{033A92CB-571D-489F-B5A7-BDDFB8D88931}"/>
    <cellStyle name="Comma 11 2 2 3 10 3 4" xfId="18963" xr:uid="{51B5946D-8767-4129-813B-047CEF76CADE}"/>
    <cellStyle name="Comma 11 2 2 3 10 4" xfId="4081" xr:uid="{A8F7518B-F595-42B2-BF12-2D5A09C9E651}"/>
    <cellStyle name="Comma 11 2 2 3 10 4 2" xfId="11566" xr:uid="{0A8FDFC4-8CFA-4870-A869-F6E1F3F15DBE}"/>
    <cellStyle name="Comma 11 2 2 3 10 4 2 2" xfId="15112" xr:uid="{BEA73307-927B-4AFF-B485-60B2B07EE442}"/>
    <cellStyle name="Comma 11 2 2 3 10 4 2 2 2" xfId="30289" xr:uid="{444DC95F-D2D7-4253-9A8B-C470AB0B015B}"/>
    <cellStyle name="Comma 11 2 2 3 10 4 2 3" xfId="26744" xr:uid="{8043458E-C41B-4CB2-A82E-3453B5975955}"/>
    <cellStyle name="Comma 11 2 2 3 10 4 3" xfId="7392" xr:uid="{CB01A586-7CB8-42B2-A8B3-8395E26D8EC5}"/>
    <cellStyle name="Comma 11 2 2 3 10 4 3 2" xfId="22572" xr:uid="{2FFD31BF-93FD-453F-87ED-97D2462F410B}"/>
    <cellStyle name="Comma 11 2 2 3 10 4 4" xfId="19284" xr:uid="{DE890E10-F7C2-4F6A-8242-6301641E043A}"/>
    <cellStyle name="Comma 11 2 2 3 10 5" xfId="1980" xr:uid="{99A76993-5A8E-4C94-B27A-F49F766DCD5C}"/>
    <cellStyle name="Comma 11 2 2 3 10 5 2" xfId="9477" xr:uid="{1301D127-7134-42DB-96C8-D2E1163E2649}"/>
    <cellStyle name="Comma 11 2 2 3 10 5 2 2" xfId="24655" xr:uid="{6E997983-E7B2-4931-959B-D9BE86824EAB}"/>
    <cellStyle name="Comma 11 2 2 3 10 5 3" xfId="17195" xr:uid="{77649D65-51DA-4886-9F36-F91E962979AD}"/>
    <cellStyle name="Comma 11 2 2 3 10 6" xfId="8963" xr:uid="{E0158410-C620-451F-BDE2-FC9070A37C71}"/>
    <cellStyle name="Comma 11 2 2 3 10 6 2" xfId="13136" xr:uid="{B54C128A-FB37-4DE7-B4BA-C43062508541}"/>
    <cellStyle name="Comma 11 2 2 3 10 6 2 2" xfId="28313" xr:uid="{60829EE3-B197-4A88-91BF-E38F475CFB22}"/>
    <cellStyle name="Comma 11 2 2 3 10 6 3" xfId="24141" xr:uid="{A64675F8-210F-475A-8829-BD57A32EE3E7}"/>
    <cellStyle name="Comma 11 2 2 3 10 7" xfId="5303" xr:uid="{B4C426C5-A738-4DD8-A04E-F88E222BB25F}"/>
    <cellStyle name="Comma 11 2 2 3 10 7 2" xfId="20483" xr:uid="{D37C5560-48FD-4154-A9D1-854A419A64BB}"/>
    <cellStyle name="Comma 11 2 2 3 10 8" xfId="16681" xr:uid="{D6EE7E8F-F34C-4BC8-A63E-900CB8BAFEAF}"/>
    <cellStyle name="Comma 11 2 2 3 11" xfId="1548" xr:uid="{D9FC6AF5-306D-461D-AED1-D936BDB5726D}"/>
    <cellStyle name="Comma 11 2 2 3 11 2" xfId="2968" xr:uid="{0A854386-298E-4F40-B71D-9673F87CCD7F}"/>
    <cellStyle name="Comma 11 2 2 3 11 2 2" xfId="10459" xr:uid="{39A1491F-46A4-42DA-AA9E-EA3771444925}"/>
    <cellStyle name="Comma 11 2 2 3 11 2 2 2" xfId="14005" xr:uid="{24908C38-2CDB-4D7E-AC58-D92AB34D7C89}"/>
    <cellStyle name="Comma 11 2 2 3 11 2 2 2 2" xfId="29182" xr:uid="{6C8E2D6A-2ADB-44D2-A2DF-93DAC6A13E1D}"/>
    <cellStyle name="Comma 11 2 2 3 11 2 2 3" xfId="25637" xr:uid="{74F10CA1-F71A-4D6C-9EFB-8B391B9DDFAA}"/>
    <cellStyle name="Comma 11 2 2 3 11 2 3" xfId="6285" xr:uid="{513D798F-A291-4CCA-B4AE-172BB7ADE2CF}"/>
    <cellStyle name="Comma 11 2 2 3 11 2 3 2" xfId="21465" xr:uid="{EBA87C10-0A14-4ECD-B806-A17E8D958D63}"/>
    <cellStyle name="Comma 11 2 2 3 11 2 4" xfId="18177" xr:uid="{0CBF2DFB-78D2-42DD-97DC-040EC45AB46C}"/>
    <cellStyle name="Comma 11 2 2 3 11 3" xfId="3855" xr:uid="{8BA74E78-E754-4235-BC79-79840CD7654A}"/>
    <cellStyle name="Comma 11 2 2 3 11 3 2" xfId="11343" xr:uid="{77EB5A44-D55C-439E-8A21-617DAF15012D}"/>
    <cellStyle name="Comma 11 2 2 3 11 3 2 2" xfId="14889" xr:uid="{0D42BC6F-9EBA-42DB-8007-ACD3A7678920}"/>
    <cellStyle name="Comma 11 2 2 3 11 3 2 2 2" xfId="30066" xr:uid="{25A94635-CAF5-4AF7-8341-F2C736A8F1DC}"/>
    <cellStyle name="Comma 11 2 2 3 11 3 2 3" xfId="26521" xr:uid="{3A34443B-6548-4F6A-9818-4971C926CFFA}"/>
    <cellStyle name="Comma 11 2 2 3 11 3 3" xfId="7169" xr:uid="{530A258A-2CC0-461F-91B6-7809188014F8}"/>
    <cellStyle name="Comma 11 2 2 3 11 3 3 2" xfId="22349" xr:uid="{26B52E9E-21F2-4C6B-B23D-81D37EC93550}"/>
    <cellStyle name="Comma 11 2 2 3 11 3 4" xfId="19061" xr:uid="{01C8224E-8230-4D61-8AA8-DCBB214BD21E}"/>
    <cellStyle name="Comma 11 2 2 3 11 4" xfId="4082" xr:uid="{D1BF46BA-C099-4DCA-82BA-A07C8BA983EB}"/>
    <cellStyle name="Comma 11 2 2 3 11 4 2" xfId="11567" xr:uid="{8D83B56C-2356-43BD-8F15-20585ABADA80}"/>
    <cellStyle name="Comma 11 2 2 3 11 4 2 2" xfId="15113" xr:uid="{36589DBE-C8D3-4B40-AC6F-6D4B87556581}"/>
    <cellStyle name="Comma 11 2 2 3 11 4 2 2 2" xfId="30290" xr:uid="{F34227F2-F5E9-428E-B9A0-9FA4BC0FB82E}"/>
    <cellStyle name="Comma 11 2 2 3 11 4 2 3" xfId="26745" xr:uid="{128F74C0-BE33-4FA9-9510-E6E2B8B7B945}"/>
    <cellStyle name="Comma 11 2 2 3 11 4 3" xfId="7393" xr:uid="{A776DA02-DAF7-4155-B658-B36EDD739D49}"/>
    <cellStyle name="Comma 11 2 2 3 11 4 3 2" xfId="22573" xr:uid="{1FBEA896-9FA5-4E48-9067-9918356EB093}"/>
    <cellStyle name="Comma 11 2 2 3 11 4 4" xfId="19285" xr:uid="{46B85FED-3612-4DCA-B628-F7F469155603}"/>
    <cellStyle name="Comma 11 2 2 3 11 5" xfId="2078" xr:uid="{88DDAAB2-37C6-4DF7-98C8-91C0CE4A8613}"/>
    <cellStyle name="Comma 11 2 2 3 11 5 2" xfId="9575" xr:uid="{D42032BC-E9D5-4470-BD22-3E0CF2D9D45B}"/>
    <cellStyle name="Comma 11 2 2 3 11 5 2 2" xfId="24753" xr:uid="{C959165A-5434-40D7-B79B-1770059A99A4}"/>
    <cellStyle name="Comma 11 2 2 3 11 5 3" xfId="17293" xr:uid="{41AE75B6-018C-47E7-BC34-0CE0F822D0D4}"/>
    <cellStyle name="Comma 11 2 2 3 11 6" xfId="9061" xr:uid="{A400A37A-6E0D-4986-850F-41AD57322384}"/>
    <cellStyle name="Comma 11 2 2 3 11 6 2" xfId="13234" xr:uid="{E00BFCF2-72AA-470D-8B87-5F4EDEEAE12E}"/>
    <cellStyle name="Comma 11 2 2 3 11 6 2 2" xfId="28411" xr:uid="{25291DF7-DAF0-479D-9CAF-248537187CA3}"/>
    <cellStyle name="Comma 11 2 2 3 11 6 3" xfId="24239" xr:uid="{F2973B73-540F-4203-99A6-419679F8A6B3}"/>
    <cellStyle name="Comma 11 2 2 3 11 7" xfId="5401" xr:uid="{BFA6D705-6C92-44C3-9C59-1E27838199C8}"/>
    <cellStyle name="Comma 11 2 2 3 11 7 2" xfId="20581" xr:uid="{27EC1BDE-FAE2-4FC0-858E-1D4F3EFAE11F}"/>
    <cellStyle name="Comma 11 2 2 3 11 8" xfId="16779" xr:uid="{9A28B4BC-2493-4F69-8541-27D2357ADEB1}"/>
    <cellStyle name="Comma 11 2 2 3 12" xfId="1647" xr:uid="{74507B53-D397-4030-AACA-163D03A2D42F}"/>
    <cellStyle name="Comma 11 2 2 3 12 2" xfId="3066" xr:uid="{2735599F-5D45-44B7-B061-AFEA01C23ED9}"/>
    <cellStyle name="Comma 11 2 2 3 12 2 2" xfId="10557" xr:uid="{3DE62A51-A78B-40F7-80C5-4516990D6C63}"/>
    <cellStyle name="Comma 11 2 2 3 12 2 2 2" xfId="14103" xr:uid="{388EE7F2-5637-42C8-A404-B5A297BB5A1A}"/>
    <cellStyle name="Comma 11 2 2 3 12 2 2 2 2" xfId="29280" xr:uid="{6D9C58AE-F523-43FD-A389-ABE47881CED9}"/>
    <cellStyle name="Comma 11 2 2 3 12 2 2 3" xfId="25735" xr:uid="{7B1F5FF2-A63D-4F52-B1C7-2CDBB47765BB}"/>
    <cellStyle name="Comma 11 2 2 3 12 2 3" xfId="6383" xr:uid="{81B8B088-80B1-4822-8A46-E710AEF51B51}"/>
    <cellStyle name="Comma 11 2 2 3 12 2 3 2" xfId="21563" xr:uid="{766C8F76-E30F-4206-A10D-07961AC375AA}"/>
    <cellStyle name="Comma 11 2 2 3 12 2 4" xfId="18275" xr:uid="{6A263956-F252-492F-A377-92EFC3362FF8}"/>
    <cellStyle name="Comma 11 2 2 3 12 3" xfId="3953" xr:uid="{18BF0AAB-36B0-4AFE-9F78-D62E44899BE3}"/>
    <cellStyle name="Comma 11 2 2 3 12 3 2" xfId="11441" xr:uid="{DA56096A-0400-4D3F-A4EE-937339F8DD98}"/>
    <cellStyle name="Comma 11 2 2 3 12 3 2 2" xfId="14987" xr:uid="{427B5FB6-2AF9-4282-B5C7-4A74523D58CE}"/>
    <cellStyle name="Comma 11 2 2 3 12 3 2 2 2" xfId="30164" xr:uid="{5CA94DF1-08CB-4C8E-AB99-E472BFBEE217}"/>
    <cellStyle name="Comma 11 2 2 3 12 3 2 3" xfId="26619" xr:uid="{FE87CC25-CF07-4934-890E-21FC3402321A}"/>
    <cellStyle name="Comma 11 2 2 3 12 3 3" xfId="7267" xr:uid="{205D867B-F1EC-48E7-9F09-9923CC94472D}"/>
    <cellStyle name="Comma 11 2 2 3 12 3 3 2" xfId="22447" xr:uid="{F54CBC53-2FBF-4DFC-9EDD-AABED87845F3}"/>
    <cellStyle name="Comma 11 2 2 3 12 3 4" xfId="19159" xr:uid="{E0D9B5FD-4871-4077-9ED9-47F5AEA8E7D1}"/>
    <cellStyle name="Comma 11 2 2 3 12 4" xfId="4083" xr:uid="{6BC85005-4F44-4768-9784-4CD6CA1680E9}"/>
    <cellStyle name="Comma 11 2 2 3 12 4 2" xfId="11568" xr:uid="{F2C15E0A-41F6-4699-8156-900032773326}"/>
    <cellStyle name="Comma 11 2 2 3 12 4 2 2" xfId="15114" xr:uid="{1D16420D-F429-4B6A-9A95-5EF2F3A4AC29}"/>
    <cellStyle name="Comma 11 2 2 3 12 4 2 2 2" xfId="30291" xr:uid="{86EAB85B-F9F4-40B9-81B6-3A0B82101C73}"/>
    <cellStyle name="Comma 11 2 2 3 12 4 2 3" xfId="26746" xr:uid="{DCABC5C4-99CF-4299-9E60-502748963D9C}"/>
    <cellStyle name="Comma 11 2 2 3 12 4 3" xfId="7394" xr:uid="{AB492DCE-0670-4AC5-9502-AB386EE16789}"/>
    <cellStyle name="Comma 11 2 2 3 12 4 3 2" xfId="22574" xr:uid="{24897D78-1268-4152-86C7-F20E7E91E6A3}"/>
    <cellStyle name="Comma 11 2 2 3 12 4 4" xfId="19286" xr:uid="{FF67B1E0-69BF-4EFA-976F-A892BAEB1777}"/>
    <cellStyle name="Comma 11 2 2 3 12 5" xfId="2176" xr:uid="{CFEF48F6-709C-4D0F-8A95-AC85C6A4CE3E}"/>
    <cellStyle name="Comma 11 2 2 3 12 5 2" xfId="9673" xr:uid="{7A7BA33E-7675-4A4F-8435-D3D29CDCA538}"/>
    <cellStyle name="Comma 11 2 2 3 12 5 2 2" xfId="24851" xr:uid="{C5CA2069-F28B-4306-8B29-70DAB3619814}"/>
    <cellStyle name="Comma 11 2 2 3 12 5 3" xfId="17391" xr:uid="{DC4CBC31-EA49-4270-A5FD-021CA2866D5E}"/>
    <cellStyle name="Comma 11 2 2 3 12 6" xfId="9159" xr:uid="{7762DB56-8655-49EF-84A3-C254CB2D5E63}"/>
    <cellStyle name="Comma 11 2 2 3 12 6 2" xfId="13332" xr:uid="{12EE4553-9251-4F28-8002-5A655BC5B443}"/>
    <cellStyle name="Comma 11 2 2 3 12 6 2 2" xfId="28509" xr:uid="{A995AAFC-EDAF-4085-869C-2C2AA91E17B5}"/>
    <cellStyle name="Comma 11 2 2 3 12 6 3" xfId="24337" xr:uid="{3B3CE79E-56D9-4E4D-A7A4-15C2A3F7FE59}"/>
    <cellStyle name="Comma 11 2 2 3 12 7" xfId="5499" xr:uid="{12A0643A-CE57-4DD7-9B6E-8A3CD685691E}"/>
    <cellStyle name="Comma 11 2 2 3 12 7 2" xfId="20679" xr:uid="{CDB7E4DB-BD12-4BBC-803E-3771A8D86202}"/>
    <cellStyle name="Comma 11 2 2 3 12 8" xfId="16877" xr:uid="{9814A673-FEE6-4192-A456-E346A1283534}"/>
    <cellStyle name="Comma 11 2 2 3 13" xfId="2276" xr:uid="{17B9E8E6-8C66-485F-9E0F-0813FFFE5E0E}"/>
    <cellStyle name="Comma 11 2 2 3 13 2" xfId="9771" xr:uid="{112B106B-4086-4D32-9427-925BB093FE35}"/>
    <cellStyle name="Comma 11 2 2 3 13 2 2" xfId="13430" xr:uid="{B85ACF8B-4BED-412E-9AA7-476A2EF1A024}"/>
    <cellStyle name="Comma 11 2 2 3 13 2 2 2" xfId="28607" xr:uid="{6756E2C9-B8F4-442F-A5A7-5AE48BD2B55F}"/>
    <cellStyle name="Comma 11 2 2 3 13 2 3" xfId="24949" xr:uid="{FAE5D479-26E8-42B1-826C-5F7135FE31F3}"/>
    <cellStyle name="Comma 11 2 2 3 13 3" xfId="5597" xr:uid="{56B09D52-571B-4D50-B55F-D844C7AED910}"/>
    <cellStyle name="Comma 11 2 2 3 13 3 2" xfId="20777" xr:uid="{2D0B4DA7-E1C2-4F24-95EE-EFADA7A6C171}"/>
    <cellStyle name="Comma 11 2 2 3 13 4" xfId="17489" xr:uid="{080C01DD-8DE8-4DAA-9A54-D628084C6D5C}"/>
    <cellStyle name="Comma 11 2 2 3 14" xfId="3166" xr:uid="{932D010C-F161-4F71-8E3D-1B66F3677271}"/>
    <cellStyle name="Comma 11 2 2 3 14 2" xfId="10655" xr:uid="{EFB22C89-7575-4AFE-88D7-F3D4ACC613BD}"/>
    <cellStyle name="Comma 11 2 2 3 14 2 2" xfId="14201" xr:uid="{53BFA845-8CDC-40C7-81FC-AED91B9B10C1}"/>
    <cellStyle name="Comma 11 2 2 3 14 2 2 2" xfId="29378" xr:uid="{7348CE05-E7DB-404E-8974-D715F927BF4A}"/>
    <cellStyle name="Comma 11 2 2 3 14 2 3" xfId="25833" xr:uid="{20ADD656-BA61-40F5-A7EA-3BFBFEE35D27}"/>
    <cellStyle name="Comma 11 2 2 3 14 3" xfId="6481" xr:uid="{7E291A0C-8D90-4DAD-B201-2946645E7893}"/>
    <cellStyle name="Comma 11 2 2 3 14 3 2" xfId="21661" xr:uid="{32C2B72C-A32E-4037-B709-C2C265072BEC}"/>
    <cellStyle name="Comma 11 2 2 3 14 4" xfId="18373" xr:uid="{1B463F83-AF0E-4698-A83F-A5FB780EFD20}"/>
    <cellStyle name="Comma 11 2 2 3 15" xfId="4084" xr:uid="{F94C96EA-EAB5-4499-8105-3F47678BA40C}"/>
    <cellStyle name="Comma 11 2 2 3 15 2" xfId="11569" xr:uid="{05F5290A-9C1B-40C3-B933-78F650B6A87B}"/>
    <cellStyle name="Comma 11 2 2 3 15 2 2" xfId="15115" xr:uid="{2DD1CABA-5A71-4B68-83F5-BEEFA9355686}"/>
    <cellStyle name="Comma 11 2 2 3 15 2 2 2" xfId="30292" xr:uid="{A86360AA-0E7D-4998-A2C7-C96040BBD0E2}"/>
    <cellStyle name="Comma 11 2 2 3 15 2 3" xfId="26747" xr:uid="{F3B6036B-9020-4995-AE99-80C0FEC7152A}"/>
    <cellStyle name="Comma 11 2 2 3 15 3" xfId="7395" xr:uid="{1DF96453-779B-4164-9D0D-468A678313EB}"/>
    <cellStyle name="Comma 11 2 2 3 15 3 2" xfId="22575" xr:uid="{6047F1C5-DA4B-40B0-9EAC-10FF30A97ECE}"/>
    <cellStyle name="Comma 11 2 2 3 15 4" xfId="19287" xr:uid="{D830DDC5-8C4F-41A1-8337-80FCFB00A6CF}"/>
    <cellStyle name="Comma 11 2 2 3 16" xfId="8372" xr:uid="{FD60213D-6394-4A16-A83A-F4FBBF33DF67}"/>
    <cellStyle name="Comma 11 2 2 3 16 2" xfId="12546" xr:uid="{A36848FB-D575-4186-A1EE-75B21AC765CD}"/>
    <cellStyle name="Comma 11 2 2 3 16 2 2" xfId="27723" xr:uid="{71B53BAF-9D77-4866-81A0-28CAEF2E597A}"/>
    <cellStyle name="Comma 11 2 2 3 16 3" xfId="23551" xr:uid="{7D4554CB-4FAB-4642-9913-55E7837FE74D}"/>
    <cellStyle name="Comma 11 2 2 3 17" xfId="16091" xr:uid="{16307A3B-1C4D-4D63-B37D-4D4F1869CBB6}"/>
    <cellStyle name="Comma 11 2 2 3 18" xfId="31433" xr:uid="{56544D23-D875-4DBF-B2B7-FA063177D795}"/>
    <cellStyle name="Comma 11 2 2 3 19" xfId="693" xr:uid="{A14F7343-2530-4A20-962D-E1A8579DE964}"/>
    <cellStyle name="Comma 11 2 2 3 2" xfId="566" xr:uid="{981EBCB5-3F8F-4013-BE6C-822AE78DA431}"/>
    <cellStyle name="Comma 11 2 2 3 2 10" xfId="2301" xr:uid="{B2AA4612-56A4-46CB-B9D4-9C48B8D616CD}"/>
    <cellStyle name="Comma 11 2 2 3 2 10 2" xfId="9796" xr:uid="{830B6345-37F5-43F1-8EDE-4B60142A9AFF}"/>
    <cellStyle name="Comma 11 2 2 3 2 10 2 2" xfId="13455" xr:uid="{E25E0539-0B4F-4A0F-AB34-A0741D55DC3A}"/>
    <cellStyle name="Comma 11 2 2 3 2 10 2 2 2" xfId="28632" xr:uid="{E5726FA3-BAA5-450F-9D20-AE4CB3F3A137}"/>
    <cellStyle name="Comma 11 2 2 3 2 10 2 3" xfId="24974" xr:uid="{778EB43E-C2B3-40DB-82AC-D741AA74BE65}"/>
    <cellStyle name="Comma 11 2 2 3 2 10 3" xfId="5622" xr:uid="{81FFCC85-9DCB-4911-99E7-FF248C9824A0}"/>
    <cellStyle name="Comma 11 2 2 3 2 10 3 2" xfId="20802" xr:uid="{CFDFEABC-22B4-41FD-AAED-D4FCAC690E6D}"/>
    <cellStyle name="Comma 11 2 2 3 2 10 4" xfId="17514" xr:uid="{2463ADFF-6C32-42CE-9260-019ED772939E}"/>
    <cellStyle name="Comma 11 2 2 3 2 11" xfId="3191" xr:uid="{FA2FBE45-924F-4457-A6BA-53E88FF06FD9}"/>
    <cellStyle name="Comma 11 2 2 3 2 11 2" xfId="10680" xr:uid="{48828E89-4EB4-429F-9F4A-CA7557CDFBA1}"/>
    <cellStyle name="Comma 11 2 2 3 2 11 2 2" xfId="14226" xr:uid="{500BB63E-CF33-4101-8930-EBB37A83B3AC}"/>
    <cellStyle name="Comma 11 2 2 3 2 11 2 2 2" xfId="29403" xr:uid="{5D86C588-2E14-4707-BAB3-0E17229916D0}"/>
    <cellStyle name="Comma 11 2 2 3 2 11 2 3" xfId="25858" xr:uid="{CE6EAA2F-BB22-42DC-93C7-540ACCC787FA}"/>
    <cellStyle name="Comma 11 2 2 3 2 11 3" xfId="6506" xr:uid="{26E4E469-3B36-4FD0-BB68-D0DFD9C9771D}"/>
    <cellStyle name="Comma 11 2 2 3 2 11 3 2" xfId="21686" xr:uid="{49F1B339-D5D6-4F7E-BE6D-3DB072BAD24D}"/>
    <cellStyle name="Comma 11 2 2 3 2 11 4" xfId="18398" xr:uid="{60046764-7BF6-4232-9FB9-A768F1B4591D}"/>
    <cellStyle name="Comma 11 2 2 3 2 12" xfId="4085" xr:uid="{A7937619-F5CB-4E6F-A15F-55C917B00B5D}"/>
    <cellStyle name="Comma 11 2 2 3 2 12 2" xfId="11570" xr:uid="{357C7A86-1BD2-427E-96BA-084DF4C88105}"/>
    <cellStyle name="Comma 11 2 2 3 2 12 2 2" xfId="15116" xr:uid="{8F9FDB6C-6785-4103-B018-92DDCEBD5876}"/>
    <cellStyle name="Comma 11 2 2 3 2 12 2 2 2" xfId="30293" xr:uid="{DCB9967D-C73F-475F-98E4-C1436C01E102}"/>
    <cellStyle name="Comma 11 2 2 3 2 12 2 3" xfId="26748" xr:uid="{4366683A-AAE7-4EC8-BA0C-07336FCEC585}"/>
    <cellStyle name="Comma 11 2 2 3 2 12 3" xfId="7396" xr:uid="{68E9B618-8C35-483B-9F5A-D53D451C1828}"/>
    <cellStyle name="Comma 11 2 2 3 2 12 3 2" xfId="22576" xr:uid="{A76795BA-C915-40A2-BF24-AEF3F113B712}"/>
    <cellStyle name="Comma 11 2 2 3 2 12 4" xfId="19288" xr:uid="{876AA8FF-59F2-45FA-BE35-2D62B60AA692}"/>
    <cellStyle name="Comma 11 2 2 3 2 13" xfId="8397" xr:uid="{087F6518-0BE1-46C9-92AB-4153434C936B}"/>
    <cellStyle name="Comma 11 2 2 3 2 13 2" xfId="12571" xr:uid="{6367974B-52AD-415E-A11F-E5D658B0B254}"/>
    <cellStyle name="Comma 11 2 2 3 2 13 2 2" xfId="27748" xr:uid="{E25F673C-78D7-4C27-B569-1DDD807A39B1}"/>
    <cellStyle name="Comma 11 2 2 3 2 13 3" xfId="23576" xr:uid="{164A7B6C-68F4-472E-826D-70E406F18499}"/>
    <cellStyle name="Comma 11 2 2 3 2 14" xfId="16116" xr:uid="{BD7841E7-D6C6-4A4E-B54E-AB81699A3B1C}"/>
    <cellStyle name="Comma 11 2 2 3 2 15" xfId="31458" xr:uid="{917C1E08-F521-42AD-841A-3303E34A05EA}"/>
    <cellStyle name="Comma 11 2 2 3 2 16" xfId="728" xr:uid="{7DBE9B26-226C-400B-8175-B7765B032A1F}"/>
    <cellStyle name="Comma 11 2 2 3 2 2" xfId="780" xr:uid="{823F09A2-0562-4943-B934-32AB535263FA}"/>
    <cellStyle name="Comma 11 2 2 3 2 2 10" xfId="8446" xr:uid="{B7481DB8-2D21-4508-B570-40BC1F5A4294}"/>
    <cellStyle name="Comma 11 2 2 3 2 2 10 2" xfId="12620" xr:uid="{33B542EB-D606-416C-842B-8EF2F61E44A9}"/>
    <cellStyle name="Comma 11 2 2 3 2 2 10 2 2" xfId="27797" xr:uid="{82D05A84-3E3B-433F-8591-764DAEA3D705}"/>
    <cellStyle name="Comma 11 2 2 3 2 2 10 3" xfId="23625" xr:uid="{58CE5C8B-FFF8-4446-B9FB-6544E3E0DC39}"/>
    <cellStyle name="Comma 11 2 2 3 2 2 11" xfId="16165" xr:uid="{868888D1-E4CD-43B0-9591-181BE32A080F}"/>
    <cellStyle name="Comma 11 2 2 3 2 2 12" xfId="31507" xr:uid="{C849ECA5-B904-44CD-85B4-2EE5B5142DDC}"/>
    <cellStyle name="Comma 11 2 2 3 2 2 2" xfId="957" xr:uid="{EA34D8F7-9633-4C4C-8069-497E574ABA11}"/>
    <cellStyle name="Comma 11 2 2 3 2 2 2 10" xfId="16287" xr:uid="{A1BF23BF-F2AA-48F4-AF40-56A9E7C49192}"/>
    <cellStyle name="Comma 11 2 2 3 2 2 2 11" xfId="31377" xr:uid="{9C82F3DC-7108-4F2B-ADFD-CE711C55C51D}"/>
    <cellStyle name="Comma 11 2 2 3 2 2 2 12" xfId="31727" xr:uid="{EBAE7571-B63A-4C12-A69E-4158DA3D6391}"/>
    <cellStyle name="Comma 11 2 2 3 2 2 2 2" xfId="1318" xr:uid="{307C2FC7-5EC8-4377-95D9-475D6DF406AF}"/>
    <cellStyle name="Comma 11 2 2 3 2 2 2 2 2" xfId="3635" xr:uid="{8C626560-70E1-4C57-B024-B7B9BDA9F67F}"/>
    <cellStyle name="Comma 11 2 2 3 2 2 2 2 2 2" xfId="11123" xr:uid="{B8206BDE-D4F4-42F8-96BD-52EAED0DF439}"/>
    <cellStyle name="Comma 11 2 2 3 2 2 2 2 2 2 2" xfId="14669" xr:uid="{85FF8BA0-79E2-4BA0-8BD6-3EB0B3D1A957}"/>
    <cellStyle name="Comma 11 2 2 3 2 2 2 2 2 2 2 2" xfId="29846" xr:uid="{DF7E15F7-0E5A-42D5-9213-0EC2F7BEF9B9}"/>
    <cellStyle name="Comma 11 2 2 3 2 2 2 2 2 2 3" xfId="26301" xr:uid="{DF0059A1-A031-421C-9D7A-B311B597CEE7}"/>
    <cellStyle name="Comma 11 2 2 3 2 2 2 2 2 3" xfId="6949" xr:uid="{655B0B19-66CC-4DEC-8C07-EB24E9F492E5}"/>
    <cellStyle name="Comma 11 2 2 3 2 2 2 2 2 3 2" xfId="22129" xr:uid="{D4BF6F22-0FA5-4D1E-8AAF-1F79D41F4361}"/>
    <cellStyle name="Comma 11 2 2 3 2 2 2 2 2 4" xfId="18841" xr:uid="{478EEF54-D7F8-434A-82EF-1D1370672756}"/>
    <cellStyle name="Comma 11 2 2 3 2 2 2 2 3" xfId="4086" xr:uid="{9A895F83-A9E5-4793-9072-EF8CCF5D2209}"/>
    <cellStyle name="Comma 11 2 2 3 2 2 2 2 3 2" xfId="11571" xr:uid="{FBE0E4E2-AADB-4F03-AEE8-17386DEB5BBF}"/>
    <cellStyle name="Comma 11 2 2 3 2 2 2 2 3 2 2" xfId="15117" xr:uid="{EA5B5176-8855-448C-9F38-1DDE334FFEAD}"/>
    <cellStyle name="Comma 11 2 2 3 2 2 2 2 3 2 2 2" xfId="30294" xr:uid="{FE6873BE-C3EF-4235-BAA2-BF0BB60B4B88}"/>
    <cellStyle name="Comma 11 2 2 3 2 2 2 2 3 2 3" xfId="26749" xr:uid="{6A013B62-F2DE-4A5E-B8EC-06469148EA90}"/>
    <cellStyle name="Comma 11 2 2 3 2 2 2 2 3 3" xfId="7397" xr:uid="{A2300BF3-8427-4007-9D7F-D09A995AB42C}"/>
    <cellStyle name="Comma 11 2 2 3 2 2 2 2 3 3 2" xfId="22577" xr:uid="{5E7A6416-43BB-4C01-A6F2-5E807ADB8718}"/>
    <cellStyle name="Comma 11 2 2 3 2 2 2 2 3 4" xfId="19289" xr:uid="{39D48578-4DC4-4706-951E-7EA692459D0F}"/>
    <cellStyle name="Comma 11 2 2 3 2 2 2 2 4" xfId="2748" xr:uid="{CE9F7F63-ECB5-4D2C-89F4-E02F8B90645A}"/>
    <cellStyle name="Comma 11 2 2 3 2 2 2 2 4 2" xfId="10239" xr:uid="{9F01773A-EB9D-4D86-9CFA-F6BDB3392EAF}"/>
    <cellStyle name="Comma 11 2 2 3 2 2 2 2 4 2 2" xfId="25417" xr:uid="{CD011DE3-1025-4A8D-8794-11F0E4B544B0}"/>
    <cellStyle name="Comma 11 2 2 3 2 2 2 2 4 3" xfId="17957" xr:uid="{AD0DEEC9-BB8E-43A8-A9B8-044E1C2A26B1}"/>
    <cellStyle name="Comma 11 2 2 3 2 2 2 2 5" xfId="8841" xr:uid="{E70EEE23-6494-4140-916D-21F8607630A3}"/>
    <cellStyle name="Comma 11 2 2 3 2 2 2 2 5 2" xfId="13014" xr:uid="{B6962C75-E95E-4646-B089-AC2602AE881C}"/>
    <cellStyle name="Comma 11 2 2 3 2 2 2 2 5 2 2" xfId="28191" xr:uid="{E05A9A1C-B105-46BA-9AF7-E810DE7EFF71}"/>
    <cellStyle name="Comma 11 2 2 3 2 2 2 2 5 3" xfId="24019" xr:uid="{B7E2F049-5B96-4DD8-A449-CB8CA835191A}"/>
    <cellStyle name="Comma 11 2 2 3 2 2 2 2 6" xfId="6065" xr:uid="{383D178E-9B70-4AB4-B3F0-F3C8C38F022B}"/>
    <cellStyle name="Comma 11 2 2 3 2 2 2 2 6 2" xfId="21245" xr:uid="{97C75774-F4F7-45B9-A90F-A1A266BCB367}"/>
    <cellStyle name="Comma 11 2 2 3 2 2 2 2 7" xfId="16559" xr:uid="{A0809F98-ADE9-4FC4-82C7-C78461B884DB}"/>
    <cellStyle name="Comma 11 2 2 3 2 2 2 3" xfId="2475" xr:uid="{48E33017-D238-4C60-A600-A2CD3B7011CE}"/>
    <cellStyle name="Comma 11 2 2 3 2 2 2 3 2" xfId="9967" xr:uid="{0059CF43-13A3-4473-A7C0-3A5BB1DD477B}"/>
    <cellStyle name="Comma 11 2 2 3 2 2 2 3 2 2" xfId="13626" xr:uid="{837AF0DA-476A-4A0E-8DA3-DCA78F3B7428}"/>
    <cellStyle name="Comma 11 2 2 3 2 2 2 3 2 2 2" xfId="28803" xr:uid="{644C95F8-0BA0-4002-8106-C80C151BA9AB}"/>
    <cellStyle name="Comma 11 2 2 3 2 2 2 3 2 3" xfId="25145" xr:uid="{C9105CBC-37C0-4D8A-8129-8642C930857D}"/>
    <cellStyle name="Comma 11 2 2 3 2 2 2 3 3" xfId="5793" xr:uid="{093CA46E-CC4C-415D-B86A-404D133AE8C8}"/>
    <cellStyle name="Comma 11 2 2 3 2 2 2 3 3 2" xfId="20973" xr:uid="{0DF76581-CC68-438F-8D6B-44545B86953F}"/>
    <cellStyle name="Comma 11 2 2 3 2 2 2 3 4" xfId="17685" xr:uid="{FA5E465C-EDB8-4DCD-A897-96ADA6BC7720}"/>
    <cellStyle name="Comma 11 2 2 3 2 2 2 4" xfId="3363" xr:uid="{AC1AB54C-3E73-4653-A442-40C69F9816B8}"/>
    <cellStyle name="Comma 11 2 2 3 2 2 2 4 2" xfId="10851" xr:uid="{C19E7274-B8AE-48C1-8336-9957491FAD96}"/>
    <cellStyle name="Comma 11 2 2 3 2 2 2 4 2 2" xfId="14397" xr:uid="{02FFCB45-27F3-4AF3-B610-A757629DDA06}"/>
    <cellStyle name="Comma 11 2 2 3 2 2 2 4 2 2 2" xfId="29574" xr:uid="{5C047DB3-FDB3-459E-A025-274A9C95685D}"/>
    <cellStyle name="Comma 11 2 2 3 2 2 2 4 2 3" xfId="26029" xr:uid="{A7A356CE-414E-4B16-8B57-DA56B278CE03}"/>
    <cellStyle name="Comma 11 2 2 3 2 2 2 4 3" xfId="6677" xr:uid="{EC048DA0-94E7-4405-90E2-B5CEBADD45C8}"/>
    <cellStyle name="Comma 11 2 2 3 2 2 2 4 3 2" xfId="21857" xr:uid="{F15867CF-E54A-41FF-BA3B-10D2BE2DF653}"/>
    <cellStyle name="Comma 11 2 2 3 2 2 2 4 4" xfId="18569" xr:uid="{76ACCB2D-A5C0-442A-9A81-FD776CE9230C}"/>
    <cellStyle name="Comma 11 2 2 3 2 2 2 5" xfId="4087" xr:uid="{438C4C05-4321-4784-9A3C-39EAFCEB0616}"/>
    <cellStyle name="Comma 11 2 2 3 2 2 2 5 2" xfId="11572" xr:uid="{B7EFDCBB-521C-4F28-B43E-1958A17C722F}"/>
    <cellStyle name="Comma 11 2 2 3 2 2 2 5 2 2" xfId="15118" xr:uid="{968222A9-ABEE-4397-A85B-F6AB19C615DF}"/>
    <cellStyle name="Comma 11 2 2 3 2 2 2 5 2 2 2" xfId="30295" xr:uid="{1C38D359-932D-45E6-B560-08DD71B2B2EA}"/>
    <cellStyle name="Comma 11 2 2 3 2 2 2 5 2 3" xfId="26750" xr:uid="{FEF799EF-987C-44F4-9869-2B219380F51E}"/>
    <cellStyle name="Comma 11 2 2 3 2 2 2 5 3" xfId="7398" xr:uid="{9ADBF615-158F-4223-BC66-41AB417C03A5}"/>
    <cellStyle name="Comma 11 2 2 3 2 2 2 5 3 2" xfId="22578" xr:uid="{513DDDEA-17F0-41B0-A679-964884CDF9DD}"/>
    <cellStyle name="Comma 11 2 2 3 2 2 2 5 4" xfId="19290" xr:uid="{F8F14726-5ADA-4CD0-9F44-C7007C7FCCA6}"/>
    <cellStyle name="Comma 11 2 2 3 2 2 2 6" xfId="5037" xr:uid="{59951B7D-F9EA-4B3A-81FD-9EEAF5376106}"/>
    <cellStyle name="Comma 11 2 2 3 2 2 2 6 2" xfId="12521" xr:uid="{4F957037-EAA4-491D-BA05-3C96C37F2022}"/>
    <cellStyle name="Comma 11 2 2 3 2 2 2 6 2 2" xfId="16067" xr:uid="{2047139F-409D-451D-9BC6-A0264481561C}"/>
    <cellStyle name="Comma 11 2 2 3 2 2 2 6 2 2 2" xfId="31244" xr:uid="{7E2E23B3-4C46-4839-8F93-E45BDB6113DE}"/>
    <cellStyle name="Comma 11 2 2 3 2 2 2 6 2 3" xfId="27699" xr:uid="{DA28995B-4FC7-415F-9346-309C10F8EF29}"/>
    <cellStyle name="Comma 11 2 2 3 2 2 2 6 3" xfId="8347" xr:uid="{A652AB46-BB3B-4A89-A4C8-2508F4CE276F}"/>
    <cellStyle name="Comma 11 2 2 3 2 2 2 6 3 2" xfId="23527" xr:uid="{C1F3BEBD-5112-4AE4-84E6-9B3CC355F7D3}"/>
    <cellStyle name="Comma 11 2 2 3 2 2 2 6 4" xfId="20239" xr:uid="{16D3267F-A50C-4CD3-91DE-167CEC7EEC57}"/>
    <cellStyle name="Comma 11 2 2 3 2 2 2 7" xfId="1858" xr:uid="{CBBBAC63-B64D-4B40-BC57-80B05B4AB55B}"/>
    <cellStyle name="Comma 11 2 2 3 2 2 2 7 2" xfId="9355" xr:uid="{923AF66F-9B59-4E34-B74D-E27A36D2D221}"/>
    <cellStyle name="Comma 11 2 2 3 2 2 2 7 2 2" xfId="24533" xr:uid="{ABD42F37-F78A-45EE-8489-1EF14F64FBA8}"/>
    <cellStyle name="Comma 11 2 2 3 2 2 2 7 3" xfId="17073" xr:uid="{C1E6BA50-107E-49AD-B6B4-068262FEE17F}"/>
    <cellStyle name="Comma 11 2 2 3 2 2 2 8" xfId="8569" xr:uid="{B8C34006-728B-488F-8B08-2A201308A74D}"/>
    <cellStyle name="Comma 11 2 2 3 2 2 2 8 2" xfId="12742" xr:uid="{432461F9-AAC0-4A9B-B6FB-F0A1EDF7D143}"/>
    <cellStyle name="Comma 11 2 2 3 2 2 2 8 2 2" xfId="27919" xr:uid="{3F868EE5-C65E-404A-9DFF-BBBD8AFB4955}"/>
    <cellStyle name="Comma 11 2 2 3 2 2 2 8 3" xfId="23747" xr:uid="{3F2C3E54-4F51-42B9-B3AE-64D5238F227C}"/>
    <cellStyle name="Comma 11 2 2 3 2 2 2 9" xfId="5181" xr:uid="{4265CB1A-AE22-4FBD-A290-BBE5660610FE}"/>
    <cellStyle name="Comma 11 2 2 3 2 2 2 9 2" xfId="20361" xr:uid="{DB0CB827-BD8F-4A09-82A8-F5935E1F8A16}"/>
    <cellStyle name="Comma 11 2 2 3 2 2 3" xfId="1060" xr:uid="{3E8946CC-44DF-4DE8-9C66-72F8EF4BE0F8}"/>
    <cellStyle name="Comma 11 2 2 3 2 2 3 10" xfId="31605" xr:uid="{0D207CC0-56B5-410E-B3D0-562196ED788E}"/>
    <cellStyle name="Comma 11 2 2 3 2 2 3 2" xfId="1420" xr:uid="{31A69292-901E-49DF-9578-BAFF5C30C536}"/>
    <cellStyle name="Comma 11 2 2 3 2 2 3 2 2" xfId="3733" xr:uid="{C6EB5267-EAC3-417C-9862-DD50530F5689}"/>
    <cellStyle name="Comma 11 2 2 3 2 2 3 2 2 2" xfId="11221" xr:uid="{9B4F5D2D-739B-4262-9F20-64CF581D0D1D}"/>
    <cellStyle name="Comma 11 2 2 3 2 2 3 2 2 2 2" xfId="14767" xr:uid="{57B8E089-963E-42E4-AA08-61F397611607}"/>
    <cellStyle name="Comma 11 2 2 3 2 2 3 2 2 2 2 2" xfId="29944" xr:uid="{D1A7AFA1-1399-439F-BA01-B2D40E0F121B}"/>
    <cellStyle name="Comma 11 2 2 3 2 2 3 2 2 2 3" xfId="26399" xr:uid="{2CDF7965-CC58-4E7C-AB8C-9DC968E8333A}"/>
    <cellStyle name="Comma 11 2 2 3 2 2 3 2 2 3" xfId="7047" xr:uid="{458E6984-0DBB-463C-8E9F-228BC1DD127E}"/>
    <cellStyle name="Comma 11 2 2 3 2 2 3 2 2 3 2" xfId="22227" xr:uid="{11F97B39-7A0F-43CB-A7DE-06D0825545DF}"/>
    <cellStyle name="Comma 11 2 2 3 2 2 3 2 2 4" xfId="18939" xr:uid="{C67686F1-D88A-4D71-AFDC-E07191CDB236}"/>
    <cellStyle name="Comma 11 2 2 3 2 2 3 2 3" xfId="4088" xr:uid="{E9761021-0F06-433A-BA05-F35F7F6305C1}"/>
    <cellStyle name="Comma 11 2 2 3 2 2 3 2 3 2" xfId="11573" xr:uid="{C3C98B20-1C73-4C13-ACC0-F5ED41884813}"/>
    <cellStyle name="Comma 11 2 2 3 2 2 3 2 3 2 2" xfId="15119" xr:uid="{F7A2129E-40D6-488F-9767-DDF352D239A6}"/>
    <cellStyle name="Comma 11 2 2 3 2 2 3 2 3 2 2 2" xfId="30296" xr:uid="{4856A6A1-F0BE-4834-B1A1-2A4BA547C22E}"/>
    <cellStyle name="Comma 11 2 2 3 2 2 3 2 3 2 3" xfId="26751" xr:uid="{AFEE4188-C08E-45C4-B1C9-C0ACA4E6CAEF}"/>
    <cellStyle name="Comma 11 2 2 3 2 2 3 2 3 3" xfId="7399" xr:uid="{83759212-4B1F-424C-BCE3-9BB5AEB9370A}"/>
    <cellStyle name="Comma 11 2 2 3 2 2 3 2 3 3 2" xfId="22579" xr:uid="{4A1F600D-B778-4A26-B1AB-7FB9EFDE8164}"/>
    <cellStyle name="Comma 11 2 2 3 2 2 3 2 3 4" xfId="19291" xr:uid="{C7B0DB93-8217-4FC8-8FD1-4F0F890FB14E}"/>
    <cellStyle name="Comma 11 2 2 3 2 2 3 2 4" xfId="2846" xr:uid="{FEE1D294-C25C-4D15-B226-7F19746905AD}"/>
    <cellStyle name="Comma 11 2 2 3 2 2 3 2 4 2" xfId="10337" xr:uid="{0086DE46-B3D0-42A0-BC84-FB5C08A11990}"/>
    <cellStyle name="Comma 11 2 2 3 2 2 3 2 4 2 2" xfId="25515" xr:uid="{A9A0DB25-A31F-48F5-956D-793A87748ADA}"/>
    <cellStyle name="Comma 11 2 2 3 2 2 3 2 4 3" xfId="18055" xr:uid="{C3BA3B79-463E-4D73-B447-31432FBD3E9F}"/>
    <cellStyle name="Comma 11 2 2 3 2 2 3 2 5" xfId="8939" xr:uid="{A1D3F558-2975-4992-83A9-A647B2E5D224}"/>
    <cellStyle name="Comma 11 2 2 3 2 2 3 2 5 2" xfId="13112" xr:uid="{9B31C31C-24A9-4B72-9F05-89A1F86A97B8}"/>
    <cellStyle name="Comma 11 2 2 3 2 2 3 2 5 2 2" xfId="28289" xr:uid="{4EF669FD-546E-4039-A1CE-85AE5207D4B6}"/>
    <cellStyle name="Comma 11 2 2 3 2 2 3 2 5 3" xfId="24117" xr:uid="{1064A0A3-32CB-40AD-BB72-666FF9256D48}"/>
    <cellStyle name="Comma 11 2 2 3 2 2 3 2 6" xfId="6163" xr:uid="{993F2E6C-8C4C-4DD3-AF5B-1A70A1D9B661}"/>
    <cellStyle name="Comma 11 2 2 3 2 2 3 2 6 2" xfId="21343" xr:uid="{BA647EC1-4748-458C-A696-C8C5A9660EAD}"/>
    <cellStyle name="Comma 11 2 2 3 2 2 3 2 7" xfId="16657" xr:uid="{E0F2ABBE-742C-41A3-AA60-B1E61102379E}"/>
    <cellStyle name="Comma 11 2 2 3 2 2 3 3" xfId="2573" xr:uid="{4A7864B2-4E3F-4284-B0A4-3F049A206510}"/>
    <cellStyle name="Comma 11 2 2 3 2 2 3 3 2" xfId="10065" xr:uid="{A10EBCBB-0B17-4253-8A95-0D2225E14C86}"/>
    <cellStyle name="Comma 11 2 2 3 2 2 3 3 2 2" xfId="13724" xr:uid="{6E8AA9F3-B484-48D7-A3D2-423DD99BECFF}"/>
    <cellStyle name="Comma 11 2 2 3 2 2 3 3 2 2 2" xfId="28901" xr:uid="{8AA7EE31-6E8D-4CAB-A303-BB137D447A09}"/>
    <cellStyle name="Comma 11 2 2 3 2 2 3 3 2 3" xfId="25243" xr:uid="{94E1FE56-DFD6-4C8F-9E5B-4CAF8294AB15}"/>
    <cellStyle name="Comma 11 2 2 3 2 2 3 3 3" xfId="5891" xr:uid="{0C7B3D03-891B-4C3C-B94D-502AA35A1963}"/>
    <cellStyle name="Comma 11 2 2 3 2 2 3 3 3 2" xfId="21071" xr:uid="{BEBBBCBE-2E6D-4E7F-A10F-A8C8CAC13873}"/>
    <cellStyle name="Comma 11 2 2 3 2 2 3 3 4" xfId="17783" xr:uid="{8579D46C-5CC7-46ED-9832-B9979513E180}"/>
    <cellStyle name="Comma 11 2 2 3 2 2 3 4" xfId="3461" xr:uid="{CA667E77-AA9E-419B-BAB4-1D73DE6AE676}"/>
    <cellStyle name="Comma 11 2 2 3 2 2 3 4 2" xfId="10949" xr:uid="{8130B3C5-3BD5-4CDC-9798-A47CB9573779}"/>
    <cellStyle name="Comma 11 2 2 3 2 2 3 4 2 2" xfId="14495" xr:uid="{4425D2DB-E9B9-40B9-8214-6F0834548C8B}"/>
    <cellStyle name="Comma 11 2 2 3 2 2 3 4 2 2 2" xfId="29672" xr:uid="{1A52E3D5-6758-4E42-8937-11FA3A8026BC}"/>
    <cellStyle name="Comma 11 2 2 3 2 2 3 4 2 3" xfId="26127" xr:uid="{595DC5A1-839D-4A9A-AAB5-004C74664442}"/>
    <cellStyle name="Comma 11 2 2 3 2 2 3 4 3" xfId="6775" xr:uid="{8361561B-EB23-4128-B507-B485B71575E4}"/>
    <cellStyle name="Comma 11 2 2 3 2 2 3 4 3 2" xfId="21955" xr:uid="{912CD403-41AB-492B-967B-77BB7A803349}"/>
    <cellStyle name="Comma 11 2 2 3 2 2 3 4 4" xfId="18667" xr:uid="{E211A81A-8E29-4D7D-BDFF-ACECA11A4EB7}"/>
    <cellStyle name="Comma 11 2 2 3 2 2 3 5" xfId="4089" xr:uid="{83E66EE4-63A6-45F0-B26D-C5E41A8FC4C7}"/>
    <cellStyle name="Comma 11 2 2 3 2 2 3 5 2" xfId="11574" xr:uid="{47F550EE-4688-428C-AD3E-FB3983888410}"/>
    <cellStyle name="Comma 11 2 2 3 2 2 3 5 2 2" xfId="15120" xr:uid="{A78A7AB3-6531-4E56-B864-1EAF26C1E994}"/>
    <cellStyle name="Comma 11 2 2 3 2 2 3 5 2 2 2" xfId="30297" xr:uid="{F003C7CE-FB2E-4613-828E-121AAC39B5F3}"/>
    <cellStyle name="Comma 11 2 2 3 2 2 3 5 2 3" xfId="26752" xr:uid="{FE0A9DF2-3234-44B6-A05E-0C8A3DDEACCC}"/>
    <cellStyle name="Comma 11 2 2 3 2 2 3 5 3" xfId="7400" xr:uid="{B6DF643E-EBC6-41D1-9A67-8FF5CBCCEB28}"/>
    <cellStyle name="Comma 11 2 2 3 2 2 3 5 3 2" xfId="22580" xr:uid="{6A76A8E4-B6F9-4ADA-B075-402EEE33F26C}"/>
    <cellStyle name="Comma 11 2 2 3 2 2 3 5 4" xfId="19292" xr:uid="{CB74B9FA-59AA-4D66-98D2-0B8EC3883F36}"/>
    <cellStyle name="Comma 11 2 2 3 2 2 3 6" xfId="1956" xr:uid="{750582F9-33AB-4CF4-A500-46F9FE3B2B57}"/>
    <cellStyle name="Comma 11 2 2 3 2 2 3 6 2" xfId="9453" xr:uid="{BEE2E0F3-B43D-4395-B071-CAB15250BE2E}"/>
    <cellStyle name="Comma 11 2 2 3 2 2 3 6 2 2" xfId="24631" xr:uid="{8BE46FFF-5F8B-44A8-8662-05D9AB0D4628}"/>
    <cellStyle name="Comma 11 2 2 3 2 2 3 6 3" xfId="17171" xr:uid="{528681BA-5AC2-4902-9450-E7E117CAC9A6}"/>
    <cellStyle name="Comma 11 2 2 3 2 2 3 7" xfId="8667" xr:uid="{3B1270CA-013E-4675-A33F-4B338F7389AF}"/>
    <cellStyle name="Comma 11 2 2 3 2 2 3 7 2" xfId="12840" xr:uid="{763437A2-2AD5-493A-9B78-D1DF32076173}"/>
    <cellStyle name="Comma 11 2 2 3 2 2 3 7 2 2" xfId="28017" xr:uid="{95249AB4-318A-4FFD-953A-29F2022DFCEC}"/>
    <cellStyle name="Comma 11 2 2 3 2 2 3 7 3" xfId="23845" xr:uid="{0ACED644-957C-4FAE-8D75-8C8A82582BF5}"/>
    <cellStyle name="Comma 11 2 2 3 2 2 3 8" xfId="5279" xr:uid="{814DF9C2-C05C-4A7B-AAA9-2555912FB09F}"/>
    <cellStyle name="Comma 11 2 2 3 2 2 3 8 2" xfId="20459" xr:uid="{5DB21E02-FE04-459D-B248-E13C6F295666}"/>
    <cellStyle name="Comma 11 2 2 3 2 2 3 9" xfId="16385" xr:uid="{D7BDED15-E3D6-4360-BB3F-215609AE8D83}"/>
    <cellStyle name="Comma 11 2 2 3 2 2 4" xfId="1519" xr:uid="{1EB952A1-A0D6-4D34-97C1-5A0B37B9268A}"/>
    <cellStyle name="Comma 11 2 2 3 2 2 4 2" xfId="2944" xr:uid="{D3A57071-7A47-4DF5-ADE3-89C56A330537}"/>
    <cellStyle name="Comma 11 2 2 3 2 2 4 2 2" xfId="10435" xr:uid="{E9E2B573-E233-4D4B-9B49-246AFAAD29CD}"/>
    <cellStyle name="Comma 11 2 2 3 2 2 4 2 2 2" xfId="13981" xr:uid="{452D39ED-65FD-46C1-AAE9-EE8B067A72D9}"/>
    <cellStyle name="Comma 11 2 2 3 2 2 4 2 2 2 2" xfId="29158" xr:uid="{2AAD9551-0C11-4D4E-A435-41049CECC1C3}"/>
    <cellStyle name="Comma 11 2 2 3 2 2 4 2 2 3" xfId="25613" xr:uid="{95D6E762-BE9A-40FB-A241-C77671D10CE2}"/>
    <cellStyle name="Comma 11 2 2 3 2 2 4 2 3" xfId="6261" xr:uid="{09F6BC49-FD6D-4C9F-9E22-C87C25946922}"/>
    <cellStyle name="Comma 11 2 2 3 2 2 4 2 3 2" xfId="21441" xr:uid="{10FD8D40-64C0-495B-A6DE-753C5990E312}"/>
    <cellStyle name="Comma 11 2 2 3 2 2 4 2 4" xfId="18153" xr:uid="{7AE0BB64-E821-48AB-A5C7-53D9D4FABC8F}"/>
    <cellStyle name="Comma 11 2 2 3 2 2 4 3" xfId="3831" xr:uid="{4B7E25C9-31BB-4485-91CC-8AE1E88DC378}"/>
    <cellStyle name="Comma 11 2 2 3 2 2 4 3 2" xfId="11319" xr:uid="{63797FA5-3744-46B9-B6CF-0122DE49BF24}"/>
    <cellStyle name="Comma 11 2 2 3 2 2 4 3 2 2" xfId="14865" xr:uid="{DA1AD80E-9728-4AF3-B6A0-F8283B461AE0}"/>
    <cellStyle name="Comma 11 2 2 3 2 2 4 3 2 2 2" xfId="30042" xr:uid="{42759C23-C9A9-48FE-B295-F4672F58B948}"/>
    <cellStyle name="Comma 11 2 2 3 2 2 4 3 2 3" xfId="26497" xr:uid="{26D1E136-1794-4A24-8F9C-A1F48ED6E3C3}"/>
    <cellStyle name="Comma 11 2 2 3 2 2 4 3 3" xfId="7145" xr:uid="{C41DB460-B3C4-443E-823E-DAD0026B2A55}"/>
    <cellStyle name="Comma 11 2 2 3 2 2 4 3 3 2" xfId="22325" xr:uid="{11B320F0-92E9-4FFE-9307-26C13C2BC0C8}"/>
    <cellStyle name="Comma 11 2 2 3 2 2 4 3 4" xfId="19037" xr:uid="{341667F1-9EF6-45C6-BE46-99D5EEB59E92}"/>
    <cellStyle name="Comma 11 2 2 3 2 2 4 4" xfId="4090" xr:uid="{C6AB4F91-B354-4F2B-A267-D4C9D21E12AF}"/>
    <cellStyle name="Comma 11 2 2 3 2 2 4 4 2" xfId="11575" xr:uid="{965CB139-4F4D-4ED1-9B00-5B803BF72F3E}"/>
    <cellStyle name="Comma 11 2 2 3 2 2 4 4 2 2" xfId="15121" xr:uid="{C0D63876-8A07-423E-BF9A-A9E662F51EAA}"/>
    <cellStyle name="Comma 11 2 2 3 2 2 4 4 2 2 2" xfId="30298" xr:uid="{DBF49F95-E040-46E6-B8AF-11D9A9D2A825}"/>
    <cellStyle name="Comma 11 2 2 3 2 2 4 4 2 3" xfId="26753" xr:uid="{805A43C0-8265-45A2-A8F9-A8B07E05A667}"/>
    <cellStyle name="Comma 11 2 2 3 2 2 4 4 3" xfId="7401" xr:uid="{F770F12A-239A-4C78-BE66-5807AD567534}"/>
    <cellStyle name="Comma 11 2 2 3 2 2 4 4 3 2" xfId="22581" xr:uid="{DD8A451E-31D1-46B4-96EB-92C69A145711}"/>
    <cellStyle name="Comma 11 2 2 3 2 2 4 4 4" xfId="19293" xr:uid="{5F22284B-ED74-4E66-854C-F503055E4A63}"/>
    <cellStyle name="Comma 11 2 2 3 2 2 4 5" xfId="2054" xr:uid="{6B37EEC9-12BE-4E5A-BACF-FEFBBDD4440E}"/>
    <cellStyle name="Comma 11 2 2 3 2 2 4 5 2" xfId="9551" xr:uid="{9F479B9B-57BE-47E8-B899-0526863E2252}"/>
    <cellStyle name="Comma 11 2 2 3 2 2 4 5 2 2" xfId="24729" xr:uid="{286EE77F-4B6D-4F2C-92AB-45AC1B165B37}"/>
    <cellStyle name="Comma 11 2 2 3 2 2 4 5 3" xfId="17269" xr:uid="{F77E3D5F-DAAE-48F7-BC69-6EEB8F2A127E}"/>
    <cellStyle name="Comma 11 2 2 3 2 2 4 6" xfId="9037" xr:uid="{851D94C4-2A44-4F50-B900-06D8425C7C83}"/>
    <cellStyle name="Comma 11 2 2 3 2 2 4 6 2" xfId="13210" xr:uid="{C17CA386-76A0-42A0-82A1-ACA55E88203C}"/>
    <cellStyle name="Comma 11 2 2 3 2 2 4 6 2 2" xfId="28387" xr:uid="{3E121514-E16D-4F87-A35B-126C446AAB36}"/>
    <cellStyle name="Comma 11 2 2 3 2 2 4 6 3" xfId="24215" xr:uid="{A63FC2BA-3B2E-476C-9047-09610EEAED63}"/>
    <cellStyle name="Comma 11 2 2 3 2 2 4 7" xfId="5377" xr:uid="{58E74D93-265B-472E-B132-C9E83791F9D4}"/>
    <cellStyle name="Comma 11 2 2 3 2 2 4 7 2" xfId="20557" xr:uid="{14F3E414-91F4-4BD2-AF82-CE9156C21284}"/>
    <cellStyle name="Comma 11 2 2 3 2 2 4 8" xfId="16755" xr:uid="{0821ED77-FF89-4E9F-8DB7-355A6A10F6F1}"/>
    <cellStyle name="Comma 11 2 2 3 2 2 5" xfId="1622" xr:uid="{8110938A-512C-43A1-AE52-E13F36FEF9D8}"/>
    <cellStyle name="Comma 11 2 2 3 2 2 5 2" xfId="3042" xr:uid="{AC81ECCF-0EFD-44E2-B1FC-BD2F70CFFEB7}"/>
    <cellStyle name="Comma 11 2 2 3 2 2 5 2 2" xfId="10533" xr:uid="{78E800B3-7BB1-4ABB-B005-D756180DB60A}"/>
    <cellStyle name="Comma 11 2 2 3 2 2 5 2 2 2" xfId="14079" xr:uid="{D0C3C214-D234-476E-9725-E6279C253C41}"/>
    <cellStyle name="Comma 11 2 2 3 2 2 5 2 2 2 2" xfId="29256" xr:uid="{0E5502E6-12D1-41E2-A234-09E4116C6E4D}"/>
    <cellStyle name="Comma 11 2 2 3 2 2 5 2 2 3" xfId="25711" xr:uid="{99EB4D3E-E20F-4CA5-BCD5-3C3AD0A9811A}"/>
    <cellStyle name="Comma 11 2 2 3 2 2 5 2 3" xfId="6359" xr:uid="{F9232810-6785-4BB5-AAC4-4DF8381262A2}"/>
    <cellStyle name="Comma 11 2 2 3 2 2 5 2 3 2" xfId="21539" xr:uid="{B9AF55C6-2775-4ACB-B12B-FF545A7B3492}"/>
    <cellStyle name="Comma 11 2 2 3 2 2 5 2 4" xfId="18251" xr:uid="{7E4DD1AD-DA44-4E1A-88EF-E7DB9B5EBCF9}"/>
    <cellStyle name="Comma 11 2 2 3 2 2 5 3" xfId="3929" xr:uid="{6A557EB4-1223-4C4A-972F-C4CC9F6A3AE2}"/>
    <cellStyle name="Comma 11 2 2 3 2 2 5 3 2" xfId="11417" xr:uid="{C4C312A6-331E-47D0-9ACF-776CE11C8E5F}"/>
    <cellStyle name="Comma 11 2 2 3 2 2 5 3 2 2" xfId="14963" xr:uid="{4A3BD49F-FFA3-470B-AC9F-B007C76C823D}"/>
    <cellStyle name="Comma 11 2 2 3 2 2 5 3 2 2 2" xfId="30140" xr:uid="{891BA77F-CF38-4C1A-8E44-4D3A13DF2DA1}"/>
    <cellStyle name="Comma 11 2 2 3 2 2 5 3 2 3" xfId="26595" xr:uid="{4004BFE9-1398-46BE-8FE1-B99F8ED6CEDE}"/>
    <cellStyle name="Comma 11 2 2 3 2 2 5 3 3" xfId="7243" xr:uid="{0A623920-0D20-4DA4-963B-970E41D717DB}"/>
    <cellStyle name="Comma 11 2 2 3 2 2 5 3 3 2" xfId="22423" xr:uid="{635C19FD-6CE6-46F9-8315-5A2E676EBE86}"/>
    <cellStyle name="Comma 11 2 2 3 2 2 5 3 4" xfId="19135" xr:uid="{CCE5133F-634A-4E09-B019-5C34802E6518}"/>
    <cellStyle name="Comma 11 2 2 3 2 2 5 4" xfId="4091" xr:uid="{C5F394E0-4323-48C3-94E1-ACC77FA72C2F}"/>
    <cellStyle name="Comma 11 2 2 3 2 2 5 4 2" xfId="11576" xr:uid="{8098D716-5E1F-4D73-9554-52387DAD9CDA}"/>
    <cellStyle name="Comma 11 2 2 3 2 2 5 4 2 2" xfId="15122" xr:uid="{174D29B9-2190-4BD2-996D-256403CA472F}"/>
    <cellStyle name="Comma 11 2 2 3 2 2 5 4 2 2 2" xfId="30299" xr:uid="{EB5D31E5-7445-4968-8703-66AAE5F9B93B}"/>
    <cellStyle name="Comma 11 2 2 3 2 2 5 4 2 3" xfId="26754" xr:uid="{42FFEC22-E653-40C0-862C-6A867EA1085B}"/>
    <cellStyle name="Comma 11 2 2 3 2 2 5 4 3" xfId="7402" xr:uid="{44574A14-5B96-455D-A1DA-185444FF3909}"/>
    <cellStyle name="Comma 11 2 2 3 2 2 5 4 3 2" xfId="22582" xr:uid="{6C4CC546-62FB-4EFD-AB53-9CC71C3E1358}"/>
    <cellStyle name="Comma 11 2 2 3 2 2 5 4 4" xfId="19294" xr:uid="{B6E5CF5D-9076-4A8D-B677-FBBA6C96191A}"/>
    <cellStyle name="Comma 11 2 2 3 2 2 5 5" xfId="2152" xr:uid="{640E7261-02B4-4713-BA1C-0B918D262070}"/>
    <cellStyle name="Comma 11 2 2 3 2 2 5 5 2" xfId="9649" xr:uid="{7F24B3A6-8A95-48E1-ABFD-DF33B0C7EFC9}"/>
    <cellStyle name="Comma 11 2 2 3 2 2 5 5 2 2" xfId="24827" xr:uid="{B5CBE1EA-2103-4042-A7BC-8CDAFADAE5E4}"/>
    <cellStyle name="Comma 11 2 2 3 2 2 5 5 3" xfId="17367" xr:uid="{446C0229-9E7B-4D1E-B42D-78C88EFD581A}"/>
    <cellStyle name="Comma 11 2 2 3 2 2 5 6" xfId="9135" xr:uid="{C286B17E-7C35-4044-B3F3-62D74D9FED05}"/>
    <cellStyle name="Comma 11 2 2 3 2 2 5 6 2" xfId="13308" xr:uid="{B2D0F3A4-626C-447B-99F0-ACC9838908C6}"/>
    <cellStyle name="Comma 11 2 2 3 2 2 5 6 2 2" xfId="28485" xr:uid="{1E452485-C447-4906-A17D-487B7996307F}"/>
    <cellStyle name="Comma 11 2 2 3 2 2 5 6 3" xfId="24313" xr:uid="{A3D0BBC2-3E64-4884-A648-373B5FDC5AE5}"/>
    <cellStyle name="Comma 11 2 2 3 2 2 5 7" xfId="5475" xr:uid="{AF560471-9CF1-4CF3-81A1-02E75B0A2597}"/>
    <cellStyle name="Comma 11 2 2 3 2 2 5 7 2" xfId="20655" xr:uid="{24B51C36-BBB2-4294-AC3A-66269E6E26B0}"/>
    <cellStyle name="Comma 11 2 2 3 2 2 5 8" xfId="16853" xr:uid="{DF905BDC-C5D4-44C3-A650-9F4AC014B1F5}"/>
    <cellStyle name="Comma 11 2 2 3 2 2 6" xfId="1721" xr:uid="{63A42B70-BB48-466E-8DE5-38011D103ED8}"/>
    <cellStyle name="Comma 11 2 2 3 2 2 6 2" xfId="3140" xr:uid="{A63C2174-F456-4E34-9FDC-EEDA5B3C5A3D}"/>
    <cellStyle name="Comma 11 2 2 3 2 2 6 2 2" xfId="10631" xr:uid="{9143FF23-6BA8-4F8E-8519-76BE15AC77A8}"/>
    <cellStyle name="Comma 11 2 2 3 2 2 6 2 2 2" xfId="14177" xr:uid="{21CA684B-A61B-43ED-BB1A-19065D26FD7B}"/>
    <cellStyle name="Comma 11 2 2 3 2 2 6 2 2 2 2" xfId="29354" xr:uid="{41A23E97-3CB7-4E30-BB15-1FAB2DEF0FFE}"/>
    <cellStyle name="Comma 11 2 2 3 2 2 6 2 2 3" xfId="25809" xr:uid="{56BD0BF5-C9DD-41BD-9366-285BB79D9594}"/>
    <cellStyle name="Comma 11 2 2 3 2 2 6 2 3" xfId="6457" xr:uid="{44C937A2-5FBE-45C6-A3AA-C83D0FBCE3B5}"/>
    <cellStyle name="Comma 11 2 2 3 2 2 6 2 3 2" xfId="21637" xr:uid="{CBEBFF7E-CB7F-4889-A1B0-7551B45899B9}"/>
    <cellStyle name="Comma 11 2 2 3 2 2 6 2 4" xfId="18349" xr:uid="{7E631F36-4D53-4B8A-93D9-592D631E6C6F}"/>
    <cellStyle name="Comma 11 2 2 3 2 2 6 3" xfId="4027" xr:uid="{472EC840-E6EF-4A1D-8F85-D95826E1325B}"/>
    <cellStyle name="Comma 11 2 2 3 2 2 6 3 2" xfId="11515" xr:uid="{1C2464F3-8FA4-449C-8892-309F8E4645AF}"/>
    <cellStyle name="Comma 11 2 2 3 2 2 6 3 2 2" xfId="15061" xr:uid="{FD1D4250-FE51-4821-BDE0-59976B00504B}"/>
    <cellStyle name="Comma 11 2 2 3 2 2 6 3 2 2 2" xfId="30238" xr:uid="{F3C4A56E-EC8C-4162-8CB4-A0B5C7EE9F45}"/>
    <cellStyle name="Comma 11 2 2 3 2 2 6 3 2 3" xfId="26693" xr:uid="{75F68E35-1379-4112-BEDB-2CB5452F7AF9}"/>
    <cellStyle name="Comma 11 2 2 3 2 2 6 3 3" xfId="7341" xr:uid="{AE1BD743-D064-40D1-8868-36DFCBBB5C3F}"/>
    <cellStyle name="Comma 11 2 2 3 2 2 6 3 3 2" xfId="22521" xr:uid="{9617480F-65AE-40A5-AD7D-4CB2D4C97E22}"/>
    <cellStyle name="Comma 11 2 2 3 2 2 6 3 4" xfId="19233" xr:uid="{C1736CED-D3D0-40DC-8CA9-7E7834498E54}"/>
    <cellStyle name="Comma 11 2 2 3 2 2 6 4" xfId="4092" xr:uid="{E18420E8-427D-485A-A873-65F908FFE93F}"/>
    <cellStyle name="Comma 11 2 2 3 2 2 6 4 2" xfId="11577" xr:uid="{98428A77-1BE0-493C-951E-E466C16ECAA2}"/>
    <cellStyle name="Comma 11 2 2 3 2 2 6 4 2 2" xfId="15123" xr:uid="{856CF131-978D-419F-9BBD-11C5BB760891}"/>
    <cellStyle name="Comma 11 2 2 3 2 2 6 4 2 2 2" xfId="30300" xr:uid="{C87BD0AB-03AA-400D-83D0-4C9017B2A7F6}"/>
    <cellStyle name="Comma 11 2 2 3 2 2 6 4 2 3" xfId="26755" xr:uid="{A090D2E5-4689-43B8-AC52-39B38F14575B}"/>
    <cellStyle name="Comma 11 2 2 3 2 2 6 4 3" xfId="7403" xr:uid="{8207D547-00A8-47D7-8B8E-7F3B626D7E44}"/>
    <cellStyle name="Comma 11 2 2 3 2 2 6 4 3 2" xfId="22583" xr:uid="{A121429B-CACB-4FE3-8939-4F3FDAE3AC06}"/>
    <cellStyle name="Comma 11 2 2 3 2 2 6 4 4" xfId="19295" xr:uid="{57D752A6-8B58-4E2F-A305-F190481D3878}"/>
    <cellStyle name="Comma 11 2 2 3 2 2 6 5" xfId="2250" xr:uid="{C7EF9751-0CE0-4318-939B-808559397BA4}"/>
    <cellStyle name="Comma 11 2 2 3 2 2 6 5 2" xfId="9747" xr:uid="{F4CF58C3-2AFE-4D51-9D6C-317120AB81D3}"/>
    <cellStyle name="Comma 11 2 2 3 2 2 6 5 2 2" xfId="24925" xr:uid="{75A4CBDD-41EF-4A06-800C-141E613B9044}"/>
    <cellStyle name="Comma 11 2 2 3 2 2 6 5 3" xfId="17465" xr:uid="{DCFB873D-5B8D-4C9B-B92C-3DE2BE495804}"/>
    <cellStyle name="Comma 11 2 2 3 2 2 6 6" xfId="9233" xr:uid="{91A62611-7389-4DDC-98A7-1C56EB408B5C}"/>
    <cellStyle name="Comma 11 2 2 3 2 2 6 6 2" xfId="13406" xr:uid="{EA996FD6-5DB1-4EA0-B20F-EE00FBAD9554}"/>
    <cellStyle name="Comma 11 2 2 3 2 2 6 6 2 2" xfId="28583" xr:uid="{385C565C-FB87-46BA-91F1-FACB5D2A7FFC}"/>
    <cellStyle name="Comma 11 2 2 3 2 2 6 6 3" xfId="24411" xr:uid="{44E145C3-EBD6-4B0D-B269-CB8BE5C1E6A3}"/>
    <cellStyle name="Comma 11 2 2 3 2 2 6 7" xfId="5573" xr:uid="{3C4DFEF7-246B-4007-B356-91FDE309F5EE}"/>
    <cellStyle name="Comma 11 2 2 3 2 2 6 7 2" xfId="20753" xr:uid="{BE2B4F46-0D8D-4810-B01F-A01703E6E8F9}"/>
    <cellStyle name="Comma 11 2 2 3 2 2 6 8" xfId="16951" xr:uid="{6F771AF4-A54A-4FC3-B46A-45A6031A4F43}"/>
    <cellStyle name="Comma 11 2 2 3 2 2 7" xfId="2350" xr:uid="{B5A94777-1872-4E89-8111-4E47CDBE82F1}"/>
    <cellStyle name="Comma 11 2 2 3 2 2 7 2" xfId="9845" xr:uid="{EEA53508-6027-49C8-B57E-BEA11239A2AF}"/>
    <cellStyle name="Comma 11 2 2 3 2 2 7 2 2" xfId="13504" xr:uid="{5CF6C4C8-F4E8-4D49-97DC-79066C157B16}"/>
    <cellStyle name="Comma 11 2 2 3 2 2 7 2 2 2" xfId="28681" xr:uid="{0381AAB7-CE49-4913-93B8-135A5D662465}"/>
    <cellStyle name="Comma 11 2 2 3 2 2 7 2 3" xfId="25023" xr:uid="{582DEC4F-F13E-4754-84DA-57A08BB8FEE0}"/>
    <cellStyle name="Comma 11 2 2 3 2 2 7 3" xfId="5671" xr:uid="{C11DBCD4-D104-4C52-BBC9-988020471237}"/>
    <cellStyle name="Comma 11 2 2 3 2 2 7 3 2" xfId="20851" xr:uid="{3602E6BE-BE0E-498C-9D6A-B5D83C23427E}"/>
    <cellStyle name="Comma 11 2 2 3 2 2 7 4" xfId="17563" xr:uid="{3733B673-E29E-45BD-8789-4C094C68706D}"/>
    <cellStyle name="Comma 11 2 2 3 2 2 8" xfId="3240" xr:uid="{6E539A27-CE32-42F3-A634-6AA11B97A46B}"/>
    <cellStyle name="Comma 11 2 2 3 2 2 8 2" xfId="10729" xr:uid="{436CE963-1DB7-4B65-B344-58D6411C9153}"/>
    <cellStyle name="Comma 11 2 2 3 2 2 8 2 2" xfId="14275" xr:uid="{175CBB00-02DA-4A5D-B2C0-4F853571D3AF}"/>
    <cellStyle name="Comma 11 2 2 3 2 2 8 2 2 2" xfId="29452" xr:uid="{97CEA588-173B-496D-9D16-8DDE68F84892}"/>
    <cellStyle name="Comma 11 2 2 3 2 2 8 2 3" xfId="25907" xr:uid="{A3290C30-6F79-462A-AA96-F503D64C9714}"/>
    <cellStyle name="Comma 11 2 2 3 2 2 8 3" xfId="6555" xr:uid="{008CB4E2-B953-44BA-BBCA-0385ADBC6215}"/>
    <cellStyle name="Comma 11 2 2 3 2 2 8 3 2" xfId="21735" xr:uid="{6D6096C7-67CA-449E-93B1-1DC6288C9C54}"/>
    <cellStyle name="Comma 11 2 2 3 2 2 8 4" xfId="18447" xr:uid="{7D8EECFB-CDAF-4BDE-B82E-535F15101101}"/>
    <cellStyle name="Comma 11 2 2 3 2 2 9" xfId="4093" xr:uid="{02AAF405-29B6-4AEA-AD84-7134BAF87D97}"/>
    <cellStyle name="Comma 11 2 2 3 2 2 9 2" xfId="11578" xr:uid="{72ABA505-2CAD-4C71-B79A-9CD1A3BD90D2}"/>
    <cellStyle name="Comma 11 2 2 3 2 2 9 2 2" xfId="15124" xr:uid="{98992AA6-3016-454C-BC31-1F5C2A206D51}"/>
    <cellStyle name="Comma 11 2 2 3 2 2 9 2 2 2" xfId="30301" xr:uid="{37D06DB5-3E62-4B5B-B1E2-EFD313673E3A}"/>
    <cellStyle name="Comma 11 2 2 3 2 2 9 2 3" xfId="26756" xr:uid="{A0E92372-80D9-4138-B062-AC09FFD32E00}"/>
    <cellStyle name="Comma 11 2 2 3 2 2 9 3" xfId="7404" xr:uid="{E345B462-0DDF-4A67-9767-376B6CBF52BD}"/>
    <cellStyle name="Comma 11 2 2 3 2 2 9 3 2" xfId="22584" xr:uid="{735A6495-5011-4C41-A009-8DF1A3002782}"/>
    <cellStyle name="Comma 11 2 2 3 2 2 9 4" xfId="19296" xr:uid="{66A34D93-26E6-4E15-9062-9692D640AD0A}"/>
    <cellStyle name="Comma 11 2 2 3 2 3" xfId="908" xr:uid="{8E7569FF-5BD1-4D90-80DC-AA321222B83B}"/>
    <cellStyle name="Comma 11 2 2 3 2 3 2" xfId="2426" xr:uid="{EF29ABA2-ADFB-4DC0-A2B9-1101F74967D4}"/>
    <cellStyle name="Comma 11 2 2 3 2 3 2 2" xfId="9918" xr:uid="{971DF8EC-9261-44ED-9089-878669333575}"/>
    <cellStyle name="Comma 11 2 2 3 2 3 2 2 2" xfId="13577" xr:uid="{17A8E035-5A9E-4B81-9FBC-A953ED56E86E}"/>
    <cellStyle name="Comma 11 2 2 3 2 3 2 2 2 2" xfId="28754" xr:uid="{26E0D6C2-6902-473A-B945-E4F26BE2F348}"/>
    <cellStyle name="Comma 11 2 2 3 2 3 2 2 3" xfId="25096" xr:uid="{8365EDC7-E26C-4A86-816A-D60996CF6E9B}"/>
    <cellStyle name="Comma 11 2 2 3 2 3 2 3" xfId="5744" xr:uid="{787EDAD1-936A-4BF8-AB36-F7A1FB872E18}"/>
    <cellStyle name="Comma 11 2 2 3 2 3 2 3 2" xfId="20924" xr:uid="{ABDA5F34-D2D1-4338-AD14-2F5E8A9E8D4A}"/>
    <cellStyle name="Comma 11 2 2 3 2 3 2 4" xfId="17636" xr:uid="{8A2302CF-BD3E-4C3C-A411-C6068783255B}"/>
    <cellStyle name="Comma 11 2 2 3 2 3 3" xfId="3314" xr:uid="{60319248-3631-4F26-B109-E53150CE57C0}"/>
    <cellStyle name="Comma 11 2 2 3 2 3 3 2" xfId="10802" xr:uid="{1E3BACEA-F49E-4F75-B3EE-5AEDFE06D142}"/>
    <cellStyle name="Comma 11 2 2 3 2 3 3 2 2" xfId="14348" xr:uid="{7B4E8A1D-F0BD-4E43-91FB-378A64D22C98}"/>
    <cellStyle name="Comma 11 2 2 3 2 3 3 2 2 2" xfId="29525" xr:uid="{D78AE794-5A2B-454B-8C30-056FC1F5EAA7}"/>
    <cellStyle name="Comma 11 2 2 3 2 3 3 2 3" xfId="25980" xr:uid="{FA893458-73D3-453F-9B1E-1B5B5F1B62D1}"/>
    <cellStyle name="Comma 11 2 2 3 2 3 3 3" xfId="6628" xr:uid="{03AE6EAE-C38D-4367-A1E4-862F110FDACA}"/>
    <cellStyle name="Comma 11 2 2 3 2 3 3 3 2" xfId="21808" xr:uid="{92C3D90E-FE91-461C-B1D7-6CBCBF406C14}"/>
    <cellStyle name="Comma 11 2 2 3 2 3 3 4" xfId="18520" xr:uid="{AA25566C-58FA-425A-9A16-09C677DBE85A}"/>
    <cellStyle name="Comma 11 2 2 3 2 3 4" xfId="4094" xr:uid="{00EE3E34-B7E5-4310-8407-21B2C186F408}"/>
    <cellStyle name="Comma 11 2 2 3 2 3 4 2" xfId="11579" xr:uid="{6DD99BAE-EDFB-4588-8893-F599157D347B}"/>
    <cellStyle name="Comma 11 2 2 3 2 3 4 2 2" xfId="15125" xr:uid="{7CB40CBF-9761-4393-BCD6-04673B76591C}"/>
    <cellStyle name="Comma 11 2 2 3 2 3 4 2 2 2" xfId="30302" xr:uid="{DDADBABC-7E10-49F9-BE64-CF8572E79AFA}"/>
    <cellStyle name="Comma 11 2 2 3 2 3 4 2 3" xfId="26757" xr:uid="{C16281F5-E242-4B3B-8789-4C28A86DCDA9}"/>
    <cellStyle name="Comma 11 2 2 3 2 3 4 3" xfId="7405" xr:uid="{00FEB542-B719-4815-BCF7-6B8F35926003}"/>
    <cellStyle name="Comma 11 2 2 3 2 3 4 3 2" xfId="22585" xr:uid="{5256E101-7879-439C-B669-09810AA9BE8C}"/>
    <cellStyle name="Comma 11 2 2 3 2 3 4 4" xfId="19297" xr:uid="{1FE3CCC0-8CD9-48BF-8982-F56F0D784348}"/>
    <cellStyle name="Comma 11 2 2 3 2 3 5" xfId="8520" xr:uid="{251C14A7-0743-4AA7-9EED-31F9D12C569E}"/>
    <cellStyle name="Comma 11 2 2 3 2 3 5 2" xfId="12693" xr:uid="{C2E4A511-E986-4BC1-B626-E3DF38035506}"/>
    <cellStyle name="Comma 11 2 2 3 2 3 5 2 2" xfId="27870" xr:uid="{A40E7488-AFB6-4E78-B5D9-52FC9DA34DF1}"/>
    <cellStyle name="Comma 11 2 2 3 2 3 5 3" xfId="23698" xr:uid="{0F7717CE-9661-4643-9904-68BFCB03046E}"/>
    <cellStyle name="Comma 11 2 2 3 2 3 6" xfId="16238" xr:uid="{E24DB031-72D5-4EB6-AC77-CD28F603A5EA}"/>
    <cellStyle name="Comma 11 2 2 3 2 3 7" xfId="31678" xr:uid="{2F3D3644-DA65-4764-8BD7-886F860A5063}"/>
    <cellStyle name="Comma 11 2 2 3 2 4" xfId="1011" xr:uid="{E53F4C02-F66E-4586-BBDA-02E3E789A19E}"/>
    <cellStyle name="Comma 11 2 2 3 2 4 2" xfId="2524" xr:uid="{B954B121-EF92-477F-A1F7-D2970E986BA6}"/>
    <cellStyle name="Comma 11 2 2 3 2 4 2 2" xfId="10016" xr:uid="{05797EF2-5E02-4D0C-A056-9A29E79831C9}"/>
    <cellStyle name="Comma 11 2 2 3 2 4 2 2 2" xfId="13675" xr:uid="{5D708749-F4D2-458C-9B2F-35DB21B8BE03}"/>
    <cellStyle name="Comma 11 2 2 3 2 4 2 2 2 2" xfId="28852" xr:uid="{0FB326AB-9ABC-454F-922F-12D6CE0A8820}"/>
    <cellStyle name="Comma 11 2 2 3 2 4 2 2 3" xfId="25194" xr:uid="{5C9079CF-D8D8-4AE0-BF6F-A0DB347C922D}"/>
    <cellStyle name="Comma 11 2 2 3 2 4 2 3" xfId="5842" xr:uid="{4D4BA4C9-28C9-4803-ADE2-ED373258522A}"/>
    <cellStyle name="Comma 11 2 2 3 2 4 2 3 2" xfId="21022" xr:uid="{63BFC9A7-83F1-4A43-9AE4-B15D0C02694C}"/>
    <cellStyle name="Comma 11 2 2 3 2 4 2 4" xfId="17734" xr:uid="{E31B3507-553D-4094-8ABE-98C05826D258}"/>
    <cellStyle name="Comma 11 2 2 3 2 4 3" xfId="3412" xr:uid="{66CECB21-B458-410C-8456-BD91AD4B5A03}"/>
    <cellStyle name="Comma 11 2 2 3 2 4 3 2" xfId="10900" xr:uid="{E783FC29-EBDD-4C19-B27E-B939F2001988}"/>
    <cellStyle name="Comma 11 2 2 3 2 4 3 2 2" xfId="14446" xr:uid="{C50B3A9D-2914-4FED-94B1-34B4CA27FEAA}"/>
    <cellStyle name="Comma 11 2 2 3 2 4 3 2 2 2" xfId="29623" xr:uid="{FD170E51-9DD6-4AC3-9C43-1BA015CE92D7}"/>
    <cellStyle name="Comma 11 2 2 3 2 4 3 2 3" xfId="26078" xr:uid="{2544EDE3-6DDB-401F-ADF3-1BC92A817ED5}"/>
    <cellStyle name="Comma 11 2 2 3 2 4 3 3" xfId="6726" xr:uid="{7F3FF8BB-F87D-4C60-B377-B4F498A68943}"/>
    <cellStyle name="Comma 11 2 2 3 2 4 3 3 2" xfId="21906" xr:uid="{35082836-6813-4717-9AFE-5E9F23245B34}"/>
    <cellStyle name="Comma 11 2 2 3 2 4 3 4" xfId="18618" xr:uid="{AABD02B4-F11B-470E-98C8-E023AA57FF06}"/>
    <cellStyle name="Comma 11 2 2 3 2 4 4" xfId="4095" xr:uid="{C885B02D-D5EC-4202-B1FE-5C62C1E4AD2C}"/>
    <cellStyle name="Comma 11 2 2 3 2 4 4 2" xfId="11580" xr:uid="{6AEC310F-B51D-48CC-A790-8DA4318AEB33}"/>
    <cellStyle name="Comma 11 2 2 3 2 4 4 2 2" xfId="15126" xr:uid="{48630FB4-9DBA-4F3B-9A2A-AA2ED246A5C7}"/>
    <cellStyle name="Comma 11 2 2 3 2 4 4 2 2 2" xfId="30303" xr:uid="{56D969CC-5ED6-4949-BD4E-EA3A5673DDBA}"/>
    <cellStyle name="Comma 11 2 2 3 2 4 4 2 3" xfId="26758" xr:uid="{FDF4411E-00FC-496E-B32B-57578B495669}"/>
    <cellStyle name="Comma 11 2 2 3 2 4 4 3" xfId="7406" xr:uid="{386BA1AC-CC2C-4E44-8046-6E291C27025F}"/>
    <cellStyle name="Comma 11 2 2 3 2 4 4 3 2" xfId="22586" xr:uid="{6C604100-CF4F-4394-92FE-C7EACC3A0533}"/>
    <cellStyle name="Comma 11 2 2 3 2 4 4 4" xfId="19298" xr:uid="{1676B930-D99C-4F41-973D-2EB3350F2207}"/>
    <cellStyle name="Comma 11 2 2 3 2 4 5" xfId="8618" xr:uid="{BF8C39A4-127E-4872-B2FF-7F2CB730D149}"/>
    <cellStyle name="Comma 11 2 2 3 2 4 5 2" xfId="12791" xr:uid="{8FB86012-B56C-49AA-8D4A-82508A99E035}"/>
    <cellStyle name="Comma 11 2 2 3 2 4 5 2 2" xfId="27968" xr:uid="{4D2F4007-3987-42EB-BC4D-266074443962}"/>
    <cellStyle name="Comma 11 2 2 3 2 4 5 3" xfId="23796" xr:uid="{7C92BE7E-63BC-40AC-A923-C48490384A8B}"/>
    <cellStyle name="Comma 11 2 2 3 2 4 6" xfId="16336" xr:uid="{882C969C-84DC-4935-BC14-3556AA71AC21}"/>
    <cellStyle name="Comma 11 2 2 3 2 4 7" xfId="31556" xr:uid="{B4C9BC71-26E8-484D-9AE5-D69BA2DD8D81}"/>
    <cellStyle name="Comma 11 2 2 3 2 5" xfId="1269" xr:uid="{B5DF19B8-0FD1-45DD-8B2E-D3521F245828}"/>
    <cellStyle name="Comma 11 2 2 3 2 5 10" xfId="31328" xr:uid="{109DDEBB-222D-4826-A079-26C5DE427E20}"/>
    <cellStyle name="Comma 11 2 2 3 2 5 2" xfId="2699" xr:uid="{759D22FC-DEE2-4110-9CCD-368DCE0CD9F4}"/>
    <cellStyle name="Comma 11 2 2 3 2 5 2 2" xfId="10190" xr:uid="{1DA6BA79-1790-4CFE-B47F-84C21A510135}"/>
    <cellStyle name="Comma 11 2 2 3 2 5 2 2 2" xfId="13834" xr:uid="{B6613319-0640-4197-BC57-C4B72A57F64C}"/>
    <cellStyle name="Comma 11 2 2 3 2 5 2 2 2 2" xfId="29011" xr:uid="{CB417A02-5F6F-4B61-BBA0-CF0D65EE4963}"/>
    <cellStyle name="Comma 11 2 2 3 2 5 2 2 3" xfId="25368" xr:uid="{1213F6DD-72EB-4ED8-91B4-34EDC559EFFB}"/>
    <cellStyle name="Comma 11 2 2 3 2 5 2 3" xfId="6016" xr:uid="{83E5BD4B-89D9-40A5-A436-D2F7AE45F94D}"/>
    <cellStyle name="Comma 11 2 2 3 2 5 2 3 2" xfId="21196" xr:uid="{E2DB0812-06C0-4881-96C4-23EA9A2B1048}"/>
    <cellStyle name="Comma 11 2 2 3 2 5 2 4" xfId="17908" xr:uid="{082886FA-4CFA-4073-B39F-CCC72924890F}"/>
    <cellStyle name="Comma 11 2 2 3 2 5 3" xfId="3586" xr:uid="{ABD487C8-BC34-48D2-B6D0-3D89A3819A05}"/>
    <cellStyle name="Comma 11 2 2 3 2 5 3 2" xfId="11074" xr:uid="{33715968-DDD5-4593-9CA8-6349FA0CC5DD}"/>
    <cellStyle name="Comma 11 2 2 3 2 5 3 2 2" xfId="14620" xr:uid="{6F172C66-6C97-4FDD-B892-F710B57C056A}"/>
    <cellStyle name="Comma 11 2 2 3 2 5 3 2 2 2" xfId="29797" xr:uid="{C04EC4AB-13DC-4493-B724-85EF5F48B7BC}"/>
    <cellStyle name="Comma 11 2 2 3 2 5 3 2 3" xfId="26252" xr:uid="{BA258CBD-A0E2-4D2E-9071-86699F50C55D}"/>
    <cellStyle name="Comma 11 2 2 3 2 5 3 3" xfId="6900" xr:uid="{EEBE0ED3-13AE-4D4C-8060-799A3A4A8BBE}"/>
    <cellStyle name="Comma 11 2 2 3 2 5 3 3 2" xfId="22080" xr:uid="{79A8E775-17CE-43DC-9795-80C5D1ACFB52}"/>
    <cellStyle name="Comma 11 2 2 3 2 5 3 4" xfId="18792" xr:uid="{33FC0336-A363-41ED-8044-1611AF132462}"/>
    <cellStyle name="Comma 11 2 2 3 2 5 4" xfId="4096" xr:uid="{8A38E30C-DB87-4FE1-AE13-64636CD6C951}"/>
    <cellStyle name="Comma 11 2 2 3 2 5 4 2" xfId="11581" xr:uid="{9A2712A5-E4FE-495A-94E5-B8184E4241F3}"/>
    <cellStyle name="Comma 11 2 2 3 2 5 4 2 2" xfId="15127" xr:uid="{9729E0C2-374A-4244-A054-FA79C0F16339}"/>
    <cellStyle name="Comma 11 2 2 3 2 5 4 2 2 2" xfId="30304" xr:uid="{51FBF3E5-7235-42E4-89EC-E4613940E0AB}"/>
    <cellStyle name="Comma 11 2 2 3 2 5 4 2 3" xfId="26759" xr:uid="{D69B3A6E-2553-4DFA-916A-CC3D5D61A09A}"/>
    <cellStyle name="Comma 11 2 2 3 2 5 4 3" xfId="7407" xr:uid="{45176E04-F677-40B4-ABDD-3CDC67C8041F}"/>
    <cellStyle name="Comma 11 2 2 3 2 5 4 3 2" xfId="22587" xr:uid="{9ED40122-F3AE-4666-93BB-F877F5B3BA90}"/>
    <cellStyle name="Comma 11 2 2 3 2 5 4 4" xfId="19299" xr:uid="{E53D0AE8-EEB4-4307-8B90-8C0D45600E09}"/>
    <cellStyle name="Comma 11 2 2 3 2 5 5" xfId="4988" xr:uid="{6BA25E72-685C-4898-821C-384AFF2EE01D}"/>
    <cellStyle name="Comma 11 2 2 3 2 5 5 2" xfId="12472" xr:uid="{610D7272-D2C3-4ECE-8F7F-0673089B9FD2}"/>
    <cellStyle name="Comma 11 2 2 3 2 5 5 2 2" xfId="16018" xr:uid="{4514D3E5-39C9-400A-AB02-BF3E74506BF3}"/>
    <cellStyle name="Comma 11 2 2 3 2 5 5 2 2 2" xfId="31195" xr:uid="{5EC95A0E-41ED-463A-BB6D-1D0F8054A534}"/>
    <cellStyle name="Comma 11 2 2 3 2 5 5 2 3" xfId="27650" xr:uid="{355FB41C-E085-4199-86F8-66A21D9ECE26}"/>
    <cellStyle name="Comma 11 2 2 3 2 5 5 3" xfId="8298" xr:uid="{38633FEB-9FD4-4C25-87D2-6EF67F5B5C60}"/>
    <cellStyle name="Comma 11 2 2 3 2 5 5 3 2" xfId="23478" xr:uid="{07561561-27BF-4409-BAD3-1F1161A38171}"/>
    <cellStyle name="Comma 11 2 2 3 2 5 5 4" xfId="20190" xr:uid="{69EDD5A5-8FFD-4721-A340-42BB51D81E2C}"/>
    <cellStyle name="Comma 11 2 2 3 2 5 6" xfId="1809" xr:uid="{253B595A-7EAE-418A-AD5A-3E1211B2F233}"/>
    <cellStyle name="Comma 11 2 2 3 2 5 6 2" xfId="9306" xr:uid="{6F1CC35F-872E-487E-B6C4-DF9E14CD90DC}"/>
    <cellStyle name="Comma 11 2 2 3 2 5 6 2 2" xfId="24484" xr:uid="{C7282BBD-5A3B-4464-8256-0AD2541E7CBF}"/>
    <cellStyle name="Comma 11 2 2 3 2 5 6 3" xfId="17024" xr:uid="{290077FD-B03E-4473-B53C-E6DDCDA5C421}"/>
    <cellStyle name="Comma 11 2 2 3 2 5 7" xfId="8792" xr:uid="{2D7C2F93-BA65-498F-9BF4-E6EAD9913209}"/>
    <cellStyle name="Comma 11 2 2 3 2 5 7 2" xfId="12965" xr:uid="{C292832E-9402-4D58-95B4-071181B17D35}"/>
    <cellStyle name="Comma 11 2 2 3 2 5 7 2 2" xfId="28142" xr:uid="{3C2F2355-2217-4299-BA70-93531BF15371}"/>
    <cellStyle name="Comma 11 2 2 3 2 5 7 3" xfId="23970" xr:uid="{583A4FE2-E834-4BBF-B3E4-A32DEAE7BD52}"/>
    <cellStyle name="Comma 11 2 2 3 2 5 8" xfId="5132" xr:uid="{544B7F3B-09A1-4A6F-BF7E-4B6D016C1448}"/>
    <cellStyle name="Comma 11 2 2 3 2 5 8 2" xfId="20312" xr:uid="{5921E4CF-36C7-4361-8D8B-808526D41910}"/>
    <cellStyle name="Comma 11 2 2 3 2 5 9" xfId="16510" xr:uid="{90099C84-E899-40C1-93BC-AC6132D6FCE3}"/>
    <cellStyle name="Comma 11 2 2 3 2 6" xfId="1371" xr:uid="{F9E3C319-8151-4DE6-BDE5-8FEEEDD1CF54}"/>
    <cellStyle name="Comma 11 2 2 3 2 6 2" xfId="2797" xr:uid="{4F99701A-A7B9-4690-B392-CBA9A9792EA3}"/>
    <cellStyle name="Comma 11 2 2 3 2 6 2 2" xfId="10288" xr:uid="{535A0398-9A48-44A3-ABA3-9B72E71F919D}"/>
    <cellStyle name="Comma 11 2 2 3 2 6 2 2 2" xfId="13883" xr:uid="{D7AA610C-D54B-4834-8C60-E6B2DC1E2A4B}"/>
    <cellStyle name="Comma 11 2 2 3 2 6 2 2 2 2" xfId="29060" xr:uid="{543932D2-A46F-4F65-8A2C-B023B01E1965}"/>
    <cellStyle name="Comma 11 2 2 3 2 6 2 2 3" xfId="25466" xr:uid="{995FD55C-398A-4F0A-B9CF-C232C15E7FD0}"/>
    <cellStyle name="Comma 11 2 2 3 2 6 2 3" xfId="6114" xr:uid="{D75F29F7-F346-409B-8777-F255FC5000FC}"/>
    <cellStyle name="Comma 11 2 2 3 2 6 2 3 2" xfId="21294" xr:uid="{563E1557-0607-4CA7-99D4-5F32B32957B8}"/>
    <cellStyle name="Comma 11 2 2 3 2 6 2 4" xfId="18006" xr:uid="{4D69BA0A-E333-48A9-99B2-74DB8ECA4EBD}"/>
    <cellStyle name="Comma 11 2 2 3 2 6 3" xfId="3684" xr:uid="{516CF193-9972-41FB-8326-30EEEE41C43E}"/>
    <cellStyle name="Comma 11 2 2 3 2 6 3 2" xfId="11172" xr:uid="{038050EC-B91E-4524-A00D-B13A0E5513C8}"/>
    <cellStyle name="Comma 11 2 2 3 2 6 3 2 2" xfId="14718" xr:uid="{CB923D37-9A7D-4CFA-809D-63654253479B}"/>
    <cellStyle name="Comma 11 2 2 3 2 6 3 2 2 2" xfId="29895" xr:uid="{A84B490A-F24C-4E55-9E22-D11051783A76}"/>
    <cellStyle name="Comma 11 2 2 3 2 6 3 2 3" xfId="26350" xr:uid="{1CE626FC-C428-4F4E-B0D1-42D06480C0FA}"/>
    <cellStyle name="Comma 11 2 2 3 2 6 3 3" xfId="6998" xr:uid="{1065B4A5-A711-434C-A0E7-47E52EE87D05}"/>
    <cellStyle name="Comma 11 2 2 3 2 6 3 3 2" xfId="22178" xr:uid="{ED9ADA61-EACF-4C65-BA88-8EAD5BEB1031}"/>
    <cellStyle name="Comma 11 2 2 3 2 6 3 4" xfId="18890" xr:uid="{00FA52CA-C0CD-4F1E-8A4B-F6323CA77CCB}"/>
    <cellStyle name="Comma 11 2 2 3 2 6 4" xfId="4097" xr:uid="{758AEDD8-B180-4965-9FCC-9F4E108940A4}"/>
    <cellStyle name="Comma 11 2 2 3 2 6 4 2" xfId="11582" xr:uid="{8BC30E34-823C-4742-9EBF-25404B466F08}"/>
    <cellStyle name="Comma 11 2 2 3 2 6 4 2 2" xfId="15128" xr:uid="{C9FDC361-CED1-448F-A2D9-313658E6AACB}"/>
    <cellStyle name="Comma 11 2 2 3 2 6 4 2 2 2" xfId="30305" xr:uid="{3CDE2D8D-F17D-449A-B7A6-BEB8E0E3400D}"/>
    <cellStyle name="Comma 11 2 2 3 2 6 4 2 3" xfId="26760" xr:uid="{353B9E33-9531-45C9-B9C7-FF3A385DFB99}"/>
    <cellStyle name="Comma 11 2 2 3 2 6 4 3" xfId="7408" xr:uid="{1D1B0680-3391-465F-B731-26DA2D3900A2}"/>
    <cellStyle name="Comma 11 2 2 3 2 6 4 3 2" xfId="22588" xr:uid="{E53D6B27-0109-4BCE-809F-1E6AA5F7F091}"/>
    <cellStyle name="Comma 11 2 2 3 2 6 4 4" xfId="19300" xr:uid="{97C6E350-D7F8-44D7-8958-E7C8248534D1}"/>
    <cellStyle name="Comma 11 2 2 3 2 6 5" xfId="1907" xr:uid="{7FF817CD-2BDE-4F5E-B895-D35C769BB7C3}"/>
    <cellStyle name="Comma 11 2 2 3 2 6 5 2" xfId="9404" xr:uid="{810CBC30-5624-4F0D-9F00-8C23E62E0E3F}"/>
    <cellStyle name="Comma 11 2 2 3 2 6 5 2 2" xfId="24582" xr:uid="{A57C87EE-905E-4C30-8C87-D2A218E661F3}"/>
    <cellStyle name="Comma 11 2 2 3 2 6 5 3" xfId="17122" xr:uid="{10DE408F-7184-4AEC-9774-F689F9C920F9}"/>
    <cellStyle name="Comma 11 2 2 3 2 6 6" xfId="8890" xr:uid="{703776C9-18C4-4E9F-A0AA-74FDE6F8D72E}"/>
    <cellStyle name="Comma 11 2 2 3 2 6 6 2" xfId="13063" xr:uid="{71C70EF8-5748-4065-BDC6-C97B4A240F56}"/>
    <cellStyle name="Comma 11 2 2 3 2 6 6 2 2" xfId="28240" xr:uid="{54FDEE25-4439-4758-925F-A47193B2F422}"/>
    <cellStyle name="Comma 11 2 2 3 2 6 6 3" xfId="24068" xr:uid="{DEC551A8-713D-4EEE-ABEA-DDDB61E76462}"/>
    <cellStyle name="Comma 11 2 2 3 2 6 7" xfId="5230" xr:uid="{B82E423E-A140-4F89-AD51-8249549288C5}"/>
    <cellStyle name="Comma 11 2 2 3 2 6 7 2" xfId="20410" xr:uid="{6F95E3CF-C6B9-488E-B87D-0DBF9CE31FEF}"/>
    <cellStyle name="Comma 11 2 2 3 2 6 8" xfId="16608" xr:uid="{E2A8A4FB-D48E-48BF-A0BA-52ED868EFF26}"/>
    <cellStyle name="Comma 11 2 2 3 2 7" xfId="1470" xr:uid="{0EEACAAC-7E28-42BA-A9F2-CC651DA78775}"/>
    <cellStyle name="Comma 11 2 2 3 2 7 2" xfId="2895" xr:uid="{250D06A4-7A33-44F0-8F15-672882B32AB5}"/>
    <cellStyle name="Comma 11 2 2 3 2 7 2 2" xfId="10386" xr:uid="{021B3D24-D564-4034-AF93-B14F275C7429}"/>
    <cellStyle name="Comma 11 2 2 3 2 7 2 2 2" xfId="13932" xr:uid="{61AF0055-E9C9-4736-9467-51B6F1D435E0}"/>
    <cellStyle name="Comma 11 2 2 3 2 7 2 2 2 2" xfId="29109" xr:uid="{BA92ADA7-721A-47F2-8DD4-FD2EB9328395}"/>
    <cellStyle name="Comma 11 2 2 3 2 7 2 2 3" xfId="25564" xr:uid="{AF35C46F-E543-4E6D-AC72-310052856E3A}"/>
    <cellStyle name="Comma 11 2 2 3 2 7 2 3" xfId="6212" xr:uid="{2423920F-3BE8-48D5-80A1-7A364D7A69A1}"/>
    <cellStyle name="Comma 11 2 2 3 2 7 2 3 2" xfId="21392" xr:uid="{C67036E2-7BEC-469F-9503-EFEE25DE9EE9}"/>
    <cellStyle name="Comma 11 2 2 3 2 7 2 4" xfId="18104" xr:uid="{1A6F04FA-48F5-4FA4-8339-98F659BDEF3A}"/>
    <cellStyle name="Comma 11 2 2 3 2 7 3" xfId="3782" xr:uid="{221EF209-0A57-4487-9482-3507120FC21D}"/>
    <cellStyle name="Comma 11 2 2 3 2 7 3 2" xfId="11270" xr:uid="{628E5A52-7C68-4965-8082-2DCE69F68035}"/>
    <cellStyle name="Comma 11 2 2 3 2 7 3 2 2" xfId="14816" xr:uid="{4D474286-C890-4816-80F6-93CC56E1DBDB}"/>
    <cellStyle name="Comma 11 2 2 3 2 7 3 2 2 2" xfId="29993" xr:uid="{68164D33-FD14-43CC-A74F-F912BF23A9BA}"/>
    <cellStyle name="Comma 11 2 2 3 2 7 3 2 3" xfId="26448" xr:uid="{54170CCB-25DE-4636-A99A-23319CB83AD4}"/>
    <cellStyle name="Comma 11 2 2 3 2 7 3 3" xfId="7096" xr:uid="{CFD41380-5317-4D19-8EFC-481C632D2C5F}"/>
    <cellStyle name="Comma 11 2 2 3 2 7 3 3 2" xfId="22276" xr:uid="{9B12F2D0-4E5F-4AB1-A29D-D0724E951BAF}"/>
    <cellStyle name="Comma 11 2 2 3 2 7 3 4" xfId="18988" xr:uid="{A5BF7C4A-503B-41F7-BDEE-0E00B0E06957}"/>
    <cellStyle name="Comma 11 2 2 3 2 7 4" xfId="4098" xr:uid="{AFF013FD-86C6-48E3-BEBA-08F389937194}"/>
    <cellStyle name="Comma 11 2 2 3 2 7 4 2" xfId="11583" xr:uid="{37F7E390-208B-4293-B698-7E1492A2B704}"/>
    <cellStyle name="Comma 11 2 2 3 2 7 4 2 2" xfId="15129" xr:uid="{B10D6815-22C6-4127-A61C-E2F57BEF6C85}"/>
    <cellStyle name="Comma 11 2 2 3 2 7 4 2 2 2" xfId="30306" xr:uid="{39D6BDAA-6980-4731-8F56-7DF7051B56B9}"/>
    <cellStyle name="Comma 11 2 2 3 2 7 4 2 3" xfId="26761" xr:uid="{61D1DA59-C77F-452C-B79A-A43ED304891E}"/>
    <cellStyle name="Comma 11 2 2 3 2 7 4 3" xfId="7409" xr:uid="{ECCDBC1C-B322-44F2-A4F7-C58C3E93DBCB}"/>
    <cellStyle name="Comma 11 2 2 3 2 7 4 3 2" xfId="22589" xr:uid="{125BCE27-2389-49FB-A25F-40E544B00CB6}"/>
    <cellStyle name="Comma 11 2 2 3 2 7 4 4" xfId="19301" xr:uid="{C7F3478B-EC1C-4CFC-95F0-C01ABE1BCEFB}"/>
    <cellStyle name="Comma 11 2 2 3 2 7 5" xfId="2005" xr:uid="{AEFE5329-9BDC-4FBB-A280-66EEB069A130}"/>
    <cellStyle name="Comma 11 2 2 3 2 7 5 2" xfId="9502" xr:uid="{31E2C0BE-4143-405A-B4DD-003AC1831027}"/>
    <cellStyle name="Comma 11 2 2 3 2 7 5 2 2" xfId="24680" xr:uid="{A0CBD7A6-7D9C-46FE-B089-605F6392804B}"/>
    <cellStyle name="Comma 11 2 2 3 2 7 5 3" xfId="17220" xr:uid="{42C62F9E-A658-4A96-B166-119660430FF1}"/>
    <cellStyle name="Comma 11 2 2 3 2 7 6" xfId="8988" xr:uid="{ECCBB12D-E892-4835-93FD-62F3E3B03B64}"/>
    <cellStyle name="Comma 11 2 2 3 2 7 6 2" xfId="13161" xr:uid="{7A3E43C4-B4FD-4E67-84C3-D05F0691C307}"/>
    <cellStyle name="Comma 11 2 2 3 2 7 6 2 2" xfId="28338" xr:uid="{6B9AA5D8-EEB1-4A3E-BD88-685D36B4BC97}"/>
    <cellStyle name="Comma 11 2 2 3 2 7 6 3" xfId="24166" xr:uid="{11EE625A-A935-427E-AB7B-1C071963183F}"/>
    <cellStyle name="Comma 11 2 2 3 2 7 7" xfId="5328" xr:uid="{519477A1-E1FA-47A1-9EE2-9452B1CC151D}"/>
    <cellStyle name="Comma 11 2 2 3 2 7 7 2" xfId="20508" xr:uid="{F19C4ABC-07C3-4305-80D3-F6391E991964}"/>
    <cellStyle name="Comma 11 2 2 3 2 7 8" xfId="16706" xr:uid="{8DA4A72F-A188-48FB-8343-0C0C99B94162}"/>
    <cellStyle name="Comma 11 2 2 3 2 8" xfId="1573" xr:uid="{D9BF329C-57CF-45E2-A3C6-D57D77754723}"/>
    <cellStyle name="Comma 11 2 2 3 2 8 2" xfId="2993" xr:uid="{6C3470E8-DF4D-41A2-948C-738419577B4C}"/>
    <cellStyle name="Comma 11 2 2 3 2 8 2 2" xfId="10484" xr:uid="{4709275B-A44B-4583-ABAB-8EA570500FFD}"/>
    <cellStyle name="Comma 11 2 2 3 2 8 2 2 2" xfId="14030" xr:uid="{1955775B-2C4D-4B3D-B10F-8B838B2483F8}"/>
    <cellStyle name="Comma 11 2 2 3 2 8 2 2 2 2" xfId="29207" xr:uid="{3611B69F-1605-4617-A592-5061C99521BB}"/>
    <cellStyle name="Comma 11 2 2 3 2 8 2 2 3" xfId="25662" xr:uid="{2FDF0608-67BB-4B87-A7E6-098D1493208D}"/>
    <cellStyle name="Comma 11 2 2 3 2 8 2 3" xfId="6310" xr:uid="{3C1AAA25-8CA2-40BF-BCD1-46B9FF2EF276}"/>
    <cellStyle name="Comma 11 2 2 3 2 8 2 3 2" xfId="21490" xr:uid="{958E95FA-4603-4B1E-A5F7-257E52388F4C}"/>
    <cellStyle name="Comma 11 2 2 3 2 8 2 4" xfId="18202" xr:uid="{00208ADB-EA69-4D60-8455-6D58D1AE0992}"/>
    <cellStyle name="Comma 11 2 2 3 2 8 3" xfId="3880" xr:uid="{FF888166-2C74-461E-8FB4-69B1EF030E8A}"/>
    <cellStyle name="Comma 11 2 2 3 2 8 3 2" xfId="11368" xr:uid="{EC3A9E07-AF21-4F7D-95F9-268E83DFD203}"/>
    <cellStyle name="Comma 11 2 2 3 2 8 3 2 2" xfId="14914" xr:uid="{0AE85ADD-477C-400B-A4CE-A36E1C53EFF0}"/>
    <cellStyle name="Comma 11 2 2 3 2 8 3 2 2 2" xfId="30091" xr:uid="{B5B24A87-11BE-4A47-8F9E-E7C0A63A875F}"/>
    <cellStyle name="Comma 11 2 2 3 2 8 3 2 3" xfId="26546" xr:uid="{28B0B72F-2537-4262-911C-87AB519D4B1A}"/>
    <cellStyle name="Comma 11 2 2 3 2 8 3 3" xfId="7194" xr:uid="{92FE1219-51A4-42B0-A197-C28B0F71FCF8}"/>
    <cellStyle name="Comma 11 2 2 3 2 8 3 3 2" xfId="22374" xr:uid="{4EC32F31-FF7D-4938-983E-C27BE36FBF12}"/>
    <cellStyle name="Comma 11 2 2 3 2 8 3 4" xfId="19086" xr:uid="{96934B05-7961-4807-AF99-7BEB6C6B1DBE}"/>
    <cellStyle name="Comma 11 2 2 3 2 8 4" xfId="4099" xr:uid="{64CE4506-9DE1-4010-BD9E-5A0F3F824BD5}"/>
    <cellStyle name="Comma 11 2 2 3 2 8 4 2" xfId="11584" xr:uid="{284561D1-1257-4AAA-BA5B-5B6443F73D85}"/>
    <cellStyle name="Comma 11 2 2 3 2 8 4 2 2" xfId="15130" xr:uid="{8A9E2089-50B4-40B4-91B6-CBD147661395}"/>
    <cellStyle name="Comma 11 2 2 3 2 8 4 2 2 2" xfId="30307" xr:uid="{D95AA510-873C-4BCE-A32F-36B3E96D45FE}"/>
    <cellStyle name="Comma 11 2 2 3 2 8 4 2 3" xfId="26762" xr:uid="{09A415E0-797C-4512-BF35-93B6315FC64E}"/>
    <cellStyle name="Comma 11 2 2 3 2 8 4 3" xfId="7410" xr:uid="{C8B21BD2-0BC7-48B8-9C18-0541D9A5F252}"/>
    <cellStyle name="Comma 11 2 2 3 2 8 4 3 2" xfId="22590" xr:uid="{8E20F293-09E1-41C6-86FA-70AAA8E399F1}"/>
    <cellStyle name="Comma 11 2 2 3 2 8 4 4" xfId="19302" xr:uid="{74E9DA8D-E094-4424-87B9-E619B3634089}"/>
    <cellStyle name="Comma 11 2 2 3 2 8 5" xfId="2103" xr:uid="{2F2BFE2B-C1CF-43E2-AD29-343E69D432FD}"/>
    <cellStyle name="Comma 11 2 2 3 2 8 5 2" xfId="9600" xr:uid="{81B17697-E5F5-4EBD-BFCB-4733E298A72D}"/>
    <cellStyle name="Comma 11 2 2 3 2 8 5 2 2" xfId="24778" xr:uid="{5487E721-D621-4938-BA13-F50779C72EFC}"/>
    <cellStyle name="Comma 11 2 2 3 2 8 5 3" xfId="17318" xr:uid="{A015D1F3-E576-4B14-B6F8-59528A96AC0E}"/>
    <cellStyle name="Comma 11 2 2 3 2 8 6" xfId="9086" xr:uid="{558D169C-56A4-4FA0-A93E-629A3603C8FC}"/>
    <cellStyle name="Comma 11 2 2 3 2 8 6 2" xfId="13259" xr:uid="{DB947969-2DB6-4543-B250-9F90C882CBD9}"/>
    <cellStyle name="Comma 11 2 2 3 2 8 6 2 2" xfId="28436" xr:uid="{00513B2E-ECE0-4E26-84FC-C3E35E5ED933}"/>
    <cellStyle name="Comma 11 2 2 3 2 8 6 3" xfId="24264" xr:uid="{8ACEDB9D-2B3A-4E14-B109-D3D10F2B2730}"/>
    <cellStyle name="Comma 11 2 2 3 2 8 7" xfId="5426" xr:uid="{88EDE885-C2B5-4FA0-BA19-D9074FF0B41A}"/>
    <cellStyle name="Comma 11 2 2 3 2 8 7 2" xfId="20606" xr:uid="{E8E8A690-3EFB-408B-B9AE-A397270C69C0}"/>
    <cellStyle name="Comma 11 2 2 3 2 8 8" xfId="16804" xr:uid="{335A2D19-FD36-4E72-803D-B74D807FFF1A}"/>
    <cellStyle name="Comma 11 2 2 3 2 9" xfId="1672" xr:uid="{8E47B344-57EC-4A2D-BD6D-E77EF132A120}"/>
    <cellStyle name="Comma 11 2 2 3 2 9 2" xfId="3091" xr:uid="{935B1907-99C1-4960-AAC0-60C9C9097908}"/>
    <cellStyle name="Comma 11 2 2 3 2 9 2 2" xfId="10582" xr:uid="{9115AEC2-0D89-4202-A4DF-CBDEA764FC71}"/>
    <cellStyle name="Comma 11 2 2 3 2 9 2 2 2" xfId="14128" xr:uid="{92127022-E5AC-465B-B9DC-9EB87D743D66}"/>
    <cellStyle name="Comma 11 2 2 3 2 9 2 2 2 2" xfId="29305" xr:uid="{BA0C54D6-F6F7-4254-AB49-01592CE4BCF6}"/>
    <cellStyle name="Comma 11 2 2 3 2 9 2 2 3" xfId="25760" xr:uid="{F6A093D7-F47B-4823-8F08-F580F712EB46}"/>
    <cellStyle name="Comma 11 2 2 3 2 9 2 3" xfId="6408" xr:uid="{E1B93353-F5D4-4E85-8AC6-04190526578D}"/>
    <cellStyle name="Comma 11 2 2 3 2 9 2 3 2" xfId="21588" xr:uid="{E4365CC3-C2FC-491A-9367-2C8C753EE91D}"/>
    <cellStyle name="Comma 11 2 2 3 2 9 2 4" xfId="18300" xr:uid="{88354536-6D43-4513-B15A-9FA62DDA5D72}"/>
    <cellStyle name="Comma 11 2 2 3 2 9 3" xfId="3978" xr:uid="{3340B53B-54CC-4BBE-BBFD-E011D5DE149C}"/>
    <cellStyle name="Comma 11 2 2 3 2 9 3 2" xfId="11466" xr:uid="{F318B5E7-EB23-46E9-852A-C947CC1C2A1C}"/>
    <cellStyle name="Comma 11 2 2 3 2 9 3 2 2" xfId="15012" xr:uid="{F5B3EA92-EB27-47CD-9D82-EE3F6148CE33}"/>
    <cellStyle name="Comma 11 2 2 3 2 9 3 2 2 2" xfId="30189" xr:uid="{54DA5D11-1DBE-4A66-A309-3069617D702F}"/>
    <cellStyle name="Comma 11 2 2 3 2 9 3 2 3" xfId="26644" xr:uid="{C0B193EC-3B35-4A6B-981E-0397B6A1E72F}"/>
    <cellStyle name="Comma 11 2 2 3 2 9 3 3" xfId="7292" xr:uid="{5DD3763F-3EED-4BB7-96F5-DF781D0288DE}"/>
    <cellStyle name="Comma 11 2 2 3 2 9 3 3 2" xfId="22472" xr:uid="{BDC2650E-D3E9-4579-B476-EDA92EA11AD1}"/>
    <cellStyle name="Comma 11 2 2 3 2 9 3 4" xfId="19184" xr:uid="{3E1A247A-2C3A-4C43-90F7-B75A1CEA551A}"/>
    <cellStyle name="Comma 11 2 2 3 2 9 4" xfId="4100" xr:uid="{679AB8D1-BB44-4988-9AC9-AA36A0E3508C}"/>
    <cellStyle name="Comma 11 2 2 3 2 9 4 2" xfId="11585" xr:uid="{8CE5535F-2229-4258-A5E2-968B01077C5C}"/>
    <cellStyle name="Comma 11 2 2 3 2 9 4 2 2" xfId="15131" xr:uid="{9C453A07-1C70-4F95-96B0-847A9B2B64D9}"/>
    <cellStyle name="Comma 11 2 2 3 2 9 4 2 2 2" xfId="30308" xr:uid="{9461C4E0-C10A-441E-A744-59D963B610D2}"/>
    <cellStyle name="Comma 11 2 2 3 2 9 4 2 3" xfId="26763" xr:uid="{F1884F80-9FA9-45B1-A10D-767CBF15E1BD}"/>
    <cellStyle name="Comma 11 2 2 3 2 9 4 3" xfId="7411" xr:uid="{B25CA04A-6C87-43F2-9894-A4ED1B4A6BD1}"/>
    <cellStyle name="Comma 11 2 2 3 2 9 4 3 2" xfId="22591" xr:uid="{0452041A-EE5A-40AC-9185-31167875CCDA}"/>
    <cellStyle name="Comma 11 2 2 3 2 9 4 4" xfId="19303" xr:uid="{9D3C3396-7C6F-4EEF-BB67-D7744A81BD8A}"/>
    <cellStyle name="Comma 11 2 2 3 2 9 5" xfId="2201" xr:uid="{91FAEE5D-C174-4E74-8F67-9AB56CCE01AB}"/>
    <cellStyle name="Comma 11 2 2 3 2 9 5 2" xfId="9698" xr:uid="{26EFBD6B-1A0A-4A62-96CF-37E01525F3D8}"/>
    <cellStyle name="Comma 11 2 2 3 2 9 5 2 2" xfId="24876" xr:uid="{170FFCAC-AD4E-4FD2-923B-C89A2CCDA381}"/>
    <cellStyle name="Comma 11 2 2 3 2 9 5 3" xfId="17416" xr:uid="{691BF91F-1571-485F-B026-BD1440E332AD}"/>
    <cellStyle name="Comma 11 2 2 3 2 9 6" xfId="9184" xr:uid="{A67E60E1-3E2B-43FC-BA39-9CB26AC494BF}"/>
    <cellStyle name="Comma 11 2 2 3 2 9 6 2" xfId="13357" xr:uid="{287C864F-BF3C-431A-82CD-34B8705B3149}"/>
    <cellStyle name="Comma 11 2 2 3 2 9 6 2 2" xfId="28534" xr:uid="{3BEF55C6-5351-4F1B-BCF7-2A316C2DBED6}"/>
    <cellStyle name="Comma 11 2 2 3 2 9 6 3" xfId="24362" xr:uid="{67561ABA-1E40-4941-B715-2A954FE402E0}"/>
    <cellStyle name="Comma 11 2 2 3 2 9 7" xfId="5524" xr:uid="{DA57FA6A-4D45-443C-BFDE-B547BFED3067}"/>
    <cellStyle name="Comma 11 2 2 3 2 9 7 2" xfId="20704" xr:uid="{408F2FCB-7C42-4121-878F-7198525626F4}"/>
    <cellStyle name="Comma 11 2 2 3 2 9 8" xfId="16902" xr:uid="{9E036AD3-F5A3-4B46-B227-BC017BB832EA}"/>
    <cellStyle name="Comma 11 2 2 3 3" xfId="755" xr:uid="{21E7675D-1D47-433A-BD30-3A02684C9894}"/>
    <cellStyle name="Comma 11 2 2 3 3 10" xfId="8421" xr:uid="{AFD72E6E-DEFA-46C0-857A-F589E0AF81CE}"/>
    <cellStyle name="Comma 11 2 2 3 3 10 2" xfId="12595" xr:uid="{F4DB80AB-33DD-4FA3-8280-B8EF93127AE0}"/>
    <cellStyle name="Comma 11 2 2 3 3 10 2 2" xfId="27772" xr:uid="{4885A9AF-2EE2-4C49-9EF5-8E275B508B78}"/>
    <cellStyle name="Comma 11 2 2 3 3 10 3" xfId="23600" xr:uid="{40B34ABE-92F2-4CAF-9594-327A3254C31C}"/>
    <cellStyle name="Comma 11 2 2 3 3 11" xfId="16140" xr:uid="{F746F3CF-F052-409D-A016-01E50A830640}"/>
    <cellStyle name="Comma 11 2 2 3 3 12" xfId="31482" xr:uid="{BB4F50BD-A71C-4A63-9758-72B295664ED2}"/>
    <cellStyle name="Comma 11 2 2 3 3 2" xfId="932" xr:uid="{31E35BC2-AD88-49C6-997D-867F88E8EFFB}"/>
    <cellStyle name="Comma 11 2 2 3 3 2 10" xfId="16262" xr:uid="{F88C68C2-E2D7-4369-88A1-64F67D207C51}"/>
    <cellStyle name="Comma 11 2 2 3 3 2 11" xfId="31352" xr:uid="{B641BF56-6098-4CE3-B0E2-8C14BCBC0121}"/>
    <cellStyle name="Comma 11 2 2 3 3 2 12" xfId="31702" xr:uid="{E21882B6-9DB6-49B5-BE18-43D54F446647}"/>
    <cellStyle name="Comma 11 2 2 3 3 2 2" xfId="1293" xr:uid="{636D9679-060E-4746-9A97-1819CC09F8F7}"/>
    <cellStyle name="Comma 11 2 2 3 3 2 2 2" xfId="3610" xr:uid="{41BADDE8-B153-41D4-828A-CC4DDA15E9BD}"/>
    <cellStyle name="Comma 11 2 2 3 3 2 2 2 2" xfId="11098" xr:uid="{2B6BB818-058C-450B-9D0A-AA34459881C7}"/>
    <cellStyle name="Comma 11 2 2 3 3 2 2 2 2 2" xfId="14644" xr:uid="{99779A8C-E87E-42D3-8B8D-FABDADAB707E}"/>
    <cellStyle name="Comma 11 2 2 3 3 2 2 2 2 2 2" xfId="29821" xr:uid="{DD3FA278-D898-4042-A925-1DFF9EAE88BB}"/>
    <cellStyle name="Comma 11 2 2 3 3 2 2 2 2 3" xfId="26276" xr:uid="{6DF262E1-2A40-4294-9CED-9450302076B7}"/>
    <cellStyle name="Comma 11 2 2 3 3 2 2 2 3" xfId="6924" xr:uid="{4D070ADB-A2A7-444F-BA37-8E1E42B53195}"/>
    <cellStyle name="Comma 11 2 2 3 3 2 2 2 3 2" xfId="22104" xr:uid="{FA5ADEC9-9333-4782-A383-6C599B81470A}"/>
    <cellStyle name="Comma 11 2 2 3 3 2 2 2 4" xfId="18816" xr:uid="{61ADFEA8-8925-4043-896D-2AA6703721EA}"/>
    <cellStyle name="Comma 11 2 2 3 3 2 2 3" xfId="4101" xr:uid="{4474A910-21E2-46D4-8AD3-D5681BFE5EB1}"/>
    <cellStyle name="Comma 11 2 2 3 3 2 2 3 2" xfId="11586" xr:uid="{E86DD658-1C60-4C25-AA3C-74784E256F03}"/>
    <cellStyle name="Comma 11 2 2 3 3 2 2 3 2 2" xfId="15132" xr:uid="{79427B02-4E61-4D54-B979-EFC183C94FB4}"/>
    <cellStyle name="Comma 11 2 2 3 3 2 2 3 2 2 2" xfId="30309" xr:uid="{0C415F5F-F791-44DE-A0A8-F1DC2B605E17}"/>
    <cellStyle name="Comma 11 2 2 3 3 2 2 3 2 3" xfId="26764" xr:uid="{46061222-B004-42AD-BE2D-90FB0329B991}"/>
    <cellStyle name="Comma 11 2 2 3 3 2 2 3 3" xfId="7412" xr:uid="{41093CB2-86B4-4802-9306-24637C85E7EC}"/>
    <cellStyle name="Comma 11 2 2 3 3 2 2 3 3 2" xfId="22592" xr:uid="{865DF6C1-960E-4463-AF84-5BE473690C04}"/>
    <cellStyle name="Comma 11 2 2 3 3 2 2 3 4" xfId="19304" xr:uid="{D9341679-A767-4636-80D0-9FB8734A7314}"/>
    <cellStyle name="Comma 11 2 2 3 3 2 2 4" xfId="2723" xr:uid="{33FCFC2F-647B-4C53-BD8B-7F60AEFB92F3}"/>
    <cellStyle name="Comma 11 2 2 3 3 2 2 4 2" xfId="10214" xr:uid="{2C0C4816-136F-4170-8D90-448C41A890EA}"/>
    <cellStyle name="Comma 11 2 2 3 3 2 2 4 2 2" xfId="25392" xr:uid="{B189882F-720F-49FB-86A7-380B4CEA37FF}"/>
    <cellStyle name="Comma 11 2 2 3 3 2 2 4 3" xfId="17932" xr:uid="{FA000DE9-8F03-4048-9F10-F8A5B18213C9}"/>
    <cellStyle name="Comma 11 2 2 3 3 2 2 5" xfId="8816" xr:uid="{5EB1BA09-EB7C-4C5C-A67D-60F8AF2FC4D5}"/>
    <cellStyle name="Comma 11 2 2 3 3 2 2 5 2" xfId="12989" xr:uid="{C8CAD5BC-ABEE-4A7F-B955-3700C24BE768}"/>
    <cellStyle name="Comma 11 2 2 3 3 2 2 5 2 2" xfId="28166" xr:uid="{E7782E13-EFCC-4592-8B4E-124E0FADB4D5}"/>
    <cellStyle name="Comma 11 2 2 3 3 2 2 5 3" xfId="23994" xr:uid="{2E2DBE6C-0AAF-4D1D-BD2B-0A2223338A08}"/>
    <cellStyle name="Comma 11 2 2 3 3 2 2 6" xfId="6040" xr:uid="{490CF780-FBD7-49E8-935D-18E555D92E12}"/>
    <cellStyle name="Comma 11 2 2 3 3 2 2 6 2" xfId="21220" xr:uid="{8A69516F-50DD-43A8-B46D-566E3E3ED308}"/>
    <cellStyle name="Comma 11 2 2 3 3 2 2 7" xfId="16534" xr:uid="{82BC48ED-45DD-4158-92B8-C6999C9F3EFE}"/>
    <cellStyle name="Comma 11 2 2 3 3 2 3" xfId="2450" xr:uid="{A5D184C1-F224-477F-8D4B-28F65C408FA2}"/>
    <cellStyle name="Comma 11 2 2 3 3 2 3 2" xfId="9942" xr:uid="{7E6F9EBE-6B0F-4E19-82DA-7423B5EB30EA}"/>
    <cellStyle name="Comma 11 2 2 3 3 2 3 2 2" xfId="13601" xr:uid="{216ABA9D-29EF-45EA-9987-BD6EF41B92FC}"/>
    <cellStyle name="Comma 11 2 2 3 3 2 3 2 2 2" xfId="28778" xr:uid="{03CB354B-0B71-4601-BCBA-5B223671E58F}"/>
    <cellStyle name="Comma 11 2 2 3 3 2 3 2 3" xfId="25120" xr:uid="{8D5F0607-4766-4679-BAED-7D11FCB61038}"/>
    <cellStyle name="Comma 11 2 2 3 3 2 3 3" xfId="5768" xr:uid="{3A2C03C5-7D7A-49CF-B16B-3ED27FE4A7A5}"/>
    <cellStyle name="Comma 11 2 2 3 3 2 3 3 2" xfId="20948" xr:uid="{7110D4F9-606C-480D-97E5-DED1AC55BF2B}"/>
    <cellStyle name="Comma 11 2 2 3 3 2 3 4" xfId="17660" xr:uid="{35E944D1-6C67-4D89-B3EC-C8B58FFA946D}"/>
    <cellStyle name="Comma 11 2 2 3 3 2 4" xfId="3338" xr:uid="{E6C10E85-2B9C-4D17-A2FF-F3735358B5E8}"/>
    <cellStyle name="Comma 11 2 2 3 3 2 4 2" xfId="10826" xr:uid="{8D90EAC7-E3B2-4486-A22E-E2008E2EE4F1}"/>
    <cellStyle name="Comma 11 2 2 3 3 2 4 2 2" xfId="14372" xr:uid="{C2F83014-11C4-48DD-B1B2-9D511B68B1E2}"/>
    <cellStyle name="Comma 11 2 2 3 3 2 4 2 2 2" xfId="29549" xr:uid="{C84192FF-3FA3-4226-9E70-AFDA1DF76194}"/>
    <cellStyle name="Comma 11 2 2 3 3 2 4 2 3" xfId="26004" xr:uid="{51C18728-E583-43E4-B71D-E66D2E2DA9E4}"/>
    <cellStyle name="Comma 11 2 2 3 3 2 4 3" xfId="6652" xr:uid="{D5ED7EEA-BEA1-456C-8AF0-975252C2A2B5}"/>
    <cellStyle name="Comma 11 2 2 3 3 2 4 3 2" xfId="21832" xr:uid="{9198AA4E-5C8E-4AF1-892E-2CB4A8D9E00F}"/>
    <cellStyle name="Comma 11 2 2 3 3 2 4 4" xfId="18544" xr:uid="{BFC896A6-C183-489A-A12F-73ECEC0B1073}"/>
    <cellStyle name="Comma 11 2 2 3 3 2 5" xfId="4102" xr:uid="{86E339DB-E9C1-4C7E-A6EF-84C6C5129711}"/>
    <cellStyle name="Comma 11 2 2 3 3 2 5 2" xfId="11587" xr:uid="{4EC9CC3F-350D-4B89-9E99-551CBF8F5DB9}"/>
    <cellStyle name="Comma 11 2 2 3 3 2 5 2 2" xfId="15133" xr:uid="{3ADEC179-5654-4C77-B5E8-C723B6663469}"/>
    <cellStyle name="Comma 11 2 2 3 3 2 5 2 2 2" xfId="30310" xr:uid="{E523F210-3DA8-4C47-82F9-01C2ABEE7420}"/>
    <cellStyle name="Comma 11 2 2 3 3 2 5 2 3" xfId="26765" xr:uid="{6A96D393-F1EB-4AE4-A708-BCE176BFF4CC}"/>
    <cellStyle name="Comma 11 2 2 3 3 2 5 3" xfId="7413" xr:uid="{B9F31189-5E9F-4B56-82D1-17D1BD3B4DB6}"/>
    <cellStyle name="Comma 11 2 2 3 3 2 5 3 2" xfId="22593" xr:uid="{DCE0ACB1-96F4-4EFB-83F3-2261616B5AF2}"/>
    <cellStyle name="Comma 11 2 2 3 3 2 5 4" xfId="19305" xr:uid="{7DFBC1FA-96E4-4BF8-8563-6729AC5FFB6A}"/>
    <cellStyle name="Comma 11 2 2 3 3 2 6" xfId="5012" xr:uid="{49036B2B-407A-4F6C-A205-B4C7704CAEB9}"/>
    <cellStyle name="Comma 11 2 2 3 3 2 6 2" xfId="12496" xr:uid="{980BD8B7-105D-4BCF-BBBA-54044031B7D5}"/>
    <cellStyle name="Comma 11 2 2 3 3 2 6 2 2" xfId="16042" xr:uid="{4FA67648-0611-4B49-94D1-4AAC73A75ADC}"/>
    <cellStyle name="Comma 11 2 2 3 3 2 6 2 2 2" xfId="31219" xr:uid="{0385C23A-9357-41B3-BD46-5F673BBE47A5}"/>
    <cellStyle name="Comma 11 2 2 3 3 2 6 2 3" xfId="27674" xr:uid="{B767BCCE-BC8E-47AB-98B1-88319085543B}"/>
    <cellStyle name="Comma 11 2 2 3 3 2 6 3" xfId="8322" xr:uid="{3F75F93E-45A6-4596-B089-7C32E7219949}"/>
    <cellStyle name="Comma 11 2 2 3 3 2 6 3 2" xfId="23502" xr:uid="{52903D60-D4A6-41D0-B81D-6CEF9B4C88FA}"/>
    <cellStyle name="Comma 11 2 2 3 3 2 6 4" xfId="20214" xr:uid="{3F5FCAAC-E050-44C8-BAEF-02B7AC3594C3}"/>
    <cellStyle name="Comma 11 2 2 3 3 2 7" xfId="1833" xr:uid="{0625DAE0-E07E-499D-8F78-34D370D0EF19}"/>
    <cellStyle name="Comma 11 2 2 3 3 2 7 2" xfId="9330" xr:uid="{D662A2C0-C8D2-45D9-A033-D9614B962DFE}"/>
    <cellStyle name="Comma 11 2 2 3 3 2 7 2 2" xfId="24508" xr:uid="{7FC040E4-F76B-45E3-A76C-F5E706ADA797}"/>
    <cellStyle name="Comma 11 2 2 3 3 2 7 3" xfId="17048" xr:uid="{A21EA8D2-4B3D-4737-99CC-625BB0335677}"/>
    <cellStyle name="Comma 11 2 2 3 3 2 8" xfId="8544" xr:uid="{5E2D1833-D22D-4A21-81B0-1DEFC88C4B81}"/>
    <cellStyle name="Comma 11 2 2 3 3 2 8 2" xfId="12717" xr:uid="{DF6A1D00-6074-439F-8E07-E8CBF24F1ED3}"/>
    <cellStyle name="Comma 11 2 2 3 3 2 8 2 2" xfId="27894" xr:uid="{9DBBEE81-8DF2-4128-9EC2-AD078758E24A}"/>
    <cellStyle name="Comma 11 2 2 3 3 2 8 3" xfId="23722" xr:uid="{7D731E9E-1D93-4F8F-9A32-589EEDAFE064}"/>
    <cellStyle name="Comma 11 2 2 3 3 2 9" xfId="5156" xr:uid="{2044EF31-473D-4409-8DCA-0F9FC5B6B9FD}"/>
    <cellStyle name="Comma 11 2 2 3 3 2 9 2" xfId="20336" xr:uid="{91482F95-66DC-4D30-AE32-4E18C899C02A}"/>
    <cellStyle name="Comma 11 2 2 3 3 3" xfId="1035" xr:uid="{B6754547-DFDD-46E8-BD2C-A2C88AF2495B}"/>
    <cellStyle name="Comma 11 2 2 3 3 3 10" xfId="31580" xr:uid="{E9458664-1733-490B-9020-3B95E1F21C7F}"/>
    <cellStyle name="Comma 11 2 2 3 3 3 2" xfId="1395" xr:uid="{0F02A4AE-C5F8-4516-8F50-9355DC857D11}"/>
    <cellStyle name="Comma 11 2 2 3 3 3 2 2" xfId="3708" xr:uid="{BB9D1071-6A7B-468E-8858-9C06A47DCF9A}"/>
    <cellStyle name="Comma 11 2 2 3 3 3 2 2 2" xfId="11196" xr:uid="{7213322E-ACFA-4610-8468-9F79B7E0E229}"/>
    <cellStyle name="Comma 11 2 2 3 3 3 2 2 2 2" xfId="14742" xr:uid="{9B534AAB-18DD-4C50-9290-F21CCF201C9D}"/>
    <cellStyle name="Comma 11 2 2 3 3 3 2 2 2 2 2" xfId="29919" xr:uid="{62DFB2FC-AC5C-4841-8D3D-4379CBFEEBE8}"/>
    <cellStyle name="Comma 11 2 2 3 3 3 2 2 2 3" xfId="26374" xr:uid="{053AD723-B1A2-4013-8AC4-7F37A8684D87}"/>
    <cellStyle name="Comma 11 2 2 3 3 3 2 2 3" xfId="7022" xr:uid="{71B9420C-94E2-4985-AF05-A92F03BAE11C}"/>
    <cellStyle name="Comma 11 2 2 3 3 3 2 2 3 2" xfId="22202" xr:uid="{1A3843FA-16CE-4208-A31A-61F5C2A51BB5}"/>
    <cellStyle name="Comma 11 2 2 3 3 3 2 2 4" xfId="18914" xr:uid="{C7BDC62A-48F0-43E7-A070-51DA9FA38203}"/>
    <cellStyle name="Comma 11 2 2 3 3 3 2 3" xfId="4103" xr:uid="{AE0484C7-9285-4786-8B60-919B793C2901}"/>
    <cellStyle name="Comma 11 2 2 3 3 3 2 3 2" xfId="11588" xr:uid="{D777F302-76DB-42B7-AB76-103AF62BF9F2}"/>
    <cellStyle name="Comma 11 2 2 3 3 3 2 3 2 2" xfId="15134" xr:uid="{8B023462-7C0D-41B4-A89C-E3CAF5F41945}"/>
    <cellStyle name="Comma 11 2 2 3 3 3 2 3 2 2 2" xfId="30311" xr:uid="{B816D241-D0BB-4ADF-BE5E-9B9C7FA2B9BC}"/>
    <cellStyle name="Comma 11 2 2 3 3 3 2 3 2 3" xfId="26766" xr:uid="{743174FA-5388-4975-B185-59B28B654E8F}"/>
    <cellStyle name="Comma 11 2 2 3 3 3 2 3 3" xfId="7414" xr:uid="{C04F6B5C-7A5C-4429-A110-28E31C31B747}"/>
    <cellStyle name="Comma 11 2 2 3 3 3 2 3 3 2" xfId="22594" xr:uid="{A716EB99-10A9-4D83-A199-2D73EF3CDA7F}"/>
    <cellStyle name="Comma 11 2 2 3 3 3 2 3 4" xfId="19306" xr:uid="{0088C695-1274-49F2-B614-DE1A8C43990C}"/>
    <cellStyle name="Comma 11 2 2 3 3 3 2 4" xfId="2821" xr:uid="{095A5A74-9217-45D0-BA6F-19E7BF409E92}"/>
    <cellStyle name="Comma 11 2 2 3 3 3 2 4 2" xfId="10312" xr:uid="{51B2F06A-3837-445D-8F6E-952E61832928}"/>
    <cellStyle name="Comma 11 2 2 3 3 3 2 4 2 2" xfId="25490" xr:uid="{334478B6-2DA3-4FFC-B2D2-6A4D89787DDE}"/>
    <cellStyle name="Comma 11 2 2 3 3 3 2 4 3" xfId="18030" xr:uid="{3EC00EB1-453E-46AC-B58F-5518C0701F49}"/>
    <cellStyle name="Comma 11 2 2 3 3 3 2 5" xfId="8914" xr:uid="{02031BFD-8EF2-4A8A-9487-8DA5EBDBDA60}"/>
    <cellStyle name="Comma 11 2 2 3 3 3 2 5 2" xfId="13087" xr:uid="{F8767966-149B-4674-BA39-A79BF8DFB1C1}"/>
    <cellStyle name="Comma 11 2 2 3 3 3 2 5 2 2" xfId="28264" xr:uid="{1F002087-5415-422B-981E-77AE79D3B957}"/>
    <cellStyle name="Comma 11 2 2 3 3 3 2 5 3" xfId="24092" xr:uid="{3A134AA8-9895-46EB-9E13-D0E6AAE0E724}"/>
    <cellStyle name="Comma 11 2 2 3 3 3 2 6" xfId="6138" xr:uid="{92E4C4E2-9600-41A7-A0C6-4A321013A11F}"/>
    <cellStyle name="Comma 11 2 2 3 3 3 2 6 2" xfId="21318" xr:uid="{3E1FE177-FCDF-4E5C-A745-3848BFA25667}"/>
    <cellStyle name="Comma 11 2 2 3 3 3 2 7" xfId="16632" xr:uid="{37B7726A-E8BD-47B5-A8E3-210558F4C841}"/>
    <cellStyle name="Comma 11 2 2 3 3 3 3" xfId="2548" xr:uid="{9706A3E7-FB28-4716-A195-7BDEC89C4270}"/>
    <cellStyle name="Comma 11 2 2 3 3 3 3 2" xfId="10040" xr:uid="{8617AB28-7130-48D3-9E94-609DF0DE8568}"/>
    <cellStyle name="Comma 11 2 2 3 3 3 3 2 2" xfId="13699" xr:uid="{3332763C-B0B4-40DA-9B38-892F5E2B1E0F}"/>
    <cellStyle name="Comma 11 2 2 3 3 3 3 2 2 2" xfId="28876" xr:uid="{9ADBBD61-71E7-4343-8557-C0DAE486C805}"/>
    <cellStyle name="Comma 11 2 2 3 3 3 3 2 3" xfId="25218" xr:uid="{342B1E13-6CE2-43B6-B361-20C17AA73477}"/>
    <cellStyle name="Comma 11 2 2 3 3 3 3 3" xfId="5866" xr:uid="{D42497CA-3E88-474F-AA0F-0A529BCB0343}"/>
    <cellStyle name="Comma 11 2 2 3 3 3 3 3 2" xfId="21046" xr:uid="{370707E9-8537-421A-B648-FC5152FDDD70}"/>
    <cellStyle name="Comma 11 2 2 3 3 3 3 4" xfId="17758" xr:uid="{57AF1561-BDCA-4F28-ACDF-E69D9B62CB5F}"/>
    <cellStyle name="Comma 11 2 2 3 3 3 4" xfId="3436" xr:uid="{75D977F9-005F-4458-AA25-6FAF7B21B8AE}"/>
    <cellStyle name="Comma 11 2 2 3 3 3 4 2" xfId="10924" xr:uid="{DF6D47EA-831A-4AB3-9C22-C8D30BEF2054}"/>
    <cellStyle name="Comma 11 2 2 3 3 3 4 2 2" xfId="14470" xr:uid="{D807F826-D6F5-450C-9084-72915E96CD4D}"/>
    <cellStyle name="Comma 11 2 2 3 3 3 4 2 2 2" xfId="29647" xr:uid="{C57F2842-0AAC-48D8-87EC-3CC47C4F705B}"/>
    <cellStyle name="Comma 11 2 2 3 3 3 4 2 3" xfId="26102" xr:uid="{775F35BB-B76F-4825-AE8F-B96B21012C70}"/>
    <cellStyle name="Comma 11 2 2 3 3 3 4 3" xfId="6750" xr:uid="{7CD08F04-FB7D-4D00-96F1-C890EDDD24A3}"/>
    <cellStyle name="Comma 11 2 2 3 3 3 4 3 2" xfId="21930" xr:uid="{3A4A0A73-80E4-4484-A922-9A9D506BBE04}"/>
    <cellStyle name="Comma 11 2 2 3 3 3 4 4" xfId="18642" xr:uid="{7FE12B3F-9A3D-43B1-B6D8-5C41E65299B9}"/>
    <cellStyle name="Comma 11 2 2 3 3 3 5" xfId="4104" xr:uid="{60F5EFE2-93AF-4384-B181-2266FD845D11}"/>
    <cellStyle name="Comma 11 2 2 3 3 3 5 2" xfId="11589" xr:uid="{03D0B5A7-B620-4CAB-8396-21E80B220A16}"/>
    <cellStyle name="Comma 11 2 2 3 3 3 5 2 2" xfId="15135" xr:uid="{D26A49B7-F90D-42C4-AABE-25062CCB0DF6}"/>
    <cellStyle name="Comma 11 2 2 3 3 3 5 2 2 2" xfId="30312" xr:uid="{6939C46D-5689-4F6C-9423-99C46F6C03F4}"/>
    <cellStyle name="Comma 11 2 2 3 3 3 5 2 3" xfId="26767" xr:uid="{03349F40-C73F-44B1-A7B4-61BDD44A6BEC}"/>
    <cellStyle name="Comma 11 2 2 3 3 3 5 3" xfId="7415" xr:uid="{D7713F25-6A6B-4142-8893-3AD8031510A1}"/>
    <cellStyle name="Comma 11 2 2 3 3 3 5 3 2" xfId="22595" xr:uid="{0662C1BB-5914-4DDD-9593-BB326C1DED75}"/>
    <cellStyle name="Comma 11 2 2 3 3 3 5 4" xfId="19307" xr:uid="{A12CE42F-248C-4960-B824-6BDD952E15C6}"/>
    <cellStyle name="Comma 11 2 2 3 3 3 6" xfId="1931" xr:uid="{52A987C4-0A01-4B46-8807-C5E043FEA1E6}"/>
    <cellStyle name="Comma 11 2 2 3 3 3 6 2" xfId="9428" xr:uid="{D6819E1F-B06C-4E75-BB35-885AA12ED04F}"/>
    <cellStyle name="Comma 11 2 2 3 3 3 6 2 2" xfId="24606" xr:uid="{5F2B0778-2315-4670-B3D6-A9713B3A8053}"/>
    <cellStyle name="Comma 11 2 2 3 3 3 6 3" xfId="17146" xr:uid="{2EB2DA67-3E6A-43F3-A1F7-AC026CE0C40E}"/>
    <cellStyle name="Comma 11 2 2 3 3 3 7" xfId="8642" xr:uid="{77B44423-75C1-4B4D-87E1-17537C8AF25A}"/>
    <cellStyle name="Comma 11 2 2 3 3 3 7 2" xfId="12815" xr:uid="{B159BEBD-9CC5-488F-A15F-ED903A487443}"/>
    <cellStyle name="Comma 11 2 2 3 3 3 7 2 2" xfId="27992" xr:uid="{D79F4CFD-78D8-47CF-B784-1E9B4BAF4A2E}"/>
    <cellStyle name="Comma 11 2 2 3 3 3 7 3" xfId="23820" xr:uid="{232F94A1-0595-4817-A6EA-8F28DC52119E}"/>
    <cellStyle name="Comma 11 2 2 3 3 3 8" xfId="5254" xr:uid="{009098B3-CF63-41CA-9472-0F508E17E788}"/>
    <cellStyle name="Comma 11 2 2 3 3 3 8 2" xfId="20434" xr:uid="{01B34172-55BB-480D-B35B-69C1007D90E9}"/>
    <cellStyle name="Comma 11 2 2 3 3 3 9" xfId="16360" xr:uid="{1F45ECB3-F1FB-491B-9A0F-9B8146864087}"/>
    <cellStyle name="Comma 11 2 2 3 3 4" xfId="1494" xr:uid="{777F2C87-550C-45D5-A035-B15DC2B70B96}"/>
    <cellStyle name="Comma 11 2 2 3 3 4 2" xfId="2919" xr:uid="{43375AA8-B420-4A1F-8DF4-EFF21E7DCD2E}"/>
    <cellStyle name="Comma 11 2 2 3 3 4 2 2" xfId="10410" xr:uid="{907C12F7-E00C-4EBD-8237-64C7DDE439D0}"/>
    <cellStyle name="Comma 11 2 2 3 3 4 2 2 2" xfId="13956" xr:uid="{CC02DC3C-A648-4A5C-ADDA-CF971EC552DC}"/>
    <cellStyle name="Comma 11 2 2 3 3 4 2 2 2 2" xfId="29133" xr:uid="{84CFA34C-EF31-42D6-8D0D-237850A4A128}"/>
    <cellStyle name="Comma 11 2 2 3 3 4 2 2 3" xfId="25588" xr:uid="{61D69593-01B6-44F7-B764-A62C8F46764B}"/>
    <cellStyle name="Comma 11 2 2 3 3 4 2 3" xfId="6236" xr:uid="{210F7BCC-1C9C-4427-8DA1-7324F0C24833}"/>
    <cellStyle name="Comma 11 2 2 3 3 4 2 3 2" xfId="21416" xr:uid="{7BEF3B86-6A09-400F-83D2-CED1EED63490}"/>
    <cellStyle name="Comma 11 2 2 3 3 4 2 4" xfId="18128" xr:uid="{19A8A376-C686-4031-B5D7-CAFBB62B1D89}"/>
    <cellStyle name="Comma 11 2 2 3 3 4 3" xfId="3806" xr:uid="{9B125455-27C8-4438-934E-8A863E9EB3C3}"/>
    <cellStyle name="Comma 11 2 2 3 3 4 3 2" xfId="11294" xr:uid="{35318800-EBAD-46C5-B019-337A7BD7F966}"/>
    <cellStyle name="Comma 11 2 2 3 3 4 3 2 2" xfId="14840" xr:uid="{9B4069ED-A6C4-440D-94C6-8E229D7217A0}"/>
    <cellStyle name="Comma 11 2 2 3 3 4 3 2 2 2" xfId="30017" xr:uid="{E2219E65-09C4-4307-99DA-DCFF32C92D21}"/>
    <cellStyle name="Comma 11 2 2 3 3 4 3 2 3" xfId="26472" xr:uid="{4ADF60C0-031B-459E-AC7D-9429D215EF25}"/>
    <cellStyle name="Comma 11 2 2 3 3 4 3 3" xfId="7120" xr:uid="{00F619E9-AA8D-4763-888D-ACBF8E57E058}"/>
    <cellStyle name="Comma 11 2 2 3 3 4 3 3 2" xfId="22300" xr:uid="{57098628-AF0F-473A-99FA-FCED9F79FEB7}"/>
    <cellStyle name="Comma 11 2 2 3 3 4 3 4" xfId="19012" xr:uid="{4FBE8437-B5E8-45FC-8423-2850EE8EBD28}"/>
    <cellStyle name="Comma 11 2 2 3 3 4 4" xfId="4105" xr:uid="{C4884629-8DA7-41D7-A21C-914D8A1263B8}"/>
    <cellStyle name="Comma 11 2 2 3 3 4 4 2" xfId="11590" xr:uid="{21EC765A-8805-4DA1-AD46-400C7771DC84}"/>
    <cellStyle name="Comma 11 2 2 3 3 4 4 2 2" xfId="15136" xr:uid="{05031CF0-283E-4BC0-A8A2-4BA5FE9D4A43}"/>
    <cellStyle name="Comma 11 2 2 3 3 4 4 2 2 2" xfId="30313" xr:uid="{AE3A8A5E-A217-4D07-A1F6-E16644EA4D22}"/>
    <cellStyle name="Comma 11 2 2 3 3 4 4 2 3" xfId="26768" xr:uid="{D049713C-DFD3-43EC-96D2-68A95088D766}"/>
    <cellStyle name="Comma 11 2 2 3 3 4 4 3" xfId="7416" xr:uid="{FC0C39F6-F9AB-4071-825F-86FACEC2DE9A}"/>
    <cellStyle name="Comma 11 2 2 3 3 4 4 3 2" xfId="22596" xr:uid="{0312C8AB-2CF4-4512-8A7A-AF751B3ADD78}"/>
    <cellStyle name="Comma 11 2 2 3 3 4 4 4" xfId="19308" xr:uid="{535D1129-32D7-4B19-9537-1944075E4966}"/>
    <cellStyle name="Comma 11 2 2 3 3 4 5" xfId="2029" xr:uid="{508F4A9A-8AD1-4C2A-9F99-33001E4DFA1A}"/>
    <cellStyle name="Comma 11 2 2 3 3 4 5 2" xfId="9526" xr:uid="{1BD4246E-AAAD-4E33-9A0C-0DCF98332F8D}"/>
    <cellStyle name="Comma 11 2 2 3 3 4 5 2 2" xfId="24704" xr:uid="{5625034E-8435-475C-A99C-FCA9CC82BE5E}"/>
    <cellStyle name="Comma 11 2 2 3 3 4 5 3" xfId="17244" xr:uid="{7B6FB465-A383-40CD-9BA2-761510645F44}"/>
    <cellStyle name="Comma 11 2 2 3 3 4 6" xfId="9012" xr:uid="{79B8DA8D-CEE2-4235-A395-6B040B0A7B31}"/>
    <cellStyle name="Comma 11 2 2 3 3 4 6 2" xfId="13185" xr:uid="{2974665F-41B2-4FB6-8F94-DF909851ABA1}"/>
    <cellStyle name="Comma 11 2 2 3 3 4 6 2 2" xfId="28362" xr:uid="{288F5ACD-B95C-4256-A148-11AE8C0656B7}"/>
    <cellStyle name="Comma 11 2 2 3 3 4 6 3" xfId="24190" xr:uid="{81978D98-9095-4EA1-8C3C-0BFCD3F7D78E}"/>
    <cellStyle name="Comma 11 2 2 3 3 4 7" xfId="5352" xr:uid="{AC587CDA-AD0A-462B-95B6-67C45BEFE204}"/>
    <cellStyle name="Comma 11 2 2 3 3 4 7 2" xfId="20532" xr:uid="{3EEB51BF-71AC-4969-AD6A-B13DF9F75593}"/>
    <cellStyle name="Comma 11 2 2 3 3 4 8" xfId="16730" xr:uid="{3A7EDB91-C437-4FCF-A064-45E384941354}"/>
    <cellStyle name="Comma 11 2 2 3 3 5" xfId="1597" xr:uid="{DE7B04DC-0E4D-43BC-A38C-78DDE327D440}"/>
    <cellStyle name="Comma 11 2 2 3 3 5 2" xfId="3017" xr:uid="{AD352C60-81A0-473B-8964-9C54DC5E5D8A}"/>
    <cellStyle name="Comma 11 2 2 3 3 5 2 2" xfId="10508" xr:uid="{A39451BF-1E67-4F60-9BA0-AFE2BEE6B013}"/>
    <cellStyle name="Comma 11 2 2 3 3 5 2 2 2" xfId="14054" xr:uid="{5246844B-C0CD-4D89-A459-AB35A4139E35}"/>
    <cellStyle name="Comma 11 2 2 3 3 5 2 2 2 2" xfId="29231" xr:uid="{2328084A-A47A-45E6-BFBC-A28398AB5334}"/>
    <cellStyle name="Comma 11 2 2 3 3 5 2 2 3" xfId="25686" xr:uid="{A700389C-2AB1-4CFC-B368-01B17A315EFB}"/>
    <cellStyle name="Comma 11 2 2 3 3 5 2 3" xfId="6334" xr:uid="{FD470666-E78D-41E0-92DF-14BF8E1CE6C3}"/>
    <cellStyle name="Comma 11 2 2 3 3 5 2 3 2" xfId="21514" xr:uid="{DE51E814-B069-4AE0-B7E0-7E0C301CB41C}"/>
    <cellStyle name="Comma 11 2 2 3 3 5 2 4" xfId="18226" xr:uid="{927B7B19-EBB8-46AF-90BC-9A565B450CDD}"/>
    <cellStyle name="Comma 11 2 2 3 3 5 3" xfId="3904" xr:uid="{053ACAEF-38C3-4BC8-A1A4-752D993CC394}"/>
    <cellStyle name="Comma 11 2 2 3 3 5 3 2" xfId="11392" xr:uid="{F890FBC8-DD02-4FE4-AF25-E5511FEF599D}"/>
    <cellStyle name="Comma 11 2 2 3 3 5 3 2 2" xfId="14938" xr:uid="{B0B20B13-C862-4970-8301-A055B4A433CD}"/>
    <cellStyle name="Comma 11 2 2 3 3 5 3 2 2 2" xfId="30115" xr:uid="{90A90175-C5EF-4E57-8F9A-1B79AEA18A5B}"/>
    <cellStyle name="Comma 11 2 2 3 3 5 3 2 3" xfId="26570" xr:uid="{DB02BDE4-D84E-499D-8AFF-0A334E1EB083}"/>
    <cellStyle name="Comma 11 2 2 3 3 5 3 3" xfId="7218" xr:uid="{21722297-03A9-4540-9853-B674A150D62A}"/>
    <cellStyle name="Comma 11 2 2 3 3 5 3 3 2" xfId="22398" xr:uid="{EDD669C6-3629-441B-8153-8DE9B1386A18}"/>
    <cellStyle name="Comma 11 2 2 3 3 5 3 4" xfId="19110" xr:uid="{B92FDF5B-0E20-47E9-B7CB-284A9BF925D6}"/>
    <cellStyle name="Comma 11 2 2 3 3 5 4" xfId="4106" xr:uid="{8F0E36CF-5797-4AF0-84E9-F3ABDB14A036}"/>
    <cellStyle name="Comma 11 2 2 3 3 5 4 2" xfId="11591" xr:uid="{273599F3-B2FE-4F9E-BCC9-A369EC12EFE8}"/>
    <cellStyle name="Comma 11 2 2 3 3 5 4 2 2" xfId="15137" xr:uid="{367B8E26-CBDF-4999-A2D1-80C942D2C46D}"/>
    <cellStyle name="Comma 11 2 2 3 3 5 4 2 2 2" xfId="30314" xr:uid="{2E8EC5D9-7AC3-4D6D-B3C0-1E86A0DFE3CE}"/>
    <cellStyle name="Comma 11 2 2 3 3 5 4 2 3" xfId="26769" xr:uid="{FE2E6D3C-D240-492F-B90D-BE19D0B876FF}"/>
    <cellStyle name="Comma 11 2 2 3 3 5 4 3" xfId="7417" xr:uid="{C6ECE584-74EE-42B2-801E-509EAD22E1FF}"/>
    <cellStyle name="Comma 11 2 2 3 3 5 4 3 2" xfId="22597" xr:uid="{5E487379-E207-4F51-95E1-852251C185E9}"/>
    <cellStyle name="Comma 11 2 2 3 3 5 4 4" xfId="19309" xr:uid="{2B435414-8B0D-4397-9562-A69F062EAD38}"/>
    <cellStyle name="Comma 11 2 2 3 3 5 5" xfId="2127" xr:uid="{2C640504-96C3-45F9-84F0-77AD485EF8C1}"/>
    <cellStyle name="Comma 11 2 2 3 3 5 5 2" xfId="9624" xr:uid="{B3BFDF0B-6CDF-4C38-B027-1B652EC1C59D}"/>
    <cellStyle name="Comma 11 2 2 3 3 5 5 2 2" xfId="24802" xr:uid="{23BD7E6D-7AA3-4BDB-B42B-A75E1A30730C}"/>
    <cellStyle name="Comma 11 2 2 3 3 5 5 3" xfId="17342" xr:uid="{AB4DED6C-F160-4894-9093-65A7DEDA938A}"/>
    <cellStyle name="Comma 11 2 2 3 3 5 6" xfId="9110" xr:uid="{F83DFEA1-BE7C-4B59-A876-DCFAE4538FC0}"/>
    <cellStyle name="Comma 11 2 2 3 3 5 6 2" xfId="13283" xr:uid="{5F2913A6-0D31-43F5-B5EB-3ECDFD18A002}"/>
    <cellStyle name="Comma 11 2 2 3 3 5 6 2 2" xfId="28460" xr:uid="{80989789-ADA5-4B74-B5D3-2F2F1ECC6687}"/>
    <cellStyle name="Comma 11 2 2 3 3 5 6 3" xfId="24288" xr:uid="{545794DF-789D-4EAC-8BAD-C9A916E9F74C}"/>
    <cellStyle name="Comma 11 2 2 3 3 5 7" xfId="5450" xr:uid="{BEFE7DCB-68A1-42ED-BDB4-837E715EF565}"/>
    <cellStyle name="Comma 11 2 2 3 3 5 7 2" xfId="20630" xr:uid="{99271353-B53A-4067-B880-BA83FEC4BD48}"/>
    <cellStyle name="Comma 11 2 2 3 3 5 8" xfId="16828" xr:uid="{2E6061BD-BA60-4789-AA03-98239E0387EC}"/>
    <cellStyle name="Comma 11 2 2 3 3 6" xfId="1696" xr:uid="{60ED9A7D-D102-4B5C-B669-339E990E3D0B}"/>
    <cellStyle name="Comma 11 2 2 3 3 6 2" xfId="3115" xr:uid="{4F9F0EFD-176E-4C0A-9D94-A78A82342DA5}"/>
    <cellStyle name="Comma 11 2 2 3 3 6 2 2" xfId="10606" xr:uid="{D1B4C040-C8E1-4252-B167-0361145065EA}"/>
    <cellStyle name="Comma 11 2 2 3 3 6 2 2 2" xfId="14152" xr:uid="{8C4630F7-564E-4397-BE87-D783E6176664}"/>
    <cellStyle name="Comma 11 2 2 3 3 6 2 2 2 2" xfId="29329" xr:uid="{D8C3DD43-F9CB-476A-9914-286B652D1BB7}"/>
    <cellStyle name="Comma 11 2 2 3 3 6 2 2 3" xfId="25784" xr:uid="{24CC38F4-131E-484D-9844-8CF3241DE2E3}"/>
    <cellStyle name="Comma 11 2 2 3 3 6 2 3" xfId="6432" xr:uid="{7EE04CF3-078A-4D7F-9B12-1543949547CE}"/>
    <cellStyle name="Comma 11 2 2 3 3 6 2 3 2" xfId="21612" xr:uid="{755F166D-841B-4B09-ADD8-018C6D02B2C3}"/>
    <cellStyle name="Comma 11 2 2 3 3 6 2 4" xfId="18324" xr:uid="{E6ECB32B-2112-46C1-BA33-1F522144D3FA}"/>
    <cellStyle name="Comma 11 2 2 3 3 6 3" xfId="4002" xr:uid="{D08F5F08-05CD-48C0-82CF-250D181264AF}"/>
    <cellStyle name="Comma 11 2 2 3 3 6 3 2" xfId="11490" xr:uid="{3B34987E-28BE-49BD-806E-3510753353F6}"/>
    <cellStyle name="Comma 11 2 2 3 3 6 3 2 2" xfId="15036" xr:uid="{8FEEC01E-DDC3-4A81-9B86-371A65FFD75D}"/>
    <cellStyle name="Comma 11 2 2 3 3 6 3 2 2 2" xfId="30213" xr:uid="{C16A8694-FF5F-4834-8B54-4DA706D6F933}"/>
    <cellStyle name="Comma 11 2 2 3 3 6 3 2 3" xfId="26668" xr:uid="{9E46FDD3-01FD-4F47-9EC8-24AE00F90F72}"/>
    <cellStyle name="Comma 11 2 2 3 3 6 3 3" xfId="7316" xr:uid="{EEC535D3-92DB-479A-82E2-7AE27BBD950A}"/>
    <cellStyle name="Comma 11 2 2 3 3 6 3 3 2" xfId="22496" xr:uid="{BD132629-2E4C-4C78-85C0-38597B863A65}"/>
    <cellStyle name="Comma 11 2 2 3 3 6 3 4" xfId="19208" xr:uid="{7863D541-F13C-423B-971D-A428409E0A65}"/>
    <cellStyle name="Comma 11 2 2 3 3 6 4" xfId="4107" xr:uid="{506CE9D3-844D-4EF6-B104-6196E8AB2AE3}"/>
    <cellStyle name="Comma 11 2 2 3 3 6 4 2" xfId="11592" xr:uid="{3E59E5E1-AE5B-416D-82E1-31FB399596EA}"/>
    <cellStyle name="Comma 11 2 2 3 3 6 4 2 2" xfId="15138" xr:uid="{A97DB464-8E7E-437B-ACAD-626E7784F2FE}"/>
    <cellStyle name="Comma 11 2 2 3 3 6 4 2 2 2" xfId="30315" xr:uid="{D2C66CDD-FBFA-4468-B687-18140FBDF8AF}"/>
    <cellStyle name="Comma 11 2 2 3 3 6 4 2 3" xfId="26770" xr:uid="{3088585D-4BEA-4ED4-9777-FC84AC52B03A}"/>
    <cellStyle name="Comma 11 2 2 3 3 6 4 3" xfId="7418" xr:uid="{5E7E6D90-B61F-45E4-9C2F-378C010841AE}"/>
    <cellStyle name="Comma 11 2 2 3 3 6 4 3 2" xfId="22598" xr:uid="{669E15DD-14FD-4301-996A-AB3B3C95CA35}"/>
    <cellStyle name="Comma 11 2 2 3 3 6 4 4" xfId="19310" xr:uid="{0F0DCB8A-150A-44CD-8C39-164E7DEE2D81}"/>
    <cellStyle name="Comma 11 2 2 3 3 6 5" xfId="2225" xr:uid="{D7C51F35-8E52-48A3-AAAC-118F42D52361}"/>
    <cellStyle name="Comma 11 2 2 3 3 6 5 2" xfId="9722" xr:uid="{09767609-0355-40B0-9CC5-AC5485810F95}"/>
    <cellStyle name="Comma 11 2 2 3 3 6 5 2 2" xfId="24900" xr:uid="{6075C249-5E3B-4A38-B90B-01DB77728945}"/>
    <cellStyle name="Comma 11 2 2 3 3 6 5 3" xfId="17440" xr:uid="{541EABA4-4D44-4869-9E44-49297D8FDE88}"/>
    <cellStyle name="Comma 11 2 2 3 3 6 6" xfId="9208" xr:uid="{A0916D0C-3102-4167-A70D-170A8EF1049E}"/>
    <cellStyle name="Comma 11 2 2 3 3 6 6 2" xfId="13381" xr:uid="{F775A4A5-11A1-4FF6-A41C-6C4ED902A475}"/>
    <cellStyle name="Comma 11 2 2 3 3 6 6 2 2" xfId="28558" xr:uid="{2AB35BFE-32C5-4AED-9802-718235F48BC9}"/>
    <cellStyle name="Comma 11 2 2 3 3 6 6 3" xfId="24386" xr:uid="{834AA1B3-B412-4CEF-B4DC-83A7048DE7E4}"/>
    <cellStyle name="Comma 11 2 2 3 3 6 7" xfId="5548" xr:uid="{648F9C97-FC99-43DB-A9A2-D0B859F66BC6}"/>
    <cellStyle name="Comma 11 2 2 3 3 6 7 2" xfId="20728" xr:uid="{6447D682-04FB-4468-B396-D090B0683FF3}"/>
    <cellStyle name="Comma 11 2 2 3 3 6 8" xfId="16926" xr:uid="{17B3C613-9B38-465E-87F8-38513C319AA7}"/>
    <cellStyle name="Comma 11 2 2 3 3 7" xfId="2325" xr:uid="{45966260-162C-470E-878D-0F3E7A2FAF14}"/>
    <cellStyle name="Comma 11 2 2 3 3 7 2" xfId="9820" xr:uid="{03282D67-5247-4B59-A472-6F48EA9AFC1A}"/>
    <cellStyle name="Comma 11 2 2 3 3 7 2 2" xfId="13479" xr:uid="{4615581D-8B8B-450A-8B5C-709C12667A18}"/>
    <cellStyle name="Comma 11 2 2 3 3 7 2 2 2" xfId="28656" xr:uid="{3B69DECB-7739-454C-BBC5-3BA79BC5E1A7}"/>
    <cellStyle name="Comma 11 2 2 3 3 7 2 3" xfId="24998" xr:uid="{D3AD4345-5D18-4414-9F83-2D7585F95D08}"/>
    <cellStyle name="Comma 11 2 2 3 3 7 3" xfId="5646" xr:uid="{9B92F072-598B-4D40-B496-8B7EE6D36734}"/>
    <cellStyle name="Comma 11 2 2 3 3 7 3 2" xfId="20826" xr:uid="{DBBDD754-ED49-48A3-A4B0-FA379E210F7F}"/>
    <cellStyle name="Comma 11 2 2 3 3 7 4" xfId="17538" xr:uid="{D1EB4489-0B9A-4AE2-B2B2-4F921A68956C}"/>
    <cellStyle name="Comma 11 2 2 3 3 8" xfId="3215" xr:uid="{EAB6FC38-F79C-4AE8-858D-CC48296CF0AB}"/>
    <cellStyle name="Comma 11 2 2 3 3 8 2" xfId="10704" xr:uid="{7565E442-BFFB-4736-B49D-7B25F37E417E}"/>
    <cellStyle name="Comma 11 2 2 3 3 8 2 2" xfId="14250" xr:uid="{5CBD11BF-C49A-42D4-ADE6-6C2336E29B86}"/>
    <cellStyle name="Comma 11 2 2 3 3 8 2 2 2" xfId="29427" xr:uid="{00BF1E42-1700-4421-873F-1408ABF2C6EC}"/>
    <cellStyle name="Comma 11 2 2 3 3 8 2 3" xfId="25882" xr:uid="{02B02C6B-BD45-4031-84B7-F4F89BCF8673}"/>
    <cellStyle name="Comma 11 2 2 3 3 8 3" xfId="6530" xr:uid="{6B6F13AD-6553-414C-863E-29736601D191}"/>
    <cellStyle name="Comma 11 2 2 3 3 8 3 2" xfId="21710" xr:uid="{014A0C96-4461-45D0-B52F-BE222DDC723C}"/>
    <cellStyle name="Comma 11 2 2 3 3 8 4" xfId="18422" xr:uid="{2B69DAE2-0BE1-402E-891D-E46DBFE6F6C8}"/>
    <cellStyle name="Comma 11 2 2 3 3 9" xfId="4108" xr:uid="{B59705C5-B284-469E-BECD-12FE545E2340}"/>
    <cellStyle name="Comma 11 2 2 3 3 9 2" xfId="11593" xr:uid="{602FAD1F-BDE8-4450-A360-66636A1837C8}"/>
    <cellStyle name="Comma 11 2 2 3 3 9 2 2" xfId="15139" xr:uid="{730AF090-276E-48E1-BDDD-378D1F0C2528}"/>
    <cellStyle name="Comma 11 2 2 3 3 9 2 2 2" xfId="30316" xr:uid="{1064FE4B-D7F9-4B8A-9902-36DA686AC939}"/>
    <cellStyle name="Comma 11 2 2 3 3 9 2 3" xfId="26771" xr:uid="{495F390F-205F-4733-B7D8-76B3AE56B19B}"/>
    <cellStyle name="Comma 11 2 2 3 3 9 3" xfId="7419" xr:uid="{FE561A5A-024A-46E8-A08B-17E5235081C4}"/>
    <cellStyle name="Comma 11 2 2 3 3 9 3 2" xfId="22599" xr:uid="{FF5225FC-E402-47E2-B197-C393A46DE73B}"/>
    <cellStyle name="Comma 11 2 2 3 3 9 4" xfId="19311" xr:uid="{A4408E05-B009-46CA-99C9-7F249B0658BE}"/>
    <cellStyle name="Comma 11 2 2 3 4" xfId="883" xr:uid="{F1F112C9-24FD-4832-8D78-312F9831BAA1}"/>
    <cellStyle name="Comma 11 2 2 3 4 2" xfId="2401" xr:uid="{0CC9D126-668E-4490-B920-C076E2923A68}"/>
    <cellStyle name="Comma 11 2 2 3 4 2 2" xfId="9893" xr:uid="{AD73F9A9-CDB7-42C4-B7EC-B012A3E05E77}"/>
    <cellStyle name="Comma 11 2 2 3 4 2 2 2" xfId="13552" xr:uid="{F2A2C7D1-2416-4D3C-BEF1-074A39F26326}"/>
    <cellStyle name="Comma 11 2 2 3 4 2 2 2 2" xfId="28729" xr:uid="{B9B05CBD-927A-4F40-AF41-93DFC7141C68}"/>
    <cellStyle name="Comma 11 2 2 3 4 2 2 3" xfId="25071" xr:uid="{DE026D3E-3049-4F4F-82B9-D6ACD61794A7}"/>
    <cellStyle name="Comma 11 2 2 3 4 2 3" xfId="5719" xr:uid="{9B26A333-F336-40B9-A823-0DA91D80CD05}"/>
    <cellStyle name="Comma 11 2 2 3 4 2 3 2" xfId="20899" xr:uid="{4CE3E74C-B0E9-4552-9674-D0C4ADC395AE}"/>
    <cellStyle name="Comma 11 2 2 3 4 2 4" xfId="17611" xr:uid="{633FD864-4639-41C0-A93B-2CB4D40768FB}"/>
    <cellStyle name="Comma 11 2 2 3 4 3" xfId="3289" xr:uid="{BF396C58-A361-47F3-A27B-839BBEE09757}"/>
    <cellStyle name="Comma 11 2 2 3 4 3 2" xfId="10777" xr:uid="{C6BA08AF-730C-4E50-BB56-6409CE4D8D53}"/>
    <cellStyle name="Comma 11 2 2 3 4 3 2 2" xfId="14323" xr:uid="{97361AE8-CD41-4EDB-97B8-4769DBE494DF}"/>
    <cellStyle name="Comma 11 2 2 3 4 3 2 2 2" xfId="29500" xr:uid="{9F4B2375-B33C-4EB3-AD56-A6D914CFB9C7}"/>
    <cellStyle name="Comma 11 2 2 3 4 3 2 3" xfId="25955" xr:uid="{FAC772D5-E4A4-4CC5-A66A-9D94CFD615E5}"/>
    <cellStyle name="Comma 11 2 2 3 4 3 3" xfId="6603" xr:uid="{BCB1C880-A7DD-4E0D-8659-A2CBCDD7C466}"/>
    <cellStyle name="Comma 11 2 2 3 4 3 3 2" xfId="21783" xr:uid="{9B1F8686-F3E5-4A3F-9C5A-1892E8752550}"/>
    <cellStyle name="Comma 11 2 2 3 4 3 4" xfId="18495" xr:uid="{D64E0C13-D845-498E-B711-02608DE0572F}"/>
    <cellStyle name="Comma 11 2 2 3 4 4" xfId="4109" xr:uid="{561D0D49-4069-4E8F-ADA6-A0675B4C25AB}"/>
    <cellStyle name="Comma 11 2 2 3 4 4 2" xfId="11594" xr:uid="{7EEBC4B5-CE53-4D80-A263-AD4309B56304}"/>
    <cellStyle name="Comma 11 2 2 3 4 4 2 2" xfId="15140" xr:uid="{0E2C2956-AC0A-4E83-83A4-B02E970BA0A8}"/>
    <cellStyle name="Comma 11 2 2 3 4 4 2 2 2" xfId="30317" xr:uid="{D447370B-9A52-4DDF-801B-F65F3BE0BF50}"/>
    <cellStyle name="Comma 11 2 2 3 4 4 2 3" xfId="26772" xr:uid="{9B8E025B-C0A9-49CD-A577-C238AEABCED1}"/>
    <cellStyle name="Comma 11 2 2 3 4 4 3" xfId="7420" xr:uid="{D0003EBB-20AE-4A67-A6C2-9FD15407CEFF}"/>
    <cellStyle name="Comma 11 2 2 3 4 4 3 2" xfId="22600" xr:uid="{223B77FA-97D4-45EE-AE79-BA49F75AC6B9}"/>
    <cellStyle name="Comma 11 2 2 3 4 4 4" xfId="19312" xr:uid="{11AE61B8-8E98-4751-958D-870000175845}"/>
    <cellStyle name="Comma 11 2 2 3 4 5" xfId="8495" xr:uid="{2626F7C9-B9DA-44BC-A8EB-F2FCC3EBE5F5}"/>
    <cellStyle name="Comma 11 2 2 3 4 5 2" xfId="12668" xr:uid="{4E191261-D575-4010-AA7B-8C80D5B34678}"/>
    <cellStyle name="Comma 11 2 2 3 4 5 2 2" xfId="27845" xr:uid="{19101331-3AA1-421A-8F7D-A9C9ACAF8962}"/>
    <cellStyle name="Comma 11 2 2 3 4 5 3" xfId="23673" xr:uid="{700A0AE7-D6DC-4295-94E0-C70046E22691}"/>
    <cellStyle name="Comma 11 2 2 3 4 6" xfId="16213" xr:uid="{20210D09-F549-4FB0-B8E9-8751EB9AB196}"/>
    <cellStyle name="Comma 11 2 2 3 4 7" xfId="31653" xr:uid="{F07EBB38-18A6-4108-8D71-DC0D9948BDFE}"/>
    <cellStyle name="Comma 11 2 2 3 5" xfId="986" xr:uid="{79B0587F-E0F9-4081-89C3-2DEBD61D4499}"/>
    <cellStyle name="Comma 11 2 2 3 5 2" xfId="2499" xr:uid="{DB42BC9E-7F41-4BFF-8F8B-1B973AEB80EC}"/>
    <cellStyle name="Comma 11 2 2 3 5 2 2" xfId="9991" xr:uid="{7CFE708D-4C29-449C-8692-7AACF639AB38}"/>
    <cellStyle name="Comma 11 2 2 3 5 2 2 2" xfId="13650" xr:uid="{C8208CAF-DEC5-4FA1-9C60-E35F41EDAABC}"/>
    <cellStyle name="Comma 11 2 2 3 5 2 2 2 2" xfId="28827" xr:uid="{D0D6AF34-A607-437E-88A8-56C9DA713485}"/>
    <cellStyle name="Comma 11 2 2 3 5 2 2 3" xfId="25169" xr:uid="{A2B5A38D-63D1-466F-9C24-B3E71CB1D458}"/>
    <cellStyle name="Comma 11 2 2 3 5 2 3" xfId="5817" xr:uid="{EF062DDE-C5B1-4C3C-A92D-EF1470DE3CF3}"/>
    <cellStyle name="Comma 11 2 2 3 5 2 3 2" xfId="20997" xr:uid="{A09074AA-9ED8-4AEF-931B-F94D031664BC}"/>
    <cellStyle name="Comma 11 2 2 3 5 2 4" xfId="17709" xr:uid="{62142B2D-65C6-4F13-9698-B01E31B7D80B}"/>
    <cellStyle name="Comma 11 2 2 3 5 3" xfId="3387" xr:uid="{1E7B90FB-38CA-46AF-8354-167C93719F42}"/>
    <cellStyle name="Comma 11 2 2 3 5 3 2" xfId="10875" xr:uid="{8CD65EDB-86FD-4C02-8523-AE13D3B252DB}"/>
    <cellStyle name="Comma 11 2 2 3 5 3 2 2" xfId="14421" xr:uid="{43964774-328F-4845-BFB8-F80AE26140D0}"/>
    <cellStyle name="Comma 11 2 2 3 5 3 2 2 2" xfId="29598" xr:uid="{EB5EE4DA-E9B1-4CE6-BA21-DDA2BCCEDB94}"/>
    <cellStyle name="Comma 11 2 2 3 5 3 2 3" xfId="26053" xr:uid="{40F986F4-8897-49E9-A6A4-A8335452F3FF}"/>
    <cellStyle name="Comma 11 2 2 3 5 3 3" xfId="6701" xr:uid="{D2D97C14-34BF-4022-8C36-5158EBF11025}"/>
    <cellStyle name="Comma 11 2 2 3 5 3 3 2" xfId="21881" xr:uid="{B714870C-02A7-41B6-97E2-EA359EC90C4C}"/>
    <cellStyle name="Comma 11 2 2 3 5 3 4" xfId="18593" xr:uid="{D0F0172A-D7C1-4D6E-A773-0AE93A42AEEF}"/>
    <cellStyle name="Comma 11 2 2 3 5 4" xfId="4110" xr:uid="{8E47049E-941C-4C2E-9983-E7A4548C94CF}"/>
    <cellStyle name="Comma 11 2 2 3 5 4 2" xfId="11595" xr:uid="{98BC8F98-B166-4052-9414-09E23C713C27}"/>
    <cellStyle name="Comma 11 2 2 3 5 4 2 2" xfId="15141" xr:uid="{88139A55-9FF1-40EF-B2E4-C9322E65CA95}"/>
    <cellStyle name="Comma 11 2 2 3 5 4 2 2 2" xfId="30318" xr:uid="{ACFBE108-05F1-468E-A919-EF4536F3C63B}"/>
    <cellStyle name="Comma 11 2 2 3 5 4 2 3" xfId="26773" xr:uid="{1EA3D23F-DFA1-439C-A30D-760A9CC7BC53}"/>
    <cellStyle name="Comma 11 2 2 3 5 4 3" xfId="7421" xr:uid="{52BE8736-3BCD-42F2-829A-D10628FCF7CB}"/>
    <cellStyle name="Comma 11 2 2 3 5 4 3 2" xfId="22601" xr:uid="{7D663174-83C6-425D-A787-2AAC729EAC9E}"/>
    <cellStyle name="Comma 11 2 2 3 5 4 4" xfId="19313" xr:uid="{42AEFA26-9F44-43A9-A15F-7BDB3937AA0B}"/>
    <cellStyle name="Comma 11 2 2 3 5 5" xfId="8593" xr:uid="{F0B6414A-791E-41D8-95EE-0306B0EA3D08}"/>
    <cellStyle name="Comma 11 2 2 3 5 5 2" xfId="12766" xr:uid="{83225F20-0AD1-4D3C-AE73-F6F83488D454}"/>
    <cellStyle name="Comma 11 2 2 3 5 5 2 2" xfId="27943" xr:uid="{2FC61558-3159-4236-9E5D-998E346A59D0}"/>
    <cellStyle name="Comma 11 2 2 3 5 5 3" xfId="23771" xr:uid="{30C988CE-627F-439D-B344-5A3E3808EC2E}"/>
    <cellStyle name="Comma 11 2 2 3 5 6" xfId="16311" xr:uid="{C0EC8E2F-11FF-4611-A82D-0690F79A7BDB}"/>
    <cellStyle name="Comma 11 2 2 3 5 7" xfId="31531" xr:uid="{C03909FF-36CD-410B-B21C-19C2C001679F}"/>
    <cellStyle name="Comma 11 2 2 3 6" xfId="1169" xr:uid="{A59DBC79-BC73-4431-AE9E-940C9BFCAAB6}"/>
    <cellStyle name="Comma 11 2 2 3 6 2" xfId="2602" xr:uid="{F172F82A-EB0D-4821-860B-A2D1D14AD2A0}"/>
    <cellStyle name="Comma 11 2 2 3 6 2 2" xfId="10093" xr:uid="{DCBEE200-15F8-47B8-87C0-3E7357C61AFD}"/>
    <cellStyle name="Comma 11 2 2 3 6 2 2 2" xfId="13751" xr:uid="{93606B1A-25BE-40CA-993E-722DCD6F53B3}"/>
    <cellStyle name="Comma 11 2 2 3 6 2 2 2 2" xfId="28928" xr:uid="{68B48460-DFF0-46A4-BE50-E08EE3537EC0}"/>
    <cellStyle name="Comma 11 2 2 3 6 2 2 3" xfId="25271" xr:uid="{B798858D-5BF7-413B-A9E1-61049226A612}"/>
    <cellStyle name="Comma 11 2 2 3 6 2 3" xfId="5919" xr:uid="{FED5E5F8-0BC3-43D1-A85A-29A5EE0402FA}"/>
    <cellStyle name="Comma 11 2 2 3 6 2 3 2" xfId="21099" xr:uid="{0331C1D8-CAFF-4039-B22A-85C1EBB18DE7}"/>
    <cellStyle name="Comma 11 2 2 3 6 2 4" xfId="17811" xr:uid="{7CFEA94F-0D07-4BE5-A3CF-5CB899CEEA8F}"/>
    <cellStyle name="Comma 11 2 2 3 6 3" xfId="3489" xr:uid="{B7B26D2A-91A5-4B09-9737-170C794B1C24}"/>
    <cellStyle name="Comma 11 2 2 3 6 3 2" xfId="10977" xr:uid="{C67AE977-FA0B-4B8E-8FDC-FB02BC8C6C02}"/>
    <cellStyle name="Comma 11 2 2 3 6 3 2 2" xfId="14523" xr:uid="{7137E4D2-DB5D-4E08-8850-D709820B098C}"/>
    <cellStyle name="Comma 11 2 2 3 6 3 2 2 2" xfId="29700" xr:uid="{9BBCD45E-E14C-4B82-8F86-B2C3A8D65869}"/>
    <cellStyle name="Comma 11 2 2 3 6 3 2 3" xfId="26155" xr:uid="{B810F3A9-A4C8-49CB-9EDB-B63F95178599}"/>
    <cellStyle name="Comma 11 2 2 3 6 3 3" xfId="6803" xr:uid="{E4789150-3073-492B-8747-527F3B746CA7}"/>
    <cellStyle name="Comma 11 2 2 3 6 3 3 2" xfId="21983" xr:uid="{01BC7E7E-6313-4EF1-81C3-5AFC99CE4DFD}"/>
    <cellStyle name="Comma 11 2 2 3 6 3 4" xfId="18695" xr:uid="{F3C051FA-6E5E-4574-86B1-B0B2FF5BB720}"/>
    <cellStyle name="Comma 11 2 2 3 6 4" xfId="4111" xr:uid="{1199829E-74EA-4D27-A959-D35F4A0AEA54}"/>
    <cellStyle name="Comma 11 2 2 3 6 4 2" xfId="11596" xr:uid="{91E14C95-A3F9-44B1-A221-BA79DC3B9C5B}"/>
    <cellStyle name="Comma 11 2 2 3 6 4 2 2" xfId="15142" xr:uid="{71A921FF-5015-4F00-A2D7-AE9003705C6E}"/>
    <cellStyle name="Comma 11 2 2 3 6 4 2 2 2" xfId="30319" xr:uid="{2738C3AA-3068-4E97-8C28-D6D346C6D5DC}"/>
    <cellStyle name="Comma 11 2 2 3 6 4 2 3" xfId="26774" xr:uid="{1E0EC716-C113-46EF-A48C-2F68A15D4579}"/>
    <cellStyle name="Comma 11 2 2 3 6 4 3" xfId="7422" xr:uid="{DBFD9657-A427-4F8F-98AF-7DD50B60D138}"/>
    <cellStyle name="Comma 11 2 2 3 6 4 3 2" xfId="22602" xr:uid="{E3A0D987-DD70-4506-919A-D8EA21B10D16}"/>
    <cellStyle name="Comma 11 2 2 3 6 4 4" xfId="19314" xr:uid="{06590F88-9B7D-4613-A7B1-83C530F251CC}"/>
    <cellStyle name="Comma 11 2 2 3 6 5" xfId="8695" xr:uid="{C19E2FD0-126A-4539-8D75-9CAC8CE065ED}"/>
    <cellStyle name="Comma 11 2 2 3 6 5 2" xfId="12868" xr:uid="{6BA0EAE2-F3ED-49A3-9B40-CBF1E57DC3C9}"/>
    <cellStyle name="Comma 11 2 2 3 6 5 2 2" xfId="28045" xr:uid="{EE891C46-3CF4-4B38-A1C6-544D9825086A}"/>
    <cellStyle name="Comma 11 2 2 3 6 5 3" xfId="23873" xr:uid="{5B34CBB7-939A-4BEA-A804-402F48886DAA}"/>
    <cellStyle name="Comma 11 2 2 3 6 6" xfId="16413" xr:uid="{6716EDCC-132E-4C68-8C1D-52DF5783018D}"/>
    <cellStyle name="Comma 11 2 2 3 7" xfId="1195" xr:uid="{77556F25-F714-4294-9427-17567094C51F}"/>
    <cellStyle name="Comma 11 2 2 3 7 2" xfId="2626" xr:uid="{924930ED-D96D-42FB-824D-9A2F8955A5E9}"/>
    <cellStyle name="Comma 11 2 2 3 7 2 2" xfId="10117" xr:uid="{CC3C3FCB-7CD3-4923-A189-9EA66492CD33}"/>
    <cellStyle name="Comma 11 2 2 3 7 2 2 2" xfId="13775" xr:uid="{6AF51B0A-1607-41C9-814B-EAF236352EBC}"/>
    <cellStyle name="Comma 11 2 2 3 7 2 2 2 2" xfId="28952" xr:uid="{3CBF4BF2-0EE3-42BA-9631-41BDB4BC73F8}"/>
    <cellStyle name="Comma 11 2 2 3 7 2 2 3" xfId="25295" xr:uid="{A5AA62FE-7D84-45AE-B306-0812544D0AB6}"/>
    <cellStyle name="Comma 11 2 2 3 7 2 3" xfId="5943" xr:uid="{83A5EE4A-6D5A-4F2E-975A-8A1CA682AFC2}"/>
    <cellStyle name="Comma 11 2 2 3 7 2 3 2" xfId="21123" xr:uid="{6688EE5D-310F-4424-B88C-19D0B2F2077D}"/>
    <cellStyle name="Comma 11 2 2 3 7 2 4" xfId="17835" xr:uid="{ECE1E69D-C6D0-4F1A-B574-1CFF04105958}"/>
    <cellStyle name="Comma 11 2 2 3 7 3" xfId="3513" xr:uid="{10B5A4D6-1D84-4780-8689-2FBEA1541A4F}"/>
    <cellStyle name="Comma 11 2 2 3 7 3 2" xfId="11001" xr:uid="{A90E260D-87C2-4984-8FBD-381AC3ED6DCD}"/>
    <cellStyle name="Comma 11 2 2 3 7 3 2 2" xfId="14547" xr:uid="{6C5AA261-A9C6-4836-809D-AC633F7EECE3}"/>
    <cellStyle name="Comma 11 2 2 3 7 3 2 2 2" xfId="29724" xr:uid="{6146CF1D-25F9-404C-9FAC-5C9F88EEE239}"/>
    <cellStyle name="Comma 11 2 2 3 7 3 2 3" xfId="26179" xr:uid="{6AF1D69F-1FD2-4096-9656-4230BEA3180D}"/>
    <cellStyle name="Comma 11 2 2 3 7 3 3" xfId="6827" xr:uid="{52F78AE2-84F8-4B40-AE22-39CF14844E91}"/>
    <cellStyle name="Comma 11 2 2 3 7 3 3 2" xfId="22007" xr:uid="{EE4B3B4A-DDF1-46AE-B853-40433AD6B5B3}"/>
    <cellStyle name="Comma 11 2 2 3 7 3 4" xfId="18719" xr:uid="{73F29900-355A-4E0C-B009-BE12E597C702}"/>
    <cellStyle name="Comma 11 2 2 3 7 4" xfId="4112" xr:uid="{C8580449-2FD6-47FF-B4CE-68854A488AE8}"/>
    <cellStyle name="Comma 11 2 2 3 7 4 2" xfId="11597" xr:uid="{453C01A5-347F-421F-A7EE-9CF44D8C7BE6}"/>
    <cellStyle name="Comma 11 2 2 3 7 4 2 2" xfId="15143" xr:uid="{5DE30B3E-3422-445A-A176-8B10B2B6A988}"/>
    <cellStyle name="Comma 11 2 2 3 7 4 2 2 2" xfId="30320" xr:uid="{4DA55CA5-B778-4650-B9D1-A161FE1584D3}"/>
    <cellStyle name="Comma 11 2 2 3 7 4 2 3" xfId="26775" xr:uid="{2AC89A21-9FB1-43F3-85E8-A4DC07154FE4}"/>
    <cellStyle name="Comma 11 2 2 3 7 4 3" xfId="7423" xr:uid="{B5ED6BE4-7200-4EAD-AE69-C80ECD2FF4C3}"/>
    <cellStyle name="Comma 11 2 2 3 7 4 3 2" xfId="22603" xr:uid="{3FEA9779-6AB0-4DEE-A30C-80134A515BA9}"/>
    <cellStyle name="Comma 11 2 2 3 7 4 4" xfId="19315" xr:uid="{5581DB90-51CD-474E-A310-036D6CC8B74A}"/>
    <cellStyle name="Comma 11 2 2 3 7 5" xfId="8719" xr:uid="{0049AFDA-8B62-4CF3-9037-12E48BB0822B}"/>
    <cellStyle name="Comma 11 2 2 3 7 5 2" xfId="12892" xr:uid="{92F81CE5-A308-4426-A810-F10B14AFE188}"/>
    <cellStyle name="Comma 11 2 2 3 7 5 2 2" xfId="28069" xr:uid="{5C57331A-ADC9-47AB-9A03-427ED7B21957}"/>
    <cellStyle name="Comma 11 2 2 3 7 5 3" xfId="23897" xr:uid="{FE71078D-54F2-46BA-8B50-1549850EA887}"/>
    <cellStyle name="Comma 11 2 2 3 7 6" xfId="16437" xr:uid="{17BD8D51-14F5-488A-A47D-64F479B297A6}"/>
    <cellStyle name="Comma 11 2 2 3 8" xfId="1244" xr:uid="{03260338-6683-4A4D-88CF-27E68235265F}"/>
    <cellStyle name="Comma 11 2 2 3 8 10" xfId="31303" xr:uid="{04E02083-6F38-4977-8160-9F2EBB8D2BA6}"/>
    <cellStyle name="Comma 11 2 2 3 8 2" xfId="2674" xr:uid="{018E1BEB-0E40-4728-B698-D35BBCD2448B}"/>
    <cellStyle name="Comma 11 2 2 3 8 2 2" xfId="10165" xr:uid="{9016D427-1EDD-4891-A3CA-BF2AA2BAF294}"/>
    <cellStyle name="Comma 11 2 2 3 8 2 2 2" xfId="13809" xr:uid="{53EF69EE-863F-48C7-AAA0-A7C5EDFDD48C}"/>
    <cellStyle name="Comma 11 2 2 3 8 2 2 2 2" xfId="28986" xr:uid="{F61E0DEB-45B4-4040-BCA9-D76EC0FC7486}"/>
    <cellStyle name="Comma 11 2 2 3 8 2 2 3" xfId="25343" xr:uid="{B1C7688F-D6D4-4C94-88FB-BB5D80513D34}"/>
    <cellStyle name="Comma 11 2 2 3 8 2 3" xfId="5991" xr:uid="{2F009959-800E-4CEB-BD34-0EA5F098C479}"/>
    <cellStyle name="Comma 11 2 2 3 8 2 3 2" xfId="21171" xr:uid="{F0E9E4B6-CAB6-49ED-AC1B-DA9583566B6A}"/>
    <cellStyle name="Comma 11 2 2 3 8 2 4" xfId="17883" xr:uid="{AAA389CB-1356-4551-8B4C-187987D3A172}"/>
    <cellStyle name="Comma 11 2 2 3 8 3" xfId="3561" xr:uid="{342782C2-37A8-4ACB-A61A-15624B338F44}"/>
    <cellStyle name="Comma 11 2 2 3 8 3 2" xfId="11049" xr:uid="{A2DE56AB-25B9-4E55-889B-1C687E7D0CD9}"/>
    <cellStyle name="Comma 11 2 2 3 8 3 2 2" xfId="14595" xr:uid="{D073E0F7-ED70-4AB3-A905-53276D1DF564}"/>
    <cellStyle name="Comma 11 2 2 3 8 3 2 2 2" xfId="29772" xr:uid="{EF752C09-9D44-4001-BB83-0417B275730D}"/>
    <cellStyle name="Comma 11 2 2 3 8 3 2 3" xfId="26227" xr:uid="{57B2D994-C062-4CF5-9439-B6FCDB9F85F6}"/>
    <cellStyle name="Comma 11 2 2 3 8 3 3" xfId="6875" xr:uid="{DBF67AD6-E197-4E26-B0D7-0C546E2C2795}"/>
    <cellStyle name="Comma 11 2 2 3 8 3 3 2" xfId="22055" xr:uid="{E1120508-FB14-492B-AEEB-BF6B1F93D6D1}"/>
    <cellStyle name="Comma 11 2 2 3 8 3 4" xfId="18767" xr:uid="{7527AC59-1FF2-46C6-979D-E9A738252F7C}"/>
    <cellStyle name="Comma 11 2 2 3 8 4" xfId="4113" xr:uid="{13F225BA-A753-4F6E-A59B-75B7290678E1}"/>
    <cellStyle name="Comma 11 2 2 3 8 4 2" xfId="11598" xr:uid="{A9008185-9C0D-4121-A0EA-7541728CBCD8}"/>
    <cellStyle name="Comma 11 2 2 3 8 4 2 2" xfId="15144" xr:uid="{D1832609-3C19-4DFF-BDDF-461011996416}"/>
    <cellStyle name="Comma 11 2 2 3 8 4 2 2 2" xfId="30321" xr:uid="{06E81A47-8140-4A16-BA66-D8F5FF020BAC}"/>
    <cellStyle name="Comma 11 2 2 3 8 4 2 3" xfId="26776" xr:uid="{24944287-192F-4968-BF21-582724DD68FD}"/>
    <cellStyle name="Comma 11 2 2 3 8 4 3" xfId="7424" xr:uid="{6BBE7A29-F1AA-4811-B648-C3C1C9587515}"/>
    <cellStyle name="Comma 11 2 2 3 8 4 3 2" xfId="22604" xr:uid="{6F762FF6-91E5-4FAD-B5BF-E044577A7726}"/>
    <cellStyle name="Comma 11 2 2 3 8 4 4" xfId="19316" xr:uid="{791CECA4-4747-4FFA-AC83-7AF4BE3B8579}"/>
    <cellStyle name="Comma 11 2 2 3 8 5" xfId="4963" xr:uid="{951187AF-4059-4579-B1E7-093B8FCD2ABE}"/>
    <cellStyle name="Comma 11 2 2 3 8 5 2" xfId="12447" xr:uid="{3B0EF3CC-DBFF-4A12-90BC-E1168FED7316}"/>
    <cellStyle name="Comma 11 2 2 3 8 5 2 2" xfId="15993" xr:uid="{96AAA737-B04B-4432-B82C-0E1AD29FBB1C}"/>
    <cellStyle name="Comma 11 2 2 3 8 5 2 2 2" xfId="31170" xr:uid="{9990E62E-4F0C-4E9F-805E-FAB726A8159D}"/>
    <cellStyle name="Comma 11 2 2 3 8 5 2 3" xfId="27625" xr:uid="{BBA32825-C4CF-4F05-9390-47497CC524A8}"/>
    <cellStyle name="Comma 11 2 2 3 8 5 3" xfId="8273" xr:uid="{2AE083CF-154D-4E8C-8CE4-27E3AAA641A4}"/>
    <cellStyle name="Comma 11 2 2 3 8 5 3 2" xfId="23453" xr:uid="{41666F10-48BE-4850-BB2E-4FD4D273BBCC}"/>
    <cellStyle name="Comma 11 2 2 3 8 5 4" xfId="20165" xr:uid="{462EABAB-091A-411E-866F-54B823B9ABCB}"/>
    <cellStyle name="Comma 11 2 2 3 8 6" xfId="1784" xr:uid="{6EDD4CE6-A16D-4FFC-A3E7-8CA547624CD9}"/>
    <cellStyle name="Comma 11 2 2 3 8 6 2" xfId="9281" xr:uid="{1EB53D14-B22C-4A75-88BA-D1F5A9B3A1C1}"/>
    <cellStyle name="Comma 11 2 2 3 8 6 2 2" xfId="24459" xr:uid="{9190354D-DF4C-4DE1-8C45-AA11D5F7E8E5}"/>
    <cellStyle name="Comma 11 2 2 3 8 6 3" xfId="16999" xr:uid="{7FA62B0B-8C6C-432F-B33C-5A539DE1D2C9}"/>
    <cellStyle name="Comma 11 2 2 3 8 7" xfId="8767" xr:uid="{E3BC4184-EE15-4D5D-9C60-7B4A9C3490B9}"/>
    <cellStyle name="Comma 11 2 2 3 8 7 2" xfId="12940" xr:uid="{DE9E5E78-990B-47EE-8627-08FF2D6EBAC4}"/>
    <cellStyle name="Comma 11 2 2 3 8 7 2 2" xfId="28117" xr:uid="{4D95C542-3E90-43C5-BC2E-9A9ABDC5CCE3}"/>
    <cellStyle name="Comma 11 2 2 3 8 7 3" xfId="23945" xr:uid="{4A4C24F1-13A2-4B9D-8D7A-31D75B597507}"/>
    <cellStyle name="Comma 11 2 2 3 8 8" xfId="5107" xr:uid="{B538A4CE-3E29-47A7-A0F9-238F65B72D97}"/>
    <cellStyle name="Comma 11 2 2 3 8 8 2" xfId="20287" xr:uid="{56DDAA5C-FD9E-4BA7-BC58-D0A5B20D8812}"/>
    <cellStyle name="Comma 11 2 2 3 8 9" xfId="16485" xr:uid="{31EE92FB-BB9D-46F2-A810-EF8B3AA89C1B}"/>
    <cellStyle name="Comma 11 2 2 3 9" xfId="1346" xr:uid="{4E7FA6E0-E624-4514-AB52-CDC86673E7DF}"/>
    <cellStyle name="Comma 11 2 2 3 9 2" xfId="2772" xr:uid="{4FC6D1ED-4C6F-4272-9FB3-85C11AD3605B}"/>
    <cellStyle name="Comma 11 2 2 3 9 2 2" xfId="10263" xr:uid="{AA62C5D9-5CFC-4593-9C36-FD4C38667814}"/>
    <cellStyle name="Comma 11 2 2 3 9 2 2 2" xfId="13858" xr:uid="{48E9A1E1-4F1B-40C6-91E3-9CCC8C299F98}"/>
    <cellStyle name="Comma 11 2 2 3 9 2 2 2 2" xfId="29035" xr:uid="{DFE59A74-9665-4CC4-9AC9-3365B77AB1A9}"/>
    <cellStyle name="Comma 11 2 2 3 9 2 2 3" xfId="25441" xr:uid="{7A5C92E0-A6F7-46A4-9054-A1BD9F9428A6}"/>
    <cellStyle name="Comma 11 2 2 3 9 2 3" xfId="6089" xr:uid="{C4E9D198-4A1B-4FD8-9C28-B2E4A25A97F1}"/>
    <cellStyle name="Comma 11 2 2 3 9 2 3 2" xfId="21269" xr:uid="{32A9212A-D4D8-43DB-8B85-9C5607F4D051}"/>
    <cellStyle name="Comma 11 2 2 3 9 2 4" xfId="17981" xr:uid="{F3CB9954-475A-4723-AE98-29A332B6A983}"/>
    <cellStyle name="Comma 11 2 2 3 9 3" xfId="3659" xr:uid="{004E0B64-B33E-4166-AE9C-72F093771E45}"/>
    <cellStyle name="Comma 11 2 2 3 9 3 2" xfId="11147" xr:uid="{7C48CF2C-CA8C-428A-8350-D1A617582C8B}"/>
    <cellStyle name="Comma 11 2 2 3 9 3 2 2" xfId="14693" xr:uid="{93A3DBA7-4986-4CF3-B636-72CA0A9B55DC}"/>
    <cellStyle name="Comma 11 2 2 3 9 3 2 2 2" xfId="29870" xr:uid="{99BED062-52F3-4BC9-B2A0-3E73287FAB04}"/>
    <cellStyle name="Comma 11 2 2 3 9 3 2 3" xfId="26325" xr:uid="{45BE610A-BE5C-4451-A3CA-7CD76F000528}"/>
    <cellStyle name="Comma 11 2 2 3 9 3 3" xfId="6973" xr:uid="{F53D2A17-648F-4FFD-AEDB-8412019232FA}"/>
    <cellStyle name="Comma 11 2 2 3 9 3 3 2" xfId="22153" xr:uid="{A8803B8F-6CA7-4B56-8F6A-7D0526FFB0C8}"/>
    <cellStyle name="Comma 11 2 2 3 9 3 4" xfId="18865" xr:uid="{062EB587-46C3-4DAF-A303-D4BAA310B80D}"/>
    <cellStyle name="Comma 11 2 2 3 9 4" xfId="4114" xr:uid="{41A2E088-8B61-4B3A-9C01-AED4DBED1FA0}"/>
    <cellStyle name="Comma 11 2 2 3 9 4 2" xfId="11599" xr:uid="{45A8665B-C09F-4858-A9B5-CD83B4DCA6E3}"/>
    <cellStyle name="Comma 11 2 2 3 9 4 2 2" xfId="15145" xr:uid="{703B1EDF-0226-4A5C-8B42-F7D207439682}"/>
    <cellStyle name="Comma 11 2 2 3 9 4 2 2 2" xfId="30322" xr:uid="{0FCE2173-4D7D-4582-B584-496785B0117A}"/>
    <cellStyle name="Comma 11 2 2 3 9 4 2 3" xfId="26777" xr:uid="{DA269284-B972-458D-81D0-21822AEEF0B9}"/>
    <cellStyle name="Comma 11 2 2 3 9 4 3" xfId="7425" xr:uid="{7431966D-93DB-4FD1-98A0-7E46B677A725}"/>
    <cellStyle name="Comma 11 2 2 3 9 4 3 2" xfId="22605" xr:uid="{B5D7F8C2-F332-40C1-B4D2-677B43D91B90}"/>
    <cellStyle name="Comma 11 2 2 3 9 4 4" xfId="19317" xr:uid="{D435F6F7-5481-4B7C-BB52-011BBF5EDA81}"/>
    <cellStyle name="Comma 11 2 2 3 9 5" xfId="1882" xr:uid="{683ECF82-C4B0-44A1-B1A5-0C0592D89D8B}"/>
    <cellStyle name="Comma 11 2 2 3 9 5 2" xfId="9379" xr:uid="{CC0B4064-DFF9-4A89-A6C9-C7167957A308}"/>
    <cellStyle name="Comma 11 2 2 3 9 5 2 2" xfId="24557" xr:uid="{3E80F82C-578A-4F10-846A-5EB6DEBD8683}"/>
    <cellStyle name="Comma 11 2 2 3 9 5 3" xfId="17097" xr:uid="{B0388064-3CF5-4A6C-8359-E3F7CF15098E}"/>
    <cellStyle name="Comma 11 2 2 3 9 6" xfId="8865" xr:uid="{FB78D0AE-FC9A-4973-8317-EC34F1B9A3A1}"/>
    <cellStyle name="Comma 11 2 2 3 9 6 2" xfId="13038" xr:uid="{385C78AF-E0AF-4648-BD7B-A2368EB9D03D}"/>
    <cellStyle name="Comma 11 2 2 3 9 6 2 2" xfId="28215" xr:uid="{1EBDA434-CA97-4075-8818-45CA1264F9C8}"/>
    <cellStyle name="Comma 11 2 2 3 9 6 3" xfId="24043" xr:uid="{E9928587-8F34-4A29-8116-EA35991A8E6D}"/>
    <cellStyle name="Comma 11 2 2 3 9 7" xfId="5205" xr:uid="{0B78F36B-EA97-42C8-A249-52C9B2BBB550}"/>
    <cellStyle name="Comma 11 2 2 3 9 7 2" xfId="20385" xr:uid="{CBD3FD9A-6A20-4732-8FAB-CB5222716B10}"/>
    <cellStyle name="Comma 11 2 2 3 9 8" xfId="16583" xr:uid="{9A4F5BAE-DBC0-49C6-9268-392B29B78CDF}"/>
    <cellStyle name="Comma 11 2 2 4" xfId="478" xr:uid="{E081ACA1-67E3-4039-AE4C-6E91DC896726}"/>
    <cellStyle name="Comma 11 2 2 4 2" xfId="591" xr:uid="{A4CC57BB-DEEC-4C61-BECC-3E79C9507D96}"/>
    <cellStyle name="Comma 11 2 2 4 2 2" xfId="9869" xr:uid="{A846B40F-27FE-4E5F-92DA-FB79B93F62C5}"/>
    <cellStyle name="Comma 11 2 2 4 2 2 2" xfId="13528" xr:uid="{68D20141-A978-4625-B1C2-F02FFCF1EFF6}"/>
    <cellStyle name="Comma 11 2 2 4 2 2 2 2" xfId="28705" xr:uid="{BC983991-08E6-4EE4-AD3D-8F30C4188F88}"/>
    <cellStyle name="Comma 11 2 2 4 2 2 3" xfId="25047" xr:uid="{42E84BAB-680D-4611-B0C4-4C83414AFA0F}"/>
    <cellStyle name="Comma 11 2 2 4 2 3" xfId="5695" xr:uid="{1D2B7F9F-9F00-406B-8357-C513972AF41B}"/>
    <cellStyle name="Comma 11 2 2 4 2 3 2" xfId="20875" xr:uid="{3AB5FF5F-856D-4543-825E-4BBB1F3CA062}"/>
    <cellStyle name="Comma 11 2 2 4 2 4" xfId="17587" xr:uid="{27A8F3B4-F26D-4C5B-96E9-BCF771A8C1BB}"/>
    <cellStyle name="Comma 11 2 2 4 2 5" xfId="2375" xr:uid="{5C091EAA-5F50-4595-B154-6E6E0BA5AD0F}"/>
    <cellStyle name="Comma 11 2 2 4 3" xfId="3265" xr:uid="{52A0228B-AAA9-4D7E-BEB7-DAD9EB89073C}"/>
    <cellStyle name="Comma 11 2 2 4 3 2" xfId="10753" xr:uid="{74FCDC7A-31F9-485B-90E9-A870B9BA3367}"/>
    <cellStyle name="Comma 11 2 2 4 3 2 2" xfId="14299" xr:uid="{08FF2740-C004-418D-9C7D-CAB6F8A16549}"/>
    <cellStyle name="Comma 11 2 2 4 3 2 2 2" xfId="29476" xr:uid="{A151AA8F-256F-44A2-8380-932AD2C6035A}"/>
    <cellStyle name="Comma 11 2 2 4 3 2 3" xfId="25931" xr:uid="{EA14231B-2CE3-49C6-A5E7-21B480840833}"/>
    <cellStyle name="Comma 11 2 2 4 3 3" xfId="6579" xr:uid="{E5920164-EF11-466C-9E95-8DFF199D28CA}"/>
    <cellStyle name="Comma 11 2 2 4 3 3 2" xfId="21759" xr:uid="{819E26DA-E3A4-4BA8-8E57-FAC006473DC6}"/>
    <cellStyle name="Comma 11 2 2 4 3 4" xfId="18471" xr:uid="{5917CFD4-A664-48C3-9DB5-022F3B322B2D}"/>
    <cellStyle name="Comma 11 2 2 4 4" xfId="4115" xr:uid="{EFE1E0CD-737B-472F-A2DB-CCD1A5FB6D53}"/>
    <cellStyle name="Comma 11 2 2 4 4 2" xfId="11600" xr:uid="{81C5A8C3-9DF3-4A54-927E-77FE78192EB4}"/>
    <cellStyle name="Comma 11 2 2 4 4 2 2" xfId="15146" xr:uid="{DFA27D82-E0A1-4533-8B7A-DB35D97D559E}"/>
    <cellStyle name="Comma 11 2 2 4 4 2 2 2" xfId="30323" xr:uid="{06E5B888-E6EF-4487-B09B-6ABE02BFED21}"/>
    <cellStyle name="Comma 11 2 2 4 4 2 3" xfId="26778" xr:uid="{2E2FE6E6-DF7B-4E53-943B-64C613FFE2E3}"/>
    <cellStyle name="Comma 11 2 2 4 4 3" xfId="7426" xr:uid="{B4B2077D-FBA1-49E8-A047-31A9D3106254}"/>
    <cellStyle name="Comma 11 2 2 4 4 3 2" xfId="22606" xr:uid="{1B03099F-99D0-4EAE-9900-7064B076991E}"/>
    <cellStyle name="Comma 11 2 2 4 4 4" xfId="19318" xr:uid="{DFB6C750-3407-40B2-984C-3CD85DCB7D46}"/>
    <cellStyle name="Comma 11 2 2 4 5" xfId="8471" xr:uid="{FABE10A7-6074-415F-82AD-2E9E3A15E9B4}"/>
    <cellStyle name="Comma 11 2 2 4 5 2" xfId="12644" xr:uid="{26197A76-BE07-45C7-80C8-0DE19EE55AAD}"/>
    <cellStyle name="Comma 11 2 2 4 5 2 2" xfId="27821" xr:uid="{822BD594-AD08-4D14-9443-453C04C7E7F9}"/>
    <cellStyle name="Comma 11 2 2 4 5 3" xfId="23649" xr:uid="{DF3DEAB9-A27A-40E0-97D4-1BD36CC687FB}"/>
    <cellStyle name="Comma 11 2 2 4 6" xfId="16189" xr:uid="{9E37EE80-12DC-42A3-905A-F73582DCD053}"/>
    <cellStyle name="Comma 11 2 2 4 7" xfId="31629" xr:uid="{5A395C53-875E-49EA-AF6B-F1534F340CD3}"/>
    <cellStyle name="Comma 11 2 2 4 8" xfId="857" xr:uid="{8622F547-0A93-40B1-9DD9-ED92E5F6BC4A}"/>
    <cellStyle name="Comma 11 2 2 5" xfId="554" xr:uid="{AE891F73-34AD-4DD8-AC4B-96D4EF57230C}"/>
    <cellStyle name="Comma 11 2 2 5 10" xfId="31279" xr:uid="{91D6DE97-5093-4CF9-9A1A-037A31373753}"/>
    <cellStyle name="Comma 11 2 2 5 11" xfId="1220" xr:uid="{B8300FFD-CEBA-48AA-B1E3-65A50227EAB8}"/>
    <cellStyle name="Comma 11 2 2 5 2" xfId="2650" xr:uid="{97BD2337-711D-4A46-A3D5-418600AD9A1F}"/>
    <cellStyle name="Comma 11 2 2 5 2 2" xfId="10141" xr:uid="{E882C91F-1967-4F72-9EF8-BE780847EA99}"/>
    <cellStyle name="Comma 11 2 2 5 2 2 2" xfId="13798" xr:uid="{91A952C6-062A-4B7A-BB71-DAF3685C451A}"/>
    <cellStyle name="Comma 11 2 2 5 2 2 2 2" xfId="28975" xr:uid="{36FDB9CE-1FAF-41F8-8F66-27BA960BBB64}"/>
    <cellStyle name="Comma 11 2 2 5 2 2 3" xfId="25319" xr:uid="{A461E063-1C3F-4FA4-AB74-9D543BD3B7F9}"/>
    <cellStyle name="Comma 11 2 2 5 2 3" xfId="5967" xr:uid="{EFCBA9D5-BF9D-4101-8903-C0705E99D5FE}"/>
    <cellStyle name="Comma 11 2 2 5 2 3 2" xfId="21147" xr:uid="{AE0C6605-5022-437D-A85B-A72B5C31A045}"/>
    <cellStyle name="Comma 11 2 2 5 2 4" xfId="17859" xr:uid="{FAC384D1-41F1-4490-B8F1-D3A4111C67DB}"/>
    <cellStyle name="Comma 11 2 2 5 3" xfId="3537" xr:uid="{0FD44110-A845-47F4-BEC7-06D7AE840F8B}"/>
    <cellStyle name="Comma 11 2 2 5 3 2" xfId="11025" xr:uid="{F583B121-F6B6-42AB-9C7A-AFB5E9CB52D4}"/>
    <cellStyle name="Comma 11 2 2 5 3 2 2" xfId="14571" xr:uid="{345BB622-2212-42E6-A2C7-BB43F61B1028}"/>
    <cellStyle name="Comma 11 2 2 5 3 2 2 2" xfId="29748" xr:uid="{D1A9C49F-595E-4AF0-BA0E-9DA0F29605DD}"/>
    <cellStyle name="Comma 11 2 2 5 3 2 3" xfId="26203" xr:uid="{6A75024D-D2AA-4AA3-9229-61F350E4DB38}"/>
    <cellStyle name="Comma 11 2 2 5 3 3" xfId="6851" xr:uid="{F3C70C72-C5DB-43DF-AE4D-94A1A37CDF6E}"/>
    <cellStyle name="Comma 11 2 2 5 3 3 2" xfId="22031" xr:uid="{1D7A0F94-73A4-4E45-9471-99D6366972CA}"/>
    <cellStyle name="Comma 11 2 2 5 3 4" xfId="18743" xr:uid="{E00A3D82-BA47-4173-93FF-4E69E5E13071}"/>
    <cellStyle name="Comma 11 2 2 5 4" xfId="4116" xr:uid="{E9CA754C-BED7-44AD-980A-DCECD39BA92F}"/>
    <cellStyle name="Comma 11 2 2 5 4 2" xfId="11601" xr:uid="{52687F74-6FB5-434A-A03A-1D6A956E1606}"/>
    <cellStyle name="Comma 11 2 2 5 4 2 2" xfId="15147" xr:uid="{A65840FF-1216-4CF1-AD19-686E36397C1E}"/>
    <cellStyle name="Comma 11 2 2 5 4 2 2 2" xfId="30324" xr:uid="{2C15F66D-93D4-4788-AA9B-1E9BF0FDD82F}"/>
    <cellStyle name="Comma 11 2 2 5 4 2 3" xfId="26779" xr:uid="{5E35E77C-D202-4184-9171-73E99528648B}"/>
    <cellStyle name="Comma 11 2 2 5 4 3" xfId="7427" xr:uid="{0232A711-E5BC-48A0-A1D0-D87AA9F573A9}"/>
    <cellStyle name="Comma 11 2 2 5 4 3 2" xfId="22607" xr:uid="{20D5DB86-79A3-47F8-8FFC-9DAB14B1F9E0}"/>
    <cellStyle name="Comma 11 2 2 5 4 4" xfId="19319" xr:uid="{B33B54FB-E01E-4A05-A839-D48ED8B2A947}"/>
    <cellStyle name="Comma 11 2 2 5 5" xfId="4939" xr:uid="{D72372D4-F2AA-4EBF-9143-7A5F6A05AC44}"/>
    <cellStyle name="Comma 11 2 2 5 5 2" xfId="12423" xr:uid="{187A85D5-EFED-4034-AD02-186E893B0597}"/>
    <cellStyle name="Comma 11 2 2 5 5 2 2" xfId="15969" xr:uid="{1392E8C8-D221-4548-84BC-DE049CE99B7A}"/>
    <cellStyle name="Comma 11 2 2 5 5 2 2 2" xfId="31146" xr:uid="{53CC2F2E-E2B5-459B-B1C9-8B31B9ED5A88}"/>
    <cellStyle name="Comma 11 2 2 5 5 2 3" xfId="27601" xr:uid="{6B523CA2-6D37-4B4A-B8AA-BB8F14F23C17}"/>
    <cellStyle name="Comma 11 2 2 5 5 3" xfId="8249" xr:uid="{12F7F13A-8AAF-4E42-86A5-2B3E1CC0830B}"/>
    <cellStyle name="Comma 11 2 2 5 5 3 2" xfId="23429" xr:uid="{05EAF903-75AA-422C-A0BC-EB0A403EDB13}"/>
    <cellStyle name="Comma 11 2 2 5 5 4" xfId="20141" xr:uid="{AE5AC2B2-EF72-4A39-ADF6-DB5E28DFEE99}"/>
    <cellStyle name="Comma 11 2 2 5 6" xfId="1760" xr:uid="{D353FBB3-FAC0-476B-9D0C-FE59E669F20D}"/>
    <cellStyle name="Comma 11 2 2 5 6 2" xfId="9257" xr:uid="{E8CEAA6F-1E15-4D5D-835F-5C9BB9B2313F}"/>
    <cellStyle name="Comma 11 2 2 5 6 2 2" xfId="24435" xr:uid="{6DA0533A-C2A8-41AE-A6B8-823863133CDA}"/>
    <cellStyle name="Comma 11 2 2 5 6 3" xfId="16975" xr:uid="{FFA4D2FF-BBFF-4CD0-B5E3-4C714A9904C4}"/>
    <cellStyle name="Comma 11 2 2 5 7" xfId="8743" xr:uid="{378C3A50-96E3-4BFD-8214-687A4F9F3073}"/>
    <cellStyle name="Comma 11 2 2 5 7 2" xfId="12916" xr:uid="{213BF0B1-13DB-4DF3-9635-5040FB75C849}"/>
    <cellStyle name="Comma 11 2 2 5 7 2 2" xfId="28093" xr:uid="{E5EBA996-C23D-4686-88A7-D81256B8A4BD}"/>
    <cellStyle name="Comma 11 2 2 5 7 3" xfId="23921" xr:uid="{71FBF8F2-7BBA-41E4-B17D-60F709104F7E}"/>
    <cellStyle name="Comma 11 2 2 5 8" xfId="5083" xr:uid="{536A519A-C514-4E7E-9974-25588AF9867C}"/>
    <cellStyle name="Comma 11 2 2 5 8 2" xfId="20263" xr:uid="{7241A2EC-AD72-4876-98F0-C33BC25AF732}"/>
    <cellStyle name="Comma 11 2 2 5 9" xfId="16461" xr:uid="{46A0191E-0B01-46FC-ADBB-047ECC80404B}"/>
    <cellStyle name="Comma 11 2 2 6" xfId="31409" xr:uid="{C3E9127A-8D71-437F-B6A2-CEC715133762}"/>
    <cellStyle name="Comma 11 2 2 7" xfId="617" xr:uid="{15678816-B655-4475-B4E1-7C1841F79EDB}"/>
    <cellStyle name="Comma 11 2 3" xfId="341" xr:uid="{894A521E-4EB8-4326-AD24-7DFA3205F7C0}"/>
    <cellStyle name="Comma 11 2 3 2" xfId="486" xr:uid="{6877DB21-97EE-49E8-8A5B-15D986A3132E}"/>
    <cellStyle name="Comma 11 2 3 2 10" xfId="1452" xr:uid="{92118BAB-876E-47BB-BAF7-E1CEFCD9E4F2}"/>
    <cellStyle name="Comma 11 2 3 2 10 2" xfId="2877" xr:uid="{A2382063-70EF-4B90-8BCF-DBFEC04A9821}"/>
    <cellStyle name="Comma 11 2 3 2 10 2 2" xfId="10368" xr:uid="{3583A965-6BC6-455F-B45E-E1748CC65AA9}"/>
    <cellStyle name="Comma 11 2 3 2 10 2 2 2" xfId="13914" xr:uid="{3957E79A-EB0E-4BD2-9D88-F358BA1AF5EC}"/>
    <cellStyle name="Comma 11 2 3 2 10 2 2 2 2" xfId="29091" xr:uid="{A4B3D0AC-17C7-4A3D-B596-20D635DB84ED}"/>
    <cellStyle name="Comma 11 2 3 2 10 2 2 3" xfId="25546" xr:uid="{11A552C1-22E2-43F7-82F0-D1F9A0F1C18D}"/>
    <cellStyle name="Comma 11 2 3 2 10 2 3" xfId="6194" xr:uid="{151F619E-8513-47E9-BF00-7AE0670FA527}"/>
    <cellStyle name="Comma 11 2 3 2 10 2 3 2" xfId="21374" xr:uid="{A2D53ED5-A98E-45FA-858B-A661A59B71BA}"/>
    <cellStyle name="Comma 11 2 3 2 10 2 4" xfId="18086" xr:uid="{BBACE74E-9C08-4214-A3ED-8AAFB51F8850}"/>
    <cellStyle name="Comma 11 2 3 2 10 3" xfId="3764" xr:uid="{8C49F851-C7A5-461B-AE19-D88465C0E2AD}"/>
    <cellStyle name="Comma 11 2 3 2 10 3 2" xfId="11252" xr:uid="{3666603D-8A1C-4D88-AE9E-0DD2F097C573}"/>
    <cellStyle name="Comma 11 2 3 2 10 3 2 2" xfId="14798" xr:uid="{3E5432A4-0619-45AA-802B-476E57A10921}"/>
    <cellStyle name="Comma 11 2 3 2 10 3 2 2 2" xfId="29975" xr:uid="{5BC045CC-A27B-4510-A3A0-8F8D5E95C88D}"/>
    <cellStyle name="Comma 11 2 3 2 10 3 2 3" xfId="26430" xr:uid="{A52FC187-E02B-4047-AC8D-14BBCD5C1DF5}"/>
    <cellStyle name="Comma 11 2 3 2 10 3 3" xfId="7078" xr:uid="{50C68736-695E-412C-A038-86F6FABEF135}"/>
    <cellStyle name="Comma 11 2 3 2 10 3 3 2" xfId="22258" xr:uid="{2F3EBE7E-FED4-4571-BB57-178A2B4A94C7}"/>
    <cellStyle name="Comma 11 2 3 2 10 3 4" xfId="18970" xr:uid="{B4761303-583A-43B2-A2B5-EF7BA67F845A}"/>
    <cellStyle name="Comma 11 2 3 2 10 4" xfId="4117" xr:uid="{40B2EA76-4713-4EF9-A3D9-901885C72246}"/>
    <cellStyle name="Comma 11 2 3 2 10 4 2" xfId="11602" xr:uid="{774993BA-BAFA-4F30-81DA-0CFDB897F9B8}"/>
    <cellStyle name="Comma 11 2 3 2 10 4 2 2" xfId="15148" xr:uid="{341F7897-3484-442B-BBC7-4F61AAECE2CE}"/>
    <cellStyle name="Comma 11 2 3 2 10 4 2 2 2" xfId="30325" xr:uid="{0762BFB1-D2C9-46D2-B4D4-B2D38B476B8E}"/>
    <cellStyle name="Comma 11 2 3 2 10 4 2 3" xfId="26780" xr:uid="{52C1FE91-31CC-4652-8F26-C3DEF67F55DA}"/>
    <cellStyle name="Comma 11 2 3 2 10 4 3" xfId="7428" xr:uid="{CBFEA069-B5BB-4D66-BC05-939B267996D5}"/>
    <cellStyle name="Comma 11 2 3 2 10 4 3 2" xfId="22608" xr:uid="{14EF857A-1792-4E4F-A947-DB65C838AF15}"/>
    <cellStyle name="Comma 11 2 3 2 10 4 4" xfId="19320" xr:uid="{A658FAA7-0E8A-42DE-98B8-B30824304405}"/>
    <cellStyle name="Comma 11 2 3 2 10 5" xfId="1987" xr:uid="{E036EE07-B268-4C0D-8060-0C2C75C8D809}"/>
    <cellStyle name="Comma 11 2 3 2 10 5 2" xfId="9484" xr:uid="{89BAF9B1-2AAC-45FF-B82E-6CD65B722DDE}"/>
    <cellStyle name="Comma 11 2 3 2 10 5 2 2" xfId="24662" xr:uid="{D300CBA6-DB6A-4539-84B9-C71B697BA47C}"/>
    <cellStyle name="Comma 11 2 3 2 10 5 3" xfId="17202" xr:uid="{951B19F9-B34D-428B-8FFF-9D4BA262FC31}"/>
    <cellStyle name="Comma 11 2 3 2 10 6" xfId="8970" xr:uid="{2942744F-9562-4DDC-934F-3E0942211C82}"/>
    <cellStyle name="Comma 11 2 3 2 10 6 2" xfId="13143" xr:uid="{968D3D4B-8B00-4A09-B0F9-B9C20CB77332}"/>
    <cellStyle name="Comma 11 2 3 2 10 6 2 2" xfId="28320" xr:uid="{F2180227-0FB7-4CD4-A048-02171E01687A}"/>
    <cellStyle name="Comma 11 2 3 2 10 6 3" xfId="24148" xr:uid="{848CC6AF-6C6B-4F52-942A-00AE103BA6F0}"/>
    <cellStyle name="Comma 11 2 3 2 10 7" xfId="5310" xr:uid="{BEC68AB6-0424-402B-AA2C-8FFB92E1A9F7}"/>
    <cellStyle name="Comma 11 2 3 2 10 7 2" xfId="20490" xr:uid="{28A7E14A-D568-4A28-BEDE-911C1848FF6A}"/>
    <cellStyle name="Comma 11 2 3 2 10 8" xfId="16688" xr:uid="{EF8FA170-5CE5-4432-A638-43C095EEDB24}"/>
    <cellStyle name="Comma 11 2 3 2 11" xfId="1555" xr:uid="{2455D6E0-D7D3-42DA-AA05-93AC434DB2AF}"/>
    <cellStyle name="Comma 11 2 3 2 11 2" xfId="2975" xr:uid="{05BD7E41-B600-4F15-BFA2-BF145CF1EE9D}"/>
    <cellStyle name="Comma 11 2 3 2 11 2 2" xfId="10466" xr:uid="{70204A40-A3CD-4DAD-AD4C-1C15CCA892C8}"/>
    <cellStyle name="Comma 11 2 3 2 11 2 2 2" xfId="14012" xr:uid="{E239FBF2-2CB8-4BC7-9744-EA6E66A7CB8C}"/>
    <cellStyle name="Comma 11 2 3 2 11 2 2 2 2" xfId="29189" xr:uid="{7B0F3EC6-7E2B-4AAE-A6E9-1805D72034A5}"/>
    <cellStyle name="Comma 11 2 3 2 11 2 2 3" xfId="25644" xr:uid="{D72D0AF3-075C-4603-861F-62D57942A8DE}"/>
    <cellStyle name="Comma 11 2 3 2 11 2 3" xfId="6292" xr:uid="{0EEC55C6-F52F-4BD5-AEDB-29446B9C3ED2}"/>
    <cellStyle name="Comma 11 2 3 2 11 2 3 2" xfId="21472" xr:uid="{101882C3-8795-4E63-9F5B-C48816A7BA7F}"/>
    <cellStyle name="Comma 11 2 3 2 11 2 4" xfId="18184" xr:uid="{A44A38D9-A4FE-4C20-BA4C-C22BCDE589CA}"/>
    <cellStyle name="Comma 11 2 3 2 11 3" xfId="3862" xr:uid="{F4B59775-DA6F-4F26-8AC2-793987439553}"/>
    <cellStyle name="Comma 11 2 3 2 11 3 2" xfId="11350" xr:uid="{9028D01B-9E08-46A9-BFB7-ACF37C1C02DA}"/>
    <cellStyle name="Comma 11 2 3 2 11 3 2 2" xfId="14896" xr:uid="{8C8EC80E-693A-4BA1-9032-855C5A3E9621}"/>
    <cellStyle name="Comma 11 2 3 2 11 3 2 2 2" xfId="30073" xr:uid="{2DB8EF9A-E97C-44E4-BC28-E9FBA6A3F2BA}"/>
    <cellStyle name="Comma 11 2 3 2 11 3 2 3" xfId="26528" xr:uid="{60F636C9-9A43-4A2D-A77D-85391B30998A}"/>
    <cellStyle name="Comma 11 2 3 2 11 3 3" xfId="7176" xr:uid="{5C54D7E7-5BD5-45B7-A8A0-A06D6001E083}"/>
    <cellStyle name="Comma 11 2 3 2 11 3 3 2" xfId="22356" xr:uid="{1BCB627A-C537-4BA9-A3EB-5B4F5BADAFDA}"/>
    <cellStyle name="Comma 11 2 3 2 11 3 4" xfId="19068" xr:uid="{8352A122-2F26-4C13-BA82-66EA1F6E4C37}"/>
    <cellStyle name="Comma 11 2 3 2 11 4" xfId="4118" xr:uid="{5BD81537-558B-4C0B-9959-C37F3C9B1C86}"/>
    <cellStyle name="Comma 11 2 3 2 11 4 2" xfId="11603" xr:uid="{E969467E-50A7-4E9C-BAA4-C3EBA04FE01A}"/>
    <cellStyle name="Comma 11 2 3 2 11 4 2 2" xfId="15149" xr:uid="{4F59FC46-4C0D-47F7-A696-C42B9D991579}"/>
    <cellStyle name="Comma 11 2 3 2 11 4 2 2 2" xfId="30326" xr:uid="{3791317A-2992-47E7-A25E-505D4460A9D3}"/>
    <cellStyle name="Comma 11 2 3 2 11 4 2 3" xfId="26781" xr:uid="{518839FB-3AC5-4D39-B050-602ECC9CD4F8}"/>
    <cellStyle name="Comma 11 2 3 2 11 4 3" xfId="7429" xr:uid="{BFF9DDFC-60DA-486C-B982-C5E7A49DF660}"/>
    <cellStyle name="Comma 11 2 3 2 11 4 3 2" xfId="22609" xr:uid="{CD64DAD8-B33B-49DA-B5E9-18778B056B02}"/>
    <cellStyle name="Comma 11 2 3 2 11 4 4" xfId="19321" xr:uid="{770301B1-FA7C-4DB6-8925-DCB07C1DA13C}"/>
    <cellStyle name="Comma 11 2 3 2 11 5" xfId="2085" xr:uid="{E1B9442E-B74D-464B-9E25-D02898AE3307}"/>
    <cellStyle name="Comma 11 2 3 2 11 5 2" xfId="9582" xr:uid="{0AF9D26E-FA78-4695-9520-EDFD25CC2B5D}"/>
    <cellStyle name="Comma 11 2 3 2 11 5 2 2" xfId="24760" xr:uid="{DA457A95-D970-46F6-8363-E3896F1A6822}"/>
    <cellStyle name="Comma 11 2 3 2 11 5 3" xfId="17300" xr:uid="{503E4C2B-0FD0-4596-B2D9-61097533180D}"/>
    <cellStyle name="Comma 11 2 3 2 11 6" xfId="9068" xr:uid="{74923D70-1FEA-4C11-B448-1A19E3F33B23}"/>
    <cellStyle name="Comma 11 2 3 2 11 6 2" xfId="13241" xr:uid="{350702FF-CE5C-497C-944E-038AC5B890FF}"/>
    <cellStyle name="Comma 11 2 3 2 11 6 2 2" xfId="28418" xr:uid="{4DF58FFE-23A9-4FC7-ADF0-481C5318C73B}"/>
    <cellStyle name="Comma 11 2 3 2 11 6 3" xfId="24246" xr:uid="{88641034-E01E-465B-B30C-B6052AE05EB9}"/>
    <cellStyle name="Comma 11 2 3 2 11 7" xfId="5408" xr:uid="{41164882-6476-43EB-9F9B-7DF72850032C}"/>
    <cellStyle name="Comma 11 2 3 2 11 7 2" xfId="20588" xr:uid="{06C3227C-FDCA-4105-AB42-EE14FE69C6FB}"/>
    <cellStyle name="Comma 11 2 3 2 11 8" xfId="16786" xr:uid="{499AD0F3-3DE8-4323-B23B-295FC7B23254}"/>
    <cellStyle name="Comma 11 2 3 2 12" xfId="1654" xr:uid="{C0A26D84-2ED1-40A0-A386-1ECCA5EACB2F}"/>
    <cellStyle name="Comma 11 2 3 2 12 2" xfId="3073" xr:uid="{FAAC2287-12F4-43F4-991C-24ECE59BEBDE}"/>
    <cellStyle name="Comma 11 2 3 2 12 2 2" xfId="10564" xr:uid="{342B7D04-656A-41D8-A42A-8AE384BBB805}"/>
    <cellStyle name="Comma 11 2 3 2 12 2 2 2" xfId="14110" xr:uid="{057E3F2C-C748-431E-8F98-BB3DE37B9EE0}"/>
    <cellStyle name="Comma 11 2 3 2 12 2 2 2 2" xfId="29287" xr:uid="{F9877BA5-5EFF-47E0-98D9-C5F8CE283127}"/>
    <cellStyle name="Comma 11 2 3 2 12 2 2 3" xfId="25742" xr:uid="{BAAC7911-7EA6-482A-AF96-33858D2132C0}"/>
    <cellStyle name="Comma 11 2 3 2 12 2 3" xfId="6390" xr:uid="{E6067E60-E068-4662-8498-81803C378C00}"/>
    <cellStyle name="Comma 11 2 3 2 12 2 3 2" xfId="21570" xr:uid="{83DDC34C-0137-4F66-9B9C-BB4F33EDBC08}"/>
    <cellStyle name="Comma 11 2 3 2 12 2 4" xfId="18282" xr:uid="{5A18ADC6-0D22-4207-B273-9B1AE7BBFA2C}"/>
    <cellStyle name="Comma 11 2 3 2 12 3" xfId="3960" xr:uid="{ABF84446-88F5-40E1-8035-8AE05B3C6E01}"/>
    <cellStyle name="Comma 11 2 3 2 12 3 2" xfId="11448" xr:uid="{CC928625-2E44-4203-BEC0-2CD70E507CB3}"/>
    <cellStyle name="Comma 11 2 3 2 12 3 2 2" xfId="14994" xr:uid="{69D2E2A4-2CDA-42E1-86A3-21D1280A2BDE}"/>
    <cellStyle name="Comma 11 2 3 2 12 3 2 2 2" xfId="30171" xr:uid="{D7ED8CDB-9D89-4F9E-B634-21276183648B}"/>
    <cellStyle name="Comma 11 2 3 2 12 3 2 3" xfId="26626" xr:uid="{4A023FE0-E065-42D3-B4AD-FCC98C3D8753}"/>
    <cellStyle name="Comma 11 2 3 2 12 3 3" xfId="7274" xr:uid="{87B3F83F-3730-4CD6-8BFD-78F7BAC70B84}"/>
    <cellStyle name="Comma 11 2 3 2 12 3 3 2" xfId="22454" xr:uid="{9B2CF84C-924B-48E9-8C4A-EAD85D9D81DE}"/>
    <cellStyle name="Comma 11 2 3 2 12 3 4" xfId="19166" xr:uid="{3C3E19E3-0853-44E1-BC6A-6656FDAB7FBF}"/>
    <cellStyle name="Comma 11 2 3 2 12 4" xfId="4119" xr:uid="{E1E953D4-F78F-4929-B91E-D9D24F00E667}"/>
    <cellStyle name="Comma 11 2 3 2 12 4 2" xfId="11604" xr:uid="{96E19970-FB00-4DCD-B6E8-4547AF6A48AC}"/>
    <cellStyle name="Comma 11 2 3 2 12 4 2 2" xfId="15150" xr:uid="{B3571DAA-C12D-4326-9331-124C0C7BCCB8}"/>
    <cellStyle name="Comma 11 2 3 2 12 4 2 2 2" xfId="30327" xr:uid="{3E8B4232-5156-4AAF-A841-B3A18572F250}"/>
    <cellStyle name="Comma 11 2 3 2 12 4 2 3" xfId="26782" xr:uid="{705CF887-347F-4C27-BFE2-A65F887D0788}"/>
    <cellStyle name="Comma 11 2 3 2 12 4 3" xfId="7430" xr:uid="{D7040A2A-6292-4AA3-A997-CB335DDB4032}"/>
    <cellStyle name="Comma 11 2 3 2 12 4 3 2" xfId="22610" xr:uid="{EB807777-8AB0-4DAE-B768-CE70F513846C}"/>
    <cellStyle name="Comma 11 2 3 2 12 4 4" xfId="19322" xr:uid="{6E276146-7600-40D1-8024-13E8970BDD03}"/>
    <cellStyle name="Comma 11 2 3 2 12 5" xfId="2183" xr:uid="{FBCE1B3E-68C0-4C9A-80DF-47F83EC4BDE5}"/>
    <cellStyle name="Comma 11 2 3 2 12 5 2" xfId="9680" xr:uid="{381DDB70-20AF-4AAE-A3E1-43FC9B569FFF}"/>
    <cellStyle name="Comma 11 2 3 2 12 5 2 2" xfId="24858" xr:uid="{8BA5B9A8-360B-4E0A-9911-79C025E40809}"/>
    <cellStyle name="Comma 11 2 3 2 12 5 3" xfId="17398" xr:uid="{7F0FA64A-C232-48F7-9034-AF2520C65EB3}"/>
    <cellStyle name="Comma 11 2 3 2 12 6" xfId="9166" xr:uid="{3EDE8E35-19A3-4BC9-9ACD-E3B6120F9C2C}"/>
    <cellStyle name="Comma 11 2 3 2 12 6 2" xfId="13339" xr:uid="{A81719B3-C489-4346-996D-04FCD47969FE}"/>
    <cellStyle name="Comma 11 2 3 2 12 6 2 2" xfId="28516" xr:uid="{5E50F09F-2977-41FF-867E-DF2876DF4AF6}"/>
    <cellStyle name="Comma 11 2 3 2 12 6 3" xfId="24344" xr:uid="{EE1EA941-1B49-4B7A-B21F-4FAFFE6ABC37}"/>
    <cellStyle name="Comma 11 2 3 2 12 7" xfId="5506" xr:uid="{7A475D2D-8568-42AA-AF15-1602CAEF66F9}"/>
    <cellStyle name="Comma 11 2 3 2 12 7 2" xfId="20686" xr:uid="{042AD0E3-08F4-4DB7-9DF4-B17F8F380E81}"/>
    <cellStyle name="Comma 11 2 3 2 12 8" xfId="16884" xr:uid="{F5B7D1F2-AF6B-4E71-902D-05EDEE2AEC74}"/>
    <cellStyle name="Comma 11 2 3 2 13" xfId="2283" xr:uid="{E06B440F-6084-4A3E-BE15-1FE2A8EFA347}"/>
    <cellStyle name="Comma 11 2 3 2 13 2" xfId="9778" xr:uid="{B0ABD326-E83B-49AC-B2E3-71CC0C9E33D9}"/>
    <cellStyle name="Comma 11 2 3 2 13 2 2" xfId="13437" xr:uid="{54F759AA-77AA-4326-9E94-036DD624DC67}"/>
    <cellStyle name="Comma 11 2 3 2 13 2 2 2" xfId="28614" xr:uid="{9E4FEC3F-3366-4BA6-9B8B-60C9BD53F11D}"/>
    <cellStyle name="Comma 11 2 3 2 13 2 3" xfId="24956" xr:uid="{5A9D5571-E654-4C02-80C5-B91A692590AF}"/>
    <cellStyle name="Comma 11 2 3 2 13 3" xfId="5604" xr:uid="{CBA9D974-E30C-4323-A293-A962C9AC4C7A}"/>
    <cellStyle name="Comma 11 2 3 2 13 3 2" xfId="20784" xr:uid="{7212F3D4-9525-4E12-994C-D193BED15241}"/>
    <cellStyle name="Comma 11 2 3 2 13 4" xfId="17496" xr:uid="{C622D05B-A732-43AB-BD42-3F60DD0969E9}"/>
    <cellStyle name="Comma 11 2 3 2 14" xfId="3173" xr:uid="{4D88C8C5-46B5-408C-AFBE-F0B967755C35}"/>
    <cellStyle name="Comma 11 2 3 2 14 2" xfId="10662" xr:uid="{5500F694-3666-4E5C-9FA4-28D3FCBA7CAA}"/>
    <cellStyle name="Comma 11 2 3 2 14 2 2" xfId="14208" xr:uid="{0D33321D-DF7F-45FD-82A6-542E6BEC677D}"/>
    <cellStyle name="Comma 11 2 3 2 14 2 2 2" xfId="29385" xr:uid="{64C6AE0A-4DB6-46E8-840D-F8C2EFAD2D0F}"/>
    <cellStyle name="Comma 11 2 3 2 14 2 3" xfId="25840" xr:uid="{A8CBE616-2FAC-46FA-BD2E-C3BEF755EB6F}"/>
    <cellStyle name="Comma 11 2 3 2 14 3" xfId="6488" xr:uid="{233F3F71-95C7-41C3-8219-4347FC1018F9}"/>
    <cellStyle name="Comma 11 2 3 2 14 3 2" xfId="21668" xr:uid="{1426EAFF-6C78-452A-A6D9-4FF444EABB96}"/>
    <cellStyle name="Comma 11 2 3 2 14 4" xfId="18380" xr:uid="{CB7E6101-A148-4337-AF5B-D964D6933DFD}"/>
    <cellStyle name="Comma 11 2 3 2 15" xfId="4120" xr:uid="{CC51B498-7C13-4B96-BB7B-4B0D9C15514E}"/>
    <cellStyle name="Comma 11 2 3 2 15 2" xfId="11605" xr:uid="{FF099FEC-4FA8-4BE8-805E-CB00EE72A40A}"/>
    <cellStyle name="Comma 11 2 3 2 15 2 2" xfId="15151" xr:uid="{C9CE676A-9369-4FD8-A4CB-5B3C82F18277}"/>
    <cellStyle name="Comma 11 2 3 2 15 2 2 2" xfId="30328" xr:uid="{1AA5A188-6034-45A6-9B93-C2D9D32F9899}"/>
    <cellStyle name="Comma 11 2 3 2 15 2 3" xfId="26783" xr:uid="{59FE1D6D-9D1B-4E1E-AF0C-9E409A1D5DD6}"/>
    <cellStyle name="Comma 11 2 3 2 15 3" xfId="7431" xr:uid="{6802F2CC-B0E9-43EF-9774-87CC8F6DF195}"/>
    <cellStyle name="Comma 11 2 3 2 15 3 2" xfId="22611" xr:uid="{C735E5D4-13B6-4C5D-8C65-7091533B556C}"/>
    <cellStyle name="Comma 11 2 3 2 15 4" xfId="19323" xr:uid="{700A6E70-1922-4660-8514-BFD568D3B28C}"/>
    <cellStyle name="Comma 11 2 3 2 16" xfId="8379" xr:uid="{C3912EDE-0A9C-44BA-8E94-A556B4DAC5D2}"/>
    <cellStyle name="Comma 11 2 3 2 16 2" xfId="12553" xr:uid="{D4C2CFF9-9ACC-469F-A9DD-D229855D2084}"/>
    <cellStyle name="Comma 11 2 3 2 16 2 2" xfId="27730" xr:uid="{2572A463-2D21-4120-AFB8-2C52D3C19CBC}"/>
    <cellStyle name="Comma 11 2 3 2 16 3" xfId="23558" xr:uid="{90543ABE-1243-4447-B79F-15955A63F848}"/>
    <cellStyle name="Comma 11 2 3 2 17" xfId="16098" xr:uid="{92D7ADC8-0013-46B4-B8AB-7C1804BE4D87}"/>
    <cellStyle name="Comma 11 2 3 2 18" xfId="31440" xr:uid="{FEDD4DE3-D2B2-480D-9EF8-51AA2985D1B8}"/>
    <cellStyle name="Comma 11 2 3 2 19" xfId="700" xr:uid="{1F133915-EF11-4FBA-9D13-7031F8525038}"/>
    <cellStyle name="Comma 11 2 3 2 2" xfId="598" xr:uid="{2919FC5D-5C73-4BB7-BF22-571B47CB5EB7}"/>
    <cellStyle name="Comma 11 2 3 2 2 10" xfId="2308" xr:uid="{2ED2DF10-5097-43D8-A627-29AA8C4CEBBE}"/>
    <cellStyle name="Comma 11 2 3 2 2 10 2" xfId="9803" xr:uid="{89D0CE67-3D82-444F-A871-1B8E0EFBBDF9}"/>
    <cellStyle name="Comma 11 2 3 2 2 10 2 2" xfId="13462" xr:uid="{3260C974-425D-4FBF-B114-AF224B594063}"/>
    <cellStyle name="Comma 11 2 3 2 2 10 2 2 2" xfId="28639" xr:uid="{C116CB28-3149-4F75-BBEC-6BAEF54F5788}"/>
    <cellStyle name="Comma 11 2 3 2 2 10 2 3" xfId="24981" xr:uid="{D706E090-D3C6-4165-9A93-C13D133616CB}"/>
    <cellStyle name="Comma 11 2 3 2 2 10 3" xfId="5629" xr:uid="{C1C73B90-095D-4287-A516-BE10B01ABCF4}"/>
    <cellStyle name="Comma 11 2 3 2 2 10 3 2" xfId="20809" xr:uid="{8532D6FB-7FB2-4677-8EBB-2D622A9B6D3A}"/>
    <cellStyle name="Comma 11 2 3 2 2 10 4" xfId="17521" xr:uid="{FB514187-3464-4817-A320-BB6E0EFDFFB6}"/>
    <cellStyle name="Comma 11 2 3 2 2 11" xfId="3198" xr:uid="{3327DF5C-0D32-4169-96F5-1080C094B7A1}"/>
    <cellStyle name="Comma 11 2 3 2 2 11 2" xfId="10687" xr:uid="{54C3922E-34D2-4AF9-ABBE-55A52A02D641}"/>
    <cellStyle name="Comma 11 2 3 2 2 11 2 2" xfId="14233" xr:uid="{3B9BA12A-ACFF-421E-9C29-7605E65BBE9F}"/>
    <cellStyle name="Comma 11 2 3 2 2 11 2 2 2" xfId="29410" xr:uid="{CF55A641-B309-4AB1-9B6B-2B031D8412C8}"/>
    <cellStyle name="Comma 11 2 3 2 2 11 2 3" xfId="25865" xr:uid="{418EE57D-678E-4BF4-91DF-B23B92BF2957}"/>
    <cellStyle name="Comma 11 2 3 2 2 11 3" xfId="6513" xr:uid="{26491D33-4B87-474E-942E-ECC94670E860}"/>
    <cellStyle name="Comma 11 2 3 2 2 11 3 2" xfId="21693" xr:uid="{010DE18E-023B-4D31-87D2-32AB18E382A5}"/>
    <cellStyle name="Comma 11 2 3 2 2 11 4" xfId="18405" xr:uid="{A6432892-56F1-493F-AC2C-8496F3B3B398}"/>
    <cellStyle name="Comma 11 2 3 2 2 12" xfId="4121" xr:uid="{4624F928-0ADE-4096-B3CB-6BBB857F1EB0}"/>
    <cellStyle name="Comma 11 2 3 2 2 12 2" xfId="11606" xr:uid="{6583D345-427F-4A33-8D55-F199C604818A}"/>
    <cellStyle name="Comma 11 2 3 2 2 12 2 2" xfId="15152" xr:uid="{2D43118F-323F-4F9B-B2D7-5BFF63C3CB36}"/>
    <cellStyle name="Comma 11 2 3 2 2 12 2 2 2" xfId="30329" xr:uid="{DDC4DA18-C3B4-4616-B07E-B30CE1ACFAB7}"/>
    <cellStyle name="Comma 11 2 3 2 2 12 2 3" xfId="26784" xr:uid="{E634A909-542A-4B7D-8D98-7183D7BAE6CB}"/>
    <cellStyle name="Comma 11 2 3 2 2 12 3" xfId="7432" xr:uid="{F9F367F3-31D4-4BA3-8B09-6397402151BE}"/>
    <cellStyle name="Comma 11 2 3 2 2 12 3 2" xfId="22612" xr:uid="{63326FAF-7FEA-4BFB-8DF4-D1D0C1FDA960}"/>
    <cellStyle name="Comma 11 2 3 2 2 12 4" xfId="19324" xr:uid="{A8A80E99-B9DB-4810-82E2-70019408D18A}"/>
    <cellStyle name="Comma 11 2 3 2 2 13" xfId="8404" xr:uid="{A11BC272-31D6-4B11-9940-4E26348B18B0}"/>
    <cellStyle name="Comma 11 2 3 2 2 13 2" xfId="12578" xr:uid="{6C06FF6F-7DBA-4E34-BC89-B7DB345B33D9}"/>
    <cellStyle name="Comma 11 2 3 2 2 13 2 2" xfId="27755" xr:uid="{8E6CD1BE-6E82-42F1-8BFE-CCDFBA650BE2}"/>
    <cellStyle name="Comma 11 2 3 2 2 13 3" xfId="23583" xr:uid="{00838A69-8481-4B67-9B0C-1A701822FBE4}"/>
    <cellStyle name="Comma 11 2 3 2 2 14" xfId="16123" xr:uid="{9284A18C-EC94-4E39-905E-52A6D3C55E37}"/>
    <cellStyle name="Comma 11 2 3 2 2 15" xfId="31465" xr:uid="{D8D9F91A-66DB-45CD-A7C7-6DD999FAC1B0}"/>
    <cellStyle name="Comma 11 2 3 2 2 16" xfId="735" xr:uid="{A172DBDD-4DB1-4EFE-A7D3-D8968D03B6F6}"/>
    <cellStyle name="Comma 11 2 3 2 2 2" xfId="787" xr:uid="{5A05840E-6EDA-48D4-AAA3-A5893EFD957E}"/>
    <cellStyle name="Comma 11 2 3 2 2 2 10" xfId="8453" xr:uid="{BE0E9843-D370-4FB3-9CB4-ACB1479696BE}"/>
    <cellStyle name="Comma 11 2 3 2 2 2 10 2" xfId="12627" xr:uid="{D81BCB5D-5114-460A-B117-9841116743E2}"/>
    <cellStyle name="Comma 11 2 3 2 2 2 10 2 2" xfId="27804" xr:uid="{90461FA4-0320-47E8-8F23-FE2E29F74F51}"/>
    <cellStyle name="Comma 11 2 3 2 2 2 10 3" xfId="23632" xr:uid="{56401832-C34A-4BC6-B67B-9C7545575E04}"/>
    <cellStyle name="Comma 11 2 3 2 2 2 11" xfId="16172" xr:uid="{88C5E0B1-FB50-4CEC-95CA-45AA06FF2625}"/>
    <cellStyle name="Comma 11 2 3 2 2 2 12" xfId="31514" xr:uid="{94500C02-9847-42BE-AF18-BD692C405379}"/>
    <cellStyle name="Comma 11 2 3 2 2 2 2" xfId="964" xr:uid="{085E6F35-67B0-433D-AE0D-423863176BD6}"/>
    <cellStyle name="Comma 11 2 3 2 2 2 2 10" xfId="16294" xr:uid="{BDD3F589-D6BD-4110-BC8E-5F36F3B01CDB}"/>
    <cellStyle name="Comma 11 2 3 2 2 2 2 11" xfId="31384" xr:uid="{23EE8C8E-4953-4072-AB4D-E0E2BD0E83AD}"/>
    <cellStyle name="Comma 11 2 3 2 2 2 2 12" xfId="31734" xr:uid="{140D44A5-A46D-40DD-A965-3167F7D12F10}"/>
    <cellStyle name="Comma 11 2 3 2 2 2 2 2" xfId="1325" xr:uid="{7DEBC85E-1776-4F14-962B-AF3829F41BB3}"/>
    <cellStyle name="Comma 11 2 3 2 2 2 2 2 2" xfId="3642" xr:uid="{668CE475-923C-4F73-A3A1-B6A700920531}"/>
    <cellStyle name="Comma 11 2 3 2 2 2 2 2 2 2" xfId="11130" xr:uid="{3EAC06E9-0D73-4243-935A-AA3ED3E6DDF2}"/>
    <cellStyle name="Comma 11 2 3 2 2 2 2 2 2 2 2" xfId="14676" xr:uid="{151F0219-24D7-4B0F-B7AF-A5A7CD5798AA}"/>
    <cellStyle name="Comma 11 2 3 2 2 2 2 2 2 2 2 2" xfId="29853" xr:uid="{67F8EFE8-7F91-46E4-A2DA-656D48F58A27}"/>
    <cellStyle name="Comma 11 2 3 2 2 2 2 2 2 2 3" xfId="26308" xr:uid="{170948D9-57A3-4F20-9898-77E83FF6F7B8}"/>
    <cellStyle name="Comma 11 2 3 2 2 2 2 2 2 3" xfId="6956" xr:uid="{4AAD60C7-8114-4055-BA81-DEBC994F16E9}"/>
    <cellStyle name="Comma 11 2 3 2 2 2 2 2 2 3 2" xfId="22136" xr:uid="{FE6D1B6E-6563-4B89-90E3-B30979DAD966}"/>
    <cellStyle name="Comma 11 2 3 2 2 2 2 2 2 4" xfId="18848" xr:uid="{14585E7E-5085-4A30-9646-EDBB80C0DCD6}"/>
    <cellStyle name="Comma 11 2 3 2 2 2 2 2 3" xfId="4122" xr:uid="{A9CA8880-783F-44B4-97A6-2A69C6007C6A}"/>
    <cellStyle name="Comma 11 2 3 2 2 2 2 2 3 2" xfId="11607" xr:uid="{95D7892E-B8FC-4371-96EE-71BD73B0E1E7}"/>
    <cellStyle name="Comma 11 2 3 2 2 2 2 2 3 2 2" xfId="15153" xr:uid="{F4826A9A-7F8F-40D4-B920-27D085C5BDBF}"/>
    <cellStyle name="Comma 11 2 3 2 2 2 2 2 3 2 2 2" xfId="30330" xr:uid="{9565119E-9B64-43AB-97B5-C756FC7E374C}"/>
    <cellStyle name="Comma 11 2 3 2 2 2 2 2 3 2 3" xfId="26785" xr:uid="{77CC0156-8955-4F43-A02D-16B18971E213}"/>
    <cellStyle name="Comma 11 2 3 2 2 2 2 2 3 3" xfId="7433" xr:uid="{2F6EB0B8-24FC-48E4-9CCD-1D09270F7AA2}"/>
    <cellStyle name="Comma 11 2 3 2 2 2 2 2 3 3 2" xfId="22613" xr:uid="{CAAB54F4-C7EE-4BC9-884A-4E0D35AFAB44}"/>
    <cellStyle name="Comma 11 2 3 2 2 2 2 2 3 4" xfId="19325" xr:uid="{4F7B7ABE-02B8-42BF-912E-72C0576F5A86}"/>
    <cellStyle name="Comma 11 2 3 2 2 2 2 2 4" xfId="2755" xr:uid="{EF093E9F-FB34-48F6-A6E1-12315DE77D8F}"/>
    <cellStyle name="Comma 11 2 3 2 2 2 2 2 4 2" xfId="10246" xr:uid="{D8541B18-615A-42EC-A498-00345EAAC0B9}"/>
    <cellStyle name="Comma 11 2 3 2 2 2 2 2 4 2 2" xfId="25424" xr:uid="{D0D93FFF-77D9-4791-ADBD-FBC9CF1419A9}"/>
    <cellStyle name="Comma 11 2 3 2 2 2 2 2 4 3" xfId="17964" xr:uid="{069D194A-028C-4A12-B1FD-2FF1A4E29D37}"/>
    <cellStyle name="Comma 11 2 3 2 2 2 2 2 5" xfId="8848" xr:uid="{A16B63E0-8CFD-48D1-9A94-DB648BF19348}"/>
    <cellStyle name="Comma 11 2 3 2 2 2 2 2 5 2" xfId="13021" xr:uid="{21181CF6-A220-475B-9717-18FF18EDB8B7}"/>
    <cellStyle name="Comma 11 2 3 2 2 2 2 2 5 2 2" xfId="28198" xr:uid="{C08FDEEF-6D49-4723-8E8A-6A481C9A8D0E}"/>
    <cellStyle name="Comma 11 2 3 2 2 2 2 2 5 3" xfId="24026" xr:uid="{4879F1D6-DB86-4DFA-8A01-7EDA9306DAF3}"/>
    <cellStyle name="Comma 11 2 3 2 2 2 2 2 6" xfId="6072" xr:uid="{21DD8C9E-4F09-449D-B319-07FCEA3EB6FE}"/>
    <cellStyle name="Comma 11 2 3 2 2 2 2 2 6 2" xfId="21252" xr:uid="{CFF9FDC8-FD2C-448B-8EB6-66A9E65C05BE}"/>
    <cellStyle name="Comma 11 2 3 2 2 2 2 2 7" xfId="16566" xr:uid="{C94EDBF6-0286-4A24-93FE-E02C7495929E}"/>
    <cellStyle name="Comma 11 2 3 2 2 2 2 3" xfId="2482" xr:uid="{DCE7A4E7-BF1C-46CF-84ED-0140A056349C}"/>
    <cellStyle name="Comma 11 2 3 2 2 2 2 3 2" xfId="9974" xr:uid="{C4F2B6C9-CDE0-4B36-A927-4FA810B73DB4}"/>
    <cellStyle name="Comma 11 2 3 2 2 2 2 3 2 2" xfId="13633" xr:uid="{5CB0FFC0-3448-4CFF-BB03-F0775A4ADF44}"/>
    <cellStyle name="Comma 11 2 3 2 2 2 2 3 2 2 2" xfId="28810" xr:uid="{32FD21BA-5349-4FF5-9066-0DF7A690BB23}"/>
    <cellStyle name="Comma 11 2 3 2 2 2 2 3 2 3" xfId="25152" xr:uid="{F760EEAD-1369-4992-BB40-734C66D7A13A}"/>
    <cellStyle name="Comma 11 2 3 2 2 2 2 3 3" xfId="5800" xr:uid="{32485A38-925F-4459-8E78-843DD97EAA0F}"/>
    <cellStyle name="Comma 11 2 3 2 2 2 2 3 3 2" xfId="20980" xr:uid="{C5A29645-5FEC-4CA0-815A-F1436B42392E}"/>
    <cellStyle name="Comma 11 2 3 2 2 2 2 3 4" xfId="17692" xr:uid="{2437103A-ED8A-4959-ADE7-F3631F0C50BE}"/>
    <cellStyle name="Comma 11 2 3 2 2 2 2 4" xfId="3370" xr:uid="{539FEB9A-8DFF-47A7-A585-3F4BC3ED20FC}"/>
    <cellStyle name="Comma 11 2 3 2 2 2 2 4 2" xfId="10858" xr:uid="{50AB8014-A317-4E15-91D0-C8662A16867C}"/>
    <cellStyle name="Comma 11 2 3 2 2 2 2 4 2 2" xfId="14404" xr:uid="{09577CE0-3745-430F-B414-481D3A5194AA}"/>
    <cellStyle name="Comma 11 2 3 2 2 2 2 4 2 2 2" xfId="29581" xr:uid="{B1EE28DA-1169-46A8-B204-AFC4D775A282}"/>
    <cellStyle name="Comma 11 2 3 2 2 2 2 4 2 3" xfId="26036" xr:uid="{12480AD4-E06D-4A24-8BF1-24B2B0DD372D}"/>
    <cellStyle name="Comma 11 2 3 2 2 2 2 4 3" xfId="6684" xr:uid="{DDDC728C-5E6C-48D6-B530-741DC109C4A5}"/>
    <cellStyle name="Comma 11 2 3 2 2 2 2 4 3 2" xfId="21864" xr:uid="{D8065573-9BA8-48DA-B854-1ACF6EC973FC}"/>
    <cellStyle name="Comma 11 2 3 2 2 2 2 4 4" xfId="18576" xr:uid="{43FBB3C3-94FF-482C-80BB-145DC267CE13}"/>
    <cellStyle name="Comma 11 2 3 2 2 2 2 5" xfId="4123" xr:uid="{71280213-90BB-437C-8967-67C7E80D7F60}"/>
    <cellStyle name="Comma 11 2 3 2 2 2 2 5 2" xfId="11608" xr:uid="{5417E4BA-3B28-4A02-A2EB-788F356655BF}"/>
    <cellStyle name="Comma 11 2 3 2 2 2 2 5 2 2" xfId="15154" xr:uid="{AE0A7F9D-B6DB-4878-8EB9-9C9E7052D46D}"/>
    <cellStyle name="Comma 11 2 3 2 2 2 2 5 2 2 2" xfId="30331" xr:uid="{74A9DFD5-F7EF-4F81-8EE0-C9C37B186930}"/>
    <cellStyle name="Comma 11 2 3 2 2 2 2 5 2 3" xfId="26786" xr:uid="{04182F72-15FD-4906-9E08-CE3F036F8165}"/>
    <cellStyle name="Comma 11 2 3 2 2 2 2 5 3" xfId="7434" xr:uid="{6847495C-6B6B-4921-83E5-5A81190FAE7A}"/>
    <cellStyle name="Comma 11 2 3 2 2 2 2 5 3 2" xfId="22614" xr:uid="{3B74BBE1-1F6C-4353-A354-85B0A55E2750}"/>
    <cellStyle name="Comma 11 2 3 2 2 2 2 5 4" xfId="19326" xr:uid="{A58D1D8D-5F9E-4CBB-9B0B-64F0EDD4A978}"/>
    <cellStyle name="Comma 11 2 3 2 2 2 2 6" xfId="5044" xr:uid="{AA2315ED-0B0D-4EA5-AE3B-F28926E5164C}"/>
    <cellStyle name="Comma 11 2 3 2 2 2 2 6 2" xfId="12528" xr:uid="{80BDC214-B551-4203-82C4-0D1BF512D0E6}"/>
    <cellStyle name="Comma 11 2 3 2 2 2 2 6 2 2" xfId="16074" xr:uid="{3504E70D-74DF-4545-A79A-8F8F0F07BCA1}"/>
    <cellStyle name="Comma 11 2 3 2 2 2 2 6 2 2 2" xfId="31251" xr:uid="{02830697-0D13-4262-8255-26E715DEA029}"/>
    <cellStyle name="Comma 11 2 3 2 2 2 2 6 2 3" xfId="27706" xr:uid="{C1EB9B42-184F-44DA-BC9F-D06A70D2BC73}"/>
    <cellStyle name="Comma 11 2 3 2 2 2 2 6 3" xfId="8354" xr:uid="{A8CBB1AD-EBCD-4639-B4C7-ACDEF9D189CE}"/>
    <cellStyle name="Comma 11 2 3 2 2 2 2 6 3 2" xfId="23534" xr:uid="{46CC1EEA-7076-42B8-BCC2-95FACBCB9A8C}"/>
    <cellStyle name="Comma 11 2 3 2 2 2 2 6 4" xfId="20246" xr:uid="{CFA22A51-006A-460E-BFD8-4AA7CE864D81}"/>
    <cellStyle name="Comma 11 2 3 2 2 2 2 7" xfId="1865" xr:uid="{A023A5A2-2009-4F69-BF3E-A17DD1AB98D4}"/>
    <cellStyle name="Comma 11 2 3 2 2 2 2 7 2" xfId="9362" xr:uid="{D3A2D2C1-D64F-4DB1-8912-697FD87CD5CA}"/>
    <cellStyle name="Comma 11 2 3 2 2 2 2 7 2 2" xfId="24540" xr:uid="{48307FB8-1C13-46A0-8DEF-44633456FA12}"/>
    <cellStyle name="Comma 11 2 3 2 2 2 2 7 3" xfId="17080" xr:uid="{9D91CA91-CC03-4C9D-A5DA-F1BEA29FD01C}"/>
    <cellStyle name="Comma 11 2 3 2 2 2 2 8" xfId="8576" xr:uid="{B2D444F2-6822-4596-B33E-29CBF7421558}"/>
    <cellStyle name="Comma 11 2 3 2 2 2 2 8 2" xfId="12749" xr:uid="{80192949-A2F9-4AD3-B340-B1A194DAD191}"/>
    <cellStyle name="Comma 11 2 3 2 2 2 2 8 2 2" xfId="27926" xr:uid="{41B0E050-590B-4F17-9A35-850CD599342E}"/>
    <cellStyle name="Comma 11 2 3 2 2 2 2 8 3" xfId="23754" xr:uid="{0E65236D-925F-4E0E-9AC4-D7D2195DABEA}"/>
    <cellStyle name="Comma 11 2 3 2 2 2 2 9" xfId="5188" xr:uid="{08B71E99-692B-4E70-B552-4FD11E7F16DB}"/>
    <cellStyle name="Comma 11 2 3 2 2 2 2 9 2" xfId="20368" xr:uid="{F91FF823-3245-4BF3-AA21-0BF7921B76A8}"/>
    <cellStyle name="Comma 11 2 3 2 2 2 3" xfId="1067" xr:uid="{11921BDE-5B3A-4728-97F7-6560ADC087B3}"/>
    <cellStyle name="Comma 11 2 3 2 2 2 3 10" xfId="31612" xr:uid="{D54E03B4-E672-4354-8CF6-A53A3E9DC9CB}"/>
    <cellStyle name="Comma 11 2 3 2 2 2 3 2" xfId="1427" xr:uid="{EF2E08E5-AD9D-4F4B-977B-57914D0C6233}"/>
    <cellStyle name="Comma 11 2 3 2 2 2 3 2 2" xfId="3740" xr:uid="{B81089DF-681C-491A-867D-E23B138FF465}"/>
    <cellStyle name="Comma 11 2 3 2 2 2 3 2 2 2" xfId="11228" xr:uid="{D417E1A6-A5EF-44D3-8EFB-39A80F85AC64}"/>
    <cellStyle name="Comma 11 2 3 2 2 2 3 2 2 2 2" xfId="14774" xr:uid="{7E4F6C3E-0D21-4F40-B319-2946D014F115}"/>
    <cellStyle name="Comma 11 2 3 2 2 2 3 2 2 2 2 2" xfId="29951" xr:uid="{27725514-DE6C-4D04-82ED-223D988F6D07}"/>
    <cellStyle name="Comma 11 2 3 2 2 2 3 2 2 2 3" xfId="26406" xr:uid="{57B27FFA-EC2C-4E70-874D-387A24BF5561}"/>
    <cellStyle name="Comma 11 2 3 2 2 2 3 2 2 3" xfId="7054" xr:uid="{DAA8F36E-3A24-4518-9E99-AC438A73C9EB}"/>
    <cellStyle name="Comma 11 2 3 2 2 2 3 2 2 3 2" xfId="22234" xr:uid="{E698B8E0-E996-45E0-8A85-85F4EA45E222}"/>
    <cellStyle name="Comma 11 2 3 2 2 2 3 2 2 4" xfId="18946" xr:uid="{1C175D93-BEFB-4C59-9012-2D16B4DCA010}"/>
    <cellStyle name="Comma 11 2 3 2 2 2 3 2 3" xfId="4124" xr:uid="{4161BB90-47F9-4620-8E96-E03C6E83251F}"/>
    <cellStyle name="Comma 11 2 3 2 2 2 3 2 3 2" xfId="11609" xr:uid="{E38807FF-6F47-4DEF-8CC9-990E823F2665}"/>
    <cellStyle name="Comma 11 2 3 2 2 2 3 2 3 2 2" xfId="15155" xr:uid="{EECB9FBF-0E01-4E48-9362-C3A1CDA66F83}"/>
    <cellStyle name="Comma 11 2 3 2 2 2 3 2 3 2 2 2" xfId="30332" xr:uid="{272BC3BA-2F9F-4C7E-9041-39822B7E691E}"/>
    <cellStyle name="Comma 11 2 3 2 2 2 3 2 3 2 3" xfId="26787" xr:uid="{62B35376-1227-4840-93DA-B3298C85E30C}"/>
    <cellStyle name="Comma 11 2 3 2 2 2 3 2 3 3" xfId="7435" xr:uid="{C9B5294E-AC9C-439B-A106-D7EFADCD377E}"/>
    <cellStyle name="Comma 11 2 3 2 2 2 3 2 3 3 2" xfId="22615" xr:uid="{D8320965-3741-4CDE-A227-874D5F76E47D}"/>
    <cellStyle name="Comma 11 2 3 2 2 2 3 2 3 4" xfId="19327" xr:uid="{08906FEA-BA60-431E-9CA5-478D7CEEFE29}"/>
    <cellStyle name="Comma 11 2 3 2 2 2 3 2 4" xfId="2853" xr:uid="{3DA77381-8B06-43F9-AF81-BCB9B49C9FB5}"/>
    <cellStyle name="Comma 11 2 3 2 2 2 3 2 4 2" xfId="10344" xr:uid="{4AB4C412-CA1B-4D97-9389-D1D1020E97EF}"/>
    <cellStyle name="Comma 11 2 3 2 2 2 3 2 4 2 2" xfId="25522" xr:uid="{94D22A2F-C065-4688-A6B0-35E26D6208DF}"/>
    <cellStyle name="Comma 11 2 3 2 2 2 3 2 4 3" xfId="18062" xr:uid="{9163893B-8860-4B14-ADDE-F796CDCFD424}"/>
    <cellStyle name="Comma 11 2 3 2 2 2 3 2 5" xfId="8946" xr:uid="{DE72758C-B6DB-43FF-9C1C-709ED12DB843}"/>
    <cellStyle name="Comma 11 2 3 2 2 2 3 2 5 2" xfId="13119" xr:uid="{167DEE49-94E8-4C54-AB63-9014F8557238}"/>
    <cellStyle name="Comma 11 2 3 2 2 2 3 2 5 2 2" xfId="28296" xr:uid="{DB1E0E03-B8EB-46DA-A631-77A70C6984C1}"/>
    <cellStyle name="Comma 11 2 3 2 2 2 3 2 5 3" xfId="24124" xr:uid="{B903881A-F319-4DB2-BA54-10EC23DE6AF1}"/>
    <cellStyle name="Comma 11 2 3 2 2 2 3 2 6" xfId="6170" xr:uid="{D212F0D5-F3E2-4BBE-80A3-738B0AD0E1C9}"/>
    <cellStyle name="Comma 11 2 3 2 2 2 3 2 6 2" xfId="21350" xr:uid="{74CD8B28-041A-4197-9806-3FE0E16AF2BC}"/>
    <cellStyle name="Comma 11 2 3 2 2 2 3 2 7" xfId="16664" xr:uid="{42C8A475-6307-4F88-BDBD-DE371D358CB0}"/>
    <cellStyle name="Comma 11 2 3 2 2 2 3 3" xfId="2580" xr:uid="{5C8DAAB5-B98C-40A0-BA22-3623469F7CC7}"/>
    <cellStyle name="Comma 11 2 3 2 2 2 3 3 2" xfId="10072" xr:uid="{D7DF786B-66FC-48CA-8D75-CE920FFCCEFB}"/>
    <cellStyle name="Comma 11 2 3 2 2 2 3 3 2 2" xfId="13731" xr:uid="{A06E3495-5327-43CD-948A-B66C4EBC3403}"/>
    <cellStyle name="Comma 11 2 3 2 2 2 3 3 2 2 2" xfId="28908" xr:uid="{5C28C3B7-31CB-46AA-816E-01A8D1ACE81A}"/>
    <cellStyle name="Comma 11 2 3 2 2 2 3 3 2 3" xfId="25250" xr:uid="{28A2182B-CE8B-4B50-9753-678608FEA355}"/>
    <cellStyle name="Comma 11 2 3 2 2 2 3 3 3" xfId="5898" xr:uid="{EFFB1227-E844-4743-95DA-614D79757284}"/>
    <cellStyle name="Comma 11 2 3 2 2 2 3 3 3 2" xfId="21078" xr:uid="{6E09937B-0239-434C-A046-B41AF6E6BB1A}"/>
    <cellStyle name="Comma 11 2 3 2 2 2 3 3 4" xfId="17790" xr:uid="{ADB34EEB-671D-4F4E-A733-D23E3B2C04B4}"/>
    <cellStyle name="Comma 11 2 3 2 2 2 3 4" xfId="3468" xr:uid="{EA47C462-3782-4856-B933-9F4097B857BE}"/>
    <cellStyle name="Comma 11 2 3 2 2 2 3 4 2" xfId="10956" xr:uid="{9B305A52-D661-4E3D-8ABC-E82D123B0D01}"/>
    <cellStyle name="Comma 11 2 3 2 2 2 3 4 2 2" xfId="14502" xr:uid="{F9CE215B-3EE5-4F16-A207-6864DD25E149}"/>
    <cellStyle name="Comma 11 2 3 2 2 2 3 4 2 2 2" xfId="29679" xr:uid="{506CAA0B-C267-40A3-BE3C-197F44E17EB1}"/>
    <cellStyle name="Comma 11 2 3 2 2 2 3 4 2 3" xfId="26134" xr:uid="{BE9017FC-B1EC-4331-BCDD-290F94F38050}"/>
    <cellStyle name="Comma 11 2 3 2 2 2 3 4 3" xfId="6782" xr:uid="{4F5687BA-968E-4CA4-9CD9-EEDF130D38E0}"/>
    <cellStyle name="Comma 11 2 3 2 2 2 3 4 3 2" xfId="21962" xr:uid="{BF7BD877-2CCB-4094-8361-31B66FF0E1D4}"/>
    <cellStyle name="Comma 11 2 3 2 2 2 3 4 4" xfId="18674" xr:uid="{05D70B8A-053E-423E-8A1C-5DA5C4E5B692}"/>
    <cellStyle name="Comma 11 2 3 2 2 2 3 5" xfId="4125" xr:uid="{58E81FD2-C9AB-43FD-BAE1-08D4C0C68601}"/>
    <cellStyle name="Comma 11 2 3 2 2 2 3 5 2" xfId="11610" xr:uid="{A248C79B-E828-4319-BE83-73F41CFCE453}"/>
    <cellStyle name="Comma 11 2 3 2 2 2 3 5 2 2" xfId="15156" xr:uid="{29BEC3D6-9331-4D43-9CBF-7AEB0E1AB2BF}"/>
    <cellStyle name="Comma 11 2 3 2 2 2 3 5 2 2 2" xfId="30333" xr:uid="{067C979E-B81F-4B29-9BC3-DD6815ABD21B}"/>
    <cellStyle name="Comma 11 2 3 2 2 2 3 5 2 3" xfId="26788" xr:uid="{9ABB5114-6085-4A44-A82E-4A981467055C}"/>
    <cellStyle name="Comma 11 2 3 2 2 2 3 5 3" xfId="7436" xr:uid="{2242D916-6B05-4FB6-813C-35521A242D7D}"/>
    <cellStyle name="Comma 11 2 3 2 2 2 3 5 3 2" xfId="22616" xr:uid="{141C1601-52E9-4248-B579-364C80828B76}"/>
    <cellStyle name="Comma 11 2 3 2 2 2 3 5 4" xfId="19328" xr:uid="{B1C74BDF-317D-4898-B10E-2585BA85E2C0}"/>
    <cellStyle name="Comma 11 2 3 2 2 2 3 6" xfId="1963" xr:uid="{3790A5C7-D126-4B3C-AD41-9E7C970B88E5}"/>
    <cellStyle name="Comma 11 2 3 2 2 2 3 6 2" xfId="9460" xr:uid="{89A48E4F-703E-4CFF-B904-F9730494F708}"/>
    <cellStyle name="Comma 11 2 3 2 2 2 3 6 2 2" xfId="24638" xr:uid="{B886D24B-26C9-48D2-8B83-DDC60761A40F}"/>
    <cellStyle name="Comma 11 2 3 2 2 2 3 6 3" xfId="17178" xr:uid="{384C398B-E990-4AE4-971D-246EC66D59A3}"/>
    <cellStyle name="Comma 11 2 3 2 2 2 3 7" xfId="8674" xr:uid="{B3CBC8EF-6377-417C-993A-B6FAE3868211}"/>
    <cellStyle name="Comma 11 2 3 2 2 2 3 7 2" xfId="12847" xr:uid="{68656DB4-3DBF-474B-9ADC-F3B8E3FA7F63}"/>
    <cellStyle name="Comma 11 2 3 2 2 2 3 7 2 2" xfId="28024" xr:uid="{8CCD76F6-A4B5-4BF7-B4D7-A25B8FF51F68}"/>
    <cellStyle name="Comma 11 2 3 2 2 2 3 7 3" xfId="23852" xr:uid="{C80FA6C0-A849-4921-871B-A2695A120890}"/>
    <cellStyle name="Comma 11 2 3 2 2 2 3 8" xfId="5286" xr:uid="{6BA85696-C53A-4F5C-A264-1391EC48F43D}"/>
    <cellStyle name="Comma 11 2 3 2 2 2 3 8 2" xfId="20466" xr:uid="{DC09D583-EF03-4292-AF55-EB76DD9852F4}"/>
    <cellStyle name="Comma 11 2 3 2 2 2 3 9" xfId="16392" xr:uid="{F732C77F-CD3E-42A8-ADD0-FCBDA13D0CDD}"/>
    <cellStyle name="Comma 11 2 3 2 2 2 4" xfId="1526" xr:uid="{8A3AC6EE-698D-4E1B-A11E-9AB4DDA736FA}"/>
    <cellStyle name="Comma 11 2 3 2 2 2 4 2" xfId="2951" xr:uid="{0309DD93-5E5C-4872-ACE6-282ED8E505C8}"/>
    <cellStyle name="Comma 11 2 3 2 2 2 4 2 2" xfId="10442" xr:uid="{5A69C56E-242D-43E9-BD84-347150037B77}"/>
    <cellStyle name="Comma 11 2 3 2 2 2 4 2 2 2" xfId="13988" xr:uid="{D1848EFC-0E13-411A-8BCC-85ACC839BBE4}"/>
    <cellStyle name="Comma 11 2 3 2 2 2 4 2 2 2 2" xfId="29165" xr:uid="{3C674A05-AEBB-499A-A3AC-F82EDF59B15D}"/>
    <cellStyle name="Comma 11 2 3 2 2 2 4 2 2 3" xfId="25620" xr:uid="{BF307128-E938-4E3E-8136-C5B9C4D6DAAB}"/>
    <cellStyle name="Comma 11 2 3 2 2 2 4 2 3" xfId="6268" xr:uid="{A44D5567-0032-480E-854A-7B632376D5E0}"/>
    <cellStyle name="Comma 11 2 3 2 2 2 4 2 3 2" xfId="21448" xr:uid="{1E22F9CC-CFED-4926-9CF3-5689D5ECE6B8}"/>
    <cellStyle name="Comma 11 2 3 2 2 2 4 2 4" xfId="18160" xr:uid="{1DF06F9D-9D0D-454E-A563-AFD13DA283F4}"/>
    <cellStyle name="Comma 11 2 3 2 2 2 4 3" xfId="3838" xr:uid="{23FFAFC7-F714-48A2-BF35-D7A64BCA7F62}"/>
    <cellStyle name="Comma 11 2 3 2 2 2 4 3 2" xfId="11326" xr:uid="{6E128CDD-E755-4593-A136-F6B11618F546}"/>
    <cellStyle name="Comma 11 2 3 2 2 2 4 3 2 2" xfId="14872" xr:uid="{1103F126-BE47-4C1C-921C-4C22186C22D1}"/>
    <cellStyle name="Comma 11 2 3 2 2 2 4 3 2 2 2" xfId="30049" xr:uid="{91577215-D884-4108-9D80-CF367B4FFFE2}"/>
    <cellStyle name="Comma 11 2 3 2 2 2 4 3 2 3" xfId="26504" xr:uid="{39197875-A776-44AB-A92E-15CDA28525AE}"/>
    <cellStyle name="Comma 11 2 3 2 2 2 4 3 3" xfId="7152" xr:uid="{9363ACFD-4A5E-4507-B4FF-9E08257E671E}"/>
    <cellStyle name="Comma 11 2 3 2 2 2 4 3 3 2" xfId="22332" xr:uid="{73BF78D1-E2CF-446B-8F28-081859B283DC}"/>
    <cellStyle name="Comma 11 2 3 2 2 2 4 3 4" xfId="19044" xr:uid="{E9390B28-5645-4FCB-B324-780966010BF3}"/>
    <cellStyle name="Comma 11 2 3 2 2 2 4 4" xfId="4126" xr:uid="{AD9254E3-BA7A-4953-B4B9-18AD5092F2DF}"/>
    <cellStyle name="Comma 11 2 3 2 2 2 4 4 2" xfId="11611" xr:uid="{503B8FA4-F16B-4BBF-8D6B-59D2CB8073AF}"/>
    <cellStyle name="Comma 11 2 3 2 2 2 4 4 2 2" xfId="15157" xr:uid="{3C4B21C6-2877-47F8-9550-05F3CFAE1DAC}"/>
    <cellStyle name="Comma 11 2 3 2 2 2 4 4 2 2 2" xfId="30334" xr:uid="{F6641AFE-8EE8-4BF2-8F8E-E810E4439E74}"/>
    <cellStyle name="Comma 11 2 3 2 2 2 4 4 2 3" xfId="26789" xr:uid="{D9D6D57C-DC06-497B-A31C-70AC264962B3}"/>
    <cellStyle name="Comma 11 2 3 2 2 2 4 4 3" xfId="7437" xr:uid="{9E52CFEB-D536-4F8A-BD18-13FD22C7C25F}"/>
    <cellStyle name="Comma 11 2 3 2 2 2 4 4 3 2" xfId="22617" xr:uid="{70780807-C0B7-4F1F-9EB7-B7863EDBA18D}"/>
    <cellStyle name="Comma 11 2 3 2 2 2 4 4 4" xfId="19329" xr:uid="{9B5276AD-530C-4DD5-9961-1C320301C82C}"/>
    <cellStyle name="Comma 11 2 3 2 2 2 4 5" xfId="2061" xr:uid="{1E66CBD3-A9CA-426A-9ABA-1481E930EECA}"/>
    <cellStyle name="Comma 11 2 3 2 2 2 4 5 2" xfId="9558" xr:uid="{189449C4-9D18-4357-88EF-4B1878420C7F}"/>
    <cellStyle name="Comma 11 2 3 2 2 2 4 5 2 2" xfId="24736" xr:uid="{82376B63-3700-4D27-A23B-81C6DBFC4728}"/>
    <cellStyle name="Comma 11 2 3 2 2 2 4 5 3" xfId="17276" xr:uid="{C4E8946C-BAAC-4F6A-93A7-F8C3321AC9AA}"/>
    <cellStyle name="Comma 11 2 3 2 2 2 4 6" xfId="9044" xr:uid="{427B2A79-DC7D-4E25-BE89-9B9DBE370FFF}"/>
    <cellStyle name="Comma 11 2 3 2 2 2 4 6 2" xfId="13217" xr:uid="{16F784BF-5A7E-4914-98C0-DD35557393F0}"/>
    <cellStyle name="Comma 11 2 3 2 2 2 4 6 2 2" xfId="28394" xr:uid="{E3214EF9-1D4D-4B5D-8E4F-2DF5511FABC5}"/>
    <cellStyle name="Comma 11 2 3 2 2 2 4 6 3" xfId="24222" xr:uid="{D6ADCABF-D99E-4B8C-92DC-58A4DE87AE53}"/>
    <cellStyle name="Comma 11 2 3 2 2 2 4 7" xfId="5384" xr:uid="{EEA62BBD-6AFC-4F28-8250-9BCEBEB229C3}"/>
    <cellStyle name="Comma 11 2 3 2 2 2 4 7 2" xfId="20564" xr:uid="{182E108F-C747-4218-AD74-468E97F1CC2C}"/>
    <cellStyle name="Comma 11 2 3 2 2 2 4 8" xfId="16762" xr:uid="{19608156-6263-48AA-8808-DAD9A692FCFE}"/>
    <cellStyle name="Comma 11 2 3 2 2 2 5" xfId="1629" xr:uid="{C2266EE0-C153-44EA-B392-910DD14828C7}"/>
    <cellStyle name="Comma 11 2 3 2 2 2 5 2" xfId="3049" xr:uid="{C5E81E96-75C1-4CE0-838B-7F7DDC076E77}"/>
    <cellStyle name="Comma 11 2 3 2 2 2 5 2 2" xfId="10540" xr:uid="{07B48542-BDE0-4541-826A-9E4EAD4B3607}"/>
    <cellStyle name="Comma 11 2 3 2 2 2 5 2 2 2" xfId="14086" xr:uid="{8F2AAA88-ACC4-4797-82E9-8989402ED123}"/>
    <cellStyle name="Comma 11 2 3 2 2 2 5 2 2 2 2" xfId="29263" xr:uid="{D55F5F9A-4D11-4A00-8F02-8D9A32BE7CF3}"/>
    <cellStyle name="Comma 11 2 3 2 2 2 5 2 2 3" xfId="25718" xr:uid="{7A7A7185-FC94-41F6-A415-ED3B3C26CE7C}"/>
    <cellStyle name="Comma 11 2 3 2 2 2 5 2 3" xfId="6366" xr:uid="{7E785923-41FE-49EF-AC42-5D339D28792E}"/>
    <cellStyle name="Comma 11 2 3 2 2 2 5 2 3 2" xfId="21546" xr:uid="{7476145C-BE34-41B8-B06A-9266934D64CA}"/>
    <cellStyle name="Comma 11 2 3 2 2 2 5 2 4" xfId="18258" xr:uid="{A585C68D-8E57-4053-98CA-2568048F2E74}"/>
    <cellStyle name="Comma 11 2 3 2 2 2 5 3" xfId="3936" xr:uid="{15C27705-4BE4-452D-B382-777CB7074995}"/>
    <cellStyle name="Comma 11 2 3 2 2 2 5 3 2" xfId="11424" xr:uid="{D6401E91-F174-4C73-BE89-4585A10BC9D8}"/>
    <cellStyle name="Comma 11 2 3 2 2 2 5 3 2 2" xfId="14970" xr:uid="{50B7F588-3614-4713-B996-DBBD884E4FAE}"/>
    <cellStyle name="Comma 11 2 3 2 2 2 5 3 2 2 2" xfId="30147" xr:uid="{8F01FA07-3BDF-446F-8AD5-CA04B5907A7D}"/>
    <cellStyle name="Comma 11 2 3 2 2 2 5 3 2 3" xfId="26602" xr:uid="{150FAB1D-8ED7-4B3C-B6CD-6A3D7DF2EA4C}"/>
    <cellStyle name="Comma 11 2 3 2 2 2 5 3 3" xfId="7250" xr:uid="{7B5DB5A6-0459-4210-AFDA-3C01D9CA7C0F}"/>
    <cellStyle name="Comma 11 2 3 2 2 2 5 3 3 2" xfId="22430" xr:uid="{0AE62133-FEBF-409D-AEBB-A19EA7719EDD}"/>
    <cellStyle name="Comma 11 2 3 2 2 2 5 3 4" xfId="19142" xr:uid="{2CD0B256-53C2-49A4-8EE1-5792C1C45CCE}"/>
    <cellStyle name="Comma 11 2 3 2 2 2 5 4" xfId="4127" xr:uid="{89686F03-C898-40A4-975B-4C8ABD469C1D}"/>
    <cellStyle name="Comma 11 2 3 2 2 2 5 4 2" xfId="11612" xr:uid="{E0022B53-F95F-4261-AFF3-47BA7EABE5CC}"/>
    <cellStyle name="Comma 11 2 3 2 2 2 5 4 2 2" xfId="15158" xr:uid="{AC0D1C0A-CDEF-45F3-AB8A-37CFE2EAE7BE}"/>
    <cellStyle name="Comma 11 2 3 2 2 2 5 4 2 2 2" xfId="30335" xr:uid="{374E123D-331A-4EF0-BD2F-C480A7904EEC}"/>
    <cellStyle name="Comma 11 2 3 2 2 2 5 4 2 3" xfId="26790" xr:uid="{707C2D29-ACFE-4448-9F21-F5D2C69B6A50}"/>
    <cellStyle name="Comma 11 2 3 2 2 2 5 4 3" xfId="7438" xr:uid="{A3C6D0A4-963B-4779-B497-F6D290153B79}"/>
    <cellStyle name="Comma 11 2 3 2 2 2 5 4 3 2" xfId="22618" xr:uid="{7CFB5A30-7E7E-4376-9261-34FBFE93D304}"/>
    <cellStyle name="Comma 11 2 3 2 2 2 5 4 4" xfId="19330" xr:uid="{D1032733-F3DE-4272-89F0-0448064FF8FB}"/>
    <cellStyle name="Comma 11 2 3 2 2 2 5 5" xfId="2159" xr:uid="{4FECD126-D380-4006-8D93-51A320AD7D24}"/>
    <cellStyle name="Comma 11 2 3 2 2 2 5 5 2" xfId="9656" xr:uid="{3620B5C1-2959-411C-B1AC-A7A27638B3EC}"/>
    <cellStyle name="Comma 11 2 3 2 2 2 5 5 2 2" xfId="24834" xr:uid="{223C0631-7DD9-42C2-AC82-16809AD6968E}"/>
    <cellStyle name="Comma 11 2 3 2 2 2 5 5 3" xfId="17374" xr:uid="{300F7776-1AA5-494D-8109-E218777C5F8E}"/>
    <cellStyle name="Comma 11 2 3 2 2 2 5 6" xfId="9142" xr:uid="{94284796-31DE-41BC-ACAA-AEA7C1FE4AA0}"/>
    <cellStyle name="Comma 11 2 3 2 2 2 5 6 2" xfId="13315" xr:uid="{0A807D51-9DE2-44EA-86EC-B0D3D704AB17}"/>
    <cellStyle name="Comma 11 2 3 2 2 2 5 6 2 2" xfId="28492" xr:uid="{BABD42B5-88B4-49F5-BADC-005471CB7358}"/>
    <cellStyle name="Comma 11 2 3 2 2 2 5 6 3" xfId="24320" xr:uid="{0CDDB2A7-6153-4B06-AE76-2464528E8FD0}"/>
    <cellStyle name="Comma 11 2 3 2 2 2 5 7" xfId="5482" xr:uid="{C0E92988-7D5D-405D-935B-08B515A7C936}"/>
    <cellStyle name="Comma 11 2 3 2 2 2 5 7 2" xfId="20662" xr:uid="{12514203-BB48-4E1E-A9C4-D94B572645AE}"/>
    <cellStyle name="Comma 11 2 3 2 2 2 5 8" xfId="16860" xr:uid="{F4EA3FF8-9CCA-456F-86E0-79D8E0FFA0D4}"/>
    <cellStyle name="Comma 11 2 3 2 2 2 6" xfId="1728" xr:uid="{720BE2EF-8658-4681-9A97-61DE9E622FC3}"/>
    <cellStyle name="Comma 11 2 3 2 2 2 6 2" xfId="3147" xr:uid="{5D270EFD-6C13-4A65-99B4-0CA687CC6419}"/>
    <cellStyle name="Comma 11 2 3 2 2 2 6 2 2" xfId="10638" xr:uid="{EB275860-92E8-4A5C-B3BB-56403B7ADAD0}"/>
    <cellStyle name="Comma 11 2 3 2 2 2 6 2 2 2" xfId="14184" xr:uid="{A6BEC41D-1525-4FA4-AD4A-2AEE1DCFA837}"/>
    <cellStyle name="Comma 11 2 3 2 2 2 6 2 2 2 2" xfId="29361" xr:uid="{F2EF81B6-EC4A-43D2-A242-31BC303D1225}"/>
    <cellStyle name="Comma 11 2 3 2 2 2 6 2 2 3" xfId="25816" xr:uid="{474B25D2-8F01-4829-8C7A-B506AF9BFEB8}"/>
    <cellStyle name="Comma 11 2 3 2 2 2 6 2 3" xfId="6464" xr:uid="{DA1B2A84-D0A6-4023-BC17-3FEA2C2D61ED}"/>
    <cellStyle name="Comma 11 2 3 2 2 2 6 2 3 2" xfId="21644" xr:uid="{FFA6DF31-1721-4D0D-B7A5-C7197AE1F04C}"/>
    <cellStyle name="Comma 11 2 3 2 2 2 6 2 4" xfId="18356" xr:uid="{C5B659D5-E061-4CD3-B96C-76504274A613}"/>
    <cellStyle name="Comma 11 2 3 2 2 2 6 3" xfId="4034" xr:uid="{35677790-9E03-47DE-9149-8970F2E19D3C}"/>
    <cellStyle name="Comma 11 2 3 2 2 2 6 3 2" xfId="11522" xr:uid="{B8B38044-C227-40FD-A8F7-CD58D51A6D8D}"/>
    <cellStyle name="Comma 11 2 3 2 2 2 6 3 2 2" xfId="15068" xr:uid="{38F211C5-26CD-49F0-B58E-6D07716AB129}"/>
    <cellStyle name="Comma 11 2 3 2 2 2 6 3 2 2 2" xfId="30245" xr:uid="{5339D04A-75E2-4F4C-BAA7-BE7D95C635F8}"/>
    <cellStyle name="Comma 11 2 3 2 2 2 6 3 2 3" xfId="26700" xr:uid="{922FE8BE-DDBB-4E56-A0E0-C4BDDD56434A}"/>
    <cellStyle name="Comma 11 2 3 2 2 2 6 3 3" xfId="7348" xr:uid="{130901F8-BAED-40C9-8C83-413F43F1F031}"/>
    <cellStyle name="Comma 11 2 3 2 2 2 6 3 3 2" xfId="22528" xr:uid="{19A23E78-D5DE-4F21-984F-33EB77CA9749}"/>
    <cellStyle name="Comma 11 2 3 2 2 2 6 3 4" xfId="19240" xr:uid="{3126EAE9-5E9E-4E59-939F-76F0F85EA845}"/>
    <cellStyle name="Comma 11 2 3 2 2 2 6 4" xfId="4128" xr:uid="{AA716966-A84F-4663-A447-F43B0BBA60F7}"/>
    <cellStyle name="Comma 11 2 3 2 2 2 6 4 2" xfId="11613" xr:uid="{33B2492F-118B-4BE9-84C2-5995D464176D}"/>
    <cellStyle name="Comma 11 2 3 2 2 2 6 4 2 2" xfId="15159" xr:uid="{BF853277-60C1-4051-9D90-0C03942641BB}"/>
    <cellStyle name="Comma 11 2 3 2 2 2 6 4 2 2 2" xfId="30336" xr:uid="{C11602E9-3C10-4AC8-AFA0-B619DEC871E4}"/>
    <cellStyle name="Comma 11 2 3 2 2 2 6 4 2 3" xfId="26791" xr:uid="{C1238F6C-B22B-4EF2-BB0E-36E59AE36CAC}"/>
    <cellStyle name="Comma 11 2 3 2 2 2 6 4 3" xfId="7439" xr:uid="{35F8D578-56C3-49F0-8198-D587E89CD577}"/>
    <cellStyle name="Comma 11 2 3 2 2 2 6 4 3 2" xfId="22619" xr:uid="{C0823409-E2C8-4BC5-BAE5-84DFEEE57475}"/>
    <cellStyle name="Comma 11 2 3 2 2 2 6 4 4" xfId="19331" xr:uid="{4486F020-2809-4787-9038-2A8B2E1610CE}"/>
    <cellStyle name="Comma 11 2 3 2 2 2 6 5" xfId="2257" xr:uid="{6CEA7048-3F88-45DC-BE0E-128C6277CE64}"/>
    <cellStyle name="Comma 11 2 3 2 2 2 6 5 2" xfId="9754" xr:uid="{682047C1-5B56-4FEB-B5F1-B943C71EB999}"/>
    <cellStyle name="Comma 11 2 3 2 2 2 6 5 2 2" xfId="24932" xr:uid="{225B8ACD-FB0F-4F61-8FD2-25953912194C}"/>
    <cellStyle name="Comma 11 2 3 2 2 2 6 5 3" xfId="17472" xr:uid="{69A7D93F-ED10-4EFF-8219-5ECBEBAADB56}"/>
    <cellStyle name="Comma 11 2 3 2 2 2 6 6" xfId="9240" xr:uid="{2245A5D7-CE15-4DC1-AB86-B601FD6780BC}"/>
    <cellStyle name="Comma 11 2 3 2 2 2 6 6 2" xfId="13413" xr:uid="{D5105CE5-9113-44CF-8D61-CEE237A9E348}"/>
    <cellStyle name="Comma 11 2 3 2 2 2 6 6 2 2" xfId="28590" xr:uid="{9136AAFE-4F93-41E7-B6B6-7771D63A3985}"/>
    <cellStyle name="Comma 11 2 3 2 2 2 6 6 3" xfId="24418" xr:uid="{737F91F4-064E-46D0-B3C9-4B7228451360}"/>
    <cellStyle name="Comma 11 2 3 2 2 2 6 7" xfId="5580" xr:uid="{C1035D36-69B8-485B-8C01-B0532D90144B}"/>
    <cellStyle name="Comma 11 2 3 2 2 2 6 7 2" xfId="20760" xr:uid="{6D87BEF5-4207-419B-AACB-68F2F77C04A3}"/>
    <cellStyle name="Comma 11 2 3 2 2 2 6 8" xfId="16958" xr:uid="{893E8417-6F44-4502-9EE8-FAEC8D3E0B75}"/>
    <cellStyle name="Comma 11 2 3 2 2 2 7" xfId="2357" xr:uid="{687E6AF7-4CBB-49C9-8ACA-0133A09350C1}"/>
    <cellStyle name="Comma 11 2 3 2 2 2 7 2" xfId="9852" xr:uid="{29D8D64E-22EE-4E97-9CCB-A59EDD9A09D9}"/>
    <cellStyle name="Comma 11 2 3 2 2 2 7 2 2" xfId="13511" xr:uid="{C8E0759E-41B5-4467-AE27-D294F701ECDB}"/>
    <cellStyle name="Comma 11 2 3 2 2 2 7 2 2 2" xfId="28688" xr:uid="{E95036E7-0FF6-46DC-857E-965DAD4EAE6E}"/>
    <cellStyle name="Comma 11 2 3 2 2 2 7 2 3" xfId="25030" xr:uid="{69BC9204-9668-49FD-B7F0-335134763581}"/>
    <cellStyle name="Comma 11 2 3 2 2 2 7 3" xfId="5678" xr:uid="{22487584-36D3-48FF-9029-2E905FBCB0ED}"/>
    <cellStyle name="Comma 11 2 3 2 2 2 7 3 2" xfId="20858" xr:uid="{05B3545B-A428-4C53-AC57-F4AB2F436E49}"/>
    <cellStyle name="Comma 11 2 3 2 2 2 7 4" xfId="17570" xr:uid="{23156A01-0BFF-46A5-94E4-F0C9715B4E8E}"/>
    <cellStyle name="Comma 11 2 3 2 2 2 8" xfId="3247" xr:uid="{A7C72A42-F064-4CA2-AF16-103BFE9F8C8E}"/>
    <cellStyle name="Comma 11 2 3 2 2 2 8 2" xfId="10736" xr:uid="{E1945BBD-502E-4EC1-966C-1EDDC718202A}"/>
    <cellStyle name="Comma 11 2 3 2 2 2 8 2 2" xfId="14282" xr:uid="{9755AAF4-F8DF-495C-AE41-01A27A2282EF}"/>
    <cellStyle name="Comma 11 2 3 2 2 2 8 2 2 2" xfId="29459" xr:uid="{3F962D24-0013-4310-9F48-E19760C1248B}"/>
    <cellStyle name="Comma 11 2 3 2 2 2 8 2 3" xfId="25914" xr:uid="{267CEA46-AEED-407C-864F-D74C293AEE66}"/>
    <cellStyle name="Comma 11 2 3 2 2 2 8 3" xfId="6562" xr:uid="{D1684BFF-97AC-4DD4-A883-6E5A5B478E58}"/>
    <cellStyle name="Comma 11 2 3 2 2 2 8 3 2" xfId="21742" xr:uid="{93FC6C99-9B9A-42FA-9C01-3739699BFCDF}"/>
    <cellStyle name="Comma 11 2 3 2 2 2 8 4" xfId="18454" xr:uid="{8C0EFF0C-FA4C-4063-A6B3-CEA5102E5A42}"/>
    <cellStyle name="Comma 11 2 3 2 2 2 9" xfId="4129" xr:uid="{7A07A7A9-0AE5-4026-B616-DEDF32DBE464}"/>
    <cellStyle name="Comma 11 2 3 2 2 2 9 2" xfId="11614" xr:uid="{9299C402-CBC0-4190-8527-530039734A1F}"/>
    <cellStyle name="Comma 11 2 3 2 2 2 9 2 2" xfId="15160" xr:uid="{3BBDE06E-EC41-4EA5-AAA5-2D71A0032FED}"/>
    <cellStyle name="Comma 11 2 3 2 2 2 9 2 2 2" xfId="30337" xr:uid="{4898BC52-5A7E-488A-91AB-6C5B459E6AB7}"/>
    <cellStyle name="Comma 11 2 3 2 2 2 9 2 3" xfId="26792" xr:uid="{14B30117-C2DC-47F1-A100-F9B97C3DCB7F}"/>
    <cellStyle name="Comma 11 2 3 2 2 2 9 3" xfId="7440" xr:uid="{2684C23E-8A6C-43EC-9D1B-4809D2FBF75A}"/>
    <cellStyle name="Comma 11 2 3 2 2 2 9 3 2" xfId="22620" xr:uid="{2AFA3556-1934-4E11-A4A5-DC73C10FE26F}"/>
    <cellStyle name="Comma 11 2 3 2 2 2 9 4" xfId="19332" xr:uid="{1C35A7A6-9E2B-484A-A79E-397010F8F479}"/>
    <cellStyle name="Comma 11 2 3 2 2 3" xfId="915" xr:uid="{6828360A-F56E-4DA9-B1D8-35FCA0600B10}"/>
    <cellStyle name="Comma 11 2 3 2 2 3 2" xfId="2433" xr:uid="{AB4346FA-EACC-4BDB-BD7F-977C3FBE78BE}"/>
    <cellStyle name="Comma 11 2 3 2 2 3 2 2" xfId="9925" xr:uid="{9DC5CE48-5A10-40D7-A3AF-4E294751BB59}"/>
    <cellStyle name="Comma 11 2 3 2 2 3 2 2 2" xfId="13584" xr:uid="{FF0F5209-8FB9-4670-BECD-BD0C2C96D2E8}"/>
    <cellStyle name="Comma 11 2 3 2 2 3 2 2 2 2" xfId="28761" xr:uid="{1CF65B78-A64C-40A8-9DDA-5F61EE233553}"/>
    <cellStyle name="Comma 11 2 3 2 2 3 2 2 3" xfId="25103" xr:uid="{FFCD6BC2-3387-4DC7-9BA4-E884275384B4}"/>
    <cellStyle name="Comma 11 2 3 2 2 3 2 3" xfId="5751" xr:uid="{27E149AA-5BB7-48B1-80DA-318FD2A2EA58}"/>
    <cellStyle name="Comma 11 2 3 2 2 3 2 3 2" xfId="20931" xr:uid="{5B45A73B-2D7B-4855-8B17-F1459251CF40}"/>
    <cellStyle name="Comma 11 2 3 2 2 3 2 4" xfId="17643" xr:uid="{7FBC4A46-D407-4E6D-966B-F0363BF14BF2}"/>
    <cellStyle name="Comma 11 2 3 2 2 3 3" xfId="3321" xr:uid="{503979D4-8792-45E5-97D9-0DD49AA4D34D}"/>
    <cellStyle name="Comma 11 2 3 2 2 3 3 2" xfId="10809" xr:uid="{1D1E2BCD-1468-455F-9121-726E7CE30664}"/>
    <cellStyle name="Comma 11 2 3 2 2 3 3 2 2" xfId="14355" xr:uid="{430CCBF0-11CF-4F8B-9E46-7C39B2179EDC}"/>
    <cellStyle name="Comma 11 2 3 2 2 3 3 2 2 2" xfId="29532" xr:uid="{1FCDFF85-E959-46B7-B491-FDB80D5002C2}"/>
    <cellStyle name="Comma 11 2 3 2 2 3 3 2 3" xfId="25987" xr:uid="{0B793E86-8750-49B5-AC29-B5A134DC380A}"/>
    <cellStyle name="Comma 11 2 3 2 2 3 3 3" xfId="6635" xr:uid="{E69911A8-0E73-4356-BF1C-E194E6729CBA}"/>
    <cellStyle name="Comma 11 2 3 2 2 3 3 3 2" xfId="21815" xr:uid="{45DC7F13-601C-48A2-85BB-C2DF5108D894}"/>
    <cellStyle name="Comma 11 2 3 2 2 3 3 4" xfId="18527" xr:uid="{71B2D8E6-B7BE-49A4-B7E5-A8BE70505FCD}"/>
    <cellStyle name="Comma 11 2 3 2 2 3 4" xfId="4130" xr:uid="{E548A715-94A8-4BA7-8DFA-3940E5881917}"/>
    <cellStyle name="Comma 11 2 3 2 2 3 4 2" xfId="11615" xr:uid="{C97CE776-1E3A-4237-B2F7-48C115B03EFB}"/>
    <cellStyle name="Comma 11 2 3 2 2 3 4 2 2" xfId="15161" xr:uid="{8413BE65-B206-4A22-8377-FC2C68796185}"/>
    <cellStyle name="Comma 11 2 3 2 2 3 4 2 2 2" xfId="30338" xr:uid="{2D6D0A05-D78E-4B36-8C71-42F3F0913910}"/>
    <cellStyle name="Comma 11 2 3 2 2 3 4 2 3" xfId="26793" xr:uid="{32001AC4-A491-4AA5-9BF2-565323391C50}"/>
    <cellStyle name="Comma 11 2 3 2 2 3 4 3" xfId="7441" xr:uid="{9F72BE4F-9621-452C-924C-7711C6920F20}"/>
    <cellStyle name="Comma 11 2 3 2 2 3 4 3 2" xfId="22621" xr:uid="{63963E69-3B4A-4820-A196-272423267D93}"/>
    <cellStyle name="Comma 11 2 3 2 2 3 4 4" xfId="19333" xr:uid="{57910046-280C-443A-83D8-E898950228D8}"/>
    <cellStyle name="Comma 11 2 3 2 2 3 5" xfId="8527" xr:uid="{5588C290-30E4-420A-BC45-312C77BA7979}"/>
    <cellStyle name="Comma 11 2 3 2 2 3 5 2" xfId="12700" xr:uid="{325FBF99-32D1-44B5-9291-E263B114DF4E}"/>
    <cellStyle name="Comma 11 2 3 2 2 3 5 2 2" xfId="27877" xr:uid="{CB233DE1-51E9-402E-8A91-6EF462A2B68B}"/>
    <cellStyle name="Comma 11 2 3 2 2 3 5 3" xfId="23705" xr:uid="{99E563DD-B15B-4C77-ACCC-D2A859E99E3D}"/>
    <cellStyle name="Comma 11 2 3 2 2 3 6" xfId="16245" xr:uid="{3D4EDBE4-56C9-4531-B496-63ADAFA7B38D}"/>
    <cellStyle name="Comma 11 2 3 2 2 3 7" xfId="31685" xr:uid="{5B1C6544-9FCF-45A0-AA01-919BE8537327}"/>
    <cellStyle name="Comma 11 2 3 2 2 4" xfId="1018" xr:uid="{2ED5E72E-98C7-4FEA-8C86-CD55AB07B58E}"/>
    <cellStyle name="Comma 11 2 3 2 2 4 2" xfId="2531" xr:uid="{12139DCC-F7A4-4F2F-95A6-C8C48076FABA}"/>
    <cellStyle name="Comma 11 2 3 2 2 4 2 2" xfId="10023" xr:uid="{FEDBE0FD-4ABD-460C-A7CD-8D0BC5996A3A}"/>
    <cellStyle name="Comma 11 2 3 2 2 4 2 2 2" xfId="13682" xr:uid="{4AF240FB-B18E-483D-969C-79779F75F59D}"/>
    <cellStyle name="Comma 11 2 3 2 2 4 2 2 2 2" xfId="28859" xr:uid="{8CF38A50-AE28-4A03-A1A0-DA47F56F7C68}"/>
    <cellStyle name="Comma 11 2 3 2 2 4 2 2 3" xfId="25201" xr:uid="{36F6A152-DFF2-4B8C-B2E4-11B3EAA8396D}"/>
    <cellStyle name="Comma 11 2 3 2 2 4 2 3" xfId="5849" xr:uid="{89743F44-47CC-475F-B639-DA3EFDF4D152}"/>
    <cellStyle name="Comma 11 2 3 2 2 4 2 3 2" xfId="21029" xr:uid="{7F3B9358-E939-4FAE-A6EE-BC34E2037561}"/>
    <cellStyle name="Comma 11 2 3 2 2 4 2 4" xfId="17741" xr:uid="{AE9B6109-52C4-46CF-B526-2CCB665C0007}"/>
    <cellStyle name="Comma 11 2 3 2 2 4 3" xfId="3419" xr:uid="{0EE27FAC-9F01-4C2D-87B6-16B9B6A13FBA}"/>
    <cellStyle name="Comma 11 2 3 2 2 4 3 2" xfId="10907" xr:uid="{7F32BE9D-0F93-41C1-973F-4AB0DC7CB358}"/>
    <cellStyle name="Comma 11 2 3 2 2 4 3 2 2" xfId="14453" xr:uid="{14FA1F44-F8F1-402E-9023-BB95D32A0856}"/>
    <cellStyle name="Comma 11 2 3 2 2 4 3 2 2 2" xfId="29630" xr:uid="{4308B21A-7087-473F-90C6-A9554D83955A}"/>
    <cellStyle name="Comma 11 2 3 2 2 4 3 2 3" xfId="26085" xr:uid="{78927217-A61D-4905-98D5-90AB1B88FC5B}"/>
    <cellStyle name="Comma 11 2 3 2 2 4 3 3" xfId="6733" xr:uid="{0345A1D8-4193-4653-A6E2-BDDB926A1E91}"/>
    <cellStyle name="Comma 11 2 3 2 2 4 3 3 2" xfId="21913" xr:uid="{3861DEB5-61C4-401D-9BBD-E9F07A76CCC1}"/>
    <cellStyle name="Comma 11 2 3 2 2 4 3 4" xfId="18625" xr:uid="{3655A774-3891-4004-8FEF-BEE8C8806E50}"/>
    <cellStyle name="Comma 11 2 3 2 2 4 4" xfId="4131" xr:uid="{9AFA4140-D0C0-41AF-ADC0-CC0B8D3221E6}"/>
    <cellStyle name="Comma 11 2 3 2 2 4 4 2" xfId="11616" xr:uid="{BCB6C394-C3F2-45D8-9746-218FA5CE0723}"/>
    <cellStyle name="Comma 11 2 3 2 2 4 4 2 2" xfId="15162" xr:uid="{10178238-1310-483D-8183-4C6544601C29}"/>
    <cellStyle name="Comma 11 2 3 2 2 4 4 2 2 2" xfId="30339" xr:uid="{03C791D1-79A7-4CF0-B634-53F8B67F35C4}"/>
    <cellStyle name="Comma 11 2 3 2 2 4 4 2 3" xfId="26794" xr:uid="{2CD5B89F-093D-4C8A-9C08-97E90839BD1C}"/>
    <cellStyle name="Comma 11 2 3 2 2 4 4 3" xfId="7442" xr:uid="{FCA6529F-C7F2-4ECC-ACA0-8619DBDED1C1}"/>
    <cellStyle name="Comma 11 2 3 2 2 4 4 3 2" xfId="22622" xr:uid="{D33EF187-9906-4C17-802B-8A988952489D}"/>
    <cellStyle name="Comma 11 2 3 2 2 4 4 4" xfId="19334" xr:uid="{C46C3CC9-ED27-438B-9C1C-F325555997BD}"/>
    <cellStyle name="Comma 11 2 3 2 2 4 5" xfId="8625" xr:uid="{30457DC8-C001-4FBB-8D7E-A1F3107D7A49}"/>
    <cellStyle name="Comma 11 2 3 2 2 4 5 2" xfId="12798" xr:uid="{A2B8AB59-79AE-4C15-B5D2-7D74164E2035}"/>
    <cellStyle name="Comma 11 2 3 2 2 4 5 2 2" xfId="27975" xr:uid="{E17DD01D-F3EC-4ACA-826D-6B9666908B74}"/>
    <cellStyle name="Comma 11 2 3 2 2 4 5 3" xfId="23803" xr:uid="{3499E7E3-45C0-4804-AF45-899C44E65A34}"/>
    <cellStyle name="Comma 11 2 3 2 2 4 6" xfId="16343" xr:uid="{C84D14FB-941D-4156-8B38-EED6B8EC2760}"/>
    <cellStyle name="Comma 11 2 3 2 2 4 7" xfId="31563" xr:uid="{A3BACBA2-CA26-4F38-8DF0-30D558CEC201}"/>
    <cellStyle name="Comma 11 2 3 2 2 5" xfId="1276" xr:uid="{3D5845F6-FB40-409D-84B1-33540362CCAE}"/>
    <cellStyle name="Comma 11 2 3 2 2 5 10" xfId="31335" xr:uid="{F8E16F58-DA3D-4090-96A7-28AD8AFE6BD0}"/>
    <cellStyle name="Comma 11 2 3 2 2 5 2" xfId="2706" xr:uid="{6D122A17-67E0-421A-A108-F3E1ECE13DCB}"/>
    <cellStyle name="Comma 11 2 3 2 2 5 2 2" xfId="10197" xr:uid="{E83B22FE-1579-4B77-9C49-04F505E4F87C}"/>
    <cellStyle name="Comma 11 2 3 2 2 5 2 2 2" xfId="13841" xr:uid="{3E7716A9-E31C-4464-A277-632BD0AAF75F}"/>
    <cellStyle name="Comma 11 2 3 2 2 5 2 2 2 2" xfId="29018" xr:uid="{76FDAB1B-11F2-49CE-89F2-B23E080BD576}"/>
    <cellStyle name="Comma 11 2 3 2 2 5 2 2 3" xfId="25375" xr:uid="{D2E94D0E-F141-4D50-8B38-6DCDC4BE4C7B}"/>
    <cellStyle name="Comma 11 2 3 2 2 5 2 3" xfId="6023" xr:uid="{24882334-AAFA-464D-B8D0-A6558A2078C4}"/>
    <cellStyle name="Comma 11 2 3 2 2 5 2 3 2" xfId="21203" xr:uid="{83BF8E3C-1106-46B9-B93E-196EE881E995}"/>
    <cellStyle name="Comma 11 2 3 2 2 5 2 4" xfId="17915" xr:uid="{39E77478-9AB3-449C-8528-CFF1FE4596D1}"/>
    <cellStyle name="Comma 11 2 3 2 2 5 3" xfId="3593" xr:uid="{4268D710-7341-411D-B0A8-F364CA3EE74B}"/>
    <cellStyle name="Comma 11 2 3 2 2 5 3 2" xfId="11081" xr:uid="{FB7B1F75-1C21-4AD7-B64B-C1FE722840CD}"/>
    <cellStyle name="Comma 11 2 3 2 2 5 3 2 2" xfId="14627" xr:uid="{B68801FB-89B0-4B88-9575-959EABFF43AB}"/>
    <cellStyle name="Comma 11 2 3 2 2 5 3 2 2 2" xfId="29804" xr:uid="{BE60A93F-31C8-4DE9-891A-7D1AED1752CF}"/>
    <cellStyle name="Comma 11 2 3 2 2 5 3 2 3" xfId="26259" xr:uid="{906D16FD-F58D-4353-9AE9-881C6978984C}"/>
    <cellStyle name="Comma 11 2 3 2 2 5 3 3" xfId="6907" xr:uid="{6D5599B5-9E8A-46B4-BA15-405400D2A7DB}"/>
    <cellStyle name="Comma 11 2 3 2 2 5 3 3 2" xfId="22087" xr:uid="{4E0779AD-E4EB-4300-9B26-C12DE905CE60}"/>
    <cellStyle name="Comma 11 2 3 2 2 5 3 4" xfId="18799" xr:uid="{003ED8CF-A4F0-4261-9BD3-47587DA9AB29}"/>
    <cellStyle name="Comma 11 2 3 2 2 5 4" xfId="4132" xr:uid="{072A5EF4-D1A7-4F48-9289-2E7EA2C22DE0}"/>
    <cellStyle name="Comma 11 2 3 2 2 5 4 2" xfId="11617" xr:uid="{67736227-338D-46A5-9D56-AFD26E45D648}"/>
    <cellStyle name="Comma 11 2 3 2 2 5 4 2 2" xfId="15163" xr:uid="{76827F61-CCB7-423B-A4BA-0903A2660E11}"/>
    <cellStyle name="Comma 11 2 3 2 2 5 4 2 2 2" xfId="30340" xr:uid="{C3CAA398-01AB-4688-BE04-D511D2AC1A33}"/>
    <cellStyle name="Comma 11 2 3 2 2 5 4 2 3" xfId="26795" xr:uid="{75EC07EC-8EDE-45BF-97B4-E68E97B8317D}"/>
    <cellStyle name="Comma 11 2 3 2 2 5 4 3" xfId="7443" xr:uid="{38FE15A5-D53A-4381-B043-591D9079D483}"/>
    <cellStyle name="Comma 11 2 3 2 2 5 4 3 2" xfId="22623" xr:uid="{7B492419-D464-43EB-A826-B07E8DF23CCB}"/>
    <cellStyle name="Comma 11 2 3 2 2 5 4 4" xfId="19335" xr:uid="{39297A20-3652-41EA-984F-9AD61DE33565}"/>
    <cellStyle name="Comma 11 2 3 2 2 5 5" xfId="4995" xr:uid="{88F79CB6-DBAF-4A4A-8B7B-CA51176A5DA9}"/>
    <cellStyle name="Comma 11 2 3 2 2 5 5 2" xfId="12479" xr:uid="{E358065F-DC42-4CEF-B02B-104A25FB3EEB}"/>
    <cellStyle name="Comma 11 2 3 2 2 5 5 2 2" xfId="16025" xr:uid="{F8EEAA2B-C09E-4363-8FB3-AB7302A20607}"/>
    <cellStyle name="Comma 11 2 3 2 2 5 5 2 2 2" xfId="31202" xr:uid="{C205417D-2BE7-4EA0-9D46-7E6A617313DF}"/>
    <cellStyle name="Comma 11 2 3 2 2 5 5 2 3" xfId="27657" xr:uid="{B9C72409-03A2-43C4-A951-CC75E6A71705}"/>
    <cellStyle name="Comma 11 2 3 2 2 5 5 3" xfId="8305" xr:uid="{BE37427D-FB9E-4299-8805-24CFF8A404A1}"/>
    <cellStyle name="Comma 11 2 3 2 2 5 5 3 2" xfId="23485" xr:uid="{40AE1D33-9860-43A3-AD31-0745E1B23AE5}"/>
    <cellStyle name="Comma 11 2 3 2 2 5 5 4" xfId="20197" xr:uid="{367BB3B7-D212-424E-A4D1-8837044B7DF0}"/>
    <cellStyle name="Comma 11 2 3 2 2 5 6" xfId="1816" xr:uid="{5DBD4B80-2F83-419E-BF5C-4F300FD2747F}"/>
    <cellStyle name="Comma 11 2 3 2 2 5 6 2" xfId="9313" xr:uid="{2905CE09-7C7E-4D6C-908F-7067E842EA52}"/>
    <cellStyle name="Comma 11 2 3 2 2 5 6 2 2" xfId="24491" xr:uid="{CC1B891A-774B-42E6-AAC3-6C9A87C50636}"/>
    <cellStyle name="Comma 11 2 3 2 2 5 6 3" xfId="17031" xr:uid="{1A231580-CD8D-493A-81B2-F14DC7D8144B}"/>
    <cellStyle name="Comma 11 2 3 2 2 5 7" xfId="8799" xr:uid="{7B554B78-9448-481C-9A26-3AE2E8CDD0D0}"/>
    <cellStyle name="Comma 11 2 3 2 2 5 7 2" xfId="12972" xr:uid="{72F880CA-A68E-4DBB-86B5-9EFAA37F22D7}"/>
    <cellStyle name="Comma 11 2 3 2 2 5 7 2 2" xfId="28149" xr:uid="{5372EA5C-AF7D-4AE5-98B2-8495F78282B3}"/>
    <cellStyle name="Comma 11 2 3 2 2 5 7 3" xfId="23977" xr:uid="{6D04D9D5-1DF3-4A47-A974-95A03786FAA2}"/>
    <cellStyle name="Comma 11 2 3 2 2 5 8" xfId="5139" xr:uid="{9B9F5968-FC49-49B8-AEF8-7EAB3A7B0D65}"/>
    <cellStyle name="Comma 11 2 3 2 2 5 8 2" xfId="20319" xr:uid="{3F19E394-E501-4593-BA5C-E37F0E5AC0B6}"/>
    <cellStyle name="Comma 11 2 3 2 2 5 9" xfId="16517" xr:uid="{6289F890-8482-4C0F-A0C2-D0BE5465BA07}"/>
    <cellStyle name="Comma 11 2 3 2 2 6" xfId="1378" xr:uid="{FECC2FF3-0D1F-46ED-8251-EFEC6CA6C62C}"/>
    <cellStyle name="Comma 11 2 3 2 2 6 2" xfId="2804" xr:uid="{312A68C7-5889-40FD-9469-E397B8D2B6F4}"/>
    <cellStyle name="Comma 11 2 3 2 2 6 2 2" xfId="10295" xr:uid="{CB09D8D4-A4BB-494F-8484-121E6B4DE765}"/>
    <cellStyle name="Comma 11 2 3 2 2 6 2 2 2" xfId="13890" xr:uid="{3F3ED7B5-258B-4C12-9B6F-6250D1139D83}"/>
    <cellStyle name="Comma 11 2 3 2 2 6 2 2 2 2" xfId="29067" xr:uid="{8F6B5847-2A08-4771-8F93-E326F2D5A1CE}"/>
    <cellStyle name="Comma 11 2 3 2 2 6 2 2 3" xfId="25473" xr:uid="{CA57DBD8-BC29-4300-8F70-213A9F099465}"/>
    <cellStyle name="Comma 11 2 3 2 2 6 2 3" xfId="6121" xr:uid="{E928AB09-E15A-4DE5-9DBD-058C8B98FDA1}"/>
    <cellStyle name="Comma 11 2 3 2 2 6 2 3 2" xfId="21301" xr:uid="{11ABCFAC-A5CB-4524-A07E-5690C1EAF3C8}"/>
    <cellStyle name="Comma 11 2 3 2 2 6 2 4" xfId="18013" xr:uid="{8F53DD1A-3799-444D-AE7B-4984E3D58867}"/>
    <cellStyle name="Comma 11 2 3 2 2 6 3" xfId="3691" xr:uid="{44F74C88-ED65-4DF5-AF25-FFCAF37EA238}"/>
    <cellStyle name="Comma 11 2 3 2 2 6 3 2" xfId="11179" xr:uid="{B5FBD9E6-E3D8-4179-941F-F56387A5ADD0}"/>
    <cellStyle name="Comma 11 2 3 2 2 6 3 2 2" xfId="14725" xr:uid="{87E80F75-2711-4ACE-A06B-7AE7AC8B6BB4}"/>
    <cellStyle name="Comma 11 2 3 2 2 6 3 2 2 2" xfId="29902" xr:uid="{D7BDDFE2-7407-4A3D-B046-CA1E78D062BC}"/>
    <cellStyle name="Comma 11 2 3 2 2 6 3 2 3" xfId="26357" xr:uid="{F4FF3A0A-BF00-4002-B72A-F0E7A21F7317}"/>
    <cellStyle name="Comma 11 2 3 2 2 6 3 3" xfId="7005" xr:uid="{00C7E3A0-EC39-4115-8DC2-468BEE1B873C}"/>
    <cellStyle name="Comma 11 2 3 2 2 6 3 3 2" xfId="22185" xr:uid="{24E69BCF-6BE1-4341-A478-D26212E6B5D5}"/>
    <cellStyle name="Comma 11 2 3 2 2 6 3 4" xfId="18897" xr:uid="{C088F18B-C4E4-4190-B809-BF32F7AEC2C1}"/>
    <cellStyle name="Comma 11 2 3 2 2 6 4" xfId="4133" xr:uid="{00BA8DA0-815B-47EB-A986-4DCB5844AF58}"/>
    <cellStyle name="Comma 11 2 3 2 2 6 4 2" xfId="11618" xr:uid="{43B10751-549F-4085-AFBB-4F2C6DE55F97}"/>
    <cellStyle name="Comma 11 2 3 2 2 6 4 2 2" xfId="15164" xr:uid="{9FC76A84-5AD4-43AE-8BA5-A2A73F271620}"/>
    <cellStyle name="Comma 11 2 3 2 2 6 4 2 2 2" xfId="30341" xr:uid="{B20DE53D-BE8F-40F1-BFBF-BD333318281D}"/>
    <cellStyle name="Comma 11 2 3 2 2 6 4 2 3" xfId="26796" xr:uid="{C8D296F8-1E8E-48D5-AF6B-47A5452A83BD}"/>
    <cellStyle name="Comma 11 2 3 2 2 6 4 3" xfId="7444" xr:uid="{20CC285C-47AA-49C8-A170-A9424CDE1A48}"/>
    <cellStyle name="Comma 11 2 3 2 2 6 4 3 2" xfId="22624" xr:uid="{20E04C83-A854-4DB4-9708-348A81B6BEF7}"/>
    <cellStyle name="Comma 11 2 3 2 2 6 4 4" xfId="19336" xr:uid="{A8D1FB4C-9B48-4C48-9911-FECAA5F1F573}"/>
    <cellStyle name="Comma 11 2 3 2 2 6 5" xfId="1914" xr:uid="{5A2F50DA-D97E-44F2-BFCC-DADA7CF7761C}"/>
    <cellStyle name="Comma 11 2 3 2 2 6 5 2" xfId="9411" xr:uid="{4956154B-0864-4CB6-B857-D8E3A9638B4B}"/>
    <cellStyle name="Comma 11 2 3 2 2 6 5 2 2" xfId="24589" xr:uid="{FDE8D3AD-A223-4578-B11A-8445CEBCB35B}"/>
    <cellStyle name="Comma 11 2 3 2 2 6 5 3" xfId="17129" xr:uid="{17F9475D-0F68-4EC8-99ED-E9AAE66858C6}"/>
    <cellStyle name="Comma 11 2 3 2 2 6 6" xfId="8897" xr:uid="{7D542D22-6B59-4044-B76B-DA03D796B078}"/>
    <cellStyle name="Comma 11 2 3 2 2 6 6 2" xfId="13070" xr:uid="{601BA270-2E39-4AEE-9D3B-27E8085CB228}"/>
    <cellStyle name="Comma 11 2 3 2 2 6 6 2 2" xfId="28247" xr:uid="{CAA9E68B-736F-4797-9354-549A9631E0AE}"/>
    <cellStyle name="Comma 11 2 3 2 2 6 6 3" xfId="24075" xr:uid="{4AECC742-A2EC-44A2-8B25-93578F490E96}"/>
    <cellStyle name="Comma 11 2 3 2 2 6 7" xfId="5237" xr:uid="{4F726AFC-03B8-4319-A0BA-7C2EC0FD3290}"/>
    <cellStyle name="Comma 11 2 3 2 2 6 7 2" xfId="20417" xr:uid="{A79F7F68-E93C-4E4A-B57B-8B28873CAD22}"/>
    <cellStyle name="Comma 11 2 3 2 2 6 8" xfId="16615" xr:uid="{11CD6CC2-262B-48A2-A526-E2EEC654C8D8}"/>
    <cellStyle name="Comma 11 2 3 2 2 7" xfId="1477" xr:uid="{6776FE5E-67A5-43FD-A957-218AD0972A13}"/>
    <cellStyle name="Comma 11 2 3 2 2 7 2" xfId="2902" xr:uid="{CFF27321-B91B-4C05-9438-EA67FB1C1361}"/>
    <cellStyle name="Comma 11 2 3 2 2 7 2 2" xfId="10393" xr:uid="{C196E704-1AB3-4C9D-AC5A-A529F47E70DC}"/>
    <cellStyle name="Comma 11 2 3 2 2 7 2 2 2" xfId="13939" xr:uid="{12CBA4F0-0B1C-4010-9F09-F8762624D957}"/>
    <cellStyle name="Comma 11 2 3 2 2 7 2 2 2 2" xfId="29116" xr:uid="{6D53517E-BE53-4BB4-8A8E-E9BA9E9A6108}"/>
    <cellStyle name="Comma 11 2 3 2 2 7 2 2 3" xfId="25571" xr:uid="{B8E89D2E-9628-425D-A0CB-545B2ECB884B}"/>
    <cellStyle name="Comma 11 2 3 2 2 7 2 3" xfId="6219" xr:uid="{6FF6A33F-3D39-472D-955B-115433AF804F}"/>
    <cellStyle name="Comma 11 2 3 2 2 7 2 3 2" xfId="21399" xr:uid="{86400D23-7011-45F0-9271-568240B69947}"/>
    <cellStyle name="Comma 11 2 3 2 2 7 2 4" xfId="18111" xr:uid="{07D4780D-EA21-477E-B910-21A26380DA81}"/>
    <cellStyle name="Comma 11 2 3 2 2 7 3" xfId="3789" xr:uid="{D88AA7D3-66A2-4BC3-8AB7-431435C960E0}"/>
    <cellStyle name="Comma 11 2 3 2 2 7 3 2" xfId="11277" xr:uid="{A5BE7D88-B73F-4FF4-99DF-508F64F19B55}"/>
    <cellStyle name="Comma 11 2 3 2 2 7 3 2 2" xfId="14823" xr:uid="{8E3E791B-2698-44EC-9F60-3375C62DE463}"/>
    <cellStyle name="Comma 11 2 3 2 2 7 3 2 2 2" xfId="30000" xr:uid="{F3B1FF36-649F-4AC6-94A5-3D946A4D9ECE}"/>
    <cellStyle name="Comma 11 2 3 2 2 7 3 2 3" xfId="26455" xr:uid="{3E1A8684-8C5F-40B1-9444-CD39B25D7C8C}"/>
    <cellStyle name="Comma 11 2 3 2 2 7 3 3" xfId="7103" xr:uid="{5A292D13-11B4-4445-970F-BBA27AC7A596}"/>
    <cellStyle name="Comma 11 2 3 2 2 7 3 3 2" xfId="22283" xr:uid="{EF19A333-A79A-4464-A82E-039E7361A515}"/>
    <cellStyle name="Comma 11 2 3 2 2 7 3 4" xfId="18995" xr:uid="{77708FCF-05D5-4473-BE9C-3D842100F65A}"/>
    <cellStyle name="Comma 11 2 3 2 2 7 4" xfId="4134" xr:uid="{B5F55898-836C-4865-8D09-F8BEEDA3D318}"/>
    <cellStyle name="Comma 11 2 3 2 2 7 4 2" xfId="11619" xr:uid="{647D903D-6023-4F2C-9CE0-E2CD95C581F4}"/>
    <cellStyle name="Comma 11 2 3 2 2 7 4 2 2" xfId="15165" xr:uid="{CD5A1F40-5F50-45CB-B3DF-6AF671707E05}"/>
    <cellStyle name="Comma 11 2 3 2 2 7 4 2 2 2" xfId="30342" xr:uid="{C5AC16C5-ECBC-4A72-8938-1E9240ECAD4D}"/>
    <cellStyle name="Comma 11 2 3 2 2 7 4 2 3" xfId="26797" xr:uid="{A6173C77-EA9D-4995-A468-BA4F8BA8DE91}"/>
    <cellStyle name="Comma 11 2 3 2 2 7 4 3" xfId="7445" xr:uid="{78EA3A15-4102-4AC4-9C63-86595F46D808}"/>
    <cellStyle name="Comma 11 2 3 2 2 7 4 3 2" xfId="22625" xr:uid="{B8DF2208-CB80-43A6-8E16-ED39D0A907B6}"/>
    <cellStyle name="Comma 11 2 3 2 2 7 4 4" xfId="19337" xr:uid="{8532D2D1-2B12-4DE9-9AB7-64FB26D194A1}"/>
    <cellStyle name="Comma 11 2 3 2 2 7 5" xfId="2012" xr:uid="{A44F98C3-98EF-4B68-81C9-A9EF38BB20A1}"/>
    <cellStyle name="Comma 11 2 3 2 2 7 5 2" xfId="9509" xr:uid="{3A814866-17E6-4DB6-A9C4-937E5A89F9C2}"/>
    <cellStyle name="Comma 11 2 3 2 2 7 5 2 2" xfId="24687" xr:uid="{99DA84F5-663B-4BD0-B555-8AAFC2A0F29B}"/>
    <cellStyle name="Comma 11 2 3 2 2 7 5 3" xfId="17227" xr:uid="{45FBE98E-7420-458C-8C76-C4AC26764347}"/>
    <cellStyle name="Comma 11 2 3 2 2 7 6" xfId="8995" xr:uid="{59C7B6BF-A8DF-4A66-A6EA-5F334C31106A}"/>
    <cellStyle name="Comma 11 2 3 2 2 7 6 2" xfId="13168" xr:uid="{FFF5CD93-FC18-4C2D-8ACA-033D695C11E5}"/>
    <cellStyle name="Comma 11 2 3 2 2 7 6 2 2" xfId="28345" xr:uid="{FBBAC665-CDC2-4B45-AAF9-584F7DDD7F80}"/>
    <cellStyle name="Comma 11 2 3 2 2 7 6 3" xfId="24173" xr:uid="{4B5993DC-A71C-4905-8AF2-EFD1E9F14FA5}"/>
    <cellStyle name="Comma 11 2 3 2 2 7 7" xfId="5335" xr:uid="{BF0837B3-56B7-4CE6-BB94-62C6E54D1A3B}"/>
    <cellStyle name="Comma 11 2 3 2 2 7 7 2" xfId="20515" xr:uid="{E56F3319-CA95-401F-A162-4ACC76A3B798}"/>
    <cellStyle name="Comma 11 2 3 2 2 7 8" xfId="16713" xr:uid="{04DB8D7D-057E-442C-BC40-2F787A1AFC2E}"/>
    <cellStyle name="Comma 11 2 3 2 2 8" xfId="1580" xr:uid="{D205BAD3-B78B-4C59-879C-56729B4AA914}"/>
    <cellStyle name="Comma 11 2 3 2 2 8 2" xfId="3000" xr:uid="{3DE61D16-C6B6-457A-A639-164373A363CF}"/>
    <cellStyle name="Comma 11 2 3 2 2 8 2 2" xfId="10491" xr:uid="{7ED9AE3F-AC7D-4229-B45B-A4240E1B2F2D}"/>
    <cellStyle name="Comma 11 2 3 2 2 8 2 2 2" xfId="14037" xr:uid="{6C8C5718-883A-4B7A-8129-8E329A2F6522}"/>
    <cellStyle name="Comma 11 2 3 2 2 8 2 2 2 2" xfId="29214" xr:uid="{2C27517A-9DDF-4F51-B090-A6C8A4E7B2B5}"/>
    <cellStyle name="Comma 11 2 3 2 2 8 2 2 3" xfId="25669" xr:uid="{2EE4C588-4EDD-4154-922C-886B3E683852}"/>
    <cellStyle name="Comma 11 2 3 2 2 8 2 3" xfId="6317" xr:uid="{9CD966E6-7A35-437B-90D0-5F55D440B13A}"/>
    <cellStyle name="Comma 11 2 3 2 2 8 2 3 2" xfId="21497" xr:uid="{4534E0B5-890C-4CC2-B5E2-7C9514E74C16}"/>
    <cellStyle name="Comma 11 2 3 2 2 8 2 4" xfId="18209" xr:uid="{B15C148C-EA09-4EC6-8579-DB4DD8167132}"/>
    <cellStyle name="Comma 11 2 3 2 2 8 3" xfId="3887" xr:uid="{DBFFA121-CA15-470B-8CB0-A66D72B6B267}"/>
    <cellStyle name="Comma 11 2 3 2 2 8 3 2" xfId="11375" xr:uid="{1882E8A0-675A-4F49-A1E7-A6CA29CFA457}"/>
    <cellStyle name="Comma 11 2 3 2 2 8 3 2 2" xfId="14921" xr:uid="{F9F936A1-0429-44F8-9011-1550020E91F4}"/>
    <cellStyle name="Comma 11 2 3 2 2 8 3 2 2 2" xfId="30098" xr:uid="{45D2F3FB-DA61-4CD8-BD4B-4503BC965056}"/>
    <cellStyle name="Comma 11 2 3 2 2 8 3 2 3" xfId="26553" xr:uid="{D01B630F-3948-4046-BC26-4E249BEECE76}"/>
    <cellStyle name="Comma 11 2 3 2 2 8 3 3" xfId="7201" xr:uid="{91C3FB74-191C-4597-A12D-005C43EF0413}"/>
    <cellStyle name="Comma 11 2 3 2 2 8 3 3 2" xfId="22381" xr:uid="{1CD60108-6766-4050-B5FF-0E01D330AB4D}"/>
    <cellStyle name="Comma 11 2 3 2 2 8 3 4" xfId="19093" xr:uid="{DC92CEDF-BEBF-4A91-95E9-6366D63B66CC}"/>
    <cellStyle name="Comma 11 2 3 2 2 8 4" xfId="4135" xr:uid="{AF3CF4AC-220F-4179-BA4B-817D58F07609}"/>
    <cellStyle name="Comma 11 2 3 2 2 8 4 2" xfId="11620" xr:uid="{36CE6D39-EB91-4970-B34E-3FE3688CE904}"/>
    <cellStyle name="Comma 11 2 3 2 2 8 4 2 2" xfId="15166" xr:uid="{0390473B-26E9-4CC5-BA34-130CEBC5B286}"/>
    <cellStyle name="Comma 11 2 3 2 2 8 4 2 2 2" xfId="30343" xr:uid="{5208C873-BBC0-48E9-B18E-540F84A5F822}"/>
    <cellStyle name="Comma 11 2 3 2 2 8 4 2 3" xfId="26798" xr:uid="{D4AE837E-690B-45BD-81B4-CA318E95E2E8}"/>
    <cellStyle name="Comma 11 2 3 2 2 8 4 3" xfId="7446" xr:uid="{9357690B-6986-4DBF-8052-647D170D354C}"/>
    <cellStyle name="Comma 11 2 3 2 2 8 4 3 2" xfId="22626" xr:uid="{AC03E995-ACE3-4411-83BD-8E80B283993B}"/>
    <cellStyle name="Comma 11 2 3 2 2 8 4 4" xfId="19338" xr:uid="{64635CEB-C19B-4687-B37F-5BD7B8310907}"/>
    <cellStyle name="Comma 11 2 3 2 2 8 5" xfId="2110" xr:uid="{BC0E465E-ECE0-4A0C-A85B-AD51A8D99E18}"/>
    <cellStyle name="Comma 11 2 3 2 2 8 5 2" xfId="9607" xr:uid="{63B9CF70-46C4-40ED-88CE-4FF306D6F27B}"/>
    <cellStyle name="Comma 11 2 3 2 2 8 5 2 2" xfId="24785" xr:uid="{5419F6CC-6A6D-4A17-8822-049C7A79D0AF}"/>
    <cellStyle name="Comma 11 2 3 2 2 8 5 3" xfId="17325" xr:uid="{8C9F2EF1-8198-4C92-A890-74DFE1978AC0}"/>
    <cellStyle name="Comma 11 2 3 2 2 8 6" xfId="9093" xr:uid="{D8DBD830-7658-4530-8474-4340305FBE35}"/>
    <cellStyle name="Comma 11 2 3 2 2 8 6 2" xfId="13266" xr:uid="{4EAF8AD6-65A0-49D0-AD15-AB50F797E3CF}"/>
    <cellStyle name="Comma 11 2 3 2 2 8 6 2 2" xfId="28443" xr:uid="{3D7DD0DD-7FC0-42D1-8D66-EC3C28EB4F89}"/>
    <cellStyle name="Comma 11 2 3 2 2 8 6 3" xfId="24271" xr:uid="{FFC86339-4E42-416D-9D33-4715CFCE02FB}"/>
    <cellStyle name="Comma 11 2 3 2 2 8 7" xfId="5433" xr:uid="{EAA85177-D82D-4978-9069-FECDD70FF631}"/>
    <cellStyle name="Comma 11 2 3 2 2 8 7 2" xfId="20613" xr:uid="{9B19F6ED-58E6-43FE-A802-BAC8D7B58C60}"/>
    <cellStyle name="Comma 11 2 3 2 2 8 8" xfId="16811" xr:uid="{71C506A1-4743-4BE2-9A8F-DD694A7F404C}"/>
    <cellStyle name="Comma 11 2 3 2 2 9" xfId="1679" xr:uid="{C13AF69F-668B-4384-B472-8492C27E56BA}"/>
    <cellStyle name="Comma 11 2 3 2 2 9 2" xfId="3098" xr:uid="{E98B8098-445B-4F15-B0CF-34FF51E1A869}"/>
    <cellStyle name="Comma 11 2 3 2 2 9 2 2" xfId="10589" xr:uid="{3AAA8DE6-BC75-440D-A7A2-46806CBD113D}"/>
    <cellStyle name="Comma 11 2 3 2 2 9 2 2 2" xfId="14135" xr:uid="{355A7A3C-F65A-4FF9-B2C6-14BB10EB9C63}"/>
    <cellStyle name="Comma 11 2 3 2 2 9 2 2 2 2" xfId="29312" xr:uid="{F0D19078-8293-4E4D-A8E6-3CC351591893}"/>
    <cellStyle name="Comma 11 2 3 2 2 9 2 2 3" xfId="25767" xr:uid="{8A33B02F-5B8B-40AD-8A24-44D26A4BA23D}"/>
    <cellStyle name="Comma 11 2 3 2 2 9 2 3" xfId="6415" xr:uid="{47418607-485D-4D12-A3BF-BFF1B6A79421}"/>
    <cellStyle name="Comma 11 2 3 2 2 9 2 3 2" xfId="21595" xr:uid="{3CB5E193-2C02-42D1-9812-B43740C0026E}"/>
    <cellStyle name="Comma 11 2 3 2 2 9 2 4" xfId="18307" xr:uid="{C3534AAC-52D7-41F7-AFC4-91F0D0BFB119}"/>
    <cellStyle name="Comma 11 2 3 2 2 9 3" xfId="3985" xr:uid="{80AE9992-A992-468A-850A-E6C60CB5CDB4}"/>
    <cellStyle name="Comma 11 2 3 2 2 9 3 2" xfId="11473" xr:uid="{2476927B-5A14-4F75-8F28-4B2DD8AB9E5B}"/>
    <cellStyle name="Comma 11 2 3 2 2 9 3 2 2" xfId="15019" xr:uid="{D18E820A-D99C-4BCD-ADB0-F23BA5D6C19C}"/>
    <cellStyle name="Comma 11 2 3 2 2 9 3 2 2 2" xfId="30196" xr:uid="{CE32F6D7-AD1F-4556-96EE-4133AFCF0CA7}"/>
    <cellStyle name="Comma 11 2 3 2 2 9 3 2 3" xfId="26651" xr:uid="{06AA87E5-F513-4A55-BD21-BF1B8FB38B7B}"/>
    <cellStyle name="Comma 11 2 3 2 2 9 3 3" xfId="7299" xr:uid="{41A3DCD3-BD8B-4452-9205-178BB0395D30}"/>
    <cellStyle name="Comma 11 2 3 2 2 9 3 3 2" xfId="22479" xr:uid="{4610F402-B8C9-4404-9142-1CB2A6C06E3E}"/>
    <cellStyle name="Comma 11 2 3 2 2 9 3 4" xfId="19191" xr:uid="{6F9229D4-2956-4019-9939-344616A80F48}"/>
    <cellStyle name="Comma 11 2 3 2 2 9 4" xfId="4136" xr:uid="{C879E2F5-8488-4CC4-B430-654BF0F8ABAF}"/>
    <cellStyle name="Comma 11 2 3 2 2 9 4 2" xfId="11621" xr:uid="{CBB5D2AA-ACE3-45C7-ABA3-F86800A1EA30}"/>
    <cellStyle name="Comma 11 2 3 2 2 9 4 2 2" xfId="15167" xr:uid="{139348D4-E65D-4B57-ADF7-DA77BF86FF2A}"/>
    <cellStyle name="Comma 11 2 3 2 2 9 4 2 2 2" xfId="30344" xr:uid="{C840E84D-74E9-4AFB-9382-F8F375FE5CE0}"/>
    <cellStyle name="Comma 11 2 3 2 2 9 4 2 3" xfId="26799" xr:uid="{B1814D88-E689-49B7-85F8-7A762669459B}"/>
    <cellStyle name="Comma 11 2 3 2 2 9 4 3" xfId="7447" xr:uid="{EF6E46EA-CB4E-467E-A467-A4107DA4B61F}"/>
    <cellStyle name="Comma 11 2 3 2 2 9 4 3 2" xfId="22627" xr:uid="{A93846DF-635D-4591-A48E-86978F66F6C8}"/>
    <cellStyle name="Comma 11 2 3 2 2 9 4 4" xfId="19339" xr:uid="{B131DC53-DE09-43AF-9E15-A75D2436D0F1}"/>
    <cellStyle name="Comma 11 2 3 2 2 9 5" xfId="2208" xr:uid="{96A1DDA6-200B-46D1-A63A-2B16394125CD}"/>
    <cellStyle name="Comma 11 2 3 2 2 9 5 2" xfId="9705" xr:uid="{8E555E83-65C6-487F-936A-59A8FA964216}"/>
    <cellStyle name="Comma 11 2 3 2 2 9 5 2 2" xfId="24883" xr:uid="{7843F152-4A08-4DEC-A32C-EC9E1B61E6FA}"/>
    <cellStyle name="Comma 11 2 3 2 2 9 5 3" xfId="17423" xr:uid="{166F7318-DF38-425C-B0B6-13E4CDE38008}"/>
    <cellStyle name="Comma 11 2 3 2 2 9 6" xfId="9191" xr:uid="{55E111DC-34F8-4601-87E1-98BD64FF61A6}"/>
    <cellStyle name="Comma 11 2 3 2 2 9 6 2" xfId="13364" xr:uid="{DA41E89B-3C29-4916-86CE-4BE276A0FD02}"/>
    <cellStyle name="Comma 11 2 3 2 2 9 6 2 2" xfId="28541" xr:uid="{0A6CD272-4653-433C-AB43-7463515AADFC}"/>
    <cellStyle name="Comma 11 2 3 2 2 9 6 3" xfId="24369" xr:uid="{A167BF9D-7147-485B-9817-7A1352034EAA}"/>
    <cellStyle name="Comma 11 2 3 2 2 9 7" xfId="5531" xr:uid="{97AE2981-AF8F-4CA2-9F3B-708AE4D334BE}"/>
    <cellStyle name="Comma 11 2 3 2 2 9 7 2" xfId="20711" xr:uid="{2C8DB3E2-8325-4A33-8B2A-61F19DC239ED}"/>
    <cellStyle name="Comma 11 2 3 2 2 9 8" xfId="16909" xr:uid="{B61868BC-236F-49DA-856D-EE12CF241B45}"/>
    <cellStyle name="Comma 11 2 3 2 3" xfId="762" xr:uid="{8A788DA9-5368-4741-9912-8FC316A8A543}"/>
    <cellStyle name="Comma 11 2 3 2 3 10" xfId="8428" xr:uid="{491C4271-3A6A-49BA-A1C0-B9E81FA8E11F}"/>
    <cellStyle name="Comma 11 2 3 2 3 10 2" xfId="12602" xr:uid="{5DE3A33F-02DF-4194-B460-925FD12D79E3}"/>
    <cellStyle name="Comma 11 2 3 2 3 10 2 2" xfId="27779" xr:uid="{89D8561E-6FB0-4C0F-84FD-FA8618E1190B}"/>
    <cellStyle name="Comma 11 2 3 2 3 10 3" xfId="23607" xr:uid="{93467C01-028D-4711-BA8B-7445DC18E8F8}"/>
    <cellStyle name="Comma 11 2 3 2 3 11" xfId="16147" xr:uid="{E5D61AC0-6660-4337-9603-47BB11160D58}"/>
    <cellStyle name="Comma 11 2 3 2 3 12" xfId="31489" xr:uid="{5489D7EE-F25A-416F-9723-AF9B65E1DC04}"/>
    <cellStyle name="Comma 11 2 3 2 3 2" xfId="939" xr:uid="{9F6743D6-F6A6-421A-BC35-7856AC10CDFD}"/>
    <cellStyle name="Comma 11 2 3 2 3 2 10" xfId="16269" xr:uid="{4C788B45-1FBE-486C-B0E3-F5D4CA746174}"/>
    <cellStyle name="Comma 11 2 3 2 3 2 11" xfId="31359" xr:uid="{0CB39042-7441-4FA2-B615-154AC85C6CC5}"/>
    <cellStyle name="Comma 11 2 3 2 3 2 12" xfId="31709" xr:uid="{2E21350E-EFE5-484E-9571-2379B29B045D}"/>
    <cellStyle name="Comma 11 2 3 2 3 2 2" xfId="1300" xr:uid="{B17E27D3-0599-4BB5-8416-4BFF813D9082}"/>
    <cellStyle name="Comma 11 2 3 2 3 2 2 2" xfId="3617" xr:uid="{6F0893E7-B839-4E6C-B53E-AA678638B74A}"/>
    <cellStyle name="Comma 11 2 3 2 3 2 2 2 2" xfId="11105" xr:uid="{F0B1315C-32F0-4B2D-9AC5-33474BFF13E2}"/>
    <cellStyle name="Comma 11 2 3 2 3 2 2 2 2 2" xfId="14651" xr:uid="{7E968928-0200-4A1E-A825-05E303332DC6}"/>
    <cellStyle name="Comma 11 2 3 2 3 2 2 2 2 2 2" xfId="29828" xr:uid="{28B29299-8ADE-4BEA-9AF0-68D29F4EC6E8}"/>
    <cellStyle name="Comma 11 2 3 2 3 2 2 2 2 3" xfId="26283" xr:uid="{96D1DA5F-E1EC-43E7-A46F-D6235B036605}"/>
    <cellStyle name="Comma 11 2 3 2 3 2 2 2 3" xfId="6931" xr:uid="{B481BCC4-97F9-4904-A285-917C0A6DB3F1}"/>
    <cellStyle name="Comma 11 2 3 2 3 2 2 2 3 2" xfId="22111" xr:uid="{90E29E93-FF40-485F-9BB1-0B4A41D51E39}"/>
    <cellStyle name="Comma 11 2 3 2 3 2 2 2 4" xfId="18823" xr:uid="{1038A9A3-21F4-4688-9154-4CE67BB43A76}"/>
    <cellStyle name="Comma 11 2 3 2 3 2 2 3" xfId="4137" xr:uid="{1301B25D-D4BB-4FE1-85DF-838675737C4E}"/>
    <cellStyle name="Comma 11 2 3 2 3 2 2 3 2" xfId="11622" xr:uid="{3B7182D3-BB4D-4FDB-80BF-EF791B8F04D6}"/>
    <cellStyle name="Comma 11 2 3 2 3 2 2 3 2 2" xfId="15168" xr:uid="{60D32715-3E20-49B4-8675-F05B32B5C55A}"/>
    <cellStyle name="Comma 11 2 3 2 3 2 2 3 2 2 2" xfId="30345" xr:uid="{FDEA219D-2A07-4FC4-BB0E-7DD5ED90E64A}"/>
    <cellStyle name="Comma 11 2 3 2 3 2 2 3 2 3" xfId="26800" xr:uid="{BD74C453-5CE3-426A-9AE6-79F63921207B}"/>
    <cellStyle name="Comma 11 2 3 2 3 2 2 3 3" xfId="7448" xr:uid="{DFC43278-F121-451E-A81C-EDD2A44F8A89}"/>
    <cellStyle name="Comma 11 2 3 2 3 2 2 3 3 2" xfId="22628" xr:uid="{D1345D9B-BD60-4618-89C9-A661A1241663}"/>
    <cellStyle name="Comma 11 2 3 2 3 2 2 3 4" xfId="19340" xr:uid="{886D81B9-9E0B-4197-B4CF-04E222EC9CF8}"/>
    <cellStyle name="Comma 11 2 3 2 3 2 2 4" xfId="2730" xr:uid="{409FDACC-A187-4FA4-92CC-DD7FAFEB8B3B}"/>
    <cellStyle name="Comma 11 2 3 2 3 2 2 4 2" xfId="10221" xr:uid="{342C60BB-6B50-44BF-BE5E-6421945CC864}"/>
    <cellStyle name="Comma 11 2 3 2 3 2 2 4 2 2" xfId="25399" xr:uid="{B39BAD10-84D9-4F03-8E68-0B232BB1D3A0}"/>
    <cellStyle name="Comma 11 2 3 2 3 2 2 4 3" xfId="17939" xr:uid="{A0645B94-ED85-45DA-A019-BAA1A3D9D8AE}"/>
    <cellStyle name="Comma 11 2 3 2 3 2 2 5" xfId="8823" xr:uid="{CF9C025B-8C6B-4265-A603-82A08FF2CB30}"/>
    <cellStyle name="Comma 11 2 3 2 3 2 2 5 2" xfId="12996" xr:uid="{21C52C94-3051-4A75-9346-A6444D68E3AF}"/>
    <cellStyle name="Comma 11 2 3 2 3 2 2 5 2 2" xfId="28173" xr:uid="{25A7B492-5F4C-49EA-A699-1DFE4486E410}"/>
    <cellStyle name="Comma 11 2 3 2 3 2 2 5 3" xfId="24001" xr:uid="{DB54E5F8-E4EF-41BC-9846-DA23C23331B5}"/>
    <cellStyle name="Comma 11 2 3 2 3 2 2 6" xfId="6047" xr:uid="{8577BE7F-E6F3-4D14-B258-B2F3C76488DE}"/>
    <cellStyle name="Comma 11 2 3 2 3 2 2 6 2" xfId="21227" xr:uid="{BEE6B269-85DB-4A94-98F6-A6B277CD2038}"/>
    <cellStyle name="Comma 11 2 3 2 3 2 2 7" xfId="16541" xr:uid="{723FFD80-50D2-4D31-A01E-42D59618CC16}"/>
    <cellStyle name="Comma 11 2 3 2 3 2 3" xfId="2457" xr:uid="{0EBCA398-483F-4A8A-9317-4DFB32DF49C8}"/>
    <cellStyle name="Comma 11 2 3 2 3 2 3 2" xfId="9949" xr:uid="{45FE3287-3F41-45C2-85B5-3DAF207E36C4}"/>
    <cellStyle name="Comma 11 2 3 2 3 2 3 2 2" xfId="13608" xr:uid="{2AE9CB6C-A1C2-4D00-AC93-3A37B779A17F}"/>
    <cellStyle name="Comma 11 2 3 2 3 2 3 2 2 2" xfId="28785" xr:uid="{581CE181-4C43-4B5D-94ED-3CA314142024}"/>
    <cellStyle name="Comma 11 2 3 2 3 2 3 2 3" xfId="25127" xr:uid="{0FCED77B-18EA-43DB-AF88-BD5CAB204B55}"/>
    <cellStyle name="Comma 11 2 3 2 3 2 3 3" xfId="5775" xr:uid="{6C1C48F9-7713-4AE7-9080-306558169ECE}"/>
    <cellStyle name="Comma 11 2 3 2 3 2 3 3 2" xfId="20955" xr:uid="{51B33817-F569-4B28-A600-BB3E90ABEB1F}"/>
    <cellStyle name="Comma 11 2 3 2 3 2 3 4" xfId="17667" xr:uid="{D25E8E26-D00B-47CE-A4DB-6345372F511A}"/>
    <cellStyle name="Comma 11 2 3 2 3 2 4" xfId="3345" xr:uid="{EE931369-D641-4682-8810-C8C758A977AC}"/>
    <cellStyle name="Comma 11 2 3 2 3 2 4 2" xfId="10833" xr:uid="{B91D6B59-B559-4F3E-87FE-7395D3CEBAFB}"/>
    <cellStyle name="Comma 11 2 3 2 3 2 4 2 2" xfId="14379" xr:uid="{8F75DB48-C437-4A90-823A-BC2C02794728}"/>
    <cellStyle name="Comma 11 2 3 2 3 2 4 2 2 2" xfId="29556" xr:uid="{D05428CC-6679-43D1-9487-3FE80550D25A}"/>
    <cellStyle name="Comma 11 2 3 2 3 2 4 2 3" xfId="26011" xr:uid="{51FA8F00-05AE-458F-A2CA-48A01C71CFEB}"/>
    <cellStyle name="Comma 11 2 3 2 3 2 4 3" xfId="6659" xr:uid="{91DF6474-7C10-43C6-B8A8-F6E2CE8518C0}"/>
    <cellStyle name="Comma 11 2 3 2 3 2 4 3 2" xfId="21839" xr:uid="{AEFF5442-24A3-4899-9336-C52E29E152D0}"/>
    <cellStyle name="Comma 11 2 3 2 3 2 4 4" xfId="18551" xr:uid="{AC32033A-BC13-4291-94D2-ED02FE5C54F3}"/>
    <cellStyle name="Comma 11 2 3 2 3 2 5" xfId="4138" xr:uid="{80BE4469-1CE9-448D-8EA5-8754423AE68C}"/>
    <cellStyle name="Comma 11 2 3 2 3 2 5 2" xfId="11623" xr:uid="{A80CA38D-BC1F-4B45-A15B-58BD55D33C79}"/>
    <cellStyle name="Comma 11 2 3 2 3 2 5 2 2" xfId="15169" xr:uid="{70473CB7-FE9B-4740-B4DF-2AEAF34FB1BC}"/>
    <cellStyle name="Comma 11 2 3 2 3 2 5 2 2 2" xfId="30346" xr:uid="{7B58D26D-FE63-4896-88E7-80E779973409}"/>
    <cellStyle name="Comma 11 2 3 2 3 2 5 2 3" xfId="26801" xr:uid="{07DA9F42-F8D7-463C-82B1-3FB89E5A2203}"/>
    <cellStyle name="Comma 11 2 3 2 3 2 5 3" xfId="7449" xr:uid="{25AEED4C-DAD6-407C-A50A-A905BDD67FE5}"/>
    <cellStyle name="Comma 11 2 3 2 3 2 5 3 2" xfId="22629" xr:uid="{5E338E91-CEAF-4D48-AB3E-7C276F2DE6A8}"/>
    <cellStyle name="Comma 11 2 3 2 3 2 5 4" xfId="19341" xr:uid="{51140B72-7445-406C-A119-B76CA94C6F78}"/>
    <cellStyle name="Comma 11 2 3 2 3 2 6" xfId="5019" xr:uid="{BD388628-AA4C-4ED5-BF47-63860FA7D78B}"/>
    <cellStyle name="Comma 11 2 3 2 3 2 6 2" xfId="12503" xr:uid="{F74C7278-5431-4483-A9EB-E565D7A6B908}"/>
    <cellStyle name="Comma 11 2 3 2 3 2 6 2 2" xfId="16049" xr:uid="{908FD66D-A272-40A2-B817-DF45D6EFB594}"/>
    <cellStyle name="Comma 11 2 3 2 3 2 6 2 2 2" xfId="31226" xr:uid="{8F2B0103-FE2D-48B6-8C0B-878FF508D7D2}"/>
    <cellStyle name="Comma 11 2 3 2 3 2 6 2 3" xfId="27681" xr:uid="{E481BE09-E97A-4DAC-8D59-74F3447B64AB}"/>
    <cellStyle name="Comma 11 2 3 2 3 2 6 3" xfId="8329" xr:uid="{E550FB62-BA20-4D00-B61F-D8C0A3058520}"/>
    <cellStyle name="Comma 11 2 3 2 3 2 6 3 2" xfId="23509" xr:uid="{F77C59CF-6288-472A-84AF-17FB557DB687}"/>
    <cellStyle name="Comma 11 2 3 2 3 2 6 4" xfId="20221" xr:uid="{525560B4-5909-4651-8271-796B43A802AA}"/>
    <cellStyle name="Comma 11 2 3 2 3 2 7" xfId="1840" xr:uid="{0E642660-89E9-41FB-A213-C4D3F4972F1F}"/>
    <cellStyle name="Comma 11 2 3 2 3 2 7 2" xfId="9337" xr:uid="{0394E7F5-1029-43CE-B34A-C6BB40579734}"/>
    <cellStyle name="Comma 11 2 3 2 3 2 7 2 2" xfId="24515" xr:uid="{80C44C41-DF7E-4FD7-A595-D4B5CBDA5697}"/>
    <cellStyle name="Comma 11 2 3 2 3 2 7 3" xfId="17055" xr:uid="{A5610329-967C-4524-9658-0B30560CD025}"/>
    <cellStyle name="Comma 11 2 3 2 3 2 8" xfId="8551" xr:uid="{DBDE1107-860B-4F42-A8F7-5619DBF025EC}"/>
    <cellStyle name="Comma 11 2 3 2 3 2 8 2" xfId="12724" xr:uid="{F834720F-B8BF-4164-8413-0F3143A52356}"/>
    <cellStyle name="Comma 11 2 3 2 3 2 8 2 2" xfId="27901" xr:uid="{93D808E3-88B4-4B1A-8B12-89BF90CB31CB}"/>
    <cellStyle name="Comma 11 2 3 2 3 2 8 3" xfId="23729" xr:uid="{FA373F2E-6741-46F2-A7C5-CB6AAB9DD625}"/>
    <cellStyle name="Comma 11 2 3 2 3 2 9" xfId="5163" xr:uid="{BB91212B-6D6B-4709-88CA-3789ED3AF12F}"/>
    <cellStyle name="Comma 11 2 3 2 3 2 9 2" xfId="20343" xr:uid="{91237A1B-4987-4812-B393-D2D264C126FB}"/>
    <cellStyle name="Comma 11 2 3 2 3 3" xfId="1042" xr:uid="{9607554F-FE10-4124-9458-79CF0639C424}"/>
    <cellStyle name="Comma 11 2 3 2 3 3 10" xfId="31587" xr:uid="{4D8BF845-9113-490E-8BBF-8A69D8F382C1}"/>
    <cellStyle name="Comma 11 2 3 2 3 3 2" xfId="1402" xr:uid="{FA21A2D6-2133-4942-A1BB-69C219636098}"/>
    <cellStyle name="Comma 11 2 3 2 3 3 2 2" xfId="3715" xr:uid="{CF33793C-8E69-460E-B09A-FEED633BF5B0}"/>
    <cellStyle name="Comma 11 2 3 2 3 3 2 2 2" xfId="11203" xr:uid="{FD036314-C3C1-469C-838B-CD17BB0ABAB4}"/>
    <cellStyle name="Comma 11 2 3 2 3 3 2 2 2 2" xfId="14749" xr:uid="{3150CA24-6A59-454C-A184-B7DC3DCE0384}"/>
    <cellStyle name="Comma 11 2 3 2 3 3 2 2 2 2 2" xfId="29926" xr:uid="{055DD732-9DFB-4F5C-B0AF-BD4A8CC154FF}"/>
    <cellStyle name="Comma 11 2 3 2 3 3 2 2 2 3" xfId="26381" xr:uid="{0EF8F262-82CC-45C4-B180-8954E14B60CA}"/>
    <cellStyle name="Comma 11 2 3 2 3 3 2 2 3" xfId="7029" xr:uid="{AF5AC09C-E103-4720-AE8B-F7A1F2F31C75}"/>
    <cellStyle name="Comma 11 2 3 2 3 3 2 2 3 2" xfId="22209" xr:uid="{BA013711-42D6-4D9C-96D8-A75C678D1C9F}"/>
    <cellStyle name="Comma 11 2 3 2 3 3 2 2 4" xfId="18921" xr:uid="{66D0FEF5-00F9-490F-BF5D-1B40228E15BA}"/>
    <cellStyle name="Comma 11 2 3 2 3 3 2 3" xfId="4139" xr:uid="{0278BE3A-790E-4639-AB19-2B5790E2ED93}"/>
    <cellStyle name="Comma 11 2 3 2 3 3 2 3 2" xfId="11624" xr:uid="{3D64C4E1-A6F2-40D6-9000-425DF875DA1F}"/>
    <cellStyle name="Comma 11 2 3 2 3 3 2 3 2 2" xfId="15170" xr:uid="{69B296A6-6E2D-4F00-98CC-D8579F824138}"/>
    <cellStyle name="Comma 11 2 3 2 3 3 2 3 2 2 2" xfId="30347" xr:uid="{889177C3-175D-4FA0-9E36-6B586F2EFECB}"/>
    <cellStyle name="Comma 11 2 3 2 3 3 2 3 2 3" xfId="26802" xr:uid="{12E1EE80-29EA-4CEB-8175-95CE5416C8F3}"/>
    <cellStyle name="Comma 11 2 3 2 3 3 2 3 3" xfId="7450" xr:uid="{27EDB966-4E21-401F-B5FD-BAF907913EE2}"/>
    <cellStyle name="Comma 11 2 3 2 3 3 2 3 3 2" xfId="22630" xr:uid="{1531DB2F-5BB8-4393-B213-79E8E52186D3}"/>
    <cellStyle name="Comma 11 2 3 2 3 3 2 3 4" xfId="19342" xr:uid="{72923CE7-6DE7-451F-827C-1F21D45000D6}"/>
    <cellStyle name="Comma 11 2 3 2 3 3 2 4" xfId="2828" xr:uid="{B62AFE83-F5C4-4CF8-B66D-A2D648FE9543}"/>
    <cellStyle name="Comma 11 2 3 2 3 3 2 4 2" xfId="10319" xr:uid="{9E4F40DC-52F3-4B90-ACBC-B1C3CC1FF3AB}"/>
    <cellStyle name="Comma 11 2 3 2 3 3 2 4 2 2" xfId="25497" xr:uid="{91379A19-13C9-4920-8E18-C805713C4C11}"/>
    <cellStyle name="Comma 11 2 3 2 3 3 2 4 3" xfId="18037" xr:uid="{CEDAFC39-D693-45F1-9F24-69669845AD42}"/>
    <cellStyle name="Comma 11 2 3 2 3 3 2 5" xfId="8921" xr:uid="{C43994EE-7D61-42C1-91B3-400A49BEE378}"/>
    <cellStyle name="Comma 11 2 3 2 3 3 2 5 2" xfId="13094" xr:uid="{439E3A90-123C-4E01-9216-D519D5F82B3B}"/>
    <cellStyle name="Comma 11 2 3 2 3 3 2 5 2 2" xfId="28271" xr:uid="{E27F8796-0A80-4532-B4AC-ED456C5D1CCA}"/>
    <cellStyle name="Comma 11 2 3 2 3 3 2 5 3" xfId="24099" xr:uid="{DB6F9456-5140-4AD0-89A0-A41C3B1B7DCC}"/>
    <cellStyle name="Comma 11 2 3 2 3 3 2 6" xfId="6145" xr:uid="{6A112BEB-A00B-48F4-97A4-359F199D5D5F}"/>
    <cellStyle name="Comma 11 2 3 2 3 3 2 6 2" xfId="21325" xr:uid="{1BB40778-9884-4EA0-BBE4-2DDCD9815CAB}"/>
    <cellStyle name="Comma 11 2 3 2 3 3 2 7" xfId="16639" xr:uid="{4A85B4C5-FFF9-48F2-A2AF-0EFCCB6689FA}"/>
    <cellStyle name="Comma 11 2 3 2 3 3 3" xfId="2555" xr:uid="{8AD20DB3-3CF7-43FA-8153-68B07F9F151B}"/>
    <cellStyle name="Comma 11 2 3 2 3 3 3 2" xfId="10047" xr:uid="{76F79F0F-2670-4D1F-A403-1C05DEB82125}"/>
    <cellStyle name="Comma 11 2 3 2 3 3 3 2 2" xfId="13706" xr:uid="{9494213A-2267-42BE-AD89-585F5C56B05B}"/>
    <cellStyle name="Comma 11 2 3 2 3 3 3 2 2 2" xfId="28883" xr:uid="{682932E3-6F2D-44C8-B394-D97D49779755}"/>
    <cellStyle name="Comma 11 2 3 2 3 3 3 2 3" xfId="25225" xr:uid="{54177169-FB6D-4CE5-8A04-4D8CBF84341C}"/>
    <cellStyle name="Comma 11 2 3 2 3 3 3 3" xfId="5873" xr:uid="{E6AFB67C-3EBD-42E1-826B-B3E774A1E7B3}"/>
    <cellStyle name="Comma 11 2 3 2 3 3 3 3 2" xfId="21053" xr:uid="{8BD0A8B0-170C-46DB-9D61-62579420A039}"/>
    <cellStyle name="Comma 11 2 3 2 3 3 3 4" xfId="17765" xr:uid="{61455987-6637-49EB-AE27-6F41699C549C}"/>
    <cellStyle name="Comma 11 2 3 2 3 3 4" xfId="3443" xr:uid="{85976D68-FEFE-4761-8BAE-E050C4BBE03D}"/>
    <cellStyle name="Comma 11 2 3 2 3 3 4 2" xfId="10931" xr:uid="{7CA2F9DF-ACCB-47EB-88CF-E8BF4A4B6ADE}"/>
    <cellStyle name="Comma 11 2 3 2 3 3 4 2 2" xfId="14477" xr:uid="{11043196-9E6B-4849-9C5F-A1FBE1A2BFF4}"/>
    <cellStyle name="Comma 11 2 3 2 3 3 4 2 2 2" xfId="29654" xr:uid="{20ABF552-7EAC-4C6C-86FA-BD455BF51794}"/>
    <cellStyle name="Comma 11 2 3 2 3 3 4 2 3" xfId="26109" xr:uid="{6BFEB6E9-9B4B-491F-92B4-78D0270FE282}"/>
    <cellStyle name="Comma 11 2 3 2 3 3 4 3" xfId="6757" xr:uid="{75FA4BFC-9DA4-4236-9E38-76166700DE1B}"/>
    <cellStyle name="Comma 11 2 3 2 3 3 4 3 2" xfId="21937" xr:uid="{7DA306E0-D82D-43AE-AF14-CFA0BBB75A7F}"/>
    <cellStyle name="Comma 11 2 3 2 3 3 4 4" xfId="18649" xr:uid="{E4A19ADA-DF13-43D1-B3B4-6B757028D1D6}"/>
    <cellStyle name="Comma 11 2 3 2 3 3 5" xfId="4140" xr:uid="{02D57D5B-3B41-4218-B69B-430FB9AC60F1}"/>
    <cellStyle name="Comma 11 2 3 2 3 3 5 2" xfId="11625" xr:uid="{36018FD6-B09B-4618-BE86-7912366D9E5E}"/>
    <cellStyle name="Comma 11 2 3 2 3 3 5 2 2" xfId="15171" xr:uid="{64F74402-1650-4D12-9150-39A18F3B4E93}"/>
    <cellStyle name="Comma 11 2 3 2 3 3 5 2 2 2" xfId="30348" xr:uid="{F3078F0B-A974-40E3-9A9C-59446C26DABF}"/>
    <cellStyle name="Comma 11 2 3 2 3 3 5 2 3" xfId="26803" xr:uid="{942629B1-3DD2-4A4A-A114-A91CE0993D5B}"/>
    <cellStyle name="Comma 11 2 3 2 3 3 5 3" xfId="7451" xr:uid="{0CE1BD16-829F-48FA-8D51-24907A24067B}"/>
    <cellStyle name="Comma 11 2 3 2 3 3 5 3 2" xfId="22631" xr:uid="{332C12EC-650D-4662-BA8A-A717EA69C2AA}"/>
    <cellStyle name="Comma 11 2 3 2 3 3 5 4" xfId="19343" xr:uid="{04E3B329-DED5-45C3-AE1E-8179777CCF1E}"/>
    <cellStyle name="Comma 11 2 3 2 3 3 6" xfId="1938" xr:uid="{B904F6A2-AFCB-4934-9E9F-AB81C6B32329}"/>
    <cellStyle name="Comma 11 2 3 2 3 3 6 2" xfId="9435" xr:uid="{0EBAD02E-4A3D-4B40-8A1B-5B4ABD8E318A}"/>
    <cellStyle name="Comma 11 2 3 2 3 3 6 2 2" xfId="24613" xr:uid="{456E51F1-0F6F-42C2-9904-9DDFE19E1A04}"/>
    <cellStyle name="Comma 11 2 3 2 3 3 6 3" xfId="17153" xr:uid="{1759C658-1A7D-42E9-8C16-9C1865FF2007}"/>
    <cellStyle name="Comma 11 2 3 2 3 3 7" xfId="8649" xr:uid="{E18D3CF4-EC06-49EF-AEEA-3ED8A09CF3B5}"/>
    <cellStyle name="Comma 11 2 3 2 3 3 7 2" xfId="12822" xr:uid="{AB82CEC3-3138-45D7-804A-C31D26815367}"/>
    <cellStyle name="Comma 11 2 3 2 3 3 7 2 2" xfId="27999" xr:uid="{F2EEA9A1-37E3-47B4-967D-79595D537381}"/>
    <cellStyle name="Comma 11 2 3 2 3 3 7 3" xfId="23827" xr:uid="{530E7308-0A8E-4B00-A377-692B3B290A77}"/>
    <cellStyle name="Comma 11 2 3 2 3 3 8" xfId="5261" xr:uid="{F2143388-8A88-4CBF-AC87-80E4C631277C}"/>
    <cellStyle name="Comma 11 2 3 2 3 3 8 2" xfId="20441" xr:uid="{227FA2C3-43E6-4DF2-ACD1-4B2D77CBDC8F}"/>
    <cellStyle name="Comma 11 2 3 2 3 3 9" xfId="16367" xr:uid="{E99961BF-A05E-4DEF-BA47-31D4BF9A16F8}"/>
    <cellStyle name="Comma 11 2 3 2 3 4" xfId="1501" xr:uid="{C76A4BBA-BD5D-4FF8-A4FA-FB97AD737EC0}"/>
    <cellStyle name="Comma 11 2 3 2 3 4 2" xfId="2926" xr:uid="{7EAD39A0-4EBC-4FA0-A1AE-FF8E3B67C845}"/>
    <cellStyle name="Comma 11 2 3 2 3 4 2 2" xfId="10417" xr:uid="{428E5749-BC9C-4FAC-90C3-830EDC7B96BB}"/>
    <cellStyle name="Comma 11 2 3 2 3 4 2 2 2" xfId="13963" xr:uid="{3FAE9DB6-584E-4ADB-AFC7-A3B371FB3657}"/>
    <cellStyle name="Comma 11 2 3 2 3 4 2 2 2 2" xfId="29140" xr:uid="{76493E0B-8A8F-44E9-B383-DF4C8A83DE9E}"/>
    <cellStyle name="Comma 11 2 3 2 3 4 2 2 3" xfId="25595" xr:uid="{E3CEA2BF-38BA-4B60-8AD6-25E0BC6C20F5}"/>
    <cellStyle name="Comma 11 2 3 2 3 4 2 3" xfId="6243" xr:uid="{444D8CD1-EB4D-4D43-AA1B-8C8F02461B6D}"/>
    <cellStyle name="Comma 11 2 3 2 3 4 2 3 2" xfId="21423" xr:uid="{7A346896-22B3-46D3-952A-EF6944A605CC}"/>
    <cellStyle name="Comma 11 2 3 2 3 4 2 4" xfId="18135" xr:uid="{1302B9AD-EBCA-469C-A4FE-7332FCFE2FA9}"/>
    <cellStyle name="Comma 11 2 3 2 3 4 3" xfId="3813" xr:uid="{EB315605-8906-4625-92AE-2317952A18EC}"/>
    <cellStyle name="Comma 11 2 3 2 3 4 3 2" xfId="11301" xr:uid="{4A49A236-CA76-4E10-AEBA-3D54185A1C83}"/>
    <cellStyle name="Comma 11 2 3 2 3 4 3 2 2" xfId="14847" xr:uid="{1EB0500E-0515-4ABC-A220-D82240FD0231}"/>
    <cellStyle name="Comma 11 2 3 2 3 4 3 2 2 2" xfId="30024" xr:uid="{4564B091-0E8B-4BCE-9A70-F89E30EB39A6}"/>
    <cellStyle name="Comma 11 2 3 2 3 4 3 2 3" xfId="26479" xr:uid="{03E43BD3-09A3-4C2F-BB0A-89F5CD42FAAF}"/>
    <cellStyle name="Comma 11 2 3 2 3 4 3 3" xfId="7127" xr:uid="{355C1088-B086-483D-BEE4-79E0AFEFC3ED}"/>
    <cellStyle name="Comma 11 2 3 2 3 4 3 3 2" xfId="22307" xr:uid="{6AB8E148-E20A-4324-AC0A-35F2DB6B703C}"/>
    <cellStyle name="Comma 11 2 3 2 3 4 3 4" xfId="19019" xr:uid="{125A133D-C7FF-4639-9C0B-8730EF30FB2D}"/>
    <cellStyle name="Comma 11 2 3 2 3 4 4" xfId="4141" xr:uid="{86136C6B-786D-49C6-8151-48B502AC9DEC}"/>
    <cellStyle name="Comma 11 2 3 2 3 4 4 2" xfId="11626" xr:uid="{8FDDEE4F-B536-4A5D-AADC-8D42DDBB1CA4}"/>
    <cellStyle name="Comma 11 2 3 2 3 4 4 2 2" xfId="15172" xr:uid="{31D03439-E317-42F0-B2B9-19493947CDE9}"/>
    <cellStyle name="Comma 11 2 3 2 3 4 4 2 2 2" xfId="30349" xr:uid="{31CC9514-D923-4B4D-9F81-687C5F42BE1C}"/>
    <cellStyle name="Comma 11 2 3 2 3 4 4 2 3" xfId="26804" xr:uid="{6490241F-C277-4F26-A459-D711E4CC1B04}"/>
    <cellStyle name="Comma 11 2 3 2 3 4 4 3" xfId="7452" xr:uid="{B2CD4D9D-C51F-43AB-9493-D84878208641}"/>
    <cellStyle name="Comma 11 2 3 2 3 4 4 3 2" xfId="22632" xr:uid="{8A62A40B-F5C5-4574-AB01-754CC6FE8AA4}"/>
    <cellStyle name="Comma 11 2 3 2 3 4 4 4" xfId="19344" xr:uid="{25D8FD90-2985-435D-AD0B-E063AF361B6C}"/>
    <cellStyle name="Comma 11 2 3 2 3 4 5" xfId="2036" xr:uid="{498BD3BD-5554-4C50-B30E-B042AE082D64}"/>
    <cellStyle name="Comma 11 2 3 2 3 4 5 2" xfId="9533" xr:uid="{0BEB476A-627D-406A-96F0-CE179B1FA01D}"/>
    <cellStyle name="Comma 11 2 3 2 3 4 5 2 2" xfId="24711" xr:uid="{A5B2BBEA-3370-4FE0-B650-4089CCB076CB}"/>
    <cellStyle name="Comma 11 2 3 2 3 4 5 3" xfId="17251" xr:uid="{CF1A4B35-9FFA-4598-A384-605D1E14F94B}"/>
    <cellStyle name="Comma 11 2 3 2 3 4 6" xfId="9019" xr:uid="{DF9A6F6A-00C4-4846-A8E4-7867FBD91C4F}"/>
    <cellStyle name="Comma 11 2 3 2 3 4 6 2" xfId="13192" xr:uid="{B0AEF4E5-B7D6-4841-9789-08FE9405D3A6}"/>
    <cellStyle name="Comma 11 2 3 2 3 4 6 2 2" xfId="28369" xr:uid="{6ED5457B-3C8B-4D90-9B9B-E4803CB249E9}"/>
    <cellStyle name="Comma 11 2 3 2 3 4 6 3" xfId="24197" xr:uid="{755C4CD4-8FAC-4126-8B26-2FEA17EF4230}"/>
    <cellStyle name="Comma 11 2 3 2 3 4 7" xfId="5359" xr:uid="{9DB3092C-03F5-4156-B10D-B17552B33237}"/>
    <cellStyle name="Comma 11 2 3 2 3 4 7 2" xfId="20539" xr:uid="{80CA5800-B85A-4DB9-8A13-2D084C91626D}"/>
    <cellStyle name="Comma 11 2 3 2 3 4 8" xfId="16737" xr:uid="{9299CCA9-D7B2-453F-915A-B0A88FB5F56C}"/>
    <cellStyle name="Comma 11 2 3 2 3 5" xfId="1604" xr:uid="{76DDDA16-3F03-4EDB-A9F1-09002D08DBDE}"/>
    <cellStyle name="Comma 11 2 3 2 3 5 2" xfId="3024" xr:uid="{3F0BA9D3-1579-4490-A773-E380F9D857B2}"/>
    <cellStyle name="Comma 11 2 3 2 3 5 2 2" xfId="10515" xr:uid="{1767E8FE-189B-4764-8516-0FB9D0B0C0D4}"/>
    <cellStyle name="Comma 11 2 3 2 3 5 2 2 2" xfId="14061" xr:uid="{E7620A03-7097-4546-8A61-1D23DF8EB182}"/>
    <cellStyle name="Comma 11 2 3 2 3 5 2 2 2 2" xfId="29238" xr:uid="{D4B52502-0BE4-4D3B-A0FF-EC31880EB60F}"/>
    <cellStyle name="Comma 11 2 3 2 3 5 2 2 3" xfId="25693" xr:uid="{59C0C10F-4A07-466D-AF25-D45030969D08}"/>
    <cellStyle name="Comma 11 2 3 2 3 5 2 3" xfId="6341" xr:uid="{7974C71C-795B-4C79-B31B-87B6DA73B4F0}"/>
    <cellStyle name="Comma 11 2 3 2 3 5 2 3 2" xfId="21521" xr:uid="{0E3BE3B4-CCD1-421E-AFC4-80C5B2F6D252}"/>
    <cellStyle name="Comma 11 2 3 2 3 5 2 4" xfId="18233" xr:uid="{E11F9914-B28C-4905-8C5E-BF4B7DBAC39C}"/>
    <cellStyle name="Comma 11 2 3 2 3 5 3" xfId="3911" xr:uid="{C3B4376F-DFEA-4AE3-8536-5FD201784D62}"/>
    <cellStyle name="Comma 11 2 3 2 3 5 3 2" xfId="11399" xr:uid="{3CF6767A-DBDA-425C-8FF5-1BCEF8A0A459}"/>
    <cellStyle name="Comma 11 2 3 2 3 5 3 2 2" xfId="14945" xr:uid="{313D574B-6E7C-4122-90D9-B388A438FCA0}"/>
    <cellStyle name="Comma 11 2 3 2 3 5 3 2 2 2" xfId="30122" xr:uid="{7FF77127-9FE8-4494-8985-3FFD6A1ECB09}"/>
    <cellStyle name="Comma 11 2 3 2 3 5 3 2 3" xfId="26577" xr:uid="{78951081-A511-4F34-AF46-A4D3A19B01CE}"/>
    <cellStyle name="Comma 11 2 3 2 3 5 3 3" xfId="7225" xr:uid="{79956BF1-0F42-41A6-B5F9-F529A52A9BF9}"/>
    <cellStyle name="Comma 11 2 3 2 3 5 3 3 2" xfId="22405" xr:uid="{0A095455-5D32-4AA8-B392-3DF20115D1E4}"/>
    <cellStyle name="Comma 11 2 3 2 3 5 3 4" xfId="19117" xr:uid="{F13265BE-175D-4378-95F8-BBBB737C75E3}"/>
    <cellStyle name="Comma 11 2 3 2 3 5 4" xfId="4142" xr:uid="{E72C8338-FE55-4A70-AC31-8171809E3DD2}"/>
    <cellStyle name="Comma 11 2 3 2 3 5 4 2" xfId="11627" xr:uid="{ACFBB64D-B1A6-4D72-A36A-D975D39ED0AD}"/>
    <cellStyle name="Comma 11 2 3 2 3 5 4 2 2" xfId="15173" xr:uid="{741F909F-5E81-4C24-8512-521E6722BCBC}"/>
    <cellStyle name="Comma 11 2 3 2 3 5 4 2 2 2" xfId="30350" xr:uid="{1BFE3DB3-381D-43EA-B8ED-DDFB7196430D}"/>
    <cellStyle name="Comma 11 2 3 2 3 5 4 2 3" xfId="26805" xr:uid="{03B4FE98-5EC4-4532-BA5A-130D3ED8122E}"/>
    <cellStyle name="Comma 11 2 3 2 3 5 4 3" xfId="7453" xr:uid="{EC7F8D1E-2400-4DEC-B390-E1E88272A3C3}"/>
    <cellStyle name="Comma 11 2 3 2 3 5 4 3 2" xfId="22633" xr:uid="{E488DBE0-AACE-4F6D-AD77-F78191DF91D2}"/>
    <cellStyle name="Comma 11 2 3 2 3 5 4 4" xfId="19345" xr:uid="{99913230-6D9E-4292-9467-EF0A23379417}"/>
    <cellStyle name="Comma 11 2 3 2 3 5 5" xfId="2134" xr:uid="{18E5C664-1D43-4594-8B27-A0834678E1AC}"/>
    <cellStyle name="Comma 11 2 3 2 3 5 5 2" xfId="9631" xr:uid="{38952A7D-5DF6-44C2-A701-532FCF841FC4}"/>
    <cellStyle name="Comma 11 2 3 2 3 5 5 2 2" xfId="24809" xr:uid="{9D343086-B0E6-4195-9546-CD7F4122D7BF}"/>
    <cellStyle name="Comma 11 2 3 2 3 5 5 3" xfId="17349" xr:uid="{6F0AEBAE-60DC-459E-BD11-9EFFE89135E9}"/>
    <cellStyle name="Comma 11 2 3 2 3 5 6" xfId="9117" xr:uid="{F4D92702-3217-4A9E-86A3-CC5CC20554A7}"/>
    <cellStyle name="Comma 11 2 3 2 3 5 6 2" xfId="13290" xr:uid="{E80FACEF-E111-4971-8ACD-FD94F92A4206}"/>
    <cellStyle name="Comma 11 2 3 2 3 5 6 2 2" xfId="28467" xr:uid="{D5E2FBA4-3D74-4149-85F2-4DEC63A94B0B}"/>
    <cellStyle name="Comma 11 2 3 2 3 5 6 3" xfId="24295" xr:uid="{8B425CFB-BB07-4ECE-8B18-42405F74E530}"/>
    <cellStyle name="Comma 11 2 3 2 3 5 7" xfId="5457" xr:uid="{7AF934E9-52C2-4D64-ACC9-FBA9A0B332F0}"/>
    <cellStyle name="Comma 11 2 3 2 3 5 7 2" xfId="20637" xr:uid="{F6E4A399-0C25-4768-A56B-06F8AB0DD332}"/>
    <cellStyle name="Comma 11 2 3 2 3 5 8" xfId="16835" xr:uid="{D5BE7DEF-6BE5-4A1C-8C64-85DC7B3B8874}"/>
    <cellStyle name="Comma 11 2 3 2 3 6" xfId="1703" xr:uid="{D869FCFB-CAE5-46F0-81A8-60BD12A9F1C1}"/>
    <cellStyle name="Comma 11 2 3 2 3 6 2" xfId="3122" xr:uid="{39A9C6D3-8E8C-47D0-A174-2E890452546D}"/>
    <cellStyle name="Comma 11 2 3 2 3 6 2 2" xfId="10613" xr:uid="{53AEAA68-3DA2-4F08-BABB-8941B81B4129}"/>
    <cellStyle name="Comma 11 2 3 2 3 6 2 2 2" xfId="14159" xr:uid="{8BB61DEF-1566-4E50-AA83-E816438E9886}"/>
    <cellStyle name="Comma 11 2 3 2 3 6 2 2 2 2" xfId="29336" xr:uid="{DBC4691B-990A-4F12-98DC-5C02B4BF0101}"/>
    <cellStyle name="Comma 11 2 3 2 3 6 2 2 3" xfId="25791" xr:uid="{4C44765E-39E0-41F4-A08D-41B28C415446}"/>
    <cellStyle name="Comma 11 2 3 2 3 6 2 3" xfId="6439" xr:uid="{26C52DFC-45A0-4E3C-93E7-E69085CBE931}"/>
    <cellStyle name="Comma 11 2 3 2 3 6 2 3 2" xfId="21619" xr:uid="{F403A3B5-7D70-45D4-B425-30C83455747F}"/>
    <cellStyle name="Comma 11 2 3 2 3 6 2 4" xfId="18331" xr:uid="{24627BDD-2C5F-4FDE-9C6E-E641DED2AE28}"/>
    <cellStyle name="Comma 11 2 3 2 3 6 3" xfId="4009" xr:uid="{7EB4FEF9-BFCC-4457-9648-527890126FAA}"/>
    <cellStyle name="Comma 11 2 3 2 3 6 3 2" xfId="11497" xr:uid="{167EE692-E569-4065-AE7C-9501089FFDF6}"/>
    <cellStyle name="Comma 11 2 3 2 3 6 3 2 2" xfId="15043" xr:uid="{9C4BEB25-7EE1-467E-9F52-584CA765362A}"/>
    <cellStyle name="Comma 11 2 3 2 3 6 3 2 2 2" xfId="30220" xr:uid="{1466A325-6D61-429D-A703-33745C27CC23}"/>
    <cellStyle name="Comma 11 2 3 2 3 6 3 2 3" xfId="26675" xr:uid="{DC8077A5-8B58-41F4-A570-6AA725DEA000}"/>
    <cellStyle name="Comma 11 2 3 2 3 6 3 3" xfId="7323" xr:uid="{F3646936-25D9-4D37-A7AA-23D666992E54}"/>
    <cellStyle name="Comma 11 2 3 2 3 6 3 3 2" xfId="22503" xr:uid="{CAFF242A-4CB5-4E24-AC9A-6673472C4F5D}"/>
    <cellStyle name="Comma 11 2 3 2 3 6 3 4" xfId="19215" xr:uid="{4158E036-4A38-4114-9C32-83322654E7BB}"/>
    <cellStyle name="Comma 11 2 3 2 3 6 4" xfId="4143" xr:uid="{A41D0704-FF91-4347-8B4E-72C9C0DFA810}"/>
    <cellStyle name="Comma 11 2 3 2 3 6 4 2" xfId="11628" xr:uid="{1C57F15C-8DFF-48F8-B186-B3F26727E389}"/>
    <cellStyle name="Comma 11 2 3 2 3 6 4 2 2" xfId="15174" xr:uid="{1D2A55D8-03C6-483B-8149-051EF4710328}"/>
    <cellStyle name="Comma 11 2 3 2 3 6 4 2 2 2" xfId="30351" xr:uid="{5DF1F999-F8AF-479B-98ED-168C836A4370}"/>
    <cellStyle name="Comma 11 2 3 2 3 6 4 2 3" xfId="26806" xr:uid="{394E50EF-A1CE-47C8-88AF-2B59B336E515}"/>
    <cellStyle name="Comma 11 2 3 2 3 6 4 3" xfId="7454" xr:uid="{557C1669-3E00-43AE-B83F-63709A0A0C6D}"/>
    <cellStyle name="Comma 11 2 3 2 3 6 4 3 2" xfId="22634" xr:uid="{8C8B3123-7368-4851-B2DB-1A9F87591124}"/>
    <cellStyle name="Comma 11 2 3 2 3 6 4 4" xfId="19346" xr:uid="{DADC2688-5AC4-4F87-A4FB-91015B15C27E}"/>
    <cellStyle name="Comma 11 2 3 2 3 6 5" xfId="2232" xr:uid="{95DA23D6-66F3-40FA-861C-21598E2B2655}"/>
    <cellStyle name="Comma 11 2 3 2 3 6 5 2" xfId="9729" xr:uid="{29A6217F-A56B-44EC-BA9D-66FC917B6EF3}"/>
    <cellStyle name="Comma 11 2 3 2 3 6 5 2 2" xfId="24907" xr:uid="{888F06DD-BAB6-4FE4-8322-CC7F68997D16}"/>
    <cellStyle name="Comma 11 2 3 2 3 6 5 3" xfId="17447" xr:uid="{A7EA1801-E188-40E6-9F77-EC3DA340FB57}"/>
    <cellStyle name="Comma 11 2 3 2 3 6 6" xfId="9215" xr:uid="{2A97A253-3E3D-438B-A0F6-89F47CE478A4}"/>
    <cellStyle name="Comma 11 2 3 2 3 6 6 2" xfId="13388" xr:uid="{42B95D41-43E7-4D26-84F3-D7991F13FE8E}"/>
    <cellStyle name="Comma 11 2 3 2 3 6 6 2 2" xfId="28565" xr:uid="{6E01FC59-F62E-4331-82F0-7A6B3587A9F9}"/>
    <cellStyle name="Comma 11 2 3 2 3 6 6 3" xfId="24393" xr:uid="{930DBB10-BFB1-4BA3-B856-342644ADA1B8}"/>
    <cellStyle name="Comma 11 2 3 2 3 6 7" xfId="5555" xr:uid="{6D660E6C-BD8B-477B-B532-8A6E57FC3A0C}"/>
    <cellStyle name="Comma 11 2 3 2 3 6 7 2" xfId="20735" xr:uid="{FBE5CDB0-DF5E-4BEA-BDCD-1C1C9675E2BD}"/>
    <cellStyle name="Comma 11 2 3 2 3 6 8" xfId="16933" xr:uid="{700496CD-382A-4B07-9D95-16ACBCD1462D}"/>
    <cellStyle name="Comma 11 2 3 2 3 7" xfId="2332" xr:uid="{599C6BA8-B8D2-40AF-8D8E-69BCCD6E88F7}"/>
    <cellStyle name="Comma 11 2 3 2 3 7 2" xfId="9827" xr:uid="{9C77B998-68CB-4AE6-989F-759A02D9F4DF}"/>
    <cellStyle name="Comma 11 2 3 2 3 7 2 2" xfId="13486" xr:uid="{78D3FF5D-B166-4B7A-B8D0-F23B41C42F40}"/>
    <cellStyle name="Comma 11 2 3 2 3 7 2 2 2" xfId="28663" xr:uid="{F84FAAC0-5521-46CC-AF4D-C35603BC7813}"/>
    <cellStyle name="Comma 11 2 3 2 3 7 2 3" xfId="25005" xr:uid="{8E0CFEF8-3C58-4017-B0AE-E4FB8815609D}"/>
    <cellStyle name="Comma 11 2 3 2 3 7 3" xfId="5653" xr:uid="{A3E97F5C-72A2-40D7-B1D2-442415662461}"/>
    <cellStyle name="Comma 11 2 3 2 3 7 3 2" xfId="20833" xr:uid="{02125DB6-F4AB-48A5-BF46-51961E5F8F53}"/>
    <cellStyle name="Comma 11 2 3 2 3 7 4" xfId="17545" xr:uid="{EBC668BC-AD5D-4DF1-983A-79E26D556D90}"/>
    <cellStyle name="Comma 11 2 3 2 3 8" xfId="3222" xr:uid="{3C42EF69-5FA1-4B32-A0E5-C681E522881A}"/>
    <cellStyle name="Comma 11 2 3 2 3 8 2" xfId="10711" xr:uid="{50005012-0D9A-4985-A156-5320018E6ADF}"/>
    <cellStyle name="Comma 11 2 3 2 3 8 2 2" xfId="14257" xr:uid="{167EC119-3FC3-42DD-90AB-C665D30A13C3}"/>
    <cellStyle name="Comma 11 2 3 2 3 8 2 2 2" xfId="29434" xr:uid="{FBEAA11F-894E-453F-81E3-B06CF6137620}"/>
    <cellStyle name="Comma 11 2 3 2 3 8 2 3" xfId="25889" xr:uid="{AB50CBCD-7B29-49B1-A8AD-7104F578CDD8}"/>
    <cellStyle name="Comma 11 2 3 2 3 8 3" xfId="6537" xr:uid="{D3D8B3A2-804C-49B9-93AC-5DC681732D87}"/>
    <cellStyle name="Comma 11 2 3 2 3 8 3 2" xfId="21717" xr:uid="{F054D529-C558-4A1A-B981-473BB3191CA5}"/>
    <cellStyle name="Comma 11 2 3 2 3 8 4" xfId="18429" xr:uid="{BEF74BAB-0A7E-433A-A2C5-54E209FDB20C}"/>
    <cellStyle name="Comma 11 2 3 2 3 9" xfId="4144" xr:uid="{8A56CB2D-B958-4941-B2E8-53B0BE88EACE}"/>
    <cellStyle name="Comma 11 2 3 2 3 9 2" xfId="11629" xr:uid="{DB02346C-3933-4329-9C3C-966DB0D08607}"/>
    <cellStyle name="Comma 11 2 3 2 3 9 2 2" xfId="15175" xr:uid="{0497F503-9B9A-4472-AE21-B6B501B4E7BF}"/>
    <cellStyle name="Comma 11 2 3 2 3 9 2 2 2" xfId="30352" xr:uid="{9F79EF36-7442-4713-9FFF-71C8682FB0E6}"/>
    <cellStyle name="Comma 11 2 3 2 3 9 2 3" xfId="26807" xr:uid="{B1DBDDFF-16A6-4674-A444-70EAAE2888CE}"/>
    <cellStyle name="Comma 11 2 3 2 3 9 3" xfId="7455" xr:uid="{241CB487-6C91-4AA3-991A-EAC2790599C8}"/>
    <cellStyle name="Comma 11 2 3 2 3 9 3 2" xfId="22635" xr:uid="{68372022-3A19-4311-84B0-0451A9BB800B}"/>
    <cellStyle name="Comma 11 2 3 2 3 9 4" xfId="19347" xr:uid="{1AC1822C-91AD-4937-B716-B390734DEE10}"/>
    <cellStyle name="Comma 11 2 3 2 4" xfId="890" xr:uid="{73D0D167-85ED-416A-BCA6-7C5E18B9F1CA}"/>
    <cellStyle name="Comma 11 2 3 2 4 2" xfId="2408" xr:uid="{DA18954F-7473-4D16-B93E-F307F5913EAB}"/>
    <cellStyle name="Comma 11 2 3 2 4 2 2" xfId="9900" xr:uid="{C8B2119F-7D18-42AF-91C9-A03CE488E2F9}"/>
    <cellStyle name="Comma 11 2 3 2 4 2 2 2" xfId="13559" xr:uid="{10AA93F0-5F50-472C-8194-4E1604451291}"/>
    <cellStyle name="Comma 11 2 3 2 4 2 2 2 2" xfId="28736" xr:uid="{85592339-10AD-4328-9D20-727F92781737}"/>
    <cellStyle name="Comma 11 2 3 2 4 2 2 3" xfId="25078" xr:uid="{9BA1E55F-EC1A-439C-9E3F-8798DAEED599}"/>
    <cellStyle name="Comma 11 2 3 2 4 2 3" xfId="5726" xr:uid="{CA1910D3-85E4-4BC9-A281-5FD28A7B4277}"/>
    <cellStyle name="Comma 11 2 3 2 4 2 3 2" xfId="20906" xr:uid="{8DBF2351-AB1F-46E6-8FC9-EBA31A4E55E2}"/>
    <cellStyle name="Comma 11 2 3 2 4 2 4" xfId="17618" xr:uid="{FF967BE0-30E6-409C-8918-381CB9413E1C}"/>
    <cellStyle name="Comma 11 2 3 2 4 3" xfId="3296" xr:uid="{A57A2825-C293-4B40-B7B4-D978AAED9DDC}"/>
    <cellStyle name="Comma 11 2 3 2 4 3 2" xfId="10784" xr:uid="{3B3380FF-36CF-44D5-AA0E-B27E0283AA42}"/>
    <cellStyle name="Comma 11 2 3 2 4 3 2 2" xfId="14330" xr:uid="{8E43D209-DAB9-4555-80DD-141D8C5E881E}"/>
    <cellStyle name="Comma 11 2 3 2 4 3 2 2 2" xfId="29507" xr:uid="{9D54B5A1-09EA-4163-815D-90C1D73268BB}"/>
    <cellStyle name="Comma 11 2 3 2 4 3 2 3" xfId="25962" xr:uid="{9AA7D4AB-C839-46D7-8AC9-6FE41A972202}"/>
    <cellStyle name="Comma 11 2 3 2 4 3 3" xfId="6610" xr:uid="{241A6650-03F6-4D59-A246-FA4F05FF1AE1}"/>
    <cellStyle name="Comma 11 2 3 2 4 3 3 2" xfId="21790" xr:uid="{712CF2A5-DDD9-4278-BA7E-36ABBBD3DF1C}"/>
    <cellStyle name="Comma 11 2 3 2 4 3 4" xfId="18502" xr:uid="{B33A6176-C1A3-468A-8C7D-8FFFFAE48065}"/>
    <cellStyle name="Comma 11 2 3 2 4 4" xfId="4145" xr:uid="{211EC21F-2927-4CC8-9BFB-6FA65E53FC92}"/>
    <cellStyle name="Comma 11 2 3 2 4 4 2" xfId="11630" xr:uid="{071AD1FD-C539-40ED-BBBD-704A1A71B210}"/>
    <cellStyle name="Comma 11 2 3 2 4 4 2 2" xfId="15176" xr:uid="{18818181-FE10-4A42-8510-9EFAB4B6ACE9}"/>
    <cellStyle name="Comma 11 2 3 2 4 4 2 2 2" xfId="30353" xr:uid="{59C427F8-2F9C-4C13-A4EE-B8CED6897EF9}"/>
    <cellStyle name="Comma 11 2 3 2 4 4 2 3" xfId="26808" xr:uid="{D74F7955-60E0-45DB-AC29-85EB474D68DB}"/>
    <cellStyle name="Comma 11 2 3 2 4 4 3" xfId="7456" xr:uid="{724CC692-4DC4-45E1-B366-F372DF2E1382}"/>
    <cellStyle name="Comma 11 2 3 2 4 4 3 2" xfId="22636" xr:uid="{CDCC63AA-C634-49D7-BBFE-92050F2EC561}"/>
    <cellStyle name="Comma 11 2 3 2 4 4 4" xfId="19348" xr:uid="{BC5A28F6-EDBB-43BC-ABEC-B7AC0A4FAE8A}"/>
    <cellStyle name="Comma 11 2 3 2 4 5" xfId="8502" xr:uid="{2287DA42-9B8E-4369-9284-C6342051248B}"/>
    <cellStyle name="Comma 11 2 3 2 4 5 2" xfId="12675" xr:uid="{BED50BD9-EA5C-44A1-A9BC-97AA93F98B19}"/>
    <cellStyle name="Comma 11 2 3 2 4 5 2 2" xfId="27852" xr:uid="{77EEF372-AB14-4DF6-920F-48912BFF3321}"/>
    <cellStyle name="Comma 11 2 3 2 4 5 3" xfId="23680" xr:uid="{FF922FD7-317D-4341-86C8-862CA811D7D6}"/>
    <cellStyle name="Comma 11 2 3 2 4 6" xfId="16220" xr:uid="{B7C3A917-C2A8-45C9-B8AF-E0FF517E7857}"/>
    <cellStyle name="Comma 11 2 3 2 4 7" xfId="31660" xr:uid="{CAC4E8A2-EEB6-40D8-A715-CED4FFFFDBD5}"/>
    <cellStyle name="Comma 11 2 3 2 5" xfId="993" xr:uid="{010011AB-F10E-4AF3-8C30-3C8FAED9DA27}"/>
    <cellStyle name="Comma 11 2 3 2 5 2" xfId="2506" xr:uid="{71E3A933-0DB8-4F2F-8476-FD65C847E3C1}"/>
    <cellStyle name="Comma 11 2 3 2 5 2 2" xfId="9998" xr:uid="{FC02ED8D-A492-453A-A83B-EEF100F6E2A5}"/>
    <cellStyle name="Comma 11 2 3 2 5 2 2 2" xfId="13657" xr:uid="{86507BAC-CF85-4F16-B2DB-FF7A5B8346D9}"/>
    <cellStyle name="Comma 11 2 3 2 5 2 2 2 2" xfId="28834" xr:uid="{5D007094-0832-43AC-800C-4A5648F5E29F}"/>
    <cellStyle name="Comma 11 2 3 2 5 2 2 3" xfId="25176" xr:uid="{D600BF6C-F028-4FE5-A11B-02C703C14CA7}"/>
    <cellStyle name="Comma 11 2 3 2 5 2 3" xfId="5824" xr:uid="{6FE07779-C463-41E2-B852-50269B90772F}"/>
    <cellStyle name="Comma 11 2 3 2 5 2 3 2" xfId="21004" xr:uid="{2C038169-FA7F-4246-89CB-36BCE52C5C9A}"/>
    <cellStyle name="Comma 11 2 3 2 5 2 4" xfId="17716" xr:uid="{0EDFA7E8-1A3D-4FA5-A704-E411FFD6F41F}"/>
    <cellStyle name="Comma 11 2 3 2 5 3" xfId="3394" xr:uid="{BF08B2F2-6AF4-4461-9F1F-771A0368338B}"/>
    <cellStyle name="Comma 11 2 3 2 5 3 2" xfId="10882" xr:uid="{4D33811B-B784-42A5-97CF-BA96374E6679}"/>
    <cellStyle name="Comma 11 2 3 2 5 3 2 2" xfId="14428" xr:uid="{B2CF861E-2B11-4582-B1A8-790DB69AC385}"/>
    <cellStyle name="Comma 11 2 3 2 5 3 2 2 2" xfId="29605" xr:uid="{532611BE-F418-40E5-927B-B7BC4F7D8297}"/>
    <cellStyle name="Comma 11 2 3 2 5 3 2 3" xfId="26060" xr:uid="{D001F611-2203-4499-9B12-0841BBEEE66B}"/>
    <cellStyle name="Comma 11 2 3 2 5 3 3" xfId="6708" xr:uid="{8F8C0807-BEDA-43B3-A79A-D66415439215}"/>
    <cellStyle name="Comma 11 2 3 2 5 3 3 2" xfId="21888" xr:uid="{B2A4E35D-6BE7-465C-AA91-75B10FE645A2}"/>
    <cellStyle name="Comma 11 2 3 2 5 3 4" xfId="18600" xr:uid="{8B118AFA-9460-4A54-9D8E-AF624C512206}"/>
    <cellStyle name="Comma 11 2 3 2 5 4" xfId="4146" xr:uid="{237A048D-517F-4BA8-838F-E2568D6B57F5}"/>
    <cellStyle name="Comma 11 2 3 2 5 4 2" xfId="11631" xr:uid="{A2F71AC3-2D69-43A3-AED5-611B26F4A5D2}"/>
    <cellStyle name="Comma 11 2 3 2 5 4 2 2" xfId="15177" xr:uid="{4AB185B8-F591-4F3F-8FF8-9F391CEB7D0A}"/>
    <cellStyle name="Comma 11 2 3 2 5 4 2 2 2" xfId="30354" xr:uid="{C1C17E84-CFB2-4EE1-98F6-A0E52080F723}"/>
    <cellStyle name="Comma 11 2 3 2 5 4 2 3" xfId="26809" xr:uid="{66FEF4D4-FE0B-4EBD-A98B-8CB2FFEA76C9}"/>
    <cellStyle name="Comma 11 2 3 2 5 4 3" xfId="7457" xr:uid="{B4B16554-1197-464D-87FF-B3F1F0B43DF1}"/>
    <cellStyle name="Comma 11 2 3 2 5 4 3 2" xfId="22637" xr:uid="{2B1DF516-F772-420E-9E0D-161021184798}"/>
    <cellStyle name="Comma 11 2 3 2 5 4 4" xfId="19349" xr:uid="{02AC6CB0-E304-4408-B6DA-5DD80461AD94}"/>
    <cellStyle name="Comma 11 2 3 2 5 5" xfId="8600" xr:uid="{F25E04FD-2D0C-4FDF-9E7D-FDD500A288E5}"/>
    <cellStyle name="Comma 11 2 3 2 5 5 2" xfId="12773" xr:uid="{2C564CD6-CFD3-4A44-900F-A4B03397B50A}"/>
    <cellStyle name="Comma 11 2 3 2 5 5 2 2" xfId="27950" xr:uid="{F76785DC-5E3D-4FB8-B878-98F4E2FB0848}"/>
    <cellStyle name="Comma 11 2 3 2 5 5 3" xfId="23778" xr:uid="{6F67013A-5ACB-4619-8E64-6FBBEFE800ED}"/>
    <cellStyle name="Comma 11 2 3 2 5 6" xfId="16318" xr:uid="{358A2EB2-ED33-4B44-A71D-247D2B27330F}"/>
    <cellStyle name="Comma 11 2 3 2 5 7" xfId="31538" xr:uid="{33D20837-F0C8-4B83-8173-7FB01935A6E1}"/>
    <cellStyle name="Comma 11 2 3 2 6" xfId="1176" xr:uid="{FF4843CA-BAC7-46A4-A1CC-E6CD1F96805C}"/>
    <cellStyle name="Comma 11 2 3 2 6 2" xfId="2609" xr:uid="{01905DFB-5E2B-4D17-8F54-AF9DDAC81793}"/>
    <cellStyle name="Comma 11 2 3 2 6 2 2" xfId="10100" xr:uid="{1096D487-C142-4B01-BD12-7685EC9082D1}"/>
    <cellStyle name="Comma 11 2 3 2 6 2 2 2" xfId="13758" xr:uid="{659051F4-FDC7-4240-9776-1B2CA45D7645}"/>
    <cellStyle name="Comma 11 2 3 2 6 2 2 2 2" xfId="28935" xr:uid="{F9B7F364-D1E0-417A-B2CA-E1526383AE9A}"/>
    <cellStyle name="Comma 11 2 3 2 6 2 2 3" xfId="25278" xr:uid="{C05154D0-C044-48AD-A257-D4363F54A920}"/>
    <cellStyle name="Comma 11 2 3 2 6 2 3" xfId="5926" xr:uid="{6468E692-D2A7-45B7-8FCB-976EF3C9E37D}"/>
    <cellStyle name="Comma 11 2 3 2 6 2 3 2" xfId="21106" xr:uid="{C95AC571-7A63-432A-A2A0-5F7DB44BA9C7}"/>
    <cellStyle name="Comma 11 2 3 2 6 2 4" xfId="17818" xr:uid="{7D41DC5F-2614-4C90-92C5-A93EB2BA7412}"/>
    <cellStyle name="Comma 11 2 3 2 6 3" xfId="3496" xr:uid="{81FD5DC0-9C19-4DB9-8E87-B68D1079872A}"/>
    <cellStyle name="Comma 11 2 3 2 6 3 2" xfId="10984" xr:uid="{81E278F7-C72C-4FBB-8C6F-04A3FBE4D515}"/>
    <cellStyle name="Comma 11 2 3 2 6 3 2 2" xfId="14530" xr:uid="{FBD4C13B-0A6B-4BCC-9589-4FC1F229188F}"/>
    <cellStyle name="Comma 11 2 3 2 6 3 2 2 2" xfId="29707" xr:uid="{700B5240-5870-4AFC-8136-25D66D5CE584}"/>
    <cellStyle name="Comma 11 2 3 2 6 3 2 3" xfId="26162" xr:uid="{E2757A3B-9183-4FB9-BDFE-60A499EC93DC}"/>
    <cellStyle name="Comma 11 2 3 2 6 3 3" xfId="6810" xr:uid="{493FBBDC-A5C8-4644-AD2A-FD8C7974A099}"/>
    <cellStyle name="Comma 11 2 3 2 6 3 3 2" xfId="21990" xr:uid="{B82C1DE2-AA22-432C-907C-8B2250D8B42B}"/>
    <cellStyle name="Comma 11 2 3 2 6 3 4" xfId="18702" xr:uid="{A98E930C-7B99-47B7-982B-2772C61FEC6A}"/>
    <cellStyle name="Comma 11 2 3 2 6 4" xfId="4147" xr:uid="{5A74C330-2813-42A6-A8D5-7696EF30F374}"/>
    <cellStyle name="Comma 11 2 3 2 6 4 2" xfId="11632" xr:uid="{969B081F-936A-498C-97D8-571708EF2CC3}"/>
    <cellStyle name="Comma 11 2 3 2 6 4 2 2" xfId="15178" xr:uid="{54D95624-1CC1-4AF1-8371-8518B9485376}"/>
    <cellStyle name="Comma 11 2 3 2 6 4 2 2 2" xfId="30355" xr:uid="{12C03228-74B8-4114-9547-2ABF683C4A43}"/>
    <cellStyle name="Comma 11 2 3 2 6 4 2 3" xfId="26810" xr:uid="{B8B1D532-9E4B-4673-A32B-747AB272CDAA}"/>
    <cellStyle name="Comma 11 2 3 2 6 4 3" xfId="7458" xr:uid="{D8A3601F-760B-40CC-A355-9418D0AB3BE7}"/>
    <cellStyle name="Comma 11 2 3 2 6 4 3 2" xfId="22638" xr:uid="{3018481E-BDB4-4832-8BFC-E01EDC9EA4BD}"/>
    <cellStyle name="Comma 11 2 3 2 6 4 4" xfId="19350" xr:uid="{3F47B6C4-158F-402D-AB6D-E6A45AD7B764}"/>
    <cellStyle name="Comma 11 2 3 2 6 5" xfId="8702" xr:uid="{293014C9-6352-45CA-BA6D-74D7A94F15C8}"/>
    <cellStyle name="Comma 11 2 3 2 6 5 2" xfId="12875" xr:uid="{EFDCCDD7-61F0-4ABD-8D90-F112F06D844A}"/>
    <cellStyle name="Comma 11 2 3 2 6 5 2 2" xfId="28052" xr:uid="{26F76259-FD87-4720-913A-3F7E6B847A69}"/>
    <cellStyle name="Comma 11 2 3 2 6 5 3" xfId="23880" xr:uid="{64C38DC3-81A2-4266-AFDD-22AA7A529B0B}"/>
    <cellStyle name="Comma 11 2 3 2 6 6" xfId="16420" xr:uid="{DF778A20-7767-47F5-9366-F3E2824F59B6}"/>
    <cellStyle name="Comma 11 2 3 2 7" xfId="1202" xr:uid="{A5A7E217-331E-4291-A0D9-AC7DDFFBEABA}"/>
    <cellStyle name="Comma 11 2 3 2 7 2" xfId="2633" xr:uid="{A9A7D670-7000-4AE4-97D2-5380E40461DE}"/>
    <cellStyle name="Comma 11 2 3 2 7 2 2" xfId="10124" xr:uid="{7184AD5E-D047-4195-9362-68CD180D9809}"/>
    <cellStyle name="Comma 11 2 3 2 7 2 2 2" xfId="13782" xr:uid="{F2C6EA20-8175-4C4B-B494-AD7F76A28253}"/>
    <cellStyle name="Comma 11 2 3 2 7 2 2 2 2" xfId="28959" xr:uid="{A822BFC4-098B-4F44-9801-050C16587248}"/>
    <cellStyle name="Comma 11 2 3 2 7 2 2 3" xfId="25302" xr:uid="{2C847829-E538-45AC-BD54-C805836960AC}"/>
    <cellStyle name="Comma 11 2 3 2 7 2 3" xfId="5950" xr:uid="{56F23826-6E4D-49E0-9CA7-65FEC429A9AF}"/>
    <cellStyle name="Comma 11 2 3 2 7 2 3 2" xfId="21130" xr:uid="{EE2EEA04-6EB0-45A6-BCFF-24FE4142F375}"/>
    <cellStyle name="Comma 11 2 3 2 7 2 4" xfId="17842" xr:uid="{ED34EFEF-7AD5-4ACB-8CCA-13EA003A72EF}"/>
    <cellStyle name="Comma 11 2 3 2 7 3" xfId="3520" xr:uid="{998D8C7E-C304-417F-A996-930719D1EF2F}"/>
    <cellStyle name="Comma 11 2 3 2 7 3 2" xfId="11008" xr:uid="{3FB2DB15-0B8C-408B-AAB9-C1F7BBCF95B9}"/>
    <cellStyle name="Comma 11 2 3 2 7 3 2 2" xfId="14554" xr:uid="{E00FC103-C0F3-4F30-880B-B93F853F4B2D}"/>
    <cellStyle name="Comma 11 2 3 2 7 3 2 2 2" xfId="29731" xr:uid="{607F1304-B85B-4D54-90CF-7C3460977D80}"/>
    <cellStyle name="Comma 11 2 3 2 7 3 2 3" xfId="26186" xr:uid="{A627567E-A722-430C-8A37-697CDCB13C54}"/>
    <cellStyle name="Comma 11 2 3 2 7 3 3" xfId="6834" xr:uid="{892FD64F-3AE3-49E1-85C4-264D552BF54C}"/>
    <cellStyle name="Comma 11 2 3 2 7 3 3 2" xfId="22014" xr:uid="{95F431D3-7A1C-4F6F-B8BF-7DC38C0E33BC}"/>
    <cellStyle name="Comma 11 2 3 2 7 3 4" xfId="18726" xr:uid="{6E50F31C-077A-46DE-99BA-F08DD65C3AA3}"/>
    <cellStyle name="Comma 11 2 3 2 7 4" xfId="4148" xr:uid="{61672B92-9B29-4B9F-91C9-FC7990283E96}"/>
    <cellStyle name="Comma 11 2 3 2 7 4 2" xfId="11633" xr:uid="{2453A3B7-D047-4BAC-83B0-7995D9D9C279}"/>
    <cellStyle name="Comma 11 2 3 2 7 4 2 2" xfId="15179" xr:uid="{4338B746-0D2C-40B1-9CBD-718D22582EDD}"/>
    <cellStyle name="Comma 11 2 3 2 7 4 2 2 2" xfId="30356" xr:uid="{941EA5D7-1E69-455F-BEC3-8D0B20EE4106}"/>
    <cellStyle name="Comma 11 2 3 2 7 4 2 3" xfId="26811" xr:uid="{C4467BC3-30E5-41FB-B177-A72F516F9A80}"/>
    <cellStyle name="Comma 11 2 3 2 7 4 3" xfId="7459" xr:uid="{ADC73A8D-E0B6-4F51-B2CA-85DA748FD887}"/>
    <cellStyle name="Comma 11 2 3 2 7 4 3 2" xfId="22639" xr:uid="{6980EEE6-3F2D-40FC-8EC7-E0801909B938}"/>
    <cellStyle name="Comma 11 2 3 2 7 4 4" xfId="19351" xr:uid="{4DE4B38C-AA29-46A5-9A5B-835CDA65B49A}"/>
    <cellStyle name="Comma 11 2 3 2 7 5" xfId="8726" xr:uid="{2CE99B2E-A2EE-4474-B5E6-B6E13CA65230}"/>
    <cellStyle name="Comma 11 2 3 2 7 5 2" xfId="12899" xr:uid="{0E0D9FAF-89AD-470B-B838-82490258F3DE}"/>
    <cellStyle name="Comma 11 2 3 2 7 5 2 2" xfId="28076" xr:uid="{D682CE98-F98C-4807-90B9-903D4C1DB40F}"/>
    <cellStyle name="Comma 11 2 3 2 7 5 3" xfId="23904" xr:uid="{772DBCDC-D7A8-4D2C-A173-C777F9B64162}"/>
    <cellStyle name="Comma 11 2 3 2 7 6" xfId="16444" xr:uid="{17F622DD-4A3A-4E18-A6B6-8E312FA5C033}"/>
    <cellStyle name="Comma 11 2 3 2 8" xfId="1251" xr:uid="{2A04FB54-14DB-4E07-98E7-EF5DCA223E40}"/>
    <cellStyle name="Comma 11 2 3 2 8 10" xfId="31310" xr:uid="{6BD0BB82-495B-4576-B99E-4076F25AE464}"/>
    <cellStyle name="Comma 11 2 3 2 8 2" xfId="2681" xr:uid="{0949B819-D3C6-4660-8E9E-7E39413BB05C}"/>
    <cellStyle name="Comma 11 2 3 2 8 2 2" xfId="10172" xr:uid="{CB566045-AD8B-405F-98C9-0151504A7E63}"/>
    <cellStyle name="Comma 11 2 3 2 8 2 2 2" xfId="13816" xr:uid="{AB6BE6FA-122D-44BE-87A0-4236CD4C5EC2}"/>
    <cellStyle name="Comma 11 2 3 2 8 2 2 2 2" xfId="28993" xr:uid="{4D12B939-E7AE-4CC7-BB8F-77FAC6C3CBC8}"/>
    <cellStyle name="Comma 11 2 3 2 8 2 2 3" xfId="25350" xr:uid="{EE4BE840-16CD-49D9-ADFD-020C6930155E}"/>
    <cellStyle name="Comma 11 2 3 2 8 2 3" xfId="5998" xr:uid="{B5B4C759-E182-46F7-AE9C-15C3C8E8CC72}"/>
    <cellStyle name="Comma 11 2 3 2 8 2 3 2" xfId="21178" xr:uid="{0B0881D8-CD43-4B01-8EF0-851EADF9FE52}"/>
    <cellStyle name="Comma 11 2 3 2 8 2 4" xfId="17890" xr:uid="{81205153-06DE-4445-A188-9BF09AEEC0B0}"/>
    <cellStyle name="Comma 11 2 3 2 8 3" xfId="3568" xr:uid="{7E9E91F7-5746-4B24-AF2B-6B310DE645CF}"/>
    <cellStyle name="Comma 11 2 3 2 8 3 2" xfId="11056" xr:uid="{430C837B-5821-4D0A-B5CF-9D827C7AAA9C}"/>
    <cellStyle name="Comma 11 2 3 2 8 3 2 2" xfId="14602" xr:uid="{7B398BFD-54B1-40C4-BDBA-AF43A24237C6}"/>
    <cellStyle name="Comma 11 2 3 2 8 3 2 2 2" xfId="29779" xr:uid="{B8C4B5ED-D50F-44F8-9FE6-4636418B6DB8}"/>
    <cellStyle name="Comma 11 2 3 2 8 3 2 3" xfId="26234" xr:uid="{ECE2E1D6-F757-4B14-A628-0F10EA6D8C8B}"/>
    <cellStyle name="Comma 11 2 3 2 8 3 3" xfId="6882" xr:uid="{E1AA463C-9F58-4EE7-8FFD-62C078070197}"/>
    <cellStyle name="Comma 11 2 3 2 8 3 3 2" xfId="22062" xr:uid="{431B4FD2-4359-4FD8-83FE-2A9819929B49}"/>
    <cellStyle name="Comma 11 2 3 2 8 3 4" xfId="18774" xr:uid="{67799697-82BF-475F-BA93-6F2001454B69}"/>
    <cellStyle name="Comma 11 2 3 2 8 4" xfId="4149" xr:uid="{346D8090-F01E-4097-A82A-5214782B91CB}"/>
    <cellStyle name="Comma 11 2 3 2 8 4 2" xfId="11634" xr:uid="{045401F0-8E9D-4A5C-B446-AC463757689A}"/>
    <cellStyle name="Comma 11 2 3 2 8 4 2 2" xfId="15180" xr:uid="{9764C865-D02C-442F-8569-19962BB26C31}"/>
    <cellStyle name="Comma 11 2 3 2 8 4 2 2 2" xfId="30357" xr:uid="{3C2C273A-7754-4089-BBC7-B206F271D42D}"/>
    <cellStyle name="Comma 11 2 3 2 8 4 2 3" xfId="26812" xr:uid="{66F9F16B-12B7-45EF-BA70-B1F2A9BD96BF}"/>
    <cellStyle name="Comma 11 2 3 2 8 4 3" xfId="7460" xr:uid="{8A244CC1-271E-4210-9A6B-190B0164139D}"/>
    <cellStyle name="Comma 11 2 3 2 8 4 3 2" xfId="22640" xr:uid="{243EBFAC-6B0D-4E54-A20D-4B08A12429B9}"/>
    <cellStyle name="Comma 11 2 3 2 8 4 4" xfId="19352" xr:uid="{3F9E63A6-F970-44CE-8DBA-67B202D8C15A}"/>
    <cellStyle name="Comma 11 2 3 2 8 5" xfId="4970" xr:uid="{8DF606E9-15EC-4248-9F8D-39FD3D5C8792}"/>
    <cellStyle name="Comma 11 2 3 2 8 5 2" xfId="12454" xr:uid="{85965EF4-09D2-493B-A089-12F8A2C7C30C}"/>
    <cellStyle name="Comma 11 2 3 2 8 5 2 2" xfId="16000" xr:uid="{E1BA647F-ED11-40AC-AD24-7C70B050A382}"/>
    <cellStyle name="Comma 11 2 3 2 8 5 2 2 2" xfId="31177" xr:uid="{81719FAA-CB29-4FE5-AE36-D6BBB425D548}"/>
    <cellStyle name="Comma 11 2 3 2 8 5 2 3" xfId="27632" xr:uid="{1A5CD210-45F7-439C-B19C-C9933D140906}"/>
    <cellStyle name="Comma 11 2 3 2 8 5 3" xfId="8280" xr:uid="{C68BEDFD-ACF9-4CEF-A81C-0CC12930A5E4}"/>
    <cellStyle name="Comma 11 2 3 2 8 5 3 2" xfId="23460" xr:uid="{BF9AC3C0-C995-4CC3-AB56-C431AC80C751}"/>
    <cellStyle name="Comma 11 2 3 2 8 5 4" xfId="20172" xr:uid="{68CEDAE4-8B31-4C4C-BACB-98AC70059CCE}"/>
    <cellStyle name="Comma 11 2 3 2 8 6" xfId="1791" xr:uid="{DE075E24-F845-4762-B7CA-EE367D51EE68}"/>
    <cellStyle name="Comma 11 2 3 2 8 6 2" xfId="9288" xr:uid="{1F2695A1-455A-45FD-B9E8-929BC937674F}"/>
    <cellStyle name="Comma 11 2 3 2 8 6 2 2" xfId="24466" xr:uid="{F848D52F-7F9C-44B3-89BB-40E77AB02B01}"/>
    <cellStyle name="Comma 11 2 3 2 8 6 3" xfId="17006" xr:uid="{54901D9B-94A2-4669-97FD-1DBE7E0B8A3C}"/>
    <cellStyle name="Comma 11 2 3 2 8 7" xfId="8774" xr:uid="{DA0413C9-42CC-478E-BA57-C99E392935B3}"/>
    <cellStyle name="Comma 11 2 3 2 8 7 2" xfId="12947" xr:uid="{41741B95-DFFC-4A54-932B-097F6CEE9C55}"/>
    <cellStyle name="Comma 11 2 3 2 8 7 2 2" xfId="28124" xr:uid="{A2878CFD-3B1B-4802-BADC-78320690D719}"/>
    <cellStyle name="Comma 11 2 3 2 8 7 3" xfId="23952" xr:uid="{ACFC408C-E9EF-4418-A751-961AD13469DB}"/>
    <cellStyle name="Comma 11 2 3 2 8 8" xfId="5114" xr:uid="{DB18453D-C96A-4EA2-961E-E145AEA616CD}"/>
    <cellStyle name="Comma 11 2 3 2 8 8 2" xfId="20294" xr:uid="{FF7357F5-B060-42E9-A038-EAA97041E9D6}"/>
    <cellStyle name="Comma 11 2 3 2 8 9" xfId="16492" xr:uid="{62457189-1BD9-42F9-8B4C-FCB5A9A71230}"/>
    <cellStyle name="Comma 11 2 3 2 9" xfId="1353" xr:uid="{76A99BAA-61A9-4196-8CE9-08B3DBF9E19C}"/>
    <cellStyle name="Comma 11 2 3 2 9 2" xfId="2779" xr:uid="{A47ECD38-ABC2-491F-B384-1A3B9666E26C}"/>
    <cellStyle name="Comma 11 2 3 2 9 2 2" xfId="10270" xr:uid="{68497D9D-C689-44C9-89C6-13200480C2F0}"/>
    <cellStyle name="Comma 11 2 3 2 9 2 2 2" xfId="13865" xr:uid="{8E2DD9F2-813B-4545-B6EC-307795712A26}"/>
    <cellStyle name="Comma 11 2 3 2 9 2 2 2 2" xfId="29042" xr:uid="{60FDE917-73AF-42F4-805A-3AC56CD8BED8}"/>
    <cellStyle name="Comma 11 2 3 2 9 2 2 3" xfId="25448" xr:uid="{A164B247-65B8-47F2-BDCE-08AF76676AEF}"/>
    <cellStyle name="Comma 11 2 3 2 9 2 3" xfId="6096" xr:uid="{56FFAE7E-3E1B-46BF-8C0A-53F7A9A68D8D}"/>
    <cellStyle name="Comma 11 2 3 2 9 2 3 2" xfId="21276" xr:uid="{E62E5C84-CBA6-490B-AA45-BE851312FE0F}"/>
    <cellStyle name="Comma 11 2 3 2 9 2 4" xfId="17988" xr:uid="{6975E29A-0B39-4428-B5A1-92FA60327EFE}"/>
    <cellStyle name="Comma 11 2 3 2 9 3" xfId="3666" xr:uid="{3F9FBCAC-28AA-438E-BF88-775B386C893D}"/>
    <cellStyle name="Comma 11 2 3 2 9 3 2" xfId="11154" xr:uid="{B826821B-AB2D-413F-BD65-EE2B7D7F95E3}"/>
    <cellStyle name="Comma 11 2 3 2 9 3 2 2" xfId="14700" xr:uid="{76663F6E-0193-4348-BE54-DEAE0E15C5B6}"/>
    <cellStyle name="Comma 11 2 3 2 9 3 2 2 2" xfId="29877" xr:uid="{33029BF6-A240-46AE-BB4A-B3F7910BBE70}"/>
    <cellStyle name="Comma 11 2 3 2 9 3 2 3" xfId="26332" xr:uid="{F7DBCA10-C186-48CC-84B5-54CEC97E0B43}"/>
    <cellStyle name="Comma 11 2 3 2 9 3 3" xfId="6980" xr:uid="{1B9A85B7-D2CF-4E06-9290-4D5ED82A3A2C}"/>
    <cellStyle name="Comma 11 2 3 2 9 3 3 2" xfId="22160" xr:uid="{6332B496-AF99-4D18-93E5-6BC49C70AB58}"/>
    <cellStyle name="Comma 11 2 3 2 9 3 4" xfId="18872" xr:uid="{D38202EE-9EE3-4739-BA33-8CCA51AF3814}"/>
    <cellStyle name="Comma 11 2 3 2 9 4" xfId="4150" xr:uid="{9AA22964-51E3-44C3-9A30-43878095AE70}"/>
    <cellStyle name="Comma 11 2 3 2 9 4 2" xfId="11635" xr:uid="{8FCD5710-4F7B-4CB6-9362-FC9EE24A5A1D}"/>
    <cellStyle name="Comma 11 2 3 2 9 4 2 2" xfId="15181" xr:uid="{DC4F2391-FD4F-4537-A843-369811E8553E}"/>
    <cellStyle name="Comma 11 2 3 2 9 4 2 2 2" xfId="30358" xr:uid="{006AA437-B59D-46FB-B123-B14A905CD498}"/>
    <cellStyle name="Comma 11 2 3 2 9 4 2 3" xfId="26813" xr:uid="{50775E27-6D69-4F5E-BD52-7F858593C0F4}"/>
    <cellStyle name="Comma 11 2 3 2 9 4 3" xfId="7461" xr:uid="{ECC05D85-9AFF-45E5-B5E6-8C186A1C2AA6}"/>
    <cellStyle name="Comma 11 2 3 2 9 4 3 2" xfId="22641" xr:uid="{7239BB7D-4516-4006-A1BB-AD493F768EB2}"/>
    <cellStyle name="Comma 11 2 3 2 9 4 4" xfId="19353" xr:uid="{A6C4E864-5BB1-4810-9CD7-F792B1CD2DB0}"/>
    <cellStyle name="Comma 11 2 3 2 9 5" xfId="1889" xr:uid="{8BD3D865-36A8-48F1-992B-6615E83BF591}"/>
    <cellStyle name="Comma 11 2 3 2 9 5 2" xfId="9386" xr:uid="{0C3A1856-0098-466C-A648-0DA19FBA4CE2}"/>
    <cellStyle name="Comma 11 2 3 2 9 5 2 2" xfId="24564" xr:uid="{F528CD1D-6239-41B8-AC4D-BDB1030663E2}"/>
    <cellStyle name="Comma 11 2 3 2 9 5 3" xfId="17104" xr:uid="{3910FAF7-2252-4179-B162-1AFF2BF8DB94}"/>
    <cellStyle name="Comma 11 2 3 2 9 6" xfId="8872" xr:uid="{0A666E62-9AE9-4AEE-BB8D-1660FFAAD040}"/>
    <cellStyle name="Comma 11 2 3 2 9 6 2" xfId="13045" xr:uid="{9F3008BB-9230-4D52-A9DB-A153EDBF65D6}"/>
    <cellStyle name="Comma 11 2 3 2 9 6 2 2" xfId="28222" xr:uid="{55A7F723-2955-4984-A788-3870D0AC26A0}"/>
    <cellStyle name="Comma 11 2 3 2 9 6 3" xfId="24050" xr:uid="{AA8F6D93-C862-48D5-8475-904424E4E321}"/>
    <cellStyle name="Comma 11 2 3 2 9 7" xfId="5212" xr:uid="{B8FD0C0F-EB4B-4427-8E49-9CE1B154C7AE}"/>
    <cellStyle name="Comma 11 2 3 2 9 7 2" xfId="20392" xr:uid="{2943CB4D-C4ED-480A-925D-2CDFB973F5F5}"/>
    <cellStyle name="Comma 11 2 3 2 9 8" xfId="16590" xr:uid="{E2D56B88-85DA-4D4A-8E51-F5CD3124A825}"/>
    <cellStyle name="Comma 11 2 3 3" xfId="573" xr:uid="{8FEB4244-F7E0-40E7-90BF-9110120BF4A8}"/>
    <cellStyle name="Comma 11 2 3 3 10" xfId="16196" xr:uid="{B9308B52-88DC-4DA2-A822-DC8FA80F9EBD}"/>
    <cellStyle name="Comma 11 2 3 3 11" xfId="31286" xr:uid="{16FA1930-D4B8-4F2A-909F-F83A862CF05B}"/>
    <cellStyle name="Comma 11 2 3 3 12" xfId="31636" xr:uid="{DAB67BA7-57B9-40C3-B68C-C6317BB72EA5}"/>
    <cellStyle name="Comma 11 2 3 3 13" xfId="864" xr:uid="{2DA6A960-7229-477E-9396-563CB2569C08}"/>
    <cellStyle name="Comma 11 2 3 3 2" xfId="1227" xr:uid="{71394504-42A9-432B-B410-3B6C8BA02147}"/>
    <cellStyle name="Comma 11 2 3 3 2 2" xfId="3544" xr:uid="{64043B83-4512-433A-95AB-B7B3ECE4F86D}"/>
    <cellStyle name="Comma 11 2 3 3 2 2 2" xfId="11032" xr:uid="{008A1295-015D-4E48-9187-586774C71493}"/>
    <cellStyle name="Comma 11 2 3 3 2 2 2 2" xfId="14578" xr:uid="{02A3001D-EBCB-430E-A9D1-40417108FE1A}"/>
    <cellStyle name="Comma 11 2 3 3 2 2 2 2 2" xfId="29755" xr:uid="{975FE47F-7C41-47C5-8F50-DF0372CFE948}"/>
    <cellStyle name="Comma 11 2 3 3 2 2 2 3" xfId="26210" xr:uid="{59B31FF1-C5D6-4645-B044-7F127C39A858}"/>
    <cellStyle name="Comma 11 2 3 3 2 2 3" xfId="6858" xr:uid="{83A8AE4A-4848-4CF2-BEFA-BF73A9B9D5E4}"/>
    <cellStyle name="Comma 11 2 3 3 2 2 3 2" xfId="22038" xr:uid="{23D01573-4F76-45C7-A7A4-1B19C052E9EB}"/>
    <cellStyle name="Comma 11 2 3 3 2 2 4" xfId="18750" xr:uid="{07910FFC-C37B-4CB7-BAE4-C2B67F9F75B9}"/>
    <cellStyle name="Comma 11 2 3 3 2 3" xfId="4151" xr:uid="{2DC9E6EC-FB80-4C3A-810A-D99630E68861}"/>
    <cellStyle name="Comma 11 2 3 3 2 3 2" xfId="11636" xr:uid="{EAD513FA-8BFE-4994-ABF9-A927A318B487}"/>
    <cellStyle name="Comma 11 2 3 3 2 3 2 2" xfId="15182" xr:uid="{5E7A8E4F-FF5B-4D4B-81E8-452A27B9F2B9}"/>
    <cellStyle name="Comma 11 2 3 3 2 3 2 2 2" xfId="30359" xr:uid="{6FE857A3-FB08-4EFD-B07A-55DB451D6E31}"/>
    <cellStyle name="Comma 11 2 3 3 2 3 2 3" xfId="26814" xr:uid="{211BC2A6-C508-41D9-8BF8-9D3885AA9970}"/>
    <cellStyle name="Comma 11 2 3 3 2 3 3" xfId="7462" xr:uid="{818D83F3-4C99-4623-BD8E-48EF0401E756}"/>
    <cellStyle name="Comma 11 2 3 3 2 3 3 2" xfId="22642" xr:uid="{4FBB3842-1BC5-4CD8-BF02-AE6A4FB9016B}"/>
    <cellStyle name="Comma 11 2 3 3 2 3 4" xfId="19354" xr:uid="{823D5A98-AB90-46EC-B294-CDB89ED12482}"/>
    <cellStyle name="Comma 11 2 3 3 2 4" xfId="2657" xr:uid="{D4AD09F8-960D-4EE2-9758-7E56410D6476}"/>
    <cellStyle name="Comma 11 2 3 3 2 4 2" xfId="10148" xr:uid="{551FAAA2-5E1F-408F-B246-065799FB18A1}"/>
    <cellStyle name="Comma 11 2 3 3 2 4 2 2" xfId="25326" xr:uid="{E3380E6C-EAA1-4622-ACE3-079B13EB8625}"/>
    <cellStyle name="Comma 11 2 3 3 2 4 3" xfId="17866" xr:uid="{06EBE9DF-5981-4ACB-A68A-3270CA20EB69}"/>
    <cellStyle name="Comma 11 2 3 3 2 5" xfId="8750" xr:uid="{EE972283-538B-436C-A0E3-CBCF408C7940}"/>
    <cellStyle name="Comma 11 2 3 3 2 5 2" xfId="12923" xr:uid="{EF890879-9033-45FE-888F-CB9363F59942}"/>
    <cellStyle name="Comma 11 2 3 3 2 5 2 2" xfId="28100" xr:uid="{431C9526-DDD9-4FA6-B81A-04A7A6AE6957}"/>
    <cellStyle name="Comma 11 2 3 3 2 5 3" xfId="23928" xr:uid="{45DC015F-C994-4B95-A0E6-FE48EF670AC1}"/>
    <cellStyle name="Comma 11 2 3 3 2 6" xfId="5974" xr:uid="{96F5D747-BCF6-4EFE-95AA-68C228BD077C}"/>
    <cellStyle name="Comma 11 2 3 3 2 6 2" xfId="21154" xr:uid="{408CAB63-C6E7-4846-94CC-AA275222702A}"/>
    <cellStyle name="Comma 11 2 3 3 2 7" xfId="16468" xr:uid="{406E8CC7-798D-4B78-ACFF-F38CC9848E0A}"/>
    <cellStyle name="Comma 11 2 3 3 3" xfId="2382" xr:uid="{0BF774BF-2DD1-4638-85D4-3A000474DC6F}"/>
    <cellStyle name="Comma 11 2 3 3 3 2" xfId="9876" xr:uid="{6E4DFA73-388A-4C51-A256-93FB64FEDE23}"/>
    <cellStyle name="Comma 11 2 3 3 3 2 2" xfId="13535" xr:uid="{90C40254-955B-4DDF-86DF-74D89C1A046F}"/>
    <cellStyle name="Comma 11 2 3 3 3 2 2 2" xfId="28712" xr:uid="{C1DED056-D26C-4D9E-BEC8-46ACDE05DB5E}"/>
    <cellStyle name="Comma 11 2 3 3 3 2 3" xfId="25054" xr:uid="{9BD1F635-D75D-4936-A1B7-6F39A71B9E89}"/>
    <cellStyle name="Comma 11 2 3 3 3 3" xfId="5702" xr:uid="{109A99C4-B4C0-4586-84D0-80A97B1073F6}"/>
    <cellStyle name="Comma 11 2 3 3 3 3 2" xfId="20882" xr:uid="{F84985FB-68F7-4C7C-81A1-2D25CA771D3B}"/>
    <cellStyle name="Comma 11 2 3 3 3 4" xfId="17594" xr:uid="{7FE353BA-2940-4EBF-8E33-5814E4689C9C}"/>
    <cellStyle name="Comma 11 2 3 3 4" xfId="3272" xr:uid="{1A67697F-8537-4EE4-BCE9-B76939256324}"/>
    <cellStyle name="Comma 11 2 3 3 4 2" xfId="10760" xr:uid="{6BE94EE5-F911-4A90-B0E7-DD4B8F03C7E3}"/>
    <cellStyle name="Comma 11 2 3 3 4 2 2" xfId="14306" xr:uid="{A5686C37-0EB6-41D0-A9FE-76CEFD343BD1}"/>
    <cellStyle name="Comma 11 2 3 3 4 2 2 2" xfId="29483" xr:uid="{4FD0DD5D-1C56-4857-910D-0129F1343A35}"/>
    <cellStyle name="Comma 11 2 3 3 4 2 3" xfId="25938" xr:uid="{E313B7FB-36CF-4106-A2C5-B428D2C23A97}"/>
    <cellStyle name="Comma 11 2 3 3 4 3" xfId="6586" xr:uid="{3D582769-36EC-40A2-9B41-5389DE57B1C7}"/>
    <cellStyle name="Comma 11 2 3 3 4 3 2" xfId="21766" xr:uid="{5E0C9A1E-76DB-478B-82CB-0A56EC98B970}"/>
    <cellStyle name="Comma 11 2 3 3 4 4" xfId="18478" xr:uid="{9363EFDC-4621-492E-A266-EDD7D4DCB374}"/>
    <cellStyle name="Comma 11 2 3 3 5" xfId="4152" xr:uid="{19F85486-9209-4596-A711-5C60DA4AD943}"/>
    <cellStyle name="Comma 11 2 3 3 5 2" xfId="11637" xr:uid="{75C026FB-EF36-4F01-9CF4-BE49FC203A24}"/>
    <cellStyle name="Comma 11 2 3 3 5 2 2" xfId="15183" xr:uid="{40AA79B3-0C83-45B9-A9C7-B9512A95757A}"/>
    <cellStyle name="Comma 11 2 3 3 5 2 2 2" xfId="30360" xr:uid="{B7C5AFFA-2429-42CF-89C1-9A90DC1E70B9}"/>
    <cellStyle name="Comma 11 2 3 3 5 2 3" xfId="26815" xr:uid="{4E47E712-E4F1-438D-86FF-6037CF5D4D3E}"/>
    <cellStyle name="Comma 11 2 3 3 5 3" xfId="7463" xr:uid="{B85090B1-D8ED-4C92-96D7-B82DF9E30094}"/>
    <cellStyle name="Comma 11 2 3 3 5 3 2" xfId="22643" xr:uid="{F2C73A0F-C2C5-465B-96E8-A2B9D64ED733}"/>
    <cellStyle name="Comma 11 2 3 3 5 4" xfId="19355" xr:uid="{BC989BF8-6C81-4AF6-B92A-32ADE268B953}"/>
    <cellStyle name="Comma 11 2 3 3 6" xfId="4946" xr:uid="{04C43947-C64F-4992-B194-2D69C5EF273A}"/>
    <cellStyle name="Comma 11 2 3 3 6 2" xfId="12430" xr:uid="{C4EFB293-F5E4-48AB-A1D2-5FE4DB94BEFA}"/>
    <cellStyle name="Comma 11 2 3 3 6 2 2" xfId="15976" xr:uid="{DA47B4A0-6326-4256-BFFE-EE5E0B4429B0}"/>
    <cellStyle name="Comma 11 2 3 3 6 2 2 2" xfId="31153" xr:uid="{06B21924-D784-405B-97E7-C8662871E7A5}"/>
    <cellStyle name="Comma 11 2 3 3 6 2 3" xfId="27608" xr:uid="{F7A526D6-D09E-469A-9492-18FC2484CBE6}"/>
    <cellStyle name="Comma 11 2 3 3 6 3" xfId="8256" xr:uid="{DF0336C1-07EA-4CEA-991D-D4E929A39BB3}"/>
    <cellStyle name="Comma 11 2 3 3 6 3 2" xfId="23436" xr:uid="{AB3EBD9C-7718-4A64-8185-D14908B5C8C3}"/>
    <cellStyle name="Comma 11 2 3 3 6 4" xfId="20148" xr:uid="{E265ACAD-0C15-45A4-83CD-CE2EF838AA66}"/>
    <cellStyle name="Comma 11 2 3 3 7" xfId="1767" xr:uid="{0C7AE80F-9BC8-491E-BD31-358FB368EC17}"/>
    <cellStyle name="Comma 11 2 3 3 7 2" xfId="9264" xr:uid="{C374276E-72C4-47C8-9E77-9D849583F078}"/>
    <cellStyle name="Comma 11 2 3 3 7 2 2" xfId="24442" xr:uid="{4FF1BC60-7EE4-45DB-A3F0-84A345D262D0}"/>
    <cellStyle name="Comma 11 2 3 3 7 3" xfId="16982" xr:uid="{721797FD-832A-4AD3-BA9D-FE47DB761E64}"/>
    <cellStyle name="Comma 11 2 3 3 8" xfId="8478" xr:uid="{15A4B76F-C5FA-49D3-9BF8-CADA6FD5CE6A}"/>
    <cellStyle name="Comma 11 2 3 3 8 2" xfId="12651" xr:uid="{41E02496-366D-4AA6-B7AA-123566D82ADB}"/>
    <cellStyle name="Comma 11 2 3 3 8 2 2" xfId="27828" xr:uid="{07CE8190-D126-4064-B0C7-EEEF5615F48F}"/>
    <cellStyle name="Comma 11 2 3 3 8 3" xfId="23656" xr:uid="{F2D1FAD8-A7F3-485B-9395-ADF8551B27F7}"/>
    <cellStyle name="Comma 11 2 3 3 9" xfId="5090" xr:uid="{137A05E9-61FC-42EE-A3AA-5FD96BDE7540}"/>
    <cellStyle name="Comma 11 2 3 3 9 2" xfId="20270" xr:uid="{5DD597C4-EB19-406B-A7D1-4DCDCEDE33BE}"/>
    <cellStyle name="Comma 11 2 3 4" xfId="31416" xr:uid="{5E40CD09-1643-4818-96E2-E32A064FE667}"/>
    <cellStyle name="Comma 11 2 3 5" xfId="624" xr:uid="{B3510A44-675A-4AD5-8003-566821E3EB94}"/>
    <cellStyle name="Comma 11 2 4" xfId="270" xr:uid="{C01BAE67-A169-4FFB-A2E2-983FFEB69237}"/>
    <cellStyle name="Comma 11 2 4 10" xfId="1439" xr:uid="{15F10204-C8FF-4AD8-8586-80E14785DE43}"/>
    <cellStyle name="Comma 11 2 4 10 2" xfId="2864" xr:uid="{078FEFDA-8222-48BF-957D-60E694B89CC6}"/>
    <cellStyle name="Comma 11 2 4 10 2 2" xfId="10355" xr:uid="{254C9149-B937-4781-8C20-33B3C59B3640}"/>
    <cellStyle name="Comma 11 2 4 10 2 2 2" xfId="13901" xr:uid="{861AA71B-2093-47B2-BE4E-32F324599EC5}"/>
    <cellStyle name="Comma 11 2 4 10 2 2 2 2" xfId="29078" xr:uid="{E3292CB7-39BC-46B4-B0C5-2BB4EA618A0F}"/>
    <cellStyle name="Comma 11 2 4 10 2 2 3" xfId="25533" xr:uid="{29F9DA38-87C9-4978-A6C2-9909C80E062A}"/>
    <cellStyle name="Comma 11 2 4 10 2 3" xfId="6181" xr:uid="{0690E189-45E4-4F74-A835-19A5113CF626}"/>
    <cellStyle name="Comma 11 2 4 10 2 3 2" xfId="21361" xr:uid="{6BDB2274-FF40-4607-9738-F1ED8C1B75FE}"/>
    <cellStyle name="Comma 11 2 4 10 2 4" xfId="18073" xr:uid="{3CFD4B74-92F2-4292-AF65-76B0EFC77313}"/>
    <cellStyle name="Comma 11 2 4 10 3" xfId="3751" xr:uid="{BFF8E5F2-8CFA-477F-B86B-372C612C5562}"/>
    <cellStyle name="Comma 11 2 4 10 3 2" xfId="11239" xr:uid="{984D1D14-F00B-4E55-8AC6-422399C81379}"/>
    <cellStyle name="Comma 11 2 4 10 3 2 2" xfId="14785" xr:uid="{68491218-2F4F-420E-A8FC-084DCFD5FD1C}"/>
    <cellStyle name="Comma 11 2 4 10 3 2 2 2" xfId="29962" xr:uid="{1044C36F-7D5B-41CD-9AC9-0A526A866F17}"/>
    <cellStyle name="Comma 11 2 4 10 3 2 3" xfId="26417" xr:uid="{C65F8198-3B13-4A69-9D79-287D10EECA1B}"/>
    <cellStyle name="Comma 11 2 4 10 3 3" xfId="7065" xr:uid="{4990152E-F862-4604-B85A-06C0874304F1}"/>
    <cellStyle name="Comma 11 2 4 10 3 3 2" xfId="22245" xr:uid="{5444C56F-7878-4EE1-9C92-5ED6ED1435AB}"/>
    <cellStyle name="Comma 11 2 4 10 3 4" xfId="18957" xr:uid="{AF92F99B-CFF9-437C-A2C2-B8F29FF49890}"/>
    <cellStyle name="Comma 11 2 4 10 4" xfId="4153" xr:uid="{8297CD99-3A7C-4CE7-8B52-01865431703E}"/>
    <cellStyle name="Comma 11 2 4 10 4 2" xfId="11638" xr:uid="{6EEFA6D0-231B-4F67-BFD7-3E45B46B4281}"/>
    <cellStyle name="Comma 11 2 4 10 4 2 2" xfId="15184" xr:uid="{71ACDABE-3763-4F77-BA2C-B307ACBDFE4A}"/>
    <cellStyle name="Comma 11 2 4 10 4 2 2 2" xfId="30361" xr:uid="{928D5A58-A3A8-4444-8EFF-C09F4CC46345}"/>
    <cellStyle name="Comma 11 2 4 10 4 2 3" xfId="26816" xr:uid="{62A9C2BC-49A1-4D80-86E6-04251944FEDE}"/>
    <cellStyle name="Comma 11 2 4 10 4 3" xfId="7464" xr:uid="{B10F287D-F7FD-4EDF-A60F-453AB9F44BB8}"/>
    <cellStyle name="Comma 11 2 4 10 4 3 2" xfId="22644" xr:uid="{7158FED1-4579-47F3-93C3-7E3D1CD2A0CF}"/>
    <cellStyle name="Comma 11 2 4 10 4 4" xfId="19356" xr:uid="{502F1EA9-47E5-4C4D-BB70-7F107E40E900}"/>
    <cellStyle name="Comma 11 2 4 10 5" xfId="1974" xr:uid="{1F177F15-5B6B-4857-A0A8-2255AF1E8AB1}"/>
    <cellStyle name="Comma 11 2 4 10 5 2" xfId="9471" xr:uid="{758A6825-7885-466E-8A6C-171A71A4FB5F}"/>
    <cellStyle name="Comma 11 2 4 10 5 2 2" xfId="24649" xr:uid="{90DD5F9E-7FD3-4C66-AA9A-19A67BB90D6C}"/>
    <cellStyle name="Comma 11 2 4 10 5 3" xfId="17189" xr:uid="{8338806C-E764-4975-9F95-3A4BE3530FA6}"/>
    <cellStyle name="Comma 11 2 4 10 6" xfId="8957" xr:uid="{F32BA4E1-0C61-4353-A4B1-07DAF22050B1}"/>
    <cellStyle name="Comma 11 2 4 10 6 2" xfId="13130" xr:uid="{9126AB27-2F5C-4170-94C2-CE41824E0DCB}"/>
    <cellStyle name="Comma 11 2 4 10 6 2 2" xfId="28307" xr:uid="{D7585628-643C-4C7B-A0AA-E25563172E43}"/>
    <cellStyle name="Comma 11 2 4 10 6 3" xfId="24135" xr:uid="{0991A037-8540-43A3-8095-BEC2535B24AA}"/>
    <cellStyle name="Comma 11 2 4 10 7" xfId="5297" xr:uid="{ADD12F53-87A3-4F4D-8F0B-26C8F5CDEBDF}"/>
    <cellStyle name="Comma 11 2 4 10 7 2" xfId="20477" xr:uid="{6F05D4D5-11ED-4B45-82D9-FD5FFE7BAF7A}"/>
    <cellStyle name="Comma 11 2 4 10 8" xfId="16675" xr:uid="{2B265272-EBC7-4DF4-A022-A42471FEDC3E}"/>
    <cellStyle name="Comma 11 2 4 11" xfId="1542" xr:uid="{D95AF1A1-780D-4BFC-8B48-C8BCA084B758}"/>
    <cellStyle name="Comma 11 2 4 11 2" xfId="2962" xr:uid="{5FFB4F74-F3B1-4FAF-9D9C-FBF36C31E313}"/>
    <cellStyle name="Comma 11 2 4 11 2 2" xfId="10453" xr:uid="{EA763D56-C0BE-40E0-BE26-F4CABF48E325}"/>
    <cellStyle name="Comma 11 2 4 11 2 2 2" xfId="13999" xr:uid="{6F1FA6BA-C42B-4BD2-B870-0C09B5D3BE9D}"/>
    <cellStyle name="Comma 11 2 4 11 2 2 2 2" xfId="29176" xr:uid="{43B4CDD0-1CF5-43E8-8F74-EE92778185EB}"/>
    <cellStyle name="Comma 11 2 4 11 2 2 3" xfId="25631" xr:uid="{8FBC3A36-7690-40D8-B90E-F47035D0A777}"/>
    <cellStyle name="Comma 11 2 4 11 2 3" xfId="6279" xr:uid="{E5A3248D-B0F1-402D-8A91-B7469DE21B78}"/>
    <cellStyle name="Comma 11 2 4 11 2 3 2" xfId="21459" xr:uid="{F8680849-F250-47BB-8435-EE5D84B780F3}"/>
    <cellStyle name="Comma 11 2 4 11 2 4" xfId="18171" xr:uid="{5A28F6FF-7CE5-4CED-BCFD-B08C36B47921}"/>
    <cellStyle name="Comma 11 2 4 11 3" xfId="3849" xr:uid="{5EF205B8-2D4D-49AE-BAAD-5CE00C9F24B3}"/>
    <cellStyle name="Comma 11 2 4 11 3 2" xfId="11337" xr:uid="{AA62F2DF-0C0F-42C9-8F9C-AF5EDAA317C1}"/>
    <cellStyle name="Comma 11 2 4 11 3 2 2" xfId="14883" xr:uid="{3C817FD2-4229-448A-9599-925D492F6FE9}"/>
    <cellStyle name="Comma 11 2 4 11 3 2 2 2" xfId="30060" xr:uid="{2C3F107A-E9EB-43CC-92F0-70C244E4B369}"/>
    <cellStyle name="Comma 11 2 4 11 3 2 3" xfId="26515" xr:uid="{D445671E-595F-4284-878D-3636EF61D6E6}"/>
    <cellStyle name="Comma 11 2 4 11 3 3" xfId="7163" xr:uid="{40E0695B-3699-492A-BA17-FB576BA4D1C5}"/>
    <cellStyle name="Comma 11 2 4 11 3 3 2" xfId="22343" xr:uid="{6CD6874D-FC18-46CC-B23F-DDF816D82736}"/>
    <cellStyle name="Comma 11 2 4 11 3 4" xfId="19055" xr:uid="{8A742733-15E8-4376-A58B-CF6A4731B790}"/>
    <cellStyle name="Comma 11 2 4 11 4" xfId="4154" xr:uid="{339AAA30-C5E5-4473-A5B4-D0DA556A464C}"/>
    <cellStyle name="Comma 11 2 4 11 4 2" xfId="11639" xr:uid="{AA803B39-50DB-4075-BD0C-8910394456BB}"/>
    <cellStyle name="Comma 11 2 4 11 4 2 2" xfId="15185" xr:uid="{D67CFDB3-200F-4ADD-86E2-8F1852F19083}"/>
    <cellStyle name="Comma 11 2 4 11 4 2 2 2" xfId="30362" xr:uid="{34C8A92A-876C-414C-A382-73C462B028AA}"/>
    <cellStyle name="Comma 11 2 4 11 4 2 3" xfId="26817" xr:uid="{D2F0DEC3-6CB4-4D18-84A8-BE5A048286D4}"/>
    <cellStyle name="Comma 11 2 4 11 4 3" xfId="7465" xr:uid="{8DBE5621-201F-4C28-8C76-F3FA784E8DD1}"/>
    <cellStyle name="Comma 11 2 4 11 4 3 2" xfId="22645" xr:uid="{07D63486-4594-4DAB-9E31-1BB157DD1411}"/>
    <cellStyle name="Comma 11 2 4 11 4 4" xfId="19357" xr:uid="{29F501F9-7FFB-4A2C-91A3-04D4BD764D22}"/>
    <cellStyle name="Comma 11 2 4 11 5" xfId="2072" xr:uid="{D23AA5A8-6685-47CA-9598-FC4F5164B20D}"/>
    <cellStyle name="Comma 11 2 4 11 5 2" xfId="9569" xr:uid="{0F027171-9D02-498F-B78B-A41CB271240E}"/>
    <cellStyle name="Comma 11 2 4 11 5 2 2" xfId="24747" xr:uid="{90D71820-6A82-4777-AA90-5083C857EF69}"/>
    <cellStyle name="Comma 11 2 4 11 5 3" xfId="17287" xr:uid="{CAC40FBB-7893-44BC-9730-406503D37E17}"/>
    <cellStyle name="Comma 11 2 4 11 6" xfId="9055" xr:uid="{769E2D50-033C-41CC-9146-1D476D0C986E}"/>
    <cellStyle name="Comma 11 2 4 11 6 2" xfId="13228" xr:uid="{51875C4F-1CDE-47A1-9AED-7299033C1FDC}"/>
    <cellStyle name="Comma 11 2 4 11 6 2 2" xfId="28405" xr:uid="{9E9790FE-A043-48AC-A4D0-4B8B95F5F84A}"/>
    <cellStyle name="Comma 11 2 4 11 6 3" xfId="24233" xr:uid="{44B75612-A4FD-4FC3-A13B-110B409DA6F0}"/>
    <cellStyle name="Comma 11 2 4 11 7" xfId="5395" xr:uid="{A75736A6-4E9F-4092-9683-835F2075E24A}"/>
    <cellStyle name="Comma 11 2 4 11 7 2" xfId="20575" xr:uid="{E7724B2C-8AB0-4C0A-8B8B-B7F07DA6AD30}"/>
    <cellStyle name="Comma 11 2 4 11 8" xfId="16773" xr:uid="{AEB5B10A-6DDA-4817-A04B-EBB2B158FB9B}"/>
    <cellStyle name="Comma 11 2 4 12" xfId="1641" xr:uid="{DDEA83BC-AAFC-407E-8001-89377786214B}"/>
    <cellStyle name="Comma 11 2 4 12 2" xfId="3060" xr:uid="{B95172B9-9B8B-4B7E-9C3D-58DA4B251229}"/>
    <cellStyle name="Comma 11 2 4 12 2 2" xfId="10551" xr:uid="{E00733CF-199C-456C-B2EA-CC927D4D12B5}"/>
    <cellStyle name="Comma 11 2 4 12 2 2 2" xfId="14097" xr:uid="{4D55A901-7956-478E-AE6B-3597BCF25BA0}"/>
    <cellStyle name="Comma 11 2 4 12 2 2 2 2" xfId="29274" xr:uid="{3F5F8CDD-220B-4EE7-972A-E1F8B0CB240C}"/>
    <cellStyle name="Comma 11 2 4 12 2 2 3" xfId="25729" xr:uid="{AEDEA564-F5D2-491E-A2B6-6F3F9385E05B}"/>
    <cellStyle name="Comma 11 2 4 12 2 3" xfId="6377" xr:uid="{33E78CD6-A171-41DB-B6CF-029B6659C0B9}"/>
    <cellStyle name="Comma 11 2 4 12 2 3 2" xfId="21557" xr:uid="{811C6082-E507-40D8-BB3E-EE49C33930BD}"/>
    <cellStyle name="Comma 11 2 4 12 2 4" xfId="18269" xr:uid="{5BCDC998-6D6D-49A1-8921-E63F18FCC12E}"/>
    <cellStyle name="Comma 11 2 4 12 3" xfId="3947" xr:uid="{794E4940-4D6E-48FD-AA3C-17748EB333AC}"/>
    <cellStyle name="Comma 11 2 4 12 3 2" xfId="11435" xr:uid="{4773E401-135A-4B72-8891-C620ECE55DAB}"/>
    <cellStyle name="Comma 11 2 4 12 3 2 2" xfId="14981" xr:uid="{1DFF4DCC-3825-4A65-BD72-41D6A9141F0C}"/>
    <cellStyle name="Comma 11 2 4 12 3 2 2 2" xfId="30158" xr:uid="{9957544B-6D76-462A-8A32-330FD7CB3871}"/>
    <cellStyle name="Comma 11 2 4 12 3 2 3" xfId="26613" xr:uid="{50774171-A683-4E1B-81DB-1536C5E07057}"/>
    <cellStyle name="Comma 11 2 4 12 3 3" xfId="7261" xr:uid="{6B033417-21BA-458E-BDB3-D802690165FD}"/>
    <cellStyle name="Comma 11 2 4 12 3 3 2" xfId="22441" xr:uid="{646D6DC7-7771-407F-9B8F-DE3456800B91}"/>
    <cellStyle name="Comma 11 2 4 12 3 4" xfId="19153" xr:uid="{E4FBE596-EDFF-4D11-99D5-5678A40FA8B6}"/>
    <cellStyle name="Comma 11 2 4 12 4" xfId="4155" xr:uid="{99EA70BE-2AA6-491A-833A-EEAF26C34C50}"/>
    <cellStyle name="Comma 11 2 4 12 4 2" xfId="11640" xr:uid="{81D67A2E-4685-4E9A-B4E1-B2EEB1FCB440}"/>
    <cellStyle name="Comma 11 2 4 12 4 2 2" xfId="15186" xr:uid="{A6AF075A-8B70-4567-8533-44C3B7F8ED6D}"/>
    <cellStyle name="Comma 11 2 4 12 4 2 2 2" xfId="30363" xr:uid="{5178B4D9-3B96-49F3-A06F-2D28A38C4C6B}"/>
    <cellStyle name="Comma 11 2 4 12 4 2 3" xfId="26818" xr:uid="{583052FB-C75F-405D-BF27-08FE000F5A1D}"/>
    <cellStyle name="Comma 11 2 4 12 4 3" xfId="7466" xr:uid="{FA48F7D4-8FFB-473E-8045-0CC48FE1C892}"/>
    <cellStyle name="Comma 11 2 4 12 4 3 2" xfId="22646" xr:uid="{167ACB03-D98E-4414-8567-B16D132F851B}"/>
    <cellStyle name="Comma 11 2 4 12 4 4" xfId="19358" xr:uid="{7131274F-BB01-4894-B4C1-E09DC06AEF80}"/>
    <cellStyle name="Comma 11 2 4 12 5" xfId="2170" xr:uid="{6860C37C-5D79-4E0E-8CC8-1FB0BFF7386C}"/>
    <cellStyle name="Comma 11 2 4 12 5 2" xfId="9667" xr:uid="{DF1E5A9C-32DF-4FBB-AADA-68F089CFA421}"/>
    <cellStyle name="Comma 11 2 4 12 5 2 2" xfId="24845" xr:uid="{E09C38CD-69DA-4BE1-AF02-97F2F20723F6}"/>
    <cellStyle name="Comma 11 2 4 12 5 3" xfId="17385" xr:uid="{4BF93987-11F8-4666-9B46-67468984B2DB}"/>
    <cellStyle name="Comma 11 2 4 12 6" xfId="9153" xr:uid="{4AC80924-45AC-4748-914C-E833246B8B78}"/>
    <cellStyle name="Comma 11 2 4 12 6 2" xfId="13326" xr:uid="{526F5260-0E31-4F5D-BC58-E3904B151A19}"/>
    <cellStyle name="Comma 11 2 4 12 6 2 2" xfId="28503" xr:uid="{8F5F086C-0F87-4493-BC6B-9A32B54D6848}"/>
    <cellStyle name="Comma 11 2 4 12 6 3" xfId="24331" xr:uid="{6A1513C1-7B87-48F7-B041-5685CE67F450}"/>
    <cellStyle name="Comma 11 2 4 12 7" xfId="5493" xr:uid="{ACFDADF2-1BCB-4F54-8B36-39FA0F80D4B1}"/>
    <cellStyle name="Comma 11 2 4 12 7 2" xfId="20673" xr:uid="{5956C081-5F2F-46C1-AB01-8CB1E0AFB442}"/>
    <cellStyle name="Comma 11 2 4 12 8" xfId="16871" xr:uid="{1D858AAD-8696-4BAB-A4EF-80667D472497}"/>
    <cellStyle name="Comma 11 2 4 13" xfId="2270" xr:uid="{D9FAD543-3063-401B-86E1-214A1DFCDF52}"/>
    <cellStyle name="Comma 11 2 4 13 2" xfId="9765" xr:uid="{686BDEA9-73D5-4B15-B935-DB07BEFE6B89}"/>
    <cellStyle name="Comma 11 2 4 13 2 2" xfId="13424" xr:uid="{3CD78006-F1AB-464D-9886-2F4884CEEB3A}"/>
    <cellStyle name="Comma 11 2 4 13 2 2 2" xfId="28601" xr:uid="{98AD12D2-0631-4F0B-9382-1D66F047FF09}"/>
    <cellStyle name="Comma 11 2 4 13 2 3" xfId="24943" xr:uid="{87CCEAEE-E448-4F45-B6E0-CBD9E86AC3EC}"/>
    <cellStyle name="Comma 11 2 4 13 3" xfId="5591" xr:uid="{A8DFD5D2-F7EC-41C1-9431-4F147C61CF95}"/>
    <cellStyle name="Comma 11 2 4 13 3 2" xfId="20771" xr:uid="{6938F5B3-B589-4C80-812D-16CFC9E177B7}"/>
    <cellStyle name="Comma 11 2 4 13 4" xfId="17483" xr:uid="{140402B8-344A-4224-ABF9-864F1850E270}"/>
    <cellStyle name="Comma 11 2 4 14" xfId="3160" xr:uid="{ACF8FC1D-322D-4646-953B-F4474533C3D7}"/>
    <cellStyle name="Comma 11 2 4 14 2" xfId="10649" xr:uid="{4A918C9E-A7B0-4C40-B31E-C19A2D1430BA}"/>
    <cellStyle name="Comma 11 2 4 14 2 2" xfId="14195" xr:uid="{60279AF3-347E-48DE-BF0B-2D484C16C473}"/>
    <cellStyle name="Comma 11 2 4 14 2 2 2" xfId="29372" xr:uid="{FA45FC53-2822-4738-AA46-7947EAE2479F}"/>
    <cellStyle name="Comma 11 2 4 14 2 3" xfId="25827" xr:uid="{FC874412-32B2-467A-8B44-DAE8246CB069}"/>
    <cellStyle name="Comma 11 2 4 14 3" xfId="6475" xr:uid="{C0EF56E3-8069-4553-9CB0-0971EFCD4FD7}"/>
    <cellStyle name="Comma 11 2 4 14 3 2" xfId="21655" xr:uid="{15FF738E-ED12-4271-87B1-1A3B1D39639B}"/>
    <cellStyle name="Comma 11 2 4 14 4" xfId="18367" xr:uid="{93EB8B1D-A8E7-406B-9D4F-B0C585866F2D}"/>
    <cellStyle name="Comma 11 2 4 15" xfId="4156" xr:uid="{EFB847D5-AB19-42AF-903C-865581C6E107}"/>
    <cellStyle name="Comma 11 2 4 15 2" xfId="11641" xr:uid="{4962116D-9563-4917-8967-6CAD7DF374A5}"/>
    <cellStyle name="Comma 11 2 4 15 2 2" xfId="15187" xr:uid="{904EF0F4-25DD-4C8B-A15F-88507E09E37C}"/>
    <cellStyle name="Comma 11 2 4 15 2 2 2" xfId="30364" xr:uid="{711645D1-8AAC-4665-B719-8251AF5FDF51}"/>
    <cellStyle name="Comma 11 2 4 15 2 3" xfId="26819" xr:uid="{4B6A95F8-9499-4138-B402-1A690BDAF3B5}"/>
    <cellStyle name="Comma 11 2 4 15 3" xfId="7467" xr:uid="{A535244C-EAB5-44DE-A3EC-4A1BB9F992A6}"/>
    <cellStyle name="Comma 11 2 4 15 3 2" xfId="22647" xr:uid="{4723AB35-3AC1-4DFD-9CB5-CCD9FFAB0A92}"/>
    <cellStyle name="Comma 11 2 4 15 4" xfId="19359" xr:uid="{6C3FAEFD-BAED-4825-9F55-AF7CB98763AB}"/>
    <cellStyle name="Comma 11 2 4 16" xfId="8366" xr:uid="{34C7736B-2F1A-46F7-A072-2DF8F528D052}"/>
    <cellStyle name="Comma 11 2 4 16 2" xfId="12540" xr:uid="{0DB01E67-7889-46E0-A9F1-98444D11B9DD}"/>
    <cellStyle name="Comma 11 2 4 16 2 2" xfId="27717" xr:uid="{9F583AAF-A1D7-40DA-9D8A-3AEDEAC40138}"/>
    <cellStyle name="Comma 11 2 4 16 3" xfId="23545" xr:uid="{63A05D54-2501-47AE-813A-BBE5DF1635FD}"/>
    <cellStyle name="Comma 11 2 4 17" xfId="16085" xr:uid="{56ECD9FD-0DB8-4684-B3AE-D8B02F69B2BB}"/>
    <cellStyle name="Comma 11 2 4 18" xfId="31427" xr:uid="{9B5FC3C9-4F33-418C-8A9E-9A4640AD0489}"/>
    <cellStyle name="Comma 11 2 4 19" xfId="687" xr:uid="{7B2FF584-E3E3-4AC5-A209-0051644C3729}"/>
    <cellStyle name="Comma 11 2 4 2" xfId="560" xr:uid="{1A75EA4B-D126-4370-A939-841FA56984CA}"/>
    <cellStyle name="Comma 11 2 4 2 10" xfId="2295" xr:uid="{11932C58-0D80-40CD-A618-38851AB8B0E9}"/>
    <cellStyle name="Comma 11 2 4 2 10 2" xfId="9790" xr:uid="{8F9B749A-F10A-481C-AE9E-39CF4275F994}"/>
    <cellStyle name="Comma 11 2 4 2 10 2 2" xfId="13449" xr:uid="{EE2F68EB-6B6D-424A-8B7A-0ACDD03FD48B}"/>
    <cellStyle name="Comma 11 2 4 2 10 2 2 2" xfId="28626" xr:uid="{75AD804F-7ED5-45EA-B8BA-A225FE3604E8}"/>
    <cellStyle name="Comma 11 2 4 2 10 2 3" xfId="24968" xr:uid="{650AF538-FEE9-488A-9ED1-C0D388A27E25}"/>
    <cellStyle name="Comma 11 2 4 2 10 3" xfId="5616" xr:uid="{4EA5525A-BFC7-48A7-B57E-6483E1C6C896}"/>
    <cellStyle name="Comma 11 2 4 2 10 3 2" xfId="20796" xr:uid="{8069B2D5-C3C4-4527-9E89-16207206EFAD}"/>
    <cellStyle name="Comma 11 2 4 2 10 4" xfId="17508" xr:uid="{E2E78A2A-0AA4-4BE8-B0CE-7AC4E56663CE}"/>
    <cellStyle name="Comma 11 2 4 2 11" xfId="3185" xr:uid="{3EAD8A3C-9074-4E2E-B8AF-0817A3DBA577}"/>
    <cellStyle name="Comma 11 2 4 2 11 2" xfId="10674" xr:uid="{87713703-111F-42E0-A6F1-269B0B7F88F0}"/>
    <cellStyle name="Comma 11 2 4 2 11 2 2" xfId="14220" xr:uid="{5C5576A1-7CEA-43E6-BC3D-20CCE9895FEC}"/>
    <cellStyle name="Comma 11 2 4 2 11 2 2 2" xfId="29397" xr:uid="{9C72D337-08EA-49B1-B6D9-B05515924F90}"/>
    <cellStyle name="Comma 11 2 4 2 11 2 3" xfId="25852" xr:uid="{753A9055-698D-42E3-9476-1D327C62CFE4}"/>
    <cellStyle name="Comma 11 2 4 2 11 3" xfId="6500" xr:uid="{0185530F-052D-4E8A-8C00-950D6C289321}"/>
    <cellStyle name="Comma 11 2 4 2 11 3 2" xfId="21680" xr:uid="{1D7AE4F8-B6DA-43B0-A102-B46D1F39F3F6}"/>
    <cellStyle name="Comma 11 2 4 2 11 4" xfId="18392" xr:uid="{9638A1BC-66E3-4B05-948F-64E9637E86C8}"/>
    <cellStyle name="Comma 11 2 4 2 12" xfId="4157" xr:uid="{E99724BE-E1BF-4100-BABC-B2959ADE8474}"/>
    <cellStyle name="Comma 11 2 4 2 12 2" xfId="11642" xr:uid="{CE32FCEF-0275-4CB4-A41C-E4075DC876C0}"/>
    <cellStyle name="Comma 11 2 4 2 12 2 2" xfId="15188" xr:uid="{CC0B2425-6BB1-4E25-AEC7-49CB0BFD6ABE}"/>
    <cellStyle name="Comma 11 2 4 2 12 2 2 2" xfId="30365" xr:uid="{88E75F5E-1300-4837-80C0-2E56291F9368}"/>
    <cellStyle name="Comma 11 2 4 2 12 2 3" xfId="26820" xr:uid="{9CA695BB-BAFF-4A87-A72D-746B2725E3A9}"/>
    <cellStyle name="Comma 11 2 4 2 12 3" xfId="7468" xr:uid="{B8869FE8-2270-4168-925E-367CE0ED88AB}"/>
    <cellStyle name="Comma 11 2 4 2 12 3 2" xfId="22648" xr:uid="{7932DF41-D9D9-4F58-98A3-BC0FBF8076AF}"/>
    <cellStyle name="Comma 11 2 4 2 12 4" xfId="19360" xr:uid="{D2DD5CBF-694C-4CD7-859E-E8D26F067958}"/>
    <cellStyle name="Comma 11 2 4 2 13" xfId="8391" xr:uid="{517BBEEC-EF80-4181-86B5-E3BE33AF248C}"/>
    <cellStyle name="Comma 11 2 4 2 13 2" xfId="12565" xr:uid="{C60F94BA-1090-40A9-ABF4-2435D3E9D21E}"/>
    <cellStyle name="Comma 11 2 4 2 13 2 2" xfId="27742" xr:uid="{ED9989CC-85E9-4FC3-B1C1-299E93A829CC}"/>
    <cellStyle name="Comma 11 2 4 2 13 3" xfId="23570" xr:uid="{48D32AEB-2298-414A-B5DC-C6711AEEB5B4}"/>
    <cellStyle name="Comma 11 2 4 2 14" xfId="16110" xr:uid="{CD2E1FB3-4799-4CE0-8BEE-33D372D826D8}"/>
    <cellStyle name="Comma 11 2 4 2 15" xfId="31452" xr:uid="{7FA39908-000A-4FA0-8C19-A929200832AB}"/>
    <cellStyle name="Comma 11 2 4 2 16" xfId="722" xr:uid="{D7641748-AE6E-43F6-A00E-D05040DF1CFB}"/>
    <cellStyle name="Comma 11 2 4 2 2" xfId="774" xr:uid="{711B9AD7-6F20-4B8B-AA7D-702EB961F29E}"/>
    <cellStyle name="Comma 11 2 4 2 2 10" xfId="8440" xr:uid="{02102240-E89F-453A-B043-8EB4B5F11358}"/>
    <cellStyle name="Comma 11 2 4 2 2 10 2" xfId="12614" xr:uid="{AEC07745-534E-4634-89CA-A203C483BA93}"/>
    <cellStyle name="Comma 11 2 4 2 2 10 2 2" xfId="27791" xr:uid="{F46B40CC-DE88-43B9-8F69-0F2723A8B7E1}"/>
    <cellStyle name="Comma 11 2 4 2 2 10 3" xfId="23619" xr:uid="{FAD9674E-DBF5-4951-9CA6-56985DD10DFA}"/>
    <cellStyle name="Comma 11 2 4 2 2 11" xfId="16159" xr:uid="{49374ACD-A9EC-4C42-B686-6B2883670D2D}"/>
    <cellStyle name="Comma 11 2 4 2 2 12" xfId="31501" xr:uid="{1E5FA5D0-4CC4-4F03-ACBE-2E9EB0696602}"/>
    <cellStyle name="Comma 11 2 4 2 2 2" xfId="951" xr:uid="{BC11B5EF-1E18-4BFA-BE3B-531A5162D47F}"/>
    <cellStyle name="Comma 11 2 4 2 2 2 10" xfId="16281" xr:uid="{11E14FB8-7AA9-4E26-97BE-E6EBC2C165D5}"/>
    <cellStyle name="Comma 11 2 4 2 2 2 11" xfId="31371" xr:uid="{19BC4125-4BBC-4E46-8F4E-82AE8EC2D747}"/>
    <cellStyle name="Comma 11 2 4 2 2 2 12" xfId="31721" xr:uid="{C3A062C9-C5D4-46F5-9650-B2101886157A}"/>
    <cellStyle name="Comma 11 2 4 2 2 2 2" xfId="1312" xr:uid="{F9C86EBA-736E-49F1-978C-775A961C20D1}"/>
    <cellStyle name="Comma 11 2 4 2 2 2 2 2" xfId="3629" xr:uid="{EFCD5E52-2E04-450C-BC53-F004891474E9}"/>
    <cellStyle name="Comma 11 2 4 2 2 2 2 2 2" xfId="11117" xr:uid="{822104C4-076B-4018-84F4-2FEB49666DB9}"/>
    <cellStyle name="Comma 11 2 4 2 2 2 2 2 2 2" xfId="14663" xr:uid="{137877DA-BED3-48BF-8FAE-C3CD78766A3B}"/>
    <cellStyle name="Comma 11 2 4 2 2 2 2 2 2 2 2" xfId="29840" xr:uid="{7D2D6638-4E37-4C33-BFAE-16055ACEA42C}"/>
    <cellStyle name="Comma 11 2 4 2 2 2 2 2 2 3" xfId="26295" xr:uid="{CB91B7E4-82C2-4C3E-8DE8-603640136930}"/>
    <cellStyle name="Comma 11 2 4 2 2 2 2 2 3" xfId="6943" xr:uid="{CD9625B3-01EF-40B0-A183-D72A6A7E985A}"/>
    <cellStyle name="Comma 11 2 4 2 2 2 2 2 3 2" xfId="22123" xr:uid="{BDB1EA02-9C61-40A7-95DA-D78737CC4C8C}"/>
    <cellStyle name="Comma 11 2 4 2 2 2 2 2 4" xfId="18835" xr:uid="{117BD97D-2F73-4A95-8025-5B11F779963C}"/>
    <cellStyle name="Comma 11 2 4 2 2 2 2 3" xfId="4158" xr:uid="{B4EBE858-2C8C-4500-B799-EA108D276369}"/>
    <cellStyle name="Comma 11 2 4 2 2 2 2 3 2" xfId="11643" xr:uid="{4B30CBDE-7BE7-4935-9F70-3869C8B60D46}"/>
    <cellStyle name="Comma 11 2 4 2 2 2 2 3 2 2" xfId="15189" xr:uid="{7608C4F2-E4CC-4537-99C3-3C665B181EB7}"/>
    <cellStyle name="Comma 11 2 4 2 2 2 2 3 2 2 2" xfId="30366" xr:uid="{34C00504-6DB5-4C3C-8D73-95CB49B15A93}"/>
    <cellStyle name="Comma 11 2 4 2 2 2 2 3 2 3" xfId="26821" xr:uid="{4F40A2CD-DAFD-495D-A71B-CA7F2FF60786}"/>
    <cellStyle name="Comma 11 2 4 2 2 2 2 3 3" xfId="7469" xr:uid="{630A7F31-C8DF-4FE4-BD08-37BBF0DA0EA4}"/>
    <cellStyle name="Comma 11 2 4 2 2 2 2 3 3 2" xfId="22649" xr:uid="{47F5D58F-448E-4079-84F6-D3DBA64577A8}"/>
    <cellStyle name="Comma 11 2 4 2 2 2 2 3 4" xfId="19361" xr:uid="{02D025D0-354B-4604-9BEE-9805EEE21668}"/>
    <cellStyle name="Comma 11 2 4 2 2 2 2 4" xfId="2742" xr:uid="{3B883843-34C5-4EC0-A3D0-0BF0C60E73A8}"/>
    <cellStyle name="Comma 11 2 4 2 2 2 2 4 2" xfId="10233" xr:uid="{31C49E1C-4AEC-494C-9F43-7DD82F8FF987}"/>
    <cellStyle name="Comma 11 2 4 2 2 2 2 4 2 2" xfId="25411" xr:uid="{DFCDB78C-A4A0-49F5-85C6-EC416E3AD6F0}"/>
    <cellStyle name="Comma 11 2 4 2 2 2 2 4 3" xfId="17951" xr:uid="{83178886-F9D6-425C-8EB2-A97FA0EE5A7E}"/>
    <cellStyle name="Comma 11 2 4 2 2 2 2 5" xfId="8835" xr:uid="{067B7957-2825-49C9-BA06-309AF7B4CC0F}"/>
    <cellStyle name="Comma 11 2 4 2 2 2 2 5 2" xfId="13008" xr:uid="{941F6624-F63E-4F16-9E2F-47074350F478}"/>
    <cellStyle name="Comma 11 2 4 2 2 2 2 5 2 2" xfId="28185" xr:uid="{D3E82044-49AB-4222-B64F-07472E7C1A3F}"/>
    <cellStyle name="Comma 11 2 4 2 2 2 2 5 3" xfId="24013" xr:uid="{76625E3C-4F10-4ED0-94E6-60035A612C1B}"/>
    <cellStyle name="Comma 11 2 4 2 2 2 2 6" xfId="6059" xr:uid="{31FC0D9E-2366-4615-9178-B97099428095}"/>
    <cellStyle name="Comma 11 2 4 2 2 2 2 6 2" xfId="21239" xr:uid="{FB7E0453-D17E-461E-8358-2856591A4BA5}"/>
    <cellStyle name="Comma 11 2 4 2 2 2 2 7" xfId="16553" xr:uid="{C8F3BCA7-ECFF-49A4-8F2E-09A752C92FE7}"/>
    <cellStyle name="Comma 11 2 4 2 2 2 3" xfId="2469" xr:uid="{7458C758-EA62-4E0D-88C8-7E20CFD45618}"/>
    <cellStyle name="Comma 11 2 4 2 2 2 3 2" xfId="9961" xr:uid="{F671AD37-73A8-424D-9979-3FC8B6D00B8D}"/>
    <cellStyle name="Comma 11 2 4 2 2 2 3 2 2" xfId="13620" xr:uid="{E6003DDE-E5CA-487E-82F3-A0077B208FBA}"/>
    <cellStyle name="Comma 11 2 4 2 2 2 3 2 2 2" xfId="28797" xr:uid="{46422183-5E03-424E-934F-6AF3118A5A3B}"/>
    <cellStyle name="Comma 11 2 4 2 2 2 3 2 3" xfId="25139" xr:uid="{A5864A68-EC1E-4654-AB9E-0D286CC070C7}"/>
    <cellStyle name="Comma 11 2 4 2 2 2 3 3" xfId="5787" xr:uid="{5E46F0B5-9378-4BB7-A4A0-F34FC4E599BF}"/>
    <cellStyle name="Comma 11 2 4 2 2 2 3 3 2" xfId="20967" xr:uid="{8DC37F9A-EE15-4107-9181-2B6874E25CAA}"/>
    <cellStyle name="Comma 11 2 4 2 2 2 3 4" xfId="17679" xr:uid="{11A90B5B-FE7D-41F7-8BC8-765F2CA66E80}"/>
    <cellStyle name="Comma 11 2 4 2 2 2 4" xfId="3357" xr:uid="{6FD86AED-7E6B-4F5E-8473-736358B80F14}"/>
    <cellStyle name="Comma 11 2 4 2 2 2 4 2" xfId="10845" xr:uid="{0DF2D35C-6CC9-4CE2-B80C-8471F2498C0E}"/>
    <cellStyle name="Comma 11 2 4 2 2 2 4 2 2" xfId="14391" xr:uid="{47A0DB83-ECCA-47D9-89D5-F8855634A3A1}"/>
    <cellStyle name="Comma 11 2 4 2 2 2 4 2 2 2" xfId="29568" xr:uid="{8E11B8BC-AC1C-4276-92E3-CC31636426D8}"/>
    <cellStyle name="Comma 11 2 4 2 2 2 4 2 3" xfId="26023" xr:uid="{0FE4E972-9E7E-431C-8E9F-2D06FAE50297}"/>
    <cellStyle name="Comma 11 2 4 2 2 2 4 3" xfId="6671" xr:uid="{2D5491D7-320C-4B03-948D-76E836C17CE2}"/>
    <cellStyle name="Comma 11 2 4 2 2 2 4 3 2" xfId="21851" xr:uid="{30046744-6FFF-475A-83D5-DCA41C51F25B}"/>
    <cellStyle name="Comma 11 2 4 2 2 2 4 4" xfId="18563" xr:uid="{BF336266-B450-4BE4-8981-728D0E1000CB}"/>
    <cellStyle name="Comma 11 2 4 2 2 2 5" xfId="4159" xr:uid="{C47EA928-8BC7-4AFF-9BF8-D887344702FB}"/>
    <cellStyle name="Comma 11 2 4 2 2 2 5 2" xfId="11644" xr:uid="{6BAADD62-6D17-492B-9EFD-2A42E4A1B65B}"/>
    <cellStyle name="Comma 11 2 4 2 2 2 5 2 2" xfId="15190" xr:uid="{92A7DEAF-23BC-428B-AB9D-B5F0DBEC8014}"/>
    <cellStyle name="Comma 11 2 4 2 2 2 5 2 2 2" xfId="30367" xr:uid="{8FC203A2-9585-4D01-BB4A-E99B7FC9F021}"/>
    <cellStyle name="Comma 11 2 4 2 2 2 5 2 3" xfId="26822" xr:uid="{F648E04C-6BA7-4D38-AE49-659C8060E782}"/>
    <cellStyle name="Comma 11 2 4 2 2 2 5 3" xfId="7470" xr:uid="{74744BC5-3265-4B8A-A75A-972A997A7AEB}"/>
    <cellStyle name="Comma 11 2 4 2 2 2 5 3 2" xfId="22650" xr:uid="{74974B68-4C08-4C11-9EE2-E5C72715E01D}"/>
    <cellStyle name="Comma 11 2 4 2 2 2 5 4" xfId="19362" xr:uid="{CCC24D26-E5E0-4B08-9489-8EFF3FC33AE9}"/>
    <cellStyle name="Comma 11 2 4 2 2 2 6" xfId="5031" xr:uid="{5E3A733F-D33A-4BD6-8B58-88D22948D46A}"/>
    <cellStyle name="Comma 11 2 4 2 2 2 6 2" xfId="12515" xr:uid="{6DCB1200-C5A1-4081-B46B-CF5E12ACF1F0}"/>
    <cellStyle name="Comma 11 2 4 2 2 2 6 2 2" xfId="16061" xr:uid="{4CA755A5-62FF-493E-9155-6F84B3E99722}"/>
    <cellStyle name="Comma 11 2 4 2 2 2 6 2 2 2" xfId="31238" xr:uid="{6692D70A-D988-466B-8CE1-C811B5E1A35B}"/>
    <cellStyle name="Comma 11 2 4 2 2 2 6 2 3" xfId="27693" xr:uid="{C3C55A2D-2B10-47E2-9C83-C4DDCC0A4B15}"/>
    <cellStyle name="Comma 11 2 4 2 2 2 6 3" xfId="8341" xr:uid="{51EAB4C6-1C73-4168-9E54-8EA4B2A16E18}"/>
    <cellStyle name="Comma 11 2 4 2 2 2 6 3 2" xfId="23521" xr:uid="{7E8F9AA3-1341-4715-A680-84C0A2940F74}"/>
    <cellStyle name="Comma 11 2 4 2 2 2 6 4" xfId="20233" xr:uid="{F39EDBE2-E858-4599-8B93-1628757A188D}"/>
    <cellStyle name="Comma 11 2 4 2 2 2 7" xfId="1852" xr:uid="{BE89BDBA-97B1-40ED-8CA8-DF5D7A0EFD2D}"/>
    <cellStyle name="Comma 11 2 4 2 2 2 7 2" xfId="9349" xr:uid="{717A72CD-68BE-4A14-92A4-269DB4D208C5}"/>
    <cellStyle name="Comma 11 2 4 2 2 2 7 2 2" xfId="24527" xr:uid="{99B17D11-E444-44FF-8AE0-F6EBAEABB422}"/>
    <cellStyle name="Comma 11 2 4 2 2 2 7 3" xfId="17067" xr:uid="{1F6344DB-1226-4B5F-AEC9-4C7EE9B5C543}"/>
    <cellStyle name="Comma 11 2 4 2 2 2 8" xfId="8563" xr:uid="{A277EBF5-6B1C-40F1-BFF3-D1B1DBAB75EE}"/>
    <cellStyle name="Comma 11 2 4 2 2 2 8 2" xfId="12736" xr:uid="{2D0DCC98-4F95-430C-A689-B59EBB4F9058}"/>
    <cellStyle name="Comma 11 2 4 2 2 2 8 2 2" xfId="27913" xr:uid="{B826219D-3BD5-4D68-AE25-2220B9F2C235}"/>
    <cellStyle name="Comma 11 2 4 2 2 2 8 3" xfId="23741" xr:uid="{BA95E9A2-D519-4E2B-B6AF-73BB602A0F8F}"/>
    <cellStyle name="Comma 11 2 4 2 2 2 9" xfId="5175" xr:uid="{AC331354-5E7C-4DB6-88A2-4371DD591E75}"/>
    <cellStyle name="Comma 11 2 4 2 2 2 9 2" xfId="20355" xr:uid="{E2BB4A86-1F35-4A0B-9172-C1B01210408B}"/>
    <cellStyle name="Comma 11 2 4 2 2 3" xfId="1054" xr:uid="{D2E82F4F-EDC2-4E52-9BF8-FFFB48E95B70}"/>
    <cellStyle name="Comma 11 2 4 2 2 3 10" xfId="31599" xr:uid="{EE5517B9-1B40-42E3-B5D1-6A47FB575445}"/>
    <cellStyle name="Comma 11 2 4 2 2 3 2" xfId="1414" xr:uid="{F4DB5931-07CB-46E7-B70A-467F5FDBA4C1}"/>
    <cellStyle name="Comma 11 2 4 2 2 3 2 2" xfId="3727" xr:uid="{AF9FFD37-D90C-49DC-897F-DB097BC3964B}"/>
    <cellStyle name="Comma 11 2 4 2 2 3 2 2 2" xfId="11215" xr:uid="{B2F00D9C-87A1-45EF-88A0-BD9DCCD78CA2}"/>
    <cellStyle name="Comma 11 2 4 2 2 3 2 2 2 2" xfId="14761" xr:uid="{CDF8A171-6BA5-424D-A3F2-04D41FEF1F9D}"/>
    <cellStyle name="Comma 11 2 4 2 2 3 2 2 2 2 2" xfId="29938" xr:uid="{A3E64752-16C1-428E-9B6B-8FCEB077B772}"/>
    <cellStyle name="Comma 11 2 4 2 2 3 2 2 2 3" xfId="26393" xr:uid="{ED931ADB-AA8C-4656-A66B-B326E1333505}"/>
    <cellStyle name="Comma 11 2 4 2 2 3 2 2 3" xfId="7041" xr:uid="{02F0D5EC-013E-4CF1-9BF5-ABA965BAA039}"/>
    <cellStyle name="Comma 11 2 4 2 2 3 2 2 3 2" xfId="22221" xr:uid="{04D95DC2-431F-4F19-BF32-9D789DDBF537}"/>
    <cellStyle name="Comma 11 2 4 2 2 3 2 2 4" xfId="18933" xr:uid="{BF12EE8E-64B3-4D0B-AB79-FC13572BA60E}"/>
    <cellStyle name="Comma 11 2 4 2 2 3 2 3" xfId="4160" xr:uid="{DCC95E99-FCF1-4FCD-A9CE-3748988DBE1B}"/>
    <cellStyle name="Comma 11 2 4 2 2 3 2 3 2" xfId="11645" xr:uid="{54EA24A5-A3B8-4E8B-9910-7A058D607FDA}"/>
    <cellStyle name="Comma 11 2 4 2 2 3 2 3 2 2" xfId="15191" xr:uid="{E937BA46-E075-4DAA-A834-2546498D44CE}"/>
    <cellStyle name="Comma 11 2 4 2 2 3 2 3 2 2 2" xfId="30368" xr:uid="{64DB63E0-AAA2-48BE-A660-088CC5A1C49F}"/>
    <cellStyle name="Comma 11 2 4 2 2 3 2 3 2 3" xfId="26823" xr:uid="{6953D851-A846-473A-8E68-52B61ED0B978}"/>
    <cellStyle name="Comma 11 2 4 2 2 3 2 3 3" xfId="7471" xr:uid="{A1EB2114-C1FE-47B6-AB52-E43F090DB07F}"/>
    <cellStyle name="Comma 11 2 4 2 2 3 2 3 3 2" xfId="22651" xr:uid="{8313C6E8-C8D3-4227-9190-DCFFF19D84FE}"/>
    <cellStyle name="Comma 11 2 4 2 2 3 2 3 4" xfId="19363" xr:uid="{9038F06F-02DE-4CA8-8707-1001EFB0C17D}"/>
    <cellStyle name="Comma 11 2 4 2 2 3 2 4" xfId="2840" xr:uid="{A7C34B3E-75E6-4806-851A-A39EC7E90D60}"/>
    <cellStyle name="Comma 11 2 4 2 2 3 2 4 2" xfId="10331" xr:uid="{A2E89D56-5EDC-4358-A63B-888B234A0E08}"/>
    <cellStyle name="Comma 11 2 4 2 2 3 2 4 2 2" xfId="25509" xr:uid="{A0E66F2A-01DB-434C-B0F2-BB55654B8F3E}"/>
    <cellStyle name="Comma 11 2 4 2 2 3 2 4 3" xfId="18049" xr:uid="{209B56B0-7AA8-48EB-B54B-9A6EC89589FF}"/>
    <cellStyle name="Comma 11 2 4 2 2 3 2 5" xfId="8933" xr:uid="{F173E450-14CF-49FA-8AA9-690DC81322C7}"/>
    <cellStyle name="Comma 11 2 4 2 2 3 2 5 2" xfId="13106" xr:uid="{95348DFE-D661-4FCE-B3AD-F69AFA2706D0}"/>
    <cellStyle name="Comma 11 2 4 2 2 3 2 5 2 2" xfId="28283" xr:uid="{0A33FBE8-60C2-4F60-B762-8E2208D75BC3}"/>
    <cellStyle name="Comma 11 2 4 2 2 3 2 5 3" xfId="24111" xr:uid="{BF3DE7BE-228D-495D-BE57-445A8E9A3D13}"/>
    <cellStyle name="Comma 11 2 4 2 2 3 2 6" xfId="6157" xr:uid="{FB6A9D47-7D0B-4396-B751-305249DB579F}"/>
    <cellStyle name="Comma 11 2 4 2 2 3 2 6 2" xfId="21337" xr:uid="{18A5900A-8BB0-40DF-97A3-E063DB003BFE}"/>
    <cellStyle name="Comma 11 2 4 2 2 3 2 7" xfId="16651" xr:uid="{97A4E6CD-CE68-4ED2-A846-7830259BF6E1}"/>
    <cellStyle name="Comma 11 2 4 2 2 3 3" xfId="2567" xr:uid="{D769A8DE-44ED-4EDA-A7CF-D1707D18FC3D}"/>
    <cellStyle name="Comma 11 2 4 2 2 3 3 2" xfId="10059" xr:uid="{8045B550-6F38-460F-8992-7832B9CFC1ED}"/>
    <cellStyle name="Comma 11 2 4 2 2 3 3 2 2" xfId="13718" xr:uid="{73477CBC-FF80-4A66-9BA3-0FDB8F2DB8E6}"/>
    <cellStyle name="Comma 11 2 4 2 2 3 3 2 2 2" xfId="28895" xr:uid="{997FEDE5-DC22-4E3D-8140-BB455CEA8A9B}"/>
    <cellStyle name="Comma 11 2 4 2 2 3 3 2 3" xfId="25237" xr:uid="{525FAB64-73D8-49A3-B52E-D7346FE44114}"/>
    <cellStyle name="Comma 11 2 4 2 2 3 3 3" xfId="5885" xr:uid="{3C623496-95C4-447A-B069-8C0C1552C6FC}"/>
    <cellStyle name="Comma 11 2 4 2 2 3 3 3 2" xfId="21065" xr:uid="{EE73E323-0D3D-4D78-822A-A100DE1E9D97}"/>
    <cellStyle name="Comma 11 2 4 2 2 3 3 4" xfId="17777" xr:uid="{E9693840-B0B1-4C12-9BF0-D8FEE49C3B46}"/>
    <cellStyle name="Comma 11 2 4 2 2 3 4" xfId="3455" xr:uid="{BFACD937-ADAE-4DBA-B7C9-80DD8B548BF9}"/>
    <cellStyle name="Comma 11 2 4 2 2 3 4 2" xfId="10943" xr:uid="{5F021FD9-80EC-4852-B314-C2C8B7FC154E}"/>
    <cellStyle name="Comma 11 2 4 2 2 3 4 2 2" xfId="14489" xr:uid="{79A87F83-2E9D-4072-BAE1-99B84D61F0D3}"/>
    <cellStyle name="Comma 11 2 4 2 2 3 4 2 2 2" xfId="29666" xr:uid="{E232B2F6-2611-407F-BD81-9D4FF2DC7BCC}"/>
    <cellStyle name="Comma 11 2 4 2 2 3 4 2 3" xfId="26121" xr:uid="{64E78394-6871-4C84-B3AB-FB24C5177B68}"/>
    <cellStyle name="Comma 11 2 4 2 2 3 4 3" xfId="6769" xr:uid="{207B6CEB-D152-496F-9869-0355BEBD8B32}"/>
    <cellStyle name="Comma 11 2 4 2 2 3 4 3 2" xfId="21949" xr:uid="{A38C5009-2648-46E1-BBBC-1717C6C23A7C}"/>
    <cellStyle name="Comma 11 2 4 2 2 3 4 4" xfId="18661" xr:uid="{03B35464-CA28-4B42-ADAB-36B30D376602}"/>
    <cellStyle name="Comma 11 2 4 2 2 3 5" xfId="4161" xr:uid="{EE048215-B47D-4947-90D3-049EC6579299}"/>
    <cellStyle name="Comma 11 2 4 2 2 3 5 2" xfId="11646" xr:uid="{B7BBDD33-3675-41EA-A860-D7FA0C79E56B}"/>
    <cellStyle name="Comma 11 2 4 2 2 3 5 2 2" xfId="15192" xr:uid="{23E7243B-69FB-4C37-9E86-91E153FF3FF1}"/>
    <cellStyle name="Comma 11 2 4 2 2 3 5 2 2 2" xfId="30369" xr:uid="{E72DB4D6-0A35-4EE8-9BBF-96B5421BCBA0}"/>
    <cellStyle name="Comma 11 2 4 2 2 3 5 2 3" xfId="26824" xr:uid="{58C48B08-B69E-4127-831E-BF62017A7E5A}"/>
    <cellStyle name="Comma 11 2 4 2 2 3 5 3" xfId="7472" xr:uid="{DABDD694-937B-4F44-8EF7-A5FFB20F5FAF}"/>
    <cellStyle name="Comma 11 2 4 2 2 3 5 3 2" xfId="22652" xr:uid="{244A9BDF-14C7-4652-9FD6-AA55B2069EB8}"/>
    <cellStyle name="Comma 11 2 4 2 2 3 5 4" xfId="19364" xr:uid="{AF8FDF77-D6EB-4E02-A361-B935F11C4444}"/>
    <cellStyle name="Comma 11 2 4 2 2 3 6" xfId="1950" xr:uid="{C2347E66-A06D-48AC-B676-E548E9D44716}"/>
    <cellStyle name="Comma 11 2 4 2 2 3 6 2" xfId="9447" xr:uid="{FA12A9CD-A450-4126-AE85-9DFC7C932515}"/>
    <cellStyle name="Comma 11 2 4 2 2 3 6 2 2" xfId="24625" xr:uid="{F5083442-F2C4-4FEB-9C54-E920BF4F910C}"/>
    <cellStyle name="Comma 11 2 4 2 2 3 6 3" xfId="17165" xr:uid="{61760E8D-FC40-4254-9A48-D486D93AE0A2}"/>
    <cellStyle name="Comma 11 2 4 2 2 3 7" xfId="8661" xr:uid="{53D7BECB-6395-444D-B0C3-CC9BBA8AFC80}"/>
    <cellStyle name="Comma 11 2 4 2 2 3 7 2" xfId="12834" xr:uid="{33D02362-3ED2-4226-A174-58C2DB817A6E}"/>
    <cellStyle name="Comma 11 2 4 2 2 3 7 2 2" xfId="28011" xr:uid="{1AFD9A50-7263-47D9-8059-C0B600B2BA30}"/>
    <cellStyle name="Comma 11 2 4 2 2 3 7 3" xfId="23839" xr:uid="{41C7E09A-BFD4-42A6-A129-C36978BEFDE4}"/>
    <cellStyle name="Comma 11 2 4 2 2 3 8" xfId="5273" xr:uid="{D5748391-D3AF-445D-9714-86EF2CAF6E76}"/>
    <cellStyle name="Comma 11 2 4 2 2 3 8 2" xfId="20453" xr:uid="{2C04DFB9-FE10-434A-8F00-09ED5BF70F59}"/>
    <cellStyle name="Comma 11 2 4 2 2 3 9" xfId="16379" xr:uid="{2A067EA2-2A2A-4F67-B751-020159EE7B97}"/>
    <cellStyle name="Comma 11 2 4 2 2 4" xfId="1513" xr:uid="{EDDD9949-F8A4-4FE7-A76D-8DBF7283E929}"/>
    <cellStyle name="Comma 11 2 4 2 2 4 2" xfId="2938" xr:uid="{A4CAEB04-9004-46F5-BE44-B0D150B2896E}"/>
    <cellStyle name="Comma 11 2 4 2 2 4 2 2" xfId="10429" xr:uid="{74D0BE05-EBB8-405A-96B3-14DCE33E3D18}"/>
    <cellStyle name="Comma 11 2 4 2 2 4 2 2 2" xfId="13975" xr:uid="{7B15CF85-AAF9-40BF-B79C-F4A9C546A0A1}"/>
    <cellStyle name="Comma 11 2 4 2 2 4 2 2 2 2" xfId="29152" xr:uid="{278B0449-13F2-4E6E-8589-62051C0CC5AE}"/>
    <cellStyle name="Comma 11 2 4 2 2 4 2 2 3" xfId="25607" xr:uid="{D31790B6-8973-4E79-BBBE-E57072348B00}"/>
    <cellStyle name="Comma 11 2 4 2 2 4 2 3" xfId="6255" xr:uid="{E5642D40-D698-43F1-B652-DD7823448F83}"/>
    <cellStyle name="Comma 11 2 4 2 2 4 2 3 2" xfId="21435" xr:uid="{76DBF141-553E-4A04-8222-615183317336}"/>
    <cellStyle name="Comma 11 2 4 2 2 4 2 4" xfId="18147" xr:uid="{9282AB6B-9674-4A3D-B675-19E9CB5DB850}"/>
    <cellStyle name="Comma 11 2 4 2 2 4 3" xfId="3825" xr:uid="{08496D09-0F20-4D55-85F8-E5E9158A07E4}"/>
    <cellStyle name="Comma 11 2 4 2 2 4 3 2" xfId="11313" xr:uid="{63A78249-A0FF-4F1F-9935-51FEC050C670}"/>
    <cellStyle name="Comma 11 2 4 2 2 4 3 2 2" xfId="14859" xr:uid="{5C44AC97-E7A5-40BB-88EB-C6132C813303}"/>
    <cellStyle name="Comma 11 2 4 2 2 4 3 2 2 2" xfId="30036" xr:uid="{1CB991B1-285C-44C9-A82F-222A0342318D}"/>
    <cellStyle name="Comma 11 2 4 2 2 4 3 2 3" xfId="26491" xr:uid="{3D25BB98-A475-45E3-A7EC-5C865C81A028}"/>
    <cellStyle name="Comma 11 2 4 2 2 4 3 3" xfId="7139" xr:uid="{6A6F12B0-D8D5-4494-B301-7B2F278B69BC}"/>
    <cellStyle name="Comma 11 2 4 2 2 4 3 3 2" xfId="22319" xr:uid="{B223E99B-0090-4991-935C-430D320CBA57}"/>
    <cellStyle name="Comma 11 2 4 2 2 4 3 4" xfId="19031" xr:uid="{369EC716-C0E9-486C-B7D2-6AE448F05FD7}"/>
    <cellStyle name="Comma 11 2 4 2 2 4 4" xfId="4162" xr:uid="{2A8D17CA-8AAB-4237-B9CD-DFF2DDE81CA4}"/>
    <cellStyle name="Comma 11 2 4 2 2 4 4 2" xfId="11647" xr:uid="{F5311CDE-DADD-4BDD-9F2B-D6F6BCAABD4E}"/>
    <cellStyle name="Comma 11 2 4 2 2 4 4 2 2" xfId="15193" xr:uid="{DF4F7CC5-17A7-4233-A7C7-368EC9CB2BA3}"/>
    <cellStyle name="Comma 11 2 4 2 2 4 4 2 2 2" xfId="30370" xr:uid="{5D1DD80D-6958-456F-8E7C-ED826151882B}"/>
    <cellStyle name="Comma 11 2 4 2 2 4 4 2 3" xfId="26825" xr:uid="{9569FDF1-6C49-44C2-9764-C1C93C339195}"/>
    <cellStyle name="Comma 11 2 4 2 2 4 4 3" xfId="7473" xr:uid="{D83C9FC7-49CC-4F64-96D2-CD167CC1E581}"/>
    <cellStyle name="Comma 11 2 4 2 2 4 4 3 2" xfId="22653" xr:uid="{0CCAC3F8-4BB5-47FD-8345-35F680D0D34F}"/>
    <cellStyle name="Comma 11 2 4 2 2 4 4 4" xfId="19365" xr:uid="{B38988B9-C14D-495F-AF92-F7DBE65529FE}"/>
    <cellStyle name="Comma 11 2 4 2 2 4 5" xfId="2048" xr:uid="{212C1C8B-10FE-43DE-8F43-5B2857CEBE22}"/>
    <cellStyle name="Comma 11 2 4 2 2 4 5 2" xfId="9545" xr:uid="{A9EC45F1-BA5A-4037-8489-CACC01578F19}"/>
    <cellStyle name="Comma 11 2 4 2 2 4 5 2 2" xfId="24723" xr:uid="{B975D4DB-D21A-46EF-83AF-4B113E302839}"/>
    <cellStyle name="Comma 11 2 4 2 2 4 5 3" xfId="17263" xr:uid="{E6649106-37A6-42ED-BE5F-78C9FA4D02B5}"/>
    <cellStyle name="Comma 11 2 4 2 2 4 6" xfId="9031" xr:uid="{732F8EE4-346A-4CC1-8543-8763E0AE9424}"/>
    <cellStyle name="Comma 11 2 4 2 2 4 6 2" xfId="13204" xr:uid="{58273163-B9AA-4BDC-AEEA-E056542B2DD1}"/>
    <cellStyle name="Comma 11 2 4 2 2 4 6 2 2" xfId="28381" xr:uid="{6689CA3D-2F9C-488B-8C26-C1F052AEBBEE}"/>
    <cellStyle name="Comma 11 2 4 2 2 4 6 3" xfId="24209" xr:uid="{D58D54B9-81A9-42AF-9346-092F80681854}"/>
    <cellStyle name="Comma 11 2 4 2 2 4 7" xfId="5371" xr:uid="{6EAD192C-959F-46B3-BD42-8E6CC09541CD}"/>
    <cellStyle name="Comma 11 2 4 2 2 4 7 2" xfId="20551" xr:uid="{5A52E2FB-097A-4144-9DF2-DF7207646784}"/>
    <cellStyle name="Comma 11 2 4 2 2 4 8" xfId="16749" xr:uid="{4E4E6557-B6FB-45A7-BB9C-E9A33796DA9B}"/>
    <cellStyle name="Comma 11 2 4 2 2 5" xfId="1616" xr:uid="{D829716B-25DF-4E22-9333-2FD2AEA85E3B}"/>
    <cellStyle name="Comma 11 2 4 2 2 5 2" xfId="3036" xr:uid="{7D260434-71DA-4362-BE43-BBDD47D916BE}"/>
    <cellStyle name="Comma 11 2 4 2 2 5 2 2" xfId="10527" xr:uid="{CA297234-1D14-4ABB-B1A3-4056E85A15AB}"/>
    <cellStyle name="Comma 11 2 4 2 2 5 2 2 2" xfId="14073" xr:uid="{0F956F52-F469-4D31-835E-9624DEC975DB}"/>
    <cellStyle name="Comma 11 2 4 2 2 5 2 2 2 2" xfId="29250" xr:uid="{BA17250A-CC1E-4ECB-A1EE-A556D11C0580}"/>
    <cellStyle name="Comma 11 2 4 2 2 5 2 2 3" xfId="25705" xr:uid="{92C04F7D-430D-4152-AF92-25F77225F6EA}"/>
    <cellStyle name="Comma 11 2 4 2 2 5 2 3" xfId="6353" xr:uid="{97BB6047-6C2C-428F-96A4-BF8F26560282}"/>
    <cellStyle name="Comma 11 2 4 2 2 5 2 3 2" xfId="21533" xr:uid="{1CE640C0-2A95-43B6-8760-8D0E03C05C94}"/>
    <cellStyle name="Comma 11 2 4 2 2 5 2 4" xfId="18245" xr:uid="{B48D4118-EC10-4B62-9817-140F6E27C1A6}"/>
    <cellStyle name="Comma 11 2 4 2 2 5 3" xfId="3923" xr:uid="{E9511FAF-40DC-4680-A316-54EBB1A5B7D6}"/>
    <cellStyle name="Comma 11 2 4 2 2 5 3 2" xfId="11411" xr:uid="{00CDB369-0185-4DC2-832D-BB0DAE900FC3}"/>
    <cellStyle name="Comma 11 2 4 2 2 5 3 2 2" xfId="14957" xr:uid="{7AD6D53F-598B-4A90-8672-E11B31ECEFC1}"/>
    <cellStyle name="Comma 11 2 4 2 2 5 3 2 2 2" xfId="30134" xr:uid="{2CABD1BB-2EF4-43B6-81B0-270F00B700D8}"/>
    <cellStyle name="Comma 11 2 4 2 2 5 3 2 3" xfId="26589" xr:uid="{9D145531-8DC7-4570-A068-0F15C42F1524}"/>
    <cellStyle name="Comma 11 2 4 2 2 5 3 3" xfId="7237" xr:uid="{0597E4DD-4BFC-40A0-8F70-28B75E1473FE}"/>
    <cellStyle name="Comma 11 2 4 2 2 5 3 3 2" xfId="22417" xr:uid="{F93BE347-2760-466E-9D4A-BEC02036AD89}"/>
    <cellStyle name="Comma 11 2 4 2 2 5 3 4" xfId="19129" xr:uid="{C8C7CE32-5EF5-4DA6-9C7E-A50AC0A2A241}"/>
    <cellStyle name="Comma 11 2 4 2 2 5 4" xfId="4163" xr:uid="{B75803B2-16D5-4AE3-86A8-355C9137A460}"/>
    <cellStyle name="Comma 11 2 4 2 2 5 4 2" xfId="11648" xr:uid="{1C06EB8E-646E-47EE-9F87-DBCD832254F5}"/>
    <cellStyle name="Comma 11 2 4 2 2 5 4 2 2" xfId="15194" xr:uid="{A0EA1F72-040C-4F28-9927-90C9C9E91100}"/>
    <cellStyle name="Comma 11 2 4 2 2 5 4 2 2 2" xfId="30371" xr:uid="{9FD944AF-FFE2-4101-B09F-C9E227151CC3}"/>
    <cellStyle name="Comma 11 2 4 2 2 5 4 2 3" xfId="26826" xr:uid="{2FFBA79C-EABA-4A56-952F-156123657381}"/>
    <cellStyle name="Comma 11 2 4 2 2 5 4 3" xfId="7474" xr:uid="{0831E983-68FB-4D96-B68F-3F8C3D10E8E4}"/>
    <cellStyle name="Comma 11 2 4 2 2 5 4 3 2" xfId="22654" xr:uid="{3CC93652-4088-47C7-8553-BCC9F842EF24}"/>
    <cellStyle name="Comma 11 2 4 2 2 5 4 4" xfId="19366" xr:uid="{CC2DD7EC-F88F-41E0-8F06-060CAEA64587}"/>
    <cellStyle name="Comma 11 2 4 2 2 5 5" xfId="2146" xr:uid="{AE9F0020-60D4-4BBC-AECC-65CCBD28A668}"/>
    <cellStyle name="Comma 11 2 4 2 2 5 5 2" xfId="9643" xr:uid="{E1194BA7-AB01-4038-8149-5E519CB47933}"/>
    <cellStyle name="Comma 11 2 4 2 2 5 5 2 2" xfId="24821" xr:uid="{7FFBF3C7-DC1E-43CE-83F0-0AF94364BB3B}"/>
    <cellStyle name="Comma 11 2 4 2 2 5 5 3" xfId="17361" xr:uid="{04C28E1C-46D9-44E3-A92D-2DC4CE0CA8C8}"/>
    <cellStyle name="Comma 11 2 4 2 2 5 6" xfId="9129" xr:uid="{3A091963-0E79-4F73-8CE0-0B961EB5B653}"/>
    <cellStyle name="Comma 11 2 4 2 2 5 6 2" xfId="13302" xr:uid="{8E688024-6729-4C41-B61A-22BA2509CBB5}"/>
    <cellStyle name="Comma 11 2 4 2 2 5 6 2 2" xfId="28479" xr:uid="{55412E92-5FFB-4E02-9A21-8384FDFB16C8}"/>
    <cellStyle name="Comma 11 2 4 2 2 5 6 3" xfId="24307" xr:uid="{C314B0FD-B48E-414C-AEAF-9F7220096E83}"/>
    <cellStyle name="Comma 11 2 4 2 2 5 7" xfId="5469" xr:uid="{E5ED851D-43B3-4504-AE8B-BB2D361DC9D2}"/>
    <cellStyle name="Comma 11 2 4 2 2 5 7 2" xfId="20649" xr:uid="{5FFD0669-6055-4447-A8AA-988A986BEEFE}"/>
    <cellStyle name="Comma 11 2 4 2 2 5 8" xfId="16847" xr:uid="{F297C9A6-54F1-4EC1-ABDB-9A32BD40412F}"/>
    <cellStyle name="Comma 11 2 4 2 2 6" xfId="1715" xr:uid="{B9D94314-DD55-4B68-BFC5-E51E9182C9E1}"/>
    <cellStyle name="Comma 11 2 4 2 2 6 2" xfId="3134" xr:uid="{D941C51D-64C9-4B57-A912-896224C67451}"/>
    <cellStyle name="Comma 11 2 4 2 2 6 2 2" xfId="10625" xr:uid="{54141074-3BDB-4035-9500-C0AA100CB5E6}"/>
    <cellStyle name="Comma 11 2 4 2 2 6 2 2 2" xfId="14171" xr:uid="{12854C23-193C-41E5-ADCF-1D23CF3498EC}"/>
    <cellStyle name="Comma 11 2 4 2 2 6 2 2 2 2" xfId="29348" xr:uid="{DE940EA9-4746-4CD0-A4F8-0A902E6F8618}"/>
    <cellStyle name="Comma 11 2 4 2 2 6 2 2 3" xfId="25803" xr:uid="{17FCB0F2-FE35-47D7-A613-AC29E630597F}"/>
    <cellStyle name="Comma 11 2 4 2 2 6 2 3" xfId="6451" xr:uid="{5AEA10BE-A958-4725-8F4A-72C89FC59518}"/>
    <cellStyle name="Comma 11 2 4 2 2 6 2 3 2" xfId="21631" xr:uid="{F1FA7B43-D811-4FCF-BF81-0969329FCF67}"/>
    <cellStyle name="Comma 11 2 4 2 2 6 2 4" xfId="18343" xr:uid="{DFD5908D-CB76-45E1-A250-2E08FB79F4A0}"/>
    <cellStyle name="Comma 11 2 4 2 2 6 3" xfId="4021" xr:uid="{1C3F7E13-EDB8-45A3-B488-E4F412C6ECA6}"/>
    <cellStyle name="Comma 11 2 4 2 2 6 3 2" xfId="11509" xr:uid="{6F59B879-1297-4605-8706-4BB69B790EDE}"/>
    <cellStyle name="Comma 11 2 4 2 2 6 3 2 2" xfId="15055" xr:uid="{CB4115FE-050A-484C-8CD9-AFDE3BA4C1CD}"/>
    <cellStyle name="Comma 11 2 4 2 2 6 3 2 2 2" xfId="30232" xr:uid="{1CF63FA6-E698-41EE-ACAA-0AF4605989D7}"/>
    <cellStyle name="Comma 11 2 4 2 2 6 3 2 3" xfId="26687" xr:uid="{06F26959-390E-4B18-A91C-EBEDD1B646CB}"/>
    <cellStyle name="Comma 11 2 4 2 2 6 3 3" xfId="7335" xr:uid="{E24C86BD-D32B-493D-8C49-E5E3E9A4FC84}"/>
    <cellStyle name="Comma 11 2 4 2 2 6 3 3 2" xfId="22515" xr:uid="{E3B43370-1580-442D-AE3B-4607CA0F3968}"/>
    <cellStyle name="Comma 11 2 4 2 2 6 3 4" xfId="19227" xr:uid="{11C11EF0-12D9-4181-B050-9D2508D2F53A}"/>
    <cellStyle name="Comma 11 2 4 2 2 6 4" xfId="4164" xr:uid="{387460F1-9F86-489F-92BF-4FF6DD4682FB}"/>
    <cellStyle name="Comma 11 2 4 2 2 6 4 2" xfId="11649" xr:uid="{4E20121E-8C05-4762-A64A-CF023D422AA0}"/>
    <cellStyle name="Comma 11 2 4 2 2 6 4 2 2" xfId="15195" xr:uid="{98528B0E-AED0-4FC3-A76B-A242BBCD8EB3}"/>
    <cellStyle name="Comma 11 2 4 2 2 6 4 2 2 2" xfId="30372" xr:uid="{3C437A1F-F6EE-474F-BBA3-F957C6E8A488}"/>
    <cellStyle name="Comma 11 2 4 2 2 6 4 2 3" xfId="26827" xr:uid="{EC7201F0-F34C-497F-81F1-3473A0E88A6D}"/>
    <cellStyle name="Comma 11 2 4 2 2 6 4 3" xfId="7475" xr:uid="{60512B9C-0752-4C7C-A54C-A3867645B337}"/>
    <cellStyle name="Comma 11 2 4 2 2 6 4 3 2" xfId="22655" xr:uid="{8028EA83-6CB1-47BA-B3A7-4420BDD63283}"/>
    <cellStyle name="Comma 11 2 4 2 2 6 4 4" xfId="19367" xr:uid="{547B90F6-E63E-4EF1-9FFA-3AC1898F7A81}"/>
    <cellStyle name="Comma 11 2 4 2 2 6 5" xfId="2244" xr:uid="{7AE74EE8-7B74-417C-9032-B5612DB708DC}"/>
    <cellStyle name="Comma 11 2 4 2 2 6 5 2" xfId="9741" xr:uid="{B329DE78-42B3-44CB-A64F-D876CBD312E0}"/>
    <cellStyle name="Comma 11 2 4 2 2 6 5 2 2" xfId="24919" xr:uid="{2312633C-1D2E-4C6E-B62E-962FA8E72050}"/>
    <cellStyle name="Comma 11 2 4 2 2 6 5 3" xfId="17459" xr:uid="{C276A003-1D58-45CA-8117-03E7F2F3BA63}"/>
    <cellStyle name="Comma 11 2 4 2 2 6 6" xfId="9227" xr:uid="{C20C314A-B648-4A6B-B1EA-882DB5ED83FD}"/>
    <cellStyle name="Comma 11 2 4 2 2 6 6 2" xfId="13400" xr:uid="{989FE867-51F1-450A-8902-6FC7E8B001A5}"/>
    <cellStyle name="Comma 11 2 4 2 2 6 6 2 2" xfId="28577" xr:uid="{1ED91BEE-01F6-4B61-BC7B-AF845B039736}"/>
    <cellStyle name="Comma 11 2 4 2 2 6 6 3" xfId="24405" xr:uid="{C46AFA0C-622D-4371-99A7-737010650052}"/>
    <cellStyle name="Comma 11 2 4 2 2 6 7" xfId="5567" xr:uid="{E57602CB-54A9-4FF1-90E1-7B53B850A0F1}"/>
    <cellStyle name="Comma 11 2 4 2 2 6 7 2" xfId="20747" xr:uid="{843B0B21-1B6F-4B77-8463-B8C0FFB27C11}"/>
    <cellStyle name="Comma 11 2 4 2 2 6 8" xfId="16945" xr:uid="{E5CF1332-75D6-446B-B1DE-DBC8C1CC0D02}"/>
    <cellStyle name="Comma 11 2 4 2 2 7" xfId="2344" xr:uid="{79629077-5E3D-46FC-8DEB-8FFC29B4AAE8}"/>
    <cellStyle name="Comma 11 2 4 2 2 7 2" xfId="9839" xr:uid="{5D5B372F-743A-4EB4-B44F-5671AAC65E5C}"/>
    <cellStyle name="Comma 11 2 4 2 2 7 2 2" xfId="13498" xr:uid="{5CBF7050-FC11-42C9-A801-397B473BFBE3}"/>
    <cellStyle name="Comma 11 2 4 2 2 7 2 2 2" xfId="28675" xr:uid="{318B3FE1-36E7-40E7-A284-375FE7536E4C}"/>
    <cellStyle name="Comma 11 2 4 2 2 7 2 3" xfId="25017" xr:uid="{3ADCF704-4E1F-401E-BFD7-0F3921E3B5DA}"/>
    <cellStyle name="Comma 11 2 4 2 2 7 3" xfId="5665" xr:uid="{62F6748E-D9AE-4994-A909-3405718D696D}"/>
    <cellStyle name="Comma 11 2 4 2 2 7 3 2" xfId="20845" xr:uid="{84C8FB3C-7666-46AD-92F4-5574E3F48722}"/>
    <cellStyle name="Comma 11 2 4 2 2 7 4" xfId="17557" xr:uid="{EEC681F5-041E-4525-9CD3-8EEF24E2BA26}"/>
    <cellStyle name="Comma 11 2 4 2 2 8" xfId="3234" xr:uid="{52097BCB-13A7-47FB-B70B-865BD3A7C4D0}"/>
    <cellStyle name="Comma 11 2 4 2 2 8 2" xfId="10723" xr:uid="{703CC5BB-E578-4642-BD2D-CEC2EAFDC8F3}"/>
    <cellStyle name="Comma 11 2 4 2 2 8 2 2" xfId="14269" xr:uid="{3C11C627-5CD2-4350-BFB3-65DD0EA29324}"/>
    <cellStyle name="Comma 11 2 4 2 2 8 2 2 2" xfId="29446" xr:uid="{4F32E97C-C70F-441D-A600-22FDEECA3F88}"/>
    <cellStyle name="Comma 11 2 4 2 2 8 2 3" xfId="25901" xr:uid="{A92A89AC-29E3-4CB8-9595-C7BCA608A815}"/>
    <cellStyle name="Comma 11 2 4 2 2 8 3" xfId="6549" xr:uid="{D3CC58F2-CB3A-4DD7-B40F-391EF08B1F01}"/>
    <cellStyle name="Comma 11 2 4 2 2 8 3 2" xfId="21729" xr:uid="{BCC3DD2E-A68F-47D3-A3A9-B856A9CA868B}"/>
    <cellStyle name="Comma 11 2 4 2 2 8 4" xfId="18441" xr:uid="{83334C20-D48E-488F-BB35-5B68E5AE8C92}"/>
    <cellStyle name="Comma 11 2 4 2 2 9" xfId="4165" xr:uid="{F1E7888E-EF55-49D5-AE2C-FA498B734DCA}"/>
    <cellStyle name="Comma 11 2 4 2 2 9 2" xfId="11650" xr:uid="{52731F7F-D2FA-46E5-991E-3D50D85F5C4B}"/>
    <cellStyle name="Comma 11 2 4 2 2 9 2 2" xfId="15196" xr:uid="{F0C3A4DF-E2E1-4232-8758-B75A11DDCDEF}"/>
    <cellStyle name="Comma 11 2 4 2 2 9 2 2 2" xfId="30373" xr:uid="{286FA188-D60F-4AAE-8A39-CE7898176E6C}"/>
    <cellStyle name="Comma 11 2 4 2 2 9 2 3" xfId="26828" xr:uid="{14A67B30-9FEB-45C1-AFF1-432A54F0BC6D}"/>
    <cellStyle name="Comma 11 2 4 2 2 9 3" xfId="7476" xr:uid="{1DCFF264-739A-41E6-A266-0E0E5FB0BBA3}"/>
    <cellStyle name="Comma 11 2 4 2 2 9 3 2" xfId="22656" xr:uid="{6196C171-6E83-4B14-BD19-391C47C207D5}"/>
    <cellStyle name="Comma 11 2 4 2 2 9 4" xfId="19368" xr:uid="{0D895816-E65D-48C7-B438-ACA1E7883640}"/>
    <cellStyle name="Comma 11 2 4 2 3" xfId="902" xr:uid="{F7996C07-72CD-43F3-A6AA-72D5FB8B2A1B}"/>
    <cellStyle name="Comma 11 2 4 2 3 2" xfId="2420" xr:uid="{66E8A9B3-B79A-432F-8C87-51AB47CF121D}"/>
    <cellStyle name="Comma 11 2 4 2 3 2 2" xfId="9912" xr:uid="{0A07DD1D-B23B-4F01-930B-7A207A7F5309}"/>
    <cellStyle name="Comma 11 2 4 2 3 2 2 2" xfId="13571" xr:uid="{6E0AA381-6CAA-48BF-9090-1E8817D2C8D9}"/>
    <cellStyle name="Comma 11 2 4 2 3 2 2 2 2" xfId="28748" xr:uid="{1B8817DB-FAF7-48CA-BF51-76022EAB97BB}"/>
    <cellStyle name="Comma 11 2 4 2 3 2 2 3" xfId="25090" xr:uid="{7633BF1A-D72E-4418-9239-F4110A6AE63C}"/>
    <cellStyle name="Comma 11 2 4 2 3 2 3" xfId="5738" xr:uid="{54923D9B-E980-4E2B-949C-7E81CD29E42C}"/>
    <cellStyle name="Comma 11 2 4 2 3 2 3 2" xfId="20918" xr:uid="{4D1CF400-FE7A-4981-B5B6-A6280DCE5CA0}"/>
    <cellStyle name="Comma 11 2 4 2 3 2 4" xfId="17630" xr:uid="{3C757DDF-3A3E-43AA-8D9A-87080C7572A6}"/>
    <cellStyle name="Comma 11 2 4 2 3 3" xfId="3308" xr:uid="{3D3FFF8A-7C22-4674-BC74-BCEAFDC236A1}"/>
    <cellStyle name="Comma 11 2 4 2 3 3 2" xfId="10796" xr:uid="{32C00A5E-1DE6-478C-91A2-D30DE297BCBC}"/>
    <cellStyle name="Comma 11 2 4 2 3 3 2 2" xfId="14342" xr:uid="{50EBAFC5-E83A-4D46-99B9-BBA6EBAF0FB1}"/>
    <cellStyle name="Comma 11 2 4 2 3 3 2 2 2" xfId="29519" xr:uid="{DD619233-7942-44D2-B488-58E08329DF45}"/>
    <cellStyle name="Comma 11 2 4 2 3 3 2 3" xfId="25974" xr:uid="{B15F1D7B-2CC2-4FAF-9DAE-B987900D86E0}"/>
    <cellStyle name="Comma 11 2 4 2 3 3 3" xfId="6622" xr:uid="{895C2DB2-8CDA-4D9F-92E7-0D8820A1127C}"/>
    <cellStyle name="Comma 11 2 4 2 3 3 3 2" xfId="21802" xr:uid="{0C3FA67C-33C3-4AB0-8556-28C30861B4FE}"/>
    <cellStyle name="Comma 11 2 4 2 3 3 4" xfId="18514" xr:uid="{0E0D8895-B885-4D1C-A4B3-CD118F842992}"/>
    <cellStyle name="Comma 11 2 4 2 3 4" xfId="4166" xr:uid="{A0A139BF-FA8B-48C0-9518-77A982B8D62E}"/>
    <cellStyle name="Comma 11 2 4 2 3 4 2" xfId="11651" xr:uid="{207300B5-1B68-42FE-936B-EEBBFF20C424}"/>
    <cellStyle name="Comma 11 2 4 2 3 4 2 2" xfId="15197" xr:uid="{677DA856-8776-4E81-8B18-EB1765A06DB3}"/>
    <cellStyle name="Comma 11 2 4 2 3 4 2 2 2" xfId="30374" xr:uid="{70848923-7240-44AE-8C8B-C8F4F29E9A18}"/>
    <cellStyle name="Comma 11 2 4 2 3 4 2 3" xfId="26829" xr:uid="{DCD68A8B-FFC9-4926-ABC2-02F816A41202}"/>
    <cellStyle name="Comma 11 2 4 2 3 4 3" xfId="7477" xr:uid="{81CA4A83-4270-478A-B326-2E038CDC88C3}"/>
    <cellStyle name="Comma 11 2 4 2 3 4 3 2" xfId="22657" xr:uid="{13634E45-5561-447D-8B1C-B36F65AB4AFF}"/>
    <cellStyle name="Comma 11 2 4 2 3 4 4" xfId="19369" xr:uid="{D3B442CF-5550-48CB-BAAD-508276C92812}"/>
    <cellStyle name="Comma 11 2 4 2 3 5" xfId="8514" xr:uid="{F1D0C55D-F42E-4A01-B728-4FEE4C3EA48B}"/>
    <cellStyle name="Comma 11 2 4 2 3 5 2" xfId="12687" xr:uid="{BAB18A79-DCB0-48EA-B4DC-A928360B9107}"/>
    <cellStyle name="Comma 11 2 4 2 3 5 2 2" xfId="27864" xr:uid="{C21D658D-BD6F-4E59-9092-753B178AB3E5}"/>
    <cellStyle name="Comma 11 2 4 2 3 5 3" xfId="23692" xr:uid="{CBF16550-CB92-41A1-B26A-700244E36253}"/>
    <cellStyle name="Comma 11 2 4 2 3 6" xfId="16232" xr:uid="{B71D3573-FF19-4BAF-B21F-66BC4E072751}"/>
    <cellStyle name="Comma 11 2 4 2 3 7" xfId="31672" xr:uid="{DCE64DE1-4BDB-4503-B29B-8D0C56A800F5}"/>
    <cellStyle name="Comma 11 2 4 2 4" xfId="1005" xr:uid="{4BDB652E-624E-4005-9203-E1DD58922B7B}"/>
    <cellStyle name="Comma 11 2 4 2 4 2" xfId="2518" xr:uid="{ED9704E7-20C4-4CC3-AC8D-D933F65122EF}"/>
    <cellStyle name="Comma 11 2 4 2 4 2 2" xfId="10010" xr:uid="{8E5E6F89-EB0C-4BCD-B9B6-17F85AE717F5}"/>
    <cellStyle name="Comma 11 2 4 2 4 2 2 2" xfId="13669" xr:uid="{6819E187-0800-4C05-908B-D3C2112824E9}"/>
    <cellStyle name="Comma 11 2 4 2 4 2 2 2 2" xfId="28846" xr:uid="{F7161E8B-8A9F-435C-9193-9961213BE3FD}"/>
    <cellStyle name="Comma 11 2 4 2 4 2 2 3" xfId="25188" xr:uid="{20CF012B-CB81-4E21-AFFF-3BACC374E27C}"/>
    <cellStyle name="Comma 11 2 4 2 4 2 3" xfId="5836" xr:uid="{3799728C-14C8-4646-A03F-C0ABA9B35EBC}"/>
    <cellStyle name="Comma 11 2 4 2 4 2 3 2" xfId="21016" xr:uid="{964DF1A3-82A5-48C8-92F6-C16F7362E346}"/>
    <cellStyle name="Comma 11 2 4 2 4 2 4" xfId="17728" xr:uid="{BB8BEEFD-0AD1-4C8B-A90D-AA7548B0A6B4}"/>
    <cellStyle name="Comma 11 2 4 2 4 3" xfId="3406" xr:uid="{90D57774-9C97-422D-9E0C-85720052D84B}"/>
    <cellStyle name="Comma 11 2 4 2 4 3 2" xfId="10894" xr:uid="{E53DB9F5-750E-41DF-9421-858670292DF3}"/>
    <cellStyle name="Comma 11 2 4 2 4 3 2 2" xfId="14440" xr:uid="{C942CEA5-A1C2-4265-8A18-0F4F6B2AF053}"/>
    <cellStyle name="Comma 11 2 4 2 4 3 2 2 2" xfId="29617" xr:uid="{D6CB42AF-102A-47BD-920E-2FBCF5797B52}"/>
    <cellStyle name="Comma 11 2 4 2 4 3 2 3" xfId="26072" xr:uid="{F1097063-50C7-4E0D-B848-6D6A7CABA9E1}"/>
    <cellStyle name="Comma 11 2 4 2 4 3 3" xfId="6720" xr:uid="{F47EE945-F431-4D7E-81E8-F2246DB0D7B7}"/>
    <cellStyle name="Comma 11 2 4 2 4 3 3 2" xfId="21900" xr:uid="{16DB5EB9-5759-4986-BAD4-08A9BD567105}"/>
    <cellStyle name="Comma 11 2 4 2 4 3 4" xfId="18612" xr:uid="{24D3AAB4-F3F2-4533-BBE1-F99E3ECDB43A}"/>
    <cellStyle name="Comma 11 2 4 2 4 4" xfId="4167" xr:uid="{76FAD46A-FEFC-4FCE-A11B-B70374A89902}"/>
    <cellStyle name="Comma 11 2 4 2 4 4 2" xfId="11652" xr:uid="{229DEA6D-03FC-4735-B6E1-260ACE30B05D}"/>
    <cellStyle name="Comma 11 2 4 2 4 4 2 2" xfId="15198" xr:uid="{9923A19F-5443-4181-9529-461CB1B9F16F}"/>
    <cellStyle name="Comma 11 2 4 2 4 4 2 2 2" xfId="30375" xr:uid="{4D994075-DE91-4958-B9E0-0B9097B69C28}"/>
    <cellStyle name="Comma 11 2 4 2 4 4 2 3" xfId="26830" xr:uid="{E96A47F2-622E-4A44-9A37-409206D8FCEF}"/>
    <cellStyle name="Comma 11 2 4 2 4 4 3" xfId="7478" xr:uid="{111D4405-2A47-4DB7-B476-A9B9A38815AF}"/>
    <cellStyle name="Comma 11 2 4 2 4 4 3 2" xfId="22658" xr:uid="{2206C7E8-9166-41AF-8C36-E890ED63CC74}"/>
    <cellStyle name="Comma 11 2 4 2 4 4 4" xfId="19370" xr:uid="{278FD59B-6390-45C7-8D80-AD42D7AB0A15}"/>
    <cellStyle name="Comma 11 2 4 2 4 5" xfId="8612" xr:uid="{B70287F6-E701-4B23-8047-CD89A046A50F}"/>
    <cellStyle name="Comma 11 2 4 2 4 5 2" xfId="12785" xr:uid="{1FC9E61C-E0F4-49FD-BD49-77141051D5FF}"/>
    <cellStyle name="Comma 11 2 4 2 4 5 2 2" xfId="27962" xr:uid="{0AC1FD6B-7547-4330-BDF3-498B275F0076}"/>
    <cellStyle name="Comma 11 2 4 2 4 5 3" xfId="23790" xr:uid="{4CFEAEC0-768C-44C7-AAAE-B7ADB9881303}"/>
    <cellStyle name="Comma 11 2 4 2 4 6" xfId="16330" xr:uid="{99362C46-62D5-4ECF-9BB8-D9AEA7F8D7E3}"/>
    <cellStyle name="Comma 11 2 4 2 4 7" xfId="31550" xr:uid="{AE3677D8-2DF4-41B1-AE1E-77D2FF1D61C7}"/>
    <cellStyle name="Comma 11 2 4 2 5" xfId="1263" xr:uid="{EF9027D5-BEFC-4925-B500-9E2E4CB7BAA8}"/>
    <cellStyle name="Comma 11 2 4 2 5 10" xfId="31322" xr:uid="{0794D376-CC74-450B-A12E-56BFA2C8C155}"/>
    <cellStyle name="Comma 11 2 4 2 5 2" xfId="2693" xr:uid="{30117A20-681C-4EB1-AE15-E56EC46B93D6}"/>
    <cellStyle name="Comma 11 2 4 2 5 2 2" xfId="10184" xr:uid="{3F64FC48-DD45-4F60-B91A-B6FA96BD01BC}"/>
    <cellStyle name="Comma 11 2 4 2 5 2 2 2" xfId="13828" xr:uid="{40AA91C3-7078-4C42-AEBD-FC820934E753}"/>
    <cellStyle name="Comma 11 2 4 2 5 2 2 2 2" xfId="29005" xr:uid="{4E760A6A-BD53-4B32-8421-2D6B55D38EE6}"/>
    <cellStyle name="Comma 11 2 4 2 5 2 2 3" xfId="25362" xr:uid="{A09F243D-5B2B-431E-A1CA-B16F1863B335}"/>
    <cellStyle name="Comma 11 2 4 2 5 2 3" xfId="6010" xr:uid="{4A7353F2-BE55-4347-97D5-C9AC515542E0}"/>
    <cellStyle name="Comma 11 2 4 2 5 2 3 2" xfId="21190" xr:uid="{3003C383-2945-4B56-A656-6F271D03F84A}"/>
    <cellStyle name="Comma 11 2 4 2 5 2 4" xfId="17902" xr:uid="{2D0756A4-A5C1-4F24-A00B-65D04AE06702}"/>
    <cellStyle name="Comma 11 2 4 2 5 3" xfId="3580" xr:uid="{C41DB48A-BD26-4925-BAE0-E903C875EB68}"/>
    <cellStyle name="Comma 11 2 4 2 5 3 2" xfId="11068" xr:uid="{A5584B0D-4486-41FA-998D-3E1C0C78F9BC}"/>
    <cellStyle name="Comma 11 2 4 2 5 3 2 2" xfId="14614" xr:uid="{D250B9EE-0877-471E-B405-58A571A6D242}"/>
    <cellStyle name="Comma 11 2 4 2 5 3 2 2 2" xfId="29791" xr:uid="{0D86CB79-B1ED-441C-A749-1BDA4BBC27C3}"/>
    <cellStyle name="Comma 11 2 4 2 5 3 2 3" xfId="26246" xr:uid="{AB9B4B5A-D38E-4CA2-91FC-471861D97EB0}"/>
    <cellStyle name="Comma 11 2 4 2 5 3 3" xfId="6894" xr:uid="{360222A2-C60D-4D72-94F8-13F4916424C2}"/>
    <cellStyle name="Comma 11 2 4 2 5 3 3 2" xfId="22074" xr:uid="{0C9F6014-1392-4155-A803-9DF916EEEC77}"/>
    <cellStyle name="Comma 11 2 4 2 5 3 4" xfId="18786" xr:uid="{FB80E62F-339A-4DFE-A4E0-770D9B726887}"/>
    <cellStyle name="Comma 11 2 4 2 5 4" xfId="4168" xr:uid="{472CBDD1-6E64-4F84-A583-9FACEC25DC24}"/>
    <cellStyle name="Comma 11 2 4 2 5 4 2" xfId="11653" xr:uid="{2EBDE88F-6CF4-4738-97B8-6C7B11E5EAA7}"/>
    <cellStyle name="Comma 11 2 4 2 5 4 2 2" xfId="15199" xr:uid="{F4C5535C-1754-4833-84CF-69F7A1610CEE}"/>
    <cellStyle name="Comma 11 2 4 2 5 4 2 2 2" xfId="30376" xr:uid="{2F7D33C3-97BA-448A-A2AD-6713F9F1738B}"/>
    <cellStyle name="Comma 11 2 4 2 5 4 2 3" xfId="26831" xr:uid="{E5B8781C-A6AA-49BB-BDDB-41393246D508}"/>
    <cellStyle name="Comma 11 2 4 2 5 4 3" xfId="7479" xr:uid="{5886F088-0442-4DFE-8C84-1A1A1591DED4}"/>
    <cellStyle name="Comma 11 2 4 2 5 4 3 2" xfId="22659" xr:uid="{B6A7C45E-E704-4023-AD95-A2C74CEC36B7}"/>
    <cellStyle name="Comma 11 2 4 2 5 4 4" xfId="19371" xr:uid="{E222E30A-A996-4A8F-8B6B-D92D9D0E8FE6}"/>
    <cellStyle name="Comma 11 2 4 2 5 5" xfId="4982" xr:uid="{43D60AAD-2FE1-4B19-8704-1864EB9D3F29}"/>
    <cellStyle name="Comma 11 2 4 2 5 5 2" xfId="12466" xr:uid="{C7525B72-BA24-4708-9FDA-8D5418BFF6CA}"/>
    <cellStyle name="Comma 11 2 4 2 5 5 2 2" xfId="16012" xr:uid="{1468DE3B-001F-44D9-830C-E4DFAF0E83E4}"/>
    <cellStyle name="Comma 11 2 4 2 5 5 2 2 2" xfId="31189" xr:uid="{CACF189F-4A02-486C-979C-0B8510639ECC}"/>
    <cellStyle name="Comma 11 2 4 2 5 5 2 3" xfId="27644" xr:uid="{86E7B15B-6A25-404E-A88F-830F37AE4812}"/>
    <cellStyle name="Comma 11 2 4 2 5 5 3" xfId="8292" xr:uid="{A7538AF3-A879-49F8-A3EB-883531E40AF7}"/>
    <cellStyle name="Comma 11 2 4 2 5 5 3 2" xfId="23472" xr:uid="{4B8485C3-D5A7-4FC0-A0DA-8D49D33BA145}"/>
    <cellStyle name="Comma 11 2 4 2 5 5 4" xfId="20184" xr:uid="{7F97AE65-E0A4-4E8C-8346-0A6AABB58490}"/>
    <cellStyle name="Comma 11 2 4 2 5 6" xfId="1803" xr:uid="{C21C0DC4-F1EF-41A8-8D16-B2C0335A72A7}"/>
    <cellStyle name="Comma 11 2 4 2 5 6 2" xfId="9300" xr:uid="{17C2E674-B9DF-4CF1-9A90-7B4664AEBD3B}"/>
    <cellStyle name="Comma 11 2 4 2 5 6 2 2" xfId="24478" xr:uid="{E9ED82F9-8229-456D-AF59-948E1E5B44F4}"/>
    <cellStyle name="Comma 11 2 4 2 5 6 3" xfId="17018" xr:uid="{B37A1B94-D98C-4C36-99F4-F286D4CE51E6}"/>
    <cellStyle name="Comma 11 2 4 2 5 7" xfId="8786" xr:uid="{04C548BB-9C96-4D4F-86A7-8303E31693B3}"/>
    <cellStyle name="Comma 11 2 4 2 5 7 2" xfId="12959" xr:uid="{5869646A-50A5-4B9A-B1FE-4255D77909A4}"/>
    <cellStyle name="Comma 11 2 4 2 5 7 2 2" xfId="28136" xr:uid="{2EA71F86-9F91-453E-9C33-A6E5E4DF7AC1}"/>
    <cellStyle name="Comma 11 2 4 2 5 7 3" xfId="23964" xr:uid="{7AA97A44-18D1-42B1-8D4E-6F96E0E1CB99}"/>
    <cellStyle name="Comma 11 2 4 2 5 8" xfId="5126" xr:uid="{01D342D9-D5D2-4727-83EB-52A5FB601B9C}"/>
    <cellStyle name="Comma 11 2 4 2 5 8 2" xfId="20306" xr:uid="{92490528-242E-435B-93E1-030A1798FF10}"/>
    <cellStyle name="Comma 11 2 4 2 5 9" xfId="16504" xr:uid="{94A1E219-737E-43D0-8503-477440746BB0}"/>
    <cellStyle name="Comma 11 2 4 2 6" xfId="1365" xr:uid="{3C7B78DE-5746-4824-BC87-D9280CD9915E}"/>
    <cellStyle name="Comma 11 2 4 2 6 2" xfId="2791" xr:uid="{214CB8DC-6124-4DCF-A958-26EE4113D6ED}"/>
    <cellStyle name="Comma 11 2 4 2 6 2 2" xfId="10282" xr:uid="{C820B35D-9EB1-4DBA-A09A-21064C1261B6}"/>
    <cellStyle name="Comma 11 2 4 2 6 2 2 2" xfId="13877" xr:uid="{5062BBB9-B08F-4175-B87D-5FE240A55DD6}"/>
    <cellStyle name="Comma 11 2 4 2 6 2 2 2 2" xfId="29054" xr:uid="{520E32CA-0E32-4E46-BBC3-15F3A17D47A2}"/>
    <cellStyle name="Comma 11 2 4 2 6 2 2 3" xfId="25460" xr:uid="{A9FCF6B4-8DE6-465D-9901-1D8EB4821F49}"/>
    <cellStyle name="Comma 11 2 4 2 6 2 3" xfId="6108" xr:uid="{EC11E320-833B-484F-941A-C15E2654CE2B}"/>
    <cellStyle name="Comma 11 2 4 2 6 2 3 2" xfId="21288" xr:uid="{32DB37DB-48CC-4500-B3BA-21E46767F2CB}"/>
    <cellStyle name="Comma 11 2 4 2 6 2 4" xfId="18000" xr:uid="{A4961C04-CB93-476C-963D-8851402A3CDA}"/>
    <cellStyle name="Comma 11 2 4 2 6 3" xfId="3678" xr:uid="{1D5FE9BE-17CD-4451-A95C-A23914976718}"/>
    <cellStyle name="Comma 11 2 4 2 6 3 2" xfId="11166" xr:uid="{D573FA14-E78C-41C8-B20C-4582BE7D864C}"/>
    <cellStyle name="Comma 11 2 4 2 6 3 2 2" xfId="14712" xr:uid="{DFDDB987-6591-4900-9DEA-3315F1D053E0}"/>
    <cellStyle name="Comma 11 2 4 2 6 3 2 2 2" xfId="29889" xr:uid="{351F7A8F-5587-4AB3-9934-80F264E0D3DC}"/>
    <cellStyle name="Comma 11 2 4 2 6 3 2 3" xfId="26344" xr:uid="{BDCBC2CF-B403-4BC9-B500-45DE03462B7F}"/>
    <cellStyle name="Comma 11 2 4 2 6 3 3" xfId="6992" xr:uid="{C53B7E7A-5202-42FE-85D1-BEE119552DC0}"/>
    <cellStyle name="Comma 11 2 4 2 6 3 3 2" xfId="22172" xr:uid="{ED168F72-FD5E-4A94-87D1-577620A10C5B}"/>
    <cellStyle name="Comma 11 2 4 2 6 3 4" xfId="18884" xr:uid="{5E03FEB3-6E38-44F9-8C3C-EA126E704742}"/>
    <cellStyle name="Comma 11 2 4 2 6 4" xfId="4169" xr:uid="{3BE6F29C-4E1E-48B8-94E8-9F8DA55F1EB2}"/>
    <cellStyle name="Comma 11 2 4 2 6 4 2" xfId="11654" xr:uid="{F4DCB2BD-65EB-4800-95E6-A167B3BA1BBB}"/>
    <cellStyle name="Comma 11 2 4 2 6 4 2 2" xfId="15200" xr:uid="{ECC8D657-87B8-4E3F-8728-5BBCA562C100}"/>
    <cellStyle name="Comma 11 2 4 2 6 4 2 2 2" xfId="30377" xr:uid="{375D03E7-B634-4ECA-98F0-50D809F33DB5}"/>
    <cellStyle name="Comma 11 2 4 2 6 4 2 3" xfId="26832" xr:uid="{46EBABAD-E7B1-41B9-A9A2-00349D3BA68C}"/>
    <cellStyle name="Comma 11 2 4 2 6 4 3" xfId="7480" xr:uid="{1261C37C-97D6-4E5D-A0C7-5ABCDC39F313}"/>
    <cellStyle name="Comma 11 2 4 2 6 4 3 2" xfId="22660" xr:uid="{82976104-7B6B-4F87-BD69-C1DA102A8EE2}"/>
    <cellStyle name="Comma 11 2 4 2 6 4 4" xfId="19372" xr:uid="{353307B1-0AFE-407C-A91E-825A802FE24B}"/>
    <cellStyle name="Comma 11 2 4 2 6 5" xfId="1901" xr:uid="{DA9885D2-613C-4441-8235-4CDD272B001A}"/>
    <cellStyle name="Comma 11 2 4 2 6 5 2" xfId="9398" xr:uid="{BFBBEE60-EE1D-4B4B-9F4E-FAC7D5F7E463}"/>
    <cellStyle name="Comma 11 2 4 2 6 5 2 2" xfId="24576" xr:uid="{0BABA526-7093-48A0-A5B8-7859B370A7BE}"/>
    <cellStyle name="Comma 11 2 4 2 6 5 3" xfId="17116" xr:uid="{F9A4B0C8-7F38-470F-A58A-21B71AAD25C5}"/>
    <cellStyle name="Comma 11 2 4 2 6 6" xfId="8884" xr:uid="{B53800C1-CC68-41A7-80F5-3A9361CCF9B8}"/>
    <cellStyle name="Comma 11 2 4 2 6 6 2" xfId="13057" xr:uid="{CB4FE64A-473F-4509-A7D8-B6FDBEBEE557}"/>
    <cellStyle name="Comma 11 2 4 2 6 6 2 2" xfId="28234" xr:uid="{B42215DE-91D3-4115-9576-6984017C1A6E}"/>
    <cellStyle name="Comma 11 2 4 2 6 6 3" xfId="24062" xr:uid="{FA9F883F-6344-4DFD-91EC-C3EA23AE1925}"/>
    <cellStyle name="Comma 11 2 4 2 6 7" xfId="5224" xr:uid="{750F2C96-0487-4445-A697-3F07B183A7E5}"/>
    <cellStyle name="Comma 11 2 4 2 6 7 2" xfId="20404" xr:uid="{B911D182-01E2-4BA6-AB0C-5170C845492B}"/>
    <cellStyle name="Comma 11 2 4 2 6 8" xfId="16602" xr:uid="{F9B3B15F-1487-4D5C-9459-B154139EF0CD}"/>
    <cellStyle name="Comma 11 2 4 2 7" xfId="1464" xr:uid="{8E4248D0-B60A-497F-AA66-C99969AECD88}"/>
    <cellStyle name="Comma 11 2 4 2 7 2" xfId="2889" xr:uid="{17DF18B0-1939-49BD-83FB-8B475BF210FE}"/>
    <cellStyle name="Comma 11 2 4 2 7 2 2" xfId="10380" xr:uid="{4246B5BD-5C9E-4A9D-9E6E-376F7DFDAB9D}"/>
    <cellStyle name="Comma 11 2 4 2 7 2 2 2" xfId="13926" xr:uid="{663D2AE9-A4F9-41EC-8D03-4AE95217F0CD}"/>
    <cellStyle name="Comma 11 2 4 2 7 2 2 2 2" xfId="29103" xr:uid="{22D29390-8467-43BF-81EA-37CA97F79F30}"/>
    <cellStyle name="Comma 11 2 4 2 7 2 2 3" xfId="25558" xr:uid="{8A733D20-22A9-492D-94A6-955583FB58D9}"/>
    <cellStyle name="Comma 11 2 4 2 7 2 3" xfId="6206" xr:uid="{3AD33AEB-9121-4765-9BD1-8B5DAC21CD5D}"/>
    <cellStyle name="Comma 11 2 4 2 7 2 3 2" xfId="21386" xr:uid="{61065F24-A3B1-42E6-A891-F6D2D41FE735}"/>
    <cellStyle name="Comma 11 2 4 2 7 2 4" xfId="18098" xr:uid="{60938E74-722D-40AD-962D-0890883B6F27}"/>
    <cellStyle name="Comma 11 2 4 2 7 3" xfId="3776" xr:uid="{A23E82C2-B022-4AE6-AC97-EFF744FB3EA6}"/>
    <cellStyle name="Comma 11 2 4 2 7 3 2" xfId="11264" xr:uid="{36A4C407-8EB7-48EC-A2D1-ABBE232C3A31}"/>
    <cellStyle name="Comma 11 2 4 2 7 3 2 2" xfId="14810" xr:uid="{B21E7E7B-5BD0-4A11-A7B2-EFD80C212BEE}"/>
    <cellStyle name="Comma 11 2 4 2 7 3 2 2 2" xfId="29987" xr:uid="{6A106BD2-A79F-4136-B05A-3DCADAA9A72A}"/>
    <cellStyle name="Comma 11 2 4 2 7 3 2 3" xfId="26442" xr:uid="{800A534C-7FF2-40EC-AB39-246AA924975E}"/>
    <cellStyle name="Comma 11 2 4 2 7 3 3" xfId="7090" xr:uid="{EE1A00DE-1812-416F-86A9-B9CCBCBCFB2E}"/>
    <cellStyle name="Comma 11 2 4 2 7 3 3 2" xfId="22270" xr:uid="{28DCA89E-545F-49D1-A95B-E3D69EB7472A}"/>
    <cellStyle name="Comma 11 2 4 2 7 3 4" xfId="18982" xr:uid="{002D67D1-9484-400E-8C96-877B14AD3BFD}"/>
    <cellStyle name="Comma 11 2 4 2 7 4" xfId="4170" xr:uid="{AB7D247B-1E22-4B48-8FE2-48E3FBFC7AF1}"/>
    <cellStyle name="Comma 11 2 4 2 7 4 2" xfId="11655" xr:uid="{186EDD19-E5BE-451B-ADB9-E9380571138F}"/>
    <cellStyle name="Comma 11 2 4 2 7 4 2 2" xfId="15201" xr:uid="{6A00D06F-894A-49F1-822F-9D101EE6ED47}"/>
    <cellStyle name="Comma 11 2 4 2 7 4 2 2 2" xfId="30378" xr:uid="{AE5D46FC-39D1-4FDD-A050-7FFB412100DF}"/>
    <cellStyle name="Comma 11 2 4 2 7 4 2 3" xfId="26833" xr:uid="{BE9D7786-FF39-47D2-AB73-EE93D877275D}"/>
    <cellStyle name="Comma 11 2 4 2 7 4 3" xfId="7481" xr:uid="{02FD08E9-0275-40F6-A452-DEE2B15B814E}"/>
    <cellStyle name="Comma 11 2 4 2 7 4 3 2" xfId="22661" xr:uid="{EF47D58B-82D3-4BEC-B9AC-608C878EBE3E}"/>
    <cellStyle name="Comma 11 2 4 2 7 4 4" xfId="19373" xr:uid="{B0CF3A5C-DB57-41BD-BBD8-A4FF40945E2A}"/>
    <cellStyle name="Comma 11 2 4 2 7 5" xfId="1999" xr:uid="{87495037-348A-416E-8F67-7B81B5090BB9}"/>
    <cellStyle name="Comma 11 2 4 2 7 5 2" xfId="9496" xr:uid="{77395374-A7FB-4A5D-BF29-D7021925D0F3}"/>
    <cellStyle name="Comma 11 2 4 2 7 5 2 2" xfId="24674" xr:uid="{4EA9EB5C-2DD8-46A2-9DC3-FB9D9E7EFF65}"/>
    <cellStyle name="Comma 11 2 4 2 7 5 3" xfId="17214" xr:uid="{212A9F62-C4F2-4A00-B15D-646A6269DDC7}"/>
    <cellStyle name="Comma 11 2 4 2 7 6" xfId="8982" xr:uid="{013283C0-C151-4BE8-93C5-9D7CA27808FA}"/>
    <cellStyle name="Comma 11 2 4 2 7 6 2" xfId="13155" xr:uid="{8182D90A-59F6-45B4-9B0D-EDD9539383A3}"/>
    <cellStyle name="Comma 11 2 4 2 7 6 2 2" xfId="28332" xr:uid="{712BE09E-15E3-468A-83A9-E4E7FC3BB40C}"/>
    <cellStyle name="Comma 11 2 4 2 7 6 3" xfId="24160" xr:uid="{1121E4A7-FAD4-487F-94E9-DE346A866F23}"/>
    <cellStyle name="Comma 11 2 4 2 7 7" xfId="5322" xr:uid="{428231BA-7610-4F56-A6A0-7C26DCBD1441}"/>
    <cellStyle name="Comma 11 2 4 2 7 7 2" xfId="20502" xr:uid="{B7BDD82E-2EBC-4F48-BBBE-E5BB46C47576}"/>
    <cellStyle name="Comma 11 2 4 2 7 8" xfId="16700" xr:uid="{685A0E8C-1EBA-42AB-9D4B-571CBFAB9D96}"/>
    <cellStyle name="Comma 11 2 4 2 8" xfId="1567" xr:uid="{2DC30315-4DC3-4F9A-9E57-D7B0474B586D}"/>
    <cellStyle name="Comma 11 2 4 2 8 2" xfId="2987" xr:uid="{59DA2A84-F64C-4FE4-9628-89B048254864}"/>
    <cellStyle name="Comma 11 2 4 2 8 2 2" xfId="10478" xr:uid="{77826337-B5FE-4212-AB71-5DB0EE99ADA9}"/>
    <cellStyle name="Comma 11 2 4 2 8 2 2 2" xfId="14024" xr:uid="{83FBB553-318E-456E-9622-E15585531CD2}"/>
    <cellStyle name="Comma 11 2 4 2 8 2 2 2 2" xfId="29201" xr:uid="{CECCE516-AEE1-435F-8DA9-A09CC3A99237}"/>
    <cellStyle name="Comma 11 2 4 2 8 2 2 3" xfId="25656" xr:uid="{E60082EB-01A0-45D4-AD79-7A9C72D3B2CB}"/>
    <cellStyle name="Comma 11 2 4 2 8 2 3" xfId="6304" xr:uid="{66EDCE0D-011C-4044-AAF2-114DC2ECE163}"/>
    <cellStyle name="Comma 11 2 4 2 8 2 3 2" xfId="21484" xr:uid="{97BD1316-45A2-4401-A054-5369326DC94D}"/>
    <cellStyle name="Comma 11 2 4 2 8 2 4" xfId="18196" xr:uid="{0260FD91-C826-4086-8846-34C420014774}"/>
    <cellStyle name="Comma 11 2 4 2 8 3" xfId="3874" xr:uid="{5ED436B9-F1C1-4E42-A446-B6E784270221}"/>
    <cellStyle name="Comma 11 2 4 2 8 3 2" xfId="11362" xr:uid="{F2D23689-5619-44BA-9675-95A1A4CEAECD}"/>
    <cellStyle name="Comma 11 2 4 2 8 3 2 2" xfId="14908" xr:uid="{4CCFD86C-8458-4245-A2AB-CC97C1E15FCF}"/>
    <cellStyle name="Comma 11 2 4 2 8 3 2 2 2" xfId="30085" xr:uid="{8A156FCB-6C39-4C8A-A3AE-5714DB79A4B2}"/>
    <cellStyle name="Comma 11 2 4 2 8 3 2 3" xfId="26540" xr:uid="{0B245090-C365-4C7F-96FF-83E3C40A57F6}"/>
    <cellStyle name="Comma 11 2 4 2 8 3 3" xfId="7188" xr:uid="{3912A8F1-75AD-4496-8883-035306C091DF}"/>
    <cellStyle name="Comma 11 2 4 2 8 3 3 2" xfId="22368" xr:uid="{A03ED4BF-2A62-4164-AF74-C2243F6490F6}"/>
    <cellStyle name="Comma 11 2 4 2 8 3 4" xfId="19080" xr:uid="{786E3464-B7A0-4512-9C7D-D50D5222478D}"/>
    <cellStyle name="Comma 11 2 4 2 8 4" xfId="4171" xr:uid="{641B6169-CF7B-4901-94A0-E0E80D437168}"/>
    <cellStyle name="Comma 11 2 4 2 8 4 2" xfId="11656" xr:uid="{2712D304-BACE-495A-BAF3-C729FBB3B7FB}"/>
    <cellStyle name="Comma 11 2 4 2 8 4 2 2" xfId="15202" xr:uid="{83F00AC2-0393-4407-99D9-B8BFCF45F39C}"/>
    <cellStyle name="Comma 11 2 4 2 8 4 2 2 2" xfId="30379" xr:uid="{47CAD9D3-BF6C-45EC-BA0D-64E8AA425E3E}"/>
    <cellStyle name="Comma 11 2 4 2 8 4 2 3" xfId="26834" xr:uid="{35EBF6D3-F718-40B5-B860-F6EAADAAE777}"/>
    <cellStyle name="Comma 11 2 4 2 8 4 3" xfId="7482" xr:uid="{DEB3B6C4-DBE4-482B-A062-476B79DD55D6}"/>
    <cellStyle name="Comma 11 2 4 2 8 4 3 2" xfId="22662" xr:uid="{A34F68A6-6396-402B-B221-E41E2BBC5B53}"/>
    <cellStyle name="Comma 11 2 4 2 8 4 4" xfId="19374" xr:uid="{09254566-94CE-43AC-8DF8-EA535407928D}"/>
    <cellStyle name="Comma 11 2 4 2 8 5" xfId="2097" xr:uid="{D7253B99-4545-48BD-A231-5756DD76C5DF}"/>
    <cellStyle name="Comma 11 2 4 2 8 5 2" xfId="9594" xr:uid="{768FC67F-16CD-41C0-84FF-BAECC5D324EA}"/>
    <cellStyle name="Comma 11 2 4 2 8 5 2 2" xfId="24772" xr:uid="{4F85BD3D-EFE6-4AF6-A51F-850820A1FB41}"/>
    <cellStyle name="Comma 11 2 4 2 8 5 3" xfId="17312" xr:uid="{5CFD52BB-D1F7-4589-AE25-D756B77FA47D}"/>
    <cellStyle name="Comma 11 2 4 2 8 6" xfId="9080" xr:uid="{3C5D4DCD-7CC4-4853-9D46-AD642F742D2A}"/>
    <cellStyle name="Comma 11 2 4 2 8 6 2" xfId="13253" xr:uid="{7F2EA116-E569-40E4-820D-E32EA4C67BFC}"/>
    <cellStyle name="Comma 11 2 4 2 8 6 2 2" xfId="28430" xr:uid="{A5A43186-9457-4594-B792-26E611E0CDDD}"/>
    <cellStyle name="Comma 11 2 4 2 8 6 3" xfId="24258" xr:uid="{3ECF7B7D-C937-4B97-B485-8B81542FEBAF}"/>
    <cellStyle name="Comma 11 2 4 2 8 7" xfId="5420" xr:uid="{4929AECD-2B5D-4725-9D76-E2A7095915C7}"/>
    <cellStyle name="Comma 11 2 4 2 8 7 2" xfId="20600" xr:uid="{C46FAFEB-F008-49F5-A9E2-80D05E673192}"/>
    <cellStyle name="Comma 11 2 4 2 8 8" xfId="16798" xr:uid="{F7605535-0A47-46D3-80C1-AE9E8FF865E1}"/>
    <cellStyle name="Comma 11 2 4 2 9" xfId="1666" xr:uid="{BFC799C2-A291-4EA7-B80F-9C6C2FD61BDC}"/>
    <cellStyle name="Comma 11 2 4 2 9 2" xfId="3085" xr:uid="{BA0CB9C2-2441-4A28-A6DE-E0132E15ED6A}"/>
    <cellStyle name="Comma 11 2 4 2 9 2 2" xfId="10576" xr:uid="{EC006134-5077-4DC3-BE54-9F12B19460EA}"/>
    <cellStyle name="Comma 11 2 4 2 9 2 2 2" xfId="14122" xr:uid="{54F116BD-0E40-4066-92FC-8F15D6C798E4}"/>
    <cellStyle name="Comma 11 2 4 2 9 2 2 2 2" xfId="29299" xr:uid="{415536FA-0C58-4170-805B-A344AE99E28E}"/>
    <cellStyle name="Comma 11 2 4 2 9 2 2 3" xfId="25754" xr:uid="{B5C27599-C29D-4405-AB91-957A5B7A743A}"/>
    <cellStyle name="Comma 11 2 4 2 9 2 3" xfId="6402" xr:uid="{0A8C2D51-E2C0-4CFA-BB97-E42DA59D826A}"/>
    <cellStyle name="Comma 11 2 4 2 9 2 3 2" xfId="21582" xr:uid="{DF6C3872-1D31-4B69-BE57-6DA6AFAAE0CC}"/>
    <cellStyle name="Comma 11 2 4 2 9 2 4" xfId="18294" xr:uid="{33A35F8A-1786-4A24-ADCA-9CE22D059706}"/>
    <cellStyle name="Comma 11 2 4 2 9 3" xfId="3972" xr:uid="{0B3E55D3-5A66-4622-A72F-9C01D38E1848}"/>
    <cellStyle name="Comma 11 2 4 2 9 3 2" xfId="11460" xr:uid="{DC1FFA09-0CBA-43B6-BDFD-F3A76C7CB8FE}"/>
    <cellStyle name="Comma 11 2 4 2 9 3 2 2" xfId="15006" xr:uid="{031FF39C-627D-4BD6-B3C6-7BCA50F223C8}"/>
    <cellStyle name="Comma 11 2 4 2 9 3 2 2 2" xfId="30183" xr:uid="{92435951-9254-49B8-A8A8-B97B592A6FFD}"/>
    <cellStyle name="Comma 11 2 4 2 9 3 2 3" xfId="26638" xr:uid="{6B66D06B-FA88-4CA8-A9A2-500E67F973CD}"/>
    <cellStyle name="Comma 11 2 4 2 9 3 3" xfId="7286" xr:uid="{9A97BA8F-90FF-4605-8170-4D93B46E019C}"/>
    <cellStyle name="Comma 11 2 4 2 9 3 3 2" xfId="22466" xr:uid="{AF279E4A-863B-4DA6-88C1-49E38FFBF279}"/>
    <cellStyle name="Comma 11 2 4 2 9 3 4" xfId="19178" xr:uid="{7061F315-AC8F-432F-9287-4853827C955A}"/>
    <cellStyle name="Comma 11 2 4 2 9 4" xfId="4172" xr:uid="{DE3D34ED-91D3-4DFE-98F5-32BCF1B553EC}"/>
    <cellStyle name="Comma 11 2 4 2 9 4 2" xfId="11657" xr:uid="{2FF44B6D-10F9-40C1-AA25-C8884FBC0D06}"/>
    <cellStyle name="Comma 11 2 4 2 9 4 2 2" xfId="15203" xr:uid="{1D7D90B3-A204-41A2-83DA-955F0B58739C}"/>
    <cellStyle name="Comma 11 2 4 2 9 4 2 2 2" xfId="30380" xr:uid="{063A33F1-B7D2-4AE5-92B9-3EDFD12576A9}"/>
    <cellStyle name="Comma 11 2 4 2 9 4 2 3" xfId="26835" xr:uid="{939AA09C-8383-4E7B-9A02-F4CF98F8C67D}"/>
    <cellStyle name="Comma 11 2 4 2 9 4 3" xfId="7483" xr:uid="{D28FD773-FE12-4953-815C-1958384ACCEB}"/>
    <cellStyle name="Comma 11 2 4 2 9 4 3 2" xfId="22663" xr:uid="{3C75777B-75AC-473A-800B-AA3061F930E4}"/>
    <cellStyle name="Comma 11 2 4 2 9 4 4" xfId="19375" xr:uid="{57565ED8-2E30-4EEC-B05D-C4E1B0D8ED77}"/>
    <cellStyle name="Comma 11 2 4 2 9 5" xfId="2195" xr:uid="{A77D7DC3-B513-48CD-B51D-67DCC119045B}"/>
    <cellStyle name="Comma 11 2 4 2 9 5 2" xfId="9692" xr:uid="{6C5C9800-C287-4BA8-8BB9-6226F968AB46}"/>
    <cellStyle name="Comma 11 2 4 2 9 5 2 2" xfId="24870" xr:uid="{75A1194F-114E-4EE3-BD50-AA887F88F78C}"/>
    <cellStyle name="Comma 11 2 4 2 9 5 3" xfId="17410" xr:uid="{44863584-F0F5-4098-ACED-24CB5042C5E9}"/>
    <cellStyle name="Comma 11 2 4 2 9 6" xfId="9178" xr:uid="{DADCE3E2-FD1B-4918-802E-ABED7D8F6F32}"/>
    <cellStyle name="Comma 11 2 4 2 9 6 2" xfId="13351" xr:uid="{66B96897-C184-4AFF-BA42-A1F45CB7BCF5}"/>
    <cellStyle name="Comma 11 2 4 2 9 6 2 2" xfId="28528" xr:uid="{DA149006-2845-4368-BF40-5172C0D2218D}"/>
    <cellStyle name="Comma 11 2 4 2 9 6 3" xfId="24356" xr:uid="{8D404F16-1113-4ECD-A9D4-868C166503E6}"/>
    <cellStyle name="Comma 11 2 4 2 9 7" xfId="5518" xr:uid="{0B6C2DF1-D401-4489-80A0-1413BC180308}"/>
    <cellStyle name="Comma 11 2 4 2 9 7 2" xfId="20698" xr:uid="{510E41F8-5AF8-4A11-A781-4F302972D031}"/>
    <cellStyle name="Comma 11 2 4 2 9 8" xfId="16896" xr:uid="{24AF5158-4F5C-42AD-AACF-DA317C689AC5}"/>
    <cellStyle name="Comma 11 2 4 3" xfId="749" xr:uid="{9A59DB19-0B30-4FB4-B6CA-2AD339C226F2}"/>
    <cellStyle name="Comma 11 2 4 3 10" xfId="8415" xr:uid="{A647DD01-493B-4EBB-A6AC-DE15B7A84620}"/>
    <cellStyle name="Comma 11 2 4 3 10 2" xfId="12589" xr:uid="{883F8291-AD83-4729-9FD0-884902342FFA}"/>
    <cellStyle name="Comma 11 2 4 3 10 2 2" xfId="27766" xr:uid="{551AE7E7-6BD0-46FA-B6EA-07EA47C1C367}"/>
    <cellStyle name="Comma 11 2 4 3 10 3" xfId="23594" xr:uid="{AAC343F2-C911-4D97-AF72-116F52BD0D07}"/>
    <cellStyle name="Comma 11 2 4 3 11" xfId="16134" xr:uid="{0FF650DB-0F3C-4663-A2D7-EC89213F7184}"/>
    <cellStyle name="Comma 11 2 4 3 12" xfId="31476" xr:uid="{74789CA1-E7FF-4A7C-8150-F085BFEDD9DB}"/>
    <cellStyle name="Comma 11 2 4 3 2" xfId="926" xr:uid="{927FC9B3-AA79-42F9-B473-5E1182BF98F0}"/>
    <cellStyle name="Comma 11 2 4 3 2 10" xfId="16256" xr:uid="{DA324189-360C-4B48-848E-1E1AB7243B86}"/>
    <cellStyle name="Comma 11 2 4 3 2 11" xfId="31346" xr:uid="{2F5ABA6B-056B-4D30-887D-029DB0DC4DCF}"/>
    <cellStyle name="Comma 11 2 4 3 2 12" xfId="31696" xr:uid="{B9FE7F46-DCEA-4ECF-A743-9B11AA3F23E9}"/>
    <cellStyle name="Comma 11 2 4 3 2 2" xfId="1287" xr:uid="{99C2B033-2917-4DEB-8C7F-69F2745DEB57}"/>
    <cellStyle name="Comma 11 2 4 3 2 2 2" xfId="3604" xr:uid="{9C6AD3EE-AC1E-47FA-A586-48E9FD17ECAF}"/>
    <cellStyle name="Comma 11 2 4 3 2 2 2 2" xfId="11092" xr:uid="{C2B3345F-A2BC-41FD-91BE-03C30280AA6C}"/>
    <cellStyle name="Comma 11 2 4 3 2 2 2 2 2" xfId="14638" xr:uid="{677C3E94-0322-4855-B322-5169A23F5399}"/>
    <cellStyle name="Comma 11 2 4 3 2 2 2 2 2 2" xfId="29815" xr:uid="{9BBB5329-7BB8-477C-AFFC-DFBB45DE20FC}"/>
    <cellStyle name="Comma 11 2 4 3 2 2 2 2 3" xfId="26270" xr:uid="{8182694B-EF61-4E60-A50C-3452AD32EE84}"/>
    <cellStyle name="Comma 11 2 4 3 2 2 2 3" xfId="6918" xr:uid="{F5DCE3DD-6143-4ECE-BE5B-24CA474BAED7}"/>
    <cellStyle name="Comma 11 2 4 3 2 2 2 3 2" xfId="22098" xr:uid="{561542CD-41EA-4EF4-BBA9-E6615FF88BE8}"/>
    <cellStyle name="Comma 11 2 4 3 2 2 2 4" xfId="18810" xr:uid="{640AE9B4-6E90-4C1A-ADC6-9433C2536DCA}"/>
    <cellStyle name="Comma 11 2 4 3 2 2 3" xfId="4173" xr:uid="{6A08C745-4998-4F8E-8963-A6A8887CD6D8}"/>
    <cellStyle name="Comma 11 2 4 3 2 2 3 2" xfId="11658" xr:uid="{6404A967-2359-43C2-A551-7D854C01C943}"/>
    <cellStyle name="Comma 11 2 4 3 2 2 3 2 2" xfId="15204" xr:uid="{56C937C1-CC51-4513-AC81-48D25D2E47C7}"/>
    <cellStyle name="Comma 11 2 4 3 2 2 3 2 2 2" xfId="30381" xr:uid="{90149B73-EB3D-46B3-B269-9A5B209408EE}"/>
    <cellStyle name="Comma 11 2 4 3 2 2 3 2 3" xfId="26836" xr:uid="{E7B43943-C3A2-4A2A-94F9-7DA881B50C47}"/>
    <cellStyle name="Comma 11 2 4 3 2 2 3 3" xfId="7484" xr:uid="{01351427-11D2-4D07-A13A-BD18DCD196F2}"/>
    <cellStyle name="Comma 11 2 4 3 2 2 3 3 2" xfId="22664" xr:uid="{48905B4F-28A5-418D-960E-49B9AC2DE1AA}"/>
    <cellStyle name="Comma 11 2 4 3 2 2 3 4" xfId="19376" xr:uid="{3ECA2960-FB96-47BC-8D1B-C7C0E9CBCFE9}"/>
    <cellStyle name="Comma 11 2 4 3 2 2 4" xfId="2717" xr:uid="{1AA36169-5675-4D82-8181-CA40D5AFC90C}"/>
    <cellStyle name="Comma 11 2 4 3 2 2 4 2" xfId="10208" xr:uid="{3B95D732-4204-46E9-B4A9-626CFBF99936}"/>
    <cellStyle name="Comma 11 2 4 3 2 2 4 2 2" xfId="25386" xr:uid="{1F437003-43BA-4D6B-875F-C6E70B9974CC}"/>
    <cellStyle name="Comma 11 2 4 3 2 2 4 3" xfId="17926" xr:uid="{B370980F-DF51-4683-9BF3-902246C373E4}"/>
    <cellStyle name="Comma 11 2 4 3 2 2 5" xfId="8810" xr:uid="{ACB077E5-F27F-49FF-8A4C-F538F19C5DAB}"/>
    <cellStyle name="Comma 11 2 4 3 2 2 5 2" xfId="12983" xr:uid="{8158AB8C-B845-484B-B1C2-0EC5AB6BB475}"/>
    <cellStyle name="Comma 11 2 4 3 2 2 5 2 2" xfId="28160" xr:uid="{690940E5-D4A4-4420-85EA-15C99E104419}"/>
    <cellStyle name="Comma 11 2 4 3 2 2 5 3" xfId="23988" xr:uid="{BB4CB18A-7414-4C80-8ABF-37E803BB2A6D}"/>
    <cellStyle name="Comma 11 2 4 3 2 2 6" xfId="6034" xr:uid="{7D0B465C-F6E3-44D5-BE2E-B89CF6D7B347}"/>
    <cellStyle name="Comma 11 2 4 3 2 2 6 2" xfId="21214" xr:uid="{DF7BD002-A997-483F-9274-470CEF5C630D}"/>
    <cellStyle name="Comma 11 2 4 3 2 2 7" xfId="16528" xr:uid="{503BAFD7-7C76-4E8E-A840-4F5BA4162D7E}"/>
    <cellStyle name="Comma 11 2 4 3 2 3" xfId="2444" xr:uid="{5F4CB3E6-2DA6-42F9-ACA1-A73DDB96FF26}"/>
    <cellStyle name="Comma 11 2 4 3 2 3 2" xfId="9936" xr:uid="{B8B6C8F2-1157-4C33-A597-1FAC88A7503D}"/>
    <cellStyle name="Comma 11 2 4 3 2 3 2 2" xfId="13595" xr:uid="{DE5458E7-6CFB-4CCB-A249-C452FC248E18}"/>
    <cellStyle name="Comma 11 2 4 3 2 3 2 2 2" xfId="28772" xr:uid="{4F70DEFE-93F6-457E-9030-E2A48BF134A1}"/>
    <cellStyle name="Comma 11 2 4 3 2 3 2 3" xfId="25114" xr:uid="{F9185F4A-FAC1-48A9-872A-F683BF97331B}"/>
    <cellStyle name="Comma 11 2 4 3 2 3 3" xfId="5762" xr:uid="{91818AC3-2FD2-40F1-888A-FF26D9FCB470}"/>
    <cellStyle name="Comma 11 2 4 3 2 3 3 2" xfId="20942" xr:uid="{857DA2EF-DEDD-40FC-BB7F-4B99BA31DEE3}"/>
    <cellStyle name="Comma 11 2 4 3 2 3 4" xfId="17654" xr:uid="{6E9C1E69-CD21-4688-AB06-4DF14DF59835}"/>
    <cellStyle name="Comma 11 2 4 3 2 4" xfId="3332" xr:uid="{49EA8069-7F44-4697-A0AF-4792B28052EE}"/>
    <cellStyle name="Comma 11 2 4 3 2 4 2" xfId="10820" xr:uid="{BA1F5B26-A55D-4761-A8C4-CE838DFA7570}"/>
    <cellStyle name="Comma 11 2 4 3 2 4 2 2" xfId="14366" xr:uid="{B33B5485-331C-4DFA-B3EE-6BAC7B259D48}"/>
    <cellStyle name="Comma 11 2 4 3 2 4 2 2 2" xfId="29543" xr:uid="{2AF9846F-BA97-4B60-AE50-72F712668D0A}"/>
    <cellStyle name="Comma 11 2 4 3 2 4 2 3" xfId="25998" xr:uid="{A738ADF9-3C66-4C06-B6AB-1A8AD0D44D0D}"/>
    <cellStyle name="Comma 11 2 4 3 2 4 3" xfId="6646" xr:uid="{C64F41E9-95C2-4298-86FB-10084A6ED9E5}"/>
    <cellStyle name="Comma 11 2 4 3 2 4 3 2" xfId="21826" xr:uid="{0C2E733B-FAAB-4BC0-B4E3-A6430B0F85FB}"/>
    <cellStyle name="Comma 11 2 4 3 2 4 4" xfId="18538" xr:uid="{7F353E01-7071-40CC-8120-B4CC4E54BCB3}"/>
    <cellStyle name="Comma 11 2 4 3 2 5" xfId="4174" xr:uid="{D634C77B-5611-4513-BBDA-6C334478619C}"/>
    <cellStyle name="Comma 11 2 4 3 2 5 2" xfId="11659" xr:uid="{136ADA3D-7B1C-4831-8745-D9E1628A52B8}"/>
    <cellStyle name="Comma 11 2 4 3 2 5 2 2" xfId="15205" xr:uid="{0F02DFBA-E660-48D4-8E04-8DDD0D124A89}"/>
    <cellStyle name="Comma 11 2 4 3 2 5 2 2 2" xfId="30382" xr:uid="{A97D40F7-7AF1-4E29-A829-515C6867F115}"/>
    <cellStyle name="Comma 11 2 4 3 2 5 2 3" xfId="26837" xr:uid="{6C3842E3-7FEE-4D40-8583-59CCF17664E8}"/>
    <cellStyle name="Comma 11 2 4 3 2 5 3" xfId="7485" xr:uid="{3C4EB3E2-88CE-4DCD-9BF8-D94A0B77E375}"/>
    <cellStyle name="Comma 11 2 4 3 2 5 3 2" xfId="22665" xr:uid="{FF289E5D-231F-4199-8FF7-1B3F652715F6}"/>
    <cellStyle name="Comma 11 2 4 3 2 5 4" xfId="19377" xr:uid="{745601DC-C051-4C3B-8495-B59BC5690635}"/>
    <cellStyle name="Comma 11 2 4 3 2 6" xfId="5006" xr:uid="{23DAD0E8-F764-4C2D-9F18-D90AFA479E2F}"/>
    <cellStyle name="Comma 11 2 4 3 2 6 2" xfId="12490" xr:uid="{6F31B9A2-EC37-415D-82CF-4098DE40EB24}"/>
    <cellStyle name="Comma 11 2 4 3 2 6 2 2" xfId="16036" xr:uid="{B93C9D08-BABA-445D-8EC0-C02106A62DA0}"/>
    <cellStyle name="Comma 11 2 4 3 2 6 2 2 2" xfId="31213" xr:uid="{9DE557A0-7DEB-46C0-8D7B-57C67963B9F4}"/>
    <cellStyle name="Comma 11 2 4 3 2 6 2 3" xfId="27668" xr:uid="{E4A98656-C5B1-4383-8259-37B2732F62CD}"/>
    <cellStyle name="Comma 11 2 4 3 2 6 3" xfId="8316" xr:uid="{33E41EBF-EEE7-4A22-9645-1C19B07592AD}"/>
    <cellStyle name="Comma 11 2 4 3 2 6 3 2" xfId="23496" xr:uid="{31A91848-EA9A-4860-8829-C002B2120703}"/>
    <cellStyle name="Comma 11 2 4 3 2 6 4" xfId="20208" xr:uid="{31471055-C28F-44F3-9898-716D55D92C86}"/>
    <cellStyle name="Comma 11 2 4 3 2 7" xfId="1827" xr:uid="{8339F86C-53AB-4791-85D9-0A8C4459636D}"/>
    <cellStyle name="Comma 11 2 4 3 2 7 2" xfId="9324" xr:uid="{101FCEB0-C78D-46CB-88A8-D287375B411F}"/>
    <cellStyle name="Comma 11 2 4 3 2 7 2 2" xfId="24502" xr:uid="{3BF16E10-D0BB-48C6-86C2-5B1A1023B032}"/>
    <cellStyle name="Comma 11 2 4 3 2 7 3" xfId="17042" xr:uid="{9DCFDB15-1EE2-46EC-93C9-7CBE81B146B2}"/>
    <cellStyle name="Comma 11 2 4 3 2 8" xfId="8538" xr:uid="{50CF08AA-89F5-4545-86BB-BFEAED8CE568}"/>
    <cellStyle name="Comma 11 2 4 3 2 8 2" xfId="12711" xr:uid="{06086DAC-2743-496C-A318-5DD4F42240AB}"/>
    <cellStyle name="Comma 11 2 4 3 2 8 2 2" xfId="27888" xr:uid="{E2AA4AC8-5D89-4B46-9E22-FF1323F24A66}"/>
    <cellStyle name="Comma 11 2 4 3 2 8 3" xfId="23716" xr:uid="{96600D25-D03C-4995-86FA-E22232E1FFAB}"/>
    <cellStyle name="Comma 11 2 4 3 2 9" xfId="5150" xr:uid="{BA19B251-B417-4DE5-A2ED-AE14E607D459}"/>
    <cellStyle name="Comma 11 2 4 3 2 9 2" xfId="20330" xr:uid="{B69F0FF3-740F-4C86-A5DA-A27BB8008D26}"/>
    <cellStyle name="Comma 11 2 4 3 3" xfId="1029" xr:uid="{3235A43B-12E3-4E6F-B558-03802353998A}"/>
    <cellStyle name="Comma 11 2 4 3 3 10" xfId="31574" xr:uid="{66604116-FDEA-4E63-93D0-B43C517D2B8C}"/>
    <cellStyle name="Comma 11 2 4 3 3 2" xfId="1389" xr:uid="{BA7C18C6-D92D-4F0B-9072-05229C56B7A7}"/>
    <cellStyle name="Comma 11 2 4 3 3 2 2" xfId="3702" xr:uid="{4CE61389-F156-4ECA-B880-5E59865EAACC}"/>
    <cellStyle name="Comma 11 2 4 3 3 2 2 2" xfId="11190" xr:uid="{27E9FCE3-FA14-45EE-B5CF-3FBA88CBE6F1}"/>
    <cellStyle name="Comma 11 2 4 3 3 2 2 2 2" xfId="14736" xr:uid="{7706D5D1-CD89-473C-809F-91F24634CCB3}"/>
    <cellStyle name="Comma 11 2 4 3 3 2 2 2 2 2" xfId="29913" xr:uid="{7E48B989-D12E-4517-B9A2-21F495807446}"/>
    <cellStyle name="Comma 11 2 4 3 3 2 2 2 3" xfId="26368" xr:uid="{45ABD0D8-6D5F-495B-B92B-B018DA501E52}"/>
    <cellStyle name="Comma 11 2 4 3 3 2 2 3" xfId="7016" xr:uid="{8C3AA9D7-827B-4ADE-9175-6020A07E6610}"/>
    <cellStyle name="Comma 11 2 4 3 3 2 2 3 2" xfId="22196" xr:uid="{8D4B88ED-6E8B-4C5D-BD8A-330830BA9B96}"/>
    <cellStyle name="Comma 11 2 4 3 3 2 2 4" xfId="18908" xr:uid="{CCC426E9-5A8B-4E6F-95D0-E8EA427A17F8}"/>
    <cellStyle name="Comma 11 2 4 3 3 2 3" xfId="4175" xr:uid="{17EBA1C2-EBBA-49A1-9102-DDD655A01B65}"/>
    <cellStyle name="Comma 11 2 4 3 3 2 3 2" xfId="11660" xr:uid="{7912B56E-5EC4-4359-931A-CD178D432858}"/>
    <cellStyle name="Comma 11 2 4 3 3 2 3 2 2" xfId="15206" xr:uid="{518A0C4E-EF62-403F-9646-57F6E31A55DF}"/>
    <cellStyle name="Comma 11 2 4 3 3 2 3 2 2 2" xfId="30383" xr:uid="{09661E35-87C0-468E-B8C8-027D3E18BFCE}"/>
    <cellStyle name="Comma 11 2 4 3 3 2 3 2 3" xfId="26838" xr:uid="{D7246653-74D9-406D-8E61-1BEDD0C07F37}"/>
    <cellStyle name="Comma 11 2 4 3 3 2 3 3" xfId="7486" xr:uid="{3E5BC503-598C-4053-BB33-AD9788C0783B}"/>
    <cellStyle name="Comma 11 2 4 3 3 2 3 3 2" xfId="22666" xr:uid="{0F301C78-4B7E-4C3C-84F0-7682E9C44208}"/>
    <cellStyle name="Comma 11 2 4 3 3 2 3 4" xfId="19378" xr:uid="{F4C53700-EA12-45D2-A1FB-66AC6C368164}"/>
    <cellStyle name="Comma 11 2 4 3 3 2 4" xfId="2815" xr:uid="{59AFECA6-EEEF-4760-8018-4413419AD161}"/>
    <cellStyle name="Comma 11 2 4 3 3 2 4 2" xfId="10306" xr:uid="{B2CA1D70-4402-4348-B46D-B7D55312DE96}"/>
    <cellStyle name="Comma 11 2 4 3 3 2 4 2 2" xfId="25484" xr:uid="{8B177E66-D6AC-4F13-8748-A7D77D88C591}"/>
    <cellStyle name="Comma 11 2 4 3 3 2 4 3" xfId="18024" xr:uid="{80CCA003-4021-4F73-996D-8D75F5136A32}"/>
    <cellStyle name="Comma 11 2 4 3 3 2 5" xfId="8908" xr:uid="{C0825300-16C5-4953-A434-FE1F61C84F61}"/>
    <cellStyle name="Comma 11 2 4 3 3 2 5 2" xfId="13081" xr:uid="{7FD9FBE6-6D48-4AEC-9977-CE74AAA0D0F3}"/>
    <cellStyle name="Comma 11 2 4 3 3 2 5 2 2" xfId="28258" xr:uid="{9EAB2A2C-5778-4036-B85E-D489B3914D18}"/>
    <cellStyle name="Comma 11 2 4 3 3 2 5 3" xfId="24086" xr:uid="{768AEA42-CD0D-43BD-9601-DC5468B59588}"/>
    <cellStyle name="Comma 11 2 4 3 3 2 6" xfId="6132" xr:uid="{2BAA00E1-2DC7-4279-9079-240821B04367}"/>
    <cellStyle name="Comma 11 2 4 3 3 2 6 2" xfId="21312" xr:uid="{BA84F448-3B7F-455A-AE65-927098163912}"/>
    <cellStyle name="Comma 11 2 4 3 3 2 7" xfId="16626" xr:uid="{EA7A46D7-8BA1-46FA-A149-51F58E696D1C}"/>
    <cellStyle name="Comma 11 2 4 3 3 3" xfId="2542" xr:uid="{465D3832-926B-4FEF-A385-1B9510D07804}"/>
    <cellStyle name="Comma 11 2 4 3 3 3 2" xfId="10034" xr:uid="{F8743C11-6C44-4E66-B3FC-E98C6F56783F}"/>
    <cellStyle name="Comma 11 2 4 3 3 3 2 2" xfId="13693" xr:uid="{4A1F4FF8-777F-4D0F-AF2D-AD62235095D7}"/>
    <cellStyle name="Comma 11 2 4 3 3 3 2 2 2" xfId="28870" xr:uid="{D4D896B6-9DBF-4890-97FB-C820C985BBEB}"/>
    <cellStyle name="Comma 11 2 4 3 3 3 2 3" xfId="25212" xr:uid="{47934842-D2D4-4B01-98C1-5A2F8399EEE8}"/>
    <cellStyle name="Comma 11 2 4 3 3 3 3" xfId="5860" xr:uid="{E2754FC8-F301-407C-BA28-048CCDF71118}"/>
    <cellStyle name="Comma 11 2 4 3 3 3 3 2" xfId="21040" xr:uid="{59507210-8CDF-448E-8228-9B067EC64015}"/>
    <cellStyle name="Comma 11 2 4 3 3 3 4" xfId="17752" xr:uid="{ED98AC5F-8D20-485C-83E8-589E3C78715B}"/>
    <cellStyle name="Comma 11 2 4 3 3 4" xfId="3430" xr:uid="{C96739E3-D381-4DB7-8A50-3CEE34E108DC}"/>
    <cellStyle name="Comma 11 2 4 3 3 4 2" xfId="10918" xr:uid="{6403661C-CB76-49F2-B42A-CFF49434AA48}"/>
    <cellStyle name="Comma 11 2 4 3 3 4 2 2" xfId="14464" xr:uid="{AC6EDD0C-D70D-4EDF-840D-BBD36ED769B2}"/>
    <cellStyle name="Comma 11 2 4 3 3 4 2 2 2" xfId="29641" xr:uid="{060C32A0-A4EC-4251-ADD3-1FECE23EB473}"/>
    <cellStyle name="Comma 11 2 4 3 3 4 2 3" xfId="26096" xr:uid="{1510DB9A-B613-42C2-BBD5-4828D0D56602}"/>
    <cellStyle name="Comma 11 2 4 3 3 4 3" xfId="6744" xr:uid="{1A09E0C1-EEE6-419E-B49D-B6C82351326F}"/>
    <cellStyle name="Comma 11 2 4 3 3 4 3 2" xfId="21924" xr:uid="{E5EA060A-1E37-4889-92AB-0009F3A80717}"/>
    <cellStyle name="Comma 11 2 4 3 3 4 4" xfId="18636" xr:uid="{0055D354-6C95-48C0-A09D-7235DF0728F1}"/>
    <cellStyle name="Comma 11 2 4 3 3 5" xfId="4176" xr:uid="{012BEFFE-CF65-4057-85A9-62326E2EEF53}"/>
    <cellStyle name="Comma 11 2 4 3 3 5 2" xfId="11661" xr:uid="{677D8828-14DF-4503-8EB2-60BD8C5E7454}"/>
    <cellStyle name="Comma 11 2 4 3 3 5 2 2" xfId="15207" xr:uid="{5F1EA6A8-2D67-4645-A8E0-7558E1A1EFEF}"/>
    <cellStyle name="Comma 11 2 4 3 3 5 2 2 2" xfId="30384" xr:uid="{8A60F692-8115-4789-B989-FF21B9AE706E}"/>
    <cellStyle name="Comma 11 2 4 3 3 5 2 3" xfId="26839" xr:uid="{93C7A01E-268A-4094-9E9E-4FC26308DF98}"/>
    <cellStyle name="Comma 11 2 4 3 3 5 3" xfId="7487" xr:uid="{69DB8F0D-44BC-4584-98B9-2E71680273E0}"/>
    <cellStyle name="Comma 11 2 4 3 3 5 3 2" xfId="22667" xr:uid="{91B91E64-1DE0-4D32-836A-B85DCADF7552}"/>
    <cellStyle name="Comma 11 2 4 3 3 5 4" xfId="19379" xr:uid="{2EC2FBE6-F092-4192-BE16-4AA0C1864221}"/>
    <cellStyle name="Comma 11 2 4 3 3 6" xfId="1925" xr:uid="{FC4EE7D4-0EE2-4C01-A907-4764E75F67A0}"/>
    <cellStyle name="Comma 11 2 4 3 3 6 2" xfId="9422" xr:uid="{A38DA37F-DCC1-4ACF-871B-C306DD5F1703}"/>
    <cellStyle name="Comma 11 2 4 3 3 6 2 2" xfId="24600" xr:uid="{4AAAEB6D-7966-474E-92AA-656E678E01DC}"/>
    <cellStyle name="Comma 11 2 4 3 3 6 3" xfId="17140" xr:uid="{F5B9654D-BD77-4D57-8AEE-232D4FEC70F0}"/>
    <cellStyle name="Comma 11 2 4 3 3 7" xfId="8636" xr:uid="{86B16EAB-4F08-42F3-B9FA-3D95CF3A5AD4}"/>
    <cellStyle name="Comma 11 2 4 3 3 7 2" xfId="12809" xr:uid="{77EC80A7-17E0-48CF-AFEC-DDCF5F7FD436}"/>
    <cellStyle name="Comma 11 2 4 3 3 7 2 2" xfId="27986" xr:uid="{457E91AD-8251-4527-A1E9-667337E29B2A}"/>
    <cellStyle name="Comma 11 2 4 3 3 7 3" xfId="23814" xr:uid="{484437A3-C37F-4A38-B581-0F5311A9CDFB}"/>
    <cellStyle name="Comma 11 2 4 3 3 8" xfId="5248" xr:uid="{4CDDF2F0-8FF6-404F-BD87-3A50942646CA}"/>
    <cellStyle name="Comma 11 2 4 3 3 8 2" xfId="20428" xr:uid="{47117E5F-2F6F-41E0-ABC3-8D093BFC38C8}"/>
    <cellStyle name="Comma 11 2 4 3 3 9" xfId="16354" xr:uid="{31556753-6FF5-4331-ACCF-1148B5D7034B}"/>
    <cellStyle name="Comma 11 2 4 3 4" xfId="1488" xr:uid="{83D77046-82DF-4A7B-AF67-106D9E310EDE}"/>
    <cellStyle name="Comma 11 2 4 3 4 2" xfId="2913" xr:uid="{C1CFAA40-B70C-4A37-AB9F-6FE4F1D288BF}"/>
    <cellStyle name="Comma 11 2 4 3 4 2 2" xfId="10404" xr:uid="{4549129D-AD56-4866-9342-2458B4873442}"/>
    <cellStyle name="Comma 11 2 4 3 4 2 2 2" xfId="13950" xr:uid="{6A62A544-38C4-4713-B368-2D99002829BC}"/>
    <cellStyle name="Comma 11 2 4 3 4 2 2 2 2" xfId="29127" xr:uid="{A08F1A09-6E2F-44E2-85D1-01FD16FAD7D3}"/>
    <cellStyle name="Comma 11 2 4 3 4 2 2 3" xfId="25582" xr:uid="{6738E0CA-AF5E-425C-89C6-6E0C13D54F30}"/>
    <cellStyle name="Comma 11 2 4 3 4 2 3" xfId="6230" xr:uid="{B79E2808-3DED-4624-86CD-7F154A4E96BB}"/>
    <cellStyle name="Comma 11 2 4 3 4 2 3 2" xfId="21410" xr:uid="{93FB020B-CC49-476D-A62A-AEF4DB1A80FD}"/>
    <cellStyle name="Comma 11 2 4 3 4 2 4" xfId="18122" xr:uid="{1D3BDB12-920A-456E-A640-FBAC13A18F99}"/>
    <cellStyle name="Comma 11 2 4 3 4 3" xfId="3800" xr:uid="{A35DD410-8ADC-4474-ACE3-D4F3BE6C0819}"/>
    <cellStyle name="Comma 11 2 4 3 4 3 2" xfId="11288" xr:uid="{0B02E4FD-B98D-4AAC-877C-DB80FAC1E003}"/>
    <cellStyle name="Comma 11 2 4 3 4 3 2 2" xfId="14834" xr:uid="{A4EF2CED-7856-44B3-AB69-EF97FE95E61D}"/>
    <cellStyle name="Comma 11 2 4 3 4 3 2 2 2" xfId="30011" xr:uid="{C2394203-CCC3-49F5-ADD8-C0B7CE7BEE72}"/>
    <cellStyle name="Comma 11 2 4 3 4 3 2 3" xfId="26466" xr:uid="{8FE605EC-DED0-4399-A91A-DEE95D9B2C9E}"/>
    <cellStyle name="Comma 11 2 4 3 4 3 3" xfId="7114" xr:uid="{8378AABE-B28E-41D1-B424-1E1EC518DCBC}"/>
    <cellStyle name="Comma 11 2 4 3 4 3 3 2" xfId="22294" xr:uid="{2B75906A-7597-41CB-ACAC-5A0D5233D631}"/>
    <cellStyle name="Comma 11 2 4 3 4 3 4" xfId="19006" xr:uid="{B9AD3C4B-89B1-4CB4-B609-7387BE604960}"/>
    <cellStyle name="Comma 11 2 4 3 4 4" xfId="4177" xr:uid="{7632213A-69A3-407F-B375-A44D1C855577}"/>
    <cellStyle name="Comma 11 2 4 3 4 4 2" xfId="11662" xr:uid="{5F9B55A2-B9B2-48F4-A55A-D3F76B44F106}"/>
    <cellStyle name="Comma 11 2 4 3 4 4 2 2" xfId="15208" xr:uid="{1A12E222-32B3-4ED5-9953-0AC87078CB10}"/>
    <cellStyle name="Comma 11 2 4 3 4 4 2 2 2" xfId="30385" xr:uid="{66A7E83D-20BA-437B-9460-0A22344EC745}"/>
    <cellStyle name="Comma 11 2 4 3 4 4 2 3" xfId="26840" xr:uid="{31567227-C91F-4445-AB00-C4FF86CA6FAC}"/>
    <cellStyle name="Comma 11 2 4 3 4 4 3" xfId="7488" xr:uid="{ABBBFFFD-1991-4872-B70E-C8885AD07127}"/>
    <cellStyle name="Comma 11 2 4 3 4 4 3 2" xfId="22668" xr:uid="{8857EEDC-BCAF-41F7-9DCE-A978B83C4524}"/>
    <cellStyle name="Comma 11 2 4 3 4 4 4" xfId="19380" xr:uid="{A42C6BF3-60F5-4924-B9DA-63F63512DE5C}"/>
    <cellStyle name="Comma 11 2 4 3 4 5" xfId="2023" xr:uid="{6FDA1540-84A7-4472-9D25-BCF7F1AFF96E}"/>
    <cellStyle name="Comma 11 2 4 3 4 5 2" xfId="9520" xr:uid="{37FE9CB3-CC93-4A28-BEAB-D69855962897}"/>
    <cellStyle name="Comma 11 2 4 3 4 5 2 2" xfId="24698" xr:uid="{55A45494-2872-4467-AB41-71C96DAC262A}"/>
    <cellStyle name="Comma 11 2 4 3 4 5 3" xfId="17238" xr:uid="{154C3627-3744-4DE3-B1B4-283CCEC181C3}"/>
    <cellStyle name="Comma 11 2 4 3 4 6" xfId="9006" xr:uid="{C88F42BB-AB93-4E2E-9BD2-77746F890F67}"/>
    <cellStyle name="Comma 11 2 4 3 4 6 2" xfId="13179" xr:uid="{E4E50A69-15FF-4F30-90E2-1D78BBB4813D}"/>
    <cellStyle name="Comma 11 2 4 3 4 6 2 2" xfId="28356" xr:uid="{4633E62D-77F2-4E5F-8BA5-DBF88160D7A6}"/>
    <cellStyle name="Comma 11 2 4 3 4 6 3" xfId="24184" xr:uid="{1616D6C5-0338-4BD4-9697-845D9B552B69}"/>
    <cellStyle name="Comma 11 2 4 3 4 7" xfId="5346" xr:uid="{75F8EC76-C76E-4AC3-A038-18345AE4F2EF}"/>
    <cellStyle name="Comma 11 2 4 3 4 7 2" xfId="20526" xr:uid="{1A1C97F1-159E-4C30-8F30-1A33329EC0C0}"/>
    <cellStyle name="Comma 11 2 4 3 4 8" xfId="16724" xr:uid="{C48DC65C-89E2-40B8-9A0D-18909D42FB41}"/>
    <cellStyle name="Comma 11 2 4 3 5" xfId="1591" xr:uid="{44831EF7-F4CD-4F44-B83E-CB3C170A4093}"/>
    <cellStyle name="Comma 11 2 4 3 5 2" xfId="3011" xr:uid="{CA9FAF01-6905-481C-873B-29943E79FAFE}"/>
    <cellStyle name="Comma 11 2 4 3 5 2 2" xfId="10502" xr:uid="{6B3364C7-C424-4AE4-A5E1-5360357B0F21}"/>
    <cellStyle name="Comma 11 2 4 3 5 2 2 2" xfId="14048" xr:uid="{9EC7FADE-47E7-4859-951E-F0E02D458800}"/>
    <cellStyle name="Comma 11 2 4 3 5 2 2 2 2" xfId="29225" xr:uid="{253EBD44-5CCF-4DBA-ADEA-76D4DA8D07B0}"/>
    <cellStyle name="Comma 11 2 4 3 5 2 2 3" xfId="25680" xr:uid="{62888D43-C0CB-48F0-8D10-9BEE61A10E00}"/>
    <cellStyle name="Comma 11 2 4 3 5 2 3" xfId="6328" xr:uid="{CC26EC39-52C7-44A8-B6FA-FE33CBFCCF55}"/>
    <cellStyle name="Comma 11 2 4 3 5 2 3 2" xfId="21508" xr:uid="{6A40226A-ADCF-4D9E-900D-00E8A6FF9F30}"/>
    <cellStyle name="Comma 11 2 4 3 5 2 4" xfId="18220" xr:uid="{A8C47AC6-5D93-4E40-A206-4BC02C9F5699}"/>
    <cellStyle name="Comma 11 2 4 3 5 3" xfId="3898" xr:uid="{AEEF256B-13BD-4FF4-B6F8-D5526E41032C}"/>
    <cellStyle name="Comma 11 2 4 3 5 3 2" xfId="11386" xr:uid="{51CEF153-A9A5-4C49-BEBD-E951A472122F}"/>
    <cellStyle name="Comma 11 2 4 3 5 3 2 2" xfId="14932" xr:uid="{0372DB4A-3C7E-47C4-A4D1-9AE9794EEB56}"/>
    <cellStyle name="Comma 11 2 4 3 5 3 2 2 2" xfId="30109" xr:uid="{2805F31F-F26D-4B09-80CB-69D1073E1911}"/>
    <cellStyle name="Comma 11 2 4 3 5 3 2 3" xfId="26564" xr:uid="{EA61EA81-4FF6-4A2A-9144-A21B2A58CFA5}"/>
    <cellStyle name="Comma 11 2 4 3 5 3 3" xfId="7212" xr:uid="{097DB30C-1655-4C8D-A600-34EAC296F401}"/>
    <cellStyle name="Comma 11 2 4 3 5 3 3 2" xfId="22392" xr:uid="{3CBE6971-45D2-4C92-A49A-45A4BB8A73C9}"/>
    <cellStyle name="Comma 11 2 4 3 5 3 4" xfId="19104" xr:uid="{F92C3870-5B55-43C5-8ABF-8BDF92043C76}"/>
    <cellStyle name="Comma 11 2 4 3 5 4" xfId="4178" xr:uid="{7406AB61-3259-4EEF-9A55-46E97028087C}"/>
    <cellStyle name="Comma 11 2 4 3 5 4 2" xfId="11663" xr:uid="{511B7078-BE6A-4C68-B4C8-F72205B1914B}"/>
    <cellStyle name="Comma 11 2 4 3 5 4 2 2" xfId="15209" xr:uid="{78F7D5E5-1EAF-4798-AEA3-8127D993BFEC}"/>
    <cellStyle name="Comma 11 2 4 3 5 4 2 2 2" xfId="30386" xr:uid="{DDE2D4AA-D177-43F8-B890-CE63775B0CB1}"/>
    <cellStyle name="Comma 11 2 4 3 5 4 2 3" xfId="26841" xr:uid="{64F39E17-EBB8-4721-A834-F8F343F6BA4D}"/>
    <cellStyle name="Comma 11 2 4 3 5 4 3" xfId="7489" xr:uid="{4ED13BE8-CB42-41E7-8B12-E35B36307577}"/>
    <cellStyle name="Comma 11 2 4 3 5 4 3 2" xfId="22669" xr:uid="{31713BA4-18D8-4F69-B6C7-04F557C180E2}"/>
    <cellStyle name="Comma 11 2 4 3 5 4 4" xfId="19381" xr:uid="{A874E786-2B27-4219-98D6-FEC408BA3940}"/>
    <cellStyle name="Comma 11 2 4 3 5 5" xfId="2121" xr:uid="{E8823B32-92A7-4F69-A431-64D5DA8766F4}"/>
    <cellStyle name="Comma 11 2 4 3 5 5 2" xfId="9618" xr:uid="{31D4BD26-C7BD-4392-AB60-B6353FE7216C}"/>
    <cellStyle name="Comma 11 2 4 3 5 5 2 2" xfId="24796" xr:uid="{8189D600-9983-4B6F-9A4A-9D7EB8BB6D6F}"/>
    <cellStyle name="Comma 11 2 4 3 5 5 3" xfId="17336" xr:uid="{19C56DA3-06C0-469A-8BD7-622C998A46C8}"/>
    <cellStyle name="Comma 11 2 4 3 5 6" xfId="9104" xr:uid="{29B5290B-FDE0-4A23-B01E-455708634578}"/>
    <cellStyle name="Comma 11 2 4 3 5 6 2" xfId="13277" xr:uid="{BEA05EC4-F681-4CF0-B468-1F07BC55025D}"/>
    <cellStyle name="Comma 11 2 4 3 5 6 2 2" xfId="28454" xr:uid="{150A3B1F-30B5-43C2-8D6F-F975CAC3CF3A}"/>
    <cellStyle name="Comma 11 2 4 3 5 6 3" xfId="24282" xr:uid="{C101C8EC-F698-48D2-8354-242DFF7594CD}"/>
    <cellStyle name="Comma 11 2 4 3 5 7" xfId="5444" xr:uid="{A531DF88-5E89-4DE8-94E5-562579362601}"/>
    <cellStyle name="Comma 11 2 4 3 5 7 2" xfId="20624" xr:uid="{95AAFD54-7285-4948-8CA3-8462E7A6BB44}"/>
    <cellStyle name="Comma 11 2 4 3 5 8" xfId="16822" xr:uid="{A4343E09-EF49-42CE-BA85-D0C6111B467C}"/>
    <cellStyle name="Comma 11 2 4 3 6" xfId="1690" xr:uid="{E7A899D7-B37C-4932-A03B-673806D4EE69}"/>
    <cellStyle name="Comma 11 2 4 3 6 2" xfId="3109" xr:uid="{AB242A7F-D442-4FC5-8948-6A8E9D775FD8}"/>
    <cellStyle name="Comma 11 2 4 3 6 2 2" xfId="10600" xr:uid="{CF83037F-B27E-43D4-AB0C-0FE8C3C97A46}"/>
    <cellStyle name="Comma 11 2 4 3 6 2 2 2" xfId="14146" xr:uid="{3CF36737-55D0-40AD-96DD-51C66B91EBC0}"/>
    <cellStyle name="Comma 11 2 4 3 6 2 2 2 2" xfId="29323" xr:uid="{611C420B-ECD4-42EE-B030-C4A51DE66482}"/>
    <cellStyle name="Comma 11 2 4 3 6 2 2 3" xfId="25778" xr:uid="{4136829E-5D37-4B1E-982B-9CD556B0893A}"/>
    <cellStyle name="Comma 11 2 4 3 6 2 3" xfId="6426" xr:uid="{1641176E-E983-4ABE-A6AE-DE2B3A6B1537}"/>
    <cellStyle name="Comma 11 2 4 3 6 2 3 2" xfId="21606" xr:uid="{11F430F4-F5FC-4398-B799-5A31D46431A6}"/>
    <cellStyle name="Comma 11 2 4 3 6 2 4" xfId="18318" xr:uid="{BAD9B75C-CA7D-473E-8BC4-09DA5D4BD2D5}"/>
    <cellStyle name="Comma 11 2 4 3 6 3" xfId="3996" xr:uid="{5B7F84FB-8DDF-461B-B864-84B67207F5FE}"/>
    <cellStyle name="Comma 11 2 4 3 6 3 2" xfId="11484" xr:uid="{873249B5-187D-474C-82C7-6BBBAB065E61}"/>
    <cellStyle name="Comma 11 2 4 3 6 3 2 2" xfId="15030" xr:uid="{73367055-4C8D-4237-9538-B71387607651}"/>
    <cellStyle name="Comma 11 2 4 3 6 3 2 2 2" xfId="30207" xr:uid="{305920E4-C2EA-4E41-A668-927B88BAA1C4}"/>
    <cellStyle name="Comma 11 2 4 3 6 3 2 3" xfId="26662" xr:uid="{0467EE07-01C5-4717-8B33-E7CEEAB96730}"/>
    <cellStyle name="Comma 11 2 4 3 6 3 3" xfId="7310" xr:uid="{2419BCED-CA61-4CEE-9E1B-0594E3E94661}"/>
    <cellStyle name="Comma 11 2 4 3 6 3 3 2" xfId="22490" xr:uid="{4D1FDF21-5F03-40AA-B016-71E59B677692}"/>
    <cellStyle name="Comma 11 2 4 3 6 3 4" xfId="19202" xr:uid="{EB1237C5-9935-4701-9F33-F5255384B387}"/>
    <cellStyle name="Comma 11 2 4 3 6 4" xfId="4179" xr:uid="{7553FBB2-F63E-479A-92AC-B50470F15A34}"/>
    <cellStyle name="Comma 11 2 4 3 6 4 2" xfId="11664" xr:uid="{5F2A41E0-598B-471B-B070-1C5E1E1BBF31}"/>
    <cellStyle name="Comma 11 2 4 3 6 4 2 2" xfId="15210" xr:uid="{32782063-4F4B-4AA0-A45C-E771EF044670}"/>
    <cellStyle name="Comma 11 2 4 3 6 4 2 2 2" xfId="30387" xr:uid="{6D0063E7-6A61-494D-A71B-1AA683EA7BC6}"/>
    <cellStyle name="Comma 11 2 4 3 6 4 2 3" xfId="26842" xr:uid="{5D6DB453-E4CE-4BD4-9779-E3B5BA718E7E}"/>
    <cellStyle name="Comma 11 2 4 3 6 4 3" xfId="7490" xr:uid="{4146E481-5254-4971-9368-9E264A66A4F6}"/>
    <cellStyle name="Comma 11 2 4 3 6 4 3 2" xfId="22670" xr:uid="{17F0CFB9-05AA-46FB-A877-1C72F469790E}"/>
    <cellStyle name="Comma 11 2 4 3 6 4 4" xfId="19382" xr:uid="{9D0CD1B4-44F7-4D05-A338-7B6D454F044E}"/>
    <cellStyle name="Comma 11 2 4 3 6 5" xfId="2219" xr:uid="{44335051-C6DF-40AA-981D-0D1CE9536D4C}"/>
    <cellStyle name="Comma 11 2 4 3 6 5 2" xfId="9716" xr:uid="{D66C65AF-F9D9-4A37-AFBD-F6B02AD11084}"/>
    <cellStyle name="Comma 11 2 4 3 6 5 2 2" xfId="24894" xr:uid="{66D9FC7F-C677-44C5-B115-51B6F2BBC558}"/>
    <cellStyle name="Comma 11 2 4 3 6 5 3" xfId="17434" xr:uid="{C135431F-B66F-4B66-A68C-831FE470E0B9}"/>
    <cellStyle name="Comma 11 2 4 3 6 6" xfId="9202" xr:uid="{992C9846-345C-4F3E-9D46-32B563BA543B}"/>
    <cellStyle name="Comma 11 2 4 3 6 6 2" xfId="13375" xr:uid="{4711CBC8-84B3-45BC-A482-8CBF0FA9E7DE}"/>
    <cellStyle name="Comma 11 2 4 3 6 6 2 2" xfId="28552" xr:uid="{E42E2EAF-9207-43DF-A1E0-35759EF5F5EB}"/>
    <cellStyle name="Comma 11 2 4 3 6 6 3" xfId="24380" xr:uid="{185C08EC-8DA9-4C9C-83A2-A5141FDDA1C1}"/>
    <cellStyle name="Comma 11 2 4 3 6 7" xfId="5542" xr:uid="{E52714A3-F41E-4469-93D5-967FB8EC3D69}"/>
    <cellStyle name="Comma 11 2 4 3 6 7 2" xfId="20722" xr:uid="{665A9DBA-475C-49A3-919A-82EF25FE090C}"/>
    <cellStyle name="Comma 11 2 4 3 6 8" xfId="16920" xr:uid="{A5165702-C68B-453E-86CD-0300837E4FEE}"/>
    <cellStyle name="Comma 11 2 4 3 7" xfId="2319" xr:uid="{C736EF9D-1FDC-42AA-A86D-795BF4E74C5A}"/>
    <cellStyle name="Comma 11 2 4 3 7 2" xfId="9814" xr:uid="{B61A466B-BED2-409A-804A-3D7D3960E818}"/>
    <cellStyle name="Comma 11 2 4 3 7 2 2" xfId="13473" xr:uid="{26A920F3-4C85-4B5D-B102-614343F54029}"/>
    <cellStyle name="Comma 11 2 4 3 7 2 2 2" xfId="28650" xr:uid="{77BB9C57-A01C-4C30-9910-816A08E19431}"/>
    <cellStyle name="Comma 11 2 4 3 7 2 3" xfId="24992" xr:uid="{3211A004-4482-4956-BD5B-A521AFC0CC02}"/>
    <cellStyle name="Comma 11 2 4 3 7 3" xfId="5640" xr:uid="{7A3ABFE4-905F-4C32-AAAD-D795F2817E37}"/>
    <cellStyle name="Comma 11 2 4 3 7 3 2" xfId="20820" xr:uid="{50FA3E02-A432-4E68-9E7F-83D5665CC015}"/>
    <cellStyle name="Comma 11 2 4 3 7 4" xfId="17532" xr:uid="{D09CC1EB-73F7-4928-99FF-17FA0D0D739F}"/>
    <cellStyle name="Comma 11 2 4 3 8" xfId="3209" xr:uid="{0B31B42E-59AF-489E-B03E-211305B6828E}"/>
    <cellStyle name="Comma 11 2 4 3 8 2" xfId="10698" xr:uid="{2E93CE3B-23F6-43ED-BC00-614305A3EB45}"/>
    <cellStyle name="Comma 11 2 4 3 8 2 2" xfId="14244" xr:uid="{F53A2988-C409-455B-870F-EDFDBAEAC7A9}"/>
    <cellStyle name="Comma 11 2 4 3 8 2 2 2" xfId="29421" xr:uid="{A4C06276-7110-404B-9D9C-D7A1C76248A3}"/>
    <cellStyle name="Comma 11 2 4 3 8 2 3" xfId="25876" xr:uid="{9F8F6976-6C87-44F1-8D40-E0050FBBBA69}"/>
    <cellStyle name="Comma 11 2 4 3 8 3" xfId="6524" xr:uid="{4D28CEFF-ADE0-47E9-A42C-C71E367BA695}"/>
    <cellStyle name="Comma 11 2 4 3 8 3 2" xfId="21704" xr:uid="{37F6D5CC-EC14-4CE1-A74A-CD8241956309}"/>
    <cellStyle name="Comma 11 2 4 3 8 4" xfId="18416" xr:uid="{0CB09550-9898-45CC-AA61-EB5868E9E5E4}"/>
    <cellStyle name="Comma 11 2 4 3 9" xfId="4180" xr:uid="{FA3DC525-D329-454F-A958-DFF46519CCBB}"/>
    <cellStyle name="Comma 11 2 4 3 9 2" xfId="11665" xr:uid="{F814D688-AFF6-4E28-BF88-0C2241FC08CD}"/>
    <cellStyle name="Comma 11 2 4 3 9 2 2" xfId="15211" xr:uid="{B4227C1E-5267-447C-9B77-FEBADD2FB9E3}"/>
    <cellStyle name="Comma 11 2 4 3 9 2 2 2" xfId="30388" xr:uid="{1722013A-F100-400C-90C3-B86C56D3B55D}"/>
    <cellStyle name="Comma 11 2 4 3 9 2 3" xfId="26843" xr:uid="{75F48106-5430-4311-87FD-941E9C7EEB46}"/>
    <cellStyle name="Comma 11 2 4 3 9 3" xfId="7491" xr:uid="{1681CD5B-32BB-46E8-890B-AA19878A6595}"/>
    <cellStyle name="Comma 11 2 4 3 9 3 2" xfId="22671" xr:uid="{DDED2BCB-054C-4041-A521-7AF25AA951BA}"/>
    <cellStyle name="Comma 11 2 4 3 9 4" xfId="19383" xr:uid="{8A720015-3731-4CC1-AE48-45878583D376}"/>
    <cellStyle name="Comma 11 2 4 4" xfId="877" xr:uid="{9E0D01AF-025A-4153-BC95-1554FFD55056}"/>
    <cellStyle name="Comma 11 2 4 4 2" xfId="2395" xr:uid="{E1144906-7E02-4072-8A1B-12FF57CD6D5D}"/>
    <cellStyle name="Comma 11 2 4 4 2 2" xfId="9887" xr:uid="{A459F3D6-1C42-43E1-8074-6006C2DF2F4D}"/>
    <cellStyle name="Comma 11 2 4 4 2 2 2" xfId="13546" xr:uid="{BA913957-C758-4CF7-B7BF-166BC3AA6719}"/>
    <cellStyle name="Comma 11 2 4 4 2 2 2 2" xfId="28723" xr:uid="{B599F0D6-A19E-4383-BBC5-4380FECD72F0}"/>
    <cellStyle name="Comma 11 2 4 4 2 2 3" xfId="25065" xr:uid="{B0BD4436-34EF-433B-B1BC-6091DDD02E87}"/>
    <cellStyle name="Comma 11 2 4 4 2 3" xfId="5713" xr:uid="{6C62684B-E6D1-4828-A803-1D1D5514BDFD}"/>
    <cellStyle name="Comma 11 2 4 4 2 3 2" xfId="20893" xr:uid="{1FFB5ED6-259B-4F9E-8B59-BAFFA6637E31}"/>
    <cellStyle name="Comma 11 2 4 4 2 4" xfId="17605" xr:uid="{88B42521-80C0-4069-A4E8-DDD8212369FF}"/>
    <cellStyle name="Comma 11 2 4 4 3" xfId="3283" xr:uid="{DE8B059B-D8E2-4A99-8E06-9D6CB517C7A8}"/>
    <cellStyle name="Comma 11 2 4 4 3 2" xfId="10771" xr:uid="{B9EE67FB-5FE1-499C-A67A-7FAC296CD907}"/>
    <cellStyle name="Comma 11 2 4 4 3 2 2" xfId="14317" xr:uid="{29930687-DAD7-40E7-B126-CDF40B31C830}"/>
    <cellStyle name="Comma 11 2 4 4 3 2 2 2" xfId="29494" xr:uid="{E2187EE9-CE6F-4CED-A3A7-7F00E9773360}"/>
    <cellStyle name="Comma 11 2 4 4 3 2 3" xfId="25949" xr:uid="{F98A0F4E-A6B0-40F9-8131-CB61BBF140C1}"/>
    <cellStyle name="Comma 11 2 4 4 3 3" xfId="6597" xr:uid="{F29432A9-BA54-41A7-BCEB-4AB9862C7A8A}"/>
    <cellStyle name="Comma 11 2 4 4 3 3 2" xfId="21777" xr:uid="{6708604D-C0CA-42DF-84EC-3512A01E99AF}"/>
    <cellStyle name="Comma 11 2 4 4 3 4" xfId="18489" xr:uid="{5DD6F3B4-7045-41C6-8F6A-68755E6C3646}"/>
    <cellStyle name="Comma 11 2 4 4 4" xfId="4181" xr:uid="{A52C1F08-3609-462E-A9FF-A112754AF0EB}"/>
    <cellStyle name="Comma 11 2 4 4 4 2" xfId="11666" xr:uid="{7B83E57B-F17F-4AF3-9553-A1B9EE44BE3A}"/>
    <cellStyle name="Comma 11 2 4 4 4 2 2" xfId="15212" xr:uid="{2779447F-6385-4F34-83EA-7A62F156F9BC}"/>
    <cellStyle name="Comma 11 2 4 4 4 2 2 2" xfId="30389" xr:uid="{C1AB330A-BEFE-4254-9942-20E4ECBB48B9}"/>
    <cellStyle name="Comma 11 2 4 4 4 2 3" xfId="26844" xr:uid="{53CCAAB1-9A36-4DC5-8137-6529B4A1E051}"/>
    <cellStyle name="Comma 11 2 4 4 4 3" xfId="7492" xr:uid="{86E5C9CE-FF68-4541-850A-45B546DBD1B7}"/>
    <cellStyle name="Comma 11 2 4 4 4 3 2" xfId="22672" xr:uid="{DC86B465-3F83-45EC-9F98-A7CCE6249797}"/>
    <cellStyle name="Comma 11 2 4 4 4 4" xfId="19384" xr:uid="{155C3884-A60A-4C79-A027-D81E3D2D54DB}"/>
    <cellStyle name="Comma 11 2 4 4 5" xfId="8489" xr:uid="{A594D33A-DDDE-4C45-9AE4-A3A29F055536}"/>
    <cellStyle name="Comma 11 2 4 4 5 2" xfId="12662" xr:uid="{4889EC6C-81D9-48E9-8095-D05858541087}"/>
    <cellStyle name="Comma 11 2 4 4 5 2 2" xfId="27839" xr:uid="{3883F0B8-0114-4ADB-85CD-4972AA41743A}"/>
    <cellStyle name="Comma 11 2 4 4 5 3" xfId="23667" xr:uid="{2D3C564F-60C4-4C26-A9EB-594608672ECB}"/>
    <cellStyle name="Comma 11 2 4 4 6" xfId="16207" xr:uid="{D49AB8E2-5709-4388-A996-52633ECD170F}"/>
    <cellStyle name="Comma 11 2 4 4 7" xfId="31647" xr:uid="{6188959A-B30E-4EBD-959D-3429BD0F3BF9}"/>
    <cellStyle name="Comma 11 2 4 5" xfId="980" xr:uid="{B05DECC0-A603-490E-8A6A-679BECC3F121}"/>
    <cellStyle name="Comma 11 2 4 5 2" xfId="2493" xr:uid="{4F878704-9311-4060-A7EE-A821B7C4DDF6}"/>
    <cellStyle name="Comma 11 2 4 5 2 2" xfId="9985" xr:uid="{66DAFE9B-2EF9-4DE9-BD4C-B212C6E242EE}"/>
    <cellStyle name="Comma 11 2 4 5 2 2 2" xfId="13644" xr:uid="{591B6E84-F647-4BE8-A04E-BCB556CC742F}"/>
    <cellStyle name="Comma 11 2 4 5 2 2 2 2" xfId="28821" xr:uid="{C5FBA0A2-E89F-40F9-BC0A-3FA106384A68}"/>
    <cellStyle name="Comma 11 2 4 5 2 2 3" xfId="25163" xr:uid="{CEE6F903-9969-4BB3-BAFB-897A10C926A5}"/>
    <cellStyle name="Comma 11 2 4 5 2 3" xfId="5811" xr:uid="{74721AF8-CE14-4B14-8950-CAC52AE500A3}"/>
    <cellStyle name="Comma 11 2 4 5 2 3 2" xfId="20991" xr:uid="{885C8782-AB9A-4CA0-BDA8-F5B443EF222E}"/>
    <cellStyle name="Comma 11 2 4 5 2 4" xfId="17703" xr:uid="{CAA66A09-DE1F-4470-A72C-409DA28605CE}"/>
    <cellStyle name="Comma 11 2 4 5 3" xfId="3381" xr:uid="{07D22A27-CA6C-409F-B90E-2E650EF7C9EF}"/>
    <cellStyle name="Comma 11 2 4 5 3 2" xfId="10869" xr:uid="{E452D6C2-12A8-418B-B2D9-5C782322D4E3}"/>
    <cellStyle name="Comma 11 2 4 5 3 2 2" xfId="14415" xr:uid="{2CDA68E3-73AF-4FED-ABB1-E133C3D98201}"/>
    <cellStyle name="Comma 11 2 4 5 3 2 2 2" xfId="29592" xr:uid="{A03A1D2E-16C1-477E-85C2-549A8118F727}"/>
    <cellStyle name="Comma 11 2 4 5 3 2 3" xfId="26047" xr:uid="{545607DC-875B-48F4-88F2-4F4A79E4454A}"/>
    <cellStyle name="Comma 11 2 4 5 3 3" xfId="6695" xr:uid="{12AA988E-B661-4331-8171-3232C3B71B07}"/>
    <cellStyle name="Comma 11 2 4 5 3 3 2" xfId="21875" xr:uid="{2CA9FDF8-4807-4DF0-AA46-1E1B8843970D}"/>
    <cellStyle name="Comma 11 2 4 5 3 4" xfId="18587" xr:uid="{D39A893B-DB70-42ED-A4A8-CC8C833BC639}"/>
    <cellStyle name="Comma 11 2 4 5 4" xfId="4182" xr:uid="{6BAF2405-FA8C-42FA-B54B-E39E12159CCB}"/>
    <cellStyle name="Comma 11 2 4 5 4 2" xfId="11667" xr:uid="{2AEE3252-47BE-4B07-9932-AC66BC64F33F}"/>
    <cellStyle name="Comma 11 2 4 5 4 2 2" xfId="15213" xr:uid="{EFE4ADE1-C5C7-4DFD-896D-4DAA234EFCF2}"/>
    <cellStyle name="Comma 11 2 4 5 4 2 2 2" xfId="30390" xr:uid="{B0AAD9CE-8729-4180-B955-49B0A63D6E94}"/>
    <cellStyle name="Comma 11 2 4 5 4 2 3" xfId="26845" xr:uid="{506904A6-56C2-4BAD-B8F4-4FFBB088B02C}"/>
    <cellStyle name="Comma 11 2 4 5 4 3" xfId="7493" xr:uid="{60F2140B-3F9D-4AF8-8048-A9FE97116CF6}"/>
    <cellStyle name="Comma 11 2 4 5 4 3 2" xfId="22673" xr:uid="{F92954AD-1D35-48C9-9C22-A3C80886AF7D}"/>
    <cellStyle name="Comma 11 2 4 5 4 4" xfId="19385" xr:uid="{E5165352-81B2-41C2-AB5D-6C7D598967E2}"/>
    <cellStyle name="Comma 11 2 4 5 5" xfId="8587" xr:uid="{D291D806-867F-4959-A37A-101FEFE7CB93}"/>
    <cellStyle name="Comma 11 2 4 5 5 2" xfId="12760" xr:uid="{BE0302B9-3A02-4963-8E52-651F2AF739A8}"/>
    <cellStyle name="Comma 11 2 4 5 5 2 2" xfId="27937" xr:uid="{49CBA393-353C-4D65-AEA8-66145C613D38}"/>
    <cellStyle name="Comma 11 2 4 5 5 3" xfId="23765" xr:uid="{49F78535-47BE-4E54-9405-2D96FB73CD09}"/>
    <cellStyle name="Comma 11 2 4 5 6" xfId="16305" xr:uid="{53878605-010C-4F9F-9C6E-38DEE6B4B051}"/>
    <cellStyle name="Comma 11 2 4 5 7" xfId="31525" xr:uid="{121AD11B-A407-400B-8613-135BEC6E03D7}"/>
    <cellStyle name="Comma 11 2 4 6" xfId="1163" xr:uid="{268B6318-1073-4907-9805-1B4D3C07C83B}"/>
    <cellStyle name="Comma 11 2 4 6 2" xfId="2596" xr:uid="{96E85E58-BB7B-41BB-AE33-37F6C50F2521}"/>
    <cellStyle name="Comma 11 2 4 6 2 2" xfId="10087" xr:uid="{FE2FC78C-780B-4E95-BF4A-3EB9FF23CEC3}"/>
    <cellStyle name="Comma 11 2 4 6 2 2 2" xfId="13745" xr:uid="{1D8B3F95-1BE9-46A1-BAE3-F87AEC538F55}"/>
    <cellStyle name="Comma 11 2 4 6 2 2 2 2" xfId="28922" xr:uid="{3F0A6362-E09E-4F5E-A9C2-69BCAFF56BA4}"/>
    <cellStyle name="Comma 11 2 4 6 2 2 3" xfId="25265" xr:uid="{65B578CA-2D5E-4B2C-A85A-3ED03E1C78B3}"/>
    <cellStyle name="Comma 11 2 4 6 2 3" xfId="5913" xr:uid="{2EC5FC39-3FFA-42A9-8AEA-2D322E3DADFE}"/>
    <cellStyle name="Comma 11 2 4 6 2 3 2" xfId="21093" xr:uid="{0C494935-56FE-4451-9DFA-E2E2A6726CFE}"/>
    <cellStyle name="Comma 11 2 4 6 2 4" xfId="17805" xr:uid="{4AA35661-DE78-40B9-9015-4966E64641FE}"/>
    <cellStyle name="Comma 11 2 4 6 3" xfId="3483" xr:uid="{D1B446B9-B181-40E6-8D57-77CD41FE3A5B}"/>
    <cellStyle name="Comma 11 2 4 6 3 2" xfId="10971" xr:uid="{BDF0D8C2-097E-4698-8C6F-CD9C1E4863AE}"/>
    <cellStyle name="Comma 11 2 4 6 3 2 2" xfId="14517" xr:uid="{AAF1B017-0384-4C26-A68C-8E1DB3EFC9A8}"/>
    <cellStyle name="Comma 11 2 4 6 3 2 2 2" xfId="29694" xr:uid="{9B897C2A-68C8-4E4B-845B-B181B0127A29}"/>
    <cellStyle name="Comma 11 2 4 6 3 2 3" xfId="26149" xr:uid="{227CCF72-F68F-4A6A-98FF-E22FBE387D80}"/>
    <cellStyle name="Comma 11 2 4 6 3 3" xfId="6797" xr:uid="{ABF02C14-383A-4D9C-9BBF-74B278B4A4DB}"/>
    <cellStyle name="Comma 11 2 4 6 3 3 2" xfId="21977" xr:uid="{CD3BFFD1-9C3D-41EF-8A4E-EC5CC991D163}"/>
    <cellStyle name="Comma 11 2 4 6 3 4" xfId="18689" xr:uid="{714A2924-EB60-4518-98AA-F55A0FD9255A}"/>
    <cellStyle name="Comma 11 2 4 6 4" xfId="4183" xr:uid="{C37863BA-A7E7-4AA4-AABC-AECCFBB2D2E1}"/>
    <cellStyle name="Comma 11 2 4 6 4 2" xfId="11668" xr:uid="{C8121E68-74BF-4983-A45D-4580770CD156}"/>
    <cellStyle name="Comma 11 2 4 6 4 2 2" xfId="15214" xr:uid="{46E61A52-4912-4DA0-92DB-A5D15961AACF}"/>
    <cellStyle name="Comma 11 2 4 6 4 2 2 2" xfId="30391" xr:uid="{A616DBA4-A52B-4966-8119-299BDF3B4A98}"/>
    <cellStyle name="Comma 11 2 4 6 4 2 3" xfId="26846" xr:uid="{1BD3D6A1-4078-4A36-A847-C569DC0CCFB6}"/>
    <cellStyle name="Comma 11 2 4 6 4 3" xfId="7494" xr:uid="{D5635D81-F5FF-4B76-B455-9A81FC1F11E6}"/>
    <cellStyle name="Comma 11 2 4 6 4 3 2" xfId="22674" xr:uid="{81F72C02-92D4-4E56-A633-179AC67DC1F9}"/>
    <cellStyle name="Comma 11 2 4 6 4 4" xfId="19386" xr:uid="{2DAD89D7-AB20-47BE-8A3A-735D9D3F0375}"/>
    <cellStyle name="Comma 11 2 4 6 5" xfId="8689" xr:uid="{F9B99ABC-ED52-42FE-BE0B-F1071595CBCA}"/>
    <cellStyle name="Comma 11 2 4 6 5 2" xfId="12862" xr:uid="{6D9E2B68-6614-4009-8B61-6903C31653DE}"/>
    <cellStyle name="Comma 11 2 4 6 5 2 2" xfId="28039" xr:uid="{DFBDA10D-0230-458A-8562-42435C6B3F49}"/>
    <cellStyle name="Comma 11 2 4 6 5 3" xfId="23867" xr:uid="{B34C3821-911C-4FC5-AF33-69F9FB44E857}"/>
    <cellStyle name="Comma 11 2 4 6 6" xfId="16407" xr:uid="{2C2F4E77-5273-4DB3-B6D4-1C21796D30CA}"/>
    <cellStyle name="Comma 11 2 4 7" xfId="1189" xr:uid="{9551138A-4EB8-429F-A169-472E3C0801A0}"/>
    <cellStyle name="Comma 11 2 4 7 2" xfId="2620" xr:uid="{7AAB6B6D-04E8-4EA3-9801-F74856BA0E20}"/>
    <cellStyle name="Comma 11 2 4 7 2 2" xfId="10111" xr:uid="{5EB39946-7030-4926-8E34-F62B2817D284}"/>
    <cellStyle name="Comma 11 2 4 7 2 2 2" xfId="13769" xr:uid="{68FCF5B0-091A-489A-B60A-C7781CCC4D4F}"/>
    <cellStyle name="Comma 11 2 4 7 2 2 2 2" xfId="28946" xr:uid="{BF117C29-7D66-48B0-9955-9B0F4F26CFD4}"/>
    <cellStyle name="Comma 11 2 4 7 2 2 3" xfId="25289" xr:uid="{6335E6F1-96CA-4DC6-AAD6-71267298A001}"/>
    <cellStyle name="Comma 11 2 4 7 2 3" xfId="5937" xr:uid="{6F3D5BBD-2856-440A-8B90-6A82CCE86EC3}"/>
    <cellStyle name="Comma 11 2 4 7 2 3 2" xfId="21117" xr:uid="{D726260B-4005-4B1D-9EFC-912FB9B5A517}"/>
    <cellStyle name="Comma 11 2 4 7 2 4" xfId="17829" xr:uid="{E25A5BFE-A30E-4C47-BBF7-CC0B79B82625}"/>
    <cellStyle name="Comma 11 2 4 7 3" xfId="3507" xr:uid="{87AA838E-3117-4B1D-BD7E-0E28C82D2D8F}"/>
    <cellStyle name="Comma 11 2 4 7 3 2" xfId="10995" xr:uid="{EEA30404-B626-4E89-956B-46648053E3B2}"/>
    <cellStyle name="Comma 11 2 4 7 3 2 2" xfId="14541" xr:uid="{966B328C-E2DE-4232-B329-EED87B7E96DF}"/>
    <cellStyle name="Comma 11 2 4 7 3 2 2 2" xfId="29718" xr:uid="{4F663AFE-4E5D-4DCD-A055-C151452E2616}"/>
    <cellStyle name="Comma 11 2 4 7 3 2 3" xfId="26173" xr:uid="{F980A729-2426-4879-A579-0F073DCCF1C7}"/>
    <cellStyle name="Comma 11 2 4 7 3 3" xfId="6821" xr:uid="{44A4D587-93B2-46EE-BF93-D55B9A08F0A8}"/>
    <cellStyle name="Comma 11 2 4 7 3 3 2" xfId="22001" xr:uid="{E26D4A10-9AC9-40CF-A7E1-793F56FF0ABB}"/>
    <cellStyle name="Comma 11 2 4 7 3 4" xfId="18713" xr:uid="{3428D164-54FA-4EE9-B3EA-F80736477851}"/>
    <cellStyle name="Comma 11 2 4 7 4" xfId="4184" xr:uid="{C6C752DD-29E4-4EE3-B433-9A57AEA7C8CF}"/>
    <cellStyle name="Comma 11 2 4 7 4 2" xfId="11669" xr:uid="{760B2E1A-1501-4BC7-8FFD-535FBE650068}"/>
    <cellStyle name="Comma 11 2 4 7 4 2 2" xfId="15215" xr:uid="{C465A66A-53A3-4C2D-BFAA-EB744520C469}"/>
    <cellStyle name="Comma 11 2 4 7 4 2 2 2" xfId="30392" xr:uid="{988CB73D-625A-42E4-A9EF-A27FB6EEA528}"/>
    <cellStyle name="Comma 11 2 4 7 4 2 3" xfId="26847" xr:uid="{7098D5EB-336A-4EA5-BEF3-4B52D1C24606}"/>
    <cellStyle name="Comma 11 2 4 7 4 3" xfId="7495" xr:uid="{E3C75AF9-897A-49ED-B981-748217411EDF}"/>
    <cellStyle name="Comma 11 2 4 7 4 3 2" xfId="22675" xr:uid="{1C91DAA4-7FCB-4760-89D6-E703DBD17395}"/>
    <cellStyle name="Comma 11 2 4 7 4 4" xfId="19387" xr:uid="{B4C284D5-410A-4538-8C00-B5498A757424}"/>
    <cellStyle name="Comma 11 2 4 7 5" xfId="8713" xr:uid="{5C11F3CE-4493-439D-8B0E-635ED229BBC1}"/>
    <cellStyle name="Comma 11 2 4 7 5 2" xfId="12886" xr:uid="{756E37E4-B78F-40D3-B25A-6A06DCAAFB8A}"/>
    <cellStyle name="Comma 11 2 4 7 5 2 2" xfId="28063" xr:uid="{5565F7C1-EDFE-409E-950E-6827A176EE61}"/>
    <cellStyle name="Comma 11 2 4 7 5 3" xfId="23891" xr:uid="{0B044E60-A589-4071-B714-4FE317455FF6}"/>
    <cellStyle name="Comma 11 2 4 7 6" xfId="16431" xr:uid="{13F9E32E-3595-4EFE-BE42-3A272934CB8D}"/>
    <cellStyle name="Comma 11 2 4 8" xfId="1238" xr:uid="{13EA2C39-BCB0-47A2-888B-4608B97D7F2E}"/>
    <cellStyle name="Comma 11 2 4 8 10" xfId="31297" xr:uid="{5D861622-9F38-45EE-88A6-7E31C84CF63B}"/>
    <cellStyle name="Comma 11 2 4 8 2" xfId="2668" xr:uid="{D4211AFD-BBA7-48FC-86B4-4E4B69501A68}"/>
    <cellStyle name="Comma 11 2 4 8 2 2" xfId="10159" xr:uid="{A22B43F2-C3B5-4540-B6C5-F6D57A9C0AED}"/>
    <cellStyle name="Comma 11 2 4 8 2 2 2" xfId="13803" xr:uid="{504B69D1-6C20-470C-8D01-D6D7106D0050}"/>
    <cellStyle name="Comma 11 2 4 8 2 2 2 2" xfId="28980" xr:uid="{475CD962-CE17-49B3-A852-D6A6473939DD}"/>
    <cellStyle name="Comma 11 2 4 8 2 2 3" xfId="25337" xr:uid="{3ABD592B-A106-4946-8BAB-853A83377A1D}"/>
    <cellStyle name="Comma 11 2 4 8 2 3" xfId="5985" xr:uid="{89ABC5BC-BB38-48C8-BC7C-DD75DA4B3079}"/>
    <cellStyle name="Comma 11 2 4 8 2 3 2" xfId="21165" xr:uid="{B3451B6A-562E-4B1F-9AB3-92C1B7D00B14}"/>
    <cellStyle name="Comma 11 2 4 8 2 4" xfId="17877" xr:uid="{B51E5B23-1A64-424D-9B44-768AE97266E8}"/>
    <cellStyle name="Comma 11 2 4 8 3" xfId="3555" xr:uid="{19103610-C5A7-493B-A009-2ECA2938E758}"/>
    <cellStyle name="Comma 11 2 4 8 3 2" xfId="11043" xr:uid="{01EF1FC4-BCF0-4429-9F1C-54B5D1A0B929}"/>
    <cellStyle name="Comma 11 2 4 8 3 2 2" xfId="14589" xr:uid="{4C8F1F48-03A7-44B7-9412-EE873605D59C}"/>
    <cellStyle name="Comma 11 2 4 8 3 2 2 2" xfId="29766" xr:uid="{640189EA-84B8-44BA-98E4-95F1DAA3847B}"/>
    <cellStyle name="Comma 11 2 4 8 3 2 3" xfId="26221" xr:uid="{B8F5D76F-9A86-4534-AB8F-907AA9AFF7F5}"/>
    <cellStyle name="Comma 11 2 4 8 3 3" xfId="6869" xr:uid="{C28FE319-4D70-41A0-ADF9-E9FEFA1B872D}"/>
    <cellStyle name="Comma 11 2 4 8 3 3 2" xfId="22049" xr:uid="{5C157C96-495F-4C7C-ACD8-3FE6ED06E09A}"/>
    <cellStyle name="Comma 11 2 4 8 3 4" xfId="18761" xr:uid="{F61D0003-25F4-40BA-A0A9-25DBECEB01F9}"/>
    <cellStyle name="Comma 11 2 4 8 4" xfId="4185" xr:uid="{420CDC77-BCEE-413A-B2E3-14CC0C1F326E}"/>
    <cellStyle name="Comma 11 2 4 8 4 2" xfId="11670" xr:uid="{9A97BEEB-EB2F-40D0-9879-F764B0A27EEF}"/>
    <cellStyle name="Comma 11 2 4 8 4 2 2" xfId="15216" xr:uid="{9CDE115D-802C-4444-9D03-5F32B34309FD}"/>
    <cellStyle name="Comma 11 2 4 8 4 2 2 2" xfId="30393" xr:uid="{07D9E0F8-CDF1-4E86-953F-30F7675E09A6}"/>
    <cellStyle name="Comma 11 2 4 8 4 2 3" xfId="26848" xr:uid="{D7EDFC23-4EB2-433F-9A2E-50F4557A502D}"/>
    <cellStyle name="Comma 11 2 4 8 4 3" xfId="7496" xr:uid="{DA88ED0C-792E-4AC9-826A-C10C00B66BE5}"/>
    <cellStyle name="Comma 11 2 4 8 4 3 2" xfId="22676" xr:uid="{AA15BB88-3FA0-4088-B1C4-2F63F4533550}"/>
    <cellStyle name="Comma 11 2 4 8 4 4" xfId="19388" xr:uid="{83709643-30A7-4233-A7CE-CA1F1D1F1FF7}"/>
    <cellStyle name="Comma 11 2 4 8 5" xfId="4957" xr:uid="{FE955CD3-6D10-4DC3-9EFF-38AED4DB6668}"/>
    <cellStyle name="Comma 11 2 4 8 5 2" xfId="12441" xr:uid="{B5D32C0B-B82B-4CDD-807D-702433B4FD70}"/>
    <cellStyle name="Comma 11 2 4 8 5 2 2" xfId="15987" xr:uid="{88D0D13F-1E00-4D09-B815-80B1C4450675}"/>
    <cellStyle name="Comma 11 2 4 8 5 2 2 2" xfId="31164" xr:uid="{2AAF8387-1F09-4DAC-A444-7C530DD728DA}"/>
    <cellStyle name="Comma 11 2 4 8 5 2 3" xfId="27619" xr:uid="{60B75E21-B791-4349-BEA1-D9C280B62B4C}"/>
    <cellStyle name="Comma 11 2 4 8 5 3" xfId="8267" xr:uid="{C6D204EB-3667-4D46-9374-E5C0AA7C4D0D}"/>
    <cellStyle name="Comma 11 2 4 8 5 3 2" xfId="23447" xr:uid="{0229CADF-8D24-4969-BAD4-7DDEAB5249B5}"/>
    <cellStyle name="Comma 11 2 4 8 5 4" xfId="20159" xr:uid="{5FB71EFB-1D78-45A5-B032-DFB755758BD4}"/>
    <cellStyle name="Comma 11 2 4 8 6" xfId="1778" xr:uid="{A6EC236C-D3E8-4FA3-B455-0DD3AA659059}"/>
    <cellStyle name="Comma 11 2 4 8 6 2" xfId="9275" xr:uid="{94BDE205-1304-4DA0-8A4B-35B97DAB34AF}"/>
    <cellStyle name="Comma 11 2 4 8 6 2 2" xfId="24453" xr:uid="{F06F00EB-E056-456B-97CF-AEE34A499E07}"/>
    <cellStyle name="Comma 11 2 4 8 6 3" xfId="16993" xr:uid="{9C41F65F-0E71-40FD-90E6-A3436C16CADD}"/>
    <cellStyle name="Comma 11 2 4 8 7" xfId="8761" xr:uid="{74D187EF-7882-46BF-B54D-1F39AC775C46}"/>
    <cellStyle name="Comma 11 2 4 8 7 2" xfId="12934" xr:uid="{6C65E3B0-FD01-454A-A289-33C0D2B439D4}"/>
    <cellStyle name="Comma 11 2 4 8 7 2 2" xfId="28111" xr:uid="{0D6947D9-DE38-4C36-9F8E-A195AE88CBC5}"/>
    <cellStyle name="Comma 11 2 4 8 7 3" xfId="23939" xr:uid="{474A2B76-00EA-4862-8521-4FBB748B73F9}"/>
    <cellStyle name="Comma 11 2 4 8 8" xfId="5101" xr:uid="{03C061F9-D3AF-4E63-833D-6E7A35C3FC67}"/>
    <cellStyle name="Comma 11 2 4 8 8 2" xfId="20281" xr:uid="{A29BBE46-3D16-47A5-89E8-387A7CFA7048}"/>
    <cellStyle name="Comma 11 2 4 8 9" xfId="16479" xr:uid="{2B28B44F-3321-4A80-AE85-6E811BDF221E}"/>
    <cellStyle name="Comma 11 2 4 9" xfId="1340" xr:uid="{755F129C-6978-4780-8E87-0428B8266A58}"/>
    <cellStyle name="Comma 11 2 4 9 2" xfId="2766" xr:uid="{C69A98C6-B287-4C1A-9212-8BB067665297}"/>
    <cellStyle name="Comma 11 2 4 9 2 2" xfId="10257" xr:uid="{6F5EEAFA-7AF0-4438-A6B7-B4941CF7BE77}"/>
    <cellStyle name="Comma 11 2 4 9 2 2 2" xfId="13852" xr:uid="{F98E9162-FBD6-49E9-8759-7F56A09F0442}"/>
    <cellStyle name="Comma 11 2 4 9 2 2 2 2" xfId="29029" xr:uid="{135EB8F9-A689-49DF-A2AF-2C1DD412BAB2}"/>
    <cellStyle name="Comma 11 2 4 9 2 2 3" xfId="25435" xr:uid="{1E4530D4-2DAE-4DED-B256-C01C236D8ED8}"/>
    <cellStyle name="Comma 11 2 4 9 2 3" xfId="6083" xr:uid="{73E11386-DB9D-4F7E-BAAA-BFC051C04BD5}"/>
    <cellStyle name="Comma 11 2 4 9 2 3 2" xfId="21263" xr:uid="{1E6AA4C2-C373-4E31-982B-AAC96E93D1D3}"/>
    <cellStyle name="Comma 11 2 4 9 2 4" xfId="17975" xr:uid="{9800E9F0-6E78-4CF3-97B5-D9CA275B4764}"/>
    <cellStyle name="Comma 11 2 4 9 3" xfId="3653" xr:uid="{A4B47064-3379-4F7D-90CE-767E9248911D}"/>
    <cellStyle name="Comma 11 2 4 9 3 2" xfId="11141" xr:uid="{E026FA5E-464C-435C-8E0A-A3E3DB3D53DD}"/>
    <cellStyle name="Comma 11 2 4 9 3 2 2" xfId="14687" xr:uid="{BCE2ACB6-D505-42C2-A2D7-DC9B2A87E523}"/>
    <cellStyle name="Comma 11 2 4 9 3 2 2 2" xfId="29864" xr:uid="{EAB264FA-5529-4C95-8FCD-17F1664E37D4}"/>
    <cellStyle name="Comma 11 2 4 9 3 2 3" xfId="26319" xr:uid="{D028B6A0-F51D-4B93-B804-681D53A28F2F}"/>
    <cellStyle name="Comma 11 2 4 9 3 3" xfId="6967" xr:uid="{7BD951F5-9C6B-40BF-9CE1-144207F793AF}"/>
    <cellStyle name="Comma 11 2 4 9 3 3 2" xfId="22147" xr:uid="{39AB8A8D-15D5-43CB-ACCC-1509501FFBC4}"/>
    <cellStyle name="Comma 11 2 4 9 3 4" xfId="18859" xr:uid="{19E0779C-2124-47E3-918D-0C042B868997}"/>
    <cellStyle name="Comma 11 2 4 9 4" xfId="4186" xr:uid="{200C1626-1328-44BD-99B2-56112E44B17D}"/>
    <cellStyle name="Comma 11 2 4 9 4 2" xfId="11671" xr:uid="{F2AB5564-0980-4915-9CCC-078DCFBB6AEE}"/>
    <cellStyle name="Comma 11 2 4 9 4 2 2" xfId="15217" xr:uid="{6B9E3E7D-BCF0-4572-BB8C-6C1929D6780C}"/>
    <cellStyle name="Comma 11 2 4 9 4 2 2 2" xfId="30394" xr:uid="{F0483D0A-E3BE-4502-B0A3-BE2FC7928EEE}"/>
    <cellStyle name="Comma 11 2 4 9 4 2 3" xfId="26849" xr:uid="{3D7F0517-F25A-428B-B868-78B349BC507A}"/>
    <cellStyle name="Comma 11 2 4 9 4 3" xfId="7497" xr:uid="{5DED3A37-2749-4130-882F-7B3947FF1840}"/>
    <cellStyle name="Comma 11 2 4 9 4 3 2" xfId="22677" xr:uid="{3285AF75-5F0F-48D1-B29B-276BF2C8F58B}"/>
    <cellStyle name="Comma 11 2 4 9 4 4" xfId="19389" xr:uid="{72C1BAAB-2904-4978-930F-DD2BA995E74B}"/>
    <cellStyle name="Comma 11 2 4 9 5" xfId="1876" xr:uid="{E27DD621-210D-4467-8494-80C660A0FA4E}"/>
    <cellStyle name="Comma 11 2 4 9 5 2" xfId="9373" xr:uid="{057BA6A0-07A5-4583-9249-8DE87C884D2A}"/>
    <cellStyle name="Comma 11 2 4 9 5 2 2" xfId="24551" xr:uid="{A8369DF3-2C8D-4333-BF8E-6B4AFAE0CBF9}"/>
    <cellStyle name="Comma 11 2 4 9 5 3" xfId="17091" xr:uid="{FE7ED655-E208-47C8-AD44-0A03EB087D2C}"/>
    <cellStyle name="Comma 11 2 4 9 6" xfId="8859" xr:uid="{B58A187B-A810-4A0D-BA7A-0BA67514A3FF}"/>
    <cellStyle name="Comma 11 2 4 9 6 2" xfId="13032" xr:uid="{1E487F57-C676-4D88-82CF-419BA64F56E4}"/>
    <cellStyle name="Comma 11 2 4 9 6 2 2" xfId="28209" xr:uid="{F0DBE0D7-ABA3-4091-A466-016DD512CF34}"/>
    <cellStyle name="Comma 11 2 4 9 6 3" xfId="24037" xr:uid="{5AC11295-BF02-4DE3-AF35-6F40F9253BA2}"/>
    <cellStyle name="Comma 11 2 4 9 7" xfId="5199" xr:uid="{74EE2AEA-92BB-4432-9E1C-920D0C9C94B2}"/>
    <cellStyle name="Comma 11 2 4 9 7 2" xfId="20379" xr:uid="{0FDC7801-35FF-4A45-B7AF-83A5269A006B}"/>
    <cellStyle name="Comma 11 2 4 9 8" xfId="16577" xr:uid="{7C48E089-E43B-4C46-8CA1-46D1EA32BA85}"/>
    <cellStyle name="Comma 11 2 5" xfId="472" xr:uid="{97FEA967-D527-4C97-9CDD-C7623CCEAC47}"/>
    <cellStyle name="Comma 11 2 5 2" xfId="585" xr:uid="{2488593A-FCD4-4431-8C39-08B9E327AA99}"/>
    <cellStyle name="Comma 11 2 5 2 2" xfId="9863" xr:uid="{9C4AEBEC-01D0-4CE7-8F0F-B387CD6A32D9}"/>
    <cellStyle name="Comma 11 2 5 2 2 2" xfId="13522" xr:uid="{9F0AC93B-A706-4FBB-8D50-C02505B1D967}"/>
    <cellStyle name="Comma 11 2 5 2 2 2 2" xfId="28699" xr:uid="{6E6264C8-5CB5-4C3C-861E-4A86D1E9F956}"/>
    <cellStyle name="Comma 11 2 5 2 2 3" xfId="25041" xr:uid="{13C91C7C-4A1E-4A3B-9236-F225358744FF}"/>
    <cellStyle name="Comma 11 2 5 2 3" xfId="5689" xr:uid="{1FBD49BF-9DF4-4463-A3B3-D4846AB0A173}"/>
    <cellStyle name="Comma 11 2 5 2 3 2" xfId="20869" xr:uid="{5FC35096-3FA3-4EA3-9030-2C02A8A3EFF5}"/>
    <cellStyle name="Comma 11 2 5 2 4" xfId="17581" xr:uid="{6E5A89EC-9C50-47CA-A978-92E081592C19}"/>
    <cellStyle name="Comma 11 2 5 2 5" xfId="2369" xr:uid="{BDB462E3-4549-4799-B31A-1CF7AA483F1B}"/>
    <cellStyle name="Comma 11 2 5 3" xfId="3259" xr:uid="{8BEF0C1D-AAC0-4862-BAAF-67259160E07D}"/>
    <cellStyle name="Comma 11 2 5 3 2" xfId="10747" xr:uid="{62A761A3-AB0D-42A7-9DC0-AA091CDEF4F0}"/>
    <cellStyle name="Comma 11 2 5 3 2 2" xfId="14293" xr:uid="{FF6A4A10-C49B-4C47-8F43-7B45DF5CB113}"/>
    <cellStyle name="Comma 11 2 5 3 2 2 2" xfId="29470" xr:uid="{3B4D042E-1066-4B54-84D3-9A53FBEC9060}"/>
    <cellStyle name="Comma 11 2 5 3 2 3" xfId="25925" xr:uid="{2828354E-CFA5-40FB-8A64-7613FFE54E44}"/>
    <cellStyle name="Comma 11 2 5 3 3" xfId="6573" xr:uid="{AC216B82-13BB-4F76-86EC-D35B14AAD3C7}"/>
    <cellStyle name="Comma 11 2 5 3 3 2" xfId="21753" xr:uid="{1EA93B8B-F96C-4482-8050-29DBB0347825}"/>
    <cellStyle name="Comma 11 2 5 3 4" xfId="18465" xr:uid="{81BD05BA-9489-40C7-862D-A7B2195B3AC5}"/>
    <cellStyle name="Comma 11 2 5 4" xfId="4187" xr:uid="{2F328D13-680C-465C-A7B7-ACDCA1D5EE5F}"/>
    <cellStyle name="Comma 11 2 5 4 2" xfId="11672" xr:uid="{88817B3D-910D-4725-8AD4-C4C67CA96FBC}"/>
    <cellStyle name="Comma 11 2 5 4 2 2" xfId="15218" xr:uid="{0273C1C8-0356-45EE-8F0C-0A54C2326D14}"/>
    <cellStyle name="Comma 11 2 5 4 2 2 2" xfId="30395" xr:uid="{28ED8A72-6A83-4FC5-92A1-F33D19886DCC}"/>
    <cellStyle name="Comma 11 2 5 4 2 3" xfId="26850" xr:uid="{D10DA820-D32E-47A4-9F7C-C5381AC5FECA}"/>
    <cellStyle name="Comma 11 2 5 4 3" xfId="7498" xr:uid="{DAE44B23-8562-4862-A670-720DCEAD1B1C}"/>
    <cellStyle name="Comma 11 2 5 4 3 2" xfId="22678" xr:uid="{1CC485CB-9DE7-494B-989D-59A200B3B66B}"/>
    <cellStyle name="Comma 11 2 5 4 4" xfId="19390" xr:uid="{AB623749-C130-4A86-A1CF-D1CD5994D080}"/>
    <cellStyle name="Comma 11 2 5 5" xfId="8465" xr:uid="{920239DF-9779-433C-BE1E-E27555C0F7BE}"/>
    <cellStyle name="Comma 11 2 5 5 2" xfId="12638" xr:uid="{C4502601-56AB-46A2-ABDC-849CBB629C15}"/>
    <cellStyle name="Comma 11 2 5 5 2 2" xfId="27815" xr:uid="{B0657923-F4CD-4AE8-A531-7C399A0ADB4B}"/>
    <cellStyle name="Comma 11 2 5 5 3" xfId="23643" xr:uid="{82C020D1-3AA3-43C7-9665-0C5B48A11D1F}"/>
    <cellStyle name="Comma 11 2 5 6" xfId="16183" xr:uid="{438BBF50-1C61-48D5-9E8A-EA933914196B}"/>
    <cellStyle name="Comma 11 2 5 7" xfId="31623" xr:uid="{5574FFD1-0281-45B6-B933-6477534EA3A5}"/>
    <cellStyle name="Comma 11 2 5 8" xfId="851" xr:uid="{725074B3-87DE-4567-BB4E-BDF41C0B7FDF}"/>
    <cellStyle name="Comma 11 2 6" xfId="548" xr:uid="{9CD42764-F66D-43EC-9013-B9739457BA4E}"/>
    <cellStyle name="Comma 11 2 6 10" xfId="31273" xr:uid="{6A008B15-85CB-4022-BAEB-89CCD1F0A50E}"/>
    <cellStyle name="Comma 11 2 6 11" xfId="1214" xr:uid="{7131D1BE-CCC5-47AB-B5B2-A684FA5C7CA7}"/>
    <cellStyle name="Comma 11 2 6 2" xfId="2644" xr:uid="{934EAEFD-7C8C-4EED-AE1C-CF293D4EDF33}"/>
    <cellStyle name="Comma 11 2 6 2 2" xfId="10135" xr:uid="{25BA7ACB-CB0A-4771-9A8B-343B64313467}"/>
    <cellStyle name="Comma 11 2 6 2 2 2" xfId="13793" xr:uid="{033A41D1-3A22-457B-80E2-3D5105FA2154}"/>
    <cellStyle name="Comma 11 2 6 2 2 2 2" xfId="28970" xr:uid="{F350524C-5570-4698-AAFF-A1749C831224}"/>
    <cellStyle name="Comma 11 2 6 2 2 3" xfId="25313" xr:uid="{12BCCDC8-C18B-436D-AD69-2923EE18B51C}"/>
    <cellStyle name="Comma 11 2 6 2 3" xfId="5961" xr:uid="{90322C8C-BF45-4572-B445-D45CDA6C7A0A}"/>
    <cellStyle name="Comma 11 2 6 2 3 2" xfId="21141" xr:uid="{EBF5C8D8-4D07-4ADF-95FF-823DF219A5C1}"/>
    <cellStyle name="Comma 11 2 6 2 4" xfId="17853" xr:uid="{11D29DEF-AD4D-459C-8C4A-779630EAA260}"/>
    <cellStyle name="Comma 11 2 6 3" xfId="3531" xr:uid="{3D8D3DAE-4793-4515-911E-C4CF6B30E96E}"/>
    <cellStyle name="Comma 11 2 6 3 2" xfId="11019" xr:uid="{049F30FB-DB24-419C-9888-A5D15631D883}"/>
    <cellStyle name="Comma 11 2 6 3 2 2" xfId="14565" xr:uid="{B043C3BC-5EA3-4C3E-A30C-88CBC6CEC007}"/>
    <cellStyle name="Comma 11 2 6 3 2 2 2" xfId="29742" xr:uid="{032B5687-A0C5-464A-858F-7336091DFE95}"/>
    <cellStyle name="Comma 11 2 6 3 2 3" xfId="26197" xr:uid="{43A99451-EABB-4C54-964D-5759212FC0B3}"/>
    <cellStyle name="Comma 11 2 6 3 3" xfId="6845" xr:uid="{0D393E01-77C6-4BA3-A88F-7234C7D91928}"/>
    <cellStyle name="Comma 11 2 6 3 3 2" xfId="22025" xr:uid="{82E833EE-4745-4E90-B87B-92EF0B44B589}"/>
    <cellStyle name="Comma 11 2 6 3 4" xfId="18737" xr:uid="{20931405-BFB7-4897-B873-46247A131B9F}"/>
    <cellStyle name="Comma 11 2 6 4" xfId="4188" xr:uid="{4DB2F590-4D1D-43F1-A96C-0A0D0A1C7F80}"/>
    <cellStyle name="Comma 11 2 6 4 2" xfId="11673" xr:uid="{195A43BD-4F7B-474A-97ED-B22D42EB20CE}"/>
    <cellStyle name="Comma 11 2 6 4 2 2" xfId="15219" xr:uid="{FFDA636B-46E2-42F8-A0A4-4D49CB9ACBE9}"/>
    <cellStyle name="Comma 11 2 6 4 2 2 2" xfId="30396" xr:uid="{ECDEA1E4-D5D8-4208-A2CB-F8C52E8690D9}"/>
    <cellStyle name="Comma 11 2 6 4 2 3" xfId="26851" xr:uid="{17EE2573-FB7B-4568-8BB1-1ABAB95DBCBE}"/>
    <cellStyle name="Comma 11 2 6 4 3" xfId="7499" xr:uid="{49FCB6A0-39FE-4097-AF53-104FDD5430DB}"/>
    <cellStyle name="Comma 11 2 6 4 3 2" xfId="22679" xr:uid="{2ECB1CBD-EEA7-4975-AC29-79CEFF408982}"/>
    <cellStyle name="Comma 11 2 6 4 4" xfId="19391" xr:uid="{7916DF87-C2BF-486E-B40E-362A01DFCDAE}"/>
    <cellStyle name="Comma 11 2 6 5" xfId="4933" xr:uid="{A797CEF6-5677-4F08-91E6-A1C0C1F3510E}"/>
    <cellStyle name="Comma 11 2 6 5 2" xfId="12417" xr:uid="{8643A899-34FD-4ABE-A4FB-51C95E2E249A}"/>
    <cellStyle name="Comma 11 2 6 5 2 2" xfId="15963" xr:uid="{9B603F47-6DEF-4013-BE15-242CFD3E286F}"/>
    <cellStyle name="Comma 11 2 6 5 2 2 2" xfId="31140" xr:uid="{238544B1-8EDC-4A77-AB56-7C5F5EE9A4F1}"/>
    <cellStyle name="Comma 11 2 6 5 2 3" xfId="27595" xr:uid="{BBAC5EF1-2E08-4954-9E62-773D66C67E09}"/>
    <cellStyle name="Comma 11 2 6 5 3" xfId="8243" xr:uid="{B839D77B-A99B-4B2B-B9C0-177BB82461CC}"/>
    <cellStyle name="Comma 11 2 6 5 3 2" xfId="23423" xr:uid="{769D1E1B-1DAE-4EFC-B807-3CF3C0024423}"/>
    <cellStyle name="Comma 11 2 6 5 4" xfId="20135" xr:uid="{C5A6FAEE-382B-4B13-92E4-6F2EA4434759}"/>
    <cellStyle name="Comma 11 2 6 6" xfId="1754" xr:uid="{CD3255AB-313D-457F-9B52-118B42C08278}"/>
    <cellStyle name="Comma 11 2 6 6 2" xfId="9251" xr:uid="{FC4C4EF4-3885-4B40-B9DE-A7C5AE1F0052}"/>
    <cellStyle name="Comma 11 2 6 6 2 2" xfId="24429" xr:uid="{1BECA4DE-AEFE-41ED-8AED-7D24973BF24D}"/>
    <cellStyle name="Comma 11 2 6 6 3" xfId="16969" xr:uid="{6C4EAFD7-055F-4F5E-A727-EAD3FC7C1862}"/>
    <cellStyle name="Comma 11 2 6 7" xfId="8737" xr:uid="{C2F32237-EFC4-4B65-A104-3A9C4CB82A39}"/>
    <cellStyle name="Comma 11 2 6 7 2" xfId="12910" xr:uid="{2CF7C131-DB80-422A-BB0A-C247170EB0F0}"/>
    <cellStyle name="Comma 11 2 6 7 2 2" xfId="28087" xr:uid="{BFD0A89A-7150-47B9-B3A6-8CEDC66CDD25}"/>
    <cellStyle name="Comma 11 2 6 7 3" xfId="23915" xr:uid="{96E2E3D4-1B5D-46A1-A202-D003CF95DC64}"/>
    <cellStyle name="Comma 11 2 6 8" xfId="5077" xr:uid="{D38B1EB2-EC6F-42AD-9915-8380677F3992}"/>
    <cellStyle name="Comma 11 2 6 8 2" xfId="20257" xr:uid="{F8060902-FAC1-4458-861D-2D0A20E1558A}"/>
    <cellStyle name="Comma 11 2 6 9" xfId="16455" xr:uid="{B6CD833E-CE6A-4135-9FBE-1C86EA8E86F9}"/>
    <cellStyle name="Comma 11 2 7" xfId="31403" xr:uid="{2154C1EF-9944-4D24-8A3B-835DAE11E6C9}"/>
    <cellStyle name="Comma 11 2 8" xfId="611" xr:uid="{BEE3A38D-FBBC-4EAC-97D3-76BFC6E467C1}"/>
    <cellStyle name="Comma 11 3" xfId="250" xr:uid="{256722DC-2CEC-4B47-8929-61D5D9F43458}"/>
    <cellStyle name="Comma 11 3 2" xfId="359" xr:uid="{C02C1D49-E4B9-4FB8-BB0A-94D11F7D6B0E}"/>
    <cellStyle name="Comma 11 3 2 2" xfId="489" xr:uid="{B49DD5DF-A41A-4DF5-AE25-04A4DAFD342E}"/>
    <cellStyle name="Comma 11 3 2 2 10" xfId="1455" xr:uid="{5208F555-7B31-424A-92D8-8949E2ED598F}"/>
    <cellStyle name="Comma 11 3 2 2 10 2" xfId="2880" xr:uid="{6A3EE8F6-4B52-40FA-95D9-B9D912B8F6A2}"/>
    <cellStyle name="Comma 11 3 2 2 10 2 2" xfId="10371" xr:uid="{43912E80-E58B-42BB-A4D4-B62D957278C0}"/>
    <cellStyle name="Comma 11 3 2 2 10 2 2 2" xfId="13917" xr:uid="{F8AB3E1B-75A3-470E-849A-915E767B239D}"/>
    <cellStyle name="Comma 11 3 2 2 10 2 2 2 2" xfId="29094" xr:uid="{85DCA175-7357-4BEC-A150-1AAB1E9BE5C8}"/>
    <cellStyle name="Comma 11 3 2 2 10 2 2 3" xfId="25549" xr:uid="{D0048F4B-94F5-48A2-909A-9025DF882DD0}"/>
    <cellStyle name="Comma 11 3 2 2 10 2 3" xfId="6197" xr:uid="{CA3DF996-D6E1-4826-BDA4-C9D3EA4986DB}"/>
    <cellStyle name="Comma 11 3 2 2 10 2 3 2" xfId="21377" xr:uid="{33EAA465-7B2F-4E41-9A75-6F514E218B5C}"/>
    <cellStyle name="Comma 11 3 2 2 10 2 4" xfId="18089" xr:uid="{3264BDCA-633A-4250-9802-F78827D4897D}"/>
    <cellStyle name="Comma 11 3 2 2 10 3" xfId="3767" xr:uid="{9183C1C4-A071-42BD-BB7B-DE5F3A771882}"/>
    <cellStyle name="Comma 11 3 2 2 10 3 2" xfId="11255" xr:uid="{39FC5E7E-2EAF-4422-A4E1-5B842EAC65E1}"/>
    <cellStyle name="Comma 11 3 2 2 10 3 2 2" xfId="14801" xr:uid="{BBA4A361-EFE1-41E6-A1FA-67CDF948405B}"/>
    <cellStyle name="Comma 11 3 2 2 10 3 2 2 2" xfId="29978" xr:uid="{3B09368E-BAA2-4B6B-985D-9B43F771AA57}"/>
    <cellStyle name="Comma 11 3 2 2 10 3 2 3" xfId="26433" xr:uid="{6AF3437F-6AB0-44D5-BC4B-778243DBE2B2}"/>
    <cellStyle name="Comma 11 3 2 2 10 3 3" xfId="7081" xr:uid="{03B7AF9B-0E17-4B60-A87C-0C32785887DE}"/>
    <cellStyle name="Comma 11 3 2 2 10 3 3 2" xfId="22261" xr:uid="{601FFAA9-BC7E-4C77-924B-50503B5B227F}"/>
    <cellStyle name="Comma 11 3 2 2 10 3 4" xfId="18973" xr:uid="{C498AA51-F6D3-45A6-985C-7872DB870DD0}"/>
    <cellStyle name="Comma 11 3 2 2 10 4" xfId="4189" xr:uid="{2F640003-8E2A-4A58-A0C6-E004328AD9FD}"/>
    <cellStyle name="Comma 11 3 2 2 10 4 2" xfId="11674" xr:uid="{1A3402F3-D4D8-49C0-A7CA-A5C13F397242}"/>
    <cellStyle name="Comma 11 3 2 2 10 4 2 2" xfId="15220" xr:uid="{B6036AD6-BF45-4DD7-8623-F58D3A965D75}"/>
    <cellStyle name="Comma 11 3 2 2 10 4 2 2 2" xfId="30397" xr:uid="{C4551318-FC13-4833-8B54-0C45DC4C67CE}"/>
    <cellStyle name="Comma 11 3 2 2 10 4 2 3" xfId="26852" xr:uid="{2907CA0A-4EB1-44E0-AD08-F6CE49EB52C8}"/>
    <cellStyle name="Comma 11 3 2 2 10 4 3" xfId="7500" xr:uid="{88C34131-1CA3-4010-8CBA-8B8BE78269A7}"/>
    <cellStyle name="Comma 11 3 2 2 10 4 3 2" xfId="22680" xr:uid="{5384D35F-2D70-44A3-9A0E-77F6692BFE44}"/>
    <cellStyle name="Comma 11 3 2 2 10 4 4" xfId="19392" xr:uid="{A84EB357-14A2-4D75-A251-1E4B2127332E}"/>
    <cellStyle name="Comma 11 3 2 2 10 5" xfId="1990" xr:uid="{71E15C31-21FF-4EFD-88D2-2870D819495E}"/>
    <cellStyle name="Comma 11 3 2 2 10 5 2" xfId="9487" xr:uid="{DE3A43BF-45C8-4F78-840A-1F54D80E204F}"/>
    <cellStyle name="Comma 11 3 2 2 10 5 2 2" xfId="24665" xr:uid="{937842CF-38DA-4359-9C1B-27980748BD99}"/>
    <cellStyle name="Comma 11 3 2 2 10 5 3" xfId="17205" xr:uid="{E108576C-705D-4CDB-8F8A-048F9923817E}"/>
    <cellStyle name="Comma 11 3 2 2 10 6" xfId="8973" xr:uid="{4853539B-81F7-4FE5-B3B7-E8EC9EEF8DA5}"/>
    <cellStyle name="Comma 11 3 2 2 10 6 2" xfId="13146" xr:uid="{870C7673-19DA-4DE0-A657-EE7588CA3608}"/>
    <cellStyle name="Comma 11 3 2 2 10 6 2 2" xfId="28323" xr:uid="{DD80F4AE-4F48-40CA-ABA8-F6C3F102F79A}"/>
    <cellStyle name="Comma 11 3 2 2 10 6 3" xfId="24151" xr:uid="{ED456259-D2F7-4F0B-A6B7-C35A5285950E}"/>
    <cellStyle name="Comma 11 3 2 2 10 7" xfId="5313" xr:uid="{B9327742-8997-4018-A5D8-52FE860D8D9C}"/>
    <cellStyle name="Comma 11 3 2 2 10 7 2" xfId="20493" xr:uid="{84412662-E8F1-443A-BFA4-3748791B88A2}"/>
    <cellStyle name="Comma 11 3 2 2 10 8" xfId="16691" xr:uid="{1963D54B-8F12-45E6-B45E-64B3C81ACFEB}"/>
    <cellStyle name="Comma 11 3 2 2 11" xfId="1558" xr:uid="{05C26002-2998-4554-9523-4E1AE324A411}"/>
    <cellStyle name="Comma 11 3 2 2 11 2" xfId="2978" xr:uid="{9C89DCE7-33AA-4C9D-B251-4EB7368832D3}"/>
    <cellStyle name="Comma 11 3 2 2 11 2 2" xfId="10469" xr:uid="{C5C0485C-9699-4F5E-AF7B-F78586CBB3CE}"/>
    <cellStyle name="Comma 11 3 2 2 11 2 2 2" xfId="14015" xr:uid="{14DA29F4-2C0D-429B-AC99-61BE51B512F6}"/>
    <cellStyle name="Comma 11 3 2 2 11 2 2 2 2" xfId="29192" xr:uid="{8F853A60-891A-4C6C-969A-FBBD151B0B2E}"/>
    <cellStyle name="Comma 11 3 2 2 11 2 2 3" xfId="25647" xr:uid="{B8A288FF-899F-4BD4-806A-1750BB9AF317}"/>
    <cellStyle name="Comma 11 3 2 2 11 2 3" xfId="6295" xr:uid="{290E09F8-30E9-4E21-87B5-D384546E3DF9}"/>
    <cellStyle name="Comma 11 3 2 2 11 2 3 2" xfId="21475" xr:uid="{3D64EB94-B190-4E5C-B429-C034704C2223}"/>
    <cellStyle name="Comma 11 3 2 2 11 2 4" xfId="18187" xr:uid="{F09C6820-B62E-4DAC-98B2-5D2D72420331}"/>
    <cellStyle name="Comma 11 3 2 2 11 3" xfId="3865" xr:uid="{6B508677-E642-4D70-ACB6-6E718A1E2299}"/>
    <cellStyle name="Comma 11 3 2 2 11 3 2" xfId="11353" xr:uid="{2034E7F4-C143-4BBD-8F75-383AD52490A7}"/>
    <cellStyle name="Comma 11 3 2 2 11 3 2 2" xfId="14899" xr:uid="{3A5B1E24-296F-4CD3-9EB6-4BA84257B700}"/>
    <cellStyle name="Comma 11 3 2 2 11 3 2 2 2" xfId="30076" xr:uid="{442B98C5-D58C-4752-B94C-4529FC7A489E}"/>
    <cellStyle name="Comma 11 3 2 2 11 3 2 3" xfId="26531" xr:uid="{CAFA7FAF-F7A3-4BF3-B725-8457D4B1F1B3}"/>
    <cellStyle name="Comma 11 3 2 2 11 3 3" xfId="7179" xr:uid="{670C0B9D-39D1-400C-9644-E85A4E79B18B}"/>
    <cellStyle name="Comma 11 3 2 2 11 3 3 2" xfId="22359" xr:uid="{DE3C3AAF-1620-49D4-904A-98F8D121F6E9}"/>
    <cellStyle name="Comma 11 3 2 2 11 3 4" xfId="19071" xr:uid="{625556C1-EBFC-4B69-8464-EFFEC695C37A}"/>
    <cellStyle name="Comma 11 3 2 2 11 4" xfId="4190" xr:uid="{FC5A291B-7F04-4B90-A8C8-B184A47F3974}"/>
    <cellStyle name="Comma 11 3 2 2 11 4 2" xfId="11675" xr:uid="{49AC5334-BA08-4E61-B021-ECDF8119DDA8}"/>
    <cellStyle name="Comma 11 3 2 2 11 4 2 2" xfId="15221" xr:uid="{B9928E44-CB67-45CB-B4DC-9B68020BC670}"/>
    <cellStyle name="Comma 11 3 2 2 11 4 2 2 2" xfId="30398" xr:uid="{A57419F1-C070-4A49-AE05-A5CE4CDBF1D0}"/>
    <cellStyle name="Comma 11 3 2 2 11 4 2 3" xfId="26853" xr:uid="{F2A0E829-3760-47CD-A30D-0BF74BBCD078}"/>
    <cellStyle name="Comma 11 3 2 2 11 4 3" xfId="7501" xr:uid="{F2D4FF4C-1580-4167-97F5-F96F38C23179}"/>
    <cellStyle name="Comma 11 3 2 2 11 4 3 2" xfId="22681" xr:uid="{3BFD537F-6DC8-4455-B34F-0055567F5C65}"/>
    <cellStyle name="Comma 11 3 2 2 11 4 4" xfId="19393" xr:uid="{2FC34188-F975-4919-AC76-5C096622D02B}"/>
    <cellStyle name="Comma 11 3 2 2 11 5" xfId="2088" xr:uid="{517488C4-3DBF-47FC-9FBE-A742BBC3A142}"/>
    <cellStyle name="Comma 11 3 2 2 11 5 2" xfId="9585" xr:uid="{56CE0A2A-A027-48FC-8E6D-953D9D9C5F86}"/>
    <cellStyle name="Comma 11 3 2 2 11 5 2 2" xfId="24763" xr:uid="{6435E434-6B6C-4B9C-8AC6-999114C55C65}"/>
    <cellStyle name="Comma 11 3 2 2 11 5 3" xfId="17303" xr:uid="{3565E1BC-4217-4EF9-915C-E3AB934F2D8A}"/>
    <cellStyle name="Comma 11 3 2 2 11 6" xfId="9071" xr:uid="{93FAFA35-CF29-4812-8B2F-C8928CB31276}"/>
    <cellStyle name="Comma 11 3 2 2 11 6 2" xfId="13244" xr:uid="{EE583C40-296C-4971-9643-78AE4AFEC83C}"/>
    <cellStyle name="Comma 11 3 2 2 11 6 2 2" xfId="28421" xr:uid="{8370E531-5161-4717-9A53-470F2BD9FE81}"/>
    <cellStyle name="Comma 11 3 2 2 11 6 3" xfId="24249" xr:uid="{6BE7A6BD-03F9-46E9-83AE-0BEC9897566E}"/>
    <cellStyle name="Comma 11 3 2 2 11 7" xfId="5411" xr:uid="{6611C2E9-D235-4AB8-BF8A-F9B51217E116}"/>
    <cellStyle name="Comma 11 3 2 2 11 7 2" xfId="20591" xr:uid="{3D67B741-FF0C-4F76-AE38-C76D62F96C7E}"/>
    <cellStyle name="Comma 11 3 2 2 11 8" xfId="16789" xr:uid="{7E797005-2ACE-49BC-B350-E20446A9CC9B}"/>
    <cellStyle name="Comma 11 3 2 2 12" xfId="1657" xr:uid="{E4C8BD34-8A54-47A1-ACC9-9090E29C1873}"/>
    <cellStyle name="Comma 11 3 2 2 12 2" xfId="3076" xr:uid="{9C5D066E-A53F-4C41-944A-86A4D0B2C697}"/>
    <cellStyle name="Comma 11 3 2 2 12 2 2" xfId="10567" xr:uid="{98228716-8516-49C6-BDE8-472AC272AC12}"/>
    <cellStyle name="Comma 11 3 2 2 12 2 2 2" xfId="14113" xr:uid="{9A676894-C4DB-4DC9-A4EE-181C7F5A6FBB}"/>
    <cellStyle name="Comma 11 3 2 2 12 2 2 2 2" xfId="29290" xr:uid="{8520B244-4C5B-44E7-8560-9D72FBDA7ED6}"/>
    <cellStyle name="Comma 11 3 2 2 12 2 2 3" xfId="25745" xr:uid="{C62007FF-D267-4D66-807E-1A3E3B69BE67}"/>
    <cellStyle name="Comma 11 3 2 2 12 2 3" xfId="6393" xr:uid="{798D8516-98E9-4BBA-8B54-4AF2255A5BA1}"/>
    <cellStyle name="Comma 11 3 2 2 12 2 3 2" xfId="21573" xr:uid="{5D56E153-DC0E-44C1-A792-AA3853AC16D0}"/>
    <cellStyle name="Comma 11 3 2 2 12 2 4" xfId="18285" xr:uid="{B318A4CC-1FA9-462C-AAFC-B29C2084C9E3}"/>
    <cellStyle name="Comma 11 3 2 2 12 3" xfId="3963" xr:uid="{7FCA5183-3C77-4AF9-9B32-AC83573F664A}"/>
    <cellStyle name="Comma 11 3 2 2 12 3 2" xfId="11451" xr:uid="{DAC3FCD6-C011-4936-8ACB-DAA060DA318D}"/>
    <cellStyle name="Comma 11 3 2 2 12 3 2 2" xfId="14997" xr:uid="{2713CC6D-DFDC-4C28-81E7-841CFFA9A1D1}"/>
    <cellStyle name="Comma 11 3 2 2 12 3 2 2 2" xfId="30174" xr:uid="{5E0B6A93-9EE2-4CA1-98F4-DC8CC0F60BAF}"/>
    <cellStyle name="Comma 11 3 2 2 12 3 2 3" xfId="26629" xr:uid="{558DD5D5-3F15-44D4-B413-2047DD7170FE}"/>
    <cellStyle name="Comma 11 3 2 2 12 3 3" xfId="7277" xr:uid="{9E1A5E53-18E9-42EB-B62B-4E6BA5260EA2}"/>
    <cellStyle name="Comma 11 3 2 2 12 3 3 2" xfId="22457" xr:uid="{0EDD57E3-3C32-41A9-8420-1045E67D1CFC}"/>
    <cellStyle name="Comma 11 3 2 2 12 3 4" xfId="19169" xr:uid="{FA27D428-4F0B-4400-BDF9-560C36943492}"/>
    <cellStyle name="Comma 11 3 2 2 12 4" xfId="4191" xr:uid="{79074776-5E1D-4575-88F8-39A465F154A3}"/>
    <cellStyle name="Comma 11 3 2 2 12 4 2" xfId="11676" xr:uid="{E0EA62DF-6FA0-437C-8E70-01E12AE1D165}"/>
    <cellStyle name="Comma 11 3 2 2 12 4 2 2" xfId="15222" xr:uid="{445F18CC-B1C0-49E0-BF65-B1480C7248CC}"/>
    <cellStyle name="Comma 11 3 2 2 12 4 2 2 2" xfId="30399" xr:uid="{5B170276-91F4-4CBA-976B-8246A74B0839}"/>
    <cellStyle name="Comma 11 3 2 2 12 4 2 3" xfId="26854" xr:uid="{8E95E7E8-A746-4F2F-8B7E-186491562F20}"/>
    <cellStyle name="Comma 11 3 2 2 12 4 3" xfId="7502" xr:uid="{D87F5775-AE2F-4117-8386-848C883D287B}"/>
    <cellStyle name="Comma 11 3 2 2 12 4 3 2" xfId="22682" xr:uid="{92441E7D-1057-46EA-B502-D071BE387551}"/>
    <cellStyle name="Comma 11 3 2 2 12 4 4" xfId="19394" xr:uid="{051BD198-A696-487A-A6E4-6503D8A639EB}"/>
    <cellStyle name="Comma 11 3 2 2 12 5" xfId="2186" xr:uid="{255C1481-3FD4-42C1-BB1F-534CB6CE4FEA}"/>
    <cellStyle name="Comma 11 3 2 2 12 5 2" xfId="9683" xr:uid="{9867E8EB-E083-48D6-A199-EEE27C61E4BE}"/>
    <cellStyle name="Comma 11 3 2 2 12 5 2 2" xfId="24861" xr:uid="{7B0EE181-D148-4933-9BBC-BA636B66C2C3}"/>
    <cellStyle name="Comma 11 3 2 2 12 5 3" xfId="17401" xr:uid="{6FC73607-571B-4D27-A497-4A659E04246F}"/>
    <cellStyle name="Comma 11 3 2 2 12 6" xfId="9169" xr:uid="{DCC279F2-722E-47BE-A1D5-098411CB6E80}"/>
    <cellStyle name="Comma 11 3 2 2 12 6 2" xfId="13342" xr:uid="{DE9A6D3F-B9F2-4118-A9C4-5A2C76AEFFB7}"/>
    <cellStyle name="Comma 11 3 2 2 12 6 2 2" xfId="28519" xr:uid="{67D052A6-5E06-4763-AB9F-3ADDA3E8E928}"/>
    <cellStyle name="Comma 11 3 2 2 12 6 3" xfId="24347" xr:uid="{FE774575-A95A-493A-A147-2FAA1121C760}"/>
    <cellStyle name="Comma 11 3 2 2 12 7" xfId="5509" xr:uid="{2E86F43D-02DF-4C46-867B-8F4CC5C1ABE4}"/>
    <cellStyle name="Comma 11 3 2 2 12 7 2" xfId="20689" xr:uid="{135B4327-CE34-49FB-AA40-18AAD67B10D2}"/>
    <cellStyle name="Comma 11 3 2 2 12 8" xfId="16887" xr:uid="{E29CD518-8B82-46A8-A12A-633FC5E1FC7C}"/>
    <cellStyle name="Comma 11 3 2 2 13" xfId="2286" xr:uid="{F5A39994-52E3-4E2C-9170-6F8A4772DE51}"/>
    <cellStyle name="Comma 11 3 2 2 13 2" xfId="9781" xr:uid="{46EA9FCF-285F-414E-B89D-6C401F5A9C30}"/>
    <cellStyle name="Comma 11 3 2 2 13 2 2" xfId="13440" xr:uid="{D0AE1D07-E385-4C14-9EAD-840B48DA7353}"/>
    <cellStyle name="Comma 11 3 2 2 13 2 2 2" xfId="28617" xr:uid="{7BFE94E3-900F-43F3-B803-130B01ECD816}"/>
    <cellStyle name="Comma 11 3 2 2 13 2 3" xfId="24959" xr:uid="{738A1A23-87EE-4A2A-B905-345B9ADF3BFA}"/>
    <cellStyle name="Comma 11 3 2 2 13 3" xfId="5607" xr:uid="{CA4CFB99-9C27-4094-BED3-C1554027CA73}"/>
    <cellStyle name="Comma 11 3 2 2 13 3 2" xfId="20787" xr:uid="{D3AAF814-D5E9-49E0-9DF0-C982D1DA47A2}"/>
    <cellStyle name="Comma 11 3 2 2 13 4" xfId="17499" xr:uid="{80164183-20CE-46C4-A2ED-5C6A4ECA6289}"/>
    <cellStyle name="Comma 11 3 2 2 14" xfId="3176" xr:uid="{4C5A92C6-5C55-4A14-AEC0-7E33B7854CD9}"/>
    <cellStyle name="Comma 11 3 2 2 14 2" xfId="10665" xr:uid="{437C77A8-FF45-4AD9-A333-734B9B97727F}"/>
    <cellStyle name="Comma 11 3 2 2 14 2 2" xfId="14211" xr:uid="{7904AC33-F2C9-435F-9FB0-78CB0D4B6552}"/>
    <cellStyle name="Comma 11 3 2 2 14 2 2 2" xfId="29388" xr:uid="{84A7CBD6-495A-45A0-A9C2-34253BB33C09}"/>
    <cellStyle name="Comma 11 3 2 2 14 2 3" xfId="25843" xr:uid="{62F020CA-43C3-4CC5-BEB5-9AA75B9C7896}"/>
    <cellStyle name="Comma 11 3 2 2 14 3" xfId="6491" xr:uid="{96DCBB09-8E99-476E-A3ED-6E7E168D5EAC}"/>
    <cellStyle name="Comma 11 3 2 2 14 3 2" xfId="21671" xr:uid="{AD83F636-7721-4118-A211-15B6ACD936A7}"/>
    <cellStyle name="Comma 11 3 2 2 14 4" xfId="18383" xr:uid="{DF2D241A-D9B0-4915-A058-7087A6C8CD79}"/>
    <cellStyle name="Comma 11 3 2 2 15" xfId="4192" xr:uid="{7F817FE6-0A6B-412D-911A-95071A500B03}"/>
    <cellStyle name="Comma 11 3 2 2 15 2" xfId="11677" xr:uid="{613F9BFB-EB1B-4825-AE7C-990C7D3190FF}"/>
    <cellStyle name="Comma 11 3 2 2 15 2 2" xfId="15223" xr:uid="{814821CE-A6E4-4CE1-AAEE-581BF61F8DC2}"/>
    <cellStyle name="Comma 11 3 2 2 15 2 2 2" xfId="30400" xr:uid="{9B2D5395-FC3D-4CFA-A6D3-756E7631982A}"/>
    <cellStyle name="Comma 11 3 2 2 15 2 3" xfId="26855" xr:uid="{317D9EC4-6441-46F8-94E3-D9CDC9DCD8C4}"/>
    <cellStyle name="Comma 11 3 2 2 15 3" xfId="7503" xr:uid="{1A701B89-6391-44B9-89BC-0F621946A5C2}"/>
    <cellStyle name="Comma 11 3 2 2 15 3 2" xfId="22683" xr:uid="{727FCCFF-66C6-4D72-AA5B-DCCE83D043FA}"/>
    <cellStyle name="Comma 11 3 2 2 15 4" xfId="19395" xr:uid="{B843982A-22D5-4380-A36F-83E0D0F426F3}"/>
    <cellStyle name="Comma 11 3 2 2 16" xfId="8382" xr:uid="{BBC16A20-00E1-4006-A647-22B52F4AE8DD}"/>
    <cellStyle name="Comma 11 3 2 2 16 2" xfId="12556" xr:uid="{3414DABC-7C44-4D26-8746-A0FC386FA1D1}"/>
    <cellStyle name="Comma 11 3 2 2 16 2 2" xfId="27733" xr:uid="{034AB5CC-E4BB-43CA-BFB1-3D888C3EBE75}"/>
    <cellStyle name="Comma 11 3 2 2 16 3" xfId="23561" xr:uid="{32255E24-7EBB-4F40-96B0-973EA421116B}"/>
    <cellStyle name="Comma 11 3 2 2 17" xfId="16101" xr:uid="{8F645C9C-1BCA-4B61-895B-0495099F655A}"/>
    <cellStyle name="Comma 11 3 2 2 18" xfId="31443" xr:uid="{6BBAA2E4-7722-47B0-8704-8C937C896D11}"/>
    <cellStyle name="Comma 11 3 2 2 19" xfId="703" xr:uid="{CC086C35-04C8-4F79-88B4-C350D4664796}"/>
    <cellStyle name="Comma 11 3 2 2 2" xfId="601" xr:uid="{5639DA96-6D60-41B2-A631-3883F0C3857D}"/>
    <cellStyle name="Comma 11 3 2 2 2 10" xfId="2311" xr:uid="{68D585AB-28DA-4FDD-B4C8-7ED1FDBB107D}"/>
    <cellStyle name="Comma 11 3 2 2 2 10 2" xfId="9806" xr:uid="{36577FBB-C676-4110-A42E-92A53FE9B181}"/>
    <cellStyle name="Comma 11 3 2 2 2 10 2 2" xfId="13465" xr:uid="{056B02F0-3CEE-4098-918F-1FC87FE3DCA8}"/>
    <cellStyle name="Comma 11 3 2 2 2 10 2 2 2" xfId="28642" xr:uid="{91AC7BCD-EE6B-416D-8D6F-E60657B907B8}"/>
    <cellStyle name="Comma 11 3 2 2 2 10 2 3" xfId="24984" xr:uid="{68E7DBF7-2CA5-41D5-B532-A5F6D591CB1B}"/>
    <cellStyle name="Comma 11 3 2 2 2 10 3" xfId="5632" xr:uid="{A6B5D3DF-2BD0-4B6F-9B68-D521ECF3E402}"/>
    <cellStyle name="Comma 11 3 2 2 2 10 3 2" xfId="20812" xr:uid="{CB25E142-C7F1-49CC-9137-31B488708011}"/>
    <cellStyle name="Comma 11 3 2 2 2 10 4" xfId="17524" xr:uid="{5DF4758A-9BED-4E28-BC70-A737C52ABA6D}"/>
    <cellStyle name="Comma 11 3 2 2 2 11" xfId="3201" xr:uid="{A30C5669-0A09-470D-BE70-F45943614517}"/>
    <cellStyle name="Comma 11 3 2 2 2 11 2" xfId="10690" xr:uid="{AC81EFA9-1D19-4A33-8ABC-BAEBCFB02415}"/>
    <cellStyle name="Comma 11 3 2 2 2 11 2 2" xfId="14236" xr:uid="{6C609E4D-7033-44A0-A874-4FDDDE437421}"/>
    <cellStyle name="Comma 11 3 2 2 2 11 2 2 2" xfId="29413" xr:uid="{0EC6B95C-A7E3-48AD-AB0A-5D5BC2DC52A5}"/>
    <cellStyle name="Comma 11 3 2 2 2 11 2 3" xfId="25868" xr:uid="{838ED955-D627-425C-869D-E66158DFDE91}"/>
    <cellStyle name="Comma 11 3 2 2 2 11 3" xfId="6516" xr:uid="{13D9F8A1-C429-4947-AEB6-7C8CA12786FC}"/>
    <cellStyle name="Comma 11 3 2 2 2 11 3 2" xfId="21696" xr:uid="{52083031-00B8-4DBF-9C75-FF1ECF6C409A}"/>
    <cellStyle name="Comma 11 3 2 2 2 11 4" xfId="18408" xr:uid="{A74C6A83-9507-4F8A-B525-BD9CF9E2F7D9}"/>
    <cellStyle name="Comma 11 3 2 2 2 12" xfId="4193" xr:uid="{5B5996E9-E827-46ED-99B3-1BF3390559AF}"/>
    <cellStyle name="Comma 11 3 2 2 2 12 2" xfId="11678" xr:uid="{5C98E351-F4A9-40EB-80E8-5D64A764034E}"/>
    <cellStyle name="Comma 11 3 2 2 2 12 2 2" xfId="15224" xr:uid="{4026D1F5-04B9-4662-B373-C8208D0F94FE}"/>
    <cellStyle name="Comma 11 3 2 2 2 12 2 2 2" xfId="30401" xr:uid="{38C89A23-65D9-4AA8-85C4-7EA973B63FCD}"/>
    <cellStyle name="Comma 11 3 2 2 2 12 2 3" xfId="26856" xr:uid="{A9078EBB-858F-4AED-9C5C-B63F2B6E8BA4}"/>
    <cellStyle name="Comma 11 3 2 2 2 12 3" xfId="7504" xr:uid="{822D211B-316A-4DB0-9262-13A5F1344EC0}"/>
    <cellStyle name="Comma 11 3 2 2 2 12 3 2" xfId="22684" xr:uid="{0DEBC114-6E1A-49BB-97A2-D462315824D5}"/>
    <cellStyle name="Comma 11 3 2 2 2 12 4" xfId="19396" xr:uid="{BCB40D74-35D6-4568-93BE-B7B6BEF789AA}"/>
    <cellStyle name="Comma 11 3 2 2 2 13" xfId="8407" xr:uid="{D261179E-8678-4437-A14A-9A78AC0780A8}"/>
    <cellStyle name="Comma 11 3 2 2 2 13 2" xfId="12581" xr:uid="{70600D73-9DF7-4113-8885-D2570563BB5E}"/>
    <cellStyle name="Comma 11 3 2 2 2 13 2 2" xfId="27758" xr:uid="{7555C820-623E-4E6B-8686-BBDDBC1F42E9}"/>
    <cellStyle name="Comma 11 3 2 2 2 13 3" xfId="23586" xr:uid="{1661C55A-34A4-456A-AB9D-B51AD07B01B3}"/>
    <cellStyle name="Comma 11 3 2 2 2 14" xfId="16126" xr:uid="{FBDC1E03-98BE-41E1-9561-CFD5C88C77C0}"/>
    <cellStyle name="Comma 11 3 2 2 2 15" xfId="31468" xr:uid="{5D37185E-504C-4E01-93F4-2E90C602BEC2}"/>
    <cellStyle name="Comma 11 3 2 2 2 16" xfId="738" xr:uid="{ED0E842D-30AA-4C5B-A3AD-F59463A34B58}"/>
    <cellStyle name="Comma 11 3 2 2 2 2" xfId="790" xr:uid="{933EAD2F-EF77-426B-A8D3-28E1A7171069}"/>
    <cellStyle name="Comma 11 3 2 2 2 2 10" xfId="8456" xr:uid="{F96A02FF-ECFC-4C33-9FA4-477F67B4E61B}"/>
    <cellStyle name="Comma 11 3 2 2 2 2 10 2" xfId="12630" xr:uid="{39510EDF-D091-4120-A2AA-EA7EB806596B}"/>
    <cellStyle name="Comma 11 3 2 2 2 2 10 2 2" xfId="27807" xr:uid="{C426085E-D531-4692-B072-B161E4BAD006}"/>
    <cellStyle name="Comma 11 3 2 2 2 2 10 3" xfId="23635" xr:uid="{BFA2D654-9F45-4689-B44F-E3C68D260322}"/>
    <cellStyle name="Comma 11 3 2 2 2 2 11" xfId="16175" xr:uid="{1FE864CE-8810-4C32-9450-E61B0653D33F}"/>
    <cellStyle name="Comma 11 3 2 2 2 2 12" xfId="31517" xr:uid="{14C4A21A-D8CE-46C2-A97E-BF89C1290850}"/>
    <cellStyle name="Comma 11 3 2 2 2 2 2" xfId="967" xr:uid="{5E703300-35BF-445B-8972-4C7A56B41AEB}"/>
    <cellStyle name="Comma 11 3 2 2 2 2 2 10" xfId="16297" xr:uid="{4A6C8084-3CFF-4BD9-B5D1-3F59E118632A}"/>
    <cellStyle name="Comma 11 3 2 2 2 2 2 11" xfId="31387" xr:uid="{3DC482FE-9723-4CE4-9A9F-C7EC401508FF}"/>
    <cellStyle name="Comma 11 3 2 2 2 2 2 12" xfId="31737" xr:uid="{AD18707C-B869-468F-B0C1-39097D8E19FC}"/>
    <cellStyle name="Comma 11 3 2 2 2 2 2 2" xfId="1328" xr:uid="{1FBB3DF2-3F3F-4409-B208-4949BEF16EA3}"/>
    <cellStyle name="Comma 11 3 2 2 2 2 2 2 2" xfId="3645" xr:uid="{15818CC3-957D-4B10-8B88-2496AB8EFA86}"/>
    <cellStyle name="Comma 11 3 2 2 2 2 2 2 2 2" xfId="11133" xr:uid="{3B59A9A9-D2A1-48BD-8483-DA256AD5F8E7}"/>
    <cellStyle name="Comma 11 3 2 2 2 2 2 2 2 2 2" xfId="14679" xr:uid="{51140602-04F4-4697-BC00-8CE7121DAD98}"/>
    <cellStyle name="Comma 11 3 2 2 2 2 2 2 2 2 2 2" xfId="29856" xr:uid="{9B30C248-46D6-4B1F-8941-1B9BFABD7163}"/>
    <cellStyle name="Comma 11 3 2 2 2 2 2 2 2 2 3" xfId="26311" xr:uid="{DA033B8B-468C-4AB4-9C99-7FB16FB2536A}"/>
    <cellStyle name="Comma 11 3 2 2 2 2 2 2 2 3" xfId="6959" xr:uid="{405C5C71-9825-4AEC-B6D4-311CEB82B25D}"/>
    <cellStyle name="Comma 11 3 2 2 2 2 2 2 2 3 2" xfId="22139" xr:uid="{99BE8B41-745A-4CCF-9CA8-35D049996B97}"/>
    <cellStyle name="Comma 11 3 2 2 2 2 2 2 2 4" xfId="18851" xr:uid="{B20B1932-3DA1-40AF-8B9A-6ADB92F1A1E2}"/>
    <cellStyle name="Comma 11 3 2 2 2 2 2 2 3" xfId="4194" xr:uid="{2236B273-6ACD-43CB-A8B9-7E8A5B41DAAF}"/>
    <cellStyle name="Comma 11 3 2 2 2 2 2 2 3 2" xfId="11679" xr:uid="{9DD69662-16CB-4059-B111-3EC307C687F8}"/>
    <cellStyle name="Comma 11 3 2 2 2 2 2 2 3 2 2" xfId="15225" xr:uid="{80BECF42-8137-438F-9DD2-56044F7BDA44}"/>
    <cellStyle name="Comma 11 3 2 2 2 2 2 2 3 2 2 2" xfId="30402" xr:uid="{F0103E4E-ABBB-40E7-BA8D-3162E75F7448}"/>
    <cellStyle name="Comma 11 3 2 2 2 2 2 2 3 2 3" xfId="26857" xr:uid="{E1A7ADD6-4433-453C-B06E-AAACA758E4E3}"/>
    <cellStyle name="Comma 11 3 2 2 2 2 2 2 3 3" xfId="7505" xr:uid="{02ADDC12-DC3B-4E5A-A5D8-F203684D90FE}"/>
    <cellStyle name="Comma 11 3 2 2 2 2 2 2 3 3 2" xfId="22685" xr:uid="{E6F02F4A-4D76-45CB-8E68-080F1A427295}"/>
    <cellStyle name="Comma 11 3 2 2 2 2 2 2 3 4" xfId="19397" xr:uid="{B08508F0-C0B4-4C73-AEE9-2E155C3E115B}"/>
    <cellStyle name="Comma 11 3 2 2 2 2 2 2 4" xfId="2758" xr:uid="{FAAD719C-DF34-4FFE-B87E-01590BA2B802}"/>
    <cellStyle name="Comma 11 3 2 2 2 2 2 2 4 2" xfId="10249" xr:uid="{23AB7F26-A957-45DE-AA12-8A1B9F1581EB}"/>
    <cellStyle name="Comma 11 3 2 2 2 2 2 2 4 2 2" xfId="25427" xr:uid="{F5F96924-397D-467D-9999-629658A610B9}"/>
    <cellStyle name="Comma 11 3 2 2 2 2 2 2 4 3" xfId="17967" xr:uid="{61A68431-7643-4DA5-881C-8DAA74BD8D4C}"/>
    <cellStyle name="Comma 11 3 2 2 2 2 2 2 5" xfId="8851" xr:uid="{7E952CB8-7438-48BB-96D2-202F22963D52}"/>
    <cellStyle name="Comma 11 3 2 2 2 2 2 2 5 2" xfId="13024" xr:uid="{E6B0035F-FC5F-4212-8BAA-A809C91F62E8}"/>
    <cellStyle name="Comma 11 3 2 2 2 2 2 2 5 2 2" xfId="28201" xr:uid="{1AC39982-DDD6-4648-94AA-DAB9EC4A3827}"/>
    <cellStyle name="Comma 11 3 2 2 2 2 2 2 5 3" xfId="24029" xr:uid="{229DCA92-3A24-458C-906E-86564019E8A5}"/>
    <cellStyle name="Comma 11 3 2 2 2 2 2 2 6" xfId="6075" xr:uid="{B7479C0C-85F0-474B-BDE1-2B6391D8F6D2}"/>
    <cellStyle name="Comma 11 3 2 2 2 2 2 2 6 2" xfId="21255" xr:uid="{AD2CEA11-57D5-4290-AB90-10668EB51168}"/>
    <cellStyle name="Comma 11 3 2 2 2 2 2 2 7" xfId="16569" xr:uid="{184A2278-BFE9-4C92-9029-4B36E3B413C0}"/>
    <cellStyle name="Comma 11 3 2 2 2 2 2 3" xfId="2485" xr:uid="{7A2830C0-EA23-4739-BA7E-C16754B03BD9}"/>
    <cellStyle name="Comma 11 3 2 2 2 2 2 3 2" xfId="9977" xr:uid="{09803669-A3D0-4C46-9849-C02454980AD6}"/>
    <cellStyle name="Comma 11 3 2 2 2 2 2 3 2 2" xfId="13636" xr:uid="{CB9734E1-D8EA-40B1-8D66-6960E50EC0C6}"/>
    <cellStyle name="Comma 11 3 2 2 2 2 2 3 2 2 2" xfId="28813" xr:uid="{B4A061D2-0FDA-4D2E-97EC-EBF497604327}"/>
    <cellStyle name="Comma 11 3 2 2 2 2 2 3 2 3" xfId="25155" xr:uid="{3EC6E014-ADCF-43B6-9896-38A88CE971C4}"/>
    <cellStyle name="Comma 11 3 2 2 2 2 2 3 3" xfId="5803" xr:uid="{1048CE79-D79D-4F34-814A-C1ED776B18C4}"/>
    <cellStyle name="Comma 11 3 2 2 2 2 2 3 3 2" xfId="20983" xr:uid="{2CE96A1D-D493-4086-93ED-A2AE25393E59}"/>
    <cellStyle name="Comma 11 3 2 2 2 2 2 3 4" xfId="17695" xr:uid="{9D1AFF95-C2FC-47AE-85E3-DBD438378B7D}"/>
    <cellStyle name="Comma 11 3 2 2 2 2 2 4" xfId="3373" xr:uid="{CABE96DD-94A0-4130-86B6-4C229D9CD525}"/>
    <cellStyle name="Comma 11 3 2 2 2 2 2 4 2" xfId="10861" xr:uid="{F63819D3-3B97-4F12-B733-913102781ABF}"/>
    <cellStyle name="Comma 11 3 2 2 2 2 2 4 2 2" xfId="14407" xr:uid="{130B1585-88A9-4D56-B238-C99B25483A1E}"/>
    <cellStyle name="Comma 11 3 2 2 2 2 2 4 2 2 2" xfId="29584" xr:uid="{E4B2CC2A-47E7-4AE0-A669-A528BE9CDAF5}"/>
    <cellStyle name="Comma 11 3 2 2 2 2 2 4 2 3" xfId="26039" xr:uid="{6D1DAE15-F456-493C-B183-6EAEFCDD0175}"/>
    <cellStyle name="Comma 11 3 2 2 2 2 2 4 3" xfId="6687" xr:uid="{FF8536CB-3733-4F0C-87C0-4B6143738ED6}"/>
    <cellStyle name="Comma 11 3 2 2 2 2 2 4 3 2" xfId="21867" xr:uid="{2049342B-D9DC-4E30-8501-958ABF3F103C}"/>
    <cellStyle name="Comma 11 3 2 2 2 2 2 4 4" xfId="18579" xr:uid="{961739E7-9FDA-43DF-95F8-7BD5C757930B}"/>
    <cellStyle name="Comma 11 3 2 2 2 2 2 5" xfId="4195" xr:uid="{A9FC961F-B28F-4F8D-B1AE-5A3FA64EC913}"/>
    <cellStyle name="Comma 11 3 2 2 2 2 2 5 2" xfId="11680" xr:uid="{D12CBFD7-7DD1-4946-A91B-6CB1AC04B9C8}"/>
    <cellStyle name="Comma 11 3 2 2 2 2 2 5 2 2" xfId="15226" xr:uid="{D775C928-7B2D-4896-A33C-EF8996F23B3E}"/>
    <cellStyle name="Comma 11 3 2 2 2 2 2 5 2 2 2" xfId="30403" xr:uid="{16DBDF90-5DDC-40BF-BBEB-7B79897F51A1}"/>
    <cellStyle name="Comma 11 3 2 2 2 2 2 5 2 3" xfId="26858" xr:uid="{BD703BA1-882E-467C-BA61-76861E5B0ADA}"/>
    <cellStyle name="Comma 11 3 2 2 2 2 2 5 3" xfId="7506" xr:uid="{9A902971-F503-4C08-AE9B-1204BA1CB04C}"/>
    <cellStyle name="Comma 11 3 2 2 2 2 2 5 3 2" xfId="22686" xr:uid="{7D0B9A28-44C4-402F-8192-6EF9EB2DFBC1}"/>
    <cellStyle name="Comma 11 3 2 2 2 2 2 5 4" xfId="19398" xr:uid="{F3C86CA2-E234-40CB-ADCE-2D4012EAFC1E}"/>
    <cellStyle name="Comma 11 3 2 2 2 2 2 6" xfId="5047" xr:uid="{BD5E0B46-476A-4C72-94D8-D108CD522FB8}"/>
    <cellStyle name="Comma 11 3 2 2 2 2 2 6 2" xfId="12531" xr:uid="{07FEEA09-4E20-428F-896C-11B7808D9F91}"/>
    <cellStyle name="Comma 11 3 2 2 2 2 2 6 2 2" xfId="16077" xr:uid="{330AF171-196F-4CF9-AE50-21B843E7C2EE}"/>
    <cellStyle name="Comma 11 3 2 2 2 2 2 6 2 2 2" xfId="31254" xr:uid="{8F7EB105-2257-4029-9307-BB0DDE33FB79}"/>
    <cellStyle name="Comma 11 3 2 2 2 2 2 6 2 3" xfId="27709" xr:uid="{4549DCB8-7020-4DE0-84FA-3783EB3D101F}"/>
    <cellStyle name="Comma 11 3 2 2 2 2 2 6 3" xfId="8357" xr:uid="{4A61BD22-615A-41C2-B299-02B25D263203}"/>
    <cellStyle name="Comma 11 3 2 2 2 2 2 6 3 2" xfId="23537" xr:uid="{19F7EC19-94EE-4EF1-83B4-116A6BED3F39}"/>
    <cellStyle name="Comma 11 3 2 2 2 2 2 6 4" xfId="20249" xr:uid="{7A5A2E47-D5F0-40CE-B2CA-CDAE4FF8C69C}"/>
    <cellStyle name="Comma 11 3 2 2 2 2 2 7" xfId="1868" xr:uid="{8FFF0E23-93E1-4EF9-9750-2BAFD438196C}"/>
    <cellStyle name="Comma 11 3 2 2 2 2 2 7 2" xfId="9365" xr:uid="{29A52820-9732-4348-94E7-FD8C57260062}"/>
    <cellStyle name="Comma 11 3 2 2 2 2 2 7 2 2" xfId="24543" xr:uid="{291561A1-8755-43D6-886F-642D088B65C8}"/>
    <cellStyle name="Comma 11 3 2 2 2 2 2 7 3" xfId="17083" xr:uid="{4BB51A02-65B4-4A5F-8830-0B8478411FE9}"/>
    <cellStyle name="Comma 11 3 2 2 2 2 2 8" xfId="8579" xr:uid="{4748AB50-3CC6-4C09-930A-4014CA16D930}"/>
    <cellStyle name="Comma 11 3 2 2 2 2 2 8 2" xfId="12752" xr:uid="{99D535B5-85CE-4894-B3EE-D465C242FB0E}"/>
    <cellStyle name="Comma 11 3 2 2 2 2 2 8 2 2" xfId="27929" xr:uid="{C1649484-BD1A-4590-8996-BF47DAB98803}"/>
    <cellStyle name="Comma 11 3 2 2 2 2 2 8 3" xfId="23757" xr:uid="{0DD9E182-D369-4647-8F66-D2F5C08DE15C}"/>
    <cellStyle name="Comma 11 3 2 2 2 2 2 9" xfId="5191" xr:uid="{9A07C0B0-813F-4D17-83B6-7E0B82FEAB78}"/>
    <cellStyle name="Comma 11 3 2 2 2 2 2 9 2" xfId="20371" xr:uid="{6C08795D-4703-47F5-8B3C-665D89E0F187}"/>
    <cellStyle name="Comma 11 3 2 2 2 2 3" xfId="1070" xr:uid="{95D72D82-DEBA-4D1F-B548-F65DBFF76CF6}"/>
    <cellStyle name="Comma 11 3 2 2 2 2 3 10" xfId="31615" xr:uid="{0ECBB7DE-2876-4649-AC90-B6A5C11918D2}"/>
    <cellStyle name="Comma 11 3 2 2 2 2 3 2" xfId="1430" xr:uid="{258FC421-7E9F-4F3B-9543-952C29BE77A7}"/>
    <cellStyle name="Comma 11 3 2 2 2 2 3 2 2" xfId="3743" xr:uid="{DBD2AC5F-DA80-405C-B518-8E0CD68850B2}"/>
    <cellStyle name="Comma 11 3 2 2 2 2 3 2 2 2" xfId="11231" xr:uid="{5AFB9E96-CE17-41C3-AAAF-31CA59D71081}"/>
    <cellStyle name="Comma 11 3 2 2 2 2 3 2 2 2 2" xfId="14777" xr:uid="{515BE71B-FD15-4D49-8882-BEC7E3C98A5A}"/>
    <cellStyle name="Comma 11 3 2 2 2 2 3 2 2 2 2 2" xfId="29954" xr:uid="{6E73D604-8DCC-4D60-88FE-52437D51535D}"/>
    <cellStyle name="Comma 11 3 2 2 2 2 3 2 2 2 3" xfId="26409" xr:uid="{C305E4FE-3170-4D0A-ACD9-B9D6CF7DC0F2}"/>
    <cellStyle name="Comma 11 3 2 2 2 2 3 2 2 3" xfId="7057" xr:uid="{B94A8594-C28B-4112-BC34-4AFE806F873A}"/>
    <cellStyle name="Comma 11 3 2 2 2 2 3 2 2 3 2" xfId="22237" xr:uid="{37E70EB0-3CCD-499D-A30B-CFA41A758C9A}"/>
    <cellStyle name="Comma 11 3 2 2 2 2 3 2 2 4" xfId="18949" xr:uid="{24D5FA71-3982-4096-A174-8C1DE15CF8DD}"/>
    <cellStyle name="Comma 11 3 2 2 2 2 3 2 3" xfId="4196" xr:uid="{A48B389E-F196-45E9-943F-552293AF042A}"/>
    <cellStyle name="Comma 11 3 2 2 2 2 3 2 3 2" xfId="11681" xr:uid="{03E1D549-30BA-4A5F-983E-E0F6623A199E}"/>
    <cellStyle name="Comma 11 3 2 2 2 2 3 2 3 2 2" xfId="15227" xr:uid="{BCE3636A-A3FF-4815-AD41-EF792D6B1E40}"/>
    <cellStyle name="Comma 11 3 2 2 2 2 3 2 3 2 2 2" xfId="30404" xr:uid="{8F7D599E-779B-4485-A776-DC2AF08EC626}"/>
    <cellStyle name="Comma 11 3 2 2 2 2 3 2 3 2 3" xfId="26859" xr:uid="{7BB94C79-FF90-4D39-BC2F-1B086D7D385A}"/>
    <cellStyle name="Comma 11 3 2 2 2 2 3 2 3 3" xfId="7507" xr:uid="{F4288991-F571-4C3E-8A94-C29F07079C6C}"/>
    <cellStyle name="Comma 11 3 2 2 2 2 3 2 3 3 2" xfId="22687" xr:uid="{6BAD2D8A-D270-4951-951A-A894A1042C21}"/>
    <cellStyle name="Comma 11 3 2 2 2 2 3 2 3 4" xfId="19399" xr:uid="{4C20FFBB-BB15-4B1A-96ED-1C062A5F0C57}"/>
    <cellStyle name="Comma 11 3 2 2 2 2 3 2 4" xfId="2856" xr:uid="{4D02EF50-5377-4BCD-9E45-8474D7412300}"/>
    <cellStyle name="Comma 11 3 2 2 2 2 3 2 4 2" xfId="10347" xr:uid="{C7AAEBB9-39DF-40C2-BDA5-3450099402A5}"/>
    <cellStyle name="Comma 11 3 2 2 2 2 3 2 4 2 2" xfId="25525" xr:uid="{BA9D4005-AE44-462D-85F1-0CB052B039BE}"/>
    <cellStyle name="Comma 11 3 2 2 2 2 3 2 4 3" xfId="18065" xr:uid="{E21C289C-1891-45B0-813B-F58204605688}"/>
    <cellStyle name="Comma 11 3 2 2 2 2 3 2 5" xfId="8949" xr:uid="{368908B6-2C89-4984-A3C0-720475A08DE4}"/>
    <cellStyle name="Comma 11 3 2 2 2 2 3 2 5 2" xfId="13122" xr:uid="{C2CC5C5D-80DB-424A-9BA6-C58998F641FC}"/>
    <cellStyle name="Comma 11 3 2 2 2 2 3 2 5 2 2" xfId="28299" xr:uid="{9D9CAD56-4315-486B-AF78-BEDF1780B41B}"/>
    <cellStyle name="Comma 11 3 2 2 2 2 3 2 5 3" xfId="24127" xr:uid="{81DD8696-974D-4921-B0D6-0836A0EAA4B3}"/>
    <cellStyle name="Comma 11 3 2 2 2 2 3 2 6" xfId="6173" xr:uid="{73AF752D-D2AF-474D-897F-2FBB94F804AB}"/>
    <cellStyle name="Comma 11 3 2 2 2 2 3 2 6 2" xfId="21353" xr:uid="{FF0B89BC-63EF-41C0-8795-06FB3421DFF5}"/>
    <cellStyle name="Comma 11 3 2 2 2 2 3 2 7" xfId="16667" xr:uid="{08FD9AFF-1693-49E6-858C-7A62A66C65F6}"/>
    <cellStyle name="Comma 11 3 2 2 2 2 3 3" xfId="2583" xr:uid="{E9D6FB90-73CA-4DE7-B07B-CDA7B07BBF8F}"/>
    <cellStyle name="Comma 11 3 2 2 2 2 3 3 2" xfId="10075" xr:uid="{9C1A1226-718A-4F2E-82F9-F2193F02BFBD}"/>
    <cellStyle name="Comma 11 3 2 2 2 2 3 3 2 2" xfId="13734" xr:uid="{B042A9E4-531D-4D16-A0B7-14D1118AC35D}"/>
    <cellStyle name="Comma 11 3 2 2 2 2 3 3 2 2 2" xfId="28911" xr:uid="{A2EC81C8-8B28-42C4-B6D9-B93B574F397D}"/>
    <cellStyle name="Comma 11 3 2 2 2 2 3 3 2 3" xfId="25253" xr:uid="{9D063A6E-DD62-4A5A-9B78-DE1B9BB3E229}"/>
    <cellStyle name="Comma 11 3 2 2 2 2 3 3 3" xfId="5901" xr:uid="{BB95599D-BDF7-41E3-AA05-E811EEB74C3F}"/>
    <cellStyle name="Comma 11 3 2 2 2 2 3 3 3 2" xfId="21081" xr:uid="{66439FC6-42D9-4EBC-88C5-E0A93DE6D62E}"/>
    <cellStyle name="Comma 11 3 2 2 2 2 3 3 4" xfId="17793" xr:uid="{A8A58165-40B0-4874-BE7E-853D67A17342}"/>
    <cellStyle name="Comma 11 3 2 2 2 2 3 4" xfId="3471" xr:uid="{5B98DEBD-3132-4657-A888-59282D4ADC40}"/>
    <cellStyle name="Comma 11 3 2 2 2 2 3 4 2" xfId="10959" xr:uid="{BE80A94C-1B19-4E90-ADD7-06AA601C6B23}"/>
    <cellStyle name="Comma 11 3 2 2 2 2 3 4 2 2" xfId="14505" xr:uid="{FD102687-1DB0-4A6F-BBE9-ABED16ADEF17}"/>
    <cellStyle name="Comma 11 3 2 2 2 2 3 4 2 2 2" xfId="29682" xr:uid="{8A55989F-05DD-4725-9157-5643FFB3FDB7}"/>
    <cellStyle name="Comma 11 3 2 2 2 2 3 4 2 3" xfId="26137" xr:uid="{5FE4038C-76A9-49C8-AC73-4A959EFF7402}"/>
    <cellStyle name="Comma 11 3 2 2 2 2 3 4 3" xfId="6785" xr:uid="{D261D935-4104-42FE-B8C5-C63FAC2DDD5D}"/>
    <cellStyle name="Comma 11 3 2 2 2 2 3 4 3 2" xfId="21965" xr:uid="{A2A93EF3-97B3-49A8-87FC-BC18576B8ADF}"/>
    <cellStyle name="Comma 11 3 2 2 2 2 3 4 4" xfId="18677" xr:uid="{5BF0E535-E7F2-4F33-AEBD-45ABEA903C4B}"/>
    <cellStyle name="Comma 11 3 2 2 2 2 3 5" xfId="4197" xr:uid="{66F7DF7C-2D95-4E0A-8470-15DD2E85A3E2}"/>
    <cellStyle name="Comma 11 3 2 2 2 2 3 5 2" xfId="11682" xr:uid="{8A4C95F9-FF56-459C-B5D5-34F6EDF42260}"/>
    <cellStyle name="Comma 11 3 2 2 2 2 3 5 2 2" xfId="15228" xr:uid="{3A508558-001F-48C5-B082-4BBAE5C78E60}"/>
    <cellStyle name="Comma 11 3 2 2 2 2 3 5 2 2 2" xfId="30405" xr:uid="{951B0A93-A58A-4CAB-A36B-D5E2A1256E3E}"/>
    <cellStyle name="Comma 11 3 2 2 2 2 3 5 2 3" xfId="26860" xr:uid="{EEDDF8EF-7197-48F2-B7A5-97AD2DE62035}"/>
    <cellStyle name="Comma 11 3 2 2 2 2 3 5 3" xfId="7508" xr:uid="{F28B5048-02E3-4BE4-AF6D-978EE9FD5CA3}"/>
    <cellStyle name="Comma 11 3 2 2 2 2 3 5 3 2" xfId="22688" xr:uid="{CB2578C7-B44C-4864-A535-5CE8B034905B}"/>
    <cellStyle name="Comma 11 3 2 2 2 2 3 5 4" xfId="19400" xr:uid="{63C93B6A-C43D-4420-834F-9EEB24787D01}"/>
    <cellStyle name="Comma 11 3 2 2 2 2 3 6" xfId="1966" xr:uid="{DD92A49D-F60C-4E33-959C-D0CE795DFA87}"/>
    <cellStyle name="Comma 11 3 2 2 2 2 3 6 2" xfId="9463" xr:uid="{8E92C429-D4CC-4A52-B2F8-46CFEC287B8E}"/>
    <cellStyle name="Comma 11 3 2 2 2 2 3 6 2 2" xfId="24641" xr:uid="{58CDF159-7A5E-445D-B1D2-28D619F48845}"/>
    <cellStyle name="Comma 11 3 2 2 2 2 3 6 3" xfId="17181" xr:uid="{EAD23D30-ADA4-4EFF-827F-34C5E9F7704C}"/>
    <cellStyle name="Comma 11 3 2 2 2 2 3 7" xfId="8677" xr:uid="{14CC1708-78CE-42A4-AE53-33BFE3D94ACF}"/>
    <cellStyle name="Comma 11 3 2 2 2 2 3 7 2" xfId="12850" xr:uid="{F1645BED-B9ED-42A1-9F31-37311BC6BBEE}"/>
    <cellStyle name="Comma 11 3 2 2 2 2 3 7 2 2" xfId="28027" xr:uid="{A4B2A63C-8998-4F38-9F9D-4D89DFA69499}"/>
    <cellStyle name="Comma 11 3 2 2 2 2 3 7 3" xfId="23855" xr:uid="{46D962E4-90F1-45C3-BB06-5FF0EEFF0D05}"/>
    <cellStyle name="Comma 11 3 2 2 2 2 3 8" xfId="5289" xr:uid="{0C133C4D-0982-4789-B72B-0BDE6B280661}"/>
    <cellStyle name="Comma 11 3 2 2 2 2 3 8 2" xfId="20469" xr:uid="{E67603F1-1AD6-4695-A300-68EE84C23191}"/>
    <cellStyle name="Comma 11 3 2 2 2 2 3 9" xfId="16395" xr:uid="{A36FCEE2-9714-47C9-A40A-E666B63F325F}"/>
    <cellStyle name="Comma 11 3 2 2 2 2 4" xfId="1529" xr:uid="{D1A76EC8-30B1-49FA-A6A0-80EBA9726C57}"/>
    <cellStyle name="Comma 11 3 2 2 2 2 4 2" xfId="2954" xr:uid="{D7EEB544-F5B6-4D43-906E-B99DC9A7682E}"/>
    <cellStyle name="Comma 11 3 2 2 2 2 4 2 2" xfId="10445" xr:uid="{A2B0068F-36CD-4345-9CC0-3DDD30591B67}"/>
    <cellStyle name="Comma 11 3 2 2 2 2 4 2 2 2" xfId="13991" xr:uid="{3AF9D3D1-9498-45ED-A926-4236661BB7DD}"/>
    <cellStyle name="Comma 11 3 2 2 2 2 4 2 2 2 2" xfId="29168" xr:uid="{1C50C970-BAC7-4051-AD9B-75F6C6EC2590}"/>
    <cellStyle name="Comma 11 3 2 2 2 2 4 2 2 3" xfId="25623" xr:uid="{36CD27CC-01A9-4916-95BD-E9D275A59B6E}"/>
    <cellStyle name="Comma 11 3 2 2 2 2 4 2 3" xfId="6271" xr:uid="{BF671555-FCFE-4CB8-BD31-63A57337355D}"/>
    <cellStyle name="Comma 11 3 2 2 2 2 4 2 3 2" xfId="21451" xr:uid="{09A7F14D-8219-42F7-8248-375698E26918}"/>
    <cellStyle name="Comma 11 3 2 2 2 2 4 2 4" xfId="18163" xr:uid="{08C49086-4186-4D93-AB3E-2A372D1F9F79}"/>
    <cellStyle name="Comma 11 3 2 2 2 2 4 3" xfId="3841" xr:uid="{DE0ADCAD-85BD-4D40-8172-BE86D8B3CB31}"/>
    <cellStyle name="Comma 11 3 2 2 2 2 4 3 2" xfId="11329" xr:uid="{0D984D33-E7AF-4E7C-A72B-FBDA307503FC}"/>
    <cellStyle name="Comma 11 3 2 2 2 2 4 3 2 2" xfId="14875" xr:uid="{64C3C206-A2B4-48EE-8631-B0FC2E073270}"/>
    <cellStyle name="Comma 11 3 2 2 2 2 4 3 2 2 2" xfId="30052" xr:uid="{0A8E6403-4241-4727-8767-896B0C9A09ED}"/>
    <cellStyle name="Comma 11 3 2 2 2 2 4 3 2 3" xfId="26507" xr:uid="{AB6705A8-F4AA-4943-A283-2625BD59424D}"/>
    <cellStyle name="Comma 11 3 2 2 2 2 4 3 3" xfId="7155" xr:uid="{699BAAAD-6DAB-4F77-B214-14588EAFA151}"/>
    <cellStyle name="Comma 11 3 2 2 2 2 4 3 3 2" xfId="22335" xr:uid="{9B8F78C9-8517-4D3E-81E9-BCCD754B658E}"/>
    <cellStyle name="Comma 11 3 2 2 2 2 4 3 4" xfId="19047" xr:uid="{3059D32D-4D4E-4C42-B716-3E9AF85F58A4}"/>
    <cellStyle name="Comma 11 3 2 2 2 2 4 4" xfId="4198" xr:uid="{48570E03-31CB-4E38-AEC0-7066BB9A2B4F}"/>
    <cellStyle name="Comma 11 3 2 2 2 2 4 4 2" xfId="11683" xr:uid="{62FA842A-E133-49BB-8251-97724F30D2D5}"/>
    <cellStyle name="Comma 11 3 2 2 2 2 4 4 2 2" xfId="15229" xr:uid="{096F210E-93B4-4CDF-BB0A-14DA64B88560}"/>
    <cellStyle name="Comma 11 3 2 2 2 2 4 4 2 2 2" xfId="30406" xr:uid="{7F9C53F7-A9B8-4457-BC68-2521C08F7614}"/>
    <cellStyle name="Comma 11 3 2 2 2 2 4 4 2 3" xfId="26861" xr:uid="{CE203672-6F1D-4B78-8B01-6BF6A7A5760E}"/>
    <cellStyle name="Comma 11 3 2 2 2 2 4 4 3" xfId="7509" xr:uid="{D7FDF5A9-ED2D-4673-95C3-D8DD5FF06E7C}"/>
    <cellStyle name="Comma 11 3 2 2 2 2 4 4 3 2" xfId="22689" xr:uid="{C7A520D2-CF53-4D81-8539-A9B54C0A78FC}"/>
    <cellStyle name="Comma 11 3 2 2 2 2 4 4 4" xfId="19401" xr:uid="{F0DAF92B-F2C1-4BF5-9FCF-B4BD21C14CF3}"/>
    <cellStyle name="Comma 11 3 2 2 2 2 4 5" xfId="2064" xr:uid="{ED8AE794-2230-4E0C-B358-A3D5FF3CA431}"/>
    <cellStyle name="Comma 11 3 2 2 2 2 4 5 2" xfId="9561" xr:uid="{3FA6BEF9-3A18-40D4-8683-67FDC43ACFF3}"/>
    <cellStyle name="Comma 11 3 2 2 2 2 4 5 2 2" xfId="24739" xr:uid="{1B6191FE-D605-4362-ABCE-DAE9936BBAB0}"/>
    <cellStyle name="Comma 11 3 2 2 2 2 4 5 3" xfId="17279" xr:uid="{3E45FA61-04C8-4E0F-93BF-8B1C2BFECE82}"/>
    <cellStyle name="Comma 11 3 2 2 2 2 4 6" xfId="9047" xr:uid="{85CCA637-20D1-4B32-975A-98D22D8DB792}"/>
    <cellStyle name="Comma 11 3 2 2 2 2 4 6 2" xfId="13220" xr:uid="{4CAF5048-A5D3-4D2F-A461-73099E1E7D29}"/>
    <cellStyle name="Comma 11 3 2 2 2 2 4 6 2 2" xfId="28397" xr:uid="{5C3A2080-732F-4F5E-A3AC-80ACEAB394F1}"/>
    <cellStyle name="Comma 11 3 2 2 2 2 4 6 3" xfId="24225" xr:uid="{AAE34E0F-4167-4BF4-B7A2-765F7C11E4F6}"/>
    <cellStyle name="Comma 11 3 2 2 2 2 4 7" xfId="5387" xr:uid="{9B27FCAE-3A04-4527-9058-A2C35F546187}"/>
    <cellStyle name="Comma 11 3 2 2 2 2 4 7 2" xfId="20567" xr:uid="{8F8ECCF6-4CBC-4865-AAC7-CA9226D49333}"/>
    <cellStyle name="Comma 11 3 2 2 2 2 4 8" xfId="16765" xr:uid="{1F027C52-544F-4AD8-8487-91E9CB19908B}"/>
    <cellStyle name="Comma 11 3 2 2 2 2 5" xfId="1632" xr:uid="{434D8F70-186E-4A51-A6CB-7C7EB1094545}"/>
    <cellStyle name="Comma 11 3 2 2 2 2 5 2" xfId="3052" xr:uid="{115A5910-CA8C-4C54-B538-C70BA9A53887}"/>
    <cellStyle name="Comma 11 3 2 2 2 2 5 2 2" xfId="10543" xr:uid="{044713C6-823F-4F65-BDE7-3933C2DBDC33}"/>
    <cellStyle name="Comma 11 3 2 2 2 2 5 2 2 2" xfId="14089" xr:uid="{2EE7945D-0AA0-4DB9-8A76-F1AA2725ECEA}"/>
    <cellStyle name="Comma 11 3 2 2 2 2 5 2 2 2 2" xfId="29266" xr:uid="{BC9A7592-C908-48A0-A93F-5F535202F7EE}"/>
    <cellStyle name="Comma 11 3 2 2 2 2 5 2 2 3" xfId="25721" xr:uid="{193514A9-B3A7-48EB-925E-D8AD9DB5DBC8}"/>
    <cellStyle name="Comma 11 3 2 2 2 2 5 2 3" xfId="6369" xr:uid="{84C83869-0529-44E6-A757-1A8058BA4B09}"/>
    <cellStyle name="Comma 11 3 2 2 2 2 5 2 3 2" xfId="21549" xr:uid="{26DC6ABE-62A9-4DB4-9B61-6CC21597407E}"/>
    <cellStyle name="Comma 11 3 2 2 2 2 5 2 4" xfId="18261" xr:uid="{D8DC6811-4A55-495C-965A-0945FBFA013A}"/>
    <cellStyle name="Comma 11 3 2 2 2 2 5 3" xfId="3939" xr:uid="{AD08625C-6F9F-40E0-A7A1-1A801E520D9D}"/>
    <cellStyle name="Comma 11 3 2 2 2 2 5 3 2" xfId="11427" xr:uid="{CAEC168A-7951-472E-92BA-6D6C3C57817A}"/>
    <cellStyle name="Comma 11 3 2 2 2 2 5 3 2 2" xfId="14973" xr:uid="{8D70DC01-037B-4E6D-8B4F-DBC1109F18BF}"/>
    <cellStyle name="Comma 11 3 2 2 2 2 5 3 2 2 2" xfId="30150" xr:uid="{625D3169-C807-4019-AFF4-EB780A24A74A}"/>
    <cellStyle name="Comma 11 3 2 2 2 2 5 3 2 3" xfId="26605" xr:uid="{A2468975-6CF9-4577-9DD2-63D87E44CBF4}"/>
    <cellStyle name="Comma 11 3 2 2 2 2 5 3 3" xfId="7253" xr:uid="{63B826FD-BB71-4B0D-B17B-02E53D727565}"/>
    <cellStyle name="Comma 11 3 2 2 2 2 5 3 3 2" xfId="22433" xr:uid="{E3E2B97C-9B31-4616-A74F-96964C215431}"/>
    <cellStyle name="Comma 11 3 2 2 2 2 5 3 4" xfId="19145" xr:uid="{9E5FDDA9-A649-4824-A91F-76F1284EC978}"/>
    <cellStyle name="Comma 11 3 2 2 2 2 5 4" xfId="4199" xr:uid="{E75E1E1A-A49A-4A0E-98E6-D5D2A54409BE}"/>
    <cellStyle name="Comma 11 3 2 2 2 2 5 4 2" xfId="11684" xr:uid="{6CF2E1FB-BBF1-4482-9EC1-8F9438C0E57D}"/>
    <cellStyle name="Comma 11 3 2 2 2 2 5 4 2 2" xfId="15230" xr:uid="{B9AB02AF-2421-4076-A089-FA29DD7D7B7C}"/>
    <cellStyle name="Comma 11 3 2 2 2 2 5 4 2 2 2" xfId="30407" xr:uid="{1372324A-0325-449A-B48C-3E587C883BCA}"/>
    <cellStyle name="Comma 11 3 2 2 2 2 5 4 2 3" xfId="26862" xr:uid="{68D1248B-B52B-4A1F-8CB0-30DE4E035620}"/>
    <cellStyle name="Comma 11 3 2 2 2 2 5 4 3" xfId="7510" xr:uid="{2472C657-8EFD-4DA0-8097-8173F8143381}"/>
    <cellStyle name="Comma 11 3 2 2 2 2 5 4 3 2" xfId="22690" xr:uid="{6499139A-9FE5-4ECE-9E29-B8730333BAAF}"/>
    <cellStyle name="Comma 11 3 2 2 2 2 5 4 4" xfId="19402" xr:uid="{BF3E7952-3A9F-49CD-AC12-7A9A45DDF920}"/>
    <cellStyle name="Comma 11 3 2 2 2 2 5 5" xfId="2162" xr:uid="{BECB18CF-3FE9-42DA-8881-330E89C27DD6}"/>
    <cellStyle name="Comma 11 3 2 2 2 2 5 5 2" xfId="9659" xr:uid="{4E42E83E-C1DA-45CD-9EC8-AF7B8DD8E9E3}"/>
    <cellStyle name="Comma 11 3 2 2 2 2 5 5 2 2" xfId="24837" xr:uid="{015D2E0D-EAD5-4A64-B8B3-9B7886C07229}"/>
    <cellStyle name="Comma 11 3 2 2 2 2 5 5 3" xfId="17377" xr:uid="{9DA69724-0C93-4C8A-9EDC-E18A5CE962AB}"/>
    <cellStyle name="Comma 11 3 2 2 2 2 5 6" xfId="9145" xr:uid="{597816D4-5CDA-4907-9FB1-FF8F91D75B1C}"/>
    <cellStyle name="Comma 11 3 2 2 2 2 5 6 2" xfId="13318" xr:uid="{DFB1C778-309C-45F5-BAD3-7867E6855F38}"/>
    <cellStyle name="Comma 11 3 2 2 2 2 5 6 2 2" xfId="28495" xr:uid="{4FD432EF-9158-4719-9098-E9778440638A}"/>
    <cellStyle name="Comma 11 3 2 2 2 2 5 6 3" xfId="24323" xr:uid="{95AB19B0-61D7-474B-A93B-39B80A5292FE}"/>
    <cellStyle name="Comma 11 3 2 2 2 2 5 7" xfId="5485" xr:uid="{F2C6B166-2524-40CF-8E04-2E4624B8DF7A}"/>
    <cellStyle name="Comma 11 3 2 2 2 2 5 7 2" xfId="20665" xr:uid="{AD6122F1-D514-4BE4-820D-AF9C21CEB089}"/>
    <cellStyle name="Comma 11 3 2 2 2 2 5 8" xfId="16863" xr:uid="{9511FC03-FBB4-4F12-BB10-E48CD88C7DC3}"/>
    <cellStyle name="Comma 11 3 2 2 2 2 6" xfId="1731" xr:uid="{2679844B-F947-40F2-8EF6-4FA69D936603}"/>
    <cellStyle name="Comma 11 3 2 2 2 2 6 2" xfId="3150" xr:uid="{BD585E52-38F3-420A-83CF-096728FE2A90}"/>
    <cellStyle name="Comma 11 3 2 2 2 2 6 2 2" xfId="10641" xr:uid="{DB857FC9-CD40-4044-A7BC-178704AEC7E6}"/>
    <cellStyle name="Comma 11 3 2 2 2 2 6 2 2 2" xfId="14187" xr:uid="{E58DAAED-5083-4968-8586-EC2D0A9208C8}"/>
    <cellStyle name="Comma 11 3 2 2 2 2 6 2 2 2 2" xfId="29364" xr:uid="{E3B4E7AC-2996-4997-9FD1-E16742636DFB}"/>
    <cellStyle name="Comma 11 3 2 2 2 2 6 2 2 3" xfId="25819" xr:uid="{63EA801D-A77E-4A3C-B1B0-EA2CCBAD0A6B}"/>
    <cellStyle name="Comma 11 3 2 2 2 2 6 2 3" xfId="6467" xr:uid="{BF9808FC-22E6-4EE2-ADC3-B818547A1284}"/>
    <cellStyle name="Comma 11 3 2 2 2 2 6 2 3 2" xfId="21647" xr:uid="{B05089AF-8148-4B58-9F66-B3D0D2BEDDF9}"/>
    <cellStyle name="Comma 11 3 2 2 2 2 6 2 4" xfId="18359" xr:uid="{E0CF2479-BF89-4A5A-8B28-831CE154ABD3}"/>
    <cellStyle name="Comma 11 3 2 2 2 2 6 3" xfId="4037" xr:uid="{CD40C7C5-2BDD-4E0C-929F-BF1DBE7E0FEE}"/>
    <cellStyle name="Comma 11 3 2 2 2 2 6 3 2" xfId="11525" xr:uid="{E1C49607-45C4-4C98-9195-DF973F334331}"/>
    <cellStyle name="Comma 11 3 2 2 2 2 6 3 2 2" xfId="15071" xr:uid="{9DAF085B-D121-47A9-9505-FB262B91C12B}"/>
    <cellStyle name="Comma 11 3 2 2 2 2 6 3 2 2 2" xfId="30248" xr:uid="{EAC449B0-1730-48EA-A355-F4E10455461B}"/>
    <cellStyle name="Comma 11 3 2 2 2 2 6 3 2 3" xfId="26703" xr:uid="{DC654F08-BCD6-428B-BE80-B705CC05F1ED}"/>
    <cellStyle name="Comma 11 3 2 2 2 2 6 3 3" xfId="7351" xr:uid="{01000112-A9BA-4B0D-8AD8-65D4558CA203}"/>
    <cellStyle name="Comma 11 3 2 2 2 2 6 3 3 2" xfId="22531" xr:uid="{EA0A2175-E170-43BC-9A81-F84F9B0BDD7A}"/>
    <cellStyle name="Comma 11 3 2 2 2 2 6 3 4" xfId="19243" xr:uid="{749E95EB-1F6A-4DE2-B768-15A1814428A0}"/>
    <cellStyle name="Comma 11 3 2 2 2 2 6 4" xfId="4200" xr:uid="{68F966FD-9E97-4101-B18C-EB5142515670}"/>
    <cellStyle name="Comma 11 3 2 2 2 2 6 4 2" xfId="11685" xr:uid="{91E9FA71-F54E-4535-8C61-86C360ABF17C}"/>
    <cellStyle name="Comma 11 3 2 2 2 2 6 4 2 2" xfId="15231" xr:uid="{8C16E9EA-FA11-4752-9AE4-B8C33FCA344B}"/>
    <cellStyle name="Comma 11 3 2 2 2 2 6 4 2 2 2" xfId="30408" xr:uid="{26581812-D7E2-49DF-8979-A947E2176D80}"/>
    <cellStyle name="Comma 11 3 2 2 2 2 6 4 2 3" xfId="26863" xr:uid="{A6D8F07D-C719-426D-9931-8E24F4D582E0}"/>
    <cellStyle name="Comma 11 3 2 2 2 2 6 4 3" xfId="7511" xr:uid="{E728766D-9CD8-4044-BC83-B555B7973A6D}"/>
    <cellStyle name="Comma 11 3 2 2 2 2 6 4 3 2" xfId="22691" xr:uid="{3D4E8383-A0CE-48BC-9C20-04F3B175B7AE}"/>
    <cellStyle name="Comma 11 3 2 2 2 2 6 4 4" xfId="19403" xr:uid="{D1A3473C-05B0-4096-93E1-B21E689CCC43}"/>
    <cellStyle name="Comma 11 3 2 2 2 2 6 5" xfId="2260" xr:uid="{172D5410-2DD2-43F8-96D0-86928B233E5F}"/>
    <cellStyle name="Comma 11 3 2 2 2 2 6 5 2" xfId="9757" xr:uid="{F6AE6DD9-2BBC-4E9F-A470-18484A05FAD5}"/>
    <cellStyle name="Comma 11 3 2 2 2 2 6 5 2 2" xfId="24935" xr:uid="{FF83D8A4-7AAA-4340-A783-6F8AD948C65B}"/>
    <cellStyle name="Comma 11 3 2 2 2 2 6 5 3" xfId="17475" xr:uid="{96F69015-18BF-4C66-AA0E-9226A48A5303}"/>
    <cellStyle name="Comma 11 3 2 2 2 2 6 6" xfId="9243" xr:uid="{4405B656-B933-4D9B-BE31-548802723476}"/>
    <cellStyle name="Comma 11 3 2 2 2 2 6 6 2" xfId="13416" xr:uid="{9EBA971F-DFF7-46E6-8174-1297FC505053}"/>
    <cellStyle name="Comma 11 3 2 2 2 2 6 6 2 2" xfId="28593" xr:uid="{FE1C3DB2-85A3-4E91-BD34-585E033EA915}"/>
    <cellStyle name="Comma 11 3 2 2 2 2 6 6 3" xfId="24421" xr:uid="{0FA24E99-3837-4486-8FA9-59A5127E235F}"/>
    <cellStyle name="Comma 11 3 2 2 2 2 6 7" xfId="5583" xr:uid="{5C90CFAE-FA87-48AE-BA85-EE7AA93C2826}"/>
    <cellStyle name="Comma 11 3 2 2 2 2 6 7 2" xfId="20763" xr:uid="{28E7E2BC-AF54-4BDF-A39F-D717C5627C87}"/>
    <cellStyle name="Comma 11 3 2 2 2 2 6 8" xfId="16961" xr:uid="{819D175A-BC1E-433D-AFEA-90126C105F96}"/>
    <cellStyle name="Comma 11 3 2 2 2 2 7" xfId="2360" xr:uid="{FA9AD3A2-C860-49FB-8E18-63DC0FF2365F}"/>
    <cellStyle name="Comma 11 3 2 2 2 2 7 2" xfId="9855" xr:uid="{00C7F843-972A-4DED-A05C-15C4D4B86890}"/>
    <cellStyle name="Comma 11 3 2 2 2 2 7 2 2" xfId="13514" xr:uid="{029D1D99-B4B8-4D87-9D7F-B3564B2EE95D}"/>
    <cellStyle name="Comma 11 3 2 2 2 2 7 2 2 2" xfId="28691" xr:uid="{9A1067A1-9370-4C60-9073-AB319677D0D0}"/>
    <cellStyle name="Comma 11 3 2 2 2 2 7 2 3" xfId="25033" xr:uid="{9EF5536E-F5E2-46EC-80D0-42B1A944BD66}"/>
    <cellStyle name="Comma 11 3 2 2 2 2 7 3" xfId="5681" xr:uid="{6D55590D-F5A3-4AD5-8637-7C84D47EEF2D}"/>
    <cellStyle name="Comma 11 3 2 2 2 2 7 3 2" xfId="20861" xr:uid="{B2867FD0-1B0E-4D42-804F-66AA3683EAAA}"/>
    <cellStyle name="Comma 11 3 2 2 2 2 7 4" xfId="17573" xr:uid="{3BE431D6-0DDA-487C-890D-115E584AFEB1}"/>
    <cellStyle name="Comma 11 3 2 2 2 2 8" xfId="3250" xr:uid="{A52CA59E-8565-4872-BED5-E756274E9DE0}"/>
    <cellStyle name="Comma 11 3 2 2 2 2 8 2" xfId="10739" xr:uid="{B98654D0-C8A5-42F6-8908-F9C5F1D3F447}"/>
    <cellStyle name="Comma 11 3 2 2 2 2 8 2 2" xfId="14285" xr:uid="{E2D014B8-4C6A-45B2-8892-05B34FCE1605}"/>
    <cellStyle name="Comma 11 3 2 2 2 2 8 2 2 2" xfId="29462" xr:uid="{E30467EF-E706-43EE-BD7E-C99687259FD9}"/>
    <cellStyle name="Comma 11 3 2 2 2 2 8 2 3" xfId="25917" xr:uid="{71612ECA-90FC-4536-8EC7-5670C4F224A7}"/>
    <cellStyle name="Comma 11 3 2 2 2 2 8 3" xfId="6565" xr:uid="{BC7F9E54-EF5A-42CB-8B4B-332FFB005278}"/>
    <cellStyle name="Comma 11 3 2 2 2 2 8 3 2" xfId="21745" xr:uid="{64A8A682-628D-4168-A895-1FA9A955577F}"/>
    <cellStyle name="Comma 11 3 2 2 2 2 8 4" xfId="18457" xr:uid="{402A8FE0-BBE3-4DEC-8CFC-337E360DB1D3}"/>
    <cellStyle name="Comma 11 3 2 2 2 2 9" xfId="4201" xr:uid="{6FD65E28-2B32-4D71-86C3-DCAE1DFEE39D}"/>
    <cellStyle name="Comma 11 3 2 2 2 2 9 2" xfId="11686" xr:uid="{91B9CFEC-3D47-4FC4-8214-FB6D32BC6727}"/>
    <cellStyle name="Comma 11 3 2 2 2 2 9 2 2" xfId="15232" xr:uid="{D2B52548-26A0-43D1-A390-A2CF3B29DF9F}"/>
    <cellStyle name="Comma 11 3 2 2 2 2 9 2 2 2" xfId="30409" xr:uid="{6ECEC484-A550-4D90-9ECD-8D76BFA7A9CF}"/>
    <cellStyle name="Comma 11 3 2 2 2 2 9 2 3" xfId="26864" xr:uid="{B2234445-993E-44DD-9C18-3F4795BF9A7E}"/>
    <cellStyle name="Comma 11 3 2 2 2 2 9 3" xfId="7512" xr:uid="{FEA21AD6-237C-441F-855E-27B7BACB9026}"/>
    <cellStyle name="Comma 11 3 2 2 2 2 9 3 2" xfId="22692" xr:uid="{AD0391E8-AC67-495B-A2BA-B0AC79C8EEF8}"/>
    <cellStyle name="Comma 11 3 2 2 2 2 9 4" xfId="19404" xr:uid="{A2EB30F7-8D62-42E1-B299-B1BBC019B6A9}"/>
    <cellStyle name="Comma 11 3 2 2 2 3" xfId="918" xr:uid="{C8E626D5-289B-4A66-96A0-07CF3F99E62F}"/>
    <cellStyle name="Comma 11 3 2 2 2 3 2" xfId="2436" xr:uid="{F7D4CB97-7F26-48DE-9245-6CF3F46595E4}"/>
    <cellStyle name="Comma 11 3 2 2 2 3 2 2" xfId="9928" xr:uid="{DF9F2C87-CF5D-4024-BB56-95C59FD07623}"/>
    <cellStyle name="Comma 11 3 2 2 2 3 2 2 2" xfId="13587" xr:uid="{9BC75970-3436-44A4-AE29-EDC3BA7FA5C1}"/>
    <cellStyle name="Comma 11 3 2 2 2 3 2 2 2 2" xfId="28764" xr:uid="{CFA8669C-539A-4434-8BA7-88AA00E8B0EF}"/>
    <cellStyle name="Comma 11 3 2 2 2 3 2 2 3" xfId="25106" xr:uid="{FAE52DAF-DC34-4ED4-8C19-4AD6115BF142}"/>
    <cellStyle name="Comma 11 3 2 2 2 3 2 3" xfId="5754" xr:uid="{6C5935E1-9B2B-482D-9549-862BDEA205E4}"/>
    <cellStyle name="Comma 11 3 2 2 2 3 2 3 2" xfId="20934" xr:uid="{8C10882E-5123-4438-A636-6087708F7C0E}"/>
    <cellStyle name="Comma 11 3 2 2 2 3 2 4" xfId="17646" xr:uid="{E66C8133-D0BE-4DC4-8ADF-2293B2469294}"/>
    <cellStyle name="Comma 11 3 2 2 2 3 3" xfId="3324" xr:uid="{31E1ECE3-393F-4DD9-9A69-6BBD2E96F462}"/>
    <cellStyle name="Comma 11 3 2 2 2 3 3 2" xfId="10812" xr:uid="{C5B7E012-CCC5-43E5-BE27-2A8EB7C16578}"/>
    <cellStyle name="Comma 11 3 2 2 2 3 3 2 2" xfId="14358" xr:uid="{9966DCD4-5155-4FB2-B1E6-42A559009AAD}"/>
    <cellStyle name="Comma 11 3 2 2 2 3 3 2 2 2" xfId="29535" xr:uid="{2C663241-F511-469A-B1D9-D6C3D69FC0AB}"/>
    <cellStyle name="Comma 11 3 2 2 2 3 3 2 3" xfId="25990" xr:uid="{4B98E648-9AAB-4972-9159-B7B6DC7EA0E8}"/>
    <cellStyle name="Comma 11 3 2 2 2 3 3 3" xfId="6638" xr:uid="{EF364CD8-5B3B-4D9C-B494-45C4F9E5147B}"/>
    <cellStyle name="Comma 11 3 2 2 2 3 3 3 2" xfId="21818" xr:uid="{E4E2B18A-3509-4007-877E-864ED2CECF96}"/>
    <cellStyle name="Comma 11 3 2 2 2 3 3 4" xfId="18530" xr:uid="{915C4F28-4698-404A-93A8-A3A9499117B6}"/>
    <cellStyle name="Comma 11 3 2 2 2 3 4" xfId="4202" xr:uid="{9ABF2974-97B1-48CA-B879-ECF1F56D8D06}"/>
    <cellStyle name="Comma 11 3 2 2 2 3 4 2" xfId="11687" xr:uid="{3D5E5476-0F2A-4541-A012-8BAB5B5AF901}"/>
    <cellStyle name="Comma 11 3 2 2 2 3 4 2 2" xfId="15233" xr:uid="{D27F7224-98AE-4A0D-A3FB-34B600C00ED1}"/>
    <cellStyle name="Comma 11 3 2 2 2 3 4 2 2 2" xfId="30410" xr:uid="{829936DC-49A6-48CA-B98C-3370DF10E1B4}"/>
    <cellStyle name="Comma 11 3 2 2 2 3 4 2 3" xfId="26865" xr:uid="{1AA0DB33-09EA-4139-8FCD-FC236A3056EF}"/>
    <cellStyle name="Comma 11 3 2 2 2 3 4 3" xfId="7513" xr:uid="{76B9613A-C263-49A3-B55C-A41DA84B4E55}"/>
    <cellStyle name="Comma 11 3 2 2 2 3 4 3 2" xfId="22693" xr:uid="{FBB5B66B-5635-4930-9340-BDB9560B961A}"/>
    <cellStyle name="Comma 11 3 2 2 2 3 4 4" xfId="19405" xr:uid="{62C87B58-F394-47DC-AAD1-56EEE40E3BB0}"/>
    <cellStyle name="Comma 11 3 2 2 2 3 5" xfId="8530" xr:uid="{24D6E450-7642-438D-A4EE-4DBC25FC49A9}"/>
    <cellStyle name="Comma 11 3 2 2 2 3 5 2" xfId="12703" xr:uid="{6DDB3362-E1D4-41BF-B269-72F3C7508D68}"/>
    <cellStyle name="Comma 11 3 2 2 2 3 5 2 2" xfId="27880" xr:uid="{0226998C-5381-4711-BB94-74E51DE9957B}"/>
    <cellStyle name="Comma 11 3 2 2 2 3 5 3" xfId="23708" xr:uid="{3FD302B0-318E-49B1-BFA3-E54C00296B27}"/>
    <cellStyle name="Comma 11 3 2 2 2 3 6" xfId="16248" xr:uid="{812C992E-CD18-4ADF-B98D-1B5F58AD947D}"/>
    <cellStyle name="Comma 11 3 2 2 2 3 7" xfId="31688" xr:uid="{E31A5DB2-0DBF-4535-AE47-57C12F77A6DC}"/>
    <cellStyle name="Comma 11 3 2 2 2 4" xfId="1021" xr:uid="{4FF77F2D-3A2F-4B19-BA87-49A308066CF5}"/>
    <cellStyle name="Comma 11 3 2 2 2 4 2" xfId="2534" xr:uid="{88BD382A-8F4C-4DBE-A001-61A8BD766A17}"/>
    <cellStyle name="Comma 11 3 2 2 2 4 2 2" xfId="10026" xr:uid="{7783DA7C-3AA5-4F49-B547-2725BFC0128A}"/>
    <cellStyle name="Comma 11 3 2 2 2 4 2 2 2" xfId="13685" xr:uid="{A0CD49D0-1B79-4883-B71D-AFD674A0F188}"/>
    <cellStyle name="Comma 11 3 2 2 2 4 2 2 2 2" xfId="28862" xr:uid="{DD0C8592-D089-4F9F-A583-90D443023DF2}"/>
    <cellStyle name="Comma 11 3 2 2 2 4 2 2 3" xfId="25204" xr:uid="{A2B349C0-140B-4CFC-84AA-F1BA585A22BA}"/>
    <cellStyle name="Comma 11 3 2 2 2 4 2 3" xfId="5852" xr:uid="{5B827252-DDE4-4E92-8D6B-78E16C3BD4FB}"/>
    <cellStyle name="Comma 11 3 2 2 2 4 2 3 2" xfId="21032" xr:uid="{FB72D477-E66F-4A4B-9CA7-3151D23EB525}"/>
    <cellStyle name="Comma 11 3 2 2 2 4 2 4" xfId="17744" xr:uid="{EFFB70D4-A500-4612-9634-D442FFF829D8}"/>
    <cellStyle name="Comma 11 3 2 2 2 4 3" xfId="3422" xr:uid="{E079C110-6F3F-48BC-826B-AD0B3F52C965}"/>
    <cellStyle name="Comma 11 3 2 2 2 4 3 2" xfId="10910" xr:uid="{986FD567-0C15-496B-8AC3-5AC233F4A555}"/>
    <cellStyle name="Comma 11 3 2 2 2 4 3 2 2" xfId="14456" xr:uid="{83121292-33D8-4E89-A2B9-9631E998C9A3}"/>
    <cellStyle name="Comma 11 3 2 2 2 4 3 2 2 2" xfId="29633" xr:uid="{9A291EFD-5415-46B5-BAF4-B88AB5100D22}"/>
    <cellStyle name="Comma 11 3 2 2 2 4 3 2 3" xfId="26088" xr:uid="{DC643881-7706-4E15-BE56-8BBBD2A1143C}"/>
    <cellStyle name="Comma 11 3 2 2 2 4 3 3" xfId="6736" xr:uid="{E356ACA6-56B8-4B7C-91D4-060C28C99860}"/>
    <cellStyle name="Comma 11 3 2 2 2 4 3 3 2" xfId="21916" xr:uid="{98246D3E-A4FF-40C8-8487-A7AA5D685621}"/>
    <cellStyle name="Comma 11 3 2 2 2 4 3 4" xfId="18628" xr:uid="{55F8CD66-7CE7-4864-ABD0-60ACC047EBA7}"/>
    <cellStyle name="Comma 11 3 2 2 2 4 4" xfId="4203" xr:uid="{A53B3FE1-351C-43A5-91BC-12AA53AF03A4}"/>
    <cellStyle name="Comma 11 3 2 2 2 4 4 2" xfId="11688" xr:uid="{78644DE3-07F3-4EBC-A43B-72F25C89F486}"/>
    <cellStyle name="Comma 11 3 2 2 2 4 4 2 2" xfId="15234" xr:uid="{9AB0D667-3EEF-48F7-A25D-50BF1802C2DA}"/>
    <cellStyle name="Comma 11 3 2 2 2 4 4 2 2 2" xfId="30411" xr:uid="{624B3651-1B48-409E-A31F-596413C4C64A}"/>
    <cellStyle name="Comma 11 3 2 2 2 4 4 2 3" xfId="26866" xr:uid="{60FA25E3-C301-480C-A3F6-28F06689F027}"/>
    <cellStyle name="Comma 11 3 2 2 2 4 4 3" xfId="7514" xr:uid="{6D5C3F80-1A20-4B31-8974-76326D47A5BF}"/>
    <cellStyle name="Comma 11 3 2 2 2 4 4 3 2" xfId="22694" xr:uid="{3D1162B0-6667-49BA-B372-5BED54CF5FA9}"/>
    <cellStyle name="Comma 11 3 2 2 2 4 4 4" xfId="19406" xr:uid="{00B9389E-85C1-49FB-99BE-68A5720CBDE0}"/>
    <cellStyle name="Comma 11 3 2 2 2 4 5" xfId="8628" xr:uid="{8CD10DAD-13FC-4C9E-9C65-B097B1907D8F}"/>
    <cellStyle name="Comma 11 3 2 2 2 4 5 2" xfId="12801" xr:uid="{098662A9-B76A-4F21-8CB5-2134DA959015}"/>
    <cellStyle name="Comma 11 3 2 2 2 4 5 2 2" xfId="27978" xr:uid="{0F84A1D9-FC87-4089-8354-B1F7227CCA85}"/>
    <cellStyle name="Comma 11 3 2 2 2 4 5 3" xfId="23806" xr:uid="{282B2A8A-805A-4AD4-9379-136451CCEDF7}"/>
    <cellStyle name="Comma 11 3 2 2 2 4 6" xfId="16346" xr:uid="{4135F65F-D211-4327-BE11-0082A9B0E9D9}"/>
    <cellStyle name="Comma 11 3 2 2 2 4 7" xfId="31566" xr:uid="{539A487C-195C-4F3C-BE93-122CFCF9C1CF}"/>
    <cellStyle name="Comma 11 3 2 2 2 5" xfId="1279" xr:uid="{DCC394A8-585D-433D-9F6E-B935298A2D92}"/>
    <cellStyle name="Comma 11 3 2 2 2 5 10" xfId="31338" xr:uid="{F85278DE-4501-47D6-94A7-FD14318183C4}"/>
    <cellStyle name="Comma 11 3 2 2 2 5 2" xfId="2709" xr:uid="{BA8CAB6A-5355-4B37-B2FA-116A9E883AB7}"/>
    <cellStyle name="Comma 11 3 2 2 2 5 2 2" xfId="10200" xr:uid="{71488B71-3210-498D-99D3-AE8F69139466}"/>
    <cellStyle name="Comma 11 3 2 2 2 5 2 2 2" xfId="13844" xr:uid="{15361642-EE61-45B4-BA72-CFBCA3358F18}"/>
    <cellStyle name="Comma 11 3 2 2 2 5 2 2 2 2" xfId="29021" xr:uid="{B2800005-5456-4907-A2C7-C5B8E3CA54BF}"/>
    <cellStyle name="Comma 11 3 2 2 2 5 2 2 3" xfId="25378" xr:uid="{0991A207-C000-4B36-A415-3ACC2BF56471}"/>
    <cellStyle name="Comma 11 3 2 2 2 5 2 3" xfId="6026" xr:uid="{F5231E39-1EFF-4307-9856-52E6A31A4925}"/>
    <cellStyle name="Comma 11 3 2 2 2 5 2 3 2" xfId="21206" xr:uid="{39FA86EC-1115-4AD7-94EB-0981C1BED89D}"/>
    <cellStyle name="Comma 11 3 2 2 2 5 2 4" xfId="17918" xr:uid="{18CAFDA3-6C73-42CF-8952-C13E2BF81408}"/>
    <cellStyle name="Comma 11 3 2 2 2 5 3" xfId="3596" xr:uid="{9BF9AEB3-8710-419A-9825-5F845CA37005}"/>
    <cellStyle name="Comma 11 3 2 2 2 5 3 2" xfId="11084" xr:uid="{D4A02572-B0A7-4AD7-9FFC-0AB5D5FF75E1}"/>
    <cellStyle name="Comma 11 3 2 2 2 5 3 2 2" xfId="14630" xr:uid="{CEA57F87-252A-448F-98DF-CAD4F76BC060}"/>
    <cellStyle name="Comma 11 3 2 2 2 5 3 2 2 2" xfId="29807" xr:uid="{0A16594D-3CE3-4EC3-9B18-11076388F961}"/>
    <cellStyle name="Comma 11 3 2 2 2 5 3 2 3" xfId="26262" xr:uid="{A04DB52B-33E2-41C6-BD3F-9F9DFF86C02D}"/>
    <cellStyle name="Comma 11 3 2 2 2 5 3 3" xfId="6910" xr:uid="{B79C71FD-FEE6-43D9-BBED-B234D81A9822}"/>
    <cellStyle name="Comma 11 3 2 2 2 5 3 3 2" xfId="22090" xr:uid="{D3EB9404-12C5-4543-9DDB-714C6D838ED0}"/>
    <cellStyle name="Comma 11 3 2 2 2 5 3 4" xfId="18802" xr:uid="{787494ED-F80F-4160-B172-99456B8622E7}"/>
    <cellStyle name="Comma 11 3 2 2 2 5 4" xfId="4204" xr:uid="{7A0384FF-67DD-4511-9B4E-A17E48F70C5B}"/>
    <cellStyle name="Comma 11 3 2 2 2 5 4 2" xfId="11689" xr:uid="{94B216AC-C17A-4A49-AC3B-01AE15101E16}"/>
    <cellStyle name="Comma 11 3 2 2 2 5 4 2 2" xfId="15235" xr:uid="{2B87C0B7-7626-4CC5-B472-E68D2CAD6D1F}"/>
    <cellStyle name="Comma 11 3 2 2 2 5 4 2 2 2" xfId="30412" xr:uid="{C44E298E-AE36-4BAE-8F01-ACEBEB6DB848}"/>
    <cellStyle name="Comma 11 3 2 2 2 5 4 2 3" xfId="26867" xr:uid="{35CC1A65-0701-4532-BA3D-8B9B72EDBC1E}"/>
    <cellStyle name="Comma 11 3 2 2 2 5 4 3" xfId="7515" xr:uid="{935C463C-BB48-4FA8-A9C7-10458E73A6BC}"/>
    <cellStyle name="Comma 11 3 2 2 2 5 4 3 2" xfId="22695" xr:uid="{DE014993-DDED-45DC-836D-E8A29CD796A3}"/>
    <cellStyle name="Comma 11 3 2 2 2 5 4 4" xfId="19407" xr:uid="{4FFD5620-7155-4862-BC74-994CFC3DBAC0}"/>
    <cellStyle name="Comma 11 3 2 2 2 5 5" xfId="4998" xr:uid="{BDAA05A8-24F5-4198-8F36-9DE52BEE9FCE}"/>
    <cellStyle name="Comma 11 3 2 2 2 5 5 2" xfId="12482" xr:uid="{D6527D61-AB55-4D29-B8AB-7C9C680A6459}"/>
    <cellStyle name="Comma 11 3 2 2 2 5 5 2 2" xfId="16028" xr:uid="{F1BF5A12-5AA5-43A1-B40F-125D3B26BE4B}"/>
    <cellStyle name="Comma 11 3 2 2 2 5 5 2 2 2" xfId="31205" xr:uid="{91D0C484-58F9-4859-8E6B-12D1DD9EE4F8}"/>
    <cellStyle name="Comma 11 3 2 2 2 5 5 2 3" xfId="27660" xr:uid="{2CE473C9-A67E-43E0-86AE-23B9B8CED242}"/>
    <cellStyle name="Comma 11 3 2 2 2 5 5 3" xfId="8308" xr:uid="{65941122-2BB7-44F9-A7D9-D6C16554E052}"/>
    <cellStyle name="Comma 11 3 2 2 2 5 5 3 2" xfId="23488" xr:uid="{FE7276F0-EF20-4571-8D9A-245644EF94FC}"/>
    <cellStyle name="Comma 11 3 2 2 2 5 5 4" xfId="20200" xr:uid="{20BC21A0-1EB9-4CAD-A0B1-97183F83A979}"/>
    <cellStyle name="Comma 11 3 2 2 2 5 6" xfId="1819" xr:uid="{2AA7B945-3FA7-412B-924C-71B016D6D3D4}"/>
    <cellStyle name="Comma 11 3 2 2 2 5 6 2" xfId="9316" xr:uid="{6F4ADCAE-B004-4E26-AB46-5844DB915CFB}"/>
    <cellStyle name="Comma 11 3 2 2 2 5 6 2 2" xfId="24494" xr:uid="{96B43C6B-38CB-484E-AD9E-5743208A6782}"/>
    <cellStyle name="Comma 11 3 2 2 2 5 6 3" xfId="17034" xr:uid="{5A2D952A-958F-4346-ADA9-CBE049A21F33}"/>
    <cellStyle name="Comma 11 3 2 2 2 5 7" xfId="8802" xr:uid="{87978677-C4A5-4252-BEBF-8E7DEA3C41C9}"/>
    <cellStyle name="Comma 11 3 2 2 2 5 7 2" xfId="12975" xr:uid="{43BA939C-626F-4030-82CE-3C6A71641BFC}"/>
    <cellStyle name="Comma 11 3 2 2 2 5 7 2 2" xfId="28152" xr:uid="{687D56AE-71DE-4731-99D9-E115F1347CA8}"/>
    <cellStyle name="Comma 11 3 2 2 2 5 7 3" xfId="23980" xr:uid="{56B4CC2E-057E-491C-BC58-3F146F888476}"/>
    <cellStyle name="Comma 11 3 2 2 2 5 8" xfId="5142" xr:uid="{D5B7B515-F5A4-4D54-9290-3B2DA8B290E1}"/>
    <cellStyle name="Comma 11 3 2 2 2 5 8 2" xfId="20322" xr:uid="{C82EB6AA-5E25-4534-8E57-DC853A6C9332}"/>
    <cellStyle name="Comma 11 3 2 2 2 5 9" xfId="16520" xr:uid="{EE3AB58A-A182-4FBA-8D80-C7141A168CD4}"/>
    <cellStyle name="Comma 11 3 2 2 2 6" xfId="1381" xr:uid="{CA2AEB60-EB3E-4719-88B4-08C9FC8D0378}"/>
    <cellStyle name="Comma 11 3 2 2 2 6 2" xfId="2807" xr:uid="{4DC70EBF-C55B-499F-9668-9D3765E06CCA}"/>
    <cellStyle name="Comma 11 3 2 2 2 6 2 2" xfId="10298" xr:uid="{E4511312-F008-421C-BC61-22249D1650B9}"/>
    <cellStyle name="Comma 11 3 2 2 2 6 2 2 2" xfId="13893" xr:uid="{D95B9407-7D9C-40DB-91E0-4911D7B040BD}"/>
    <cellStyle name="Comma 11 3 2 2 2 6 2 2 2 2" xfId="29070" xr:uid="{620F7CA8-AFF6-4FBB-8A9E-00068768A4DC}"/>
    <cellStyle name="Comma 11 3 2 2 2 6 2 2 3" xfId="25476" xr:uid="{EC8D6B29-71A3-47A3-AD53-FD7C8BF7EC5A}"/>
    <cellStyle name="Comma 11 3 2 2 2 6 2 3" xfId="6124" xr:uid="{0E39FE6B-B34A-490D-B51A-A018AEFCA4B2}"/>
    <cellStyle name="Comma 11 3 2 2 2 6 2 3 2" xfId="21304" xr:uid="{1FDEB63E-A6BE-431E-94F3-FB55E77F6A02}"/>
    <cellStyle name="Comma 11 3 2 2 2 6 2 4" xfId="18016" xr:uid="{BAAFC2C5-487C-48E8-ACEE-6A4C0524EA22}"/>
    <cellStyle name="Comma 11 3 2 2 2 6 3" xfId="3694" xr:uid="{6359A6E3-478B-4DF1-9B44-26963CA4D52C}"/>
    <cellStyle name="Comma 11 3 2 2 2 6 3 2" xfId="11182" xr:uid="{27005668-5C24-4E1B-A32B-F702AE30E56E}"/>
    <cellStyle name="Comma 11 3 2 2 2 6 3 2 2" xfId="14728" xr:uid="{6A5C8436-E158-422B-A36F-0375046B5A20}"/>
    <cellStyle name="Comma 11 3 2 2 2 6 3 2 2 2" xfId="29905" xr:uid="{8BE8CA6F-FB20-4297-9DEC-C161A5E46559}"/>
    <cellStyle name="Comma 11 3 2 2 2 6 3 2 3" xfId="26360" xr:uid="{7876E2C0-F584-486B-A89D-B21502572F25}"/>
    <cellStyle name="Comma 11 3 2 2 2 6 3 3" xfId="7008" xr:uid="{093112E1-EE2F-4DD6-B317-6DEEEA647FE9}"/>
    <cellStyle name="Comma 11 3 2 2 2 6 3 3 2" xfId="22188" xr:uid="{F42AD70C-8709-498F-9344-9D12EE6A78C2}"/>
    <cellStyle name="Comma 11 3 2 2 2 6 3 4" xfId="18900" xr:uid="{CB549688-D9CE-49A5-9D77-4B0FEBFC50AE}"/>
    <cellStyle name="Comma 11 3 2 2 2 6 4" xfId="4205" xr:uid="{DB1860AC-4C3B-433E-A438-8916EC758914}"/>
    <cellStyle name="Comma 11 3 2 2 2 6 4 2" xfId="11690" xr:uid="{2BB17622-64CF-425C-AE0F-7E23343D6A13}"/>
    <cellStyle name="Comma 11 3 2 2 2 6 4 2 2" xfId="15236" xr:uid="{66407FE4-E6AC-4AA7-92AD-4DE6376C683E}"/>
    <cellStyle name="Comma 11 3 2 2 2 6 4 2 2 2" xfId="30413" xr:uid="{92289107-747C-4364-B119-5E74C27C5BC8}"/>
    <cellStyle name="Comma 11 3 2 2 2 6 4 2 3" xfId="26868" xr:uid="{A21F6A40-4F93-4E19-953C-3A496A9137AB}"/>
    <cellStyle name="Comma 11 3 2 2 2 6 4 3" xfId="7516" xr:uid="{0370A068-343A-43E0-BE46-75E9494DBB8C}"/>
    <cellStyle name="Comma 11 3 2 2 2 6 4 3 2" xfId="22696" xr:uid="{23DE9860-FAC5-4ECE-93D3-F7D905E96A0B}"/>
    <cellStyle name="Comma 11 3 2 2 2 6 4 4" xfId="19408" xr:uid="{6BACA07D-22AE-4348-9057-68445AD24035}"/>
    <cellStyle name="Comma 11 3 2 2 2 6 5" xfId="1917" xr:uid="{EE84530A-0C72-479B-8776-E3377AFF9A19}"/>
    <cellStyle name="Comma 11 3 2 2 2 6 5 2" xfId="9414" xr:uid="{E881B1BE-B11F-42B0-990F-CC2E20627B83}"/>
    <cellStyle name="Comma 11 3 2 2 2 6 5 2 2" xfId="24592" xr:uid="{2CA4FF02-1352-46FB-A016-158A6A54D8CB}"/>
    <cellStyle name="Comma 11 3 2 2 2 6 5 3" xfId="17132" xr:uid="{0FACC4D5-677B-441F-94D6-9A0568294875}"/>
    <cellStyle name="Comma 11 3 2 2 2 6 6" xfId="8900" xr:uid="{08E91ABD-B5D0-4713-B351-8D788AB5027F}"/>
    <cellStyle name="Comma 11 3 2 2 2 6 6 2" xfId="13073" xr:uid="{0D1E39E3-8110-4EBA-8DB6-E132089F491E}"/>
    <cellStyle name="Comma 11 3 2 2 2 6 6 2 2" xfId="28250" xr:uid="{82604150-9CEA-498D-A786-C14167FE1C09}"/>
    <cellStyle name="Comma 11 3 2 2 2 6 6 3" xfId="24078" xr:uid="{2C591CFC-40EE-4BE3-B9E8-A0DBF7A3D12E}"/>
    <cellStyle name="Comma 11 3 2 2 2 6 7" xfId="5240" xr:uid="{C28A15E4-D53B-4064-8C1A-F09C91C19E95}"/>
    <cellStyle name="Comma 11 3 2 2 2 6 7 2" xfId="20420" xr:uid="{D216BABA-A2C2-4ED3-9DA4-1EE69FD83B00}"/>
    <cellStyle name="Comma 11 3 2 2 2 6 8" xfId="16618" xr:uid="{91DCACF3-1C05-4D2B-8CCA-A9943916675D}"/>
    <cellStyle name="Comma 11 3 2 2 2 7" xfId="1480" xr:uid="{9F16AA9C-2BC6-4626-8131-3DF1B90078C7}"/>
    <cellStyle name="Comma 11 3 2 2 2 7 2" xfId="2905" xr:uid="{FECCED0E-9C2E-46AE-9A3A-F8A4343752DC}"/>
    <cellStyle name="Comma 11 3 2 2 2 7 2 2" xfId="10396" xr:uid="{083A21E9-A4F9-4943-A5EA-A5F849CDC3BB}"/>
    <cellStyle name="Comma 11 3 2 2 2 7 2 2 2" xfId="13942" xr:uid="{AAE35E9A-5935-4977-8BAA-0634864DA64D}"/>
    <cellStyle name="Comma 11 3 2 2 2 7 2 2 2 2" xfId="29119" xr:uid="{82FDCE61-5CBD-47EC-BC89-BE97CDC2DCEF}"/>
    <cellStyle name="Comma 11 3 2 2 2 7 2 2 3" xfId="25574" xr:uid="{5FDA202F-A9E9-4A1B-B5F8-D878C342A82B}"/>
    <cellStyle name="Comma 11 3 2 2 2 7 2 3" xfId="6222" xr:uid="{ED12BBC5-6368-40B3-8DE9-59F9D83896CE}"/>
    <cellStyle name="Comma 11 3 2 2 2 7 2 3 2" xfId="21402" xr:uid="{40DB0EB5-D0A1-4652-8168-7BA28B7D3047}"/>
    <cellStyle name="Comma 11 3 2 2 2 7 2 4" xfId="18114" xr:uid="{1DBE5BB6-AAFB-4800-94B4-A9D66EF990D8}"/>
    <cellStyle name="Comma 11 3 2 2 2 7 3" xfId="3792" xr:uid="{4F349F25-E579-4747-A211-A6FA3B6E75B4}"/>
    <cellStyle name="Comma 11 3 2 2 2 7 3 2" xfId="11280" xr:uid="{23A8EBCB-9185-4FB9-84A8-CBFE8AB8B2BF}"/>
    <cellStyle name="Comma 11 3 2 2 2 7 3 2 2" xfId="14826" xr:uid="{5B70892B-EA58-467E-ADBC-9D90230C5EA4}"/>
    <cellStyle name="Comma 11 3 2 2 2 7 3 2 2 2" xfId="30003" xr:uid="{F922F224-06C6-4E8A-A797-2EFA22B0FEE5}"/>
    <cellStyle name="Comma 11 3 2 2 2 7 3 2 3" xfId="26458" xr:uid="{5B9CBE0F-C084-4039-AC9B-95239549A45F}"/>
    <cellStyle name="Comma 11 3 2 2 2 7 3 3" xfId="7106" xr:uid="{120BBCB3-8A6D-4B72-87BA-53C6D38F22BC}"/>
    <cellStyle name="Comma 11 3 2 2 2 7 3 3 2" xfId="22286" xr:uid="{7417CF17-306E-4654-8BAC-C7C520C5DD24}"/>
    <cellStyle name="Comma 11 3 2 2 2 7 3 4" xfId="18998" xr:uid="{6BDE9705-FC58-437A-90DE-AAE4E41882BB}"/>
    <cellStyle name="Comma 11 3 2 2 2 7 4" xfId="4206" xr:uid="{9DFE6587-3870-4E17-A668-C85B4C90183C}"/>
    <cellStyle name="Comma 11 3 2 2 2 7 4 2" xfId="11691" xr:uid="{D92D75FB-FA05-4053-9408-F95FCCA41153}"/>
    <cellStyle name="Comma 11 3 2 2 2 7 4 2 2" xfId="15237" xr:uid="{386E7B93-E842-4CD6-A6D1-AE0599152DE6}"/>
    <cellStyle name="Comma 11 3 2 2 2 7 4 2 2 2" xfId="30414" xr:uid="{390A630D-EC0D-4D31-BCFB-66578F6DF601}"/>
    <cellStyle name="Comma 11 3 2 2 2 7 4 2 3" xfId="26869" xr:uid="{8BD3C3FE-B8FF-4B3B-B960-D2847E59136D}"/>
    <cellStyle name="Comma 11 3 2 2 2 7 4 3" xfId="7517" xr:uid="{7B2D2B63-FD2E-4F1D-B0E6-3E28B290848D}"/>
    <cellStyle name="Comma 11 3 2 2 2 7 4 3 2" xfId="22697" xr:uid="{79B0D842-E58C-4F43-860B-43DDF616426A}"/>
    <cellStyle name="Comma 11 3 2 2 2 7 4 4" xfId="19409" xr:uid="{B4E6D156-51F0-461E-B12D-3F9BA41EE1A4}"/>
    <cellStyle name="Comma 11 3 2 2 2 7 5" xfId="2015" xr:uid="{CB4233E5-AB9E-415D-91B8-0FE8BABA7F5A}"/>
    <cellStyle name="Comma 11 3 2 2 2 7 5 2" xfId="9512" xr:uid="{572E70DC-5692-4921-8311-ADFA0B5721E2}"/>
    <cellStyle name="Comma 11 3 2 2 2 7 5 2 2" xfId="24690" xr:uid="{89CA0B00-16A6-411C-BCD8-782F04F3092C}"/>
    <cellStyle name="Comma 11 3 2 2 2 7 5 3" xfId="17230" xr:uid="{4D17BE30-87DC-46C7-9852-7BC1782BECAB}"/>
    <cellStyle name="Comma 11 3 2 2 2 7 6" xfId="8998" xr:uid="{B3694663-640E-45E2-8748-389DD2D17A05}"/>
    <cellStyle name="Comma 11 3 2 2 2 7 6 2" xfId="13171" xr:uid="{79983882-131A-4043-B216-0FA7F238A00A}"/>
    <cellStyle name="Comma 11 3 2 2 2 7 6 2 2" xfId="28348" xr:uid="{3F2BDA80-E4A7-42D3-9B4B-6A7A8CE5CEB9}"/>
    <cellStyle name="Comma 11 3 2 2 2 7 6 3" xfId="24176" xr:uid="{09882F5C-B2E8-4518-8A12-B80CBB70D7ED}"/>
    <cellStyle name="Comma 11 3 2 2 2 7 7" xfId="5338" xr:uid="{4038C720-7DAB-40AD-B453-8821AF65BEBF}"/>
    <cellStyle name="Comma 11 3 2 2 2 7 7 2" xfId="20518" xr:uid="{2F059D27-7C48-4F55-B0E6-72B97C629CFF}"/>
    <cellStyle name="Comma 11 3 2 2 2 7 8" xfId="16716" xr:uid="{D9ACC8AC-6722-4B57-80CD-988AB74FF394}"/>
    <cellStyle name="Comma 11 3 2 2 2 8" xfId="1583" xr:uid="{8FDD6FA1-7D7F-4FC6-8B3E-229467846A38}"/>
    <cellStyle name="Comma 11 3 2 2 2 8 2" xfId="3003" xr:uid="{DCE09664-A989-4E20-8E41-8445652ABB53}"/>
    <cellStyle name="Comma 11 3 2 2 2 8 2 2" xfId="10494" xr:uid="{9C345805-29E3-4CFF-A6AD-3326237A303E}"/>
    <cellStyle name="Comma 11 3 2 2 2 8 2 2 2" xfId="14040" xr:uid="{03FD1D01-6013-4831-A665-CDD9545CA17E}"/>
    <cellStyle name="Comma 11 3 2 2 2 8 2 2 2 2" xfId="29217" xr:uid="{BF9469AB-B919-4977-A9F6-A2E2A3F18102}"/>
    <cellStyle name="Comma 11 3 2 2 2 8 2 2 3" xfId="25672" xr:uid="{6E6915B2-06AD-4122-A779-46C50A8BE648}"/>
    <cellStyle name="Comma 11 3 2 2 2 8 2 3" xfId="6320" xr:uid="{A9787114-A8E2-4B5C-B166-4D79F9889551}"/>
    <cellStyle name="Comma 11 3 2 2 2 8 2 3 2" xfId="21500" xr:uid="{6BF3C819-658C-4DA8-A2B1-0CA2A98B40C5}"/>
    <cellStyle name="Comma 11 3 2 2 2 8 2 4" xfId="18212" xr:uid="{880BB156-7191-49BD-902A-B5880EE173F4}"/>
    <cellStyle name="Comma 11 3 2 2 2 8 3" xfId="3890" xr:uid="{98547B61-1621-4662-8EEA-F555838C46E2}"/>
    <cellStyle name="Comma 11 3 2 2 2 8 3 2" xfId="11378" xr:uid="{E4609A93-5DDA-4E15-B788-99D6D40EB513}"/>
    <cellStyle name="Comma 11 3 2 2 2 8 3 2 2" xfId="14924" xr:uid="{EEFC23E5-FC39-42E1-90CB-9C9D260BF203}"/>
    <cellStyle name="Comma 11 3 2 2 2 8 3 2 2 2" xfId="30101" xr:uid="{6ED36D3C-D3C4-4AC4-B247-73FB0AE7BE44}"/>
    <cellStyle name="Comma 11 3 2 2 2 8 3 2 3" xfId="26556" xr:uid="{CF7876B7-F234-4501-999C-B498480F6C06}"/>
    <cellStyle name="Comma 11 3 2 2 2 8 3 3" xfId="7204" xr:uid="{CC6A93FD-995E-4D9C-BF2C-372FC865A4D3}"/>
    <cellStyle name="Comma 11 3 2 2 2 8 3 3 2" xfId="22384" xr:uid="{5339719A-B1F4-4880-BC2E-A23EFBB226D0}"/>
    <cellStyle name="Comma 11 3 2 2 2 8 3 4" xfId="19096" xr:uid="{B5FC0793-FA1C-4FAB-BE96-BF1691F72F13}"/>
    <cellStyle name="Comma 11 3 2 2 2 8 4" xfId="4207" xr:uid="{F6FE95FE-61BA-4E08-859F-4DE85C06821F}"/>
    <cellStyle name="Comma 11 3 2 2 2 8 4 2" xfId="11692" xr:uid="{AE4635CA-BA48-4093-A4E2-B25C062B34AB}"/>
    <cellStyle name="Comma 11 3 2 2 2 8 4 2 2" xfId="15238" xr:uid="{1A863991-20D9-4DDA-A10C-55D926A57D20}"/>
    <cellStyle name="Comma 11 3 2 2 2 8 4 2 2 2" xfId="30415" xr:uid="{C22CECE1-0D48-4954-92ED-DCFDAD54F6B2}"/>
    <cellStyle name="Comma 11 3 2 2 2 8 4 2 3" xfId="26870" xr:uid="{BC989F0C-661F-4983-B8DC-A1FA422BA088}"/>
    <cellStyle name="Comma 11 3 2 2 2 8 4 3" xfId="7518" xr:uid="{4DAA6449-5BFD-46D3-8448-1D920A8512F9}"/>
    <cellStyle name="Comma 11 3 2 2 2 8 4 3 2" xfId="22698" xr:uid="{20CD6196-EF0F-4C48-9B08-121064AF4082}"/>
    <cellStyle name="Comma 11 3 2 2 2 8 4 4" xfId="19410" xr:uid="{6A8F1DDA-C1EB-42A3-94A3-62F24481A472}"/>
    <cellStyle name="Comma 11 3 2 2 2 8 5" xfId="2113" xr:uid="{75F94F4F-2616-41D6-B212-235BD7664A3F}"/>
    <cellStyle name="Comma 11 3 2 2 2 8 5 2" xfId="9610" xr:uid="{8809516F-E90B-4FBB-A4A8-F1E8E88A540E}"/>
    <cellStyle name="Comma 11 3 2 2 2 8 5 2 2" xfId="24788" xr:uid="{A7EDFC1B-26B3-4407-BEBB-873118024F36}"/>
    <cellStyle name="Comma 11 3 2 2 2 8 5 3" xfId="17328" xr:uid="{F5859AD6-2125-4A45-9A98-8000A51DF16F}"/>
    <cellStyle name="Comma 11 3 2 2 2 8 6" xfId="9096" xr:uid="{15B78EE7-39F8-418B-9F19-D0551A0CA1CA}"/>
    <cellStyle name="Comma 11 3 2 2 2 8 6 2" xfId="13269" xr:uid="{88561CF9-9F74-43E3-88C7-572AC5573227}"/>
    <cellStyle name="Comma 11 3 2 2 2 8 6 2 2" xfId="28446" xr:uid="{2D6E326F-627D-415A-AAEC-A4CB73971868}"/>
    <cellStyle name="Comma 11 3 2 2 2 8 6 3" xfId="24274" xr:uid="{D9F424CA-421E-48C3-A308-058FC9E705AF}"/>
    <cellStyle name="Comma 11 3 2 2 2 8 7" xfId="5436" xr:uid="{FA107DDF-CD38-4DEB-BD55-DBDD1D212FB7}"/>
    <cellStyle name="Comma 11 3 2 2 2 8 7 2" xfId="20616" xr:uid="{5678A0A4-31C1-483B-814D-9250FFAA14BF}"/>
    <cellStyle name="Comma 11 3 2 2 2 8 8" xfId="16814" xr:uid="{7B495B40-436E-49B7-B725-980110D59C55}"/>
    <cellStyle name="Comma 11 3 2 2 2 9" xfId="1682" xr:uid="{4CDE7370-888F-4578-8C16-007FD09E1E3E}"/>
    <cellStyle name="Comma 11 3 2 2 2 9 2" xfId="3101" xr:uid="{D65A824D-E6DE-435E-92B3-B3C2DE28F7C1}"/>
    <cellStyle name="Comma 11 3 2 2 2 9 2 2" xfId="10592" xr:uid="{0C3AD37B-D16F-472B-88A0-150F1C04A338}"/>
    <cellStyle name="Comma 11 3 2 2 2 9 2 2 2" xfId="14138" xr:uid="{AA1B3305-5FB8-4A90-BDCB-3DEF076265E5}"/>
    <cellStyle name="Comma 11 3 2 2 2 9 2 2 2 2" xfId="29315" xr:uid="{87B2026E-0A65-4DDA-ABA3-478CB4761657}"/>
    <cellStyle name="Comma 11 3 2 2 2 9 2 2 3" xfId="25770" xr:uid="{B4D76E6F-93B9-4270-ABCC-07A9066DE0A1}"/>
    <cellStyle name="Comma 11 3 2 2 2 9 2 3" xfId="6418" xr:uid="{4E5705EE-BBEA-4616-996C-A42F4E77854D}"/>
    <cellStyle name="Comma 11 3 2 2 2 9 2 3 2" xfId="21598" xr:uid="{A13062D8-E128-44AE-8B62-21B873B2AB88}"/>
    <cellStyle name="Comma 11 3 2 2 2 9 2 4" xfId="18310" xr:uid="{B916C759-DFCF-485C-88BE-934BDB368480}"/>
    <cellStyle name="Comma 11 3 2 2 2 9 3" xfId="3988" xr:uid="{1BFEACC0-EA75-4E29-96A0-CF62EA21F714}"/>
    <cellStyle name="Comma 11 3 2 2 2 9 3 2" xfId="11476" xr:uid="{AC26B99D-3844-4D91-9876-E1B1B19B90BC}"/>
    <cellStyle name="Comma 11 3 2 2 2 9 3 2 2" xfId="15022" xr:uid="{87D71F68-31FD-48F1-8AEB-7397B4ACDC4B}"/>
    <cellStyle name="Comma 11 3 2 2 2 9 3 2 2 2" xfId="30199" xr:uid="{DF04CD64-4EFB-4E4C-9CE4-CDADEDED08E2}"/>
    <cellStyle name="Comma 11 3 2 2 2 9 3 2 3" xfId="26654" xr:uid="{2F6B65E9-7F13-412D-B5F6-93C8541FD0DD}"/>
    <cellStyle name="Comma 11 3 2 2 2 9 3 3" xfId="7302" xr:uid="{25F18767-7CCC-42EE-B38C-E79DBBBA029F}"/>
    <cellStyle name="Comma 11 3 2 2 2 9 3 3 2" xfId="22482" xr:uid="{303DD311-705D-43C7-B26A-E304FA3FB0A6}"/>
    <cellStyle name="Comma 11 3 2 2 2 9 3 4" xfId="19194" xr:uid="{C148F43B-A775-46EE-818A-CA2074461599}"/>
    <cellStyle name="Comma 11 3 2 2 2 9 4" xfId="4208" xr:uid="{BEE65A16-5367-43E7-A583-ED86F3EDD217}"/>
    <cellStyle name="Comma 11 3 2 2 2 9 4 2" xfId="11693" xr:uid="{F007B99E-8C40-4673-AE75-8EEDB6C24B3D}"/>
    <cellStyle name="Comma 11 3 2 2 2 9 4 2 2" xfId="15239" xr:uid="{6633CF94-5935-4CDE-A00E-BF5AAC6E92E3}"/>
    <cellStyle name="Comma 11 3 2 2 2 9 4 2 2 2" xfId="30416" xr:uid="{F0C482B9-2473-4E0C-B91B-2686EE2F1D26}"/>
    <cellStyle name="Comma 11 3 2 2 2 9 4 2 3" xfId="26871" xr:uid="{AAD42647-1E65-4250-9284-86C6207E9341}"/>
    <cellStyle name="Comma 11 3 2 2 2 9 4 3" xfId="7519" xr:uid="{0BEDEC6E-C980-46E7-8B75-175BC77A5B2B}"/>
    <cellStyle name="Comma 11 3 2 2 2 9 4 3 2" xfId="22699" xr:uid="{6538DB52-8C59-41B6-9C42-5ABE78A7E353}"/>
    <cellStyle name="Comma 11 3 2 2 2 9 4 4" xfId="19411" xr:uid="{03B5F6B3-F09C-4BAB-A015-0590C6957F94}"/>
    <cellStyle name="Comma 11 3 2 2 2 9 5" xfId="2211" xr:uid="{F8C85127-5341-4F3F-89E2-F4DD87F901E9}"/>
    <cellStyle name="Comma 11 3 2 2 2 9 5 2" xfId="9708" xr:uid="{531BA2AF-71E6-407E-85B6-1DD1DE0CFCE4}"/>
    <cellStyle name="Comma 11 3 2 2 2 9 5 2 2" xfId="24886" xr:uid="{BB013C11-2A87-497F-832C-2DD102E36D5D}"/>
    <cellStyle name="Comma 11 3 2 2 2 9 5 3" xfId="17426" xr:uid="{A6F23A42-8112-49EC-B022-AF10D5431AE8}"/>
    <cellStyle name="Comma 11 3 2 2 2 9 6" xfId="9194" xr:uid="{938BCB68-CC8D-4A88-B464-6A2C18A24F89}"/>
    <cellStyle name="Comma 11 3 2 2 2 9 6 2" xfId="13367" xr:uid="{8A639A8C-1972-48AA-987C-611C46DCD92A}"/>
    <cellStyle name="Comma 11 3 2 2 2 9 6 2 2" xfId="28544" xr:uid="{76F65027-43AA-4F68-BE6D-467A1D9B6B86}"/>
    <cellStyle name="Comma 11 3 2 2 2 9 6 3" xfId="24372" xr:uid="{077E25A3-69C2-4B81-8D61-D5EC22E037B6}"/>
    <cellStyle name="Comma 11 3 2 2 2 9 7" xfId="5534" xr:uid="{BF1C46EB-409B-48E1-9B4D-98A6B4342738}"/>
    <cellStyle name="Comma 11 3 2 2 2 9 7 2" xfId="20714" xr:uid="{AC1EAC01-6F4D-4EAA-817E-B2CF4A94527E}"/>
    <cellStyle name="Comma 11 3 2 2 2 9 8" xfId="16912" xr:uid="{D6F8A540-74BA-443A-97A7-9F4095CD0F9C}"/>
    <cellStyle name="Comma 11 3 2 2 3" xfId="765" xr:uid="{9798F05E-E7C5-4EA4-9C42-EA08225BEB8D}"/>
    <cellStyle name="Comma 11 3 2 2 3 10" xfId="8431" xr:uid="{C0D529F5-072B-49F0-ACCD-AAD96701F891}"/>
    <cellStyle name="Comma 11 3 2 2 3 10 2" xfId="12605" xr:uid="{95B9A616-70E4-4A1E-BD3F-9EFA028D0298}"/>
    <cellStyle name="Comma 11 3 2 2 3 10 2 2" xfId="27782" xr:uid="{F3A5C331-B0E6-4C04-A92C-BA4B679AEA11}"/>
    <cellStyle name="Comma 11 3 2 2 3 10 3" xfId="23610" xr:uid="{4145F1EC-B4A0-432B-99D7-90ACB8600037}"/>
    <cellStyle name="Comma 11 3 2 2 3 11" xfId="16150" xr:uid="{941D4811-0459-49D0-AFD6-B697353D4F68}"/>
    <cellStyle name="Comma 11 3 2 2 3 12" xfId="31492" xr:uid="{1ACCB49B-1760-4803-BD1B-B1C9F137421B}"/>
    <cellStyle name="Comma 11 3 2 2 3 2" xfId="942" xr:uid="{3FC00291-9436-42AD-91D1-FD8245A87E3A}"/>
    <cellStyle name="Comma 11 3 2 2 3 2 10" xfId="16272" xr:uid="{855AC0EE-58C9-445C-96EB-48950F8AFEB4}"/>
    <cellStyle name="Comma 11 3 2 2 3 2 11" xfId="31362" xr:uid="{F368CD1E-95A3-4DEF-A60D-440D8B451C0D}"/>
    <cellStyle name="Comma 11 3 2 2 3 2 12" xfId="31712" xr:uid="{541A0516-016F-4A7E-AAB8-80ED091B3C67}"/>
    <cellStyle name="Comma 11 3 2 2 3 2 2" xfId="1303" xr:uid="{568BF241-0DE2-46F7-BE22-88835215CCCB}"/>
    <cellStyle name="Comma 11 3 2 2 3 2 2 2" xfId="3620" xr:uid="{78581F2E-CE1A-4502-B7ED-4DCD849AED2B}"/>
    <cellStyle name="Comma 11 3 2 2 3 2 2 2 2" xfId="11108" xr:uid="{37C82565-822A-4B04-BC2E-42D43E5036D2}"/>
    <cellStyle name="Comma 11 3 2 2 3 2 2 2 2 2" xfId="14654" xr:uid="{D1B4862A-ABDA-4F38-B3E3-1434D2A5DCC2}"/>
    <cellStyle name="Comma 11 3 2 2 3 2 2 2 2 2 2" xfId="29831" xr:uid="{2C85FFE9-4A85-478F-BF75-22816A7766FD}"/>
    <cellStyle name="Comma 11 3 2 2 3 2 2 2 2 3" xfId="26286" xr:uid="{789E1518-41B8-4DAD-A767-341153ED906B}"/>
    <cellStyle name="Comma 11 3 2 2 3 2 2 2 3" xfId="6934" xr:uid="{224D161C-83F0-4AF8-B1E0-DCF465B7F53E}"/>
    <cellStyle name="Comma 11 3 2 2 3 2 2 2 3 2" xfId="22114" xr:uid="{5074B15F-2A49-4DFE-9605-0217D46C392D}"/>
    <cellStyle name="Comma 11 3 2 2 3 2 2 2 4" xfId="18826" xr:uid="{0A1F7E52-7A08-49A8-9BF5-E932B5A2F3D7}"/>
    <cellStyle name="Comma 11 3 2 2 3 2 2 3" xfId="4209" xr:uid="{99486A41-D4A3-40B4-9755-54D23902CB21}"/>
    <cellStyle name="Comma 11 3 2 2 3 2 2 3 2" xfId="11694" xr:uid="{737270D5-07D5-4AD5-8F41-724A83D0D9B2}"/>
    <cellStyle name="Comma 11 3 2 2 3 2 2 3 2 2" xfId="15240" xr:uid="{FFCFBE28-B93D-4A93-99A5-95F4D3A40013}"/>
    <cellStyle name="Comma 11 3 2 2 3 2 2 3 2 2 2" xfId="30417" xr:uid="{DAC5BF51-F861-4A15-B431-72B61BCD7CA2}"/>
    <cellStyle name="Comma 11 3 2 2 3 2 2 3 2 3" xfId="26872" xr:uid="{9B995A1B-D980-4025-A274-8CBF5673CE4C}"/>
    <cellStyle name="Comma 11 3 2 2 3 2 2 3 3" xfId="7520" xr:uid="{0D121339-488D-4F82-8652-53C7A6FF9FE0}"/>
    <cellStyle name="Comma 11 3 2 2 3 2 2 3 3 2" xfId="22700" xr:uid="{59E6DD38-C796-451A-98CF-79B8469CF1F8}"/>
    <cellStyle name="Comma 11 3 2 2 3 2 2 3 4" xfId="19412" xr:uid="{0381DFA9-A35C-4BC3-A75F-DD5C8E500F15}"/>
    <cellStyle name="Comma 11 3 2 2 3 2 2 4" xfId="2733" xr:uid="{25E5BB01-A6D6-44CA-9469-4C66723486FD}"/>
    <cellStyle name="Comma 11 3 2 2 3 2 2 4 2" xfId="10224" xr:uid="{60F27BE4-A3FE-4309-97E1-A8E9A1C6659B}"/>
    <cellStyle name="Comma 11 3 2 2 3 2 2 4 2 2" xfId="25402" xr:uid="{30F7FFCC-AAC7-4B08-BCE2-E20A4ADE61C6}"/>
    <cellStyle name="Comma 11 3 2 2 3 2 2 4 3" xfId="17942" xr:uid="{AC6B0C36-7A28-4A10-9948-2D61B50F8C1E}"/>
    <cellStyle name="Comma 11 3 2 2 3 2 2 5" xfId="8826" xr:uid="{CCD0CBF1-C6D4-4CE1-BDBB-D2CBC92F7436}"/>
    <cellStyle name="Comma 11 3 2 2 3 2 2 5 2" xfId="12999" xr:uid="{A569A0D3-1A72-42C0-80AA-85E64E6FC72F}"/>
    <cellStyle name="Comma 11 3 2 2 3 2 2 5 2 2" xfId="28176" xr:uid="{5DB02312-9E4F-4F4E-ABDE-07484F0CF294}"/>
    <cellStyle name="Comma 11 3 2 2 3 2 2 5 3" xfId="24004" xr:uid="{63F61631-7CF6-4C39-8BC1-92E8D459E3B4}"/>
    <cellStyle name="Comma 11 3 2 2 3 2 2 6" xfId="6050" xr:uid="{6CF67F4B-0A34-41BB-9A06-40840FBEA0C8}"/>
    <cellStyle name="Comma 11 3 2 2 3 2 2 6 2" xfId="21230" xr:uid="{A8F9D28F-0F81-4540-9BFD-9642904DEADC}"/>
    <cellStyle name="Comma 11 3 2 2 3 2 2 7" xfId="16544" xr:uid="{D1542EF7-A363-415D-AC37-C1B8C8000EFE}"/>
    <cellStyle name="Comma 11 3 2 2 3 2 3" xfId="2460" xr:uid="{D24A715E-8F77-4A39-B88D-F4EBB380585E}"/>
    <cellStyle name="Comma 11 3 2 2 3 2 3 2" xfId="9952" xr:uid="{786431FA-D1ED-4261-8959-7B4D13BD4D13}"/>
    <cellStyle name="Comma 11 3 2 2 3 2 3 2 2" xfId="13611" xr:uid="{284140EA-9B80-4C86-BA74-C0F2B6FDCF79}"/>
    <cellStyle name="Comma 11 3 2 2 3 2 3 2 2 2" xfId="28788" xr:uid="{377ADA50-38C5-4338-A9B0-101A4CF62FC8}"/>
    <cellStyle name="Comma 11 3 2 2 3 2 3 2 3" xfId="25130" xr:uid="{9E3C1605-7464-4B18-A1C2-CF59EFC1C81B}"/>
    <cellStyle name="Comma 11 3 2 2 3 2 3 3" xfId="5778" xr:uid="{E5C5F984-9F91-4655-899B-F320605A04D0}"/>
    <cellStyle name="Comma 11 3 2 2 3 2 3 3 2" xfId="20958" xr:uid="{A535DA30-AE3D-41AF-867C-EB35E8F16E6E}"/>
    <cellStyle name="Comma 11 3 2 2 3 2 3 4" xfId="17670" xr:uid="{B149776B-62CB-46A4-B5CA-F0C8AF0821E5}"/>
    <cellStyle name="Comma 11 3 2 2 3 2 4" xfId="3348" xr:uid="{82092CE5-EF13-4A0B-AFDC-5ECF4AFF828A}"/>
    <cellStyle name="Comma 11 3 2 2 3 2 4 2" xfId="10836" xr:uid="{940E05FC-FA34-4539-8C33-8AC458A47A85}"/>
    <cellStyle name="Comma 11 3 2 2 3 2 4 2 2" xfId="14382" xr:uid="{EED98BC6-D2E5-4091-AF32-BEA39BC9E4B5}"/>
    <cellStyle name="Comma 11 3 2 2 3 2 4 2 2 2" xfId="29559" xr:uid="{B76912B8-3195-4484-A8D6-46E3EAFD246A}"/>
    <cellStyle name="Comma 11 3 2 2 3 2 4 2 3" xfId="26014" xr:uid="{ABCA71C5-89DB-4420-B207-FB15B8259FC9}"/>
    <cellStyle name="Comma 11 3 2 2 3 2 4 3" xfId="6662" xr:uid="{1D39AEB2-3817-4FA6-962C-5EA97E75EC99}"/>
    <cellStyle name="Comma 11 3 2 2 3 2 4 3 2" xfId="21842" xr:uid="{2C4D9E5B-D2EC-4541-9D24-0172A920D94A}"/>
    <cellStyle name="Comma 11 3 2 2 3 2 4 4" xfId="18554" xr:uid="{C152E518-4184-46E1-A8D0-61D2C05E307C}"/>
    <cellStyle name="Comma 11 3 2 2 3 2 5" xfId="4210" xr:uid="{631B49B2-BEB9-4C8F-BD37-B70FBE7A42AD}"/>
    <cellStyle name="Comma 11 3 2 2 3 2 5 2" xfId="11695" xr:uid="{8052F932-79B8-485A-8DB3-0DF25345C798}"/>
    <cellStyle name="Comma 11 3 2 2 3 2 5 2 2" xfId="15241" xr:uid="{6EC8B24D-DA17-4F5A-B753-FF3D052DE589}"/>
    <cellStyle name="Comma 11 3 2 2 3 2 5 2 2 2" xfId="30418" xr:uid="{AC93AF00-3325-4971-9FAA-2846FFB31AF6}"/>
    <cellStyle name="Comma 11 3 2 2 3 2 5 2 3" xfId="26873" xr:uid="{8681B577-38BA-44F9-9A7D-AD02070702D8}"/>
    <cellStyle name="Comma 11 3 2 2 3 2 5 3" xfId="7521" xr:uid="{1D8A710B-4AC0-4643-9038-03408367354B}"/>
    <cellStyle name="Comma 11 3 2 2 3 2 5 3 2" xfId="22701" xr:uid="{792CB964-6D4F-4AC1-A33A-DF75594ECFC8}"/>
    <cellStyle name="Comma 11 3 2 2 3 2 5 4" xfId="19413" xr:uid="{9EC2EF02-AE6E-4CD5-AC43-A124D29D9647}"/>
    <cellStyle name="Comma 11 3 2 2 3 2 6" xfId="5022" xr:uid="{551648BF-6AF7-44EC-9111-37626C194F31}"/>
    <cellStyle name="Comma 11 3 2 2 3 2 6 2" xfId="12506" xr:uid="{044DB834-16B3-446F-B02A-4596CF4F29F8}"/>
    <cellStyle name="Comma 11 3 2 2 3 2 6 2 2" xfId="16052" xr:uid="{96FF101F-3360-4D86-A645-F2E2A1C3FC34}"/>
    <cellStyle name="Comma 11 3 2 2 3 2 6 2 2 2" xfId="31229" xr:uid="{D9D9F07D-DE96-4C3C-9377-F141D8D72535}"/>
    <cellStyle name="Comma 11 3 2 2 3 2 6 2 3" xfId="27684" xr:uid="{A5B45CDF-815E-4B97-93AB-DDB4AD066F6F}"/>
    <cellStyle name="Comma 11 3 2 2 3 2 6 3" xfId="8332" xr:uid="{75DE18CD-FDFC-4441-93F0-1B0675D938DD}"/>
    <cellStyle name="Comma 11 3 2 2 3 2 6 3 2" xfId="23512" xr:uid="{ED839F6B-CE3A-4B75-9E64-50C72AC3F1C9}"/>
    <cellStyle name="Comma 11 3 2 2 3 2 6 4" xfId="20224" xr:uid="{5E329D83-8E6E-49C5-ACE7-791A78FE6BFD}"/>
    <cellStyle name="Comma 11 3 2 2 3 2 7" xfId="1843" xr:uid="{303CD28C-1850-4970-B360-707B7ED2DFFD}"/>
    <cellStyle name="Comma 11 3 2 2 3 2 7 2" xfId="9340" xr:uid="{438002B1-84AA-4B02-BD6F-CF8BEF0019AE}"/>
    <cellStyle name="Comma 11 3 2 2 3 2 7 2 2" xfId="24518" xr:uid="{B84ED6F0-C452-41A3-B9EA-768C5ADACA17}"/>
    <cellStyle name="Comma 11 3 2 2 3 2 7 3" xfId="17058" xr:uid="{2C0F38E0-EB56-48D2-9315-A0FEBC4D3607}"/>
    <cellStyle name="Comma 11 3 2 2 3 2 8" xfId="8554" xr:uid="{CB02F811-764E-4CAA-B5D6-D46007D02474}"/>
    <cellStyle name="Comma 11 3 2 2 3 2 8 2" xfId="12727" xr:uid="{871B0BC2-DC7B-4B25-96D0-2CFE2CFB4E46}"/>
    <cellStyle name="Comma 11 3 2 2 3 2 8 2 2" xfId="27904" xr:uid="{B3DB784C-B912-4436-9041-1DD4945992B2}"/>
    <cellStyle name="Comma 11 3 2 2 3 2 8 3" xfId="23732" xr:uid="{85F46DD0-1852-47E9-80B5-3B108FA276B7}"/>
    <cellStyle name="Comma 11 3 2 2 3 2 9" xfId="5166" xr:uid="{CEF4F036-0762-42BF-9D28-1602F7A6655B}"/>
    <cellStyle name="Comma 11 3 2 2 3 2 9 2" xfId="20346" xr:uid="{0BA50D8B-89B8-4BA2-BC8D-9D00163DC4BB}"/>
    <cellStyle name="Comma 11 3 2 2 3 3" xfId="1045" xr:uid="{17323549-53A4-4AB9-993F-A368840C3CD8}"/>
    <cellStyle name="Comma 11 3 2 2 3 3 10" xfId="31590" xr:uid="{7A366B49-5FE7-4D90-9C2A-70C32A784AAC}"/>
    <cellStyle name="Comma 11 3 2 2 3 3 2" xfId="1405" xr:uid="{0B5443AB-4818-4D06-A731-3BB0065BC6B2}"/>
    <cellStyle name="Comma 11 3 2 2 3 3 2 2" xfId="3718" xr:uid="{65DEEE22-3B83-47D6-B4AA-E0240EE8F4F8}"/>
    <cellStyle name="Comma 11 3 2 2 3 3 2 2 2" xfId="11206" xr:uid="{06A4A91E-11E8-421C-8FA1-4732F3C1DBB1}"/>
    <cellStyle name="Comma 11 3 2 2 3 3 2 2 2 2" xfId="14752" xr:uid="{43637A9A-411F-444B-AB73-8829D2C5B666}"/>
    <cellStyle name="Comma 11 3 2 2 3 3 2 2 2 2 2" xfId="29929" xr:uid="{6C86E70B-92CD-441D-A0B1-B829DA312234}"/>
    <cellStyle name="Comma 11 3 2 2 3 3 2 2 2 3" xfId="26384" xr:uid="{65E76F6D-1E21-40B9-BE18-3DE21F8A43CD}"/>
    <cellStyle name="Comma 11 3 2 2 3 3 2 2 3" xfId="7032" xr:uid="{0C8CE5F7-2CF9-46B6-A69E-4B927FAA3EC3}"/>
    <cellStyle name="Comma 11 3 2 2 3 3 2 2 3 2" xfId="22212" xr:uid="{E883A6AB-F188-4B15-9080-0CDFB5C875EB}"/>
    <cellStyle name="Comma 11 3 2 2 3 3 2 2 4" xfId="18924" xr:uid="{3690BC98-7140-4F6B-80FB-B8ACD9CFC7EC}"/>
    <cellStyle name="Comma 11 3 2 2 3 3 2 3" xfId="4211" xr:uid="{6DF65B4A-071B-43B4-AE2A-39DAA6328C14}"/>
    <cellStyle name="Comma 11 3 2 2 3 3 2 3 2" xfId="11696" xr:uid="{135569F2-945C-4C00-B856-F30AF428205F}"/>
    <cellStyle name="Comma 11 3 2 2 3 3 2 3 2 2" xfId="15242" xr:uid="{7682C51D-C4FA-46F5-92A0-A5D3850D22FD}"/>
    <cellStyle name="Comma 11 3 2 2 3 3 2 3 2 2 2" xfId="30419" xr:uid="{1837E163-426F-41B2-B4E3-BD28E3E88100}"/>
    <cellStyle name="Comma 11 3 2 2 3 3 2 3 2 3" xfId="26874" xr:uid="{4B6E86D6-1A53-4A2F-B743-01F0E6E1DB3F}"/>
    <cellStyle name="Comma 11 3 2 2 3 3 2 3 3" xfId="7522" xr:uid="{72CFD908-3962-4E94-94FB-03F9E32F7438}"/>
    <cellStyle name="Comma 11 3 2 2 3 3 2 3 3 2" xfId="22702" xr:uid="{84BA877D-7030-4C89-AF7E-527D361D7213}"/>
    <cellStyle name="Comma 11 3 2 2 3 3 2 3 4" xfId="19414" xr:uid="{DEAD8373-532C-4A5A-BF37-DB2A057FD7CB}"/>
    <cellStyle name="Comma 11 3 2 2 3 3 2 4" xfId="2831" xr:uid="{FD2DA418-FC3C-4626-8715-F39442D2304D}"/>
    <cellStyle name="Comma 11 3 2 2 3 3 2 4 2" xfId="10322" xr:uid="{3397CAEB-B6CB-43D4-927D-74B169CEA8FB}"/>
    <cellStyle name="Comma 11 3 2 2 3 3 2 4 2 2" xfId="25500" xr:uid="{102C680A-21E7-401B-9310-34DD575D068F}"/>
    <cellStyle name="Comma 11 3 2 2 3 3 2 4 3" xfId="18040" xr:uid="{D0EF142E-06FC-41EE-8FB1-3D68404160D3}"/>
    <cellStyle name="Comma 11 3 2 2 3 3 2 5" xfId="8924" xr:uid="{F59768C4-011E-48F4-BC45-C14D35B67024}"/>
    <cellStyle name="Comma 11 3 2 2 3 3 2 5 2" xfId="13097" xr:uid="{8426C3F4-4BA6-455A-8716-855722CAF8FE}"/>
    <cellStyle name="Comma 11 3 2 2 3 3 2 5 2 2" xfId="28274" xr:uid="{3873B860-86A4-4DE4-A923-AA227A256EFE}"/>
    <cellStyle name="Comma 11 3 2 2 3 3 2 5 3" xfId="24102" xr:uid="{97158C06-C03C-4A58-84EC-F37F5814331B}"/>
    <cellStyle name="Comma 11 3 2 2 3 3 2 6" xfId="6148" xr:uid="{0F7D5487-36FD-4EA5-A862-B3B66B674943}"/>
    <cellStyle name="Comma 11 3 2 2 3 3 2 6 2" xfId="21328" xr:uid="{CFF108E6-6AD0-454C-B10C-3191D3DF7987}"/>
    <cellStyle name="Comma 11 3 2 2 3 3 2 7" xfId="16642" xr:uid="{580B095D-7D78-4EDA-9660-031B8C947971}"/>
    <cellStyle name="Comma 11 3 2 2 3 3 3" xfId="2558" xr:uid="{A2E32343-7BDB-4BCE-BFCA-57B0771642EC}"/>
    <cellStyle name="Comma 11 3 2 2 3 3 3 2" xfId="10050" xr:uid="{83C77D09-9ECB-49A0-A41E-48F005C9FF2A}"/>
    <cellStyle name="Comma 11 3 2 2 3 3 3 2 2" xfId="13709" xr:uid="{D9377EAD-363F-442D-A776-360C2E6DA226}"/>
    <cellStyle name="Comma 11 3 2 2 3 3 3 2 2 2" xfId="28886" xr:uid="{B764A01A-A138-4305-BBF4-723A048A9977}"/>
    <cellStyle name="Comma 11 3 2 2 3 3 3 2 3" xfId="25228" xr:uid="{EF68C103-B9C9-4C06-9AB9-F8F70E317F0E}"/>
    <cellStyle name="Comma 11 3 2 2 3 3 3 3" xfId="5876" xr:uid="{A6150428-28BD-4B4A-BC86-674F5374293C}"/>
    <cellStyle name="Comma 11 3 2 2 3 3 3 3 2" xfId="21056" xr:uid="{9E4C090C-0489-4A58-9254-45ED26CA771E}"/>
    <cellStyle name="Comma 11 3 2 2 3 3 3 4" xfId="17768" xr:uid="{66B44472-B59A-4C18-A037-1755D04E17F0}"/>
    <cellStyle name="Comma 11 3 2 2 3 3 4" xfId="3446" xr:uid="{20249135-31B6-4830-9301-15E375D61263}"/>
    <cellStyle name="Comma 11 3 2 2 3 3 4 2" xfId="10934" xr:uid="{D9B4667D-F5A0-4D7D-855C-F59BAF91CFBF}"/>
    <cellStyle name="Comma 11 3 2 2 3 3 4 2 2" xfId="14480" xr:uid="{01FFB8B9-8A23-447B-97D4-1F9CBE51361E}"/>
    <cellStyle name="Comma 11 3 2 2 3 3 4 2 2 2" xfId="29657" xr:uid="{A682C71D-BEF3-4906-AC4C-0C1627D4AFCB}"/>
    <cellStyle name="Comma 11 3 2 2 3 3 4 2 3" xfId="26112" xr:uid="{EF1777F3-F459-41BF-A5B5-D40D1736E010}"/>
    <cellStyle name="Comma 11 3 2 2 3 3 4 3" xfId="6760" xr:uid="{BE905A51-7DD0-4E4F-AAF7-E2A37D8101B3}"/>
    <cellStyle name="Comma 11 3 2 2 3 3 4 3 2" xfId="21940" xr:uid="{432C978C-08F2-463B-968C-5F8BA55F15AD}"/>
    <cellStyle name="Comma 11 3 2 2 3 3 4 4" xfId="18652" xr:uid="{7F340DCA-AF5F-436C-AF78-71C6634D710F}"/>
    <cellStyle name="Comma 11 3 2 2 3 3 5" xfId="4212" xr:uid="{36F8520F-D3DF-47A6-ADD8-9A93222E3ABB}"/>
    <cellStyle name="Comma 11 3 2 2 3 3 5 2" xfId="11697" xr:uid="{D902074F-520F-47FF-914D-B950C995937F}"/>
    <cellStyle name="Comma 11 3 2 2 3 3 5 2 2" xfId="15243" xr:uid="{D292FC81-DF4A-4791-8BA3-C53BB2B5032A}"/>
    <cellStyle name="Comma 11 3 2 2 3 3 5 2 2 2" xfId="30420" xr:uid="{1C261713-CB61-415E-9812-D7318DB9BDD7}"/>
    <cellStyle name="Comma 11 3 2 2 3 3 5 2 3" xfId="26875" xr:uid="{750BE4F0-93C0-41CB-AFA5-181EC62E2EC6}"/>
    <cellStyle name="Comma 11 3 2 2 3 3 5 3" xfId="7523" xr:uid="{8934FFA1-31E3-4A97-A396-B1B04907792B}"/>
    <cellStyle name="Comma 11 3 2 2 3 3 5 3 2" xfId="22703" xr:uid="{4DD8043E-927B-4D45-B88F-2438C8356F67}"/>
    <cellStyle name="Comma 11 3 2 2 3 3 5 4" xfId="19415" xr:uid="{DC296FB6-CCE6-491A-AEE7-7E76030C4CA1}"/>
    <cellStyle name="Comma 11 3 2 2 3 3 6" xfId="1941" xr:uid="{D088525F-8DE8-44E3-BF50-0F29CA02C438}"/>
    <cellStyle name="Comma 11 3 2 2 3 3 6 2" xfId="9438" xr:uid="{DF5573DB-7584-4538-9527-ABC5A5CB95C3}"/>
    <cellStyle name="Comma 11 3 2 2 3 3 6 2 2" xfId="24616" xr:uid="{19507A11-5F5D-4E40-9A0E-640C4FD8BDA2}"/>
    <cellStyle name="Comma 11 3 2 2 3 3 6 3" xfId="17156" xr:uid="{78FDDEB7-2C78-42EB-9494-61BEC6D7B8BF}"/>
    <cellStyle name="Comma 11 3 2 2 3 3 7" xfId="8652" xr:uid="{D8014DC6-A225-4E45-8D7B-F22D5E135494}"/>
    <cellStyle name="Comma 11 3 2 2 3 3 7 2" xfId="12825" xr:uid="{CDD48B9D-4280-42E2-90C2-D823A654DF13}"/>
    <cellStyle name="Comma 11 3 2 2 3 3 7 2 2" xfId="28002" xr:uid="{29D1BBF9-369F-4C46-927F-A99D4162A444}"/>
    <cellStyle name="Comma 11 3 2 2 3 3 7 3" xfId="23830" xr:uid="{0F49A880-B5A0-4FD0-8751-26D354BD7FD5}"/>
    <cellStyle name="Comma 11 3 2 2 3 3 8" xfId="5264" xr:uid="{7761427D-3135-4AC1-9AC4-59784789A17D}"/>
    <cellStyle name="Comma 11 3 2 2 3 3 8 2" xfId="20444" xr:uid="{8E6C1BAA-DE8E-4AEB-B6B7-24337320995A}"/>
    <cellStyle name="Comma 11 3 2 2 3 3 9" xfId="16370" xr:uid="{A9390780-A331-496B-B4C1-676F98261A25}"/>
    <cellStyle name="Comma 11 3 2 2 3 4" xfId="1504" xr:uid="{DE63264D-945C-4A15-8D49-9E4B78855B37}"/>
    <cellStyle name="Comma 11 3 2 2 3 4 2" xfId="2929" xr:uid="{40BFF77A-934B-494D-B7ED-6AF1D9E539F2}"/>
    <cellStyle name="Comma 11 3 2 2 3 4 2 2" xfId="10420" xr:uid="{B09CC135-BAF7-46D5-8599-B23486F827F3}"/>
    <cellStyle name="Comma 11 3 2 2 3 4 2 2 2" xfId="13966" xr:uid="{4B07E1D8-E640-468F-A7D6-9825EE57613C}"/>
    <cellStyle name="Comma 11 3 2 2 3 4 2 2 2 2" xfId="29143" xr:uid="{71E5227A-600C-4A36-867B-C38C433A21C7}"/>
    <cellStyle name="Comma 11 3 2 2 3 4 2 2 3" xfId="25598" xr:uid="{A7C7DF44-172D-48A8-AF7B-70E504AACD8D}"/>
    <cellStyle name="Comma 11 3 2 2 3 4 2 3" xfId="6246" xr:uid="{4C72B19B-2ABC-450A-9443-06F3DF8C1650}"/>
    <cellStyle name="Comma 11 3 2 2 3 4 2 3 2" xfId="21426" xr:uid="{46E2453F-B59A-4877-BE36-FCA177B2C091}"/>
    <cellStyle name="Comma 11 3 2 2 3 4 2 4" xfId="18138" xr:uid="{7F3418DC-675A-4A2B-ADFA-9535F3CBD948}"/>
    <cellStyle name="Comma 11 3 2 2 3 4 3" xfId="3816" xr:uid="{14DDD510-BA26-49ED-A72D-4971D9101202}"/>
    <cellStyle name="Comma 11 3 2 2 3 4 3 2" xfId="11304" xr:uid="{B77F04AE-3F75-4A0A-928E-E839F6C30484}"/>
    <cellStyle name="Comma 11 3 2 2 3 4 3 2 2" xfId="14850" xr:uid="{6F5B54CB-538D-445C-B344-563A828DDC9A}"/>
    <cellStyle name="Comma 11 3 2 2 3 4 3 2 2 2" xfId="30027" xr:uid="{3E9096F0-E749-461B-A799-5BA402D57B65}"/>
    <cellStyle name="Comma 11 3 2 2 3 4 3 2 3" xfId="26482" xr:uid="{16BADEFD-7963-454D-B640-8039DB807345}"/>
    <cellStyle name="Comma 11 3 2 2 3 4 3 3" xfId="7130" xr:uid="{EBD44F3A-6D9D-4D5C-855C-3A9027DBC2F5}"/>
    <cellStyle name="Comma 11 3 2 2 3 4 3 3 2" xfId="22310" xr:uid="{6EBC43BA-17E7-4DED-B748-472AF7D4F5C7}"/>
    <cellStyle name="Comma 11 3 2 2 3 4 3 4" xfId="19022" xr:uid="{01573FC8-EEEA-4FC1-BBD7-E8A654E6F49C}"/>
    <cellStyle name="Comma 11 3 2 2 3 4 4" xfId="4213" xr:uid="{19C39E84-2248-40EC-B10F-3F46B26F898E}"/>
    <cellStyle name="Comma 11 3 2 2 3 4 4 2" xfId="11698" xr:uid="{62DD0757-396C-480D-82A2-0D5593D1BD04}"/>
    <cellStyle name="Comma 11 3 2 2 3 4 4 2 2" xfId="15244" xr:uid="{9688B824-494F-4216-BFE8-70C3E0A7323A}"/>
    <cellStyle name="Comma 11 3 2 2 3 4 4 2 2 2" xfId="30421" xr:uid="{7D36349D-3D07-472B-A2F8-920767C62ACA}"/>
    <cellStyle name="Comma 11 3 2 2 3 4 4 2 3" xfId="26876" xr:uid="{758B84F0-E631-44BB-8D31-D693D8DE1DF2}"/>
    <cellStyle name="Comma 11 3 2 2 3 4 4 3" xfId="7524" xr:uid="{FB6F809B-C298-4468-806C-596AD26A97CB}"/>
    <cellStyle name="Comma 11 3 2 2 3 4 4 3 2" xfId="22704" xr:uid="{7C851832-F0B9-482E-9C0D-51BE14E290FC}"/>
    <cellStyle name="Comma 11 3 2 2 3 4 4 4" xfId="19416" xr:uid="{8457FC86-611A-40E1-B40F-289AA7A155CD}"/>
    <cellStyle name="Comma 11 3 2 2 3 4 5" xfId="2039" xr:uid="{7E4985EE-09DA-4656-9CBB-58D01A83EDF4}"/>
    <cellStyle name="Comma 11 3 2 2 3 4 5 2" xfId="9536" xr:uid="{6B715026-2053-481C-B47F-835E59CB9E55}"/>
    <cellStyle name="Comma 11 3 2 2 3 4 5 2 2" xfId="24714" xr:uid="{2AA55452-3902-4485-B1D1-265ED23F8522}"/>
    <cellStyle name="Comma 11 3 2 2 3 4 5 3" xfId="17254" xr:uid="{183BB496-3204-4F07-A6DA-489558B040E9}"/>
    <cellStyle name="Comma 11 3 2 2 3 4 6" xfId="9022" xr:uid="{CB2244A1-38A9-4210-B990-ECCA5AB34BA3}"/>
    <cellStyle name="Comma 11 3 2 2 3 4 6 2" xfId="13195" xr:uid="{0AC30F4B-22B9-4193-A855-701B4B2A92FD}"/>
    <cellStyle name="Comma 11 3 2 2 3 4 6 2 2" xfId="28372" xr:uid="{DEDFC505-EB0F-48FA-BCCA-1D1CD027F720}"/>
    <cellStyle name="Comma 11 3 2 2 3 4 6 3" xfId="24200" xr:uid="{F04D94C0-410D-420D-8660-D9FDCAF214F1}"/>
    <cellStyle name="Comma 11 3 2 2 3 4 7" xfId="5362" xr:uid="{1C1ECF94-BC5F-47BC-9C21-287A53EF9656}"/>
    <cellStyle name="Comma 11 3 2 2 3 4 7 2" xfId="20542" xr:uid="{E30B88F8-AFEB-493D-974B-05AB21974E4C}"/>
    <cellStyle name="Comma 11 3 2 2 3 4 8" xfId="16740" xr:uid="{119A52FB-C76F-40E9-92A8-435AB477A2D1}"/>
    <cellStyle name="Comma 11 3 2 2 3 5" xfId="1607" xr:uid="{032BBD71-5082-4B1B-BEFD-BB3E255BA2C1}"/>
    <cellStyle name="Comma 11 3 2 2 3 5 2" xfId="3027" xr:uid="{1CA4F980-D226-4878-8107-9155D134F273}"/>
    <cellStyle name="Comma 11 3 2 2 3 5 2 2" xfId="10518" xr:uid="{06768167-D54F-43A6-A4D1-8DB821352D1F}"/>
    <cellStyle name="Comma 11 3 2 2 3 5 2 2 2" xfId="14064" xr:uid="{8561BB48-D1EA-497C-BA8B-3091FB83AB95}"/>
    <cellStyle name="Comma 11 3 2 2 3 5 2 2 2 2" xfId="29241" xr:uid="{EB67E07F-1BB1-43EB-970A-251BBEA15CAA}"/>
    <cellStyle name="Comma 11 3 2 2 3 5 2 2 3" xfId="25696" xr:uid="{FDDCAA66-FA7D-4EFB-8051-8EF1DCA3C339}"/>
    <cellStyle name="Comma 11 3 2 2 3 5 2 3" xfId="6344" xr:uid="{4BC1EE11-0EB3-427C-8901-5394D9D4B204}"/>
    <cellStyle name="Comma 11 3 2 2 3 5 2 3 2" xfId="21524" xr:uid="{4B286AC4-6538-4698-BEC4-1EA1053A0034}"/>
    <cellStyle name="Comma 11 3 2 2 3 5 2 4" xfId="18236" xr:uid="{592B12C4-ABFD-4364-984F-BC8DE58F83DF}"/>
    <cellStyle name="Comma 11 3 2 2 3 5 3" xfId="3914" xr:uid="{1EBFA644-1316-4B93-A759-AFA7624DFC28}"/>
    <cellStyle name="Comma 11 3 2 2 3 5 3 2" xfId="11402" xr:uid="{7B75643D-EFC1-4652-922E-834FD1E57321}"/>
    <cellStyle name="Comma 11 3 2 2 3 5 3 2 2" xfId="14948" xr:uid="{AF1F73F7-D993-425A-B892-A73AE4CCE52C}"/>
    <cellStyle name="Comma 11 3 2 2 3 5 3 2 2 2" xfId="30125" xr:uid="{5BD4636C-9D02-4B54-BB45-217FAE98F44C}"/>
    <cellStyle name="Comma 11 3 2 2 3 5 3 2 3" xfId="26580" xr:uid="{601C3863-C4FD-4BAB-93DE-9ACDBDD6F342}"/>
    <cellStyle name="Comma 11 3 2 2 3 5 3 3" xfId="7228" xr:uid="{7AA31D99-03FF-4F2E-8D44-897B6C91D9AA}"/>
    <cellStyle name="Comma 11 3 2 2 3 5 3 3 2" xfId="22408" xr:uid="{CD04F912-3D42-4A68-95AC-912B26599FCC}"/>
    <cellStyle name="Comma 11 3 2 2 3 5 3 4" xfId="19120" xr:uid="{90472979-7DAB-4105-AEB1-AEFA72AD468F}"/>
    <cellStyle name="Comma 11 3 2 2 3 5 4" xfId="4214" xr:uid="{DA9557EE-867A-4AFC-85A7-AEB198414A2C}"/>
    <cellStyle name="Comma 11 3 2 2 3 5 4 2" xfId="11699" xr:uid="{22CDEFF8-0C18-4BFF-88BF-0D129232CCC7}"/>
    <cellStyle name="Comma 11 3 2 2 3 5 4 2 2" xfId="15245" xr:uid="{4E3C88F2-08B7-4C09-8275-6697B748D5B2}"/>
    <cellStyle name="Comma 11 3 2 2 3 5 4 2 2 2" xfId="30422" xr:uid="{CB1B0677-849E-4B2C-9EE3-B1F68E4AF6D7}"/>
    <cellStyle name="Comma 11 3 2 2 3 5 4 2 3" xfId="26877" xr:uid="{9EED2830-636F-40E6-A6F3-9AD6D84797BD}"/>
    <cellStyle name="Comma 11 3 2 2 3 5 4 3" xfId="7525" xr:uid="{A0F21B9B-CCC6-4419-8DA4-2A44ED1716CB}"/>
    <cellStyle name="Comma 11 3 2 2 3 5 4 3 2" xfId="22705" xr:uid="{BF42FC5D-E949-4C34-90E0-479C081FC4C7}"/>
    <cellStyle name="Comma 11 3 2 2 3 5 4 4" xfId="19417" xr:uid="{47ABF458-5425-491F-9FBF-9BC7CF724ABE}"/>
    <cellStyle name="Comma 11 3 2 2 3 5 5" xfId="2137" xr:uid="{F2B12539-9609-4B86-B20E-AD65B72B7B44}"/>
    <cellStyle name="Comma 11 3 2 2 3 5 5 2" xfId="9634" xr:uid="{920A2D07-09CA-44E0-9BCE-C5DEB4B524AF}"/>
    <cellStyle name="Comma 11 3 2 2 3 5 5 2 2" xfId="24812" xr:uid="{5AD77370-B38D-491A-A9F0-F279C0C9E019}"/>
    <cellStyle name="Comma 11 3 2 2 3 5 5 3" xfId="17352" xr:uid="{DC0F5E4B-8A33-4803-A7A0-B3138EE821FC}"/>
    <cellStyle name="Comma 11 3 2 2 3 5 6" xfId="9120" xr:uid="{4DEDD84C-1ADC-4815-8BE7-AAB5F19EFCBA}"/>
    <cellStyle name="Comma 11 3 2 2 3 5 6 2" xfId="13293" xr:uid="{EDF2FB28-1236-4B3A-9145-83697C861B5B}"/>
    <cellStyle name="Comma 11 3 2 2 3 5 6 2 2" xfId="28470" xr:uid="{9B92B06F-42C9-4555-B012-46EFBC0BEA56}"/>
    <cellStyle name="Comma 11 3 2 2 3 5 6 3" xfId="24298" xr:uid="{4CE6E893-8CC0-46A1-90BF-AC92231457E8}"/>
    <cellStyle name="Comma 11 3 2 2 3 5 7" xfId="5460" xr:uid="{057EC4DF-48B0-47A8-B592-33223468B336}"/>
    <cellStyle name="Comma 11 3 2 2 3 5 7 2" xfId="20640" xr:uid="{CB274A2D-10D7-4508-83A8-C2F0D01780C0}"/>
    <cellStyle name="Comma 11 3 2 2 3 5 8" xfId="16838" xr:uid="{8D73BB7D-9536-4B3D-85EF-49EACB96E04F}"/>
    <cellStyle name="Comma 11 3 2 2 3 6" xfId="1706" xr:uid="{1500B37D-A6EA-4AED-8D42-0D38B5607BF0}"/>
    <cellStyle name="Comma 11 3 2 2 3 6 2" xfId="3125" xr:uid="{281A463C-9668-490C-A650-39BC494ADFDB}"/>
    <cellStyle name="Comma 11 3 2 2 3 6 2 2" xfId="10616" xr:uid="{B38DA0DB-2248-4BEE-B329-66A32FEAFE1E}"/>
    <cellStyle name="Comma 11 3 2 2 3 6 2 2 2" xfId="14162" xr:uid="{70A593AE-8D3C-4750-92C6-5AEAC89FE016}"/>
    <cellStyle name="Comma 11 3 2 2 3 6 2 2 2 2" xfId="29339" xr:uid="{8566BAD1-8919-4025-B6F8-6DC9A0B6E02B}"/>
    <cellStyle name="Comma 11 3 2 2 3 6 2 2 3" xfId="25794" xr:uid="{172F4A3E-DC58-4BB8-B6CF-301A14B8682E}"/>
    <cellStyle name="Comma 11 3 2 2 3 6 2 3" xfId="6442" xr:uid="{520C9530-4C8F-4FAB-AAA4-233A7BFE8B16}"/>
    <cellStyle name="Comma 11 3 2 2 3 6 2 3 2" xfId="21622" xr:uid="{3105573C-9314-40BB-90F2-1AB4D2DEFB2D}"/>
    <cellStyle name="Comma 11 3 2 2 3 6 2 4" xfId="18334" xr:uid="{48FB800D-5CBC-4CD0-9B8C-E99A470C374F}"/>
    <cellStyle name="Comma 11 3 2 2 3 6 3" xfId="4012" xr:uid="{4EED1C87-5517-4824-B8A5-30072CFCDD2F}"/>
    <cellStyle name="Comma 11 3 2 2 3 6 3 2" xfId="11500" xr:uid="{2F075B60-8609-41AE-927A-43B7BB8DF751}"/>
    <cellStyle name="Comma 11 3 2 2 3 6 3 2 2" xfId="15046" xr:uid="{EFC919AE-6F8D-49E4-97B2-2D790BA17185}"/>
    <cellStyle name="Comma 11 3 2 2 3 6 3 2 2 2" xfId="30223" xr:uid="{7BF54105-F6A7-42DB-9953-BBC18B850BED}"/>
    <cellStyle name="Comma 11 3 2 2 3 6 3 2 3" xfId="26678" xr:uid="{B3372A77-0505-4B6D-BD76-3F114D1FD466}"/>
    <cellStyle name="Comma 11 3 2 2 3 6 3 3" xfId="7326" xr:uid="{65772EDD-C662-4D7C-B4A3-A0A784DC2C65}"/>
    <cellStyle name="Comma 11 3 2 2 3 6 3 3 2" xfId="22506" xr:uid="{2FD3EC0B-4B9F-45A4-966B-52C5E600A6BF}"/>
    <cellStyle name="Comma 11 3 2 2 3 6 3 4" xfId="19218" xr:uid="{D30520F4-3F99-4806-8EE3-266A3D25483F}"/>
    <cellStyle name="Comma 11 3 2 2 3 6 4" xfId="4215" xr:uid="{1B880546-2128-48D9-92FF-D3BCFF7C4922}"/>
    <cellStyle name="Comma 11 3 2 2 3 6 4 2" xfId="11700" xr:uid="{5D32796F-2DED-4F47-A734-3761C5F26B62}"/>
    <cellStyle name="Comma 11 3 2 2 3 6 4 2 2" xfId="15246" xr:uid="{38FB399C-0819-4EDD-A983-DA5D5F019289}"/>
    <cellStyle name="Comma 11 3 2 2 3 6 4 2 2 2" xfId="30423" xr:uid="{666E1107-8C0A-44A8-864F-B856CD23ABDA}"/>
    <cellStyle name="Comma 11 3 2 2 3 6 4 2 3" xfId="26878" xr:uid="{823D4490-34FF-4C37-97ED-AE46713FD130}"/>
    <cellStyle name="Comma 11 3 2 2 3 6 4 3" xfId="7526" xr:uid="{8063CA95-0E12-4FF5-A22A-1BD8DEE39A00}"/>
    <cellStyle name="Comma 11 3 2 2 3 6 4 3 2" xfId="22706" xr:uid="{44FE3981-A360-4076-B0D6-1EF41F55318D}"/>
    <cellStyle name="Comma 11 3 2 2 3 6 4 4" xfId="19418" xr:uid="{E6D8E685-A641-4236-B250-71BF54B58E03}"/>
    <cellStyle name="Comma 11 3 2 2 3 6 5" xfId="2235" xr:uid="{25EB17E2-469E-4DA8-8911-4C1C663E7243}"/>
    <cellStyle name="Comma 11 3 2 2 3 6 5 2" xfId="9732" xr:uid="{675C9386-C2AC-4F37-B9AB-8A98B87020A7}"/>
    <cellStyle name="Comma 11 3 2 2 3 6 5 2 2" xfId="24910" xr:uid="{2D3679DD-D66C-4DD7-B6C7-5F35F6127CFF}"/>
    <cellStyle name="Comma 11 3 2 2 3 6 5 3" xfId="17450" xr:uid="{82C6C3BC-4DC6-4DA4-BC9A-3302A5C2E524}"/>
    <cellStyle name="Comma 11 3 2 2 3 6 6" xfId="9218" xr:uid="{38C5477E-CDD5-4A04-85F7-52ECD2403B7E}"/>
    <cellStyle name="Comma 11 3 2 2 3 6 6 2" xfId="13391" xr:uid="{7E017D11-11DD-4816-9C68-54EF2FDE0A50}"/>
    <cellStyle name="Comma 11 3 2 2 3 6 6 2 2" xfId="28568" xr:uid="{C58B8F42-7BB6-4479-9E18-703C9C37B841}"/>
    <cellStyle name="Comma 11 3 2 2 3 6 6 3" xfId="24396" xr:uid="{DFE0C4FA-0D09-422A-8090-A42E2591EFC2}"/>
    <cellStyle name="Comma 11 3 2 2 3 6 7" xfId="5558" xr:uid="{D6704182-562A-470F-9017-9533C874B635}"/>
    <cellStyle name="Comma 11 3 2 2 3 6 7 2" xfId="20738" xr:uid="{7512512D-2A9A-4B49-8D24-0A81F8533276}"/>
    <cellStyle name="Comma 11 3 2 2 3 6 8" xfId="16936" xr:uid="{34E5FC5B-DB08-42FC-BDF7-C888F90B005A}"/>
    <cellStyle name="Comma 11 3 2 2 3 7" xfId="2335" xr:uid="{099A26EC-54A2-44AE-BCB8-D5DCE8ACB19C}"/>
    <cellStyle name="Comma 11 3 2 2 3 7 2" xfId="9830" xr:uid="{CFC5064B-5F07-49F2-8E39-B914018DECD6}"/>
    <cellStyle name="Comma 11 3 2 2 3 7 2 2" xfId="13489" xr:uid="{DB3E98B0-10B4-445A-AA39-45DC88EADA8F}"/>
    <cellStyle name="Comma 11 3 2 2 3 7 2 2 2" xfId="28666" xr:uid="{4464A454-0035-457D-8A43-2F8BED950068}"/>
    <cellStyle name="Comma 11 3 2 2 3 7 2 3" xfId="25008" xr:uid="{D5E68AE5-CC7E-4F7F-A886-4DD6C22372A6}"/>
    <cellStyle name="Comma 11 3 2 2 3 7 3" xfId="5656" xr:uid="{884DD664-43D2-46CF-9351-F9CBCCA72BCC}"/>
    <cellStyle name="Comma 11 3 2 2 3 7 3 2" xfId="20836" xr:uid="{B3FAC093-F370-4FB0-816A-F475FD6EE075}"/>
    <cellStyle name="Comma 11 3 2 2 3 7 4" xfId="17548" xr:uid="{33F24529-2DEC-4B4E-9B74-180FB7869C09}"/>
    <cellStyle name="Comma 11 3 2 2 3 8" xfId="3225" xr:uid="{BADB78FD-3EA2-4F83-AA9C-D5EED8641A1E}"/>
    <cellStyle name="Comma 11 3 2 2 3 8 2" xfId="10714" xr:uid="{AF487257-9694-4CBE-B7F1-11627EC37B2A}"/>
    <cellStyle name="Comma 11 3 2 2 3 8 2 2" xfId="14260" xr:uid="{51E06526-C4DC-475C-A5C0-7C7C9954582A}"/>
    <cellStyle name="Comma 11 3 2 2 3 8 2 2 2" xfId="29437" xr:uid="{232DCE95-2ABD-4AF9-8A55-B7F42328121C}"/>
    <cellStyle name="Comma 11 3 2 2 3 8 2 3" xfId="25892" xr:uid="{04F13645-7F14-4EDE-91C6-5E6D5DAB4C46}"/>
    <cellStyle name="Comma 11 3 2 2 3 8 3" xfId="6540" xr:uid="{61F4CFCD-803B-4BCE-AFC6-47A3CD2F6087}"/>
    <cellStyle name="Comma 11 3 2 2 3 8 3 2" xfId="21720" xr:uid="{156A12AC-B266-462B-B413-2DEE3C9CEE7F}"/>
    <cellStyle name="Comma 11 3 2 2 3 8 4" xfId="18432" xr:uid="{A64C0B00-3539-4983-8FCF-A5DADFBD1E17}"/>
    <cellStyle name="Comma 11 3 2 2 3 9" xfId="4216" xr:uid="{EEE5D7E2-3C4D-4DAD-96C2-259B440C709F}"/>
    <cellStyle name="Comma 11 3 2 2 3 9 2" xfId="11701" xr:uid="{B781CF9D-C15B-4032-9F40-F0BD8B3C2420}"/>
    <cellStyle name="Comma 11 3 2 2 3 9 2 2" xfId="15247" xr:uid="{45B28BA9-EA68-486D-9D30-704141871A89}"/>
    <cellStyle name="Comma 11 3 2 2 3 9 2 2 2" xfId="30424" xr:uid="{F6856213-4801-413E-A6BA-329F666431D0}"/>
    <cellStyle name="Comma 11 3 2 2 3 9 2 3" xfId="26879" xr:uid="{316A36E4-0ECC-4131-8448-77877BFC4E0C}"/>
    <cellStyle name="Comma 11 3 2 2 3 9 3" xfId="7527" xr:uid="{8F79D821-AF06-4935-8BF0-480C00B17871}"/>
    <cellStyle name="Comma 11 3 2 2 3 9 3 2" xfId="22707" xr:uid="{07E3C447-E246-4167-BEE6-CD948F8FA2E2}"/>
    <cellStyle name="Comma 11 3 2 2 3 9 4" xfId="19419" xr:uid="{FDCAAD78-C137-47A3-873B-9FACF1E2D8DE}"/>
    <cellStyle name="Comma 11 3 2 2 4" xfId="893" xr:uid="{1F081204-F2A6-4A31-8F40-06F7A747FCF2}"/>
    <cellStyle name="Comma 11 3 2 2 4 2" xfId="2411" xr:uid="{9B45BC38-2A1E-46A5-8D04-195E4DF6A6CB}"/>
    <cellStyle name="Comma 11 3 2 2 4 2 2" xfId="9903" xr:uid="{1706FA0A-4BB7-48F4-BB24-F500DC1CA6BB}"/>
    <cellStyle name="Comma 11 3 2 2 4 2 2 2" xfId="13562" xr:uid="{1CCEF67C-8A5E-42C6-9D11-8D95FC55007B}"/>
    <cellStyle name="Comma 11 3 2 2 4 2 2 2 2" xfId="28739" xr:uid="{15D4159B-E6F1-4495-9F35-79DE4A67D250}"/>
    <cellStyle name="Comma 11 3 2 2 4 2 2 3" xfId="25081" xr:uid="{958E1391-D599-4592-B797-4B1711837789}"/>
    <cellStyle name="Comma 11 3 2 2 4 2 3" xfId="5729" xr:uid="{F834F8EB-F639-4A89-8322-D0ABF9BC6DA8}"/>
    <cellStyle name="Comma 11 3 2 2 4 2 3 2" xfId="20909" xr:uid="{5B5453CE-69C0-4015-82A5-18CC4C89BFD9}"/>
    <cellStyle name="Comma 11 3 2 2 4 2 4" xfId="17621" xr:uid="{15E59376-C680-4358-BF2B-B69BB5EEF9CD}"/>
    <cellStyle name="Comma 11 3 2 2 4 3" xfId="3299" xr:uid="{798748FC-1A0A-426C-9520-9DE48CF45B74}"/>
    <cellStyle name="Comma 11 3 2 2 4 3 2" xfId="10787" xr:uid="{43EB8F05-F178-4EC3-9719-0CCA72A96BF8}"/>
    <cellStyle name="Comma 11 3 2 2 4 3 2 2" xfId="14333" xr:uid="{59A68981-AB73-4CBD-ABC0-A5C5A1DC9CDB}"/>
    <cellStyle name="Comma 11 3 2 2 4 3 2 2 2" xfId="29510" xr:uid="{5B476A96-39A6-457A-8B84-225A0022047E}"/>
    <cellStyle name="Comma 11 3 2 2 4 3 2 3" xfId="25965" xr:uid="{506F5EE5-12F5-4CCE-9D33-F817C16821B2}"/>
    <cellStyle name="Comma 11 3 2 2 4 3 3" xfId="6613" xr:uid="{CC1D1660-408F-433B-9DAC-002005B55D97}"/>
    <cellStyle name="Comma 11 3 2 2 4 3 3 2" xfId="21793" xr:uid="{928E7FC2-D923-477B-B7CE-B12FDD6A8496}"/>
    <cellStyle name="Comma 11 3 2 2 4 3 4" xfId="18505" xr:uid="{CEADC9C9-16C7-4891-9759-37BEAFBA22EB}"/>
    <cellStyle name="Comma 11 3 2 2 4 4" xfId="4217" xr:uid="{1DC6E35C-5EE1-4D3F-8AF7-25782A873158}"/>
    <cellStyle name="Comma 11 3 2 2 4 4 2" xfId="11702" xr:uid="{E6D1A7C2-3DD7-41A5-BAAB-0626679C7E12}"/>
    <cellStyle name="Comma 11 3 2 2 4 4 2 2" xfId="15248" xr:uid="{4F90FDFC-C052-44EE-BA28-A79000A02789}"/>
    <cellStyle name="Comma 11 3 2 2 4 4 2 2 2" xfId="30425" xr:uid="{813A319E-6233-42C1-B46B-80F16A55633F}"/>
    <cellStyle name="Comma 11 3 2 2 4 4 2 3" xfId="26880" xr:uid="{46D19A48-A5AE-48DB-997B-BA61E276E707}"/>
    <cellStyle name="Comma 11 3 2 2 4 4 3" xfId="7528" xr:uid="{37E0FE50-86F1-413A-AE97-3AFCF3F2CE93}"/>
    <cellStyle name="Comma 11 3 2 2 4 4 3 2" xfId="22708" xr:uid="{C3157795-433F-4F8B-8D5E-99443959A12A}"/>
    <cellStyle name="Comma 11 3 2 2 4 4 4" xfId="19420" xr:uid="{B2DB1C28-2009-4641-9D1F-672CEAEA3DF4}"/>
    <cellStyle name="Comma 11 3 2 2 4 5" xfId="8505" xr:uid="{F21B16EB-A6E9-4428-A978-5C66E3453D83}"/>
    <cellStyle name="Comma 11 3 2 2 4 5 2" xfId="12678" xr:uid="{E74A5E01-D3FB-43AF-BA78-73795D3A90C4}"/>
    <cellStyle name="Comma 11 3 2 2 4 5 2 2" xfId="27855" xr:uid="{0AFEAB1E-F863-4E78-B5CE-6306633A2CCD}"/>
    <cellStyle name="Comma 11 3 2 2 4 5 3" xfId="23683" xr:uid="{C2E2BB61-FF4E-4886-8D4D-A394CE879B20}"/>
    <cellStyle name="Comma 11 3 2 2 4 6" xfId="16223" xr:uid="{D9176E1E-6827-4C5A-817C-56AB1141DDE9}"/>
    <cellStyle name="Comma 11 3 2 2 4 7" xfId="31663" xr:uid="{0EA9CBB3-588D-4F00-AC2A-D281049B28D8}"/>
    <cellStyle name="Comma 11 3 2 2 5" xfId="996" xr:uid="{00569836-0C99-4577-B499-9B91543FA591}"/>
    <cellStyle name="Comma 11 3 2 2 5 2" xfId="2509" xr:uid="{77286FFE-7199-4B71-A83D-7278E9A148B9}"/>
    <cellStyle name="Comma 11 3 2 2 5 2 2" xfId="10001" xr:uid="{083E955F-30B4-4C70-9553-EB9B94C5365D}"/>
    <cellStyle name="Comma 11 3 2 2 5 2 2 2" xfId="13660" xr:uid="{171B58B8-2ABC-495F-A446-50C47EB2C349}"/>
    <cellStyle name="Comma 11 3 2 2 5 2 2 2 2" xfId="28837" xr:uid="{5858F413-75C6-48C8-B1CB-10A8E5B557B4}"/>
    <cellStyle name="Comma 11 3 2 2 5 2 2 3" xfId="25179" xr:uid="{2155847B-D60C-45FF-89EE-A40A275CBD32}"/>
    <cellStyle name="Comma 11 3 2 2 5 2 3" xfId="5827" xr:uid="{2F523FAF-B585-4615-84F8-FB4BEFE9391A}"/>
    <cellStyle name="Comma 11 3 2 2 5 2 3 2" xfId="21007" xr:uid="{AC30F462-9FC7-4154-B84C-C2005A6A2712}"/>
    <cellStyle name="Comma 11 3 2 2 5 2 4" xfId="17719" xr:uid="{20F6D7C6-D3F2-4130-B8D5-98F603D18760}"/>
    <cellStyle name="Comma 11 3 2 2 5 3" xfId="3397" xr:uid="{BC2267FD-7A69-47B4-8D4F-EE34A051918B}"/>
    <cellStyle name="Comma 11 3 2 2 5 3 2" xfId="10885" xr:uid="{C88B2B5A-0148-408D-B128-6B0403C46471}"/>
    <cellStyle name="Comma 11 3 2 2 5 3 2 2" xfId="14431" xr:uid="{D03CAA0D-6602-4634-97DD-46B3599FE623}"/>
    <cellStyle name="Comma 11 3 2 2 5 3 2 2 2" xfId="29608" xr:uid="{9ECB5289-DAA9-4382-A545-458549E214E7}"/>
    <cellStyle name="Comma 11 3 2 2 5 3 2 3" xfId="26063" xr:uid="{86CF80D0-F394-4009-BA90-405BAC44B54A}"/>
    <cellStyle name="Comma 11 3 2 2 5 3 3" xfId="6711" xr:uid="{DE50E395-FC80-4A39-8D2D-49A9D7256273}"/>
    <cellStyle name="Comma 11 3 2 2 5 3 3 2" xfId="21891" xr:uid="{F3654321-8144-41BA-8784-C97465FC6DB2}"/>
    <cellStyle name="Comma 11 3 2 2 5 3 4" xfId="18603" xr:uid="{F620B831-E9CD-458B-80CE-499C0FB45CA8}"/>
    <cellStyle name="Comma 11 3 2 2 5 4" xfId="4218" xr:uid="{A6E95FC8-77E0-40A6-98CD-37BC011BD25F}"/>
    <cellStyle name="Comma 11 3 2 2 5 4 2" xfId="11703" xr:uid="{88C0FC70-C832-4D91-8721-D2450D4376B4}"/>
    <cellStyle name="Comma 11 3 2 2 5 4 2 2" xfId="15249" xr:uid="{E2A8F290-BE59-4E8A-B18D-AD347C6CCF80}"/>
    <cellStyle name="Comma 11 3 2 2 5 4 2 2 2" xfId="30426" xr:uid="{311F93FA-1931-45DD-B8A0-04F6DFC56A54}"/>
    <cellStyle name="Comma 11 3 2 2 5 4 2 3" xfId="26881" xr:uid="{FCB18BCC-DFDC-4049-AF36-F34C38A99090}"/>
    <cellStyle name="Comma 11 3 2 2 5 4 3" xfId="7529" xr:uid="{9986C385-238E-4C5A-9D22-D8E4EB0D1DE2}"/>
    <cellStyle name="Comma 11 3 2 2 5 4 3 2" xfId="22709" xr:uid="{99DD6BEA-A925-4D49-8AE3-7E10276C5B57}"/>
    <cellStyle name="Comma 11 3 2 2 5 4 4" xfId="19421" xr:uid="{E7F0E948-6543-44FB-96FC-2818417D91B0}"/>
    <cellStyle name="Comma 11 3 2 2 5 5" xfId="8603" xr:uid="{18D0ECE2-E104-4C7D-A5A5-404B0E580876}"/>
    <cellStyle name="Comma 11 3 2 2 5 5 2" xfId="12776" xr:uid="{5929DD2F-2883-4A3C-B8DE-912AFB45A3FE}"/>
    <cellStyle name="Comma 11 3 2 2 5 5 2 2" xfId="27953" xr:uid="{AFFFA26A-3D00-44F0-A6B6-8EF02B47CA0B}"/>
    <cellStyle name="Comma 11 3 2 2 5 5 3" xfId="23781" xr:uid="{966E229E-CEE2-44D2-8D2C-6DB8B5716F27}"/>
    <cellStyle name="Comma 11 3 2 2 5 6" xfId="16321" xr:uid="{6CC90EE9-1E37-4111-A39C-8C332C35CBAB}"/>
    <cellStyle name="Comma 11 3 2 2 5 7" xfId="31541" xr:uid="{72BE0239-68B3-4297-8830-8275BB53624B}"/>
    <cellStyle name="Comma 11 3 2 2 6" xfId="1179" xr:uid="{ACF4A02B-BF56-414E-8308-53B1AF00BBFA}"/>
    <cellStyle name="Comma 11 3 2 2 6 2" xfId="2612" xr:uid="{997D8797-DD00-4529-99B0-B622BAB0C340}"/>
    <cellStyle name="Comma 11 3 2 2 6 2 2" xfId="10103" xr:uid="{6DF7F8EF-C9DD-4CAC-B272-DC923A5AC147}"/>
    <cellStyle name="Comma 11 3 2 2 6 2 2 2" xfId="13761" xr:uid="{DC7E1F57-DEC1-49B1-8196-B51B5E4859EF}"/>
    <cellStyle name="Comma 11 3 2 2 6 2 2 2 2" xfId="28938" xr:uid="{DD0BBB31-B9AE-4A28-91C7-6A5573AB7000}"/>
    <cellStyle name="Comma 11 3 2 2 6 2 2 3" xfId="25281" xr:uid="{1A570123-4027-4E66-9724-3615666C6596}"/>
    <cellStyle name="Comma 11 3 2 2 6 2 3" xfId="5929" xr:uid="{9B9ECFF1-D18B-4FBF-AD9B-10F404F52157}"/>
    <cellStyle name="Comma 11 3 2 2 6 2 3 2" xfId="21109" xr:uid="{CE550E47-2B25-404E-A79A-C1CC6F9C8F27}"/>
    <cellStyle name="Comma 11 3 2 2 6 2 4" xfId="17821" xr:uid="{E8C1D3AC-E1D0-4FB0-BF58-F5C533D80D3C}"/>
    <cellStyle name="Comma 11 3 2 2 6 3" xfId="3499" xr:uid="{77E56672-0E79-4154-9F7F-A3B86C6C678F}"/>
    <cellStyle name="Comma 11 3 2 2 6 3 2" xfId="10987" xr:uid="{BCF32472-CD21-4792-B35C-B5FE6B2FAA34}"/>
    <cellStyle name="Comma 11 3 2 2 6 3 2 2" xfId="14533" xr:uid="{6786F280-DFA3-4DC9-B812-73C0771E2496}"/>
    <cellStyle name="Comma 11 3 2 2 6 3 2 2 2" xfId="29710" xr:uid="{9EA1AB2C-588F-49EC-AD47-6871ADE5D88E}"/>
    <cellStyle name="Comma 11 3 2 2 6 3 2 3" xfId="26165" xr:uid="{587AB107-9CFB-4F47-AF41-F25B6310C0D7}"/>
    <cellStyle name="Comma 11 3 2 2 6 3 3" xfId="6813" xr:uid="{909EEADF-6B3D-4EDC-8967-9DB8025568A3}"/>
    <cellStyle name="Comma 11 3 2 2 6 3 3 2" xfId="21993" xr:uid="{89BDC499-817D-4B14-9881-552C5F80BB62}"/>
    <cellStyle name="Comma 11 3 2 2 6 3 4" xfId="18705" xr:uid="{E88170D0-4D5A-442C-BC8C-01BB787A075D}"/>
    <cellStyle name="Comma 11 3 2 2 6 4" xfId="4219" xr:uid="{DE9E2638-B7DA-4DA1-B719-D8717041D9ED}"/>
    <cellStyle name="Comma 11 3 2 2 6 4 2" xfId="11704" xr:uid="{56AE308B-600B-463E-AAB9-D9832374E6EE}"/>
    <cellStyle name="Comma 11 3 2 2 6 4 2 2" xfId="15250" xr:uid="{61F5A346-1488-4878-907E-64487AD8FC08}"/>
    <cellStyle name="Comma 11 3 2 2 6 4 2 2 2" xfId="30427" xr:uid="{5853E8FF-F5F0-4754-9EA9-2039AB6E39B6}"/>
    <cellStyle name="Comma 11 3 2 2 6 4 2 3" xfId="26882" xr:uid="{264E2214-9581-4E04-8A08-4AA30EC457CF}"/>
    <cellStyle name="Comma 11 3 2 2 6 4 3" xfId="7530" xr:uid="{6130E826-F182-41BF-919B-E56CEF64EC7F}"/>
    <cellStyle name="Comma 11 3 2 2 6 4 3 2" xfId="22710" xr:uid="{534657CD-0A6A-4161-B14B-1104718F4DBD}"/>
    <cellStyle name="Comma 11 3 2 2 6 4 4" xfId="19422" xr:uid="{B04C77D3-CFCF-4F98-9DA9-F60E7D243E6C}"/>
    <cellStyle name="Comma 11 3 2 2 6 5" xfId="8705" xr:uid="{D76367FB-CC98-4216-B1DB-B1A018048477}"/>
    <cellStyle name="Comma 11 3 2 2 6 5 2" xfId="12878" xr:uid="{6C58CAF1-E7B8-4779-98AE-7539FA8210DD}"/>
    <cellStyle name="Comma 11 3 2 2 6 5 2 2" xfId="28055" xr:uid="{94CA87F2-776C-4CB6-B322-35C925B297E0}"/>
    <cellStyle name="Comma 11 3 2 2 6 5 3" xfId="23883" xr:uid="{AAB357ED-C63D-475B-8B24-F0E317D8BCC6}"/>
    <cellStyle name="Comma 11 3 2 2 6 6" xfId="16423" xr:uid="{A78AC50F-89B3-4283-8191-3B6CD15B065E}"/>
    <cellStyle name="Comma 11 3 2 2 7" xfId="1205" xr:uid="{292E19FB-15F1-40B3-834D-62CF3D563F2D}"/>
    <cellStyle name="Comma 11 3 2 2 7 2" xfId="2636" xr:uid="{3DFE342D-B35A-4334-9BA8-66691CEC7606}"/>
    <cellStyle name="Comma 11 3 2 2 7 2 2" xfId="10127" xr:uid="{F7064534-9259-4099-BADE-86E2DFC1B8C4}"/>
    <cellStyle name="Comma 11 3 2 2 7 2 2 2" xfId="13785" xr:uid="{BEAE25E0-9816-4C7C-92DF-7D6EF85C332B}"/>
    <cellStyle name="Comma 11 3 2 2 7 2 2 2 2" xfId="28962" xr:uid="{2BB43ADE-34C8-43F1-8DA0-84DE6BE0F779}"/>
    <cellStyle name="Comma 11 3 2 2 7 2 2 3" xfId="25305" xr:uid="{5CE28F7F-584D-4181-83A1-66E5443F7B77}"/>
    <cellStyle name="Comma 11 3 2 2 7 2 3" xfId="5953" xr:uid="{F2E20F0D-E05D-4CCE-90D4-2769D84C2742}"/>
    <cellStyle name="Comma 11 3 2 2 7 2 3 2" xfId="21133" xr:uid="{E0E4384E-7AA7-48DF-AD93-3BE34760675E}"/>
    <cellStyle name="Comma 11 3 2 2 7 2 4" xfId="17845" xr:uid="{B1E0B8C2-4530-4B50-8AB9-16ADDE0E1164}"/>
    <cellStyle name="Comma 11 3 2 2 7 3" xfId="3523" xr:uid="{81AE0CBB-DAF3-4D46-B2B3-68EBB4570ED4}"/>
    <cellStyle name="Comma 11 3 2 2 7 3 2" xfId="11011" xr:uid="{720D3FEE-138F-4127-A0C7-7C4406ED5E29}"/>
    <cellStyle name="Comma 11 3 2 2 7 3 2 2" xfId="14557" xr:uid="{7A410A7B-9D51-4654-94CB-3F23192C1334}"/>
    <cellStyle name="Comma 11 3 2 2 7 3 2 2 2" xfId="29734" xr:uid="{5F26BC13-DCFE-45BA-A291-459F36BA806E}"/>
    <cellStyle name="Comma 11 3 2 2 7 3 2 3" xfId="26189" xr:uid="{2C541CD2-15FE-44C5-B2E8-1BC30BEA7176}"/>
    <cellStyle name="Comma 11 3 2 2 7 3 3" xfId="6837" xr:uid="{0F215140-3D67-4AAF-B6CC-5C5CB4CD960C}"/>
    <cellStyle name="Comma 11 3 2 2 7 3 3 2" xfId="22017" xr:uid="{A2FE30CC-034F-4A84-B472-E3C20FD466F5}"/>
    <cellStyle name="Comma 11 3 2 2 7 3 4" xfId="18729" xr:uid="{BCB5E798-8CA0-4138-9298-5C22AA86FEF8}"/>
    <cellStyle name="Comma 11 3 2 2 7 4" xfId="4220" xr:uid="{970DAE1E-2A70-435C-A841-6F8DE4A779B5}"/>
    <cellStyle name="Comma 11 3 2 2 7 4 2" xfId="11705" xr:uid="{B11D5824-5AB1-4359-A057-6A956286870A}"/>
    <cellStyle name="Comma 11 3 2 2 7 4 2 2" xfId="15251" xr:uid="{16B29216-1A0C-4BDD-9BE6-80C6F3D01C4D}"/>
    <cellStyle name="Comma 11 3 2 2 7 4 2 2 2" xfId="30428" xr:uid="{08CC080E-663B-4983-B266-093C18084BA7}"/>
    <cellStyle name="Comma 11 3 2 2 7 4 2 3" xfId="26883" xr:uid="{D1EC5C34-C304-4187-A656-B2CC98B5499F}"/>
    <cellStyle name="Comma 11 3 2 2 7 4 3" xfId="7531" xr:uid="{3A5F7547-5E4E-4BF7-A787-FDE0E4893C5E}"/>
    <cellStyle name="Comma 11 3 2 2 7 4 3 2" xfId="22711" xr:uid="{BFBADBFC-080D-4453-BFEF-AD6A7EE78830}"/>
    <cellStyle name="Comma 11 3 2 2 7 4 4" xfId="19423" xr:uid="{7B7FEED1-FA55-46DB-A606-286082F1AC09}"/>
    <cellStyle name="Comma 11 3 2 2 7 5" xfId="8729" xr:uid="{F81C4516-5B51-4F95-A6D3-0B442B12B393}"/>
    <cellStyle name="Comma 11 3 2 2 7 5 2" xfId="12902" xr:uid="{9765F9B5-D647-4315-AEC2-4A6FEC4A6A8D}"/>
    <cellStyle name="Comma 11 3 2 2 7 5 2 2" xfId="28079" xr:uid="{83978385-970A-487C-94AD-976BB76C12B7}"/>
    <cellStyle name="Comma 11 3 2 2 7 5 3" xfId="23907" xr:uid="{5482C7E9-45C7-4F73-9C36-A9470505002B}"/>
    <cellStyle name="Comma 11 3 2 2 7 6" xfId="16447" xr:uid="{B18B96DC-7405-41A4-8C7C-B18C208B62A6}"/>
    <cellStyle name="Comma 11 3 2 2 8" xfId="1254" xr:uid="{0A3AA879-75BB-46E4-8BC1-678570C5AF5A}"/>
    <cellStyle name="Comma 11 3 2 2 8 10" xfId="31313" xr:uid="{90781B75-44DD-4E64-AE0A-1F4537247DEF}"/>
    <cellStyle name="Comma 11 3 2 2 8 2" xfId="2684" xr:uid="{4C1C6FF4-3C2C-4FA9-9D70-1C5D5A937C8C}"/>
    <cellStyle name="Comma 11 3 2 2 8 2 2" xfId="10175" xr:uid="{F83CF2F7-D5F1-4CA7-9E55-6B7F5EA73B53}"/>
    <cellStyle name="Comma 11 3 2 2 8 2 2 2" xfId="13819" xr:uid="{01254ED6-458B-4258-9761-5188AE35DAFD}"/>
    <cellStyle name="Comma 11 3 2 2 8 2 2 2 2" xfId="28996" xr:uid="{7D4B3096-AAE2-483D-AC56-3726DDE11D5F}"/>
    <cellStyle name="Comma 11 3 2 2 8 2 2 3" xfId="25353" xr:uid="{13CDABE1-A432-41FE-8070-AD10C1EB97C5}"/>
    <cellStyle name="Comma 11 3 2 2 8 2 3" xfId="6001" xr:uid="{B2F81DC9-6F9B-4AA9-9C17-6716AD6DC393}"/>
    <cellStyle name="Comma 11 3 2 2 8 2 3 2" xfId="21181" xr:uid="{6EA8F1E2-AD5E-4F9E-ADE0-4BBA9619E8F3}"/>
    <cellStyle name="Comma 11 3 2 2 8 2 4" xfId="17893" xr:uid="{9A170B45-0618-4EAF-A443-D1219E213A44}"/>
    <cellStyle name="Comma 11 3 2 2 8 3" xfId="3571" xr:uid="{D32D997A-7252-429E-80F5-1E72894EB6CE}"/>
    <cellStyle name="Comma 11 3 2 2 8 3 2" xfId="11059" xr:uid="{533DA4F2-4D84-4667-8E6C-92DAC845042F}"/>
    <cellStyle name="Comma 11 3 2 2 8 3 2 2" xfId="14605" xr:uid="{02586589-CC45-45D7-B55B-3483A808CBA9}"/>
    <cellStyle name="Comma 11 3 2 2 8 3 2 2 2" xfId="29782" xr:uid="{53F89CEF-2579-4E4B-825C-EFEF23BB43A3}"/>
    <cellStyle name="Comma 11 3 2 2 8 3 2 3" xfId="26237" xr:uid="{6D215D92-7382-44DE-A95E-FD3EF9612A61}"/>
    <cellStyle name="Comma 11 3 2 2 8 3 3" xfId="6885" xr:uid="{45F036C2-8FDE-48D8-9D21-ACB36CCBF897}"/>
    <cellStyle name="Comma 11 3 2 2 8 3 3 2" xfId="22065" xr:uid="{6A4831DC-960A-496D-9D17-AE7B0D45EC01}"/>
    <cellStyle name="Comma 11 3 2 2 8 3 4" xfId="18777" xr:uid="{553F5D6C-7693-4105-846D-5D75068E0B18}"/>
    <cellStyle name="Comma 11 3 2 2 8 4" xfId="4221" xr:uid="{EF8FDFBD-3500-477E-AECC-D33056A3AB3B}"/>
    <cellStyle name="Comma 11 3 2 2 8 4 2" xfId="11706" xr:uid="{CDA60DAE-D21E-4808-929A-D0D30AF4F09E}"/>
    <cellStyle name="Comma 11 3 2 2 8 4 2 2" xfId="15252" xr:uid="{98C2AB67-4A0D-4CE1-8D4B-F144DC9AB73D}"/>
    <cellStyle name="Comma 11 3 2 2 8 4 2 2 2" xfId="30429" xr:uid="{11B4F581-469D-4238-8ADD-27AB8D31F3DC}"/>
    <cellStyle name="Comma 11 3 2 2 8 4 2 3" xfId="26884" xr:uid="{C93A06FF-DE61-4865-910D-08C097B079A2}"/>
    <cellStyle name="Comma 11 3 2 2 8 4 3" xfId="7532" xr:uid="{E529905A-DA9F-4E08-B4A0-EB8B9732E73F}"/>
    <cellStyle name="Comma 11 3 2 2 8 4 3 2" xfId="22712" xr:uid="{9283B592-3E46-4F09-A46E-1989648DAF75}"/>
    <cellStyle name="Comma 11 3 2 2 8 4 4" xfId="19424" xr:uid="{EA40FB03-7474-4849-BA1A-967BB479B77C}"/>
    <cellStyle name="Comma 11 3 2 2 8 5" xfId="4973" xr:uid="{9C75729D-4CB9-48C8-A367-0C8774550E89}"/>
    <cellStyle name="Comma 11 3 2 2 8 5 2" xfId="12457" xr:uid="{BBB071D5-E7AC-4358-9EF8-F27D0D436A9B}"/>
    <cellStyle name="Comma 11 3 2 2 8 5 2 2" xfId="16003" xr:uid="{E78A0DD0-123C-44BE-B933-843946E876A5}"/>
    <cellStyle name="Comma 11 3 2 2 8 5 2 2 2" xfId="31180" xr:uid="{D0FC51AD-0EC4-47D6-B7AD-D6DC29C6B1C1}"/>
    <cellStyle name="Comma 11 3 2 2 8 5 2 3" xfId="27635" xr:uid="{C2DDC8C3-D61C-4E6D-B7D7-7E799B28E19A}"/>
    <cellStyle name="Comma 11 3 2 2 8 5 3" xfId="8283" xr:uid="{3A7708C3-925B-46BD-8DDC-77F3BAA89447}"/>
    <cellStyle name="Comma 11 3 2 2 8 5 3 2" xfId="23463" xr:uid="{AB317B52-49A1-45C9-98A6-36D38A6CD320}"/>
    <cellStyle name="Comma 11 3 2 2 8 5 4" xfId="20175" xr:uid="{D0001F37-2856-4FA7-9317-3AEA60C9DB07}"/>
    <cellStyle name="Comma 11 3 2 2 8 6" xfId="1794" xr:uid="{0710CC8C-CA24-40BE-B9EE-21B7401FD0B0}"/>
    <cellStyle name="Comma 11 3 2 2 8 6 2" xfId="9291" xr:uid="{3DAB8253-7D57-4A52-AD09-30502961F037}"/>
    <cellStyle name="Comma 11 3 2 2 8 6 2 2" xfId="24469" xr:uid="{B1AFC871-7436-461D-9576-3D8BFFE1977C}"/>
    <cellStyle name="Comma 11 3 2 2 8 6 3" xfId="17009" xr:uid="{1493DF60-F5A5-45BE-BB1B-6131353D4FCD}"/>
    <cellStyle name="Comma 11 3 2 2 8 7" xfId="8777" xr:uid="{D89A6BFF-771D-4346-A805-111E38EA57B1}"/>
    <cellStyle name="Comma 11 3 2 2 8 7 2" xfId="12950" xr:uid="{7B8D4DFC-0376-4579-8B21-6C86DD49B6D2}"/>
    <cellStyle name="Comma 11 3 2 2 8 7 2 2" xfId="28127" xr:uid="{6DE555B3-A556-47BE-96FF-AEA9EC8E7D49}"/>
    <cellStyle name="Comma 11 3 2 2 8 7 3" xfId="23955" xr:uid="{BB4C2DF8-1266-408C-BEDA-21BAA03F03E4}"/>
    <cellStyle name="Comma 11 3 2 2 8 8" xfId="5117" xr:uid="{623C7B3C-03E4-4695-90E6-D1E6A573AE7E}"/>
    <cellStyle name="Comma 11 3 2 2 8 8 2" xfId="20297" xr:uid="{AEF176B6-F0B8-4C1F-A203-0753BA66CCBA}"/>
    <cellStyle name="Comma 11 3 2 2 8 9" xfId="16495" xr:uid="{4D4477FB-8BE6-4D97-8E5A-ED429BC6B07D}"/>
    <cellStyle name="Comma 11 3 2 2 9" xfId="1356" xr:uid="{51EBA0B7-F59C-431B-B101-48F27236C368}"/>
    <cellStyle name="Comma 11 3 2 2 9 2" xfId="2782" xr:uid="{914EC4EC-6C08-44C7-BACA-0AED9608F144}"/>
    <cellStyle name="Comma 11 3 2 2 9 2 2" xfId="10273" xr:uid="{CEF7DBF0-144A-41DB-8BF0-0BE00F34F2D2}"/>
    <cellStyle name="Comma 11 3 2 2 9 2 2 2" xfId="13868" xr:uid="{4F471C7B-3078-4649-94CA-FCF0F91EA822}"/>
    <cellStyle name="Comma 11 3 2 2 9 2 2 2 2" xfId="29045" xr:uid="{BBD5737B-5D69-4059-9195-D184DFEAB8F7}"/>
    <cellStyle name="Comma 11 3 2 2 9 2 2 3" xfId="25451" xr:uid="{7D5E897E-6B61-4398-B49F-F33B6072208B}"/>
    <cellStyle name="Comma 11 3 2 2 9 2 3" xfId="6099" xr:uid="{9FF0B9D0-5D24-49C7-AF3F-9A143524E43B}"/>
    <cellStyle name="Comma 11 3 2 2 9 2 3 2" xfId="21279" xr:uid="{51F1742D-FFFB-4C08-9D09-D38EEE443252}"/>
    <cellStyle name="Comma 11 3 2 2 9 2 4" xfId="17991" xr:uid="{B596362F-64DA-486C-B7C5-A709A7903D6E}"/>
    <cellStyle name="Comma 11 3 2 2 9 3" xfId="3669" xr:uid="{5B6AE5B0-FE15-4571-896D-CA96503D7096}"/>
    <cellStyle name="Comma 11 3 2 2 9 3 2" xfId="11157" xr:uid="{05788E5B-0F39-4114-BF97-413894090F35}"/>
    <cellStyle name="Comma 11 3 2 2 9 3 2 2" xfId="14703" xr:uid="{403396C9-6FA2-44F0-955C-CE97BD40563D}"/>
    <cellStyle name="Comma 11 3 2 2 9 3 2 2 2" xfId="29880" xr:uid="{82246A5A-7E46-437C-B50C-DCBA1FB25A83}"/>
    <cellStyle name="Comma 11 3 2 2 9 3 2 3" xfId="26335" xr:uid="{86979B6A-85D4-4E99-B8CE-6EB3A967369E}"/>
    <cellStyle name="Comma 11 3 2 2 9 3 3" xfId="6983" xr:uid="{74726789-9B5A-464A-A745-78C369CBD18B}"/>
    <cellStyle name="Comma 11 3 2 2 9 3 3 2" xfId="22163" xr:uid="{FE17031B-CE63-4C2C-995F-D78714A8263A}"/>
    <cellStyle name="Comma 11 3 2 2 9 3 4" xfId="18875" xr:uid="{6F3C7DB3-0ECD-4A1E-9155-9E6DA86EAA8C}"/>
    <cellStyle name="Comma 11 3 2 2 9 4" xfId="4222" xr:uid="{18778FB9-4C36-4450-A595-649A39E7573B}"/>
    <cellStyle name="Comma 11 3 2 2 9 4 2" xfId="11707" xr:uid="{A9C78CFA-08C3-4E30-96A8-88263B398AC4}"/>
    <cellStyle name="Comma 11 3 2 2 9 4 2 2" xfId="15253" xr:uid="{A03E40BE-05F6-4DCF-BA68-404C0FD7DB6E}"/>
    <cellStyle name="Comma 11 3 2 2 9 4 2 2 2" xfId="30430" xr:uid="{F8AF4B4B-2345-438A-829E-10ADA58E5178}"/>
    <cellStyle name="Comma 11 3 2 2 9 4 2 3" xfId="26885" xr:uid="{D41B4C4A-ABBC-4418-8544-1C46449CF332}"/>
    <cellStyle name="Comma 11 3 2 2 9 4 3" xfId="7533" xr:uid="{0656E196-BDE0-4EA8-AF8A-321BE276BD8E}"/>
    <cellStyle name="Comma 11 3 2 2 9 4 3 2" xfId="22713" xr:uid="{B63DC445-112C-4460-8FF9-FA1E6D75F07F}"/>
    <cellStyle name="Comma 11 3 2 2 9 4 4" xfId="19425" xr:uid="{F4973337-2435-424E-B9BE-E7533A74E068}"/>
    <cellStyle name="Comma 11 3 2 2 9 5" xfId="1892" xr:uid="{47568448-AA58-4766-AAEA-13C67D756C0A}"/>
    <cellStyle name="Comma 11 3 2 2 9 5 2" xfId="9389" xr:uid="{1CED7798-1CD0-4DFB-9909-5AA874D39765}"/>
    <cellStyle name="Comma 11 3 2 2 9 5 2 2" xfId="24567" xr:uid="{24D7A245-C428-43BF-A099-C644E7628C98}"/>
    <cellStyle name="Comma 11 3 2 2 9 5 3" xfId="17107" xr:uid="{248BD70F-3A1A-491A-966B-E688EF6A7C6E}"/>
    <cellStyle name="Comma 11 3 2 2 9 6" xfId="8875" xr:uid="{AC2714D4-9784-47B8-AC7B-8D4339522451}"/>
    <cellStyle name="Comma 11 3 2 2 9 6 2" xfId="13048" xr:uid="{168EF349-9EB9-4EE9-A376-D9504751E94D}"/>
    <cellStyle name="Comma 11 3 2 2 9 6 2 2" xfId="28225" xr:uid="{C85A0FE7-9A76-4C23-BE5F-120E764CE0D4}"/>
    <cellStyle name="Comma 11 3 2 2 9 6 3" xfId="24053" xr:uid="{CE3002E7-CEA2-40A9-8649-78B25CB8BB14}"/>
    <cellStyle name="Comma 11 3 2 2 9 7" xfId="5215" xr:uid="{66907404-B34A-4021-A4A2-FABD51364D33}"/>
    <cellStyle name="Comma 11 3 2 2 9 7 2" xfId="20395" xr:uid="{22F9D56C-B871-4F93-B3E0-D896EDD54E85}"/>
    <cellStyle name="Comma 11 3 2 2 9 8" xfId="16593" xr:uid="{427A1856-FBBC-4C43-80C7-1F3DCE76B6B2}"/>
    <cellStyle name="Comma 11 3 2 3" xfId="576" xr:uid="{477F1EFE-65E9-492F-BB0E-FC5353CD130A}"/>
    <cellStyle name="Comma 11 3 2 3 10" xfId="16199" xr:uid="{4D9E980E-EA87-488A-8183-CB6649427D85}"/>
    <cellStyle name="Comma 11 3 2 3 11" xfId="31289" xr:uid="{4D78AF09-8B46-4EB8-9E66-DC158369A7E9}"/>
    <cellStyle name="Comma 11 3 2 3 12" xfId="31639" xr:uid="{B462F4CD-77E4-4668-80A1-F322D54461F1}"/>
    <cellStyle name="Comma 11 3 2 3 13" xfId="867" xr:uid="{2872D844-E2F3-465E-873E-77C0EC7F0B22}"/>
    <cellStyle name="Comma 11 3 2 3 2" xfId="1230" xr:uid="{DC5FCF92-E795-4373-B5C9-C44D36EF7F8A}"/>
    <cellStyle name="Comma 11 3 2 3 2 2" xfId="3547" xr:uid="{45FC894E-4320-4658-BF77-6CA0DCE9CED6}"/>
    <cellStyle name="Comma 11 3 2 3 2 2 2" xfId="11035" xr:uid="{E707521D-8A89-4524-8E03-0F73735E85BC}"/>
    <cellStyle name="Comma 11 3 2 3 2 2 2 2" xfId="14581" xr:uid="{17D9DFC1-AA1D-4CF4-9E7E-F9117DEC22AC}"/>
    <cellStyle name="Comma 11 3 2 3 2 2 2 2 2" xfId="29758" xr:uid="{B78A6698-62AB-4C90-B379-556EB42F0B68}"/>
    <cellStyle name="Comma 11 3 2 3 2 2 2 3" xfId="26213" xr:uid="{BC260BD9-F0CB-41D7-B62F-3E5310EA2405}"/>
    <cellStyle name="Comma 11 3 2 3 2 2 3" xfId="6861" xr:uid="{84789656-0118-4D2A-9708-CCAD3E1E82B0}"/>
    <cellStyle name="Comma 11 3 2 3 2 2 3 2" xfId="22041" xr:uid="{A9B6270D-4353-42A3-B847-78949F9FDCD1}"/>
    <cellStyle name="Comma 11 3 2 3 2 2 4" xfId="18753" xr:uid="{2D62B028-E00C-4F8F-999A-09B2BA220999}"/>
    <cellStyle name="Comma 11 3 2 3 2 3" xfId="4223" xr:uid="{30525973-8F21-4780-BFCF-BAE7E87DC0F4}"/>
    <cellStyle name="Comma 11 3 2 3 2 3 2" xfId="11708" xr:uid="{3A143BCC-164E-4BFC-90F3-733E3E6F6C05}"/>
    <cellStyle name="Comma 11 3 2 3 2 3 2 2" xfId="15254" xr:uid="{6CC005B3-5507-4492-98F2-04FD457D71B0}"/>
    <cellStyle name="Comma 11 3 2 3 2 3 2 2 2" xfId="30431" xr:uid="{DDD4C342-9EBB-4C4E-8E59-00BB590C055C}"/>
    <cellStyle name="Comma 11 3 2 3 2 3 2 3" xfId="26886" xr:uid="{F608C027-2A94-4451-A246-BDB8FFDB2FC0}"/>
    <cellStyle name="Comma 11 3 2 3 2 3 3" xfId="7534" xr:uid="{A065C3C4-7791-464D-956F-AB7A8B9CFB4C}"/>
    <cellStyle name="Comma 11 3 2 3 2 3 3 2" xfId="22714" xr:uid="{65A83A09-9B80-4BBC-8DC9-1A7D25EC98CA}"/>
    <cellStyle name="Comma 11 3 2 3 2 3 4" xfId="19426" xr:uid="{4785A8E9-30F7-4CCE-913A-FDC87958B5D1}"/>
    <cellStyle name="Comma 11 3 2 3 2 4" xfId="2660" xr:uid="{5D26B285-AED2-41FF-BB56-D5BB2E3315BA}"/>
    <cellStyle name="Comma 11 3 2 3 2 4 2" xfId="10151" xr:uid="{B12149AC-F1E2-4474-82E1-B38FF73982AE}"/>
    <cellStyle name="Comma 11 3 2 3 2 4 2 2" xfId="25329" xr:uid="{61FBFB00-C9F1-4355-8B2D-0E9F191D05BD}"/>
    <cellStyle name="Comma 11 3 2 3 2 4 3" xfId="17869" xr:uid="{C2737B75-07B3-4C35-971C-655D854DA844}"/>
    <cellStyle name="Comma 11 3 2 3 2 5" xfId="8753" xr:uid="{CC2F5CBE-3275-49EA-B354-D3D5B639B52F}"/>
    <cellStyle name="Comma 11 3 2 3 2 5 2" xfId="12926" xr:uid="{4E047EB6-BA40-41F1-9EBE-8525A25B7E75}"/>
    <cellStyle name="Comma 11 3 2 3 2 5 2 2" xfId="28103" xr:uid="{B4774D4E-E179-4206-A56B-B1B26414D680}"/>
    <cellStyle name="Comma 11 3 2 3 2 5 3" xfId="23931" xr:uid="{768313B3-178E-4161-9831-54F80176D359}"/>
    <cellStyle name="Comma 11 3 2 3 2 6" xfId="5977" xr:uid="{09FA3E09-4C1B-4844-BA41-D62193480EC7}"/>
    <cellStyle name="Comma 11 3 2 3 2 6 2" xfId="21157" xr:uid="{32F678AD-09CA-46EE-A613-40E353FB6018}"/>
    <cellStyle name="Comma 11 3 2 3 2 7" xfId="16471" xr:uid="{2E96FE5B-FC8B-4CCC-ADD0-01DC90939C37}"/>
    <cellStyle name="Comma 11 3 2 3 3" xfId="2385" xr:uid="{4DA1FA15-6C82-4667-BD6C-DD0193393A83}"/>
    <cellStyle name="Comma 11 3 2 3 3 2" xfId="9879" xr:uid="{DF46B666-0108-4DF1-B03C-C72CB2F53EF1}"/>
    <cellStyle name="Comma 11 3 2 3 3 2 2" xfId="13538" xr:uid="{418D09DF-3084-41E8-9C28-4D3F85006D0B}"/>
    <cellStyle name="Comma 11 3 2 3 3 2 2 2" xfId="28715" xr:uid="{380479A5-B8B0-47EA-A7E5-837A816CA362}"/>
    <cellStyle name="Comma 11 3 2 3 3 2 3" xfId="25057" xr:uid="{32C4710B-38C9-4E24-A9F3-D0B73BE759F6}"/>
    <cellStyle name="Comma 11 3 2 3 3 3" xfId="5705" xr:uid="{BF3A8A4E-1CCE-47D6-8C28-A220FDF16132}"/>
    <cellStyle name="Comma 11 3 2 3 3 3 2" xfId="20885" xr:uid="{F3CAA8B5-B524-4FBB-97E5-D68D83C9A3C2}"/>
    <cellStyle name="Comma 11 3 2 3 3 4" xfId="17597" xr:uid="{84CF9B6D-0BF1-4166-8D69-4014017D811C}"/>
    <cellStyle name="Comma 11 3 2 3 4" xfId="3275" xr:uid="{A9D74E3D-2962-42F7-8E52-139F2C06047D}"/>
    <cellStyle name="Comma 11 3 2 3 4 2" xfId="10763" xr:uid="{CE0215B1-A0BC-4163-8EE5-7FB1D4F01449}"/>
    <cellStyle name="Comma 11 3 2 3 4 2 2" xfId="14309" xr:uid="{AD3D5040-7BF4-45D6-8F38-B513EFC8BE2F}"/>
    <cellStyle name="Comma 11 3 2 3 4 2 2 2" xfId="29486" xr:uid="{6EDECC9A-4C5A-4FDB-8B10-5171CC573D40}"/>
    <cellStyle name="Comma 11 3 2 3 4 2 3" xfId="25941" xr:uid="{C72ECB9E-B6C7-407B-AA7F-605DA630BB8F}"/>
    <cellStyle name="Comma 11 3 2 3 4 3" xfId="6589" xr:uid="{7C08D719-D80E-4B09-8D17-267B86CFE918}"/>
    <cellStyle name="Comma 11 3 2 3 4 3 2" xfId="21769" xr:uid="{C311E109-6918-46E1-A5E7-5E9F97A4AA72}"/>
    <cellStyle name="Comma 11 3 2 3 4 4" xfId="18481" xr:uid="{C3C74136-79E6-475F-9AA7-EA871C2AEB7C}"/>
    <cellStyle name="Comma 11 3 2 3 5" xfId="4224" xr:uid="{002D4DF9-7AC5-423F-BAAF-34143AA4FFF6}"/>
    <cellStyle name="Comma 11 3 2 3 5 2" xfId="11709" xr:uid="{3F0E60A6-5F6D-4762-8A2F-CA7A52FE18DC}"/>
    <cellStyle name="Comma 11 3 2 3 5 2 2" xfId="15255" xr:uid="{C4679F3E-3C37-4B2D-A0FD-716BD3A6DC92}"/>
    <cellStyle name="Comma 11 3 2 3 5 2 2 2" xfId="30432" xr:uid="{605CC13D-BD85-4870-ADF1-576D08F323F5}"/>
    <cellStyle name="Comma 11 3 2 3 5 2 3" xfId="26887" xr:uid="{932E2315-9D40-4A54-85BA-63FB4FD3D7D1}"/>
    <cellStyle name="Comma 11 3 2 3 5 3" xfId="7535" xr:uid="{ED726E78-9F40-45B1-AD2F-3CFE27CB5885}"/>
    <cellStyle name="Comma 11 3 2 3 5 3 2" xfId="22715" xr:uid="{D6A3AF91-37D3-4AB1-87EC-D5E08FA28881}"/>
    <cellStyle name="Comma 11 3 2 3 5 4" xfId="19427" xr:uid="{0BCD2976-CFA4-4F1F-8478-E0A808AB4CBF}"/>
    <cellStyle name="Comma 11 3 2 3 6" xfId="4949" xr:uid="{4B38EF3B-64D6-4D64-87BA-3CCA53FA4CEB}"/>
    <cellStyle name="Comma 11 3 2 3 6 2" xfId="12433" xr:uid="{5531AEA8-14E6-4667-90EB-970B6CC1F7A1}"/>
    <cellStyle name="Comma 11 3 2 3 6 2 2" xfId="15979" xr:uid="{6D538807-7799-4241-89CD-5FFE074EE33F}"/>
    <cellStyle name="Comma 11 3 2 3 6 2 2 2" xfId="31156" xr:uid="{84525C4A-0126-46F3-AB6A-B786A7049189}"/>
    <cellStyle name="Comma 11 3 2 3 6 2 3" xfId="27611" xr:uid="{E043F4EC-F155-4F19-BED4-169426B74B66}"/>
    <cellStyle name="Comma 11 3 2 3 6 3" xfId="8259" xr:uid="{8D911757-1848-4925-BF27-31CB66DEA3FF}"/>
    <cellStyle name="Comma 11 3 2 3 6 3 2" xfId="23439" xr:uid="{5A85E9F3-1B0A-41EB-98E2-3835E0F084A2}"/>
    <cellStyle name="Comma 11 3 2 3 6 4" xfId="20151" xr:uid="{AA16BC73-B660-441D-B629-05D7D8D2FE31}"/>
    <cellStyle name="Comma 11 3 2 3 7" xfId="1770" xr:uid="{F42110B3-A85F-46FC-9038-EE6B69B4DE0A}"/>
    <cellStyle name="Comma 11 3 2 3 7 2" xfId="9267" xr:uid="{CF420D41-2FA4-49B5-A02E-9037ECB813BF}"/>
    <cellStyle name="Comma 11 3 2 3 7 2 2" xfId="24445" xr:uid="{AC422596-36EA-4135-9EB7-E37238813DBA}"/>
    <cellStyle name="Comma 11 3 2 3 7 3" xfId="16985" xr:uid="{0AD13BBC-5982-4C96-8E77-96A5278E2195}"/>
    <cellStyle name="Comma 11 3 2 3 8" xfId="8481" xr:uid="{F2C1EA74-0D4A-46AA-8214-C04A9AE115AB}"/>
    <cellStyle name="Comma 11 3 2 3 8 2" xfId="12654" xr:uid="{7661F951-C37E-4CB8-95AE-371955ED51E3}"/>
    <cellStyle name="Comma 11 3 2 3 8 2 2" xfId="27831" xr:uid="{480C33F1-BEF1-4F2A-85C3-802F44588545}"/>
    <cellStyle name="Comma 11 3 2 3 8 3" xfId="23659" xr:uid="{C2587451-5C02-4EF5-A704-0B31231058D7}"/>
    <cellStyle name="Comma 11 3 2 3 9" xfId="5093" xr:uid="{F4FC857F-1985-41FA-BF20-AA49674F2B28}"/>
    <cellStyle name="Comma 11 3 2 3 9 2" xfId="20273" xr:uid="{2EEFC86B-5CB6-4B1D-9716-B95F7C746401}"/>
    <cellStyle name="Comma 11 3 2 4" xfId="31419" xr:uid="{7DB6CECB-D6BA-43B0-9A25-FF9C20C3E5CD}"/>
    <cellStyle name="Comma 11 3 2 5" xfId="627" xr:uid="{9BD69E7B-EDF8-4D6C-AF3A-836D9CD83093}"/>
    <cellStyle name="Comma 11 3 3" xfId="275" xr:uid="{F0B67D57-ACB3-4755-9559-9A1DD25E3374}"/>
    <cellStyle name="Comma 11 3 3 10" xfId="1442" xr:uid="{2A5B3F3C-ED17-44F2-8F99-2CE03663EE7F}"/>
    <cellStyle name="Comma 11 3 3 10 2" xfId="2867" xr:uid="{E0B88C15-76C0-45EE-BF62-25E97E4ED67B}"/>
    <cellStyle name="Comma 11 3 3 10 2 2" xfId="10358" xr:uid="{E91FDA7B-52D7-45BF-BB0B-9450A2EF15BC}"/>
    <cellStyle name="Comma 11 3 3 10 2 2 2" xfId="13904" xr:uid="{683BBA42-5AE7-4E4A-AAC2-82EB3E1B27F5}"/>
    <cellStyle name="Comma 11 3 3 10 2 2 2 2" xfId="29081" xr:uid="{33826231-5985-420B-8207-96BBAA7CB7C6}"/>
    <cellStyle name="Comma 11 3 3 10 2 2 3" xfId="25536" xr:uid="{D30C1B17-7368-446D-87C5-BB1AD331C159}"/>
    <cellStyle name="Comma 11 3 3 10 2 3" xfId="6184" xr:uid="{55C8EB62-5B86-428C-9767-26D21C0DB55B}"/>
    <cellStyle name="Comma 11 3 3 10 2 3 2" xfId="21364" xr:uid="{C0EFE58B-B2F7-4F28-A305-8D3C521120BC}"/>
    <cellStyle name="Comma 11 3 3 10 2 4" xfId="18076" xr:uid="{85E97AC0-8B9B-408B-9AA9-4CBEDEDBE705}"/>
    <cellStyle name="Comma 11 3 3 10 3" xfId="3754" xr:uid="{3D68866C-0F72-44BD-8CDC-A6656816FAA8}"/>
    <cellStyle name="Comma 11 3 3 10 3 2" xfId="11242" xr:uid="{006D5F72-7A78-4F41-9F56-47CCBA2E69E0}"/>
    <cellStyle name="Comma 11 3 3 10 3 2 2" xfId="14788" xr:uid="{C354632E-53EA-4EFD-A748-086F6E14F59C}"/>
    <cellStyle name="Comma 11 3 3 10 3 2 2 2" xfId="29965" xr:uid="{C41C0441-537E-44D2-9C90-31467B3F98EF}"/>
    <cellStyle name="Comma 11 3 3 10 3 2 3" xfId="26420" xr:uid="{AD6EEB62-E18B-40F4-BD0A-B0BAA635A519}"/>
    <cellStyle name="Comma 11 3 3 10 3 3" xfId="7068" xr:uid="{8E1D8BD0-4901-49E5-A29F-8CE71E468814}"/>
    <cellStyle name="Comma 11 3 3 10 3 3 2" xfId="22248" xr:uid="{53E7EB51-018E-4764-BD54-07E5FA07FFAB}"/>
    <cellStyle name="Comma 11 3 3 10 3 4" xfId="18960" xr:uid="{C083F8F5-DCA2-4C07-8844-F71C0EEA7A6F}"/>
    <cellStyle name="Comma 11 3 3 10 4" xfId="4225" xr:uid="{38253B19-E515-4D03-9D36-AE0AE7534650}"/>
    <cellStyle name="Comma 11 3 3 10 4 2" xfId="11710" xr:uid="{83128ED3-05B6-479E-9011-7C959BF94C78}"/>
    <cellStyle name="Comma 11 3 3 10 4 2 2" xfId="15256" xr:uid="{3524156C-E1E3-48B5-8931-04C376B6FC70}"/>
    <cellStyle name="Comma 11 3 3 10 4 2 2 2" xfId="30433" xr:uid="{672BC222-7762-4209-A0C9-98B444CE6823}"/>
    <cellStyle name="Comma 11 3 3 10 4 2 3" xfId="26888" xr:uid="{1FEE0FEF-0C2D-4014-A7BC-B1E8E393AA95}"/>
    <cellStyle name="Comma 11 3 3 10 4 3" xfId="7536" xr:uid="{D41672E3-263F-4AC8-8371-70AB21762CC0}"/>
    <cellStyle name="Comma 11 3 3 10 4 3 2" xfId="22716" xr:uid="{9A7B167F-0192-4EB1-9FC7-2FDF336619B6}"/>
    <cellStyle name="Comma 11 3 3 10 4 4" xfId="19428" xr:uid="{95D615EA-89E0-488F-8C16-4305BCA0A9D2}"/>
    <cellStyle name="Comma 11 3 3 10 5" xfId="1977" xr:uid="{9493AD1A-F13D-4E5B-8440-DB36FC0B2223}"/>
    <cellStyle name="Comma 11 3 3 10 5 2" xfId="9474" xr:uid="{9DEE6EF1-3F33-49C4-BCAE-19C49B365F4E}"/>
    <cellStyle name="Comma 11 3 3 10 5 2 2" xfId="24652" xr:uid="{6785EC89-EAB4-41AB-8A4C-8B19AA7CACAB}"/>
    <cellStyle name="Comma 11 3 3 10 5 3" xfId="17192" xr:uid="{CECE84FB-EF61-4642-B157-7A7B700689B3}"/>
    <cellStyle name="Comma 11 3 3 10 6" xfId="8960" xr:uid="{A86C6BC8-8FE5-4BB5-9EFF-CF3AA3CCCBE7}"/>
    <cellStyle name="Comma 11 3 3 10 6 2" xfId="13133" xr:uid="{ACD2A9B8-E543-4862-8F28-AF6035784197}"/>
    <cellStyle name="Comma 11 3 3 10 6 2 2" xfId="28310" xr:uid="{96B0C99B-12D7-4009-8759-52E0074905E0}"/>
    <cellStyle name="Comma 11 3 3 10 6 3" xfId="24138" xr:uid="{1838B55E-8A89-4D59-B024-14E17593513A}"/>
    <cellStyle name="Comma 11 3 3 10 7" xfId="5300" xr:uid="{02D35A8D-3FBB-4A5F-B9DD-34B2BBEDCC4F}"/>
    <cellStyle name="Comma 11 3 3 10 7 2" xfId="20480" xr:uid="{78CCB4A0-BB1D-46A9-B478-96193D00E2B0}"/>
    <cellStyle name="Comma 11 3 3 10 8" xfId="16678" xr:uid="{F01BFF4F-15E4-466C-8987-525DF162FE81}"/>
    <cellStyle name="Comma 11 3 3 11" xfId="1545" xr:uid="{166B76D0-6E6A-4C10-AEBE-728BEC606976}"/>
    <cellStyle name="Comma 11 3 3 11 2" xfId="2965" xr:uid="{5AFBD198-7C3B-4B59-9811-C4CA5A63DCA5}"/>
    <cellStyle name="Comma 11 3 3 11 2 2" xfId="10456" xr:uid="{D77B38C4-9E34-41B8-866A-645026E4B1E9}"/>
    <cellStyle name="Comma 11 3 3 11 2 2 2" xfId="14002" xr:uid="{55CCD741-AD62-4418-8616-FC76040AF658}"/>
    <cellStyle name="Comma 11 3 3 11 2 2 2 2" xfId="29179" xr:uid="{081CFAFF-3DF6-4FEC-8B45-49277703C01A}"/>
    <cellStyle name="Comma 11 3 3 11 2 2 3" xfId="25634" xr:uid="{E2AA7E9E-568B-4E91-A087-94FF335932A1}"/>
    <cellStyle name="Comma 11 3 3 11 2 3" xfId="6282" xr:uid="{9E6B8C23-6469-4BA8-AB3E-D4BB52493179}"/>
    <cellStyle name="Comma 11 3 3 11 2 3 2" xfId="21462" xr:uid="{4467AB96-84A6-4003-84CA-540D31D14595}"/>
    <cellStyle name="Comma 11 3 3 11 2 4" xfId="18174" xr:uid="{6D871A67-2CA5-4AC9-A4DC-BF8CBD7D5F7D}"/>
    <cellStyle name="Comma 11 3 3 11 3" xfId="3852" xr:uid="{104DD2D0-DAA7-4EFA-A1EB-F4E6DFC042DC}"/>
    <cellStyle name="Comma 11 3 3 11 3 2" xfId="11340" xr:uid="{59F8A0C5-F2A5-43E0-A128-AFEB3D80E082}"/>
    <cellStyle name="Comma 11 3 3 11 3 2 2" xfId="14886" xr:uid="{2ABE4AD4-AEB6-4EF1-B0D7-43B7F378AE98}"/>
    <cellStyle name="Comma 11 3 3 11 3 2 2 2" xfId="30063" xr:uid="{8A5F5403-BF52-4695-A4CC-961632567BAC}"/>
    <cellStyle name="Comma 11 3 3 11 3 2 3" xfId="26518" xr:uid="{FD3230FF-8431-44D5-9328-7DA20856AA98}"/>
    <cellStyle name="Comma 11 3 3 11 3 3" xfId="7166" xr:uid="{6B906839-B2BB-4023-BC62-5F4CD8C7A906}"/>
    <cellStyle name="Comma 11 3 3 11 3 3 2" xfId="22346" xr:uid="{DD3C07DC-ECDF-49BF-B078-D9B4E531342E}"/>
    <cellStyle name="Comma 11 3 3 11 3 4" xfId="19058" xr:uid="{179DE641-89F4-4BA1-825E-76C34560D77C}"/>
    <cellStyle name="Comma 11 3 3 11 4" xfId="4226" xr:uid="{030D9F4C-356A-4FF2-8218-ACB8A61FADC2}"/>
    <cellStyle name="Comma 11 3 3 11 4 2" xfId="11711" xr:uid="{52FC07EE-18FF-4BFD-8CAE-A0B65FBEBF3B}"/>
    <cellStyle name="Comma 11 3 3 11 4 2 2" xfId="15257" xr:uid="{94361A2D-56AE-4EB3-83F0-2DB6296C4D9E}"/>
    <cellStyle name="Comma 11 3 3 11 4 2 2 2" xfId="30434" xr:uid="{28BFCFDC-E0D9-4089-BC4D-F2D33FFCF1CE}"/>
    <cellStyle name="Comma 11 3 3 11 4 2 3" xfId="26889" xr:uid="{C9A25451-99AB-4F8D-8204-08F007305CC2}"/>
    <cellStyle name="Comma 11 3 3 11 4 3" xfId="7537" xr:uid="{AE48D6EC-5D6E-467F-BF17-8961782D5BE5}"/>
    <cellStyle name="Comma 11 3 3 11 4 3 2" xfId="22717" xr:uid="{90B06790-D0E5-4905-9E5F-8E7F5893C8B4}"/>
    <cellStyle name="Comma 11 3 3 11 4 4" xfId="19429" xr:uid="{6D555072-3A87-4A93-81FA-F4C1D62303A2}"/>
    <cellStyle name="Comma 11 3 3 11 5" xfId="2075" xr:uid="{2C0EF20E-8F8E-4E30-9566-C4A8D93735C7}"/>
    <cellStyle name="Comma 11 3 3 11 5 2" xfId="9572" xr:uid="{1B53189D-6438-43CB-AB46-E9299BD104AB}"/>
    <cellStyle name="Comma 11 3 3 11 5 2 2" xfId="24750" xr:uid="{8D8B0E65-0F7E-4F41-8DCE-3FF485186821}"/>
    <cellStyle name="Comma 11 3 3 11 5 3" xfId="17290" xr:uid="{C9431330-75FA-46C1-BD39-795347B6A8A7}"/>
    <cellStyle name="Comma 11 3 3 11 6" xfId="9058" xr:uid="{BD4490A2-4E88-49A6-9243-BF1C9C47F35E}"/>
    <cellStyle name="Comma 11 3 3 11 6 2" xfId="13231" xr:uid="{FF52417C-07FD-432D-A4F3-64E456333741}"/>
    <cellStyle name="Comma 11 3 3 11 6 2 2" xfId="28408" xr:uid="{01B73370-C643-42CD-928E-671750EFD86D}"/>
    <cellStyle name="Comma 11 3 3 11 6 3" xfId="24236" xr:uid="{CC805B21-48B5-4CEE-8011-B31CFCF7D29A}"/>
    <cellStyle name="Comma 11 3 3 11 7" xfId="5398" xr:uid="{2C163EF1-B293-4B28-92B5-F55AD155558D}"/>
    <cellStyle name="Comma 11 3 3 11 7 2" xfId="20578" xr:uid="{D4B2066B-F54C-4A21-8B31-0753672BEFC4}"/>
    <cellStyle name="Comma 11 3 3 11 8" xfId="16776" xr:uid="{E564641D-1F4B-4A88-87FD-78A43344576C}"/>
    <cellStyle name="Comma 11 3 3 12" xfId="1644" xr:uid="{F39B2015-7419-4C87-851C-C865D0C48BC0}"/>
    <cellStyle name="Comma 11 3 3 12 2" xfId="3063" xr:uid="{F1B01C85-9BB0-4987-B831-024D08D27A7E}"/>
    <cellStyle name="Comma 11 3 3 12 2 2" xfId="10554" xr:uid="{2CB5185D-FE8A-4C8D-8EDB-E538D011283F}"/>
    <cellStyle name="Comma 11 3 3 12 2 2 2" xfId="14100" xr:uid="{43739F81-9085-4BB2-9EC5-A90479B40F0D}"/>
    <cellStyle name="Comma 11 3 3 12 2 2 2 2" xfId="29277" xr:uid="{3030E8F6-516A-463F-BEAA-DDAFB81231BD}"/>
    <cellStyle name="Comma 11 3 3 12 2 2 3" xfId="25732" xr:uid="{C6C0829A-9104-45EA-A607-7F51DE1E8512}"/>
    <cellStyle name="Comma 11 3 3 12 2 3" xfId="6380" xr:uid="{E3D3340B-F484-4B51-98D9-35234DE76340}"/>
    <cellStyle name="Comma 11 3 3 12 2 3 2" xfId="21560" xr:uid="{16ECD927-BC5B-4C4E-B73D-F4A42EFC94BE}"/>
    <cellStyle name="Comma 11 3 3 12 2 4" xfId="18272" xr:uid="{7D681A0F-299E-491D-BD9B-3C53A71706E9}"/>
    <cellStyle name="Comma 11 3 3 12 3" xfId="3950" xr:uid="{DEDE3BD4-6435-4BD7-9D21-F3FE922234FA}"/>
    <cellStyle name="Comma 11 3 3 12 3 2" xfId="11438" xr:uid="{A54BF357-E7DA-4AEB-98CB-3B8643ADAC3A}"/>
    <cellStyle name="Comma 11 3 3 12 3 2 2" xfId="14984" xr:uid="{08B4EFA3-EE25-48D6-B655-A5C1884626AB}"/>
    <cellStyle name="Comma 11 3 3 12 3 2 2 2" xfId="30161" xr:uid="{115072A4-2EE5-42AD-9AF7-D0668C7574CB}"/>
    <cellStyle name="Comma 11 3 3 12 3 2 3" xfId="26616" xr:uid="{C8A4046A-CC0B-40F1-8E98-EA6D088FB752}"/>
    <cellStyle name="Comma 11 3 3 12 3 3" xfId="7264" xr:uid="{152326F9-F2A9-42DC-B8FD-B368A404DE66}"/>
    <cellStyle name="Comma 11 3 3 12 3 3 2" xfId="22444" xr:uid="{B58B7D24-CC6B-4F87-8E5F-ED1F7E05A605}"/>
    <cellStyle name="Comma 11 3 3 12 3 4" xfId="19156" xr:uid="{E5CFC621-9B11-4166-87DA-9CE7C0C9840D}"/>
    <cellStyle name="Comma 11 3 3 12 4" xfId="4227" xr:uid="{05E65395-433E-47A6-AC0B-8D2E000C483D}"/>
    <cellStyle name="Comma 11 3 3 12 4 2" xfId="11712" xr:uid="{AE5E5C8D-2DD0-4361-B299-3CF952180A09}"/>
    <cellStyle name="Comma 11 3 3 12 4 2 2" xfId="15258" xr:uid="{F303C370-E92C-4D13-A9F3-888FB03011B5}"/>
    <cellStyle name="Comma 11 3 3 12 4 2 2 2" xfId="30435" xr:uid="{965139F3-FB13-42ED-A31A-5F7C15A52064}"/>
    <cellStyle name="Comma 11 3 3 12 4 2 3" xfId="26890" xr:uid="{C08D65F3-EB42-48BE-88C3-C41E5AC13F12}"/>
    <cellStyle name="Comma 11 3 3 12 4 3" xfId="7538" xr:uid="{3D71EC37-C7F8-4441-A38D-42E26457E6D3}"/>
    <cellStyle name="Comma 11 3 3 12 4 3 2" xfId="22718" xr:uid="{740A1F04-950F-4E31-80AD-C55F7CB820FE}"/>
    <cellStyle name="Comma 11 3 3 12 4 4" xfId="19430" xr:uid="{915581BC-BEBF-41F8-8187-371F18FE79B7}"/>
    <cellStyle name="Comma 11 3 3 12 5" xfId="2173" xr:uid="{925B3E17-317A-45C9-A0FE-E65EBFB1B134}"/>
    <cellStyle name="Comma 11 3 3 12 5 2" xfId="9670" xr:uid="{C21820D1-252A-4DC1-9CD6-90EBE6A99EF4}"/>
    <cellStyle name="Comma 11 3 3 12 5 2 2" xfId="24848" xr:uid="{445307B8-2AB6-4AE9-89B8-71F49213D7BC}"/>
    <cellStyle name="Comma 11 3 3 12 5 3" xfId="17388" xr:uid="{C5D74458-5FD3-4B03-B2A9-D9A9FF83E9C2}"/>
    <cellStyle name="Comma 11 3 3 12 6" xfId="9156" xr:uid="{B164BED3-9903-4489-97CD-C85D309C9F57}"/>
    <cellStyle name="Comma 11 3 3 12 6 2" xfId="13329" xr:uid="{281C5BCE-B51C-4BF9-AE7D-14BE8EE3D63E}"/>
    <cellStyle name="Comma 11 3 3 12 6 2 2" xfId="28506" xr:uid="{BB207778-3C17-443C-A4AA-2F18CA1B6BD1}"/>
    <cellStyle name="Comma 11 3 3 12 6 3" xfId="24334" xr:uid="{B068D0C7-414A-4129-93CE-86CCA75A1FFE}"/>
    <cellStyle name="Comma 11 3 3 12 7" xfId="5496" xr:uid="{F0D033CF-9068-413C-96BF-E2360759DA26}"/>
    <cellStyle name="Comma 11 3 3 12 7 2" xfId="20676" xr:uid="{6AEE17D2-FA83-4DDE-8746-7F2FAD82906B}"/>
    <cellStyle name="Comma 11 3 3 12 8" xfId="16874" xr:uid="{575CFFD7-B0CC-46B7-A4FC-41FF5ECD4C36}"/>
    <cellStyle name="Comma 11 3 3 13" xfId="2273" xr:uid="{EBF49123-3B7B-40C5-9ECD-00B508D1F811}"/>
    <cellStyle name="Comma 11 3 3 13 2" xfId="9768" xr:uid="{DADF75CB-D14E-45CE-8AA4-ED128CC99702}"/>
    <cellStyle name="Comma 11 3 3 13 2 2" xfId="13427" xr:uid="{BA360BDB-9184-4D1D-8AD3-DB8563D52E5C}"/>
    <cellStyle name="Comma 11 3 3 13 2 2 2" xfId="28604" xr:uid="{A97C486D-F86D-416E-A3C5-428DC15F6810}"/>
    <cellStyle name="Comma 11 3 3 13 2 3" xfId="24946" xr:uid="{445F5920-EA72-472C-B707-12B28C232AA0}"/>
    <cellStyle name="Comma 11 3 3 13 3" xfId="5594" xr:uid="{89BFBF72-EFFF-4694-B05C-4EC140B608EE}"/>
    <cellStyle name="Comma 11 3 3 13 3 2" xfId="20774" xr:uid="{D8B9C00A-FA63-4BC5-BA5C-596F96E7CA74}"/>
    <cellStyle name="Comma 11 3 3 13 4" xfId="17486" xr:uid="{7C3C3AC5-B3C2-4FA9-91FC-7E03568A0CCA}"/>
    <cellStyle name="Comma 11 3 3 14" xfId="3163" xr:uid="{53CAF304-2FD9-4D7B-B689-5A46F9864F16}"/>
    <cellStyle name="Comma 11 3 3 14 2" xfId="10652" xr:uid="{66978701-D1D7-4361-BF95-70CA17D116F4}"/>
    <cellStyle name="Comma 11 3 3 14 2 2" xfId="14198" xr:uid="{42D7FC45-342B-462C-AC4E-723FCFD295C1}"/>
    <cellStyle name="Comma 11 3 3 14 2 2 2" xfId="29375" xr:uid="{207A03BC-E9F0-4917-967E-23A20080A775}"/>
    <cellStyle name="Comma 11 3 3 14 2 3" xfId="25830" xr:uid="{2A72EFD8-CAAF-44BD-805E-ADAC8B24C470}"/>
    <cellStyle name="Comma 11 3 3 14 3" xfId="6478" xr:uid="{A6581D53-4613-4412-9EF4-2D4689929717}"/>
    <cellStyle name="Comma 11 3 3 14 3 2" xfId="21658" xr:uid="{69AEC68C-54D7-46DE-AA28-7D970DC11F44}"/>
    <cellStyle name="Comma 11 3 3 14 4" xfId="18370" xr:uid="{00D69F1A-5309-4855-AD52-2FC5F4D07A99}"/>
    <cellStyle name="Comma 11 3 3 15" xfId="4228" xr:uid="{2B66A2D6-CEFA-48FA-BBBF-599C56B41939}"/>
    <cellStyle name="Comma 11 3 3 15 2" xfId="11713" xr:uid="{68913E4D-95E5-4899-A81D-BF3FCF4E3B85}"/>
    <cellStyle name="Comma 11 3 3 15 2 2" xfId="15259" xr:uid="{0FECE8E4-05D7-43F2-88BA-E54BD88704A3}"/>
    <cellStyle name="Comma 11 3 3 15 2 2 2" xfId="30436" xr:uid="{5D4629D1-97CA-44CD-9E99-DFE303159A67}"/>
    <cellStyle name="Comma 11 3 3 15 2 3" xfId="26891" xr:uid="{9822CE08-5801-40E0-89BF-706FA5B8AFC6}"/>
    <cellStyle name="Comma 11 3 3 15 3" xfId="7539" xr:uid="{747B67BD-FA18-4C08-9F7A-DCC4296B2476}"/>
    <cellStyle name="Comma 11 3 3 15 3 2" xfId="22719" xr:uid="{CC070D14-315A-4F53-BC85-AB877BA9C577}"/>
    <cellStyle name="Comma 11 3 3 15 4" xfId="19431" xr:uid="{06943800-8072-4CD2-950B-85ED3960AB82}"/>
    <cellStyle name="Comma 11 3 3 16" xfId="8369" xr:uid="{9CA6D3EF-24C8-4EC3-97E5-21EDD695652A}"/>
    <cellStyle name="Comma 11 3 3 16 2" xfId="12543" xr:uid="{22C52835-3520-4E0A-AC2E-1601425B3F82}"/>
    <cellStyle name="Comma 11 3 3 16 2 2" xfId="27720" xr:uid="{95DB24BB-6885-4B03-9102-C781554F9DB6}"/>
    <cellStyle name="Comma 11 3 3 16 3" xfId="23548" xr:uid="{35EB383C-413F-4B27-B809-301FDB6C1D8E}"/>
    <cellStyle name="Comma 11 3 3 17" xfId="16088" xr:uid="{1F6E69DB-E7B0-4C6A-9167-D9F58B1904DF}"/>
    <cellStyle name="Comma 11 3 3 18" xfId="31430" xr:uid="{12DB0822-95E5-435E-BC6F-D1F384C74A39}"/>
    <cellStyle name="Comma 11 3 3 19" xfId="690" xr:uid="{647C60F5-15FC-412B-B984-617F02CEB8F5}"/>
    <cellStyle name="Comma 11 3 3 2" xfId="563" xr:uid="{21580B64-9289-4BAF-9D31-1F270F61760B}"/>
    <cellStyle name="Comma 11 3 3 2 10" xfId="2298" xr:uid="{4AAFF6BC-FA8C-4D03-AAED-CD23E2AA134C}"/>
    <cellStyle name="Comma 11 3 3 2 10 2" xfId="9793" xr:uid="{934E1AEC-8801-4313-ABE3-5E92D14E82B5}"/>
    <cellStyle name="Comma 11 3 3 2 10 2 2" xfId="13452" xr:uid="{79F3F568-98BF-4DC4-92A8-91831724815F}"/>
    <cellStyle name="Comma 11 3 3 2 10 2 2 2" xfId="28629" xr:uid="{6AE1E80E-A1A9-47AF-919D-D1738A5CFDFF}"/>
    <cellStyle name="Comma 11 3 3 2 10 2 3" xfId="24971" xr:uid="{0E89F3F3-9829-446F-A1CF-CCFA7533A683}"/>
    <cellStyle name="Comma 11 3 3 2 10 3" xfId="5619" xr:uid="{38FB9E3B-17A2-43C3-9F7C-6E2694A8C53F}"/>
    <cellStyle name="Comma 11 3 3 2 10 3 2" xfId="20799" xr:uid="{AA364B13-CDB3-4224-9CE5-4BA8B7A7F427}"/>
    <cellStyle name="Comma 11 3 3 2 10 4" xfId="17511" xr:uid="{B862B79E-00B3-4DD4-A33D-0EB1DF72D6A7}"/>
    <cellStyle name="Comma 11 3 3 2 11" xfId="3188" xr:uid="{E509D3FE-EA10-4D72-B08A-31FA51323C3D}"/>
    <cellStyle name="Comma 11 3 3 2 11 2" xfId="10677" xr:uid="{81FDD429-A471-4D83-8DA7-F9224707398D}"/>
    <cellStyle name="Comma 11 3 3 2 11 2 2" xfId="14223" xr:uid="{3C557224-65A9-411A-AF62-1426A8E0148E}"/>
    <cellStyle name="Comma 11 3 3 2 11 2 2 2" xfId="29400" xr:uid="{107F0470-BC86-4A22-9B28-8B87B308364D}"/>
    <cellStyle name="Comma 11 3 3 2 11 2 3" xfId="25855" xr:uid="{6F46AB3A-5A56-464B-9F43-B30B944389F0}"/>
    <cellStyle name="Comma 11 3 3 2 11 3" xfId="6503" xr:uid="{9E5E391B-22FA-4E28-990F-425F3B293A8B}"/>
    <cellStyle name="Comma 11 3 3 2 11 3 2" xfId="21683" xr:uid="{893A9AB8-6970-4415-B30A-DD9207D4EA55}"/>
    <cellStyle name="Comma 11 3 3 2 11 4" xfId="18395" xr:uid="{B1B67E4B-378D-423C-8F51-F6B59EDAF6C5}"/>
    <cellStyle name="Comma 11 3 3 2 12" xfId="4229" xr:uid="{13652EF8-4569-4DE9-82E4-4EFE9800A0E6}"/>
    <cellStyle name="Comma 11 3 3 2 12 2" xfId="11714" xr:uid="{12521EFF-2DEF-4D47-A090-7D7F1193B5A8}"/>
    <cellStyle name="Comma 11 3 3 2 12 2 2" xfId="15260" xr:uid="{ACD72A1B-AB82-48A3-BE79-4A8E4609C49F}"/>
    <cellStyle name="Comma 11 3 3 2 12 2 2 2" xfId="30437" xr:uid="{1564B347-1589-4A02-B9B2-D2ADDADFF0C2}"/>
    <cellStyle name="Comma 11 3 3 2 12 2 3" xfId="26892" xr:uid="{478338DE-8875-4080-83D8-C2B70F800BA3}"/>
    <cellStyle name="Comma 11 3 3 2 12 3" xfId="7540" xr:uid="{2726F7D3-B03F-4B4F-B517-F80C3222CEAE}"/>
    <cellStyle name="Comma 11 3 3 2 12 3 2" xfId="22720" xr:uid="{FA0938FA-F7A8-4C73-95CA-365F1FE15E22}"/>
    <cellStyle name="Comma 11 3 3 2 12 4" xfId="19432" xr:uid="{AE500364-65FC-4CB0-9431-0E3B1D70E959}"/>
    <cellStyle name="Comma 11 3 3 2 13" xfId="8394" xr:uid="{30E092AC-31B8-4A4F-A5F8-D482E9820BDC}"/>
    <cellStyle name="Comma 11 3 3 2 13 2" xfId="12568" xr:uid="{B168387B-2076-4894-BB98-22CEB282C08E}"/>
    <cellStyle name="Comma 11 3 3 2 13 2 2" xfId="27745" xr:uid="{BC986F67-DB7A-4F58-B0BE-F40DBF748D59}"/>
    <cellStyle name="Comma 11 3 3 2 13 3" xfId="23573" xr:uid="{855D20D4-B330-46F3-99A7-A8AB4B128893}"/>
    <cellStyle name="Comma 11 3 3 2 14" xfId="16113" xr:uid="{2CC1B2FF-F7F9-4E17-B9AF-6C4FCA2F516D}"/>
    <cellStyle name="Comma 11 3 3 2 15" xfId="31455" xr:uid="{725BFC26-ADAC-4575-912B-E0EFCFA520FE}"/>
    <cellStyle name="Comma 11 3 3 2 16" xfId="725" xr:uid="{580962A8-6829-4AF7-9E38-072486FF6D80}"/>
    <cellStyle name="Comma 11 3 3 2 2" xfId="777" xr:uid="{C4F69395-DA02-40E7-A359-DFA7244DFAA3}"/>
    <cellStyle name="Comma 11 3 3 2 2 10" xfId="8443" xr:uid="{D9F0A69D-A32F-4069-BCAF-C5E7438D531B}"/>
    <cellStyle name="Comma 11 3 3 2 2 10 2" xfId="12617" xr:uid="{CF9965CB-C4D1-4997-B7DB-06DD3F657C8B}"/>
    <cellStyle name="Comma 11 3 3 2 2 10 2 2" xfId="27794" xr:uid="{E28C266F-F37F-4F82-9D54-57984C18AABD}"/>
    <cellStyle name="Comma 11 3 3 2 2 10 3" xfId="23622" xr:uid="{F9CEAFB4-B2B2-4EFF-9F5B-B1B8D150DD53}"/>
    <cellStyle name="Comma 11 3 3 2 2 11" xfId="16162" xr:uid="{82A99F50-602B-44A2-B672-4BF055796672}"/>
    <cellStyle name="Comma 11 3 3 2 2 12" xfId="31504" xr:uid="{8E806783-C41E-48A5-8AE7-9EFCDF339E93}"/>
    <cellStyle name="Comma 11 3 3 2 2 2" xfId="954" xr:uid="{FA87AEA3-ACC2-4B13-980D-14B4E9ACD99E}"/>
    <cellStyle name="Comma 11 3 3 2 2 2 10" xfId="16284" xr:uid="{96C400CC-7BFF-421D-BC04-CBCDF0A87244}"/>
    <cellStyle name="Comma 11 3 3 2 2 2 11" xfId="31374" xr:uid="{875A685F-6DFA-4A80-9A04-DDA09E5F65B5}"/>
    <cellStyle name="Comma 11 3 3 2 2 2 12" xfId="31724" xr:uid="{80BE58CB-CDE2-4AF9-817A-7184B6E88690}"/>
    <cellStyle name="Comma 11 3 3 2 2 2 2" xfId="1315" xr:uid="{BBC6959B-2C72-4E57-A90D-439295A82E11}"/>
    <cellStyle name="Comma 11 3 3 2 2 2 2 2" xfId="3632" xr:uid="{C3B46858-8FAC-41D5-9365-B383334FF148}"/>
    <cellStyle name="Comma 11 3 3 2 2 2 2 2 2" xfId="11120" xr:uid="{3D5D6DFE-C310-4697-B2DD-3F27679B67EC}"/>
    <cellStyle name="Comma 11 3 3 2 2 2 2 2 2 2" xfId="14666" xr:uid="{6CC0A5B3-5879-48C7-A8BF-CA9F15B4416C}"/>
    <cellStyle name="Comma 11 3 3 2 2 2 2 2 2 2 2" xfId="29843" xr:uid="{4066AEDD-D81C-418D-B4CC-5F54D1138A05}"/>
    <cellStyle name="Comma 11 3 3 2 2 2 2 2 2 3" xfId="26298" xr:uid="{02D2F8C7-4BFD-4532-ADA7-77B8B05E899D}"/>
    <cellStyle name="Comma 11 3 3 2 2 2 2 2 3" xfId="6946" xr:uid="{26E71AA7-7880-458C-AD2D-69CD5E04DFE2}"/>
    <cellStyle name="Comma 11 3 3 2 2 2 2 2 3 2" xfId="22126" xr:uid="{6783A3C3-EAD4-4E99-B4A8-90A0ED4F7BF5}"/>
    <cellStyle name="Comma 11 3 3 2 2 2 2 2 4" xfId="18838" xr:uid="{9DA9289E-3DED-483A-BA14-5422C67DA21D}"/>
    <cellStyle name="Comma 11 3 3 2 2 2 2 3" xfId="4230" xr:uid="{1F0E2738-0CE2-4C2F-9B71-5A5D5F3D739F}"/>
    <cellStyle name="Comma 11 3 3 2 2 2 2 3 2" xfId="11715" xr:uid="{1C9703D8-F507-4E99-A71C-A8794EC7B217}"/>
    <cellStyle name="Comma 11 3 3 2 2 2 2 3 2 2" xfId="15261" xr:uid="{7E68B339-6746-4426-B6B9-F2CF1DCB6D74}"/>
    <cellStyle name="Comma 11 3 3 2 2 2 2 3 2 2 2" xfId="30438" xr:uid="{A643874E-EEE3-4BCB-9D8D-C2E78EC1723D}"/>
    <cellStyle name="Comma 11 3 3 2 2 2 2 3 2 3" xfId="26893" xr:uid="{2EFDFCC2-2330-496C-9CAC-D8EC051B0964}"/>
    <cellStyle name="Comma 11 3 3 2 2 2 2 3 3" xfId="7541" xr:uid="{C860904D-D69A-4114-AAD1-E51910F1437A}"/>
    <cellStyle name="Comma 11 3 3 2 2 2 2 3 3 2" xfId="22721" xr:uid="{EA5F1EFD-87CE-402E-AEB5-7825EE7C52F3}"/>
    <cellStyle name="Comma 11 3 3 2 2 2 2 3 4" xfId="19433" xr:uid="{308C3EA0-1F9E-44E6-8A31-D42E64DBA226}"/>
    <cellStyle name="Comma 11 3 3 2 2 2 2 4" xfId="2745" xr:uid="{17B2DF8E-3025-48C5-93D7-A7A7C60B3B14}"/>
    <cellStyle name="Comma 11 3 3 2 2 2 2 4 2" xfId="10236" xr:uid="{56888EDA-D3A8-404E-BECA-63E44B38BC93}"/>
    <cellStyle name="Comma 11 3 3 2 2 2 2 4 2 2" xfId="25414" xr:uid="{AE62D093-6254-405B-9F93-24A5C4CDD511}"/>
    <cellStyle name="Comma 11 3 3 2 2 2 2 4 3" xfId="17954" xr:uid="{80F8F369-84B7-4616-AEA0-503822ADC305}"/>
    <cellStyle name="Comma 11 3 3 2 2 2 2 5" xfId="8838" xr:uid="{E6F772F3-D061-4173-96FC-2167576AC6D9}"/>
    <cellStyle name="Comma 11 3 3 2 2 2 2 5 2" xfId="13011" xr:uid="{EA0ECB01-B6B1-42AC-86A0-F7645E494C63}"/>
    <cellStyle name="Comma 11 3 3 2 2 2 2 5 2 2" xfId="28188" xr:uid="{9FAF0F7B-0E09-4255-8B28-4FF0B87ED17D}"/>
    <cellStyle name="Comma 11 3 3 2 2 2 2 5 3" xfId="24016" xr:uid="{E68D20B6-D247-42DA-ADB8-5215EAFFFEBA}"/>
    <cellStyle name="Comma 11 3 3 2 2 2 2 6" xfId="6062" xr:uid="{FB823A1E-466C-4E19-82A9-AAD5F6A2B883}"/>
    <cellStyle name="Comma 11 3 3 2 2 2 2 6 2" xfId="21242" xr:uid="{DA9D433B-1C36-4F37-9B49-AD49E92CD249}"/>
    <cellStyle name="Comma 11 3 3 2 2 2 2 7" xfId="16556" xr:uid="{DF7AF814-D91B-4D98-ADE3-317950B89D32}"/>
    <cellStyle name="Comma 11 3 3 2 2 2 3" xfId="2472" xr:uid="{8A602EF7-2D2B-491E-A816-FF18B6A3041A}"/>
    <cellStyle name="Comma 11 3 3 2 2 2 3 2" xfId="9964" xr:uid="{C41BFBFD-E5F4-4C7F-B564-A97B04B800DC}"/>
    <cellStyle name="Comma 11 3 3 2 2 2 3 2 2" xfId="13623" xr:uid="{CD13C3E8-EB3A-402A-8CFE-7632A31A603D}"/>
    <cellStyle name="Comma 11 3 3 2 2 2 3 2 2 2" xfId="28800" xr:uid="{F29583BA-0907-4EAF-99C9-93ECFAD7015C}"/>
    <cellStyle name="Comma 11 3 3 2 2 2 3 2 3" xfId="25142" xr:uid="{F335D9C0-6ED0-4D32-899E-31A797BB6D53}"/>
    <cellStyle name="Comma 11 3 3 2 2 2 3 3" xfId="5790" xr:uid="{92F435E4-0B99-4EC1-93D5-A955E460A4A0}"/>
    <cellStyle name="Comma 11 3 3 2 2 2 3 3 2" xfId="20970" xr:uid="{1CF0267D-6371-4CC3-9882-9F1CEF5A383D}"/>
    <cellStyle name="Comma 11 3 3 2 2 2 3 4" xfId="17682" xr:uid="{1F788E38-0002-405B-BCD9-3C64AE04BBC7}"/>
    <cellStyle name="Comma 11 3 3 2 2 2 4" xfId="3360" xr:uid="{4D5AF29D-592B-4D42-A477-2F26E1D6DADB}"/>
    <cellStyle name="Comma 11 3 3 2 2 2 4 2" xfId="10848" xr:uid="{34A3E0FF-5C0B-43F0-88C4-BD828FA0D8BC}"/>
    <cellStyle name="Comma 11 3 3 2 2 2 4 2 2" xfId="14394" xr:uid="{96FD4E51-8FEF-44FF-8863-740B1D260C64}"/>
    <cellStyle name="Comma 11 3 3 2 2 2 4 2 2 2" xfId="29571" xr:uid="{78D1F699-1CE0-4B68-B4F1-67C9EABB5289}"/>
    <cellStyle name="Comma 11 3 3 2 2 2 4 2 3" xfId="26026" xr:uid="{62936507-70DF-45A9-8940-D5F32EF08013}"/>
    <cellStyle name="Comma 11 3 3 2 2 2 4 3" xfId="6674" xr:uid="{DF302E61-CB49-4BE2-B14C-B448669EAF42}"/>
    <cellStyle name="Comma 11 3 3 2 2 2 4 3 2" xfId="21854" xr:uid="{6794E8B2-341C-4B46-9C7D-D0BD2A27D65D}"/>
    <cellStyle name="Comma 11 3 3 2 2 2 4 4" xfId="18566" xr:uid="{915D4303-DA55-42A0-B1F9-CC248E39EB3E}"/>
    <cellStyle name="Comma 11 3 3 2 2 2 5" xfId="4231" xr:uid="{7FB0A4C9-4920-4AC1-97F7-C9193B9B9069}"/>
    <cellStyle name="Comma 11 3 3 2 2 2 5 2" xfId="11716" xr:uid="{D7AF0CE1-D60E-4BE8-951D-0E25AA2F9320}"/>
    <cellStyle name="Comma 11 3 3 2 2 2 5 2 2" xfId="15262" xr:uid="{7E3D77F4-81AE-41E9-A2CD-338907E9DFCE}"/>
    <cellStyle name="Comma 11 3 3 2 2 2 5 2 2 2" xfId="30439" xr:uid="{38F28567-3FF3-46FB-9B6C-F1E4E7FC878F}"/>
    <cellStyle name="Comma 11 3 3 2 2 2 5 2 3" xfId="26894" xr:uid="{90E22565-85A2-4A29-BC36-CBF91793368F}"/>
    <cellStyle name="Comma 11 3 3 2 2 2 5 3" xfId="7542" xr:uid="{C3C1509F-9205-482A-AC91-C59D3ECB97D6}"/>
    <cellStyle name="Comma 11 3 3 2 2 2 5 3 2" xfId="22722" xr:uid="{F89F3BA1-A8EF-46A0-8BF7-C2F9EFDAD69F}"/>
    <cellStyle name="Comma 11 3 3 2 2 2 5 4" xfId="19434" xr:uid="{1674DF38-DE0D-4713-9312-207A399AB79C}"/>
    <cellStyle name="Comma 11 3 3 2 2 2 6" xfId="5034" xr:uid="{7B768798-D8CB-427F-9A2B-89A0F69496AE}"/>
    <cellStyle name="Comma 11 3 3 2 2 2 6 2" xfId="12518" xr:uid="{53302905-7461-4FCD-84A5-A7685E1BC3B5}"/>
    <cellStyle name="Comma 11 3 3 2 2 2 6 2 2" xfId="16064" xr:uid="{DD53BAB9-6A8F-4F38-9A33-538910363B8B}"/>
    <cellStyle name="Comma 11 3 3 2 2 2 6 2 2 2" xfId="31241" xr:uid="{68D9A579-5974-4016-8E7E-5922F02939E2}"/>
    <cellStyle name="Comma 11 3 3 2 2 2 6 2 3" xfId="27696" xr:uid="{4DE00216-B339-4E18-9A48-1647D4F47E48}"/>
    <cellStyle name="Comma 11 3 3 2 2 2 6 3" xfId="8344" xr:uid="{1C784129-6232-4F47-B372-484557444DAA}"/>
    <cellStyle name="Comma 11 3 3 2 2 2 6 3 2" xfId="23524" xr:uid="{5736D75F-5723-41AB-9A41-3DE95BC89D91}"/>
    <cellStyle name="Comma 11 3 3 2 2 2 6 4" xfId="20236" xr:uid="{5058DE46-1E4C-41AE-9840-07D6AA8C7AEC}"/>
    <cellStyle name="Comma 11 3 3 2 2 2 7" xfId="1855" xr:uid="{517AAA6C-ECF3-4122-A2FD-556FBB1F150C}"/>
    <cellStyle name="Comma 11 3 3 2 2 2 7 2" xfId="9352" xr:uid="{2CA6AC98-53FD-401D-BE0E-08A8061F3F3F}"/>
    <cellStyle name="Comma 11 3 3 2 2 2 7 2 2" xfId="24530" xr:uid="{F4CC97BE-6026-474F-BB90-D73B171F12F6}"/>
    <cellStyle name="Comma 11 3 3 2 2 2 7 3" xfId="17070" xr:uid="{484B21CF-9908-478D-9E72-F3013160B320}"/>
    <cellStyle name="Comma 11 3 3 2 2 2 8" xfId="8566" xr:uid="{761398FF-0FD4-4EB7-84FE-DDD94BC3D3B2}"/>
    <cellStyle name="Comma 11 3 3 2 2 2 8 2" xfId="12739" xr:uid="{85098170-A2F4-4ACD-AEF9-84FCB90BC160}"/>
    <cellStyle name="Comma 11 3 3 2 2 2 8 2 2" xfId="27916" xr:uid="{39F898C8-F0E4-4917-B087-DD6FB42A4FFD}"/>
    <cellStyle name="Comma 11 3 3 2 2 2 8 3" xfId="23744" xr:uid="{4C011DE4-D21A-4AC8-812A-268E06D433D6}"/>
    <cellStyle name="Comma 11 3 3 2 2 2 9" xfId="5178" xr:uid="{02E1E127-8CA9-4E2C-98C7-9660336B8285}"/>
    <cellStyle name="Comma 11 3 3 2 2 2 9 2" xfId="20358" xr:uid="{1520072F-03AD-4B46-8CCB-7D1E8AA3841B}"/>
    <cellStyle name="Comma 11 3 3 2 2 3" xfId="1057" xr:uid="{AD3DB31D-0A8A-4680-8FB0-9E285896D4A8}"/>
    <cellStyle name="Comma 11 3 3 2 2 3 10" xfId="31602" xr:uid="{F70C8E2E-F14E-47F3-928D-DB7687BC3531}"/>
    <cellStyle name="Comma 11 3 3 2 2 3 2" xfId="1417" xr:uid="{EC6CB6CB-C595-4387-A63D-2DAF7D2C0386}"/>
    <cellStyle name="Comma 11 3 3 2 2 3 2 2" xfId="3730" xr:uid="{89D00796-873C-41D1-A112-17368CF5C874}"/>
    <cellStyle name="Comma 11 3 3 2 2 3 2 2 2" xfId="11218" xr:uid="{FDBF0C39-33F0-4E6C-9D81-1FCE009E407B}"/>
    <cellStyle name="Comma 11 3 3 2 2 3 2 2 2 2" xfId="14764" xr:uid="{AB5E7623-C4F6-4FC1-A5E3-928987692C09}"/>
    <cellStyle name="Comma 11 3 3 2 2 3 2 2 2 2 2" xfId="29941" xr:uid="{345D3787-8F66-4967-8672-F9F84FAE9C83}"/>
    <cellStyle name="Comma 11 3 3 2 2 3 2 2 2 3" xfId="26396" xr:uid="{792B097D-F43F-4E2D-A467-F4FC96D1D776}"/>
    <cellStyle name="Comma 11 3 3 2 2 3 2 2 3" xfId="7044" xr:uid="{A5FF7225-D6F9-4AC6-A97D-5624021AB97C}"/>
    <cellStyle name="Comma 11 3 3 2 2 3 2 2 3 2" xfId="22224" xr:uid="{F6DD8227-AD7B-4301-9896-0EBAE45C1D58}"/>
    <cellStyle name="Comma 11 3 3 2 2 3 2 2 4" xfId="18936" xr:uid="{548C952C-EAD5-476A-8F82-C221D2089FEF}"/>
    <cellStyle name="Comma 11 3 3 2 2 3 2 3" xfId="4232" xr:uid="{E01FA912-BD5E-4CDA-8FD1-99385425D352}"/>
    <cellStyle name="Comma 11 3 3 2 2 3 2 3 2" xfId="11717" xr:uid="{D2C7CD6B-9E7E-46B7-9DC5-7A1276ECE11C}"/>
    <cellStyle name="Comma 11 3 3 2 2 3 2 3 2 2" xfId="15263" xr:uid="{610ED8EC-0D25-47D3-95A9-541E95F4CE98}"/>
    <cellStyle name="Comma 11 3 3 2 2 3 2 3 2 2 2" xfId="30440" xr:uid="{5AE463BB-2EBE-4998-9880-B4D71482CCC0}"/>
    <cellStyle name="Comma 11 3 3 2 2 3 2 3 2 3" xfId="26895" xr:uid="{CCC204A1-67C5-427C-9EA9-F08F1957DCD9}"/>
    <cellStyle name="Comma 11 3 3 2 2 3 2 3 3" xfId="7543" xr:uid="{33482045-E724-4C9F-8CC8-FEEB16BE7244}"/>
    <cellStyle name="Comma 11 3 3 2 2 3 2 3 3 2" xfId="22723" xr:uid="{F21E81BD-CDA0-4C49-BFC7-EA19C1BAA257}"/>
    <cellStyle name="Comma 11 3 3 2 2 3 2 3 4" xfId="19435" xr:uid="{53C92AC6-C9F6-4E1D-AE68-3356BB890FE6}"/>
    <cellStyle name="Comma 11 3 3 2 2 3 2 4" xfId="2843" xr:uid="{4F3742F4-2C59-4EA0-8A8B-CCE2CFD23861}"/>
    <cellStyle name="Comma 11 3 3 2 2 3 2 4 2" xfId="10334" xr:uid="{25780DC0-071B-44C0-B1BB-212E4BE30EF9}"/>
    <cellStyle name="Comma 11 3 3 2 2 3 2 4 2 2" xfId="25512" xr:uid="{A69B8C8C-234A-4D66-9361-589B2F112D00}"/>
    <cellStyle name="Comma 11 3 3 2 2 3 2 4 3" xfId="18052" xr:uid="{0C176776-9E71-4505-B851-624188CB0FAD}"/>
    <cellStyle name="Comma 11 3 3 2 2 3 2 5" xfId="8936" xr:uid="{DFF3BA5B-6B11-42BA-A096-1A2CE89EF274}"/>
    <cellStyle name="Comma 11 3 3 2 2 3 2 5 2" xfId="13109" xr:uid="{6324950B-0C38-4BB6-B932-68D74133499E}"/>
    <cellStyle name="Comma 11 3 3 2 2 3 2 5 2 2" xfId="28286" xr:uid="{C0542447-371B-4E44-820D-D58AFFEE7B97}"/>
    <cellStyle name="Comma 11 3 3 2 2 3 2 5 3" xfId="24114" xr:uid="{D6754260-7447-45BD-9C23-7FAABE743FF3}"/>
    <cellStyle name="Comma 11 3 3 2 2 3 2 6" xfId="6160" xr:uid="{AC97F73D-8372-4852-B53A-1FD3A1E70E0F}"/>
    <cellStyle name="Comma 11 3 3 2 2 3 2 6 2" xfId="21340" xr:uid="{56E5B153-1ED1-41E5-85A5-001C5B067610}"/>
    <cellStyle name="Comma 11 3 3 2 2 3 2 7" xfId="16654" xr:uid="{1536E312-E9EC-4860-B41C-7D122C075E90}"/>
    <cellStyle name="Comma 11 3 3 2 2 3 3" xfId="2570" xr:uid="{D29AC1BC-F2BD-48B4-BAB7-C6BE24E36223}"/>
    <cellStyle name="Comma 11 3 3 2 2 3 3 2" xfId="10062" xr:uid="{31BB2B93-CFDB-4A13-A8FD-DF63863C8E6F}"/>
    <cellStyle name="Comma 11 3 3 2 2 3 3 2 2" xfId="13721" xr:uid="{8BCA0504-FB4F-4CF3-B082-828FCBFCCB87}"/>
    <cellStyle name="Comma 11 3 3 2 2 3 3 2 2 2" xfId="28898" xr:uid="{2922B8A8-5CD6-4A18-8EB5-5B4EE5574CDC}"/>
    <cellStyle name="Comma 11 3 3 2 2 3 3 2 3" xfId="25240" xr:uid="{81AD6B44-CE47-4697-847B-CBB5FCD82F23}"/>
    <cellStyle name="Comma 11 3 3 2 2 3 3 3" xfId="5888" xr:uid="{20BB0025-EAF4-4AB6-8FAE-0AE709323636}"/>
    <cellStyle name="Comma 11 3 3 2 2 3 3 3 2" xfId="21068" xr:uid="{05DE4FC9-085D-4B78-9DB9-105BB4963FF2}"/>
    <cellStyle name="Comma 11 3 3 2 2 3 3 4" xfId="17780" xr:uid="{254EF211-0638-42AB-9724-E0F593E6B81C}"/>
    <cellStyle name="Comma 11 3 3 2 2 3 4" xfId="3458" xr:uid="{F18E8890-9764-4830-9836-24315924DF3E}"/>
    <cellStyle name="Comma 11 3 3 2 2 3 4 2" xfId="10946" xr:uid="{6B61E748-35F7-4A45-AE55-79F5571772F6}"/>
    <cellStyle name="Comma 11 3 3 2 2 3 4 2 2" xfId="14492" xr:uid="{E8D9F2EE-B666-49E7-A7FB-BF9283E0C132}"/>
    <cellStyle name="Comma 11 3 3 2 2 3 4 2 2 2" xfId="29669" xr:uid="{C5A4B91A-B504-4926-AFC2-EBA2BB49FFF9}"/>
    <cellStyle name="Comma 11 3 3 2 2 3 4 2 3" xfId="26124" xr:uid="{0330D474-B14F-4350-AC2B-D003DFDA68F5}"/>
    <cellStyle name="Comma 11 3 3 2 2 3 4 3" xfId="6772" xr:uid="{90BDD077-D153-48C4-AD2C-BE64B0CD29FB}"/>
    <cellStyle name="Comma 11 3 3 2 2 3 4 3 2" xfId="21952" xr:uid="{4E8D09F2-F31C-4223-B8DA-E663087F5882}"/>
    <cellStyle name="Comma 11 3 3 2 2 3 4 4" xfId="18664" xr:uid="{95CE6C1D-5623-4679-824C-AAF60BC9F1DC}"/>
    <cellStyle name="Comma 11 3 3 2 2 3 5" xfId="4233" xr:uid="{66676DD0-9A1E-4EA0-B754-1521354DAC57}"/>
    <cellStyle name="Comma 11 3 3 2 2 3 5 2" xfId="11718" xr:uid="{4F9D8754-871C-473B-9EE5-0561F37EC154}"/>
    <cellStyle name="Comma 11 3 3 2 2 3 5 2 2" xfId="15264" xr:uid="{6AAFC6C1-8BBF-4D7C-9582-D0EEA5F5B398}"/>
    <cellStyle name="Comma 11 3 3 2 2 3 5 2 2 2" xfId="30441" xr:uid="{333AFAD2-468D-4634-B656-EFD56A7C66A3}"/>
    <cellStyle name="Comma 11 3 3 2 2 3 5 2 3" xfId="26896" xr:uid="{A9026D7B-F23B-41A5-B486-2CE0297970DD}"/>
    <cellStyle name="Comma 11 3 3 2 2 3 5 3" xfId="7544" xr:uid="{C1F03778-0C27-436B-8971-40460CE4FA80}"/>
    <cellStyle name="Comma 11 3 3 2 2 3 5 3 2" xfId="22724" xr:uid="{8434766A-87EF-439E-879F-300F2580BEA9}"/>
    <cellStyle name="Comma 11 3 3 2 2 3 5 4" xfId="19436" xr:uid="{09EB93F6-691C-4EB8-853D-5BD80ECD6FA6}"/>
    <cellStyle name="Comma 11 3 3 2 2 3 6" xfId="1953" xr:uid="{E6BD8984-D0B8-4748-8109-93C5B9784757}"/>
    <cellStyle name="Comma 11 3 3 2 2 3 6 2" xfId="9450" xr:uid="{25924B51-80C2-48C8-8979-B4239048282A}"/>
    <cellStyle name="Comma 11 3 3 2 2 3 6 2 2" xfId="24628" xr:uid="{0B42CA4B-F39F-4DCC-9363-A6CA18A24F3C}"/>
    <cellStyle name="Comma 11 3 3 2 2 3 6 3" xfId="17168" xr:uid="{845F539D-5C0C-4935-B2A6-54868E3CA7A1}"/>
    <cellStyle name="Comma 11 3 3 2 2 3 7" xfId="8664" xr:uid="{19101A16-B3B3-40C3-BCCB-FCE27C8F2A28}"/>
    <cellStyle name="Comma 11 3 3 2 2 3 7 2" xfId="12837" xr:uid="{27D9A7B8-0A23-4566-A63C-47CCA10798D1}"/>
    <cellStyle name="Comma 11 3 3 2 2 3 7 2 2" xfId="28014" xr:uid="{0B134778-D54E-4B27-8B73-00ED6DE2268C}"/>
    <cellStyle name="Comma 11 3 3 2 2 3 7 3" xfId="23842" xr:uid="{6C24080F-AB17-4F23-85FC-0E253EA9CCEA}"/>
    <cellStyle name="Comma 11 3 3 2 2 3 8" xfId="5276" xr:uid="{C1D7BF17-7013-481A-906B-69A86F112A7D}"/>
    <cellStyle name="Comma 11 3 3 2 2 3 8 2" xfId="20456" xr:uid="{58368F1F-5CCD-4F61-86C5-8C6B214C99E2}"/>
    <cellStyle name="Comma 11 3 3 2 2 3 9" xfId="16382" xr:uid="{7699FB97-6623-464C-BD7C-81C322BC5B2C}"/>
    <cellStyle name="Comma 11 3 3 2 2 4" xfId="1516" xr:uid="{B2D757E2-326B-4D4F-9B70-BBC3EC90DB40}"/>
    <cellStyle name="Comma 11 3 3 2 2 4 2" xfId="2941" xr:uid="{D69DD487-CEFF-4FF0-B1E2-C64EF615237F}"/>
    <cellStyle name="Comma 11 3 3 2 2 4 2 2" xfId="10432" xr:uid="{31782A53-A577-4D85-8892-695FBBDD92A6}"/>
    <cellStyle name="Comma 11 3 3 2 2 4 2 2 2" xfId="13978" xr:uid="{ABCF45C7-DC61-430F-A0A1-06815E464FE3}"/>
    <cellStyle name="Comma 11 3 3 2 2 4 2 2 2 2" xfId="29155" xr:uid="{DB643DCF-CDAC-4EFC-9DED-089CC25C1C0E}"/>
    <cellStyle name="Comma 11 3 3 2 2 4 2 2 3" xfId="25610" xr:uid="{E00195F1-75DC-4FEB-8A9A-BD89DD80533A}"/>
    <cellStyle name="Comma 11 3 3 2 2 4 2 3" xfId="6258" xr:uid="{7C8AD5B2-B13D-423E-9C67-5C64BCF27487}"/>
    <cellStyle name="Comma 11 3 3 2 2 4 2 3 2" xfId="21438" xr:uid="{A6B338A3-4454-4CB3-8C3E-6C9D4FC0999F}"/>
    <cellStyle name="Comma 11 3 3 2 2 4 2 4" xfId="18150" xr:uid="{243461A5-2F56-44E7-A8AA-D084DCA153EC}"/>
    <cellStyle name="Comma 11 3 3 2 2 4 3" xfId="3828" xr:uid="{EF1A25D4-31B7-442E-9720-2167C6789CB8}"/>
    <cellStyle name="Comma 11 3 3 2 2 4 3 2" xfId="11316" xr:uid="{9B8CD1C7-7430-42C1-A192-34DC0A381EC4}"/>
    <cellStyle name="Comma 11 3 3 2 2 4 3 2 2" xfId="14862" xr:uid="{B524A569-7F9D-42F1-B5D1-2BD96AC439B4}"/>
    <cellStyle name="Comma 11 3 3 2 2 4 3 2 2 2" xfId="30039" xr:uid="{C12B8981-F5BB-4344-B2FC-B58453DC5B91}"/>
    <cellStyle name="Comma 11 3 3 2 2 4 3 2 3" xfId="26494" xr:uid="{D27BBBD1-5EDC-4AEE-BACE-7A67BA347320}"/>
    <cellStyle name="Comma 11 3 3 2 2 4 3 3" xfId="7142" xr:uid="{0D92D8E4-25C2-4B65-B996-4A948221A6FE}"/>
    <cellStyle name="Comma 11 3 3 2 2 4 3 3 2" xfId="22322" xr:uid="{EB8EC8CD-1D4F-4F42-BF91-400380615D5A}"/>
    <cellStyle name="Comma 11 3 3 2 2 4 3 4" xfId="19034" xr:uid="{B665DE43-4A31-4124-8871-E71CDA98F839}"/>
    <cellStyle name="Comma 11 3 3 2 2 4 4" xfId="4234" xr:uid="{D036489B-49CD-45DB-8418-EB8B665D3970}"/>
    <cellStyle name="Comma 11 3 3 2 2 4 4 2" xfId="11719" xr:uid="{3A80DD2F-DD49-4F0B-99FF-528DF27B2CB4}"/>
    <cellStyle name="Comma 11 3 3 2 2 4 4 2 2" xfId="15265" xr:uid="{341839CB-23A1-41D9-A423-B65DE3956FA0}"/>
    <cellStyle name="Comma 11 3 3 2 2 4 4 2 2 2" xfId="30442" xr:uid="{2922C034-24C2-467A-8CAC-779E8897BD6B}"/>
    <cellStyle name="Comma 11 3 3 2 2 4 4 2 3" xfId="26897" xr:uid="{E8D9BD81-9BD8-44A6-9433-3B8487ED4FD9}"/>
    <cellStyle name="Comma 11 3 3 2 2 4 4 3" xfId="7545" xr:uid="{3B0BDBE4-62BA-435B-9158-5F42401AB0CB}"/>
    <cellStyle name="Comma 11 3 3 2 2 4 4 3 2" xfId="22725" xr:uid="{E87BC741-6FBA-4BBB-8163-D263238868B0}"/>
    <cellStyle name="Comma 11 3 3 2 2 4 4 4" xfId="19437" xr:uid="{00C20CE5-A316-43E9-85E1-E152D9D33527}"/>
    <cellStyle name="Comma 11 3 3 2 2 4 5" xfId="2051" xr:uid="{1981804C-8004-4C04-9A03-5CAEF7862CAC}"/>
    <cellStyle name="Comma 11 3 3 2 2 4 5 2" xfId="9548" xr:uid="{E9879067-EF1F-4BC8-A62E-A3E49540F9C7}"/>
    <cellStyle name="Comma 11 3 3 2 2 4 5 2 2" xfId="24726" xr:uid="{C4D55C91-73EE-4DCC-9829-B61B8301A1EB}"/>
    <cellStyle name="Comma 11 3 3 2 2 4 5 3" xfId="17266" xr:uid="{C86CC842-84AF-41F9-A639-D2AB4037127A}"/>
    <cellStyle name="Comma 11 3 3 2 2 4 6" xfId="9034" xr:uid="{3E314908-1326-4427-A237-8C15735A5A3C}"/>
    <cellStyle name="Comma 11 3 3 2 2 4 6 2" xfId="13207" xr:uid="{05A2911C-B22A-40DC-8508-A1ACDDCA4D94}"/>
    <cellStyle name="Comma 11 3 3 2 2 4 6 2 2" xfId="28384" xr:uid="{109624E0-1C71-447B-B1FE-505A0D0F8514}"/>
    <cellStyle name="Comma 11 3 3 2 2 4 6 3" xfId="24212" xr:uid="{3A0FE0C0-1F2E-4028-96E6-45BCA0975B97}"/>
    <cellStyle name="Comma 11 3 3 2 2 4 7" xfId="5374" xr:uid="{39B98317-BB57-4406-9D6B-A00281C77536}"/>
    <cellStyle name="Comma 11 3 3 2 2 4 7 2" xfId="20554" xr:uid="{042F9FD7-3B26-4488-8066-5A63183A2772}"/>
    <cellStyle name="Comma 11 3 3 2 2 4 8" xfId="16752" xr:uid="{81860B51-F783-4BAF-BB41-B2B686943440}"/>
    <cellStyle name="Comma 11 3 3 2 2 5" xfId="1619" xr:uid="{00B7808A-8D23-4D70-BB5F-3178C4E8397D}"/>
    <cellStyle name="Comma 11 3 3 2 2 5 2" xfId="3039" xr:uid="{34CEEDA0-E993-4119-94D4-113F5342DC7C}"/>
    <cellStyle name="Comma 11 3 3 2 2 5 2 2" xfId="10530" xr:uid="{272B821B-05AE-4515-B3FB-9AFCAFDE336F}"/>
    <cellStyle name="Comma 11 3 3 2 2 5 2 2 2" xfId="14076" xr:uid="{6EF03D20-1FA2-4BC0-A08D-7E17E6252685}"/>
    <cellStyle name="Comma 11 3 3 2 2 5 2 2 2 2" xfId="29253" xr:uid="{CF733E88-43B4-4CA6-B4DE-CF370CE45055}"/>
    <cellStyle name="Comma 11 3 3 2 2 5 2 2 3" xfId="25708" xr:uid="{B305BD08-6A48-4816-A598-E597402F3954}"/>
    <cellStyle name="Comma 11 3 3 2 2 5 2 3" xfId="6356" xr:uid="{76972F9A-F55B-4792-B0F6-F9ADE4EB0953}"/>
    <cellStyle name="Comma 11 3 3 2 2 5 2 3 2" xfId="21536" xr:uid="{C2E00D4A-404C-49E5-B3E0-AEF18EE60057}"/>
    <cellStyle name="Comma 11 3 3 2 2 5 2 4" xfId="18248" xr:uid="{04E0D3DB-9B30-4493-A357-930EB50CD63A}"/>
    <cellStyle name="Comma 11 3 3 2 2 5 3" xfId="3926" xr:uid="{62D46141-C1F9-4A6B-AE26-7615000F8B16}"/>
    <cellStyle name="Comma 11 3 3 2 2 5 3 2" xfId="11414" xr:uid="{A241B6D7-9AE4-4360-A849-64D078143C60}"/>
    <cellStyle name="Comma 11 3 3 2 2 5 3 2 2" xfId="14960" xr:uid="{84376C96-4841-4D62-B564-B7CB9DF3D586}"/>
    <cellStyle name="Comma 11 3 3 2 2 5 3 2 2 2" xfId="30137" xr:uid="{92B58BDA-4F50-4857-B3B8-6675778F7A60}"/>
    <cellStyle name="Comma 11 3 3 2 2 5 3 2 3" xfId="26592" xr:uid="{51D11524-9AF5-427A-9F16-7D8B8F9C0497}"/>
    <cellStyle name="Comma 11 3 3 2 2 5 3 3" xfId="7240" xr:uid="{EBDF86E2-999E-4FC9-9B18-DC48C25990FF}"/>
    <cellStyle name="Comma 11 3 3 2 2 5 3 3 2" xfId="22420" xr:uid="{1383B493-A96B-4123-9F88-AD51E64A503D}"/>
    <cellStyle name="Comma 11 3 3 2 2 5 3 4" xfId="19132" xr:uid="{745F5267-36E7-40BC-9CFE-43DFB28BF620}"/>
    <cellStyle name="Comma 11 3 3 2 2 5 4" xfId="4235" xr:uid="{0699855C-A8CF-44AD-B6E3-51AB1244C5F8}"/>
    <cellStyle name="Comma 11 3 3 2 2 5 4 2" xfId="11720" xr:uid="{AB6187A0-BE13-457C-AAA6-E06EEADA6699}"/>
    <cellStyle name="Comma 11 3 3 2 2 5 4 2 2" xfId="15266" xr:uid="{BE75067D-2CB0-48C0-85A3-20D3B1558969}"/>
    <cellStyle name="Comma 11 3 3 2 2 5 4 2 2 2" xfId="30443" xr:uid="{1FD74163-E988-44A3-B739-DF96CCD36AD0}"/>
    <cellStyle name="Comma 11 3 3 2 2 5 4 2 3" xfId="26898" xr:uid="{7D8DFBC2-16F8-42F6-85FB-6EF21A87C52F}"/>
    <cellStyle name="Comma 11 3 3 2 2 5 4 3" xfId="7546" xr:uid="{F6815488-66A7-4D60-9E49-D1365E625D74}"/>
    <cellStyle name="Comma 11 3 3 2 2 5 4 3 2" xfId="22726" xr:uid="{83F5CAA8-2AFD-416C-816D-1B27A6F0F665}"/>
    <cellStyle name="Comma 11 3 3 2 2 5 4 4" xfId="19438" xr:uid="{9F71E5CB-D312-4A1B-A621-AF57B39A89F0}"/>
    <cellStyle name="Comma 11 3 3 2 2 5 5" xfId="2149" xr:uid="{E98993F5-1831-4F53-9CF1-39E15FD9675B}"/>
    <cellStyle name="Comma 11 3 3 2 2 5 5 2" xfId="9646" xr:uid="{4AD887B9-5EF6-45A1-A3AA-F8F6B43A54AD}"/>
    <cellStyle name="Comma 11 3 3 2 2 5 5 2 2" xfId="24824" xr:uid="{7E176424-B38D-4996-872B-244A5D5798EE}"/>
    <cellStyle name="Comma 11 3 3 2 2 5 5 3" xfId="17364" xr:uid="{FEA438F9-05BF-48A5-9B1C-89284BF03E3A}"/>
    <cellStyle name="Comma 11 3 3 2 2 5 6" xfId="9132" xr:uid="{92EED077-31FD-4434-8F5F-8EAF969F7771}"/>
    <cellStyle name="Comma 11 3 3 2 2 5 6 2" xfId="13305" xr:uid="{158E16A9-8974-49D1-97B1-53AD0FCF5F42}"/>
    <cellStyle name="Comma 11 3 3 2 2 5 6 2 2" xfId="28482" xr:uid="{ECA5FE03-F2FD-430B-9CED-FD1E9470B2E6}"/>
    <cellStyle name="Comma 11 3 3 2 2 5 6 3" xfId="24310" xr:uid="{3114E088-C534-454A-82CB-88186980B026}"/>
    <cellStyle name="Comma 11 3 3 2 2 5 7" xfId="5472" xr:uid="{313F0699-3EDE-4C33-A153-873DA92AFC22}"/>
    <cellStyle name="Comma 11 3 3 2 2 5 7 2" xfId="20652" xr:uid="{E3AF197E-14BA-4ACC-9966-54A1CDB28F12}"/>
    <cellStyle name="Comma 11 3 3 2 2 5 8" xfId="16850" xr:uid="{73350DBF-F82B-4A6F-82EF-1514123BDB33}"/>
    <cellStyle name="Comma 11 3 3 2 2 6" xfId="1718" xr:uid="{663C8F68-6BA1-4D5E-AB69-362A7A2AD7D2}"/>
    <cellStyle name="Comma 11 3 3 2 2 6 2" xfId="3137" xr:uid="{9B8E1A16-BEF7-4772-9F56-3AFC888F082D}"/>
    <cellStyle name="Comma 11 3 3 2 2 6 2 2" xfId="10628" xr:uid="{4A3B7D80-AA43-44DD-B5FC-C7629E2798C9}"/>
    <cellStyle name="Comma 11 3 3 2 2 6 2 2 2" xfId="14174" xr:uid="{B4FEE58D-DDC1-4D44-AB2D-8914B9181642}"/>
    <cellStyle name="Comma 11 3 3 2 2 6 2 2 2 2" xfId="29351" xr:uid="{4A627A17-1C38-49C7-BD2F-E7846F765D01}"/>
    <cellStyle name="Comma 11 3 3 2 2 6 2 2 3" xfId="25806" xr:uid="{8377976D-D645-42F3-9D8A-9587BBD0EB4A}"/>
    <cellStyle name="Comma 11 3 3 2 2 6 2 3" xfId="6454" xr:uid="{B4A158E2-9163-4952-A55F-2FF4546CAA1B}"/>
    <cellStyle name="Comma 11 3 3 2 2 6 2 3 2" xfId="21634" xr:uid="{F077FEFF-2AC2-42B5-AC39-02E57D6BAA61}"/>
    <cellStyle name="Comma 11 3 3 2 2 6 2 4" xfId="18346" xr:uid="{92014F71-F3D5-4045-8003-40A404B35409}"/>
    <cellStyle name="Comma 11 3 3 2 2 6 3" xfId="4024" xr:uid="{BA1C20C7-2B85-4186-8BA4-75304959E9DA}"/>
    <cellStyle name="Comma 11 3 3 2 2 6 3 2" xfId="11512" xr:uid="{645E727A-BBA7-4695-BF8C-D07FCE882042}"/>
    <cellStyle name="Comma 11 3 3 2 2 6 3 2 2" xfId="15058" xr:uid="{27A9A3C4-B3BA-45AF-844B-66F99223F289}"/>
    <cellStyle name="Comma 11 3 3 2 2 6 3 2 2 2" xfId="30235" xr:uid="{F91AA80B-D028-4706-89EE-E184B89AC06E}"/>
    <cellStyle name="Comma 11 3 3 2 2 6 3 2 3" xfId="26690" xr:uid="{3E975155-14D0-4839-8D22-E343ACD3594C}"/>
    <cellStyle name="Comma 11 3 3 2 2 6 3 3" xfId="7338" xr:uid="{45A279CF-0E04-453B-9478-46C0AC3982B1}"/>
    <cellStyle name="Comma 11 3 3 2 2 6 3 3 2" xfId="22518" xr:uid="{D26BD9A4-5A85-481E-A0B5-0B36162E8692}"/>
    <cellStyle name="Comma 11 3 3 2 2 6 3 4" xfId="19230" xr:uid="{17BAACE1-03E6-450E-A726-6B90D4254C30}"/>
    <cellStyle name="Comma 11 3 3 2 2 6 4" xfId="4236" xr:uid="{5C1DEAC1-4B86-4D9F-BC46-6743B726F06D}"/>
    <cellStyle name="Comma 11 3 3 2 2 6 4 2" xfId="11721" xr:uid="{834755BA-C260-417A-9298-8478ED28F22B}"/>
    <cellStyle name="Comma 11 3 3 2 2 6 4 2 2" xfId="15267" xr:uid="{3D8D6200-D98E-4F0C-84C5-E7D10FC5F4A0}"/>
    <cellStyle name="Comma 11 3 3 2 2 6 4 2 2 2" xfId="30444" xr:uid="{C0F9CAD2-B93B-42A8-8794-6B6835BE6DDE}"/>
    <cellStyle name="Comma 11 3 3 2 2 6 4 2 3" xfId="26899" xr:uid="{DFAEEABB-6FE3-4052-AF31-2CDEDA9BC196}"/>
    <cellStyle name="Comma 11 3 3 2 2 6 4 3" xfId="7547" xr:uid="{CC6FA506-3A7B-435F-8203-A675C0E16A60}"/>
    <cellStyle name="Comma 11 3 3 2 2 6 4 3 2" xfId="22727" xr:uid="{88A6F2CE-C8B8-4658-BD2A-B9A6228C29D2}"/>
    <cellStyle name="Comma 11 3 3 2 2 6 4 4" xfId="19439" xr:uid="{21423B0E-64D3-42EB-8BD7-42CA88B7F068}"/>
    <cellStyle name="Comma 11 3 3 2 2 6 5" xfId="2247" xr:uid="{44B98583-CE8B-4BC9-8B0E-7A5A7489856A}"/>
    <cellStyle name="Comma 11 3 3 2 2 6 5 2" xfId="9744" xr:uid="{911FDF18-7588-45A6-BB9C-122F2015A66B}"/>
    <cellStyle name="Comma 11 3 3 2 2 6 5 2 2" xfId="24922" xr:uid="{FD5D0699-30DC-465F-9C8C-474FE31E8905}"/>
    <cellStyle name="Comma 11 3 3 2 2 6 5 3" xfId="17462" xr:uid="{7C922559-E820-4382-999F-1F2B40E34420}"/>
    <cellStyle name="Comma 11 3 3 2 2 6 6" xfId="9230" xr:uid="{C371CC60-FFC8-421A-8460-C6309AC083E2}"/>
    <cellStyle name="Comma 11 3 3 2 2 6 6 2" xfId="13403" xr:uid="{3ABC20AD-A76F-4936-B79C-F9C8C56ACFAE}"/>
    <cellStyle name="Comma 11 3 3 2 2 6 6 2 2" xfId="28580" xr:uid="{A9266CA5-1A9B-47BE-ADAF-4EA354EC00E6}"/>
    <cellStyle name="Comma 11 3 3 2 2 6 6 3" xfId="24408" xr:uid="{D7F8109F-B3A2-49C7-9DBE-4A820DEF1168}"/>
    <cellStyle name="Comma 11 3 3 2 2 6 7" xfId="5570" xr:uid="{A221D708-2DA8-4566-B5FE-BF4675A7FE08}"/>
    <cellStyle name="Comma 11 3 3 2 2 6 7 2" xfId="20750" xr:uid="{800EE9F6-83DD-42DD-89CA-F6CD5CFC34AB}"/>
    <cellStyle name="Comma 11 3 3 2 2 6 8" xfId="16948" xr:uid="{DDD5521C-DB37-4788-9CCB-E684C6D0BE1A}"/>
    <cellStyle name="Comma 11 3 3 2 2 7" xfId="2347" xr:uid="{36AEC312-0D9E-49CD-BD5B-E51E427981AB}"/>
    <cellStyle name="Comma 11 3 3 2 2 7 2" xfId="9842" xr:uid="{E2397318-D127-4031-BE71-C2C41E4A6E7A}"/>
    <cellStyle name="Comma 11 3 3 2 2 7 2 2" xfId="13501" xr:uid="{665D2155-A16C-4027-98DB-C1EDF55B364D}"/>
    <cellStyle name="Comma 11 3 3 2 2 7 2 2 2" xfId="28678" xr:uid="{420284B1-5220-47DC-9DEF-F3C1F3A6B680}"/>
    <cellStyle name="Comma 11 3 3 2 2 7 2 3" xfId="25020" xr:uid="{931F7CE0-29F4-4C50-9D18-1386FF4DA0D7}"/>
    <cellStyle name="Comma 11 3 3 2 2 7 3" xfId="5668" xr:uid="{F87F018A-6237-4DD5-BAAE-743C7BC6A800}"/>
    <cellStyle name="Comma 11 3 3 2 2 7 3 2" xfId="20848" xr:uid="{A3FAC1FB-8C37-48B6-9131-7F1EE5A3ADAC}"/>
    <cellStyle name="Comma 11 3 3 2 2 7 4" xfId="17560" xr:uid="{9455285D-0CA9-4A7A-A227-A42B04D4B601}"/>
    <cellStyle name="Comma 11 3 3 2 2 8" xfId="3237" xr:uid="{39703846-A996-49A2-AF44-6F290773D293}"/>
    <cellStyle name="Comma 11 3 3 2 2 8 2" xfId="10726" xr:uid="{886A92EB-4C50-4CC1-B945-48B587D34B06}"/>
    <cellStyle name="Comma 11 3 3 2 2 8 2 2" xfId="14272" xr:uid="{9351B806-FC7B-4166-9BE2-6FDEBC551622}"/>
    <cellStyle name="Comma 11 3 3 2 2 8 2 2 2" xfId="29449" xr:uid="{D1E89947-8E1F-4837-8157-166BDDEE967E}"/>
    <cellStyle name="Comma 11 3 3 2 2 8 2 3" xfId="25904" xr:uid="{424E99D5-86BF-4797-A5FE-1D4B28AE34D5}"/>
    <cellStyle name="Comma 11 3 3 2 2 8 3" xfId="6552" xr:uid="{518E2923-2B4A-4EED-8748-8A123316F4C2}"/>
    <cellStyle name="Comma 11 3 3 2 2 8 3 2" xfId="21732" xr:uid="{DF5D6A9D-9274-4F8C-B27F-5CAFE05662C3}"/>
    <cellStyle name="Comma 11 3 3 2 2 8 4" xfId="18444" xr:uid="{50829294-DB8D-49CC-ABEC-69A04E602820}"/>
    <cellStyle name="Comma 11 3 3 2 2 9" xfId="4237" xr:uid="{18DCB605-B211-42D4-AF34-81AD1BF719D3}"/>
    <cellStyle name="Comma 11 3 3 2 2 9 2" xfId="11722" xr:uid="{D7A1CDA8-E8FA-4785-A7EA-69C56B84FB32}"/>
    <cellStyle name="Comma 11 3 3 2 2 9 2 2" xfId="15268" xr:uid="{884890BE-B2AB-49B4-976E-C7FF8331443A}"/>
    <cellStyle name="Comma 11 3 3 2 2 9 2 2 2" xfId="30445" xr:uid="{DCB6DCA4-4CE3-455B-A944-76BE82FB5054}"/>
    <cellStyle name="Comma 11 3 3 2 2 9 2 3" xfId="26900" xr:uid="{0F57037C-FA8F-445B-BEEE-FB5F6173A512}"/>
    <cellStyle name="Comma 11 3 3 2 2 9 3" xfId="7548" xr:uid="{BD56823B-50FA-4F0B-9867-430D8AA887A5}"/>
    <cellStyle name="Comma 11 3 3 2 2 9 3 2" xfId="22728" xr:uid="{7722360B-B14F-4029-A56E-183B0A63089D}"/>
    <cellStyle name="Comma 11 3 3 2 2 9 4" xfId="19440" xr:uid="{B18E3771-025C-47C7-AD3B-1B36CB417E56}"/>
    <cellStyle name="Comma 11 3 3 2 3" xfId="905" xr:uid="{7BE2ABA3-B531-4DBA-8BA3-01F0CBEAC137}"/>
    <cellStyle name="Comma 11 3 3 2 3 2" xfId="2423" xr:uid="{8012652F-1A30-4474-8482-8475BF12E9E1}"/>
    <cellStyle name="Comma 11 3 3 2 3 2 2" xfId="9915" xr:uid="{A2533E77-E532-41C0-B785-7A2C65721947}"/>
    <cellStyle name="Comma 11 3 3 2 3 2 2 2" xfId="13574" xr:uid="{B2A2E4D8-10D2-4F4E-A799-C925C8FA1641}"/>
    <cellStyle name="Comma 11 3 3 2 3 2 2 2 2" xfId="28751" xr:uid="{EEAD1B5A-63A8-477A-89B3-17E87AD8B2B7}"/>
    <cellStyle name="Comma 11 3 3 2 3 2 2 3" xfId="25093" xr:uid="{BAF94E85-B27E-4F4D-99F5-AE902F57E8BC}"/>
    <cellStyle name="Comma 11 3 3 2 3 2 3" xfId="5741" xr:uid="{44BA085B-399A-4B63-AE28-DD08184969B3}"/>
    <cellStyle name="Comma 11 3 3 2 3 2 3 2" xfId="20921" xr:uid="{F91A354E-57B6-4252-8697-81C9CC3FDDF2}"/>
    <cellStyle name="Comma 11 3 3 2 3 2 4" xfId="17633" xr:uid="{301998E1-7283-4D18-AB18-3A256E715A2C}"/>
    <cellStyle name="Comma 11 3 3 2 3 3" xfId="3311" xr:uid="{5C78A829-B610-4168-9922-31FD1352573A}"/>
    <cellStyle name="Comma 11 3 3 2 3 3 2" xfId="10799" xr:uid="{3CBF2051-ED01-488B-AAEC-C7E081B2D8FC}"/>
    <cellStyle name="Comma 11 3 3 2 3 3 2 2" xfId="14345" xr:uid="{ABA90727-15D0-44D6-822B-0D03732F47ED}"/>
    <cellStyle name="Comma 11 3 3 2 3 3 2 2 2" xfId="29522" xr:uid="{C3FECDAD-1063-40B0-8F2F-A0A89B8715A8}"/>
    <cellStyle name="Comma 11 3 3 2 3 3 2 3" xfId="25977" xr:uid="{36C636C0-1CC4-4FEF-B6B3-90840FAF7F69}"/>
    <cellStyle name="Comma 11 3 3 2 3 3 3" xfId="6625" xr:uid="{FCC2CA5D-64E1-42F0-AB91-D813C72B4EE9}"/>
    <cellStyle name="Comma 11 3 3 2 3 3 3 2" xfId="21805" xr:uid="{82C349B2-031A-4B0F-9F49-3FE87BF56054}"/>
    <cellStyle name="Comma 11 3 3 2 3 3 4" xfId="18517" xr:uid="{398D635D-D374-4D34-9764-B43594836160}"/>
    <cellStyle name="Comma 11 3 3 2 3 4" xfId="4238" xr:uid="{7465AE4E-5B0A-4961-B01C-A73E25D6B5F4}"/>
    <cellStyle name="Comma 11 3 3 2 3 4 2" xfId="11723" xr:uid="{24F176A9-9095-43B7-B20D-5A18B25EFB75}"/>
    <cellStyle name="Comma 11 3 3 2 3 4 2 2" xfId="15269" xr:uid="{33A6427D-5BF9-46ED-AF9A-860EBF96B404}"/>
    <cellStyle name="Comma 11 3 3 2 3 4 2 2 2" xfId="30446" xr:uid="{E59914CF-AF7C-4A66-8405-77CB2D343A6F}"/>
    <cellStyle name="Comma 11 3 3 2 3 4 2 3" xfId="26901" xr:uid="{1C8A8C02-05A5-41B1-842D-90B9E92AE4B8}"/>
    <cellStyle name="Comma 11 3 3 2 3 4 3" xfId="7549" xr:uid="{85530AA2-7E13-4029-BC39-CB938DD2F3B4}"/>
    <cellStyle name="Comma 11 3 3 2 3 4 3 2" xfId="22729" xr:uid="{0536964F-299D-44EE-8BD4-B89625448EAC}"/>
    <cellStyle name="Comma 11 3 3 2 3 4 4" xfId="19441" xr:uid="{F1ED5F8B-EDA0-4C85-B8B9-0CB26ABDE4C7}"/>
    <cellStyle name="Comma 11 3 3 2 3 5" xfId="8517" xr:uid="{5639E96F-E9D2-42E0-80CC-D1E99DEF29BF}"/>
    <cellStyle name="Comma 11 3 3 2 3 5 2" xfId="12690" xr:uid="{1E898906-BA89-4E58-9415-25C226B89478}"/>
    <cellStyle name="Comma 11 3 3 2 3 5 2 2" xfId="27867" xr:uid="{103D19D0-2B28-4E14-A745-B27A92948A5B}"/>
    <cellStyle name="Comma 11 3 3 2 3 5 3" xfId="23695" xr:uid="{3E72BA6E-9970-4920-BC74-7B6904EE7205}"/>
    <cellStyle name="Comma 11 3 3 2 3 6" xfId="16235" xr:uid="{9619A880-25F6-4501-AA31-381034BC6923}"/>
    <cellStyle name="Comma 11 3 3 2 3 7" xfId="31675" xr:uid="{DB7D3FFC-8323-4215-BD9F-1A9E68FD91E5}"/>
    <cellStyle name="Comma 11 3 3 2 4" xfId="1008" xr:uid="{809FB187-7940-48FB-85BD-6F8EAE0AF8F5}"/>
    <cellStyle name="Comma 11 3 3 2 4 2" xfId="2521" xr:uid="{4B313E33-1AD5-4DA5-9098-A7C2B496777C}"/>
    <cellStyle name="Comma 11 3 3 2 4 2 2" xfId="10013" xr:uid="{0555E33D-59D6-41DD-B3B7-2EB8B6303AF7}"/>
    <cellStyle name="Comma 11 3 3 2 4 2 2 2" xfId="13672" xr:uid="{26867220-FF20-48FE-8E3E-9653F5AE0043}"/>
    <cellStyle name="Comma 11 3 3 2 4 2 2 2 2" xfId="28849" xr:uid="{E67675EE-1E3D-49CE-A56C-28689853808F}"/>
    <cellStyle name="Comma 11 3 3 2 4 2 2 3" xfId="25191" xr:uid="{DF364F4E-2075-454F-A573-9D36B1B76FA1}"/>
    <cellStyle name="Comma 11 3 3 2 4 2 3" xfId="5839" xr:uid="{392F948B-4C46-4B90-9A3B-B8015FAE3A22}"/>
    <cellStyle name="Comma 11 3 3 2 4 2 3 2" xfId="21019" xr:uid="{5C33258C-9DA2-4E35-8294-8E5D095A9AC5}"/>
    <cellStyle name="Comma 11 3 3 2 4 2 4" xfId="17731" xr:uid="{FA2F3E90-088D-4341-A467-0A744E475377}"/>
    <cellStyle name="Comma 11 3 3 2 4 3" xfId="3409" xr:uid="{99858420-A436-4010-916A-9B1B5E4CD789}"/>
    <cellStyle name="Comma 11 3 3 2 4 3 2" xfId="10897" xr:uid="{109AB434-76CC-4016-AA12-482D9FA30897}"/>
    <cellStyle name="Comma 11 3 3 2 4 3 2 2" xfId="14443" xr:uid="{43BC3BE4-3D68-4E3B-9332-9EA8E2E74FE3}"/>
    <cellStyle name="Comma 11 3 3 2 4 3 2 2 2" xfId="29620" xr:uid="{1D198FDB-B8F5-4ABE-BF08-E5BCBEAF810A}"/>
    <cellStyle name="Comma 11 3 3 2 4 3 2 3" xfId="26075" xr:uid="{CE0ED9A9-6075-4BF4-BAB7-ECA1249B4CD5}"/>
    <cellStyle name="Comma 11 3 3 2 4 3 3" xfId="6723" xr:uid="{FB0A2EFE-9917-41F3-BB9E-F3C371F735E1}"/>
    <cellStyle name="Comma 11 3 3 2 4 3 3 2" xfId="21903" xr:uid="{30AA495E-2568-4AC6-B070-1F9755277C98}"/>
    <cellStyle name="Comma 11 3 3 2 4 3 4" xfId="18615" xr:uid="{74080895-CA10-4AA9-8E73-1CAF4E20B680}"/>
    <cellStyle name="Comma 11 3 3 2 4 4" xfId="4239" xr:uid="{DE808F93-8E09-4B56-89E0-F060D6F32226}"/>
    <cellStyle name="Comma 11 3 3 2 4 4 2" xfId="11724" xr:uid="{897161F3-07F0-4EB3-ACF4-6AE74CB8A5F0}"/>
    <cellStyle name="Comma 11 3 3 2 4 4 2 2" xfId="15270" xr:uid="{40D40F33-F28E-495A-AD5B-F63EE4B3490B}"/>
    <cellStyle name="Comma 11 3 3 2 4 4 2 2 2" xfId="30447" xr:uid="{6F42FD1B-C9C7-4D38-BCF7-AF2962DA720D}"/>
    <cellStyle name="Comma 11 3 3 2 4 4 2 3" xfId="26902" xr:uid="{8396A731-B33F-46FE-AC64-FF52B41D6D8B}"/>
    <cellStyle name="Comma 11 3 3 2 4 4 3" xfId="7550" xr:uid="{C8D94970-1686-498C-B36D-F6C677824CA4}"/>
    <cellStyle name="Comma 11 3 3 2 4 4 3 2" xfId="22730" xr:uid="{DFC00D46-B422-4D15-A69B-0BA2FA7C6817}"/>
    <cellStyle name="Comma 11 3 3 2 4 4 4" xfId="19442" xr:uid="{3A94CD3F-D562-47E0-B299-ADCA401F4B3B}"/>
    <cellStyle name="Comma 11 3 3 2 4 5" xfId="8615" xr:uid="{CC086B4A-9067-41E4-B324-346A51C47E48}"/>
    <cellStyle name="Comma 11 3 3 2 4 5 2" xfId="12788" xr:uid="{6E0CBF38-66DA-40AE-B766-025126632090}"/>
    <cellStyle name="Comma 11 3 3 2 4 5 2 2" xfId="27965" xr:uid="{C325E385-CE1C-46B4-A29F-3E32F420F6E8}"/>
    <cellStyle name="Comma 11 3 3 2 4 5 3" xfId="23793" xr:uid="{7AF9A476-0FF1-4BA8-BF68-7CCD06C8A5EF}"/>
    <cellStyle name="Comma 11 3 3 2 4 6" xfId="16333" xr:uid="{8F12C692-293C-4C3C-8F2F-2B60BCC1186B}"/>
    <cellStyle name="Comma 11 3 3 2 4 7" xfId="31553" xr:uid="{DB200FE5-498D-4A61-BC4E-60F03109B63B}"/>
    <cellStyle name="Comma 11 3 3 2 5" xfId="1266" xr:uid="{3BE5C63F-36A8-4CEE-94A5-38E7285F7A1B}"/>
    <cellStyle name="Comma 11 3 3 2 5 10" xfId="31325" xr:uid="{6E971512-983D-4578-8248-F91C4C69F7DB}"/>
    <cellStyle name="Comma 11 3 3 2 5 2" xfId="2696" xr:uid="{51DC2BBE-435B-442E-9E48-85D5D08DD04F}"/>
    <cellStyle name="Comma 11 3 3 2 5 2 2" xfId="10187" xr:uid="{21704F31-CEC2-4481-9B61-D6419262C557}"/>
    <cellStyle name="Comma 11 3 3 2 5 2 2 2" xfId="13831" xr:uid="{8A22B11E-095D-4752-A98F-8637BF03BCA0}"/>
    <cellStyle name="Comma 11 3 3 2 5 2 2 2 2" xfId="29008" xr:uid="{1142EB84-79B0-49AF-BA0D-A6BB79DADD97}"/>
    <cellStyle name="Comma 11 3 3 2 5 2 2 3" xfId="25365" xr:uid="{1DDD4708-A936-4D9F-9F70-F837B69E00BA}"/>
    <cellStyle name="Comma 11 3 3 2 5 2 3" xfId="6013" xr:uid="{54C0D776-C34E-4F03-AF6D-88F83EE4CE65}"/>
    <cellStyle name="Comma 11 3 3 2 5 2 3 2" xfId="21193" xr:uid="{4BAAE2EB-BAF5-46FD-BA9B-6EE4885D4464}"/>
    <cellStyle name="Comma 11 3 3 2 5 2 4" xfId="17905" xr:uid="{4DAC99AB-6AAC-4C9D-97B6-75903B4CFFCB}"/>
    <cellStyle name="Comma 11 3 3 2 5 3" xfId="3583" xr:uid="{1CF761AE-1DFF-4631-B24B-289F1FE0920F}"/>
    <cellStyle name="Comma 11 3 3 2 5 3 2" xfId="11071" xr:uid="{D0104243-D661-4550-B8B0-8476FE0A93DA}"/>
    <cellStyle name="Comma 11 3 3 2 5 3 2 2" xfId="14617" xr:uid="{BFA07E6D-C39A-43C4-939B-BA3174907353}"/>
    <cellStyle name="Comma 11 3 3 2 5 3 2 2 2" xfId="29794" xr:uid="{1F680A2E-5CD3-4553-8DF3-9EB8BC9C273C}"/>
    <cellStyle name="Comma 11 3 3 2 5 3 2 3" xfId="26249" xr:uid="{CFD1CB58-25EA-4BD9-8CBE-5F2C7E6A7C66}"/>
    <cellStyle name="Comma 11 3 3 2 5 3 3" xfId="6897" xr:uid="{3617B3A8-BE59-4396-AFA8-B9EE1EEBE10F}"/>
    <cellStyle name="Comma 11 3 3 2 5 3 3 2" xfId="22077" xr:uid="{0FCD5598-1DB9-46E9-8764-C82E28397858}"/>
    <cellStyle name="Comma 11 3 3 2 5 3 4" xfId="18789" xr:uid="{C552DEF1-3D2F-4ABD-86A1-2610D989C751}"/>
    <cellStyle name="Comma 11 3 3 2 5 4" xfId="4240" xr:uid="{2112D2F8-C0C6-476C-B8FD-69228352589B}"/>
    <cellStyle name="Comma 11 3 3 2 5 4 2" xfId="11725" xr:uid="{17D08A18-63A2-458F-A98F-B9BE31289996}"/>
    <cellStyle name="Comma 11 3 3 2 5 4 2 2" xfId="15271" xr:uid="{29EBCB52-DB19-49EE-9F87-8496D64C3A30}"/>
    <cellStyle name="Comma 11 3 3 2 5 4 2 2 2" xfId="30448" xr:uid="{50498FF2-65D9-47B5-AFDB-69B83107EF93}"/>
    <cellStyle name="Comma 11 3 3 2 5 4 2 3" xfId="26903" xr:uid="{0EFF68C4-91B0-47B2-92AA-15419C16A666}"/>
    <cellStyle name="Comma 11 3 3 2 5 4 3" xfId="7551" xr:uid="{335F8B63-925F-440F-AF41-2AF37CC76C3C}"/>
    <cellStyle name="Comma 11 3 3 2 5 4 3 2" xfId="22731" xr:uid="{B4894256-1DB2-40A7-85CE-8082857325FD}"/>
    <cellStyle name="Comma 11 3 3 2 5 4 4" xfId="19443" xr:uid="{F9CD4EF1-341A-481D-A404-65842AB373F2}"/>
    <cellStyle name="Comma 11 3 3 2 5 5" xfId="4985" xr:uid="{47AA7C96-BD51-4211-ADDB-EFC8768BEA97}"/>
    <cellStyle name="Comma 11 3 3 2 5 5 2" xfId="12469" xr:uid="{1FBEDAB8-F9FC-4E21-97E2-F7920F2E1425}"/>
    <cellStyle name="Comma 11 3 3 2 5 5 2 2" xfId="16015" xr:uid="{A485F3EA-7A52-4EE3-B616-09A59D7FAB4B}"/>
    <cellStyle name="Comma 11 3 3 2 5 5 2 2 2" xfId="31192" xr:uid="{2735AE2B-28D4-4F16-97C8-1E2D8C9FAFC1}"/>
    <cellStyle name="Comma 11 3 3 2 5 5 2 3" xfId="27647" xr:uid="{D011A758-79B8-4F6D-9C4F-1BFA87638229}"/>
    <cellStyle name="Comma 11 3 3 2 5 5 3" xfId="8295" xr:uid="{8B42F991-4025-4878-8C64-C5E15DA72FE4}"/>
    <cellStyle name="Comma 11 3 3 2 5 5 3 2" xfId="23475" xr:uid="{5716D426-13A5-4103-95A8-12F8A839D400}"/>
    <cellStyle name="Comma 11 3 3 2 5 5 4" xfId="20187" xr:uid="{45B767CB-90B5-4371-A445-740D81C10308}"/>
    <cellStyle name="Comma 11 3 3 2 5 6" xfId="1806" xr:uid="{71C5A462-D66D-474D-993E-89E6E64BA20D}"/>
    <cellStyle name="Comma 11 3 3 2 5 6 2" xfId="9303" xr:uid="{D8A89B50-8DFB-4E81-93B4-520AB6E54B9F}"/>
    <cellStyle name="Comma 11 3 3 2 5 6 2 2" xfId="24481" xr:uid="{5D6FF099-E7D9-4F98-9F4A-058FB336842A}"/>
    <cellStyle name="Comma 11 3 3 2 5 6 3" xfId="17021" xr:uid="{02B7B372-A737-493A-ACC4-2015EF2887F7}"/>
    <cellStyle name="Comma 11 3 3 2 5 7" xfId="8789" xr:uid="{62BA49B2-10D3-4DEC-8E28-A7C16049DEE9}"/>
    <cellStyle name="Comma 11 3 3 2 5 7 2" xfId="12962" xr:uid="{47BFB08C-B6C1-406F-8442-FB615E803AF2}"/>
    <cellStyle name="Comma 11 3 3 2 5 7 2 2" xfId="28139" xr:uid="{511EEB57-E31C-4AAE-B9DD-3182780CC687}"/>
    <cellStyle name="Comma 11 3 3 2 5 7 3" xfId="23967" xr:uid="{DD101DE1-D6CA-4BBC-9AE8-D6BA9AEABC21}"/>
    <cellStyle name="Comma 11 3 3 2 5 8" xfId="5129" xr:uid="{479696DF-2DA0-4F1B-9913-209B6AAE3E43}"/>
    <cellStyle name="Comma 11 3 3 2 5 8 2" xfId="20309" xr:uid="{B8E51C5E-9613-49FA-BD82-3638689E898A}"/>
    <cellStyle name="Comma 11 3 3 2 5 9" xfId="16507" xr:uid="{5C9FC97C-502D-45F7-A62E-807904B74237}"/>
    <cellStyle name="Comma 11 3 3 2 6" xfId="1368" xr:uid="{EDCA4BF7-4062-4ED3-B85D-3A75BE4177B1}"/>
    <cellStyle name="Comma 11 3 3 2 6 2" xfId="2794" xr:uid="{193658C1-00A5-461B-A958-BB827E1A6E4D}"/>
    <cellStyle name="Comma 11 3 3 2 6 2 2" xfId="10285" xr:uid="{59C24CAE-BC10-4D90-9F64-42B5CA6C742E}"/>
    <cellStyle name="Comma 11 3 3 2 6 2 2 2" xfId="13880" xr:uid="{E8BD8FE2-4011-4A4E-9CA7-89CE0FB9FF14}"/>
    <cellStyle name="Comma 11 3 3 2 6 2 2 2 2" xfId="29057" xr:uid="{D2FE02F1-805C-4A09-9F48-01C10B272557}"/>
    <cellStyle name="Comma 11 3 3 2 6 2 2 3" xfId="25463" xr:uid="{0B0B12B8-B131-4751-A392-68F080B0818A}"/>
    <cellStyle name="Comma 11 3 3 2 6 2 3" xfId="6111" xr:uid="{694A410B-10F7-4F5E-84BE-F7D43CD3277C}"/>
    <cellStyle name="Comma 11 3 3 2 6 2 3 2" xfId="21291" xr:uid="{581A8392-BA40-4264-B698-CB5A6ECE6E71}"/>
    <cellStyle name="Comma 11 3 3 2 6 2 4" xfId="18003" xr:uid="{3485B75B-7C1C-4323-B5BB-3C611B5F7ACD}"/>
    <cellStyle name="Comma 11 3 3 2 6 3" xfId="3681" xr:uid="{3FCCCA58-2F63-497D-9A55-4E1D7EDD2EE2}"/>
    <cellStyle name="Comma 11 3 3 2 6 3 2" xfId="11169" xr:uid="{7256E727-68A2-4443-9A2F-2B4B279602C6}"/>
    <cellStyle name="Comma 11 3 3 2 6 3 2 2" xfId="14715" xr:uid="{05592CBC-671F-49FD-82B9-C50802576C55}"/>
    <cellStyle name="Comma 11 3 3 2 6 3 2 2 2" xfId="29892" xr:uid="{CF638551-F934-4BDD-88DC-ED9588848939}"/>
    <cellStyle name="Comma 11 3 3 2 6 3 2 3" xfId="26347" xr:uid="{B58FB043-D52A-4F9C-A53D-44BDB55F1C94}"/>
    <cellStyle name="Comma 11 3 3 2 6 3 3" xfId="6995" xr:uid="{FD5744A9-4EF6-4E38-9085-789CB425BF92}"/>
    <cellStyle name="Comma 11 3 3 2 6 3 3 2" xfId="22175" xr:uid="{B80B6D14-1927-4502-9F49-719B1F873EC2}"/>
    <cellStyle name="Comma 11 3 3 2 6 3 4" xfId="18887" xr:uid="{5391637E-E07E-4847-9C36-58205F266B52}"/>
    <cellStyle name="Comma 11 3 3 2 6 4" xfId="4241" xr:uid="{FC1DF99C-1953-4A89-83A2-8017613A18C6}"/>
    <cellStyle name="Comma 11 3 3 2 6 4 2" xfId="11726" xr:uid="{BAA13C16-A39E-42E1-A3AF-3E740C2DE1E9}"/>
    <cellStyle name="Comma 11 3 3 2 6 4 2 2" xfId="15272" xr:uid="{39F4991E-5C4F-4DB8-9FB5-65169B20F249}"/>
    <cellStyle name="Comma 11 3 3 2 6 4 2 2 2" xfId="30449" xr:uid="{B681CD6F-012F-4D7D-BB32-D0D89D5C567D}"/>
    <cellStyle name="Comma 11 3 3 2 6 4 2 3" xfId="26904" xr:uid="{17E2B934-88C6-4768-A1CB-548337D66648}"/>
    <cellStyle name="Comma 11 3 3 2 6 4 3" xfId="7552" xr:uid="{191B74E1-6AD1-4B73-9556-15607047E5EE}"/>
    <cellStyle name="Comma 11 3 3 2 6 4 3 2" xfId="22732" xr:uid="{89E5696F-F754-45C6-BE5B-521E1893EA82}"/>
    <cellStyle name="Comma 11 3 3 2 6 4 4" xfId="19444" xr:uid="{651D3F65-73DF-4D42-9449-AB6ADD8EE64E}"/>
    <cellStyle name="Comma 11 3 3 2 6 5" xfId="1904" xr:uid="{EA36ADB6-45B5-4614-B575-B69E89159813}"/>
    <cellStyle name="Comma 11 3 3 2 6 5 2" xfId="9401" xr:uid="{C6EB748E-1A50-4BD3-9160-4FDD2FCCE128}"/>
    <cellStyle name="Comma 11 3 3 2 6 5 2 2" xfId="24579" xr:uid="{12C415BE-EA3E-4752-A6D4-F53E36DBC966}"/>
    <cellStyle name="Comma 11 3 3 2 6 5 3" xfId="17119" xr:uid="{153A72B8-338B-429C-8766-975C7609ECCB}"/>
    <cellStyle name="Comma 11 3 3 2 6 6" xfId="8887" xr:uid="{CF886D2C-6C4F-47AA-81F3-CA39E9382CA3}"/>
    <cellStyle name="Comma 11 3 3 2 6 6 2" xfId="13060" xr:uid="{7AB29897-448C-4E73-82DD-DE24C192146A}"/>
    <cellStyle name="Comma 11 3 3 2 6 6 2 2" xfId="28237" xr:uid="{4190AEF0-A033-405B-8DDB-11AAACEB6355}"/>
    <cellStyle name="Comma 11 3 3 2 6 6 3" xfId="24065" xr:uid="{015E1FAA-432E-4F22-824B-C951A085C5D6}"/>
    <cellStyle name="Comma 11 3 3 2 6 7" xfId="5227" xr:uid="{9F4F2662-552A-4805-A1CE-6A8D0CEDFFFC}"/>
    <cellStyle name="Comma 11 3 3 2 6 7 2" xfId="20407" xr:uid="{D5D7FFE8-6B30-48DE-8B59-278E915ADB8F}"/>
    <cellStyle name="Comma 11 3 3 2 6 8" xfId="16605" xr:uid="{62B5E2AD-751D-4332-87F5-5D3451A54F41}"/>
    <cellStyle name="Comma 11 3 3 2 7" xfId="1467" xr:uid="{A8A440ED-3E45-46A5-9878-38BBE0938D41}"/>
    <cellStyle name="Comma 11 3 3 2 7 2" xfId="2892" xr:uid="{D5CCEABE-38EC-4A20-965F-A15648AEE757}"/>
    <cellStyle name="Comma 11 3 3 2 7 2 2" xfId="10383" xr:uid="{3CD52752-22CF-4F59-A636-81D0F51C419C}"/>
    <cellStyle name="Comma 11 3 3 2 7 2 2 2" xfId="13929" xr:uid="{97D012DD-782F-4916-AD39-A63EEDD22368}"/>
    <cellStyle name="Comma 11 3 3 2 7 2 2 2 2" xfId="29106" xr:uid="{D012732D-3C0C-48C4-9B95-F0D680B4E9BD}"/>
    <cellStyle name="Comma 11 3 3 2 7 2 2 3" xfId="25561" xr:uid="{EDB07AC4-12A8-49FF-82FE-0E26586F3E2E}"/>
    <cellStyle name="Comma 11 3 3 2 7 2 3" xfId="6209" xr:uid="{B6ABC37F-5B9D-4878-A076-899FE0E712AF}"/>
    <cellStyle name="Comma 11 3 3 2 7 2 3 2" xfId="21389" xr:uid="{8552AD49-39D0-4A21-B9BD-F884B557DC19}"/>
    <cellStyle name="Comma 11 3 3 2 7 2 4" xfId="18101" xr:uid="{DAAE1EF9-08E4-48A3-ABED-43317B6C4F5C}"/>
    <cellStyle name="Comma 11 3 3 2 7 3" xfId="3779" xr:uid="{390BFD94-A8E9-4AF8-9D1E-4242294D43B0}"/>
    <cellStyle name="Comma 11 3 3 2 7 3 2" xfId="11267" xr:uid="{679D4B71-8731-42EE-978A-58C00FD4AAC9}"/>
    <cellStyle name="Comma 11 3 3 2 7 3 2 2" xfId="14813" xr:uid="{A8E8A068-8FCE-4B4C-A635-01141ED2310C}"/>
    <cellStyle name="Comma 11 3 3 2 7 3 2 2 2" xfId="29990" xr:uid="{0CCCB3F8-8B2B-40CA-B096-255B1F9C4FB1}"/>
    <cellStyle name="Comma 11 3 3 2 7 3 2 3" xfId="26445" xr:uid="{0A214D08-3B17-4012-90A9-88732556E41D}"/>
    <cellStyle name="Comma 11 3 3 2 7 3 3" xfId="7093" xr:uid="{46B7F7A0-818E-4349-BF02-B137F55B0FAF}"/>
    <cellStyle name="Comma 11 3 3 2 7 3 3 2" xfId="22273" xr:uid="{9DC2FEC6-2478-413D-B55C-85E0CCEB91A5}"/>
    <cellStyle name="Comma 11 3 3 2 7 3 4" xfId="18985" xr:uid="{D4387CE3-120B-423C-B30C-0F15E54FF610}"/>
    <cellStyle name="Comma 11 3 3 2 7 4" xfId="4242" xr:uid="{EDB26065-1971-4228-B386-FC2746C5FC6D}"/>
    <cellStyle name="Comma 11 3 3 2 7 4 2" xfId="11727" xr:uid="{3D258FDD-F100-4C6A-940D-26DDC114ED6E}"/>
    <cellStyle name="Comma 11 3 3 2 7 4 2 2" xfId="15273" xr:uid="{48B04F2B-3889-49C6-B8E3-B2B448D64D83}"/>
    <cellStyle name="Comma 11 3 3 2 7 4 2 2 2" xfId="30450" xr:uid="{AEF636DA-73E4-4F71-80D7-81EB9F56CA8B}"/>
    <cellStyle name="Comma 11 3 3 2 7 4 2 3" xfId="26905" xr:uid="{805E40D2-5B58-4E6F-9998-59393132FAB3}"/>
    <cellStyle name="Comma 11 3 3 2 7 4 3" xfId="7553" xr:uid="{8E6679FC-74E0-42EB-8EC4-4D2B97FB9FD7}"/>
    <cellStyle name="Comma 11 3 3 2 7 4 3 2" xfId="22733" xr:uid="{5EA40D11-9758-4525-BD78-F29D664FB108}"/>
    <cellStyle name="Comma 11 3 3 2 7 4 4" xfId="19445" xr:uid="{59AD2C27-8748-4921-9751-9A4594C355A7}"/>
    <cellStyle name="Comma 11 3 3 2 7 5" xfId="2002" xr:uid="{CFE488C2-FFA3-4A19-A644-24DE0B97E666}"/>
    <cellStyle name="Comma 11 3 3 2 7 5 2" xfId="9499" xr:uid="{0827742E-7D04-437B-AC8D-B09EBCD667E2}"/>
    <cellStyle name="Comma 11 3 3 2 7 5 2 2" xfId="24677" xr:uid="{0E5A2716-49BF-45A7-A362-F86286584A2F}"/>
    <cellStyle name="Comma 11 3 3 2 7 5 3" xfId="17217" xr:uid="{F8BBF101-A1F7-400D-91FC-241C453B92DC}"/>
    <cellStyle name="Comma 11 3 3 2 7 6" xfId="8985" xr:uid="{C49A1615-299A-4F6A-96F9-7CE59EB9F9A0}"/>
    <cellStyle name="Comma 11 3 3 2 7 6 2" xfId="13158" xr:uid="{B19A3B62-6820-47E5-BBC4-7C23926C848F}"/>
    <cellStyle name="Comma 11 3 3 2 7 6 2 2" xfId="28335" xr:uid="{7218485B-9CB1-4F26-B4E0-7CFB2D6A998A}"/>
    <cellStyle name="Comma 11 3 3 2 7 6 3" xfId="24163" xr:uid="{66D7B88F-A60F-443B-8E5A-BD80028F3ADE}"/>
    <cellStyle name="Comma 11 3 3 2 7 7" xfId="5325" xr:uid="{05415EF3-E82F-4CDA-98BB-FD8EB1CCB076}"/>
    <cellStyle name="Comma 11 3 3 2 7 7 2" xfId="20505" xr:uid="{08A55D16-D6EA-47F1-9DB1-68819C9E234F}"/>
    <cellStyle name="Comma 11 3 3 2 7 8" xfId="16703" xr:uid="{A68A8454-DE10-4466-8B3C-D6E69F794CD3}"/>
    <cellStyle name="Comma 11 3 3 2 8" xfId="1570" xr:uid="{7D401DBB-A84F-4638-BD13-89D7F0027753}"/>
    <cellStyle name="Comma 11 3 3 2 8 2" xfId="2990" xr:uid="{087D5C10-F838-471F-AA62-955DBEEA48AC}"/>
    <cellStyle name="Comma 11 3 3 2 8 2 2" xfId="10481" xr:uid="{F9B299D1-3349-401A-9EF4-18BFC7828D35}"/>
    <cellStyle name="Comma 11 3 3 2 8 2 2 2" xfId="14027" xr:uid="{AB04B947-1593-4BBC-8E9A-E5A09F80B7CD}"/>
    <cellStyle name="Comma 11 3 3 2 8 2 2 2 2" xfId="29204" xr:uid="{6F36542B-C32A-4964-B2C3-94533E7440B3}"/>
    <cellStyle name="Comma 11 3 3 2 8 2 2 3" xfId="25659" xr:uid="{8EC5B64D-0141-467C-9D38-A333E59B3C9F}"/>
    <cellStyle name="Comma 11 3 3 2 8 2 3" xfId="6307" xr:uid="{3671DB71-61A6-4F7C-B3C2-ED2C12E16D49}"/>
    <cellStyle name="Comma 11 3 3 2 8 2 3 2" xfId="21487" xr:uid="{9213B95B-3E2C-43B0-8AAC-128E1A88C90D}"/>
    <cellStyle name="Comma 11 3 3 2 8 2 4" xfId="18199" xr:uid="{D5D7E56C-AAD0-4E7B-9EDD-1591A223057D}"/>
    <cellStyle name="Comma 11 3 3 2 8 3" xfId="3877" xr:uid="{76C5810D-07A2-4D7B-9953-4097E334D6DB}"/>
    <cellStyle name="Comma 11 3 3 2 8 3 2" xfId="11365" xr:uid="{DBC7AD00-A9E8-4ECD-9D91-5E5F6A576D81}"/>
    <cellStyle name="Comma 11 3 3 2 8 3 2 2" xfId="14911" xr:uid="{B60B288D-F8B4-4BBD-AF63-34FF8B3835C5}"/>
    <cellStyle name="Comma 11 3 3 2 8 3 2 2 2" xfId="30088" xr:uid="{65077B18-38A6-4C11-93BC-5AD34B8DFA8C}"/>
    <cellStyle name="Comma 11 3 3 2 8 3 2 3" xfId="26543" xr:uid="{CB8D9FB2-C2E1-4254-A093-312A0D1AB3E4}"/>
    <cellStyle name="Comma 11 3 3 2 8 3 3" xfId="7191" xr:uid="{B8346230-4677-42A8-9E70-CCA7793EC458}"/>
    <cellStyle name="Comma 11 3 3 2 8 3 3 2" xfId="22371" xr:uid="{17C25CAE-7E65-452D-B421-FAE3D368EEE5}"/>
    <cellStyle name="Comma 11 3 3 2 8 3 4" xfId="19083" xr:uid="{390DF493-AE3B-4E1D-A1C1-3D9DE5E1A9FD}"/>
    <cellStyle name="Comma 11 3 3 2 8 4" xfId="4243" xr:uid="{68987598-CE82-4B1B-9DAF-78F0F085E28F}"/>
    <cellStyle name="Comma 11 3 3 2 8 4 2" xfId="11728" xr:uid="{915F17DD-BB4A-4CFA-ACCA-004BDFDAB8BF}"/>
    <cellStyle name="Comma 11 3 3 2 8 4 2 2" xfId="15274" xr:uid="{10ACB4EF-7D30-4C74-B830-58C3F6BEF7DF}"/>
    <cellStyle name="Comma 11 3 3 2 8 4 2 2 2" xfId="30451" xr:uid="{636E7ED3-FF19-4376-8B86-D38194D449CE}"/>
    <cellStyle name="Comma 11 3 3 2 8 4 2 3" xfId="26906" xr:uid="{ABA5720D-3548-486C-A8EE-ED0ABDF94DE6}"/>
    <cellStyle name="Comma 11 3 3 2 8 4 3" xfId="7554" xr:uid="{82C7869C-7201-4127-AD3B-1D5C4F66780C}"/>
    <cellStyle name="Comma 11 3 3 2 8 4 3 2" xfId="22734" xr:uid="{39419AC0-3426-44F1-A932-4309CDD4532F}"/>
    <cellStyle name="Comma 11 3 3 2 8 4 4" xfId="19446" xr:uid="{4712C365-CF06-4388-8066-9478C20293E5}"/>
    <cellStyle name="Comma 11 3 3 2 8 5" xfId="2100" xr:uid="{C2FD59A2-929E-406F-A55C-187A501E1B17}"/>
    <cellStyle name="Comma 11 3 3 2 8 5 2" xfId="9597" xr:uid="{7F114015-F686-4326-9F8C-065BC2AFF67B}"/>
    <cellStyle name="Comma 11 3 3 2 8 5 2 2" xfId="24775" xr:uid="{91935453-42CC-4864-9860-4EA978DA5AB1}"/>
    <cellStyle name="Comma 11 3 3 2 8 5 3" xfId="17315" xr:uid="{96B84FD7-3C24-4999-8F3A-60195114581D}"/>
    <cellStyle name="Comma 11 3 3 2 8 6" xfId="9083" xr:uid="{F28BE800-2478-4FD1-B644-07B0AB6417F4}"/>
    <cellStyle name="Comma 11 3 3 2 8 6 2" xfId="13256" xr:uid="{C3CD4DF7-B4A6-47EA-B447-B8A3EC32F7EF}"/>
    <cellStyle name="Comma 11 3 3 2 8 6 2 2" xfId="28433" xr:uid="{7CCFF10E-2044-4FC8-8933-F435C13DE0D6}"/>
    <cellStyle name="Comma 11 3 3 2 8 6 3" xfId="24261" xr:uid="{2BCF65DA-4115-4AFE-A46B-DA24ED1491D8}"/>
    <cellStyle name="Comma 11 3 3 2 8 7" xfId="5423" xr:uid="{B465D7E2-8AF8-4843-B9F2-74B3B2A17FBF}"/>
    <cellStyle name="Comma 11 3 3 2 8 7 2" xfId="20603" xr:uid="{AD28725D-2E80-4C02-81CA-9BD07EC32B80}"/>
    <cellStyle name="Comma 11 3 3 2 8 8" xfId="16801" xr:uid="{AEB5A105-7F3F-4A3D-9DE5-2267A39E0CD9}"/>
    <cellStyle name="Comma 11 3 3 2 9" xfId="1669" xr:uid="{396E288F-8D6C-4F76-838B-879EE12FD8FF}"/>
    <cellStyle name="Comma 11 3 3 2 9 2" xfId="3088" xr:uid="{7D024BF2-8CF3-4B80-A9F0-5622472D5D57}"/>
    <cellStyle name="Comma 11 3 3 2 9 2 2" xfId="10579" xr:uid="{04BB0837-49D0-4384-8AF3-6CF2EA5FA268}"/>
    <cellStyle name="Comma 11 3 3 2 9 2 2 2" xfId="14125" xr:uid="{2A4C06BF-9D71-40E3-8E09-47FB50AA838E}"/>
    <cellStyle name="Comma 11 3 3 2 9 2 2 2 2" xfId="29302" xr:uid="{B4694C29-FB40-4E05-A3C5-0BB1B0ED0E1F}"/>
    <cellStyle name="Comma 11 3 3 2 9 2 2 3" xfId="25757" xr:uid="{6ADAB979-0CCC-438C-8EDB-E6C8D1908456}"/>
    <cellStyle name="Comma 11 3 3 2 9 2 3" xfId="6405" xr:uid="{646F67A2-5CC5-46B4-9D73-EF620F326980}"/>
    <cellStyle name="Comma 11 3 3 2 9 2 3 2" xfId="21585" xr:uid="{D534F16F-E466-4106-B766-FBBA04FA056F}"/>
    <cellStyle name="Comma 11 3 3 2 9 2 4" xfId="18297" xr:uid="{3B02B7A1-3D34-41B6-A847-5CF948173ECA}"/>
    <cellStyle name="Comma 11 3 3 2 9 3" xfId="3975" xr:uid="{0350E1A6-E571-4FE1-91BD-341578D84719}"/>
    <cellStyle name="Comma 11 3 3 2 9 3 2" xfId="11463" xr:uid="{AC1EEE15-3164-4351-A3CA-AE6ADE1261E0}"/>
    <cellStyle name="Comma 11 3 3 2 9 3 2 2" xfId="15009" xr:uid="{0C23D09E-E81A-4C7A-B6D8-99A2283059AB}"/>
    <cellStyle name="Comma 11 3 3 2 9 3 2 2 2" xfId="30186" xr:uid="{A405C63F-8779-4157-B0C2-AE994B6999CE}"/>
    <cellStyle name="Comma 11 3 3 2 9 3 2 3" xfId="26641" xr:uid="{C725EC92-AA82-41BB-8DCF-2D67FB219920}"/>
    <cellStyle name="Comma 11 3 3 2 9 3 3" xfId="7289" xr:uid="{67D65679-2A8B-4AFB-B645-52EC7AF1FB2E}"/>
    <cellStyle name="Comma 11 3 3 2 9 3 3 2" xfId="22469" xr:uid="{E1AE1A7D-FC9A-4552-A986-733E8B97DA19}"/>
    <cellStyle name="Comma 11 3 3 2 9 3 4" xfId="19181" xr:uid="{7910B060-CBD1-44C9-BF01-FB0E111E425B}"/>
    <cellStyle name="Comma 11 3 3 2 9 4" xfId="4244" xr:uid="{CCE6CD3C-2D6A-4A6A-8910-8383D1C3FC1D}"/>
    <cellStyle name="Comma 11 3 3 2 9 4 2" xfId="11729" xr:uid="{56EB00F0-6516-415D-BF4F-3ACA4E76894C}"/>
    <cellStyle name="Comma 11 3 3 2 9 4 2 2" xfId="15275" xr:uid="{CFC36F96-1658-4F27-A303-9E1FA8046642}"/>
    <cellStyle name="Comma 11 3 3 2 9 4 2 2 2" xfId="30452" xr:uid="{0A71E961-83A0-4F10-8C58-4F34634F8A15}"/>
    <cellStyle name="Comma 11 3 3 2 9 4 2 3" xfId="26907" xr:uid="{CEE22B96-6A2F-4973-A2B5-6E86A1AD2981}"/>
    <cellStyle name="Comma 11 3 3 2 9 4 3" xfId="7555" xr:uid="{E3A7FA50-4757-4151-B386-29B0F56D61D6}"/>
    <cellStyle name="Comma 11 3 3 2 9 4 3 2" xfId="22735" xr:uid="{317C925F-4D7A-4530-9D57-4496D6FC230E}"/>
    <cellStyle name="Comma 11 3 3 2 9 4 4" xfId="19447" xr:uid="{7DBDD9F7-9BE9-478E-AFF4-B01D032B8687}"/>
    <cellStyle name="Comma 11 3 3 2 9 5" xfId="2198" xr:uid="{2BCF8F99-A263-4069-BB07-C5225401D378}"/>
    <cellStyle name="Comma 11 3 3 2 9 5 2" xfId="9695" xr:uid="{E61C86B3-63B1-4B83-8146-00B8A183B214}"/>
    <cellStyle name="Comma 11 3 3 2 9 5 2 2" xfId="24873" xr:uid="{A03288BB-DE76-4909-83A5-22F44863C2F3}"/>
    <cellStyle name="Comma 11 3 3 2 9 5 3" xfId="17413" xr:uid="{EDC93124-F478-4572-BC78-C96272C8512A}"/>
    <cellStyle name="Comma 11 3 3 2 9 6" xfId="9181" xr:uid="{564B16D4-A13E-4FE3-A18B-0905FF5C52CE}"/>
    <cellStyle name="Comma 11 3 3 2 9 6 2" xfId="13354" xr:uid="{D333846B-8BD6-4A2A-B13F-C6EC60AEB2FE}"/>
    <cellStyle name="Comma 11 3 3 2 9 6 2 2" xfId="28531" xr:uid="{FCE50C74-1BF6-48B6-86C9-DA679536DC41}"/>
    <cellStyle name="Comma 11 3 3 2 9 6 3" xfId="24359" xr:uid="{4C9C39AF-B9E0-40A0-9BC5-8E4EF5CC3D94}"/>
    <cellStyle name="Comma 11 3 3 2 9 7" xfId="5521" xr:uid="{B8959FD1-3757-4100-B507-574FFF74B232}"/>
    <cellStyle name="Comma 11 3 3 2 9 7 2" xfId="20701" xr:uid="{B6646FE9-3B90-43A4-A824-6157C8AAD41C}"/>
    <cellStyle name="Comma 11 3 3 2 9 8" xfId="16899" xr:uid="{11D372BB-A6BA-4DBA-AFA5-BDD1B9C9FE14}"/>
    <cellStyle name="Comma 11 3 3 3" xfId="752" xr:uid="{9917B064-F9A3-40BD-8A83-02B5009A9B7B}"/>
    <cellStyle name="Comma 11 3 3 3 10" xfId="8418" xr:uid="{A7189D83-0977-4AE1-B5C5-3E9AA5779503}"/>
    <cellStyle name="Comma 11 3 3 3 10 2" xfId="12592" xr:uid="{7E4EE6C3-A3B1-4B84-8DE3-A8B9E0EC6730}"/>
    <cellStyle name="Comma 11 3 3 3 10 2 2" xfId="27769" xr:uid="{9F2244B0-C02D-481D-91E6-468352D728DE}"/>
    <cellStyle name="Comma 11 3 3 3 10 3" xfId="23597" xr:uid="{09C16667-DFA4-4E54-B63C-B431C5DD186C}"/>
    <cellStyle name="Comma 11 3 3 3 11" xfId="16137" xr:uid="{F7CD298D-B086-412B-BA0D-00C6B4FB4838}"/>
    <cellStyle name="Comma 11 3 3 3 12" xfId="31479" xr:uid="{731085EC-4549-49A0-B8C7-F625DE633059}"/>
    <cellStyle name="Comma 11 3 3 3 2" xfId="929" xr:uid="{7D1EBE87-6929-4BDD-8045-83CBC84BC7E2}"/>
    <cellStyle name="Comma 11 3 3 3 2 10" xfId="16259" xr:uid="{85535A49-03E1-44E9-8B43-BCA605105845}"/>
    <cellStyle name="Comma 11 3 3 3 2 11" xfId="31349" xr:uid="{33DCDEE4-B55E-41B0-B303-49A648FAF22B}"/>
    <cellStyle name="Comma 11 3 3 3 2 12" xfId="31699" xr:uid="{B2206B9A-C976-4413-B740-70904CC6EBE8}"/>
    <cellStyle name="Comma 11 3 3 3 2 2" xfId="1290" xr:uid="{10AA9418-DAA0-4F13-AA6D-25AAC29C61CF}"/>
    <cellStyle name="Comma 11 3 3 3 2 2 2" xfId="3607" xr:uid="{ABA7A0DA-BB19-45D2-BDC6-9DB0658E8B26}"/>
    <cellStyle name="Comma 11 3 3 3 2 2 2 2" xfId="11095" xr:uid="{0AB04158-8D39-425C-AF87-616291C80DB2}"/>
    <cellStyle name="Comma 11 3 3 3 2 2 2 2 2" xfId="14641" xr:uid="{229316FF-7BC8-411A-95B9-ABDC0CACFEBC}"/>
    <cellStyle name="Comma 11 3 3 3 2 2 2 2 2 2" xfId="29818" xr:uid="{DC6D9749-C213-438E-880F-477CD505EF24}"/>
    <cellStyle name="Comma 11 3 3 3 2 2 2 2 3" xfId="26273" xr:uid="{47AF697C-57F5-4C14-9E14-A4C8D2D28A3B}"/>
    <cellStyle name="Comma 11 3 3 3 2 2 2 3" xfId="6921" xr:uid="{374EF629-4667-44FE-B319-A30D627941BA}"/>
    <cellStyle name="Comma 11 3 3 3 2 2 2 3 2" xfId="22101" xr:uid="{F601A0D3-4315-4F2F-89B2-C15719EF53CC}"/>
    <cellStyle name="Comma 11 3 3 3 2 2 2 4" xfId="18813" xr:uid="{EA5A92E5-3FBD-4C82-B413-B54935ADD595}"/>
    <cellStyle name="Comma 11 3 3 3 2 2 3" xfId="4245" xr:uid="{8370165B-FB8D-416D-8855-5C3A84FAB214}"/>
    <cellStyle name="Comma 11 3 3 3 2 2 3 2" xfId="11730" xr:uid="{36D0EA5C-5498-49CB-A906-F9507E84548C}"/>
    <cellStyle name="Comma 11 3 3 3 2 2 3 2 2" xfId="15276" xr:uid="{3E1ADF17-C0F2-423A-96BD-57C0F73E9365}"/>
    <cellStyle name="Comma 11 3 3 3 2 2 3 2 2 2" xfId="30453" xr:uid="{2B1F7B5C-477A-4D3E-9115-10A2C2B48E87}"/>
    <cellStyle name="Comma 11 3 3 3 2 2 3 2 3" xfId="26908" xr:uid="{7EC530FA-3E88-4032-85C6-013713C31601}"/>
    <cellStyle name="Comma 11 3 3 3 2 2 3 3" xfId="7556" xr:uid="{383B2886-01CA-4D38-8454-78F9AD96173D}"/>
    <cellStyle name="Comma 11 3 3 3 2 2 3 3 2" xfId="22736" xr:uid="{998D5F1C-267D-47A7-8AE5-391964A51474}"/>
    <cellStyle name="Comma 11 3 3 3 2 2 3 4" xfId="19448" xr:uid="{65046A08-3C3F-4611-BBB2-8336EB69975C}"/>
    <cellStyle name="Comma 11 3 3 3 2 2 4" xfId="2720" xr:uid="{E36B6F81-362F-4FCD-A897-41DFB291DCE1}"/>
    <cellStyle name="Comma 11 3 3 3 2 2 4 2" xfId="10211" xr:uid="{5A372556-A8DD-426A-AD88-65A2A99097CE}"/>
    <cellStyle name="Comma 11 3 3 3 2 2 4 2 2" xfId="25389" xr:uid="{5C5B6B1B-2C4E-4A16-A06D-D4D9CA6814E4}"/>
    <cellStyle name="Comma 11 3 3 3 2 2 4 3" xfId="17929" xr:uid="{7BFA6AB7-6F50-49EA-A0B8-917AC42DEA48}"/>
    <cellStyle name="Comma 11 3 3 3 2 2 5" xfId="8813" xr:uid="{2E752345-AB3D-48FF-B3F9-48088A909F69}"/>
    <cellStyle name="Comma 11 3 3 3 2 2 5 2" xfId="12986" xr:uid="{7D3B1B18-C2F4-4EAE-B3D5-3261AF091C4A}"/>
    <cellStyle name="Comma 11 3 3 3 2 2 5 2 2" xfId="28163" xr:uid="{A9758A3D-B41C-4F85-969B-065CF3989012}"/>
    <cellStyle name="Comma 11 3 3 3 2 2 5 3" xfId="23991" xr:uid="{32B6DA16-C10D-46E2-A12F-BE7A8843730B}"/>
    <cellStyle name="Comma 11 3 3 3 2 2 6" xfId="6037" xr:uid="{711215C7-8540-4459-B172-5FD51DD4E272}"/>
    <cellStyle name="Comma 11 3 3 3 2 2 6 2" xfId="21217" xr:uid="{0690B7DB-1C0D-4117-B944-B2EAD0AF029E}"/>
    <cellStyle name="Comma 11 3 3 3 2 2 7" xfId="16531" xr:uid="{B0CF39F9-FCF0-4EAE-B78F-C7B3BA13CD18}"/>
    <cellStyle name="Comma 11 3 3 3 2 3" xfId="2447" xr:uid="{EF9D230A-F92A-4702-B84F-27E65897B3A0}"/>
    <cellStyle name="Comma 11 3 3 3 2 3 2" xfId="9939" xr:uid="{19425A83-A190-4D5C-B935-F49FA06F259C}"/>
    <cellStyle name="Comma 11 3 3 3 2 3 2 2" xfId="13598" xr:uid="{14736321-6743-40AD-81F0-E7296A292BA8}"/>
    <cellStyle name="Comma 11 3 3 3 2 3 2 2 2" xfId="28775" xr:uid="{9ED69C68-E7FA-4DCC-87D7-3832D5B6E53C}"/>
    <cellStyle name="Comma 11 3 3 3 2 3 2 3" xfId="25117" xr:uid="{2112FE80-4583-4694-A95B-722A1C4D0EF0}"/>
    <cellStyle name="Comma 11 3 3 3 2 3 3" xfId="5765" xr:uid="{0D5B0364-35E2-421E-B97B-A911F4CDC872}"/>
    <cellStyle name="Comma 11 3 3 3 2 3 3 2" xfId="20945" xr:uid="{3ADA4E04-7F3D-43CC-852C-2732F40769FF}"/>
    <cellStyle name="Comma 11 3 3 3 2 3 4" xfId="17657" xr:uid="{67BC023C-48DE-4540-8421-559735671E91}"/>
    <cellStyle name="Comma 11 3 3 3 2 4" xfId="3335" xr:uid="{4B5B7F62-7955-42BF-9057-13CC69296E46}"/>
    <cellStyle name="Comma 11 3 3 3 2 4 2" xfId="10823" xr:uid="{E8C02181-3DA4-4633-AADF-12D65C038617}"/>
    <cellStyle name="Comma 11 3 3 3 2 4 2 2" xfId="14369" xr:uid="{15DB78B1-CF5B-4C3E-B770-AD90F710A0D2}"/>
    <cellStyle name="Comma 11 3 3 3 2 4 2 2 2" xfId="29546" xr:uid="{F325687C-A098-406E-B70B-9322DA5510E0}"/>
    <cellStyle name="Comma 11 3 3 3 2 4 2 3" xfId="26001" xr:uid="{A9DEE7A5-4C05-4827-9CD7-79232250A630}"/>
    <cellStyle name="Comma 11 3 3 3 2 4 3" xfId="6649" xr:uid="{FA74CA31-3C75-44E3-A0E3-E8E62A01E5A1}"/>
    <cellStyle name="Comma 11 3 3 3 2 4 3 2" xfId="21829" xr:uid="{46271D2C-03B8-46F2-9719-3F1EB616C4B0}"/>
    <cellStyle name="Comma 11 3 3 3 2 4 4" xfId="18541" xr:uid="{7BB077E6-A641-4AB3-BA8F-F5993E4F0319}"/>
    <cellStyle name="Comma 11 3 3 3 2 5" xfId="4246" xr:uid="{4CAA614D-C39B-4D6F-B503-09F9DF840700}"/>
    <cellStyle name="Comma 11 3 3 3 2 5 2" xfId="11731" xr:uid="{0A2A8856-2EF4-4C52-A71A-DB932A608C7E}"/>
    <cellStyle name="Comma 11 3 3 3 2 5 2 2" xfId="15277" xr:uid="{F85D7DD5-CEC7-4F87-BE66-FC8D333744A9}"/>
    <cellStyle name="Comma 11 3 3 3 2 5 2 2 2" xfId="30454" xr:uid="{81E2AB58-0E54-4743-BF9A-41855DEE8D9F}"/>
    <cellStyle name="Comma 11 3 3 3 2 5 2 3" xfId="26909" xr:uid="{B500A172-C833-4698-8F3C-B8DE5F03CDF7}"/>
    <cellStyle name="Comma 11 3 3 3 2 5 3" xfId="7557" xr:uid="{DF4E2300-D8AB-4435-BBF4-A3782A23946C}"/>
    <cellStyle name="Comma 11 3 3 3 2 5 3 2" xfId="22737" xr:uid="{8A75AA59-A3D8-4091-B26B-8FC1F83A0E40}"/>
    <cellStyle name="Comma 11 3 3 3 2 5 4" xfId="19449" xr:uid="{04FD31A1-BACA-4E75-B1D7-9766BFC6AF68}"/>
    <cellStyle name="Comma 11 3 3 3 2 6" xfId="5009" xr:uid="{45BC14EF-8BF1-4AF7-BAD0-30A2AE3C1A43}"/>
    <cellStyle name="Comma 11 3 3 3 2 6 2" xfId="12493" xr:uid="{F21024CB-2BBD-4B92-9BD8-DC4DFE727A72}"/>
    <cellStyle name="Comma 11 3 3 3 2 6 2 2" xfId="16039" xr:uid="{4DA60FE2-C801-41AF-A82F-25F43A888FB9}"/>
    <cellStyle name="Comma 11 3 3 3 2 6 2 2 2" xfId="31216" xr:uid="{5D08D0C8-73C2-4F5E-AB67-8D05D3BEC6BF}"/>
    <cellStyle name="Comma 11 3 3 3 2 6 2 3" xfId="27671" xr:uid="{A895E37E-C77A-4EE3-A2EC-E7666EE6F0D5}"/>
    <cellStyle name="Comma 11 3 3 3 2 6 3" xfId="8319" xr:uid="{DBF9159E-5B4A-452E-81E2-E9D7841A2C10}"/>
    <cellStyle name="Comma 11 3 3 3 2 6 3 2" xfId="23499" xr:uid="{C5945DC6-C654-4A18-90F5-AC370C0CD7AE}"/>
    <cellStyle name="Comma 11 3 3 3 2 6 4" xfId="20211" xr:uid="{9FB3E962-FF54-43D0-875D-9E221B40359A}"/>
    <cellStyle name="Comma 11 3 3 3 2 7" xfId="1830" xr:uid="{7F3BA037-F9E2-4C38-B616-7E31FE422F40}"/>
    <cellStyle name="Comma 11 3 3 3 2 7 2" xfId="9327" xr:uid="{353DB900-3539-4A44-877B-72108266A325}"/>
    <cellStyle name="Comma 11 3 3 3 2 7 2 2" xfId="24505" xr:uid="{56D0A36D-8DA5-4E8F-8577-9527E9FC84CE}"/>
    <cellStyle name="Comma 11 3 3 3 2 7 3" xfId="17045" xr:uid="{75E2442A-0C95-481E-AB12-EEFEDFA4B619}"/>
    <cellStyle name="Comma 11 3 3 3 2 8" xfId="8541" xr:uid="{E604DB2A-A6E8-4581-9528-D26A12011566}"/>
    <cellStyle name="Comma 11 3 3 3 2 8 2" xfId="12714" xr:uid="{DEF56622-E6E8-44EE-9142-1563B27AF779}"/>
    <cellStyle name="Comma 11 3 3 3 2 8 2 2" xfId="27891" xr:uid="{43ED82D9-5A96-4424-A4EB-43895B78092C}"/>
    <cellStyle name="Comma 11 3 3 3 2 8 3" xfId="23719" xr:uid="{7DC85403-B248-4AB7-A046-CEE09FAAC0E6}"/>
    <cellStyle name="Comma 11 3 3 3 2 9" xfId="5153" xr:uid="{46071F0B-0576-4E33-969C-B9CFDC8052D7}"/>
    <cellStyle name="Comma 11 3 3 3 2 9 2" xfId="20333" xr:uid="{FB3B1352-05D9-4F7E-BA87-A7F077381ADC}"/>
    <cellStyle name="Comma 11 3 3 3 3" xfId="1032" xr:uid="{63D0306A-4D0C-4C27-A4DA-BDF7266C6388}"/>
    <cellStyle name="Comma 11 3 3 3 3 10" xfId="31577" xr:uid="{46F2C53A-3130-4D30-BA63-F3B5C67DB6B0}"/>
    <cellStyle name="Comma 11 3 3 3 3 2" xfId="1392" xr:uid="{163AC515-98A3-46C4-BE08-7E32E9E8B234}"/>
    <cellStyle name="Comma 11 3 3 3 3 2 2" xfId="3705" xr:uid="{1C9B849D-7DED-419A-B712-F3D91B7B4648}"/>
    <cellStyle name="Comma 11 3 3 3 3 2 2 2" xfId="11193" xr:uid="{E45942EC-A6CF-4D7C-AF3A-4936346F68F1}"/>
    <cellStyle name="Comma 11 3 3 3 3 2 2 2 2" xfId="14739" xr:uid="{6950EC97-5809-4509-A26E-0ECFC6F40CED}"/>
    <cellStyle name="Comma 11 3 3 3 3 2 2 2 2 2" xfId="29916" xr:uid="{C816FD6A-0B9B-4CA2-A5F4-BC4797B128C5}"/>
    <cellStyle name="Comma 11 3 3 3 3 2 2 2 3" xfId="26371" xr:uid="{27F500AD-F25A-4EFD-A52F-F2A18C7F4231}"/>
    <cellStyle name="Comma 11 3 3 3 3 2 2 3" xfId="7019" xr:uid="{C516D868-27B0-47F9-81BB-637CA4C605AB}"/>
    <cellStyle name="Comma 11 3 3 3 3 2 2 3 2" xfId="22199" xr:uid="{8B4E38FA-AA12-4B3C-A75E-738D24C492B7}"/>
    <cellStyle name="Comma 11 3 3 3 3 2 2 4" xfId="18911" xr:uid="{CA7E5D76-23C8-4972-A7F1-C7B95C6F6F9E}"/>
    <cellStyle name="Comma 11 3 3 3 3 2 3" xfId="4247" xr:uid="{7EF34F1C-FA46-4C9B-A487-6D28AEC84F5C}"/>
    <cellStyle name="Comma 11 3 3 3 3 2 3 2" xfId="11732" xr:uid="{EAC20616-5EDE-4645-BBA1-76482D14FC12}"/>
    <cellStyle name="Comma 11 3 3 3 3 2 3 2 2" xfId="15278" xr:uid="{D6B0552D-7784-4836-8A9C-563D188197AA}"/>
    <cellStyle name="Comma 11 3 3 3 3 2 3 2 2 2" xfId="30455" xr:uid="{76A5E305-4C6D-445A-9AB5-C5145777942E}"/>
    <cellStyle name="Comma 11 3 3 3 3 2 3 2 3" xfId="26910" xr:uid="{3AF3256F-A7C2-4F7D-B5A9-D8ED3BB624E2}"/>
    <cellStyle name="Comma 11 3 3 3 3 2 3 3" xfId="7558" xr:uid="{10B05798-7D11-475F-AE32-364730EE9CFB}"/>
    <cellStyle name="Comma 11 3 3 3 3 2 3 3 2" xfId="22738" xr:uid="{992D1345-D9A8-488F-810C-A19E7E3DD900}"/>
    <cellStyle name="Comma 11 3 3 3 3 2 3 4" xfId="19450" xr:uid="{3CA29E17-294F-45D4-9D0F-71791F861386}"/>
    <cellStyle name="Comma 11 3 3 3 3 2 4" xfId="2818" xr:uid="{6FC5694C-BCE9-4067-8376-89BDCE0DBD31}"/>
    <cellStyle name="Comma 11 3 3 3 3 2 4 2" xfId="10309" xr:uid="{C9A1684D-DE13-414E-9858-5C5FB0B56230}"/>
    <cellStyle name="Comma 11 3 3 3 3 2 4 2 2" xfId="25487" xr:uid="{E7512C5B-667B-43D4-A2F1-EAD7DF3A4CF5}"/>
    <cellStyle name="Comma 11 3 3 3 3 2 4 3" xfId="18027" xr:uid="{BEAC14A0-D07E-48FB-8B01-B18C85661088}"/>
    <cellStyle name="Comma 11 3 3 3 3 2 5" xfId="8911" xr:uid="{97CE94D8-84B1-4A64-AD53-845C8E8124B8}"/>
    <cellStyle name="Comma 11 3 3 3 3 2 5 2" xfId="13084" xr:uid="{F7D5E990-6036-4148-898B-863C854ED286}"/>
    <cellStyle name="Comma 11 3 3 3 3 2 5 2 2" xfId="28261" xr:uid="{1FD27A63-8A86-4FF3-8B28-5B3A2F97C999}"/>
    <cellStyle name="Comma 11 3 3 3 3 2 5 3" xfId="24089" xr:uid="{C752800B-A956-4A00-8EAF-A8DCEA15B786}"/>
    <cellStyle name="Comma 11 3 3 3 3 2 6" xfId="6135" xr:uid="{16A02E15-FE42-4D25-8193-BDA0867202C5}"/>
    <cellStyle name="Comma 11 3 3 3 3 2 6 2" xfId="21315" xr:uid="{F793548E-C03D-4357-A60F-B440FAB0C47E}"/>
    <cellStyle name="Comma 11 3 3 3 3 2 7" xfId="16629" xr:uid="{DEC10C3B-91C4-4351-9A1C-4E8CBDC3FF2C}"/>
    <cellStyle name="Comma 11 3 3 3 3 3" xfId="2545" xr:uid="{C5712234-DCF4-4A25-8228-2911CCCB1EE2}"/>
    <cellStyle name="Comma 11 3 3 3 3 3 2" xfId="10037" xr:uid="{00974359-1E6A-45F6-BFB4-19AB8236FF87}"/>
    <cellStyle name="Comma 11 3 3 3 3 3 2 2" xfId="13696" xr:uid="{004DB8D3-0922-4C77-B6B5-464FED4F0CF8}"/>
    <cellStyle name="Comma 11 3 3 3 3 3 2 2 2" xfId="28873" xr:uid="{1CF33AFF-971B-45FB-8CF2-EFB6D62FE57F}"/>
    <cellStyle name="Comma 11 3 3 3 3 3 2 3" xfId="25215" xr:uid="{C3BC6EB3-7FC6-4DF7-9440-F088324EC3C2}"/>
    <cellStyle name="Comma 11 3 3 3 3 3 3" xfId="5863" xr:uid="{2AE3DBFC-986C-41A7-BC39-2F981A2B0090}"/>
    <cellStyle name="Comma 11 3 3 3 3 3 3 2" xfId="21043" xr:uid="{0A3A4F69-D10A-472E-9240-CDD7A78FBBE5}"/>
    <cellStyle name="Comma 11 3 3 3 3 3 4" xfId="17755" xr:uid="{D954EE8C-A21D-4A79-A7C8-9B03A01B52EE}"/>
    <cellStyle name="Comma 11 3 3 3 3 4" xfId="3433" xr:uid="{F243E809-8085-42CB-817C-A1DBAE84E821}"/>
    <cellStyle name="Comma 11 3 3 3 3 4 2" xfId="10921" xr:uid="{B774E9D2-5A18-4072-8F9F-1A2D6AB8784B}"/>
    <cellStyle name="Comma 11 3 3 3 3 4 2 2" xfId="14467" xr:uid="{EAB7CF7F-0402-4DCC-BA81-7F0ED2C6404A}"/>
    <cellStyle name="Comma 11 3 3 3 3 4 2 2 2" xfId="29644" xr:uid="{9FEF19BD-43BB-4552-A33D-B576479D51F3}"/>
    <cellStyle name="Comma 11 3 3 3 3 4 2 3" xfId="26099" xr:uid="{A3027F98-6EEC-4DFD-B0C6-CC324817E034}"/>
    <cellStyle name="Comma 11 3 3 3 3 4 3" xfId="6747" xr:uid="{A951485A-DF89-4A67-8389-CEAD06A95023}"/>
    <cellStyle name="Comma 11 3 3 3 3 4 3 2" xfId="21927" xr:uid="{B42B898F-4F5D-42D4-930C-54F7B6F9B77A}"/>
    <cellStyle name="Comma 11 3 3 3 3 4 4" xfId="18639" xr:uid="{BD3F66A8-26EB-4ED8-996C-E41873FA2C2E}"/>
    <cellStyle name="Comma 11 3 3 3 3 5" xfId="4248" xr:uid="{65210F94-0B1D-4A0E-98B0-8D2862E2D267}"/>
    <cellStyle name="Comma 11 3 3 3 3 5 2" xfId="11733" xr:uid="{2923B973-DB15-4D15-B4E8-251F2624B934}"/>
    <cellStyle name="Comma 11 3 3 3 3 5 2 2" xfId="15279" xr:uid="{95B9FEA9-FBDE-46B6-A757-62A399545CCC}"/>
    <cellStyle name="Comma 11 3 3 3 3 5 2 2 2" xfId="30456" xr:uid="{999612D0-7068-4A90-9ADA-B418561E3D61}"/>
    <cellStyle name="Comma 11 3 3 3 3 5 2 3" xfId="26911" xr:uid="{87BC697E-D6CA-4FFA-82EE-AC6087073301}"/>
    <cellStyle name="Comma 11 3 3 3 3 5 3" xfId="7559" xr:uid="{B5D3A2EC-9790-45D5-A4A0-98E6C7B200F9}"/>
    <cellStyle name="Comma 11 3 3 3 3 5 3 2" xfId="22739" xr:uid="{6B019F49-38E1-4A10-A4D2-C8F835655BBA}"/>
    <cellStyle name="Comma 11 3 3 3 3 5 4" xfId="19451" xr:uid="{44A312DA-8CE5-487E-BEE5-5CA881306AFF}"/>
    <cellStyle name="Comma 11 3 3 3 3 6" xfId="1928" xr:uid="{766F0FBA-229E-44C9-A0C8-5CF7B1911CE3}"/>
    <cellStyle name="Comma 11 3 3 3 3 6 2" xfId="9425" xr:uid="{6964A034-ED5E-4DC7-B446-F42ADA6808FF}"/>
    <cellStyle name="Comma 11 3 3 3 3 6 2 2" xfId="24603" xr:uid="{8476B95C-FC21-48A2-BE3D-3FE66FB0377B}"/>
    <cellStyle name="Comma 11 3 3 3 3 6 3" xfId="17143" xr:uid="{4B445F67-F97C-469B-A194-22F7384D8569}"/>
    <cellStyle name="Comma 11 3 3 3 3 7" xfId="8639" xr:uid="{15A904E2-F339-4D2A-A160-A87D528F5E1F}"/>
    <cellStyle name="Comma 11 3 3 3 3 7 2" xfId="12812" xr:uid="{C6D70624-67D2-4E07-BA16-0339319EBE22}"/>
    <cellStyle name="Comma 11 3 3 3 3 7 2 2" xfId="27989" xr:uid="{363982CF-C096-468C-B9F8-A9D8D37D1BE5}"/>
    <cellStyle name="Comma 11 3 3 3 3 7 3" xfId="23817" xr:uid="{86862DF5-0B70-44B4-B83E-5FEB9F9AE1A1}"/>
    <cellStyle name="Comma 11 3 3 3 3 8" xfId="5251" xr:uid="{23A164AC-1EE9-43F8-9381-345FBFAA88C9}"/>
    <cellStyle name="Comma 11 3 3 3 3 8 2" xfId="20431" xr:uid="{338EF0B5-C39E-43F3-9BEC-7C45EE1EFFF2}"/>
    <cellStyle name="Comma 11 3 3 3 3 9" xfId="16357" xr:uid="{05CF7DE0-DC2D-478E-B977-D84DD0C205C7}"/>
    <cellStyle name="Comma 11 3 3 3 4" xfId="1491" xr:uid="{A56DA4BB-D10D-402D-BE8C-B728601A10BE}"/>
    <cellStyle name="Comma 11 3 3 3 4 2" xfId="2916" xr:uid="{1B6C7D8A-E53C-4944-B4D8-00F638D9A61E}"/>
    <cellStyle name="Comma 11 3 3 3 4 2 2" xfId="10407" xr:uid="{80ED00DB-5C3C-4953-8E01-9E94A7861DE9}"/>
    <cellStyle name="Comma 11 3 3 3 4 2 2 2" xfId="13953" xr:uid="{2614DBBE-FFB3-4C3D-BBF5-5907DC04536A}"/>
    <cellStyle name="Comma 11 3 3 3 4 2 2 2 2" xfId="29130" xr:uid="{9B9C1508-0D1C-4255-8BAC-0C758BECCADD}"/>
    <cellStyle name="Comma 11 3 3 3 4 2 2 3" xfId="25585" xr:uid="{35B1FDB7-653B-416C-A462-AB7213FB955B}"/>
    <cellStyle name="Comma 11 3 3 3 4 2 3" xfId="6233" xr:uid="{042E1667-96DF-414C-A904-D1B6173444C6}"/>
    <cellStyle name="Comma 11 3 3 3 4 2 3 2" xfId="21413" xr:uid="{B062A16D-D8CD-4C59-A593-854F52EB391B}"/>
    <cellStyle name="Comma 11 3 3 3 4 2 4" xfId="18125" xr:uid="{3105864D-8FEF-4517-A931-C19FBAD89A60}"/>
    <cellStyle name="Comma 11 3 3 3 4 3" xfId="3803" xr:uid="{F2F138C1-9439-4B79-8E82-9F2CDE353349}"/>
    <cellStyle name="Comma 11 3 3 3 4 3 2" xfId="11291" xr:uid="{FA56968A-C5CE-4EDD-888B-4AB19630D969}"/>
    <cellStyle name="Comma 11 3 3 3 4 3 2 2" xfId="14837" xr:uid="{206100E0-67C4-419A-89B3-1C842BFE6290}"/>
    <cellStyle name="Comma 11 3 3 3 4 3 2 2 2" xfId="30014" xr:uid="{F4660FD2-4995-48DB-81EA-AD45315E250F}"/>
    <cellStyle name="Comma 11 3 3 3 4 3 2 3" xfId="26469" xr:uid="{DECDFF58-4ACD-45AD-AE42-02C5B98BD8E3}"/>
    <cellStyle name="Comma 11 3 3 3 4 3 3" xfId="7117" xr:uid="{6B706F5A-7784-4159-B6C2-4472C7E100E7}"/>
    <cellStyle name="Comma 11 3 3 3 4 3 3 2" xfId="22297" xr:uid="{F94F5D99-4CA6-45D9-BCD7-A144DFCBB55F}"/>
    <cellStyle name="Comma 11 3 3 3 4 3 4" xfId="19009" xr:uid="{29A2C013-C724-4F40-805C-316B84B4D3FD}"/>
    <cellStyle name="Comma 11 3 3 3 4 4" xfId="4249" xr:uid="{C32CFE65-B677-4B4A-AF07-84D7C86B2DD2}"/>
    <cellStyle name="Comma 11 3 3 3 4 4 2" xfId="11734" xr:uid="{33D0B86B-075C-483F-949B-15E1E20F3DA6}"/>
    <cellStyle name="Comma 11 3 3 3 4 4 2 2" xfId="15280" xr:uid="{B8A91485-7284-446A-AE6D-E72F670587CC}"/>
    <cellStyle name="Comma 11 3 3 3 4 4 2 2 2" xfId="30457" xr:uid="{80881DCB-057C-4547-9685-809F3318B64D}"/>
    <cellStyle name="Comma 11 3 3 3 4 4 2 3" xfId="26912" xr:uid="{6EFE9A53-0C02-4DC4-B1F8-811019F5602A}"/>
    <cellStyle name="Comma 11 3 3 3 4 4 3" xfId="7560" xr:uid="{A8D15A83-64DA-4DB9-B9A4-BE0F057EA3B6}"/>
    <cellStyle name="Comma 11 3 3 3 4 4 3 2" xfId="22740" xr:uid="{89AD1B5B-FA3F-4090-820B-F14AE5AB7492}"/>
    <cellStyle name="Comma 11 3 3 3 4 4 4" xfId="19452" xr:uid="{D5FFB2DC-DD25-4984-B0D5-76EFCBFE3CFE}"/>
    <cellStyle name="Comma 11 3 3 3 4 5" xfId="2026" xr:uid="{7EA504F7-5F1F-49A8-B73D-6A5014825492}"/>
    <cellStyle name="Comma 11 3 3 3 4 5 2" xfId="9523" xr:uid="{A1749FE0-2CB6-4999-8AA9-08882043022D}"/>
    <cellStyle name="Comma 11 3 3 3 4 5 2 2" xfId="24701" xr:uid="{3495A2D2-0CC6-4EB3-8616-2EAC9362521E}"/>
    <cellStyle name="Comma 11 3 3 3 4 5 3" xfId="17241" xr:uid="{47ED08FC-0391-4BAF-BAA7-49DFEA011B65}"/>
    <cellStyle name="Comma 11 3 3 3 4 6" xfId="9009" xr:uid="{62EC801C-A959-4CE2-BC70-B81E4DDB3164}"/>
    <cellStyle name="Comma 11 3 3 3 4 6 2" xfId="13182" xr:uid="{FDAD061B-7048-46BC-8827-5A7475499E0A}"/>
    <cellStyle name="Comma 11 3 3 3 4 6 2 2" xfId="28359" xr:uid="{5910EF50-7B80-45A2-B719-C88FD06E0839}"/>
    <cellStyle name="Comma 11 3 3 3 4 6 3" xfId="24187" xr:uid="{7409597C-F91F-4EC1-BF7E-7E210F2D9AD9}"/>
    <cellStyle name="Comma 11 3 3 3 4 7" xfId="5349" xr:uid="{11616D7D-1498-41AE-91C9-957A28D50528}"/>
    <cellStyle name="Comma 11 3 3 3 4 7 2" xfId="20529" xr:uid="{00402809-76F2-4912-BE90-7E132771E1FE}"/>
    <cellStyle name="Comma 11 3 3 3 4 8" xfId="16727" xr:uid="{A70C30C8-5FEE-4FB9-9FAA-968C106BCE03}"/>
    <cellStyle name="Comma 11 3 3 3 5" xfId="1594" xr:uid="{5656FAE2-D44D-4E6C-A24F-7390615E2962}"/>
    <cellStyle name="Comma 11 3 3 3 5 2" xfId="3014" xr:uid="{374CB431-1888-403B-B7DB-12F61BBA5C5B}"/>
    <cellStyle name="Comma 11 3 3 3 5 2 2" xfId="10505" xr:uid="{1E3A4811-8B67-4586-B052-989E7F19D868}"/>
    <cellStyle name="Comma 11 3 3 3 5 2 2 2" xfId="14051" xr:uid="{F958E2EB-5EC0-48D1-A028-D314B2ABCCF3}"/>
    <cellStyle name="Comma 11 3 3 3 5 2 2 2 2" xfId="29228" xr:uid="{FDE0300F-819D-4815-B4E3-DBA728E7EA34}"/>
    <cellStyle name="Comma 11 3 3 3 5 2 2 3" xfId="25683" xr:uid="{07A3DBF0-297A-4B79-AB48-6EEF4F67441A}"/>
    <cellStyle name="Comma 11 3 3 3 5 2 3" xfId="6331" xr:uid="{A33D46CC-DC5A-4617-A26E-614D19420817}"/>
    <cellStyle name="Comma 11 3 3 3 5 2 3 2" xfId="21511" xr:uid="{DF26AFB9-B806-4FA6-B597-122DC06A52CB}"/>
    <cellStyle name="Comma 11 3 3 3 5 2 4" xfId="18223" xr:uid="{E87B71B0-C1F4-4A31-B545-40A033D078F7}"/>
    <cellStyle name="Comma 11 3 3 3 5 3" xfId="3901" xr:uid="{BDA061F2-C09A-43F5-B13A-014D45D07EEB}"/>
    <cellStyle name="Comma 11 3 3 3 5 3 2" xfId="11389" xr:uid="{B989C75D-D226-4349-BF24-1B17D844DF9B}"/>
    <cellStyle name="Comma 11 3 3 3 5 3 2 2" xfId="14935" xr:uid="{2BFFBE95-EB52-4E0D-B7B5-508ABE5D0EF3}"/>
    <cellStyle name="Comma 11 3 3 3 5 3 2 2 2" xfId="30112" xr:uid="{14F2CD3C-F362-4ED0-BF18-8887D407930A}"/>
    <cellStyle name="Comma 11 3 3 3 5 3 2 3" xfId="26567" xr:uid="{4215880A-FA8A-41E2-B03A-BF11CFDE8A21}"/>
    <cellStyle name="Comma 11 3 3 3 5 3 3" xfId="7215" xr:uid="{096038E6-DA39-405E-8844-81A2EC48B984}"/>
    <cellStyle name="Comma 11 3 3 3 5 3 3 2" xfId="22395" xr:uid="{7C1FF9FB-D208-4F1E-8AA6-B6C38E403CD6}"/>
    <cellStyle name="Comma 11 3 3 3 5 3 4" xfId="19107" xr:uid="{B9BFD4DB-BCC2-4EA6-B583-EFB3F55251B3}"/>
    <cellStyle name="Comma 11 3 3 3 5 4" xfId="4250" xr:uid="{634C2E89-4493-410F-B0AD-0A4235E4F507}"/>
    <cellStyle name="Comma 11 3 3 3 5 4 2" xfId="11735" xr:uid="{5FD63387-C507-4FBD-8601-35CCD73FD963}"/>
    <cellStyle name="Comma 11 3 3 3 5 4 2 2" xfId="15281" xr:uid="{79D7289B-5B7F-4F40-B25B-FDEC19E53A5A}"/>
    <cellStyle name="Comma 11 3 3 3 5 4 2 2 2" xfId="30458" xr:uid="{599064FB-5156-4C8A-A423-7FAC20CB6B4D}"/>
    <cellStyle name="Comma 11 3 3 3 5 4 2 3" xfId="26913" xr:uid="{3D0CDDC4-4EDE-4019-9E6D-3A324A2FEA6F}"/>
    <cellStyle name="Comma 11 3 3 3 5 4 3" xfId="7561" xr:uid="{811CFA1D-9F9F-4866-A8E7-A6562781DDAA}"/>
    <cellStyle name="Comma 11 3 3 3 5 4 3 2" xfId="22741" xr:uid="{CA01D28B-9153-43A7-B5F2-03B8FD010E1C}"/>
    <cellStyle name="Comma 11 3 3 3 5 4 4" xfId="19453" xr:uid="{4F135B7D-B795-4B69-A031-B43BE249D6E4}"/>
    <cellStyle name="Comma 11 3 3 3 5 5" xfId="2124" xr:uid="{BBCAA5D7-FC5E-43FC-A2C2-8FC8E29BB5A8}"/>
    <cellStyle name="Comma 11 3 3 3 5 5 2" xfId="9621" xr:uid="{17F699B0-CC93-4C03-B812-33BAAE30E10F}"/>
    <cellStyle name="Comma 11 3 3 3 5 5 2 2" xfId="24799" xr:uid="{E468B4E7-2657-4686-BD0B-466E8B2E9F1B}"/>
    <cellStyle name="Comma 11 3 3 3 5 5 3" xfId="17339" xr:uid="{DAE9E24B-1892-4017-8A95-C56D2E0F27F3}"/>
    <cellStyle name="Comma 11 3 3 3 5 6" xfId="9107" xr:uid="{4E224C0C-8BA4-4FF4-AE2F-C79D3FB4B842}"/>
    <cellStyle name="Comma 11 3 3 3 5 6 2" xfId="13280" xr:uid="{CD3130E0-0C39-41D6-9347-B12652218756}"/>
    <cellStyle name="Comma 11 3 3 3 5 6 2 2" xfId="28457" xr:uid="{D29C2514-B04E-458D-846F-37BFCE0E4A6D}"/>
    <cellStyle name="Comma 11 3 3 3 5 6 3" xfId="24285" xr:uid="{BEEEA32B-4963-458D-873F-661073630F0F}"/>
    <cellStyle name="Comma 11 3 3 3 5 7" xfId="5447" xr:uid="{C9D19F26-1FAA-4AF1-BF6B-680281ACB292}"/>
    <cellStyle name="Comma 11 3 3 3 5 7 2" xfId="20627" xr:uid="{93E51EA3-766C-4822-AD4E-E2010789E139}"/>
    <cellStyle name="Comma 11 3 3 3 5 8" xfId="16825" xr:uid="{C70D6A67-DD48-43F2-8E48-369783F47BF6}"/>
    <cellStyle name="Comma 11 3 3 3 6" xfId="1693" xr:uid="{CA492447-EB10-483F-85D5-A335E99AEE6B}"/>
    <cellStyle name="Comma 11 3 3 3 6 2" xfId="3112" xr:uid="{65B3FCF4-1274-47F8-91D7-35B8E144E4F8}"/>
    <cellStyle name="Comma 11 3 3 3 6 2 2" xfId="10603" xr:uid="{D58BFFEB-2135-4F0C-8900-E98495CC4531}"/>
    <cellStyle name="Comma 11 3 3 3 6 2 2 2" xfId="14149" xr:uid="{DFCF558C-A8AF-4FA5-8CD7-72C476EB0EC6}"/>
    <cellStyle name="Comma 11 3 3 3 6 2 2 2 2" xfId="29326" xr:uid="{12F1559C-B6E9-4BA2-9E87-167C25890296}"/>
    <cellStyle name="Comma 11 3 3 3 6 2 2 3" xfId="25781" xr:uid="{8EF57140-FA3E-4324-A2A3-A16EF7886579}"/>
    <cellStyle name="Comma 11 3 3 3 6 2 3" xfId="6429" xr:uid="{D1A8E86D-ADC1-4D66-9641-A9CB80BDE344}"/>
    <cellStyle name="Comma 11 3 3 3 6 2 3 2" xfId="21609" xr:uid="{F7B9A8AD-F9D6-4C40-A0CC-CD2307036DA7}"/>
    <cellStyle name="Comma 11 3 3 3 6 2 4" xfId="18321" xr:uid="{0BC85816-9C29-4E30-B2D6-51A7B50A1081}"/>
    <cellStyle name="Comma 11 3 3 3 6 3" xfId="3999" xr:uid="{59181981-116E-4FBA-8A71-36529DD94560}"/>
    <cellStyle name="Comma 11 3 3 3 6 3 2" xfId="11487" xr:uid="{060FADC3-C09C-4A0B-8AB6-9FD00748AF93}"/>
    <cellStyle name="Comma 11 3 3 3 6 3 2 2" xfId="15033" xr:uid="{74BCF7DE-5A1B-47E7-8CC3-1D14239AD431}"/>
    <cellStyle name="Comma 11 3 3 3 6 3 2 2 2" xfId="30210" xr:uid="{32410387-F90A-4024-B224-AAF7CF14180D}"/>
    <cellStyle name="Comma 11 3 3 3 6 3 2 3" xfId="26665" xr:uid="{718E3B59-F711-4777-A447-7EADB5D05050}"/>
    <cellStyle name="Comma 11 3 3 3 6 3 3" xfId="7313" xr:uid="{869A22C6-49CA-48FA-834D-EE4238DDF7BD}"/>
    <cellStyle name="Comma 11 3 3 3 6 3 3 2" xfId="22493" xr:uid="{ADCD8097-4AD8-4FA3-802B-851A0981DB3F}"/>
    <cellStyle name="Comma 11 3 3 3 6 3 4" xfId="19205" xr:uid="{1833197D-CAE9-4DD1-9190-01F9F457E4FE}"/>
    <cellStyle name="Comma 11 3 3 3 6 4" xfId="4251" xr:uid="{483A4995-0509-4D9D-9BD0-E376F3E4577E}"/>
    <cellStyle name="Comma 11 3 3 3 6 4 2" xfId="11736" xr:uid="{B7405ED6-2613-4A93-BD5B-0ACF894A14C8}"/>
    <cellStyle name="Comma 11 3 3 3 6 4 2 2" xfId="15282" xr:uid="{BC74DC79-2888-412A-A888-BDC5A51A9FF9}"/>
    <cellStyle name="Comma 11 3 3 3 6 4 2 2 2" xfId="30459" xr:uid="{7F6459E7-591B-4D65-94CD-FFCFB8675EB2}"/>
    <cellStyle name="Comma 11 3 3 3 6 4 2 3" xfId="26914" xr:uid="{AB31A03A-8371-413E-B6D7-CDBEC312B11F}"/>
    <cellStyle name="Comma 11 3 3 3 6 4 3" xfId="7562" xr:uid="{E5F89513-B438-4E95-B435-9EC32A1C0CDD}"/>
    <cellStyle name="Comma 11 3 3 3 6 4 3 2" xfId="22742" xr:uid="{84FD758F-672C-406B-8479-8B0A66D0B3DD}"/>
    <cellStyle name="Comma 11 3 3 3 6 4 4" xfId="19454" xr:uid="{AA947B6D-CF51-4A38-BE2E-A6CE92BE52F6}"/>
    <cellStyle name="Comma 11 3 3 3 6 5" xfId="2222" xr:uid="{F8AEA28F-6D89-45D1-ADE4-952F01F233B4}"/>
    <cellStyle name="Comma 11 3 3 3 6 5 2" xfId="9719" xr:uid="{ED649359-4B68-4B24-8C50-6D3D8F7C5988}"/>
    <cellStyle name="Comma 11 3 3 3 6 5 2 2" xfId="24897" xr:uid="{ACB600BA-C3C2-49A5-A999-41EE114EF230}"/>
    <cellStyle name="Comma 11 3 3 3 6 5 3" xfId="17437" xr:uid="{04D3CDA3-971E-4AAD-ADEA-E33456E6281F}"/>
    <cellStyle name="Comma 11 3 3 3 6 6" xfId="9205" xr:uid="{753DD848-62AF-47B7-8DB8-A7287AE183F6}"/>
    <cellStyle name="Comma 11 3 3 3 6 6 2" xfId="13378" xr:uid="{EB6EF1B6-906F-4A73-A33E-9F7BE0E0B73D}"/>
    <cellStyle name="Comma 11 3 3 3 6 6 2 2" xfId="28555" xr:uid="{7B2BFB1B-46D8-43A7-9D54-BB04DA27B4EE}"/>
    <cellStyle name="Comma 11 3 3 3 6 6 3" xfId="24383" xr:uid="{8C58CCB0-4435-4440-8FB3-7F2278651E3F}"/>
    <cellStyle name="Comma 11 3 3 3 6 7" xfId="5545" xr:uid="{32898018-8028-43B4-8289-B961D1AB11D4}"/>
    <cellStyle name="Comma 11 3 3 3 6 7 2" xfId="20725" xr:uid="{F13ADB7F-097F-4075-9964-5916CBC3972D}"/>
    <cellStyle name="Comma 11 3 3 3 6 8" xfId="16923" xr:uid="{10A3C9E4-46D7-48D7-B83F-9BB83EC67DA4}"/>
    <cellStyle name="Comma 11 3 3 3 7" xfId="2322" xr:uid="{F9F800B9-F2E6-4503-923A-7EA1256500F9}"/>
    <cellStyle name="Comma 11 3 3 3 7 2" xfId="9817" xr:uid="{C547324F-CEEB-47CC-B1D5-72203DDBF125}"/>
    <cellStyle name="Comma 11 3 3 3 7 2 2" xfId="13476" xr:uid="{A9DAC425-6EC5-4422-A4D7-451460B35E4C}"/>
    <cellStyle name="Comma 11 3 3 3 7 2 2 2" xfId="28653" xr:uid="{8C027A94-37E8-43BB-95F6-94956F3012FD}"/>
    <cellStyle name="Comma 11 3 3 3 7 2 3" xfId="24995" xr:uid="{3DE066F2-AF3F-4BFA-A0A0-BEC62D995A1B}"/>
    <cellStyle name="Comma 11 3 3 3 7 3" xfId="5643" xr:uid="{2A2E78F8-DC4C-45F9-AA87-10F26CD47B50}"/>
    <cellStyle name="Comma 11 3 3 3 7 3 2" xfId="20823" xr:uid="{3BCFD822-70D4-45D8-9582-C564C3E4FB73}"/>
    <cellStyle name="Comma 11 3 3 3 7 4" xfId="17535" xr:uid="{871D45BC-D349-4496-99FC-72E9C5C68862}"/>
    <cellStyle name="Comma 11 3 3 3 8" xfId="3212" xr:uid="{9DDA076A-8A18-4A49-B003-B09D9BAEF1D3}"/>
    <cellStyle name="Comma 11 3 3 3 8 2" xfId="10701" xr:uid="{AF27D937-B214-4D0A-A911-6D1B702BD84D}"/>
    <cellStyle name="Comma 11 3 3 3 8 2 2" xfId="14247" xr:uid="{E2C99FC0-A56C-49EA-B43F-CAF6B0A5844C}"/>
    <cellStyle name="Comma 11 3 3 3 8 2 2 2" xfId="29424" xr:uid="{363362C0-4F7D-464D-B57B-2A359350D89E}"/>
    <cellStyle name="Comma 11 3 3 3 8 2 3" xfId="25879" xr:uid="{8BCAD659-5136-4E6A-BF97-76CC428454E1}"/>
    <cellStyle name="Comma 11 3 3 3 8 3" xfId="6527" xr:uid="{DED1ADAF-8BA1-4CC9-B2AF-17D4C8A36D3E}"/>
    <cellStyle name="Comma 11 3 3 3 8 3 2" xfId="21707" xr:uid="{6E188AB3-F47F-4C4F-B033-46B5999B08E4}"/>
    <cellStyle name="Comma 11 3 3 3 8 4" xfId="18419" xr:uid="{22D16A06-4FF0-4F63-9E69-668D4BAE41FF}"/>
    <cellStyle name="Comma 11 3 3 3 9" xfId="4252" xr:uid="{22096AC2-4185-4190-AC08-C3FA14C17E19}"/>
    <cellStyle name="Comma 11 3 3 3 9 2" xfId="11737" xr:uid="{C55A2FB2-58E8-4134-89EE-2301A4EED67C}"/>
    <cellStyle name="Comma 11 3 3 3 9 2 2" xfId="15283" xr:uid="{5D422B9F-9D86-4A91-BE26-CACAEB025F45}"/>
    <cellStyle name="Comma 11 3 3 3 9 2 2 2" xfId="30460" xr:uid="{9D145F77-C1D2-45B6-BB9E-39F9867082AA}"/>
    <cellStyle name="Comma 11 3 3 3 9 2 3" xfId="26915" xr:uid="{B3D8C10F-C6A7-4AA7-913F-EA16F4C2983A}"/>
    <cellStyle name="Comma 11 3 3 3 9 3" xfId="7563" xr:uid="{DD772312-223A-410F-89F2-6CE0DF225A22}"/>
    <cellStyle name="Comma 11 3 3 3 9 3 2" xfId="22743" xr:uid="{8C0CE543-3E8F-44EA-9606-40159C18A787}"/>
    <cellStyle name="Comma 11 3 3 3 9 4" xfId="19455" xr:uid="{4AD17AEB-6DED-497E-B0BA-BDB4E84637C0}"/>
    <cellStyle name="Comma 11 3 3 4" xfId="880" xr:uid="{4010C46C-8B79-48A0-93D2-1619116F3DA5}"/>
    <cellStyle name="Comma 11 3 3 4 2" xfId="2398" xr:uid="{BEC259D4-265F-49F4-A99B-B17026A5C89E}"/>
    <cellStyle name="Comma 11 3 3 4 2 2" xfId="9890" xr:uid="{7DB69BAA-405D-453B-8897-58965DE942FC}"/>
    <cellStyle name="Comma 11 3 3 4 2 2 2" xfId="13549" xr:uid="{0199CA67-5824-40E7-A48C-7845A9E2D7A1}"/>
    <cellStyle name="Comma 11 3 3 4 2 2 2 2" xfId="28726" xr:uid="{F8E4820F-61EF-42EC-8437-0CBB34BD7800}"/>
    <cellStyle name="Comma 11 3 3 4 2 2 3" xfId="25068" xr:uid="{63CB4461-9982-42C3-A4A9-F2CAED9AC8B3}"/>
    <cellStyle name="Comma 11 3 3 4 2 3" xfId="5716" xr:uid="{865716ED-6644-457C-8E87-49B4BC8B2F92}"/>
    <cellStyle name="Comma 11 3 3 4 2 3 2" xfId="20896" xr:uid="{050569FB-9406-4142-9474-27359A104100}"/>
    <cellStyle name="Comma 11 3 3 4 2 4" xfId="17608" xr:uid="{4354E180-730A-4F74-9945-B7D674337BE4}"/>
    <cellStyle name="Comma 11 3 3 4 3" xfId="3286" xr:uid="{22A5B7D1-80A4-4CCF-980C-779D2A10FFF5}"/>
    <cellStyle name="Comma 11 3 3 4 3 2" xfId="10774" xr:uid="{BAADFC69-7461-4D1E-B76F-2B728347E670}"/>
    <cellStyle name="Comma 11 3 3 4 3 2 2" xfId="14320" xr:uid="{30CCC136-D28D-421B-9F3D-68A290DF4AED}"/>
    <cellStyle name="Comma 11 3 3 4 3 2 2 2" xfId="29497" xr:uid="{07108FB3-E0A7-4ACB-A536-0F0905F9A482}"/>
    <cellStyle name="Comma 11 3 3 4 3 2 3" xfId="25952" xr:uid="{9309246A-A588-4834-85F2-5E3C28A84CF5}"/>
    <cellStyle name="Comma 11 3 3 4 3 3" xfId="6600" xr:uid="{FCC53323-3280-44FE-B9E8-CDF4F0A3A648}"/>
    <cellStyle name="Comma 11 3 3 4 3 3 2" xfId="21780" xr:uid="{4134328C-7C47-4414-A8A1-1B8A37AEF9D7}"/>
    <cellStyle name="Comma 11 3 3 4 3 4" xfId="18492" xr:uid="{35F8F3F5-1CF2-4B2F-B619-9FD4DDC1E43F}"/>
    <cellStyle name="Comma 11 3 3 4 4" xfId="4253" xr:uid="{EAA2CC04-4E99-4535-B67F-A372C4098634}"/>
    <cellStyle name="Comma 11 3 3 4 4 2" xfId="11738" xr:uid="{51AE6072-A9AB-4FBB-8EE8-B3D5DFED56A7}"/>
    <cellStyle name="Comma 11 3 3 4 4 2 2" xfId="15284" xr:uid="{E7F0BF48-9279-4B5B-836D-CB12A5F47655}"/>
    <cellStyle name="Comma 11 3 3 4 4 2 2 2" xfId="30461" xr:uid="{043B7464-70B6-4159-81F0-15C59FF83E47}"/>
    <cellStyle name="Comma 11 3 3 4 4 2 3" xfId="26916" xr:uid="{8F01B887-63E9-4DEA-8F1A-D63212189CE2}"/>
    <cellStyle name="Comma 11 3 3 4 4 3" xfId="7564" xr:uid="{B9F93709-C68F-41A7-A5FE-1FFF62723BFD}"/>
    <cellStyle name="Comma 11 3 3 4 4 3 2" xfId="22744" xr:uid="{E6308BCE-B244-42C2-B20E-663D18A21942}"/>
    <cellStyle name="Comma 11 3 3 4 4 4" xfId="19456" xr:uid="{50EE2911-D97C-41CF-9340-87B942CF0AA6}"/>
    <cellStyle name="Comma 11 3 3 4 5" xfId="8492" xr:uid="{79A35A0F-24C9-4C69-AC92-A62C6470EE23}"/>
    <cellStyle name="Comma 11 3 3 4 5 2" xfId="12665" xr:uid="{221BBFC6-97B6-4E47-AC6F-05FE12AA9683}"/>
    <cellStyle name="Comma 11 3 3 4 5 2 2" xfId="27842" xr:uid="{FF92B731-E793-444B-A105-31DFF8A97279}"/>
    <cellStyle name="Comma 11 3 3 4 5 3" xfId="23670" xr:uid="{268D1939-29C2-47E2-BE96-621CBD00E900}"/>
    <cellStyle name="Comma 11 3 3 4 6" xfId="16210" xr:uid="{30B8B9B5-68B1-45F7-B02B-290C40C8A603}"/>
    <cellStyle name="Comma 11 3 3 4 7" xfId="31650" xr:uid="{109EF4D7-66F7-47B2-9F0C-6047AEF184FD}"/>
    <cellStyle name="Comma 11 3 3 5" xfId="983" xr:uid="{A1AFDFB2-DE9C-4142-A24E-7A020AE4FBF8}"/>
    <cellStyle name="Comma 11 3 3 5 2" xfId="2496" xr:uid="{D73C4D73-850E-4A00-8FF8-653A3B6DECB3}"/>
    <cellStyle name="Comma 11 3 3 5 2 2" xfId="9988" xr:uid="{B117F5CB-3035-4D44-9705-E9F33396347A}"/>
    <cellStyle name="Comma 11 3 3 5 2 2 2" xfId="13647" xr:uid="{ED1B1632-FA65-47BC-841A-194BFF08CD24}"/>
    <cellStyle name="Comma 11 3 3 5 2 2 2 2" xfId="28824" xr:uid="{BA7071BD-FE21-40D4-BE37-3335F0EAA4CD}"/>
    <cellStyle name="Comma 11 3 3 5 2 2 3" xfId="25166" xr:uid="{B223549A-9E63-4991-B229-7E63A6448268}"/>
    <cellStyle name="Comma 11 3 3 5 2 3" xfId="5814" xr:uid="{A4F5B1C3-D57B-40F0-9D4B-B02A3056C9EB}"/>
    <cellStyle name="Comma 11 3 3 5 2 3 2" xfId="20994" xr:uid="{D31423D6-E55C-45BA-BB8B-76F99B49F642}"/>
    <cellStyle name="Comma 11 3 3 5 2 4" xfId="17706" xr:uid="{2438A102-7C1E-4496-9D4D-965443D39D08}"/>
    <cellStyle name="Comma 11 3 3 5 3" xfId="3384" xr:uid="{1FA42F43-A344-4659-A102-368651DE0D71}"/>
    <cellStyle name="Comma 11 3 3 5 3 2" xfId="10872" xr:uid="{66801E12-0C1B-4D49-A089-D2B96F5E0014}"/>
    <cellStyle name="Comma 11 3 3 5 3 2 2" xfId="14418" xr:uid="{6405613A-7264-4F01-925B-382ADED5599B}"/>
    <cellStyle name="Comma 11 3 3 5 3 2 2 2" xfId="29595" xr:uid="{72CBCA39-9F16-4471-9C4C-93FF022B0A55}"/>
    <cellStyle name="Comma 11 3 3 5 3 2 3" xfId="26050" xr:uid="{B9C6B147-4C0D-47B5-8EDD-89B752E33C97}"/>
    <cellStyle name="Comma 11 3 3 5 3 3" xfId="6698" xr:uid="{4C40C09A-9F25-46BE-A476-90F2A9F588C4}"/>
    <cellStyle name="Comma 11 3 3 5 3 3 2" xfId="21878" xr:uid="{7F3FC845-9582-4F77-B514-FF6EE03077F3}"/>
    <cellStyle name="Comma 11 3 3 5 3 4" xfId="18590" xr:uid="{095AD62A-715D-45A8-BDC5-B6419B16C7D8}"/>
    <cellStyle name="Comma 11 3 3 5 4" xfId="4254" xr:uid="{633263A6-4F43-4005-8370-E17F4FDB6003}"/>
    <cellStyle name="Comma 11 3 3 5 4 2" xfId="11739" xr:uid="{625708C7-BA9A-414A-BC40-B55DE84BB0C5}"/>
    <cellStyle name="Comma 11 3 3 5 4 2 2" xfId="15285" xr:uid="{5790A9D1-CE04-427C-B20B-64550BF67CD4}"/>
    <cellStyle name="Comma 11 3 3 5 4 2 2 2" xfId="30462" xr:uid="{673D5BFF-0CAC-4C08-843A-3F21E9676767}"/>
    <cellStyle name="Comma 11 3 3 5 4 2 3" xfId="26917" xr:uid="{B6CA9428-C56A-495D-B883-5968FC216931}"/>
    <cellStyle name="Comma 11 3 3 5 4 3" xfId="7565" xr:uid="{93D03B11-0747-4617-B18F-58A874008DCD}"/>
    <cellStyle name="Comma 11 3 3 5 4 3 2" xfId="22745" xr:uid="{73D947FB-413B-44C9-8D00-C202D6A41FDA}"/>
    <cellStyle name="Comma 11 3 3 5 4 4" xfId="19457" xr:uid="{2CC54294-35FD-4F43-81B7-7791CCE80532}"/>
    <cellStyle name="Comma 11 3 3 5 5" xfId="8590" xr:uid="{F7488694-E6D9-42A1-9910-64907508982B}"/>
    <cellStyle name="Comma 11 3 3 5 5 2" xfId="12763" xr:uid="{4921DC02-C47F-47B8-8BCC-EC996CD8D502}"/>
    <cellStyle name="Comma 11 3 3 5 5 2 2" xfId="27940" xr:uid="{450D4DEB-46A3-4F0F-B79D-D59BA758D2D1}"/>
    <cellStyle name="Comma 11 3 3 5 5 3" xfId="23768" xr:uid="{9C57875F-C96C-4CB2-A037-F1B18739CD53}"/>
    <cellStyle name="Comma 11 3 3 5 6" xfId="16308" xr:uid="{5EFD89E3-A1F3-4768-9BBC-97F2CA52A582}"/>
    <cellStyle name="Comma 11 3 3 5 7" xfId="31528" xr:uid="{9B43F79B-44ED-46CF-B848-B7C1EB6C4D5C}"/>
    <cellStyle name="Comma 11 3 3 6" xfId="1166" xr:uid="{A30AB5EF-0160-4434-A9CA-5CB11C02999D}"/>
    <cellStyle name="Comma 11 3 3 6 2" xfId="2599" xr:uid="{CEAAE780-FD2E-4B47-8881-DB3FB8554767}"/>
    <cellStyle name="Comma 11 3 3 6 2 2" xfId="10090" xr:uid="{939A1231-AE9F-4A2A-A6F4-1B99F0CD8C22}"/>
    <cellStyle name="Comma 11 3 3 6 2 2 2" xfId="13748" xr:uid="{2E828501-B574-45C2-B0C0-C8987D3E0C39}"/>
    <cellStyle name="Comma 11 3 3 6 2 2 2 2" xfId="28925" xr:uid="{397D5A19-3768-4EA6-A56D-42BC3B7C0A4A}"/>
    <cellStyle name="Comma 11 3 3 6 2 2 3" xfId="25268" xr:uid="{B36087D9-8551-451F-9AC0-F8B0003BC0F8}"/>
    <cellStyle name="Comma 11 3 3 6 2 3" xfId="5916" xr:uid="{303B1221-E615-416A-B914-3B28952090B8}"/>
    <cellStyle name="Comma 11 3 3 6 2 3 2" xfId="21096" xr:uid="{202ED6ED-5AAD-4CED-A078-7A630962AB26}"/>
    <cellStyle name="Comma 11 3 3 6 2 4" xfId="17808" xr:uid="{DEB3D559-37A6-4C11-9E26-CBA0C7E3D2CB}"/>
    <cellStyle name="Comma 11 3 3 6 3" xfId="3486" xr:uid="{AD9A09B2-C44B-4A19-90C5-7A9D203294A9}"/>
    <cellStyle name="Comma 11 3 3 6 3 2" xfId="10974" xr:uid="{208DF6EC-D2D7-4ED8-9842-6463B88A2FF6}"/>
    <cellStyle name="Comma 11 3 3 6 3 2 2" xfId="14520" xr:uid="{95D5D519-F591-4AEC-98D1-F052354F75D3}"/>
    <cellStyle name="Comma 11 3 3 6 3 2 2 2" xfId="29697" xr:uid="{4B99DD96-B48E-4DD3-BDEB-63E5A71E7F8F}"/>
    <cellStyle name="Comma 11 3 3 6 3 2 3" xfId="26152" xr:uid="{6822EDA6-76F2-464C-A531-FC87882AF695}"/>
    <cellStyle name="Comma 11 3 3 6 3 3" xfId="6800" xr:uid="{924310B4-4F76-4619-8B0A-B7303F98593F}"/>
    <cellStyle name="Comma 11 3 3 6 3 3 2" xfId="21980" xr:uid="{BCFB4DC3-342F-4D87-8438-3D688F20145B}"/>
    <cellStyle name="Comma 11 3 3 6 3 4" xfId="18692" xr:uid="{844873C3-B4FC-4CE0-AB7C-44928395C5EA}"/>
    <cellStyle name="Comma 11 3 3 6 4" xfId="4255" xr:uid="{7DCF2A3B-6896-45E9-9CEC-FADFB6EC0730}"/>
    <cellStyle name="Comma 11 3 3 6 4 2" xfId="11740" xr:uid="{2546937A-31E2-4B91-987B-A110B06FF42C}"/>
    <cellStyle name="Comma 11 3 3 6 4 2 2" xfId="15286" xr:uid="{D8200EA0-A587-4B6F-B4E8-3605986CC251}"/>
    <cellStyle name="Comma 11 3 3 6 4 2 2 2" xfId="30463" xr:uid="{BAD11930-B343-4FA8-AA09-D34881753AFA}"/>
    <cellStyle name="Comma 11 3 3 6 4 2 3" xfId="26918" xr:uid="{7D6C0499-8010-42DE-990E-C239B7039ED4}"/>
    <cellStyle name="Comma 11 3 3 6 4 3" xfId="7566" xr:uid="{79570568-A100-4169-BBB3-DC8135F636C2}"/>
    <cellStyle name="Comma 11 3 3 6 4 3 2" xfId="22746" xr:uid="{42068E96-EEE4-4F3A-BCF3-B9C754CD9B35}"/>
    <cellStyle name="Comma 11 3 3 6 4 4" xfId="19458" xr:uid="{7241D347-229D-4190-A021-CA1B2074DB94}"/>
    <cellStyle name="Comma 11 3 3 6 5" xfId="8692" xr:uid="{21E11397-31E9-404E-85DD-33549F82CBA7}"/>
    <cellStyle name="Comma 11 3 3 6 5 2" xfId="12865" xr:uid="{DEA21BC2-1496-45EC-A6FA-90DB11AD0C47}"/>
    <cellStyle name="Comma 11 3 3 6 5 2 2" xfId="28042" xr:uid="{9CB5156E-284F-4E9E-8F3A-43CE0E9FA086}"/>
    <cellStyle name="Comma 11 3 3 6 5 3" xfId="23870" xr:uid="{87FB8DEF-21F8-416B-B27C-78C7F826CC21}"/>
    <cellStyle name="Comma 11 3 3 6 6" xfId="16410" xr:uid="{98D682CE-01D5-47C7-BE5B-577E74C48C34}"/>
    <cellStyle name="Comma 11 3 3 7" xfId="1192" xr:uid="{43345C7E-C94B-4450-8803-D6BAFDC8E1FD}"/>
    <cellStyle name="Comma 11 3 3 7 2" xfId="2623" xr:uid="{010A034D-E363-4176-BD6E-4F5E5D2FBB83}"/>
    <cellStyle name="Comma 11 3 3 7 2 2" xfId="10114" xr:uid="{5C967255-C3BE-47AC-B59D-B7DAB5E086A0}"/>
    <cellStyle name="Comma 11 3 3 7 2 2 2" xfId="13772" xr:uid="{2307A471-D3BD-493D-B7E7-FD6AC8D2E08C}"/>
    <cellStyle name="Comma 11 3 3 7 2 2 2 2" xfId="28949" xr:uid="{465E111A-4D0A-40F5-94E9-E21AB3BF7926}"/>
    <cellStyle name="Comma 11 3 3 7 2 2 3" xfId="25292" xr:uid="{92787563-F0BD-4677-B596-ECDB2EA521BA}"/>
    <cellStyle name="Comma 11 3 3 7 2 3" xfId="5940" xr:uid="{BCA6BB1C-D84F-4365-A2E2-7CBD7DCEFC83}"/>
    <cellStyle name="Comma 11 3 3 7 2 3 2" xfId="21120" xr:uid="{5098C743-C8B9-4999-9BFC-A17378E18F64}"/>
    <cellStyle name="Comma 11 3 3 7 2 4" xfId="17832" xr:uid="{C1558FC9-E0E7-4157-9E7A-978238D6D5B5}"/>
    <cellStyle name="Comma 11 3 3 7 3" xfId="3510" xr:uid="{52C85DA1-9537-49B5-9B61-39947FF05189}"/>
    <cellStyle name="Comma 11 3 3 7 3 2" xfId="10998" xr:uid="{4B61E0D9-F2B0-46B2-9D90-0332E24CF60C}"/>
    <cellStyle name="Comma 11 3 3 7 3 2 2" xfId="14544" xr:uid="{AEB28CE3-13D9-4393-80A6-18476C10A0E6}"/>
    <cellStyle name="Comma 11 3 3 7 3 2 2 2" xfId="29721" xr:uid="{E100F687-3A4A-40D6-B7E5-1D9E5931630D}"/>
    <cellStyle name="Comma 11 3 3 7 3 2 3" xfId="26176" xr:uid="{157E8EF1-28D3-426E-B71E-98E775A45794}"/>
    <cellStyle name="Comma 11 3 3 7 3 3" xfId="6824" xr:uid="{D4DD6EEC-687E-4BEE-A157-B254BB7850F6}"/>
    <cellStyle name="Comma 11 3 3 7 3 3 2" xfId="22004" xr:uid="{779BB5C5-AFB4-4891-A285-1CD9C5C03979}"/>
    <cellStyle name="Comma 11 3 3 7 3 4" xfId="18716" xr:uid="{AFD58CCA-46A5-4B72-A8DF-184BE82E222F}"/>
    <cellStyle name="Comma 11 3 3 7 4" xfId="4256" xr:uid="{6883B4B2-F297-4EEF-8D6B-5DCC5C44D9B6}"/>
    <cellStyle name="Comma 11 3 3 7 4 2" xfId="11741" xr:uid="{352343C7-5CA5-4F69-9DF5-C7CFE8D97BE2}"/>
    <cellStyle name="Comma 11 3 3 7 4 2 2" xfId="15287" xr:uid="{742BC4DC-5C7C-444A-A30B-2027CB9A982C}"/>
    <cellStyle name="Comma 11 3 3 7 4 2 2 2" xfId="30464" xr:uid="{557B28D6-FF10-48AF-A589-AD4DD63EA2FD}"/>
    <cellStyle name="Comma 11 3 3 7 4 2 3" xfId="26919" xr:uid="{3BF034C7-9C81-48D5-B901-BA9954FB32D8}"/>
    <cellStyle name="Comma 11 3 3 7 4 3" xfId="7567" xr:uid="{427D91F7-117C-4A47-8BA3-31D1373AC01D}"/>
    <cellStyle name="Comma 11 3 3 7 4 3 2" xfId="22747" xr:uid="{864C3B0A-3D8E-4733-BD5B-59564A26492D}"/>
    <cellStyle name="Comma 11 3 3 7 4 4" xfId="19459" xr:uid="{556CCE24-2D22-4F1E-AA48-FE9A20E27EC1}"/>
    <cellStyle name="Comma 11 3 3 7 5" xfId="8716" xr:uid="{599A0CA5-047F-4F1F-99CD-5DE30DF9D29F}"/>
    <cellStyle name="Comma 11 3 3 7 5 2" xfId="12889" xr:uid="{8755566C-B764-4D0C-AD09-D298EA1C49CE}"/>
    <cellStyle name="Comma 11 3 3 7 5 2 2" xfId="28066" xr:uid="{F712D521-3B9B-42B4-BC9F-6FE9A47A80AF}"/>
    <cellStyle name="Comma 11 3 3 7 5 3" xfId="23894" xr:uid="{E05C1AC4-F423-437F-83B1-743976F4D8CE}"/>
    <cellStyle name="Comma 11 3 3 7 6" xfId="16434" xr:uid="{77B8F6A6-8B26-4606-9311-958BFF148341}"/>
    <cellStyle name="Comma 11 3 3 8" xfId="1241" xr:uid="{9DE479F9-8D3B-4907-B71E-5BA3A206E49C}"/>
    <cellStyle name="Comma 11 3 3 8 10" xfId="31300" xr:uid="{3B2DA8D1-9008-4358-AD97-097E33094E08}"/>
    <cellStyle name="Comma 11 3 3 8 2" xfId="2671" xr:uid="{483590EE-1D28-4DA4-B1CE-2032D72C924E}"/>
    <cellStyle name="Comma 11 3 3 8 2 2" xfId="10162" xr:uid="{8AE0BA16-FCEA-4F13-A76C-5142EFE5C0ED}"/>
    <cellStyle name="Comma 11 3 3 8 2 2 2" xfId="13806" xr:uid="{5315555F-48DC-494F-8154-9816C4A47009}"/>
    <cellStyle name="Comma 11 3 3 8 2 2 2 2" xfId="28983" xr:uid="{05103E30-D1B5-429A-9638-320278569354}"/>
    <cellStyle name="Comma 11 3 3 8 2 2 3" xfId="25340" xr:uid="{48339782-DC84-4C84-95FC-CC2465C51F80}"/>
    <cellStyle name="Comma 11 3 3 8 2 3" xfId="5988" xr:uid="{B090BBB7-0F9E-4BBC-BB66-F242C57EB816}"/>
    <cellStyle name="Comma 11 3 3 8 2 3 2" xfId="21168" xr:uid="{1790A949-4041-4141-87DD-5582F71AD792}"/>
    <cellStyle name="Comma 11 3 3 8 2 4" xfId="17880" xr:uid="{57913D55-5FDA-4144-B8B3-D9A8C6856ED9}"/>
    <cellStyle name="Comma 11 3 3 8 3" xfId="3558" xr:uid="{BBB8F04F-31DA-493B-86B6-37087DC06AA6}"/>
    <cellStyle name="Comma 11 3 3 8 3 2" xfId="11046" xr:uid="{B5DEA063-4D28-4994-BAAB-D726B6637070}"/>
    <cellStyle name="Comma 11 3 3 8 3 2 2" xfId="14592" xr:uid="{859DE530-F953-46CF-A961-CFF1235EA86D}"/>
    <cellStyle name="Comma 11 3 3 8 3 2 2 2" xfId="29769" xr:uid="{EAE4A1FC-23C2-4483-BE7A-DFD2675A0A5F}"/>
    <cellStyle name="Comma 11 3 3 8 3 2 3" xfId="26224" xr:uid="{420CBF22-3452-442F-9EF3-682DFED2F787}"/>
    <cellStyle name="Comma 11 3 3 8 3 3" xfId="6872" xr:uid="{4ECCA2B7-9D12-447C-AF13-2FE04C38B156}"/>
    <cellStyle name="Comma 11 3 3 8 3 3 2" xfId="22052" xr:uid="{C2045EEB-C8D2-4BC2-8C32-8353A7ADF512}"/>
    <cellStyle name="Comma 11 3 3 8 3 4" xfId="18764" xr:uid="{326B956D-235E-4E76-AC7B-832D1773F49F}"/>
    <cellStyle name="Comma 11 3 3 8 4" xfId="4257" xr:uid="{B1F8B149-CFB4-4543-AEEA-E3052133DFFC}"/>
    <cellStyle name="Comma 11 3 3 8 4 2" xfId="11742" xr:uid="{5F81F509-3934-49BB-BA37-0822638DFCA1}"/>
    <cellStyle name="Comma 11 3 3 8 4 2 2" xfId="15288" xr:uid="{3BFAC338-448C-4F09-9EBF-6BD3BD8A9AAD}"/>
    <cellStyle name="Comma 11 3 3 8 4 2 2 2" xfId="30465" xr:uid="{FC34B69C-C072-46A4-BE68-114D6C89362D}"/>
    <cellStyle name="Comma 11 3 3 8 4 2 3" xfId="26920" xr:uid="{33A1FC2E-29B7-4D5A-93F9-4C4FBC9C3467}"/>
    <cellStyle name="Comma 11 3 3 8 4 3" xfId="7568" xr:uid="{D9C779F7-04CA-47DE-AD59-CBDC14F588EA}"/>
    <cellStyle name="Comma 11 3 3 8 4 3 2" xfId="22748" xr:uid="{49A92FB2-A3FB-49A6-82EA-6BDF14A03B75}"/>
    <cellStyle name="Comma 11 3 3 8 4 4" xfId="19460" xr:uid="{EB19DDAE-8B53-4940-8BF0-543B5FAAD783}"/>
    <cellStyle name="Comma 11 3 3 8 5" xfId="4960" xr:uid="{1978C96A-BC2D-4520-9DD5-F90308754D4B}"/>
    <cellStyle name="Comma 11 3 3 8 5 2" xfId="12444" xr:uid="{2493E358-AEEB-48B2-98E7-EC44C50B93CE}"/>
    <cellStyle name="Comma 11 3 3 8 5 2 2" xfId="15990" xr:uid="{5597C66C-FDA0-45C0-A74A-0BFF7DCF46A6}"/>
    <cellStyle name="Comma 11 3 3 8 5 2 2 2" xfId="31167" xr:uid="{00C59C2B-2BD0-4DFE-8223-EC780018CC1F}"/>
    <cellStyle name="Comma 11 3 3 8 5 2 3" xfId="27622" xr:uid="{E2804317-7C57-4C7A-97DC-A1DB2B1526DE}"/>
    <cellStyle name="Comma 11 3 3 8 5 3" xfId="8270" xr:uid="{26E50895-F106-4C63-85D0-D260D891FDCB}"/>
    <cellStyle name="Comma 11 3 3 8 5 3 2" xfId="23450" xr:uid="{F27346E7-C7F9-4004-847A-B56F0B936533}"/>
    <cellStyle name="Comma 11 3 3 8 5 4" xfId="20162" xr:uid="{9829432D-BD7E-480A-95D2-5407D9683D9E}"/>
    <cellStyle name="Comma 11 3 3 8 6" xfId="1781" xr:uid="{B2593E43-19BA-4811-A7FD-D6E5B00653A9}"/>
    <cellStyle name="Comma 11 3 3 8 6 2" xfId="9278" xr:uid="{27B91C3E-C7BE-4647-8E1E-DF96E6B61833}"/>
    <cellStyle name="Comma 11 3 3 8 6 2 2" xfId="24456" xr:uid="{238ECDCB-F37F-4868-AF08-9E5C6E798073}"/>
    <cellStyle name="Comma 11 3 3 8 6 3" xfId="16996" xr:uid="{8056560B-CDBF-4566-8DCF-9FB798928CDC}"/>
    <cellStyle name="Comma 11 3 3 8 7" xfId="8764" xr:uid="{164260AF-4D49-4CD4-918A-5B6D51DEF294}"/>
    <cellStyle name="Comma 11 3 3 8 7 2" xfId="12937" xr:uid="{58E0B61F-2FCA-48C9-B25E-24B7750B37B4}"/>
    <cellStyle name="Comma 11 3 3 8 7 2 2" xfId="28114" xr:uid="{FF5F4281-7121-4836-9BDD-2020E21768A1}"/>
    <cellStyle name="Comma 11 3 3 8 7 3" xfId="23942" xr:uid="{AD5DD9CD-50AE-403E-8E7A-E10D051B0194}"/>
    <cellStyle name="Comma 11 3 3 8 8" xfId="5104" xr:uid="{04487781-CB75-4C17-8008-BE05F7E0E869}"/>
    <cellStyle name="Comma 11 3 3 8 8 2" xfId="20284" xr:uid="{9B3971EE-575D-4181-88D9-0CDC0531AD76}"/>
    <cellStyle name="Comma 11 3 3 8 9" xfId="16482" xr:uid="{BDD85CF9-660E-419B-9F3E-26ADC8BD3923}"/>
    <cellStyle name="Comma 11 3 3 9" xfId="1343" xr:uid="{A8E55B0E-E5BF-4D0B-A91F-6C0B8F6EEE74}"/>
    <cellStyle name="Comma 11 3 3 9 2" xfId="2769" xr:uid="{75D1C590-DB16-4006-8446-695AB5B4749A}"/>
    <cellStyle name="Comma 11 3 3 9 2 2" xfId="10260" xr:uid="{7D0D3A10-568F-4DC8-905C-D8309273E702}"/>
    <cellStyle name="Comma 11 3 3 9 2 2 2" xfId="13855" xr:uid="{E1353E8C-4938-4C9E-B741-ED35ED5280E5}"/>
    <cellStyle name="Comma 11 3 3 9 2 2 2 2" xfId="29032" xr:uid="{9EA91B50-1C22-46AC-A405-1126750C05B2}"/>
    <cellStyle name="Comma 11 3 3 9 2 2 3" xfId="25438" xr:uid="{AEF4D7E7-1E93-4D1B-B427-CE25DF71B6B2}"/>
    <cellStyle name="Comma 11 3 3 9 2 3" xfId="6086" xr:uid="{073F5B5E-96F0-4F5C-9230-C591709AB205}"/>
    <cellStyle name="Comma 11 3 3 9 2 3 2" xfId="21266" xr:uid="{8640404B-B8E2-4FAA-88D0-18D7C34658AA}"/>
    <cellStyle name="Comma 11 3 3 9 2 4" xfId="17978" xr:uid="{6BDF3DEE-13A5-4A3A-ADA0-1EB171AFDFC8}"/>
    <cellStyle name="Comma 11 3 3 9 3" xfId="3656" xr:uid="{F0DC9EFD-2345-4C44-B9B1-883A93A5C282}"/>
    <cellStyle name="Comma 11 3 3 9 3 2" xfId="11144" xr:uid="{6C52268C-0AD3-4C78-A611-4BE3E1928B62}"/>
    <cellStyle name="Comma 11 3 3 9 3 2 2" xfId="14690" xr:uid="{988557C8-E0B2-4ACF-81AB-518BE3EB64CD}"/>
    <cellStyle name="Comma 11 3 3 9 3 2 2 2" xfId="29867" xr:uid="{5434FAB7-1476-4B13-A915-95710CA8DBAE}"/>
    <cellStyle name="Comma 11 3 3 9 3 2 3" xfId="26322" xr:uid="{884AFF56-EC32-424A-BC5B-53F6290075ED}"/>
    <cellStyle name="Comma 11 3 3 9 3 3" xfId="6970" xr:uid="{99ED5ECA-FEBE-4EDA-9A7D-7831496E8684}"/>
    <cellStyle name="Comma 11 3 3 9 3 3 2" xfId="22150" xr:uid="{D10252F5-15A4-49F8-BFEE-05435B59AC14}"/>
    <cellStyle name="Comma 11 3 3 9 3 4" xfId="18862" xr:uid="{D80F1735-5776-4A2A-9DE6-5EDD9A835C81}"/>
    <cellStyle name="Comma 11 3 3 9 4" xfId="4258" xr:uid="{2264EB05-C34B-40CE-8105-48F4943C1614}"/>
    <cellStyle name="Comma 11 3 3 9 4 2" xfId="11743" xr:uid="{6342C68D-D05D-4C4F-B3B2-2E31AE571CD2}"/>
    <cellStyle name="Comma 11 3 3 9 4 2 2" xfId="15289" xr:uid="{636B4317-5D39-43AC-B6F4-B33EF9E70442}"/>
    <cellStyle name="Comma 11 3 3 9 4 2 2 2" xfId="30466" xr:uid="{961F16BB-25D8-45DC-982F-03155FEB4A06}"/>
    <cellStyle name="Comma 11 3 3 9 4 2 3" xfId="26921" xr:uid="{2A791E80-665C-426F-ADE7-68B3846CC5A8}"/>
    <cellStyle name="Comma 11 3 3 9 4 3" xfId="7569" xr:uid="{61FDBA39-618B-4AE8-ADFC-F5C3B39C22F8}"/>
    <cellStyle name="Comma 11 3 3 9 4 3 2" xfId="22749" xr:uid="{EFB360FA-41BE-4039-BB75-DF963E4AE4B3}"/>
    <cellStyle name="Comma 11 3 3 9 4 4" xfId="19461" xr:uid="{2BA545A7-043B-4611-AEB1-F1439BCE83FD}"/>
    <cellStyle name="Comma 11 3 3 9 5" xfId="1879" xr:uid="{923C9625-72A0-4F87-A3D9-CC3344FA5C3F}"/>
    <cellStyle name="Comma 11 3 3 9 5 2" xfId="9376" xr:uid="{E2D790E1-BCA6-4F26-AF23-B0D7CFA2B07B}"/>
    <cellStyle name="Comma 11 3 3 9 5 2 2" xfId="24554" xr:uid="{F093D430-2EB5-45FF-8E0C-EF8A56144257}"/>
    <cellStyle name="Comma 11 3 3 9 5 3" xfId="17094" xr:uid="{4AC9690A-9F2C-46D0-9ED4-E6BE4D61718C}"/>
    <cellStyle name="Comma 11 3 3 9 6" xfId="8862" xr:uid="{21946483-B4FC-415C-B69B-0EB1B01AA2D5}"/>
    <cellStyle name="Comma 11 3 3 9 6 2" xfId="13035" xr:uid="{4DBAD8A5-6CE2-4B1A-B690-F148BEF4A8DB}"/>
    <cellStyle name="Comma 11 3 3 9 6 2 2" xfId="28212" xr:uid="{DAE0099D-FBD7-4338-8BE9-B9D772CA219B}"/>
    <cellStyle name="Comma 11 3 3 9 6 3" xfId="24040" xr:uid="{D0C61406-3C53-4F93-B9D0-4C82CA010DB0}"/>
    <cellStyle name="Comma 11 3 3 9 7" xfId="5202" xr:uid="{CB8EEC90-647F-46B5-B010-C2B605755C42}"/>
    <cellStyle name="Comma 11 3 3 9 7 2" xfId="20382" xr:uid="{319702A4-016E-4A9F-AD02-DB29E86AA0F3}"/>
    <cellStyle name="Comma 11 3 3 9 8" xfId="16580" xr:uid="{DCAB6E95-6ADE-4B44-A43A-E364CF150CCF}"/>
    <cellStyle name="Comma 11 3 4" xfId="475" xr:uid="{2A20D3B7-DC36-459F-97CF-5899DBBA94D5}"/>
    <cellStyle name="Comma 11 3 4 2" xfId="588" xr:uid="{DFB860DE-B5FC-4E29-ADB7-226D9463AD7A}"/>
    <cellStyle name="Comma 11 3 4 2 2" xfId="9866" xr:uid="{F2A17E59-9057-467C-A714-C6044FB2E92E}"/>
    <cellStyle name="Comma 11 3 4 2 2 2" xfId="13525" xr:uid="{8D49BEB5-6782-445F-A5C1-5F17AF001CE3}"/>
    <cellStyle name="Comma 11 3 4 2 2 2 2" xfId="28702" xr:uid="{813F3335-D3D2-4C1C-A1FB-04215B8CF6F0}"/>
    <cellStyle name="Comma 11 3 4 2 2 3" xfId="25044" xr:uid="{5C8BA5E2-2E0A-4079-81CB-7933C1E977C2}"/>
    <cellStyle name="Comma 11 3 4 2 3" xfId="5692" xr:uid="{A770B628-92BE-4E5D-A169-8785F9D2D59F}"/>
    <cellStyle name="Comma 11 3 4 2 3 2" xfId="20872" xr:uid="{8BF1B623-7B39-407D-8811-81C21DA82AA4}"/>
    <cellStyle name="Comma 11 3 4 2 4" xfId="17584" xr:uid="{7E63F5C2-BB9A-4F1F-88EE-4F4726058B4B}"/>
    <cellStyle name="Comma 11 3 4 2 5" xfId="2372" xr:uid="{7DA75AC0-CEAC-4CD1-A37E-D801AF9EF8A2}"/>
    <cellStyle name="Comma 11 3 4 3" xfId="3262" xr:uid="{890D88F3-433E-42E4-8F06-AC93EE0D34C5}"/>
    <cellStyle name="Comma 11 3 4 3 2" xfId="10750" xr:uid="{98D1F53F-EB9C-47D9-A5A3-E7D73B4367EA}"/>
    <cellStyle name="Comma 11 3 4 3 2 2" xfId="14296" xr:uid="{F30BE284-CC25-4D4D-8C67-FE2931CB942A}"/>
    <cellStyle name="Comma 11 3 4 3 2 2 2" xfId="29473" xr:uid="{4CC6053D-4AFB-4B36-AD77-F21C8701ED04}"/>
    <cellStyle name="Comma 11 3 4 3 2 3" xfId="25928" xr:uid="{3A81259C-4430-4A52-AA72-A4A7E89F33FB}"/>
    <cellStyle name="Comma 11 3 4 3 3" xfId="6576" xr:uid="{525D88D7-FDF6-4021-A8DC-DEC5FDB31A86}"/>
    <cellStyle name="Comma 11 3 4 3 3 2" xfId="21756" xr:uid="{CBE4B601-4D0A-4DB3-AC1D-C72C771A351A}"/>
    <cellStyle name="Comma 11 3 4 3 4" xfId="18468" xr:uid="{07D3D3F6-8722-46A7-B728-0D6EEF1D3AF0}"/>
    <cellStyle name="Comma 11 3 4 4" xfId="4259" xr:uid="{54361A83-923C-48D1-B629-BACB6AF04A57}"/>
    <cellStyle name="Comma 11 3 4 4 2" xfId="11744" xr:uid="{E7047A66-7B7C-4544-B4D7-BA037B48184C}"/>
    <cellStyle name="Comma 11 3 4 4 2 2" xfId="15290" xr:uid="{4B8C02E6-977F-4703-A4F2-9963A872EC8E}"/>
    <cellStyle name="Comma 11 3 4 4 2 2 2" xfId="30467" xr:uid="{BDF4DB76-57F1-4EFE-8938-1351FC718682}"/>
    <cellStyle name="Comma 11 3 4 4 2 3" xfId="26922" xr:uid="{61BF3040-C7DF-4A60-AA9D-4C4C4448777C}"/>
    <cellStyle name="Comma 11 3 4 4 3" xfId="7570" xr:uid="{64008450-C593-4C48-BE34-2DF31E8BCCC8}"/>
    <cellStyle name="Comma 11 3 4 4 3 2" xfId="22750" xr:uid="{C2144937-9941-453F-B060-02F2688AE679}"/>
    <cellStyle name="Comma 11 3 4 4 4" xfId="19462" xr:uid="{150901FA-CE78-434A-AED4-21AD758A6CA1}"/>
    <cellStyle name="Comma 11 3 4 5" xfId="8468" xr:uid="{899F60F7-0CC0-40EE-9644-881716C98E4C}"/>
    <cellStyle name="Comma 11 3 4 5 2" xfId="12641" xr:uid="{28EC9A7E-A3CF-4F72-BA8C-64A27AD8CAAF}"/>
    <cellStyle name="Comma 11 3 4 5 2 2" xfId="27818" xr:uid="{61F8EB5C-2623-4E52-A52A-F9919A7A67B3}"/>
    <cellStyle name="Comma 11 3 4 5 3" xfId="23646" xr:uid="{84F1CD39-B94A-4D9A-91DA-5D5E6CA0352A}"/>
    <cellStyle name="Comma 11 3 4 6" xfId="16186" xr:uid="{6798FE74-7D8E-4DD3-847E-AC02C911FF7A}"/>
    <cellStyle name="Comma 11 3 4 7" xfId="31626" xr:uid="{0C6AC666-43DF-4834-8CEB-CCE760B1B84D}"/>
    <cellStyle name="Comma 11 3 4 8" xfId="854" xr:uid="{193F3969-21B0-475B-9B5C-B33B92AE923A}"/>
    <cellStyle name="Comma 11 3 5" xfId="551" xr:uid="{4C142037-140D-469E-918A-EDAA8C5FFD8E}"/>
    <cellStyle name="Comma 11 3 5 10" xfId="31276" xr:uid="{270AEFEE-CF42-41E1-8D5C-01BEAB535A51}"/>
    <cellStyle name="Comma 11 3 5 11" xfId="1217" xr:uid="{A843E3C0-C139-42F3-8EA0-C7CF9615BBAE}"/>
    <cellStyle name="Comma 11 3 5 2" xfId="2647" xr:uid="{4E4A1F34-1616-42F0-85B7-492138BB24CB}"/>
    <cellStyle name="Comma 11 3 5 2 2" xfId="10138" xr:uid="{65D50EF4-5C07-46FA-83D9-2417849E7386}"/>
    <cellStyle name="Comma 11 3 5 2 2 2" xfId="13795" xr:uid="{C30BEC10-F155-449D-98E8-3D38F8FE3E52}"/>
    <cellStyle name="Comma 11 3 5 2 2 2 2" xfId="28972" xr:uid="{2BE36DCE-B704-4352-B4B3-74546C4CDC9D}"/>
    <cellStyle name="Comma 11 3 5 2 2 3" xfId="25316" xr:uid="{3861BE70-DC6B-4D15-AA2D-2E553083FE30}"/>
    <cellStyle name="Comma 11 3 5 2 3" xfId="5964" xr:uid="{C770CB73-E2EE-4CEE-94F7-98852C4931DA}"/>
    <cellStyle name="Comma 11 3 5 2 3 2" xfId="21144" xr:uid="{5B1D9168-CE05-4B40-AF2B-B836E5E3A1AF}"/>
    <cellStyle name="Comma 11 3 5 2 4" xfId="17856" xr:uid="{BE0FD7AF-FE55-48D8-972B-F2CA0839BC0D}"/>
    <cellStyle name="Comma 11 3 5 3" xfId="3534" xr:uid="{B787F6D7-702C-4002-B067-858C4D538CBD}"/>
    <cellStyle name="Comma 11 3 5 3 2" xfId="11022" xr:uid="{71299F7E-6A71-49A8-A42C-D403C5465701}"/>
    <cellStyle name="Comma 11 3 5 3 2 2" xfId="14568" xr:uid="{64E387D9-45CE-41CF-AD8A-BD990175B817}"/>
    <cellStyle name="Comma 11 3 5 3 2 2 2" xfId="29745" xr:uid="{7010E5C3-7773-4883-BFA4-66157E0F9B33}"/>
    <cellStyle name="Comma 11 3 5 3 2 3" xfId="26200" xr:uid="{EE66B8FD-A494-486C-A2F5-22ABD31520F1}"/>
    <cellStyle name="Comma 11 3 5 3 3" xfId="6848" xr:uid="{F9A94ED7-8352-44F1-A324-F8D8C40F2540}"/>
    <cellStyle name="Comma 11 3 5 3 3 2" xfId="22028" xr:uid="{0AE44467-B6E2-4DD8-888D-299A08839AE7}"/>
    <cellStyle name="Comma 11 3 5 3 4" xfId="18740" xr:uid="{43D5455B-CEB0-4FD7-8269-6DB4196FC80C}"/>
    <cellStyle name="Comma 11 3 5 4" xfId="4260" xr:uid="{C3F63314-7C72-4A2F-873D-7D47031DFBB8}"/>
    <cellStyle name="Comma 11 3 5 4 2" xfId="11745" xr:uid="{199410A4-9379-4658-8E98-133A27BE716D}"/>
    <cellStyle name="Comma 11 3 5 4 2 2" xfId="15291" xr:uid="{A289212B-A2C3-4D4D-91A4-107A6A30A80C}"/>
    <cellStyle name="Comma 11 3 5 4 2 2 2" xfId="30468" xr:uid="{B0F36354-6828-4CDD-B0A9-D843AE5630A5}"/>
    <cellStyle name="Comma 11 3 5 4 2 3" xfId="26923" xr:uid="{9F2E278E-9D61-43E0-AA51-276B34C2C31E}"/>
    <cellStyle name="Comma 11 3 5 4 3" xfId="7571" xr:uid="{D1523E2C-32A4-4CD6-9287-336EA6E8DF95}"/>
    <cellStyle name="Comma 11 3 5 4 3 2" xfId="22751" xr:uid="{357C166E-8D73-48A6-9840-385EBA421BAA}"/>
    <cellStyle name="Comma 11 3 5 4 4" xfId="19463" xr:uid="{98DBB5C7-BF20-47A3-923C-5AAD351F9533}"/>
    <cellStyle name="Comma 11 3 5 5" xfId="4936" xr:uid="{9810570B-26AC-461F-AA56-E7D1109B8BF7}"/>
    <cellStyle name="Comma 11 3 5 5 2" xfId="12420" xr:uid="{16927E5D-180E-408A-AE77-C3A637B0FF81}"/>
    <cellStyle name="Comma 11 3 5 5 2 2" xfId="15966" xr:uid="{74BCF237-A8D2-480D-AE33-459CAE7A8B97}"/>
    <cellStyle name="Comma 11 3 5 5 2 2 2" xfId="31143" xr:uid="{14C83F59-80FC-4234-8DAC-263B118D909E}"/>
    <cellStyle name="Comma 11 3 5 5 2 3" xfId="27598" xr:uid="{ABEFA57F-5960-436E-AB4C-6F93379F7878}"/>
    <cellStyle name="Comma 11 3 5 5 3" xfId="8246" xr:uid="{FEDFA151-A4BE-4E54-A052-8243EF820D1C}"/>
    <cellStyle name="Comma 11 3 5 5 3 2" xfId="23426" xr:uid="{C77FE42D-14BA-458B-A77C-2EC9CC922CFB}"/>
    <cellStyle name="Comma 11 3 5 5 4" xfId="20138" xr:uid="{1F8918A2-C161-473C-9D76-F3A1528EE64A}"/>
    <cellStyle name="Comma 11 3 5 6" xfId="1757" xr:uid="{E29E68AE-6E68-4561-B74A-9872ED89D91C}"/>
    <cellStyle name="Comma 11 3 5 6 2" xfId="9254" xr:uid="{7229552B-2808-4C48-80BA-0DD53242A500}"/>
    <cellStyle name="Comma 11 3 5 6 2 2" xfId="24432" xr:uid="{CB680F26-18BF-45B2-BEBB-A22998C58D5D}"/>
    <cellStyle name="Comma 11 3 5 6 3" xfId="16972" xr:uid="{5E4503DF-C932-4BA8-A1A7-77B85A472C6B}"/>
    <cellStyle name="Comma 11 3 5 7" xfId="8740" xr:uid="{C553FDAE-BE2B-4AF8-931B-D73685E6A986}"/>
    <cellStyle name="Comma 11 3 5 7 2" xfId="12913" xr:uid="{78FA10A4-C9F0-4331-AB96-307B16110CE3}"/>
    <cellStyle name="Comma 11 3 5 7 2 2" xfId="28090" xr:uid="{080746F1-D6C5-4804-9195-E4362FF26F46}"/>
    <cellStyle name="Comma 11 3 5 7 3" xfId="23918" xr:uid="{C9A945AE-6540-469C-80AB-96F6705A8321}"/>
    <cellStyle name="Comma 11 3 5 8" xfId="5080" xr:uid="{3F6B3B62-46C3-4837-9F11-1528CFB27373}"/>
    <cellStyle name="Comma 11 3 5 8 2" xfId="20260" xr:uid="{B7DA92BA-8DF9-44B0-9728-EB0670B6BEB5}"/>
    <cellStyle name="Comma 11 3 5 9" xfId="16458" xr:uid="{17C8C620-B72B-4230-AB21-BBBE632A1B79}"/>
    <cellStyle name="Comma 11 3 6" xfId="31406" xr:uid="{53822A5E-62B2-48D2-9DA0-100C74B1BF65}"/>
    <cellStyle name="Comma 11 3 7" xfId="614" xr:uid="{F66342BD-0A9E-4DB7-8D2D-AB26DDD5CEA2}"/>
    <cellStyle name="Comma 11 4" xfId="337" xr:uid="{AE2D5450-B29F-43DC-B600-191EABAD5534}"/>
    <cellStyle name="Comma 11 4 2" xfId="483" xr:uid="{A91A96B6-4D21-4C39-B10D-A1F4ED3061CD}"/>
    <cellStyle name="Comma 11 4 2 10" xfId="1449" xr:uid="{A57110CF-B66C-4399-9277-9D7662210882}"/>
    <cellStyle name="Comma 11 4 2 10 2" xfId="2874" xr:uid="{42ABD174-E328-4F1B-BE39-144603B6F66A}"/>
    <cellStyle name="Comma 11 4 2 10 2 2" xfId="10365" xr:uid="{B943AC91-C9F6-415C-BE9C-DB5E6090C3EE}"/>
    <cellStyle name="Comma 11 4 2 10 2 2 2" xfId="13911" xr:uid="{477A30AB-5BAA-4DA3-83A2-C1DFCA6DF8AC}"/>
    <cellStyle name="Comma 11 4 2 10 2 2 2 2" xfId="29088" xr:uid="{DCF3956D-46CD-4ECD-80E7-268DEEADC638}"/>
    <cellStyle name="Comma 11 4 2 10 2 2 3" xfId="25543" xr:uid="{B5D1FFA6-6817-42DC-A16F-0600B73B4D82}"/>
    <cellStyle name="Comma 11 4 2 10 2 3" xfId="6191" xr:uid="{976BB11C-F969-424D-8562-B4BA8C7D876D}"/>
    <cellStyle name="Comma 11 4 2 10 2 3 2" xfId="21371" xr:uid="{1BCCDAF2-DBD7-44AA-A822-AD02409F6CB6}"/>
    <cellStyle name="Comma 11 4 2 10 2 4" xfId="18083" xr:uid="{388A0A14-E2C3-4547-8FA6-8D94C864423D}"/>
    <cellStyle name="Comma 11 4 2 10 3" xfId="3761" xr:uid="{C6F0BB12-5613-404B-97DE-257267D70B29}"/>
    <cellStyle name="Comma 11 4 2 10 3 2" xfId="11249" xr:uid="{34041EC4-52C8-4C57-8C56-ABB93A5FA464}"/>
    <cellStyle name="Comma 11 4 2 10 3 2 2" xfId="14795" xr:uid="{1D3E60BB-0759-4211-BF32-673ED9C36362}"/>
    <cellStyle name="Comma 11 4 2 10 3 2 2 2" xfId="29972" xr:uid="{521EE27F-03C0-44A3-8A02-ABBCBCBBBB2F}"/>
    <cellStyle name="Comma 11 4 2 10 3 2 3" xfId="26427" xr:uid="{56EB3138-B57C-44EA-BD3B-7C05E6A49BAF}"/>
    <cellStyle name="Comma 11 4 2 10 3 3" xfId="7075" xr:uid="{EC46444F-55B7-4574-8DD1-AB089635FA03}"/>
    <cellStyle name="Comma 11 4 2 10 3 3 2" xfId="22255" xr:uid="{8B995D27-F156-4BDF-B185-35600FB1BDA0}"/>
    <cellStyle name="Comma 11 4 2 10 3 4" xfId="18967" xr:uid="{B66C969F-3D1A-4597-A955-C43373DBE075}"/>
    <cellStyle name="Comma 11 4 2 10 4" xfId="4261" xr:uid="{A5EDAD8F-52C0-4D03-B843-B88ECBE9C559}"/>
    <cellStyle name="Comma 11 4 2 10 4 2" xfId="11746" xr:uid="{6C535F5E-F9A4-4E88-A237-E3F09A53F49C}"/>
    <cellStyle name="Comma 11 4 2 10 4 2 2" xfId="15292" xr:uid="{A75DA32A-F7B1-42C6-9F97-26CE7C72E67A}"/>
    <cellStyle name="Comma 11 4 2 10 4 2 2 2" xfId="30469" xr:uid="{3F748CF6-5881-451A-B8DD-94A9B8FBF36F}"/>
    <cellStyle name="Comma 11 4 2 10 4 2 3" xfId="26924" xr:uid="{79733F42-AD5B-444C-B1A7-1613C053F385}"/>
    <cellStyle name="Comma 11 4 2 10 4 3" xfId="7572" xr:uid="{C4A7581D-B1B7-4718-9DE0-0596637E4DD8}"/>
    <cellStyle name="Comma 11 4 2 10 4 3 2" xfId="22752" xr:uid="{83E6FDA8-EC2B-4591-BDE4-9993BD37618B}"/>
    <cellStyle name="Comma 11 4 2 10 4 4" xfId="19464" xr:uid="{77812D25-D35B-448D-9B3A-AECFCE75437B}"/>
    <cellStyle name="Comma 11 4 2 10 5" xfId="1984" xr:uid="{0E465522-2F50-41BB-B5D8-A244521F6463}"/>
    <cellStyle name="Comma 11 4 2 10 5 2" xfId="9481" xr:uid="{F3ABB787-EC54-402F-9C5A-CC5A524E67C0}"/>
    <cellStyle name="Comma 11 4 2 10 5 2 2" xfId="24659" xr:uid="{9B851E03-749F-4412-BC18-0DDAA286EE8F}"/>
    <cellStyle name="Comma 11 4 2 10 5 3" xfId="17199" xr:uid="{E681FABD-8F99-4446-83F5-7621F17C85E5}"/>
    <cellStyle name="Comma 11 4 2 10 6" xfId="8967" xr:uid="{5B7A69CE-E7A7-426D-ABF6-11A0DE9E4699}"/>
    <cellStyle name="Comma 11 4 2 10 6 2" xfId="13140" xr:uid="{66BFA011-EFF4-4039-A03D-83EAB1C83DB8}"/>
    <cellStyle name="Comma 11 4 2 10 6 2 2" xfId="28317" xr:uid="{2FD00F6A-25D2-40AC-B20A-032B6DB8E1AA}"/>
    <cellStyle name="Comma 11 4 2 10 6 3" xfId="24145" xr:uid="{6C33B980-0122-4AA2-9C3F-D5CC102AE547}"/>
    <cellStyle name="Comma 11 4 2 10 7" xfId="5307" xr:uid="{350F129E-DE31-477A-9370-55A0164F3068}"/>
    <cellStyle name="Comma 11 4 2 10 7 2" xfId="20487" xr:uid="{19619E39-AAEF-4EE6-B3FF-E8587F4DC4FF}"/>
    <cellStyle name="Comma 11 4 2 10 8" xfId="16685" xr:uid="{5AAB349C-7A7E-4669-A926-4B61123BE29B}"/>
    <cellStyle name="Comma 11 4 2 11" xfId="1552" xr:uid="{D3DFF685-AE3E-4871-8613-1491CE4FB11D}"/>
    <cellStyle name="Comma 11 4 2 11 2" xfId="2972" xr:uid="{CA767E46-7097-4696-8B06-F5899AE3F630}"/>
    <cellStyle name="Comma 11 4 2 11 2 2" xfId="10463" xr:uid="{3BBCA5DF-CC87-49EF-9DE9-F2322E02093D}"/>
    <cellStyle name="Comma 11 4 2 11 2 2 2" xfId="14009" xr:uid="{1C146700-61E7-4CD6-A7F2-642707DAC46F}"/>
    <cellStyle name="Comma 11 4 2 11 2 2 2 2" xfId="29186" xr:uid="{2E920DF0-B220-41C2-9227-27E028BA369A}"/>
    <cellStyle name="Comma 11 4 2 11 2 2 3" xfId="25641" xr:uid="{BF3F34D1-1EEF-425F-8725-8E992453508B}"/>
    <cellStyle name="Comma 11 4 2 11 2 3" xfId="6289" xr:uid="{99F14CCB-D576-479E-8072-0CE38FC74312}"/>
    <cellStyle name="Comma 11 4 2 11 2 3 2" xfId="21469" xr:uid="{80079282-C9B6-43CE-8DBD-13CCC9454717}"/>
    <cellStyle name="Comma 11 4 2 11 2 4" xfId="18181" xr:uid="{BD874535-F751-4E02-8EC1-20CD320F7D90}"/>
    <cellStyle name="Comma 11 4 2 11 3" xfId="3859" xr:uid="{E8216C4F-2C3F-48D7-8327-E6517260FE09}"/>
    <cellStyle name="Comma 11 4 2 11 3 2" xfId="11347" xr:uid="{BBF6A73E-2ECF-4EC7-9DA0-AB706FBF0FFC}"/>
    <cellStyle name="Comma 11 4 2 11 3 2 2" xfId="14893" xr:uid="{A7095A8F-EB6D-4DA7-8C77-9FA0D414201A}"/>
    <cellStyle name="Comma 11 4 2 11 3 2 2 2" xfId="30070" xr:uid="{B273C613-632D-4CE7-9A0A-81E1A6429B48}"/>
    <cellStyle name="Comma 11 4 2 11 3 2 3" xfId="26525" xr:uid="{AC753CF1-E438-4825-AFAD-222E458200D6}"/>
    <cellStyle name="Comma 11 4 2 11 3 3" xfId="7173" xr:uid="{61004C4B-D5E7-4F9C-A5E1-AA80634BFE11}"/>
    <cellStyle name="Comma 11 4 2 11 3 3 2" xfId="22353" xr:uid="{C982BDF5-DB5B-413A-A32D-DD64408C7A1F}"/>
    <cellStyle name="Comma 11 4 2 11 3 4" xfId="19065" xr:uid="{91D9FA81-8E9E-41F5-9AFF-95835F300B26}"/>
    <cellStyle name="Comma 11 4 2 11 4" xfId="4262" xr:uid="{B13B6A2E-B667-4534-8EF5-947094AF7139}"/>
    <cellStyle name="Comma 11 4 2 11 4 2" xfId="11747" xr:uid="{FF2D5EEF-4259-4FC3-80DB-47E1935B4F3F}"/>
    <cellStyle name="Comma 11 4 2 11 4 2 2" xfId="15293" xr:uid="{BF0365C3-F598-46E4-A7FD-3E7930254FB6}"/>
    <cellStyle name="Comma 11 4 2 11 4 2 2 2" xfId="30470" xr:uid="{79371FEC-07F1-4DDE-BD0A-05F2196DDA87}"/>
    <cellStyle name="Comma 11 4 2 11 4 2 3" xfId="26925" xr:uid="{1782936B-9A43-47AD-8570-AE97F83F40B9}"/>
    <cellStyle name="Comma 11 4 2 11 4 3" xfId="7573" xr:uid="{144E4E49-092E-41CE-BC73-375BD9F6EBD9}"/>
    <cellStyle name="Comma 11 4 2 11 4 3 2" xfId="22753" xr:uid="{413A81A6-EA9C-4837-838F-4B8D0D69A276}"/>
    <cellStyle name="Comma 11 4 2 11 4 4" xfId="19465" xr:uid="{ADCB07C5-B874-4BC5-9AFD-CA16AD3EEFF2}"/>
    <cellStyle name="Comma 11 4 2 11 5" xfId="2082" xr:uid="{FEED93CE-5C1C-468C-92C9-FBDD80EB59BB}"/>
    <cellStyle name="Comma 11 4 2 11 5 2" xfId="9579" xr:uid="{F7CA9BA9-0484-4BE0-89BA-8A18C18F5E48}"/>
    <cellStyle name="Comma 11 4 2 11 5 2 2" xfId="24757" xr:uid="{4A58E10C-365A-4096-AC61-D50561DFFF68}"/>
    <cellStyle name="Comma 11 4 2 11 5 3" xfId="17297" xr:uid="{B7AAB0C2-C36E-45DF-84D7-C14713FCF2E7}"/>
    <cellStyle name="Comma 11 4 2 11 6" xfId="9065" xr:uid="{6D036C21-51AB-49F4-86F1-4C4F78E3F2C7}"/>
    <cellStyle name="Comma 11 4 2 11 6 2" xfId="13238" xr:uid="{AB3D9C8C-994E-41E5-9E58-48C3DE6B757F}"/>
    <cellStyle name="Comma 11 4 2 11 6 2 2" xfId="28415" xr:uid="{27B4A13E-23C9-4E10-9351-8E5EB55E28F9}"/>
    <cellStyle name="Comma 11 4 2 11 6 3" xfId="24243" xr:uid="{2744AD2F-9436-47B5-BE43-CE4E36148D7D}"/>
    <cellStyle name="Comma 11 4 2 11 7" xfId="5405" xr:uid="{6B98F5E2-E52F-4027-A872-F0E5249D62D5}"/>
    <cellStyle name="Comma 11 4 2 11 7 2" xfId="20585" xr:uid="{34CD3840-C10A-444D-9C27-4E8990A647BB}"/>
    <cellStyle name="Comma 11 4 2 11 8" xfId="16783" xr:uid="{B22BF150-C9CE-474C-B6E2-00D3DB74AB8D}"/>
    <cellStyle name="Comma 11 4 2 12" xfId="1651" xr:uid="{FAF23395-073D-4B8E-9064-FBADB21194A0}"/>
    <cellStyle name="Comma 11 4 2 12 2" xfId="3070" xr:uid="{4FA604D6-3D46-4504-BE65-ADCCFF7B9301}"/>
    <cellStyle name="Comma 11 4 2 12 2 2" xfId="10561" xr:uid="{20F404FE-EC35-4F6D-9D2E-316AB8D67BCE}"/>
    <cellStyle name="Comma 11 4 2 12 2 2 2" xfId="14107" xr:uid="{A3A0CD4F-7E60-4FE8-814C-A96134422C9B}"/>
    <cellStyle name="Comma 11 4 2 12 2 2 2 2" xfId="29284" xr:uid="{4A889F67-86A7-415F-B686-D13E99A7B4FE}"/>
    <cellStyle name="Comma 11 4 2 12 2 2 3" xfId="25739" xr:uid="{857A52B7-485A-48C0-A9FB-E2B34D050CA0}"/>
    <cellStyle name="Comma 11 4 2 12 2 3" xfId="6387" xr:uid="{7233CE6F-93AB-4BD0-BF19-3FAEE865161F}"/>
    <cellStyle name="Comma 11 4 2 12 2 3 2" xfId="21567" xr:uid="{949E5E2F-C97D-4491-97DC-AF34E4F362E2}"/>
    <cellStyle name="Comma 11 4 2 12 2 4" xfId="18279" xr:uid="{813B2DDC-3C0A-47BD-92FD-8C42996EEFE5}"/>
    <cellStyle name="Comma 11 4 2 12 3" xfId="3957" xr:uid="{FD018F6A-3E60-41C1-B086-6207C191298D}"/>
    <cellStyle name="Comma 11 4 2 12 3 2" xfId="11445" xr:uid="{0195E6A7-BEB4-4164-89C5-9242EDD99D08}"/>
    <cellStyle name="Comma 11 4 2 12 3 2 2" xfId="14991" xr:uid="{7FD823AB-B5DF-4A48-A37A-BFA9237FE573}"/>
    <cellStyle name="Comma 11 4 2 12 3 2 2 2" xfId="30168" xr:uid="{A7CD3235-73A9-4807-B34D-351408188C2F}"/>
    <cellStyle name="Comma 11 4 2 12 3 2 3" xfId="26623" xr:uid="{EA422C9D-7DD2-4249-A178-01E98889DCE8}"/>
    <cellStyle name="Comma 11 4 2 12 3 3" xfId="7271" xr:uid="{66F1EF9E-8729-46D1-86E9-D975621ECE38}"/>
    <cellStyle name="Comma 11 4 2 12 3 3 2" xfId="22451" xr:uid="{38AEBB32-AB29-4CC4-A96F-5F217EBC49A5}"/>
    <cellStyle name="Comma 11 4 2 12 3 4" xfId="19163" xr:uid="{771483B7-C86B-43AF-8473-89049B8748C4}"/>
    <cellStyle name="Comma 11 4 2 12 4" xfId="4263" xr:uid="{45167E89-500E-46FB-AC2A-5257CD04D78F}"/>
    <cellStyle name="Comma 11 4 2 12 4 2" xfId="11748" xr:uid="{57A484A6-9B07-4CF7-A1E5-7394B075A98C}"/>
    <cellStyle name="Comma 11 4 2 12 4 2 2" xfId="15294" xr:uid="{4871A28F-61FB-4402-B1B2-704E35B3FC55}"/>
    <cellStyle name="Comma 11 4 2 12 4 2 2 2" xfId="30471" xr:uid="{88F7F6BD-3EB3-46D3-9066-5F40CEF36580}"/>
    <cellStyle name="Comma 11 4 2 12 4 2 3" xfId="26926" xr:uid="{806F627B-8747-4692-9E24-561AC9DA5A21}"/>
    <cellStyle name="Comma 11 4 2 12 4 3" xfId="7574" xr:uid="{E3A932F1-8C10-4509-B7A1-08C3ED0EE10C}"/>
    <cellStyle name="Comma 11 4 2 12 4 3 2" xfId="22754" xr:uid="{847C3CAD-064F-49BE-9B8C-909EB246A54E}"/>
    <cellStyle name="Comma 11 4 2 12 4 4" xfId="19466" xr:uid="{4CF7E36E-BC9A-43C2-9BD8-D3BA5AF1F050}"/>
    <cellStyle name="Comma 11 4 2 12 5" xfId="2180" xr:uid="{57780570-F9C3-4F4D-97FF-A03B256CF1A1}"/>
    <cellStyle name="Comma 11 4 2 12 5 2" xfId="9677" xr:uid="{6CB0C7D9-B753-417F-BB2B-C1BFFA10C8B2}"/>
    <cellStyle name="Comma 11 4 2 12 5 2 2" xfId="24855" xr:uid="{DF7E4310-26F5-4171-B705-979CF6DEEB8D}"/>
    <cellStyle name="Comma 11 4 2 12 5 3" xfId="17395" xr:uid="{74E36381-1150-4B95-BED0-F8EFAB483BB4}"/>
    <cellStyle name="Comma 11 4 2 12 6" xfId="9163" xr:uid="{F7C7718F-70A4-47DF-B995-E6E76A4A8ADF}"/>
    <cellStyle name="Comma 11 4 2 12 6 2" xfId="13336" xr:uid="{36EF6690-52B3-418C-BDDF-F22C028691B6}"/>
    <cellStyle name="Comma 11 4 2 12 6 2 2" xfId="28513" xr:uid="{59627DA4-6D2B-4A6B-8CC5-8EEF506CCBDB}"/>
    <cellStyle name="Comma 11 4 2 12 6 3" xfId="24341" xr:uid="{AFC79073-CE06-4604-A59A-CD94898E50E8}"/>
    <cellStyle name="Comma 11 4 2 12 7" xfId="5503" xr:uid="{E8F7AE63-2A08-4E77-AE57-16E4CD7E8E93}"/>
    <cellStyle name="Comma 11 4 2 12 7 2" xfId="20683" xr:uid="{251CCEFD-07A9-4312-BC26-76D1CBB1EBFB}"/>
    <cellStyle name="Comma 11 4 2 12 8" xfId="16881" xr:uid="{C2566439-742A-440A-B124-8C4D48BBA7A2}"/>
    <cellStyle name="Comma 11 4 2 13" xfId="2280" xr:uid="{F1E17DD8-833C-4B3D-A793-72D85289DCE7}"/>
    <cellStyle name="Comma 11 4 2 13 2" xfId="9775" xr:uid="{83976DAA-B882-4A95-ACB7-CF5CBC4B4117}"/>
    <cellStyle name="Comma 11 4 2 13 2 2" xfId="13434" xr:uid="{7F1D3998-FFE0-42A9-9EEB-8A5E433405FA}"/>
    <cellStyle name="Comma 11 4 2 13 2 2 2" xfId="28611" xr:uid="{5B6DCA7C-75B5-42C4-9EEE-B66FCC30F018}"/>
    <cellStyle name="Comma 11 4 2 13 2 3" xfId="24953" xr:uid="{1853A23C-FB97-497D-AF17-D6C3F4EB50A3}"/>
    <cellStyle name="Comma 11 4 2 13 3" xfId="5601" xr:uid="{FA06C7CB-57DD-4783-B29B-B68EA3E31C58}"/>
    <cellStyle name="Comma 11 4 2 13 3 2" xfId="20781" xr:uid="{43728A9B-3748-4A0A-BBDA-B46B5F115299}"/>
    <cellStyle name="Comma 11 4 2 13 4" xfId="17493" xr:uid="{2B1271A4-0B38-4E43-934E-F3993D76D287}"/>
    <cellStyle name="Comma 11 4 2 14" xfId="3170" xr:uid="{1B2F65B5-58A0-4145-930D-F0BC8E0794A1}"/>
    <cellStyle name="Comma 11 4 2 14 2" xfId="10659" xr:uid="{1D993F2F-68D7-4FE3-9F80-1085C127EE6B}"/>
    <cellStyle name="Comma 11 4 2 14 2 2" xfId="14205" xr:uid="{52A369E6-014B-4414-820F-5B2E2A8CB426}"/>
    <cellStyle name="Comma 11 4 2 14 2 2 2" xfId="29382" xr:uid="{DD84738D-4550-40EB-9B34-E98E10F3C3A4}"/>
    <cellStyle name="Comma 11 4 2 14 2 3" xfId="25837" xr:uid="{255ECEC6-BF33-4CB6-8E5B-6F54BD9767DC}"/>
    <cellStyle name="Comma 11 4 2 14 3" xfId="6485" xr:uid="{405C0C1C-4D9A-4188-AE21-FDB430F5799C}"/>
    <cellStyle name="Comma 11 4 2 14 3 2" xfId="21665" xr:uid="{6534459B-78EC-4EF3-B3CB-92C3114BCBD0}"/>
    <cellStyle name="Comma 11 4 2 14 4" xfId="18377" xr:uid="{17856F86-D656-4951-BC71-1C0C5ABF4677}"/>
    <cellStyle name="Comma 11 4 2 15" xfId="4264" xr:uid="{D23F2873-AC86-4F4F-9FD1-1C9B1E56E7F0}"/>
    <cellStyle name="Comma 11 4 2 15 2" xfId="11749" xr:uid="{32FE9D88-46B5-42C3-BDE3-0294AD6872F9}"/>
    <cellStyle name="Comma 11 4 2 15 2 2" xfId="15295" xr:uid="{400991F5-8016-41D6-850D-3533714F791E}"/>
    <cellStyle name="Comma 11 4 2 15 2 2 2" xfId="30472" xr:uid="{0D8C1932-D833-4D94-B852-54B04F9458CC}"/>
    <cellStyle name="Comma 11 4 2 15 2 3" xfId="26927" xr:uid="{DE775A8A-261A-4A65-ADB3-85170B2C0F54}"/>
    <cellStyle name="Comma 11 4 2 15 3" xfId="7575" xr:uid="{200DB4E7-DB66-4E08-905D-545236AA7E15}"/>
    <cellStyle name="Comma 11 4 2 15 3 2" xfId="22755" xr:uid="{91C35401-24C3-4EF8-83DC-67BEA5105763}"/>
    <cellStyle name="Comma 11 4 2 15 4" xfId="19467" xr:uid="{11665117-0DEA-4D89-A08E-492D69E98854}"/>
    <cellStyle name="Comma 11 4 2 16" xfId="8376" xr:uid="{FC700156-04FB-4EE4-B70A-FBAD3F953384}"/>
    <cellStyle name="Comma 11 4 2 16 2" xfId="12550" xr:uid="{A9661BFD-29EE-46A4-8BB2-95C5FE3F9A20}"/>
    <cellStyle name="Comma 11 4 2 16 2 2" xfId="27727" xr:uid="{3D04A3C2-8144-4B8E-8BC7-22A4D77602C4}"/>
    <cellStyle name="Comma 11 4 2 16 3" xfId="23555" xr:uid="{9F80CE6E-D5EC-4F1E-8B2B-43A08115400E}"/>
    <cellStyle name="Comma 11 4 2 17" xfId="16095" xr:uid="{9571EA19-F3EA-4886-8B0E-7280E73F2830}"/>
    <cellStyle name="Comma 11 4 2 18" xfId="31437" xr:uid="{A4E3BBAE-120C-44AD-8963-7F6287F089F1}"/>
    <cellStyle name="Comma 11 4 2 19" xfId="697" xr:uid="{715B7DE3-9779-4E81-8FCA-D6F201DF9812}"/>
    <cellStyle name="Comma 11 4 2 2" xfId="595" xr:uid="{40E72CDA-1AF8-49B2-9E43-6F6512874B67}"/>
    <cellStyle name="Comma 11 4 2 2 10" xfId="2305" xr:uid="{35A70C53-5C78-4588-AA0D-A3D01FF1F1AD}"/>
    <cellStyle name="Comma 11 4 2 2 10 2" xfId="9800" xr:uid="{4F8FEB90-F9A3-44D8-AB91-46879E1730E7}"/>
    <cellStyle name="Comma 11 4 2 2 10 2 2" xfId="13459" xr:uid="{E110EC52-89C7-4DC9-816C-D0DF47D0CD4F}"/>
    <cellStyle name="Comma 11 4 2 2 10 2 2 2" xfId="28636" xr:uid="{F5E46994-418C-4D1F-AAE3-668243AA2009}"/>
    <cellStyle name="Comma 11 4 2 2 10 2 3" xfId="24978" xr:uid="{C29D02B4-11CA-48C6-9FAA-19F578AE018D}"/>
    <cellStyle name="Comma 11 4 2 2 10 3" xfId="5626" xr:uid="{93E03EE6-FE23-4CEB-A1F6-BD260036F9D0}"/>
    <cellStyle name="Comma 11 4 2 2 10 3 2" xfId="20806" xr:uid="{ECA507A4-7E6B-4DD1-A796-7FBDF8F88122}"/>
    <cellStyle name="Comma 11 4 2 2 10 4" xfId="17518" xr:uid="{5DB5D259-4E79-4343-B13F-1254AF632FBF}"/>
    <cellStyle name="Comma 11 4 2 2 11" xfId="3195" xr:uid="{19BD4DB9-FB35-48D4-829C-130BA27CF6DE}"/>
    <cellStyle name="Comma 11 4 2 2 11 2" xfId="10684" xr:uid="{99A62CEF-9780-484C-84F2-4F417B79C092}"/>
    <cellStyle name="Comma 11 4 2 2 11 2 2" xfId="14230" xr:uid="{3B067805-7E33-4DF4-A6D9-D001E63CF3CD}"/>
    <cellStyle name="Comma 11 4 2 2 11 2 2 2" xfId="29407" xr:uid="{D3A27BA8-26EE-4525-BEA7-725A387215CC}"/>
    <cellStyle name="Comma 11 4 2 2 11 2 3" xfId="25862" xr:uid="{F201B4BF-B953-4DD0-806B-CC1DA6DD21DF}"/>
    <cellStyle name="Comma 11 4 2 2 11 3" xfId="6510" xr:uid="{9A77D31C-1F4A-4599-859D-C902D0319C34}"/>
    <cellStyle name="Comma 11 4 2 2 11 3 2" xfId="21690" xr:uid="{40EC04D1-AC62-4CCA-8B76-EC86C1B03FFD}"/>
    <cellStyle name="Comma 11 4 2 2 11 4" xfId="18402" xr:uid="{E4C65EB5-F1EE-44D0-ACB2-0E257DF6A5FF}"/>
    <cellStyle name="Comma 11 4 2 2 12" xfId="4265" xr:uid="{975C94CC-60E6-418A-A5BF-C2C4C0F3AB38}"/>
    <cellStyle name="Comma 11 4 2 2 12 2" xfId="11750" xr:uid="{E71B1A01-7E54-40C0-87C4-C20F9C056217}"/>
    <cellStyle name="Comma 11 4 2 2 12 2 2" xfId="15296" xr:uid="{8F35AC11-FF56-4699-8B76-FD37363810D0}"/>
    <cellStyle name="Comma 11 4 2 2 12 2 2 2" xfId="30473" xr:uid="{F58C47B5-4763-442F-B1BE-5B131203A265}"/>
    <cellStyle name="Comma 11 4 2 2 12 2 3" xfId="26928" xr:uid="{EE9DE4E5-20C3-4978-A288-4921EF8BF45F}"/>
    <cellStyle name="Comma 11 4 2 2 12 3" xfId="7576" xr:uid="{CEEF002E-514F-4D7C-9599-A00C03692AC2}"/>
    <cellStyle name="Comma 11 4 2 2 12 3 2" xfId="22756" xr:uid="{F5333F5C-309E-439E-8070-9FAC2CA4C769}"/>
    <cellStyle name="Comma 11 4 2 2 12 4" xfId="19468" xr:uid="{69349620-8320-4DC5-AA0C-215FB264AA94}"/>
    <cellStyle name="Comma 11 4 2 2 13" xfId="8401" xr:uid="{E3DEC69E-E5A7-4143-9364-B7D0EE37E2EA}"/>
    <cellStyle name="Comma 11 4 2 2 13 2" xfId="12575" xr:uid="{3B3E3D1F-0D72-4AAC-B8CB-A492D6C866DE}"/>
    <cellStyle name="Comma 11 4 2 2 13 2 2" xfId="27752" xr:uid="{A677D0F9-7E10-4333-BCC3-F979200725C8}"/>
    <cellStyle name="Comma 11 4 2 2 13 3" xfId="23580" xr:uid="{E4EB3AD7-8BBC-46A9-BFC1-4F62C93D9243}"/>
    <cellStyle name="Comma 11 4 2 2 14" xfId="16120" xr:uid="{8C109D2C-7EF9-44F3-8686-7CA1747B2985}"/>
    <cellStyle name="Comma 11 4 2 2 15" xfId="31462" xr:uid="{F6D9ACAA-86B6-465C-A963-8562C2FFE7D5}"/>
    <cellStyle name="Comma 11 4 2 2 16" xfId="732" xr:uid="{BA8ACA43-9E2E-451C-B4AC-D81AE2A194DC}"/>
    <cellStyle name="Comma 11 4 2 2 2" xfId="784" xr:uid="{1483894B-4281-42F3-96DD-CBBD366C0752}"/>
    <cellStyle name="Comma 11 4 2 2 2 10" xfId="8450" xr:uid="{4A9F41B8-824F-4B5B-9773-F4C1EC4DD5FB}"/>
    <cellStyle name="Comma 11 4 2 2 2 10 2" xfId="12624" xr:uid="{C3BE2BAE-0E9D-40C0-9067-785A93B1D787}"/>
    <cellStyle name="Comma 11 4 2 2 2 10 2 2" xfId="27801" xr:uid="{AF69AF1D-DE58-458A-B982-8E9B8A8EBB7F}"/>
    <cellStyle name="Comma 11 4 2 2 2 10 3" xfId="23629" xr:uid="{DB19E104-FA85-44E1-9EB6-0BE081A14BF3}"/>
    <cellStyle name="Comma 11 4 2 2 2 11" xfId="16169" xr:uid="{7E9D6C11-3A9E-4880-9D76-0C97A79892F4}"/>
    <cellStyle name="Comma 11 4 2 2 2 12" xfId="31511" xr:uid="{C917B230-1E8C-4AD9-87F8-84CFEEB48F7F}"/>
    <cellStyle name="Comma 11 4 2 2 2 2" xfId="961" xr:uid="{55E597DF-5DF1-4CE9-AF55-4DE963FDC876}"/>
    <cellStyle name="Comma 11 4 2 2 2 2 10" xfId="16291" xr:uid="{832E5B89-E75C-4BEE-B7FD-2E57D9157048}"/>
    <cellStyle name="Comma 11 4 2 2 2 2 11" xfId="31381" xr:uid="{670FCDE3-9ACB-4299-87FF-1E8C83CA94D2}"/>
    <cellStyle name="Comma 11 4 2 2 2 2 12" xfId="31731" xr:uid="{625DE6AC-DBB3-4DA4-A1C6-BB0431010903}"/>
    <cellStyle name="Comma 11 4 2 2 2 2 2" xfId="1322" xr:uid="{9255E949-AFEA-47BF-887E-45E2371F8265}"/>
    <cellStyle name="Comma 11 4 2 2 2 2 2 2" xfId="3639" xr:uid="{98BCA78F-E22E-4ECC-AD11-77BBE3BAD44B}"/>
    <cellStyle name="Comma 11 4 2 2 2 2 2 2 2" xfId="11127" xr:uid="{DF8346A6-CE20-4F90-93F9-75563256BD66}"/>
    <cellStyle name="Comma 11 4 2 2 2 2 2 2 2 2" xfId="14673" xr:uid="{2D7F2ADD-3E82-42B1-A79C-3A9D0200D844}"/>
    <cellStyle name="Comma 11 4 2 2 2 2 2 2 2 2 2" xfId="29850" xr:uid="{15595757-4555-4EA4-B903-AC9C2DF5F961}"/>
    <cellStyle name="Comma 11 4 2 2 2 2 2 2 2 3" xfId="26305" xr:uid="{3B8EB84F-71C6-4BED-B1A2-351B88C5181E}"/>
    <cellStyle name="Comma 11 4 2 2 2 2 2 2 3" xfId="6953" xr:uid="{06B2FB71-7E0B-4B86-8D2F-E544DA78AF93}"/>
    <cellStyle name="Comma 11 4 2 2 2 2 2 2 3 2" xfId="22133" xr:uid="{07D45DCD-06A0-4CAC-8ABD-61ADAF2245BB}"/>
    <cellStyle name="Comma 11 4 2 2 2 2 2 2 4" xfId="18845" xr:uid="{F472B037-7044-4FDC-A3AD-F05A4C2AEEAA}"/>
    <cellStyle name="Comma 11 4 2 2 2 2 2 3" xfId="4266" xr:uid="{A07A2DA5-D9EF-4942-9B59-1561F61436AC}"/>
    <cellStyle name="Comma 11 4 2 2 2 2 2 3 2" xfId="11751" xr:uid="{CD494FD3-E31D-4A62-8665-09E0244D80D5}"/>
    <cellStyle name="Comma 11 4 2 2 2 2 2 3 2 2" xfId="15297" xr:uid="{85511CCD-ADC2-4D16-9DDC-41764FB94542}"/>
    <cellStyle name="Comma 11 4 2 2 2 2 2 3 2 2 2" xfId="30474" xr:uid="{51D2E5F5-9252-49C0-9004-ED8DE60C4395}"/>
    <cellStyle name="Comma 11 4 2 2 2 2 2 3 2 3" xfId="26929" xr:uid="{7BD4E8C3-12B6-46A1-9BA3-557946F68812}"/>
    <cellStyle name="Comma 11 4 2 2 2 2 2 3 3" xfId="7577" xr:uid="{C8710BB5-67AB-4A1F-90A5-EC7A7F6EC4BB}"/>
    <cellStyle name="Comma 11 4 2 2 2 2 2 3 3 2" xfId="22757" xr:uid="{66C9298A-2393-4BC1-BF38-575CEFD63C2D}"/>
    <cellStyle name="Comma 11 4 2 2 2 2 2 3 4" xfId="19469" xr:uid="{60991D25-30BA-4EB8-8421-2D0C58CAE549}"/>
    <cellStyle name="Comma 11 4 2 2 2 2 2 4" xfId="2752" xr:uid="{62702B58-A4B0-4F3B-B176-B9AA64EE0791}"/>
    <cellStyle name="Comma 11 4 2 2 2 2 2 4 2" xfId="10243" xr:uid="{E22349E0-BADF-4595-B9B3-1DD6EE07EEEF}"/>
    <cellStyle name="Comma 11 4 2 2 2 2 2 4 2 2" xfId="25421" xr:uid="{6A383EA9-6375-4CF3-9B11-933152A73DEC}"/>
    <cellStyle name="Comma 11 4 2 2 2 2 2 4 3" xfId="17961" xr:uid="{05988967-6F1C-4B5F-A2DB-7A69A7FB8E3D}"/>
    <cellStyle name="Comma 11 4 2 2 2 2 2 5" xfId="8845" xr:uid="{F54E43AE-DECE-4937-ACD9-231272B2245D}"/>
    <cellStyle name="Comma 11 4 2 2 2 2 2 5 2" xfId="13018" xr:uid="{4C3E01AF-A858-4D9F-B1AD-099C78C0571C}"/>
    <cellStyle name="Comma 11 4 2 2 2 2 2 5 2 2" xfId="28195" xr:uid="{388DFACE-F78C-427A-85B6-03B3D34055BB}"/>
    <cellStyle name="Comma 11 4 2 2 2 2 2 5 3" xfId="24023" xr:uid="{ED636228-07AE-4DB9-979E-D522776FB2E6}"/>
    <cellStyle name="Comma 11 4 2 2 2 2 2 6" xfId="6069" xr:uid="{92F8DF3C-6106-4027-845D-55AB997C8C20}"/>
    <cellStyle name="Comma 11 4 2 2 2 2 2 6 2" xfId="21249" xr:uid="{E6C52EE7-EE33-4988-A885-326AC3420548}"/>
    <cellStyle name="Comma 11 4 2 2 2 2 2 7" xfId="16563" xr:uid="{41DD19F4-6CC1-4C26-A1B2-4ACC447361BE}"/>
    <cellStyle name="Comma 11 4 2 2 2 2 3" xfId="2479" xr:uid="{A67ABC41-00C8-44BD-A040-FEEE535B67BC}"/>
    <cellStyle name="Comma 11 4 2 2 2 2 3 2" xfId="9971" xr:uid="{99B08E1C-3741-4FA2-A117-2352AB247597}"/>
    <cellStyle name="Comma 11 4 2 2 2 2 3 2 2" xfId="13630" xr:uid="{1E4B1EAC-9E95-4D8A-AD94-D85D371230BF}"/>
    <cellStyle name="Comma 11 4 2 2 2 2 3 2 2 2" xfId="28807" xr:uid="{7F3EA4DA-D423-4BE6-A326-E2E74A8555DA}"/>
    <cellStyle name="Comma 11 4 2 2 2 2 3 2 3" xfId="25149" xr:uid="{86AD8164-1415-4408-B6B4-18009F755B0E}"/>
    <cellStyle name="Comma 11 4 2 2 2 2 3 3" xfId="5797" xr:uid="{68D23E5F-9B77-4854-8CA2-AF10911D765E}"/>
    <cellStyle name="Comma 11 4 2 2 2 2 3 3 2" xfId="20977" xr:uid="{C9B7656A-E259-4730-B774-58EEAD7313D8}"/>
    <cellStyle name="Comma 11 4 2 2 2 2 3 4" xfId="17689" xr:uid="{CDF27096-A8D1-47E5-BE03-78892765F383}"/>
    <cellStyle name="Comma 11 4 2 2 2 2 4" xfId="3367" xr:uid="{D4D94BA5-F22A-44F8-A23D-CA36C0023C69}"/>
    <cellStyle name="Comma 11 4 2 2 2 2 4 2" xfId="10855" xr:uid="{F82D5E39-B1D5-49AC-A818-89A07800D859}"/>
    <cellStyle name="Comma 11 4 2 2 2 2 4 2 2" xfId="14401" xr:uid="{66E20D16-F321-4DA6-A869-F6B9EA0A5AC3}"/>
    <cellStyle name="Comma 11 4 2 2 2 2 4 2 2 2" xfId="29578" xr:uid="{E28ED165-AD71-45D2-A80C-806A9B6B2E03}"/>
    <cellStyle name="Comma 11 4 2 2 2 2 4 2 3" xfId="26033" xr:uid="{A4D95191-8B60-4987-89ED-0E47150A99D8}"/>
    <cellStyle name="Comma 11 4 2 2 2 2 4 3" xfId="6681" xr:uid="{CA3B6F8B-44BB-4BAD-8013-1D69FD5F1E4B}"/>
    <cellStyle name="Comma 11 4 2 2 2 2 4 3 2" xfId="21861" xr:uid="{0C8AF5F0-16AB-4C4D-BABE-E8E5F5E1960E}"/>
    <cellStyle name="Comma 11 4 2 2 2 2 4 4" xfId="18573" xr:uid="{2155D8FA-43E2-46DC-8F6A-9ECA0B61E0C4}"/>
    <cellStyle name="Comma 11 4 2 2 2 2 5" xfId="4267" xr:uid="{E5114EAC-354F-4A38-997B-91CED79824BC}"/>
    <cellStyle name="Comma 11 4 2 2 2 2 5 2" xfId="11752" xr:uid="{106614FB-09E8-4626-8C6A-D56797E9FEF0}"/>
    <cellStyle name="Comma 11 4 2 2 2 2 5 2 2" xfId="15298" xr:uid="{5DC9AE1B-E406-48E0-AB32-F81A443EACB4}"/>
    <cellStyle name="Comma 11 4 2 2 2 2 5 2 2 2" xfId="30475" xr:uid="{51E74BCA-ACBF-433A-90B1-EA2159DA033B}"/>
    <cellStyle name="Comma 11 4 2 2 2 2 5 2 3" xfId="26930" xr:uid="{E2019825-C29C-4438-A90E-22BE570865E1}"/>
    <cellStyle name="Comma 11 4 2 2 2 2 5 3" xfId="7578" xr:uid="{A30B01D9-3F23-415A-95E0-8AB8786E68BD}"/>
    <cellStyle name="Comma 11 4 2 2 2 2 5 3 2" xfId="22758" xr:uid="{2CD394FD-26EE-4FD8-BA15-CEC4E0B7C9F2}"/>
    <cellStyle name="Comma 11 4 2 2 2 2 5 4" xfId="19470" xr:uid="{85D900FB-625E-4A5B-8CC1-F2470CD69698}"/>
    <cellStyle name="Comma 11 4 2 2 2 2 6" xfId="5041" xr:uid="{528EF41B-AECE-49C5-A4C3-A3E30A993613}"/>
    <cellStyle name="Comma 11 4 2 2 2 2 6 2" xfId="12525" xr:uid="{73653371-0A6D-4FCD-951F-505CFD98064F}"/>
    <cellStyle name="Comma 11 4 2 2 2 2 6 2 2" xfId="16071" xr:uid="{A601B78C-5A7D-4AE7-9389-80FC938F8811}"/>
    <cellStyle name="Comma 11 4 2 2 2 2 6 2 2 2" xfId="31248" xr:uid="{7A162A86-310A-4214-B17C-5911142CD302}"/>
    <cellStyle name="Comma 11 4 2 2 2 2 6 2 3" xfId="27703" xr:uid="{964FD5C9-05C1-4CBE-A08A-A288673C48F5}"/>
    <cellStyle name="Comma 11 4 2 2 2 2 6 3" xfId="8351" xr:uid="{36826C3A-1A3D-4F42-929F-F33298509EFE}"/>
    <cellStyle name="Comma 11 4 2 2 2 2 6 3 2" xfId="23531" xr:uid="{833B5A37-DB2F-4C86-828C-F5B45346B8D3}"/>
    <cellStyle name="Comma 11 4 2 2 2 2 6 4" xfId="20243" xr:uid="{E86244EF-2C6E-43BB-9ECF-B719CA6AA92E}"/>
    <cellStyle name="Comma 11 4 2 2 2 2 7" xfId="1862" xr:uid="{A27C4532-22A6-4AC3-941F-3BE7FF93833D}"/>
    <cellStyle name="Comma 11 4 2 2 2 2 7 2" xfId="9359" xr:uid="{8DEEE428-9046-4D29-A5EC-104474F5A5F3}"/>
    <cellStyle name="Comma 11 4 2 2 2 2 7 2 2" xfId="24537" xr:uid="{1D9BB9FA-513A-4AC2-BB84-28B6EDAE21AE}"/>
    <cellStyle name="Comma 11 4 2 2 2 2 7 3" xfId="17077" xr:uid="{65B0FCF7-D9EE-4601-81BA-682A18D23713}"/>
    <cellStyle name="Comma 11 4 2 2 2 2 8" xfId="8573" xr:uid="{607ED069-2F1A-44C2-A3FB-D4A8B06FB30E}"/>
    <cellStyle name="Comma 11 4 2 2 2 2 8 2" xfId="12746" xr:uid="{B6655418-FB25-43D2-B014-CEF8B4D19CF3}"/>
    <cellStyle name="Comma 11 4 2 2 2 2 8 2 2" xfId="27923" xr:uid="{3410052D-B280-4952-8F5A-DA62C554C5F7}"/>
    <cellStyle name="Comma 11 4 2 2 2 2 8 3" xfId="23751" xr:uid="{BB4B7CC4-B767-41FD-A4A8-3E2C07395890}"/>
    <cellStyle name="Comma 11 4 2 2 2 2 9" xfId="5185" xr:uid="{B391134C-AE89-4B48-843D-66541F021AC9}"/>
    <cellStyle name="Comma 11 4 2 2 2 2 9 2" xfId="20365" xr:uid="{7413A3B7-8B13-432B-8E0F-FCD3EDCA0656}"/>
    <cellStyle name="Comma 11 4 2 2 2 3" xfId="1064" xr:uid="{D92319B3-3ABB-4A8B-ADA6-FD541A367A00}"/>
    <cellStyle name="Comma 11 4 2 2 2 3 10" xfId="31609" xr:uid="{6195CAC7-D241-4F83-90ED-9D33D775FFB0}"/>
    <cellStyle name="Comma 11 4 2 2 2 3 2" xfId="1424" xr:uid="{527CBE02-BF97-47A8-B97B-CF03B03DAD73}"/>
    <cellStyle name="Comma 11 4 2 2 2 3 2 2" xfId="3737" xr:uid="{BFA3237C-7967-4C1D-B250-C98637A76D93}"/>
    <cellStyle name="Comma 11 4 2 2 2 3 2 2 2" xfId="11225" xr:uid="{80DADDA5-21D1-4DBB-A135-75CF66736F1A}"/>
    <cellStyle name="Comma 11 4 2 2 2 3 2 2 2 2" xfId="14771" xr:uid="{274D4A51-28C8-4293-B04D-6C2E448E17AF}"/>
    <cellStyle name="Comma 11 4 2 2 2 3 2 2 2 2 2" xfId="29948" xr:uid="{3B464D3D-6255-4773-B5AC-CFC8312AF129}"/>
    <cellStyle name="Comma 11 4 2 2 2 3 2 2 2 3" xfId="26403" xr:uid="{7C2EF206-040D-4F14-8B2C-BDC3AE5EFCEA}"/>
    <cellStyle name="Comma 11 4 2 2 2 3 2 2 3" xfId="7051" xr:uid="{7C3ACF9F-088E-43D6-ABCA-0DA45ED54D77}"/>
    <cellStyle name="Comma 11 4 2 2 2 3 2 2 3 2" xfId="22231" xr:uid="{17732856-6072-44DC-BE91-07179686B89D}"/>
    <cellStyle name="Comma 11 4 2 2 2 3 2 2 4" xfId="18943" xr:uid="{D70159F9-E435-4C4E-97DC-F8C2B380ABD5}"/>
    <cellStyle name="Comma 11 4 2 2 2 3 2 3" xfId="4268" xr:uid="{CE893380-4868-4E31-B1FC-8499FF0070DB}"/>
    <cellStyle name="Comma 11 4 2 2 2 3 2 3 2" xfId="11753" xr:uid="{A61943A0-A5EF-489E-80B8-1F54F2F8A039}"/>
    <cellStyle name="Comma 11 4 2 2 2 3 2 3 2 2" xfId="15299" xr:uid="{4A85629D-4A98-4894-8DBB-F065FCCBAED3}"/>
    <cellStyle name="Comma 11 4 2 2 2 3 2 3 2 2 2" xfId="30476" xr:uid="{E7060297-9D01-4B7A-8DD5-0F90A7596528}"/>
    <cellStyle name="Comma 11 4 2 2 2 3 2 3 2 3" xfId="26931" xr:uid="{34D83A1F-2633-4683-AB44-F417AD8E0149}"/>
    <cellStyle name="Comma 11 4 2 2 2 3 2 3 3" xfId="7579" xr:uid="{FD6394FC-3DB6-4CEB-954D-D98E4DCBD7FB}"/>
    <cellStyle name="Comma 11 4 2 2 2 3 2 3 3 2" xfId="22759" xr:uid="{3A0D13C1-8FA1-42A9-BC20-9E008C08DA91}"/>
    <cellStyle name="Comma 11 4 2 2 2 3 2 3 4" xfId="19471" xr:uid="{C588C525-2C18-465C-870F-A81D7A1067E3}"/>
    <cellStyle name="Comma 11 4 2 2 2 3 2 4" xfId="2850" xr:uid="{AB36B7FB-5411-43D4-9B9B-08544B143D4E}"/>
    <cellStyle name="Comma 11 4 2 2 2 3 2 4 2" xfId="10341" xr:uid="{B6FB3CF2-EC3F-4AEC-86A2-7525B595DA71}"/>
    <cellStyle name="Comma 11 4 2 2 2 3 2 4 2 2" xfId="25519" xr:uid="{9870012E-D69B-424D-8D2A-F2C056EDC191}"/>
    <cellStyle name="Comma 11 4 2 2 2 3 2 4 3" xfId="18059" xr:uid="{23296B10-7881-428B-8623-B03F42D55099}"/>
    <cellStyle name="Comma 11 4 2 2 2 3 2 5" xfId="8943" xr:uid="{16C589C6-E355-4033-B446-6876A79548E7}"/>
    <cellStyle name="Comma 11 4 2 2 2 3 2 5 2" xfId="13116" xr:uid="{80882D1C-5333-464C-8D8B-76167F30D034}"/>
    <cellStyle name="Comma 11 4 2 2 2 3 2 5 2 2" xfId="28293" xr:uid="{B72DD090-ABD9-487B-A6A7-CCF534273BB0}"/>
    <cellStyle name="Comma 11 4 2 2 2 3 2 5 3" xfId="24121" xr:uid="{8DC7D071-2585-48F6-994C-805F6C560D60}"/>
    <cellStyle name="Comma 11 4 2 2 2 3 2 6" xfId="6167" xr:uid="{A410F768-A1D7-40CF-95C1-7A93EB489001}"/>
    <cellStyle name="Comma 11 4 2 2 2 3 2 6 2" xfId="21347" xr:uid="{92BB1BC9-9130-4475-8AE4-77EEB127305D}"/>
    <cellStyle name="Comma 11 4 2 2 2 3 2 7" xfId="16661" xr:uid="{E2AA571B-2AA9-449B-9F17-0260C3C2A95A}"/>
    <cellStyle name="Comma 11 4 2 2 2 3 3" xfId="2577" xr:uid="{C380756E-063F-4467-8E91-6527448F0040}"/>
    <cellStyle name="Comma 11 4 2 2 2 3 3 2" xfId="10069" xr:uid="{AB0F0F48-1FB8-41C5-BF15-FED0F3751A41}"/>
    <cellStyle name="Comma 11 4 2 2 2 3 3 2 2" xfId="13728" xr:uid="{640E14E0-1D17-4CB7-86C0-43C3D805E2F9}"/>
    <cellStyle name="Comma 11 4 2 2 2 3 3 2 2 2" xfId="28905" xr:uid="{1753F13A-F69A-4891-AA86-26AE53DDFB5C}"/>
    <cellStyle name="Comma 11 4 2 2 2 3 3 2 3" xfId="25247" xr:uid="{D90444A6-4910-43AE-8421-0384B2A71FE5}"/>
    <cellStyle name="Comma 11 4 2 2 2 3 3 3" xfId="5895" xr:uid="{96F246DC-CFDA-4BA6-A253-58C71E77A511}"/>
    <cellStyle name="Comma 11 4 2 2 2 3 3 3 2" xfId="21075" xr:uid="{2D27783B-E361-464C-8610-6F746FB2DB89}"/>
    <cellStyle name="Comma 11 4 2 2 2 3 3 4" xfId="17787" xr:uid="{BA9F4155-ECCD-4086-95DB-45FC7B0214D1}"/>
    <cellStyle name="Comma 11 4 2 2 2 3 4" xfId="3465" xr:uid="{3F44A4B8-16B7-4C27-A219-E08DD12BCFBB}"/>
    <cellStyle name="Comma 11 4 2 2 2 3 4 2" xfId="10953" xr:uid="{6E4B0001-F3A4-4CF5-AC41-C045DCB323BA}"/>
    <cellStyle name="Comma 11 4 2 2 2 3 4 2 2" xfId="14499" xr:uid="{045D2BFA-DF18-48C2-9C25-E8CADCB3EE53}"/>
    <cellStyle name="Comma 11 4 2 2 2 3 4 2 2 2" xfId="29676" xr:uid="{5A98DAF7-3B71-4124-AF54-3E0300EEA497}"/>
    <cellStyle name="Comma 11 4 2 2 2 3 4 2 3" xfId="26131" xr:uid="{F910BD20-A1EE-4854-AC78-08B861800558}"/>
    <cellStyle name="Comma 11 4 2 2 2 3 4 3" xfId="6779" xr:uid="{8F61B44D-2E32-457A-AF26-24B698EC6712}"/>
    <cellStyle name="Comma 11 4 2 2 2 3 4 3 2" xfId="21959" xr:uid="{C59ADE5A-A4E0-4533-A5B1-460E7997EC7B}"/>
    <cellStyle name="Comma 11 4 2 2 2 3 4 4" xfId="18671" xr:uid="{48CED790-5A84-41B0-A4CB-3962AB6F5210}"/>
    <cellStyle name="Comma 11 4 2 2 2 3 5" xfId="4269" xr:uid="{DF411128-9741-4922-85F4-4AC9B2EE25B0}"/>
    <cellStyle name="Comma 11 4 2 2 2 3 5 2" xfId="11754" xr:uid="{2DFDB2FA-DEEE-404E-9AB4-476FF9CE54E8}"/>
    <cellStyle name="Comma 11 4 2 2 2 3 5 2 2" xfId="15300" xr:uid="{3DF39968-D963-41E9-9D3A-D6D001D16A0E}"/>
    <cellStyle name="Comma 11 4 2 2 2 3 5 2 2 2" xfId="30477" xr:uid="{FCA7949F-E484-4502-9936-984C1B69C987}"/>
    <cellStyle name="Comma 11 4 2 2 2 3 5 2 3" xfId="26932" xr:uid="{F5D20775-C7D0-4D33-ABC4-9FB1A353C138}"/>
    <cellStyle name="Comma 11 4 2 2 2 3 5 3" xfId="7580" xr:uid="{1E0993AA-8580-4DD0-A71D-C6FA54E37CAC}"/>
    <cellStyle name="Comma 11 4 2 2 2 3 5 3 2" xfId="22760" xr:uid="{7CFBDE00-68F2-4B1A-A5C4-286F96537373}"/>
    <cellStyle name="Comma 11 4 2 2 2 3 5 4" xfId="19472" xr:uid="{A1129AE3-33DB-42F8-BC19-3C17451A91B4}"/>
    <cellStyle name="Comma 11 4 2 2 2 3 6" xfId="1960" xr:uid="{F28CFB39-4259-456F-9496-A6D4AB70172D}"/>
    <cellStyle name="Comma 11 4 2 2 2 3 6 2" xfId="9457" xr:uid="{9C40AFE9-B236-4CAD-8A34-0CC99D4A765A}"/>
    <cellStyle name="Comma 11 4 2 2 2 3 6 2 2" xfId="24635" xr:uid="{FA45C04A-CED5-4B3C-B4E5-A9C252AE7A3D}"/>
    <cellStyle name="Comma 11 4 2 2 2 3 6 3" xfId="17175" xr:uid="{276CBEF8-8F3C-49EE-9147-E3AFA61601E5}"/>
    <cellStyle name="Comma 11 4 2 2 2 3 7" xfId="8671" xr:uid="{AEDB4EA3-94B5-4BE6-BB66-B27C39779180}"/>
    <cellStyle name="Comma 11 4 2 2 2 3 7 2" xfId="12844" xr:uid="{316DBA1C-745B-4A24-872A-4CAD6A237E7F}"/>
    <cellStyle name="Comma 11 4 2 2 2 3 7 2 2" xfId="28021" xr:uid="{5A70F512-A32E-4153-8E4C-506A476B57C2}"/>
    <cellStyle name="Comma 11 4 2 2 2 3 7 3" xfId="23849" xr:uid="{99EF0C5B-74F1-4953-8E47-AD6E112DEA4C}"/>
    <cellStyle name="Comma 11 4 2 2 2 3 8" xfId="5283" xr:uid="{D77C47B9-FE81-450F-AD1E-5896ECBD07F2}"/>
    <cellStyle name="Comma 11 4 2 2 2 3 8 2" xfId="20463" xr:uid="{BDFC07B5-385C-4C97-9CE2-1F2D3ECA56F8}"/>
    <cellStyle name="Comma 11 4 2 2 2 3 9" xfId="16389" xr:uid="{DE704F9D-C96B-4F80-BDF5-CCC48DB74F07}"/>
    <cellStyle name="Comma 11 4 2 2 2 4" xfId="1523" xr:uid="{B3C64062-EEDE-4C01-8318-C09CFAA321AF}"/>
    <cellStyle name="Comma 11 4 2 2 2 4 2" xfId="2948" xr:uid="{58767475-441F-4793-8EA5-784770276D9E}"/>
    <cellStyle name="Comma 11 4 2 2 2 4 2 2" xfId="10439" xr:uid="{B53F7C3F-DBC7-4BDC-9B0F-C0D452FB8054}"/>
    <cellStyle name="Comma 11 4 2 2 2 4 2 2 2" xfId="13985" xr:uid="{99E23BE6-D3A5-4B18-BC6C-CC7A56761C61}"/>
    <cellStyle name="Comma 11 4 2 2 2 4 2 2 2 2" xfId="29162" xr:uid="{51ABD3B6-53F7-4262-B66B-39188BCB2517}"/>
    <cellStyle name="Comma 11 4 2 2 2 4 2 2 3" xfId="25617" xr:uid="{63BF5F34-7C60-4B34-BC43-007C7A3FEEB7}"/>
    <cellStyle name="Comma 11 4 2 2 2 4 2 3" xfId="6265" xr:uid="{A86D35D3-3343-4979-9E15-953A3157470C}"/>
    <cellStyle name="Comma 11 4 2 2 2 4 2 3 2" xfId="21445" xr:uid="{DF7C94E8-FB12-409E-B4B6-A75D2D317888}"/>
    <cellStyle name="Comma 11 4 2 2 2 4 2 4" xfId="18157" xr:uid="{F6874937-2D84-4982-B318-4E33D0351C11}"/>
    <cellStyle name="Comma 11 4 2 2 2 4 3" xfId="3835" xr:uid="{765FD4F9-308B-4FFF-9446-F246F1559DA3}"/>
    <cellStyle name="Comma 11 4 2 2 2 4 3 2" xfId="11323" xr:uid="{1094C459-8DA5-401E-AA25-75B9D1A8DB4D}"/>
    <cellStyle name="Comma 11 4 2 2 2 4 3 2 2" xfId="14869" xr:uid="{30D02533-EA54-4080-8E13-B03A1B091AC1}"/>
    <cellStyle name="Comma 11 4 2 2 2 4 3 2 2 2" xfId="30046" xr:uid="{E1A9BA3F-6ACE-4CF9-A3F9-A7CFF0B3AE98}"/>
    <cellStyle name="Comma 11 4 2 2 2 4 3 2 3" xfId="26501" xr:uid="{8CEB86E7-BC91-4BF0-9664-888815789310}"/>
    <cellStyle name="Comma 11 4 2 2 2 4 3 3" xfId="7149" xr:uid="{0568B3D3-6DF3-4E58-ADEF-31210FCF3BB3}"/>
    <cellStyle name="Comma 11 4 2 2 2 4 3 3 2" xfId="22329" xr:uid="{322F01E7-15FC-453E-8304-46A0048B8510}"/>
    <cellStyle name="Comma 11 4 2 2 2 4 3 4" xfId="19041" xr:uid="{DA42FFCB-A0C4-469C-941A-DABD34D72B97}"/>
    <cellStyle name="Comma 11 4 2 2 2 4 4" xfId="4270" xr:uid="{3E722BCF-6E35-44EB-BE8E-64A487EAC4F1}"/>
    <cellStyle name="Comma 11 4 2 2 2 4 4 2" xfId="11755" xr:uid="{93118183-119B-4899-B3FD-7503436F2BED}"/>
    <cellStyle name="Comma 11 4 2 2 2 4 4 2 2" xfId="15301" xr:uid="{BAE8B006-06F4-4D48-BE9E-078B79387792}"/>
    <cellStyle name="Comma 11 4 2 2 2 4 4 2 2 2" xfId="30478" xr:uid="{B755CC92-A485-4D6C-846D-0CB11E48E04D}"/>
    <cellStyle name="Comma 11 4 2 2 2 4 4 2 3" xfId="26933" xr:uid="{D73F1F6A-CE25-4F5B-B519-837D5B8B8BF3}"/>
    <cellStyle name="Comma 11 4 2 2 2 4 4 3" xfId="7581" xr:uid="{CD412D1A-FED8-4B65-A879-9B8F07D27208}"/>
    <cellStyle name="Comma 11 4 2 2 2 4 4 3 2" xfId="22761" xr:uid="{9514450A-B2D6-4CEE-B8B2-7D1A879E9EEC}"/>
    <cellStyle name="Comma 11 4 2 2 2 4 4 4" xfId="19473" xr:uid="{6EFEA225-641E-479A-94D6-AB592BC9AE22}"/>
    <cellStyle name="Comma 11 4 2 2 2 4 5" xfId="2058" xr:uid="{66A0DE82-38C0-4E57-9339-9B8041FC989A}"/>
    <cellStyle name="Comma 11 4 2 2 2 4 5 2" xfId="9555" xr:uid="{68C5CA7E-3C74-4B1E-BC0B-064F5D293A44}"/>
    <cellStyle name="Comma 11 4 2 2 2 4 5 2 2" xfId="24733" xr:uid="{83130FA0-0727-42C6-85C5-7769B80E4C23}"/>
    <cellStyle name="Comma 11 4 2 2 2 4 5 3" xfId="17273" xr:uid="{3A81CAF2-0BB8-435A-8AA6-830C4A99F5D1}"/>
    <cellStyle name="Comma 11 4 2 2 2 4 6" xfId="9041" xr:uid="{360EC211-5347-4F4A-821D-A14E46031F0C}"/>
    <cellStyle name="Comma 11 4 2 2 2 4 6 2" xfId="13214" xr:uid="{5CBC1F7C-5FAA-45D3-A7B2-F4D3DAC28A72}"/>
    <cellStyle name="Comma 11 4 2 2 2 4 6 2 2" xfId="28391" xr:uid="{BDF10CAC-6574-4C3C-BA80-AFB7CCE14B6A}"/>
    <cellStyle name="Comma 11 4 2 2 2 4 6 3" xfId="24219" xr:uid="{D494AA98-FD11-4B88-9FF6-41DF7635683B}"/>
    <cellStyle name="Comma 11 4 2 2 2 4 7" xfId="5381" xr:uid="{03E9F128-62E0-470C-8C3C-72880DFCE53B}"/>
    <cellStyle name="Comma 11 4 2 2 2 4 7 2" xfId="20561" xr:uid="{508238F4-1A46-4907-941A-746425693EDC}"/>
    <cellStyle name="Comma 11 4 2 2 2 4 8" xfId="16759" xr:uid="{4E246183-161D-463C-8DC1-D1B3956FFCE1}"/>
    <cellStyle name="Comma 11 4 2 2 2 5" xfId="1626" xr:uid="{A68FADF8-E9CA-4F08-A4A7-8E327746985B}"/>
    <cellStyle name="Comma 11 4 2 2 2 5 2" xfId="3046" xr:uid="{84CECC8A-885E-493D-A778-540E4D484B47}"/>
    <cellStyle name="Comma 11 4 2 2 2 5 2 2" xfId="10537" xr:uid="{5F6D7279-D61E-4534-A7A2-00B72953BDD0}"/>
    <cellStyle name="Comma 11 4 2 2 2 5 2 2 2" xfId="14083" xr:uid="{9060134D-F1DD-4FFD-9951-6ADAC08505A4}"/>
    <cellStyle name="Comma 11 4 2 2 2 5 2 2 2 2" xfId="29260" xr:uid="{DA4F537E-A29E-4113-9347-F5D200386BCA}"/>
    <cellStyle name="Comma 11 4 2 2 2 5 2 2 3" xfId="25715" xr:uid="{607F7C61-80A7-45BA-A55C-1063FCA36056}"/>
    <cellStyle name="Comma 11 4 2 2 2 5 2 3" xfId="6363" xr:uid="{0CEDD58F-8A4C-4955-80AF-CC403799EB75}"/>
    <cellStyle name="Comma 11 4 2 2 2 5 2 3 2" xfId="21543" xr:uid="{DEC69528-E539-4349-931B-7EA7D636357E}"/>
    <cellStyle name="Comma 11 4 2 2 2 5 2 4" xfId="18255" xr:uid="{9D3E3662-D1D1-4426-B37F-662E9E9487CA}"/>
    <cellStyle name="Comma 11 4 2 2 2 5 3" xfId="3933" xr:uid="{4289139A-317F-4668-BCEE-064994E647E2}"/>
    <cellStyle name="Comma 11 4 2 2 2 5 3 2" xfId="11421" xr:uid="{116E0A0B-7291-42D1-AFD4-67BD6ECA4BED}"/>
    <cellStyle name="Comma 11 4 2 2 2 5 3 2 2" xfId="14967" xr:uid="{A67CCAE5-27DD-4248-88EA-1F9ACAB3BFF0}"/>
    <cellStyle name="Comma 11 4 2 2 2 5 3 2 2 2" xfId="30144" xr:uid="{68D9C271-6D1D-4AA6-86B9-28B0789843B3}"/>
    <cellStyle name="Comma 11 4 2 2 2 5 3 2 3" xfId="26599" xr:uid="{0D81F584-5BDD-4499-976E-0C256998BA0C}"/>
    <cellStyle name="Comma 11 4 2 2 2 5 3 3" xfId="7247" xr:uid="{058742EE-30DA-4EC2-A765-F016E1B4DBCC}"/>
    <cellStyle name="Comma 11 4 2 2 2 5 3 3 2" xfId="22427" xr:uid="{1783E641-644D-4021-89F4-79B701E9B0D7}"/>
    <cellStyle name="Comma 11 4 2 2 2 5 3 4" xfId="19139" xr:uid="{5DCD68BA-A0F7-43AA-B127-9EE1ABA94C74}"/>
    <cellStyle name="Comma 11 4 2 2 2 5 4" xfId="4271" xr:uid="{7276F09D-425C-44FD-9B57-E41B7F249BF1}"/>
    <cellStyle name="Comma 11 4 2 2 2 5 4 2" xfId="11756" xr:uid="{D2BA8E17-CE11-4833-906F-52AC79420803}"/>
    <cellStyle name="Comma 11 4 2 2 2 5 4 2 2" xfId="15302" xr:uid="{81324B36-5F8C-4089-8934-53C7FFFAA266}"/>
    <cellStyle name="Comma 11 4 2 2 2 5 4 2 2 2" xfId="30479" xr:uid="{B56BA21E-4622-4C21-B6C0-B2CE5A28DF7F}"/>
    <cellStyle name="Comma 11 4 2 2 2 5 4 2 3" xfId="26934" xr:uid="{7FBE91C7-6782-446A-9BE7-162B6101512E}"/>
    <cellStyle name="Comma 11 4 2 2 2 5 4 3" xfId="7582" xr:uid="{53FAD8EB-E005-4272-A25A-A6051480AE47}"/>
    <cellStyle name="Comma 11 4 2 2 2 5 4 3 2" xfId="22762" xr:uid="{148D72EA-CD39-4000-AFBF-65A7C20AD319}"/>
    <cellStyle name="Comma 11 4 2 2 2 5 4 4" xfId="19474" xr:uid="{BA0C5279-6EA2-4E0A-89EF-0C95DEDC465B}"/>
    <cellStyle name="Comma 11 4 2 2 2 5 5" xfId="2156" xr:uid="{58B76F60-A2EC-496F-B12A-F19D3F1297EB}"/>
    <cellStyle name="Comma 11 4 2 2 2 5 5 2" xfId="9653" xr:uid="{7E71FF2A-CC60-4ACE-8EB7-75EDE0769DB2}"/>
    <cellStyle name="Comma 11 4 2 2 2 5 5 2 2" xfId="24831" xr:uid="{A191F25A-33DC-4BFD-B461-407AD3C1F963}"/>
    <cellStyle name="Comma 11 4 2 2 2 5 5 3" xfId="17371" xr:uid="{FB017AD5-9519-497E-A978-372FD9D1700B}"/>
    <cellStyle name="Comma 11 4 2 2 2 5 6" xfId="9139" xr:uid="{5D41FACC-A7F3-415D-94A3-7FA77F1507DC}"/>
    <cellStyle name="Comma 11 4 2 2 2 5 6 2" xfId="13312" xr:uid="{A15231E3-7D15-49CD-9855-591B694C9346}"/>
    <cellStyle name="Comma 11 4 2 2 2 5 6 2 2" xfId="28489" xr:uid="{BBEC9264-2A46-40DE-BABD-96FF44A37636}"/>
    <cellStyle name="Comma 11 4 2 2 2 5 6 3" xfId="24317" xr:uid="{0748F6F0-FD4D-4376-83E1-D199B514FFA9}"/>
    <cellStyle name="Comma 11 4 2 2 2 5 7" xfId="5479" xr:uid="{21DF5A30-F921-434D-8FE6-3C13A2621043}"/>
    <cellStyle name="Comma 11 4 2 2 2 5 7 2" xfId="20659" xr:uid="{D975B6C6-6FF3-428E-8590-95CE6ED795DB}"/>
    <cellStyle name="Comma 11 4 2 2 2 5 8" xfId="16857" xr:uid="{1D8D538C-C402-4164-BD93-0EBFC03E874D}"/>
    <cellStyle name="Comma 11 4 2 2 2 6" xfId="1725" xr:uid="{2910156C-9E19-4C60-9E5D-4475339A76F6}"/>
    <cellStyle name="Comma 11 4 2 2 2 6 2" xfId="3144" xr:uid="{E51F9F7C-9971-4E6C-9391-528F1DDCE6E5}"/>
    <cellStyle name="Comma 11 4 2 2 2 6 2 2" xfId="10635" xr:uid="{5604ABD1-87D6-4949-8E45-B97361B414D3}"/>
    <cellStyle name="Comma 11 4 2 2 2 6 2 2 2" xfId="14181" xr:uid="{E1018941-4D24-41B9-A7F9-4FCE38D8FF01}"/>
    <cellStyle name="Comma 11 4 2 2 2 6 2 2 2 2" xfId="29358" xr:uid="{7CAF234E-BE04-48DA-91AA-55FFCCF6F9E3}"/>
    <cellStyle name="Comma 11 4 2 2 2 6 2 2 3" xfId="25813" xr:uid="{FD88FDFE-0D50-4DBC-B150-EEA46713E0E6}"/>
    <cellStyle name="Comma 11 4 2 2 2 6 2 3" xfId="6461" xr:uid="{32D961B5-FABF-4D15-9B41-E2A5BE336C7A}"/>
    <cellStyle name="Comma 11 4 2 2 2 6 2 3 2" xfId="21641" xr:uid="{E679E041-B477-41A3-879B-6AC8E6DFAC20}"/>
    <cellStyle name="Comma 11 4 2 2 2 6 2 4" xfId="18353" xr:uid="{B83CEA96-85C1-417A-94C4-3D22AC7E8551}"/>
    <cellStyle name="Comma 11 4 2 2 2 6 3" xfId="4031" xr:uid="{0BDB5280-9941-4722-8D2A-2E9F331BF16C}"/>
    <cellStyle name="Comma 11 4 2 2 2 6 3 2" xfId="11519" xr:uid="{48769AE7-4DB1-4585-845F-40766EB7C881}"/>
    <cellStyle name="Comma 11 4 2 2 2 6 3 2 2" xfId="15065" xr:uid="{DCC4CD22-6F91-4C50-B7B7-143B69C64708}"/>
    <cellStyle name="Comma 11 4 2 2 2 6 3 2 2 2" xfId="30242" xr:uid="{E7361975-7FD7-410F-A34D-D454EBCAFA83}"/>
    <cellStyle name="Comma 11 4 2 2 2 6 3 2 3" xfId="26697" xr:uid="{2461FB4E-C455-4A71-84A6-B941B0ECB3FA}"/>
    <cellStyle name="Comma 11 4 2 2 2 6 3 3" xfId="7345" xr:uid="{A9DA6569-5565-4BF8-BAA6-5DEB31709D70}"/>
    <cellStyle name="Comma 11 4 2 2 2 6 3 3 2" xfId="22525" xr:uid="{98242AEE-A278-49F8-BB83-4E16CF895A76}"/>
    <cellStyle name="Comma 11 4 2 2 2 6 3 4" xfId="19237" xr:uid="{EB102826-99DB-4E17-BD75-DBE24D826652}"/>
    <cellStyle name="Comma 11 4 2 2 2 6 4" xfId="4272" xr:uid="{B13309FF-5625-4908-A190-8212E85C4349}"/>
    <cellStyle name="Comma 11 4 2 2 2 6 4 2" xfId="11757" xr:uid="{74C0529A-BA2F-4979-BA5E-8056F1008579}"/>
    <cellStyle name="Comma 11 4 2 2 2 6 4 2 2" xfId="15303" xr:uid="{0FC1F865-C7E4-426F-B14C-BF7101B8CDD3}"/>
    <cellStyle name="Comma 11 4 2 2 2 6 4 2 2 2" xfId="30480" xr:uid="{594DE26D-9FBF-48E6-B94A-33126E5F1E57}"/>
    <cellStyle name="Comma 11 4 2 2 2 6 4 2 3" xfId="26935" xr:uid="{EC765B05-41F3-4243-9642-D25B663BA3EA}"/>
    <cellStyle name="Comma 11 4 2 2 2 6 4 3" xfId="7583" xr:uid="{56A41420-B033-4B3D-A69F-3D14CFEF7BCF}"/>
    <cellStyle name="Comma 11 4 2 2 2 6 4 3 2" xfId="22763" xr:uid="{81C00235-E135-49C2-A8C1-689C618564BD}"/>
    <cellStyle name="Comma 11 4 2 2 2 6 4 4" xfId="19475" xr:uid="{853DFDCA-D6F9-4D86-AFBE-4D4AE93F29BB}"/>
    <cellStyle name="Comma 11 4 2 2 2 6 5" xfId="2254" xr:uid="{5BDBEEB5-980E-4302-87E4-F14E9E0CB064}"/>
    <cellStyle name="Comma 11 4 2 2 2 6 5 2" xfId="9751" xr:uid="{E1CC7211-AB38-4199-82C5-BBB7E0DB7739}"/>
    <cellStyle name="Comma 11 4 2 2 2 6 5 2 2" xfId="24929" xr:uid="{181933C4-69F6-4317-B807-13F3D2EB5746}"/>
    <cellStyle name="Comma 11 4 2 2 2 6 5 3" xfId="17469" xr:uid="{B8008933-BC76-4858-9285-15D9870B9F81}"/>
    <cellStyle name="Comma 11 4 2 2 2 6 6" xfId="9237" xr:uid="{D6617261-825A-4D12-966A-1D4E4F252AD8}"/>
    <cellStyle name="Comma 11 4 2 2 2 6 6 2" xfId="13410" xr:uid="{23A9F4D4-E7CC-4CC1-95CA-380F58D5EC6D}"/>
    <cellStyle name="Comma 11 4 2 2 2 6 6 2 2" xfId="28587" xr:uid="{C9F042D7-CF5E-4291-8934-D4E942EE68E4}"/>
    <cellStyle name="Comma 11 4 2 2 2 6 6 3" xfId="24415" xr:uid="{495902F0-555A-4E33-9F2B-C6CF08B07EAF}"/>
    <cellStyle name="Comma 11 4 2 2 2 6 7" xfId="5577" xr:uid="{734A3BEF-1D57-4443-8B3B-00B2BA1C110B}"/>
    <cellStyle name="Comma 11 4 2 2 2 6 7 2" xfId="20757" xr:uid="{54DC302A-D450-426D-9749-74A146F9186D}"/>
    <cellStyle name="Comma 11 4 2 2 2 6 8" xfId="16955" xr:uid="{CB017CC0-3F02-4138-A8AE-13717B060F28}"/>
    <cellStyle name="Comma 11 4 2 2 2 7" xfId="2354" xr:uid="{7BD0161A-5CB8-4658-8F93-B001EB63E5FC}"/>
    <cellStyle name="Comma 11 4 2 2 2 7 2" xfId="9849" xr:uid="{929CA241-BE24-4258-801D-42C78DE37C25}"/>
    <cellStyle name="Comma 11 4 2 2 2 7 2 2" xfId="13508" xr:uid="{84403CB5-EECE-4633-8282-287072629084}"/>
    <cellStyle name="Comma 11 4 2 2 2 7 2 2 2" xfId="28685" xr:uid="{AD9678E1-20A1-405D-98E6-44DE8672A913}"/>
    <cellStyle name="Comma 11 4 2 2 2 7 2 3" xfId="25027" xr:uid="{AFD90425-A79D-4859-8CAC-1467E3543B17}"/>
    <cellStyle name="Comma 11 4 2 2 2 7 3" xfId="5675" xr:uid="{C5CC0731-4F1B-4907-991A-660E3E28D5FD}"/>
    <cellStyle name="Comma 11 4 2 2 2 7 3 2" xfId="20855" xr:uid="{F62156D8-9C27-4E46-A294-FC40A18511C5}"/>
    <cellStyle name="Comma 11 4 2 2 2 7 4" xfId="17567" xr:uid="{4C91B231-4BDC-4012-A542-6E4C95EF4B97}"/>
    <cellStyle name="Comma 11 4 2 2 2 8" xfId="3244" xr:uid="{44F436BE-7F4E-4E6C-AFA0-A22064098163}"/>
    <cellStyle name="Comma 11 4 2 2 2 8 2" xfId="10733" xr:uid="{D0F61207-B88F-43B3-A849-69897C18A93C}"/>
    <cellStyle name="Comma 11 4 2 2 2 8 2 2" xfId="14279" xr:uid="{EDEA873F-E607-4F44-A6A4-40D37D2ED563}"/>
    <cellStyle name="Comma 11 4 2 2 2 8 2 2 2" xfId="29456" xr:uid="{0F2CCB94-C54C-49FA-8A62-AAC8F47EA724}"/>
    <cellStyle name="Comma 11 4 2 2 2 8 2 3" xfId="25911" xr:uid="{D70A14AD-FA03-4684-ABBB-96D214FF468E}"/>
    <cellStyle name="Comma 11 4 2 2 2 8 3" xfId="6559" xr:uid="{561D97EA-B0AB-4228-AF76-A987A97FD0BE}"/>
    <cellStyle name="Comma 11 4 2 2 2 8 3 2" xfId="21739" xr:uid="{DDDE6DB2-DED0-429D-8DDD-68840FF34C9B}"/>
    <cellStyle name="Comma 11 4 2 2 2 8 4" xfId="18451" xr:uid="{7D88CE86-21A5-4C19-9D78-E082DF497668}"/>
    <cellStyle name="Comma 11 4 2 2 2 9" xfId="4273" xr:uid="{0B254155-24D0-41BB-8EB8-5ABD63844B83}"/>
    <cellStyle name="Comma 11 4 2 2 2 9 2" xfId="11758" xr:uid="{6D29E18F-C07B-4B1B-A9BF-802034F16080}"/>
    <cellStyle name="Comma 11 4 2 2 2 9 2 2" xfId="15304" xr:uid="{F46B1115-AA63-46D6-80B6-7805A4A87D2E}"/>
    <cellStyle name="Comma 11 4 2 2 2 9 2 2 2" xfId="30481" xr:uid="{5A68CB8C-8E18-4BD5-B18C-AADEBB448969}"/>
    <cellStyle name="Comma 11 4 2 2 2 9 2 3" xfId="26936" xr:uid="{B85C2450-9AA9-4631-A939-45A8A800B4C7}"/>
    <cellStyle name="Comma 11 4 2 2 2 9 3" xfId="7584" xr:uid="{78CF7CC7-FEB6-4C11-B60E-84676F64FDEB}"/>
    <cellStyle name="Comma 11 4 2 2 2 9 3 2" xfId="22764" xr:uid="{D5A5E535-7F32-4B1F-90D3-83401A43524A}"/>
    <cellStyle name="Comma 11 4 2 2 2 9 4" xfId="19476" xr:uid="{DB02F4B4-14C1-452C-8262-2C1ECF3C1C65}"/>
    <cellStyle name="Comma 11 4 2 2 3" xfId="912" xr:uid="{BD12B991-FD69-4FB7-95A2-CF98B10DB84B}"/>
    <cellStyle name="Comma 11 4 2 2 3 2" xfId="2430" xr:uid="{167EDE98-550A-46FA-8E59-346617CD1EA8}"/>
    <cellStyle name="Comma 11 4 2 2 3 2 2" xfId="9922" xr:uid="{4B893C00-D607-416D-9421-99B78BD4771C}"/>
    <cellStyle name="Comma 11 4 2 2 3 2 2 2" xfId="13581" xr:uid="{32367A9F-B3CD-4FE3-86BF-425EE9073405}"/>
    <cellStyle name="Comma 11 4 2 2 3 2 2 2 2" xfId="28758" xr:uid="{6EB459A7-D318-4A36-AA83-B6F9BD90A3CB}"/>
    <cellStyle name="Comma 11 4 2 2 3 2 2 3" xfId="25100" xr:uid="{D5B228F3-66C4-41BF-8DEB-DB25D138D11C}"/>
    <cellStyle name="Comma 11 4 2 2 3 2 3" xfId="5748" xr:uid="{17C8BD49-3E75-4A91-80C7-156A609C71B8}"/>
    <cellStyle name="Comma 11 4 2 2 3 2 3 2" xfId="20928" xr:uid="{B0A77EAC-6212-4E17-8A34-F16DEAD06406}"/>
    <cellStyle name="Comma 11 4 2 2 3 2 4" xfId="17640" xr:uid="{ACB0A154-FAB2-4A7F-AC78-D05FD30D1DC5}"/>
    <cellStyle name="Comma 11 4 2 2 3 3" xfId="3318" xr:uid="{1797DECF-754F-49FF-B2E0-CA1A393310F5}"/>
    <cellStyle name="Comma 11 4 2 2 3 3 2" xfId="10806" xr:uid="{C3AD6416-2F91-4A7E-B112-0A9A4D24977D}"/>
    <cellStyle name="Comma 11 4 2 2 3 3 2 2" xfId="14352" xr:uid="{E69BE506-B1E0-446A-AF51-B788C1F685A7}"/>
    <cellStyle name="Comma 11 4 2 2 3 3 2 2 2" xfId="29529" xr:uid="{1B3F4BE3-B94A-44D6-AB87-DE37641C693B}"/>
    <cellStyle name="Comma 11 4 2 2 3 3 2 3" xfId="25984" xr:uid="{394E86E1-74E5-494B-97DB-9BB31E1D4A2D}"/>
    <cellStyle name="Comma 11 4 2 2 3 3 3" xfId="6632" xr:uid="{7CC11564-D956-47A6-843D-ABA2EFB0504B}"/>
    <cellStyle name="Comma 11 4 2 2 3 3 3 2" xfId="21812" xr:uid="{36C43ECC-EE97-4DBA-978E-58B2A334E6CB}"/>
    <cellStyle name="Comma 11 4 2 2 3 3 4" xfId="18524" xr:uid="{684FB406-D9F4-4E83-89C3-C6A3ACF3A516}"/>
    <cellStyle name="Comma 11 4 2 2 3 4" xfId="4274" xr:uid="{FF862BF0-A7BA-4A81-9137-85DC5B261874}"/>
    <cellStyle name="Comma 11 4 2 2 3 4 2" xfId="11759" xr:uid="{F2E63277-F903-409F-A84F-64A3B9DB16C6}"/>
    <cellStyle name="Comma 11 4 2 2 3 4 2 2" xfId="15305" xr:uid="{3B71A10D-64A0-4CF1-BAFC-42E92C6F9EE4}"/>
    <cellStyle name="Comma 11 4 2 2 3 4 2 2 2" xfId="30482" xr:uid="{C284681B-56F1-4A17-A624-B501E26770BC}"/>
    <cellStyle name="Comma 11 4 2 2 3 4 2 3" xfId="26937" xr:uid="{3B3F41F1-8F0A-49D0-8810-9C5DD6C5379B}"/>
    <cellStyle name="Comma 11 4 2 2 3 4 3" xfId="7585" xr:uid="{8D413A8A-AA9C-4DAE-948E-A4F742AFE239}"/>
    <cellStyle name="Comma 11 4 2 2 3 4 3 2" xfId="22765" xr:uid="{691E7B2A-AC98-4E94-9A15-F96B3D74D35E}"/>
    <cellStyle name="Comma 11 4 2 2 3 4 4" xfId="19477" xr:uid="{12EA174C-2428-49BA-8369-4984832EC955}"/>
    <cellStyle name="Comma 11 4 2 2 3 5" xfId="8524" xr:uid="{8CD1E40D-ACF0-4DB9-9DF2-71089F3B7886}"/>
    <cellStyle name="Comma 11 4 2 2 3 5 2" xfId="12697" xr:uid="{A4C69F56-9E05-452C-88D6-F18F1D7400EB}"/>
    <cellStyle name="Comma 11 4 2 2 3 5 2 2" xfId="27874" xr:uid="{17EEF9FA-CB50-4F6D-BA85-B16B2B7861C1}"/>
    <cellStyle name="Comma 11 4 2 2 3 5 3" xfId="23702" xr:uid="{4032B0F2-4F18-4770-AFD6-41DD96AF7E21}"/>
    <cellStyle name="Comma 11 4 2 2 3 6" xfId="16242" xr:uid="{D995A3EE-8FE3-4B9E-BE45-B914EABE3F21}"/>
    <cellStyle name="Comma 11 4 2 2 3 7" xfId="31682" xr:uid="{5E75DEDB-7193-4818-952D-C65F6F198A6F}"/>
    <cellStyle name="Comma 11 4 2 2 4" xfId="1015" xr:uid="{865E27CA-E95E-478A-8EA4-17D9CCC59544}"/>
    <cellStyle name="Comma 11 4 2 2 4 2" xfId="2528" xr:uid="{AAE1369B-73AB-48F3-A14D-15FB33960D33}"/>
    <cellStyle name="Comma 11 4 2 2 4 2 2" xfId="10020" xr:uid="{348333D3-0DDA-41E0-9F00-BC98F469DFBB}"/>
    <cellStyle name="Comma 11 4 2 2 4 2 2 2" xfId="13679" xr:uid="{92FE4DAE-FD65-4BB5-BB3C-C0D95459CD2A}"/>
    <cellStyle name="Comma 11 4 2 2 4 2 2 2 2" xfId="28856" xr:uid="{9250D55A-9F47-4DFB-8843-EDF7AE44DB1E}"/>
    <cellStyle name="Comma 11 4 2 2 4 2 2 3" xfId="25198" xr:uid="{098A3645-C658-4186-9E8B-313C8AA3A640}"/>
    <cellStyle name="Comma 11 4 2 2 4 2 3" xfId="5846" xr:uid="{B72A6915-4B37-4294-BB64-FE5AD193CB78}"/>
    <cellStyle name="Comma 11 4 2 2 4 2 3 2" xfId="21026" xr:uid="{86B61F12-9463-45D0-B902-2104A4EF6589}"/>
    <cellStyle name="Comma 11 4 2 2 4 2 4" xfId="17738" xr:uid="{979B127D-CA98-46D6-B902-FEF7548808DD}"/>
    <cellStyle name="Comma 11 4 2 2 4 3" xfId="3416" xr:uid="{73037876-3280-4DE3-8D64-0AC50BA8EE91}"/>
    <cellStyle name="Comma 11 4 2 2 4 3 2" xfId="10904" xr:uid="{CAE85FF5-5816-44ED-8A6A-7ED2E198413F}"/>
    <cellStyle name="Comma 11 4 2 2 4 3 2 2" xfId="14450" xr:uid="{4BD6FD17-76C7-4F59-ABD7-66F9544183FF}"/>
    <cellStyle name="Comma 11 4 2 2 4 3 2 2 2" xfId="29627" xr:uid="{8BFE78F2-A22F-481B-84DC-C5C61914572E}"/>
    <cellStyle name="Comma 11 4 2 2 4 3 2 3" xfId="26082" xr:uid="{B9090F1A-BD12-4F74-A127-94E4AAD76553}"/>
    <cellStyle name="Comma 11 4 2 2 4 3 3" xfId="6730" xr:uid="{23803E76-EAB7-4D26-BFF0-39B4A28BB7CD}"/>
    <cellStyle name="Comma 11 4 2 2 4 3 3 2" xfId="21910" xr:uid="{1B70C025-D6FE-4A0A-9F89-ECC7F0332FEB}"/>
    <cellStyle name="Comma 11 4 2 2 4 3 4" xfId="18622" xr:uid="{A7F331AC-A977-4775-8743-DDAC91C1A18B}"/>
    <cellStyle name="Comma 11 4 2 2 4 4" xfId="4275" xr:uid="{F9F20AF5-DE3B-4119-83DE-EDFF13E1A9FA}"/>
    <cellStyle name="Comma 11 4 2 2 4 4 2" xfId="11760" xr:uid="{99CA8D21-72AF-485E-AD33-29B64784A499}"/>
    <cellStyle name="Comma 11 4 2 2 4 4 2 2" xfId="15306" xr:uid="{A70E8E78-78BF-4741-AA37-05B9082D4D16}"/>
    <cellStyle name="Comma 11 4 2 2 4 4 2 2 2" xfId="30483" xr:uid="{6DE0A384-73BE-4E4A-9078-FC6AD8F5A82A}"/>
    <cellStyle name="Comma 11 4 2 2 4 4 2 3" xfId="26938" xr:uid="{525B5D93-E4F2-4798-A04E-7888865B395F}"/>
    <cellStyle name="Comma 11 4 2 2 4 4 3" xfId="7586" xr:uid="{FC2F905D-47F6-4B33-A403-60D6E88E1CE0}"/>
    <cellStyle name="Comma 11 4 2 2 4 4 3 2" xfId="22766" xr:uid="{1A459B55-3A10-4B89-9322-91D9FBC2DBFD}"/>
    <cellStyle name="Comma 11 4 2 2 4 4 4" xfId="19478" xr:uid="{35A35305-0230-4B9D-8174-F827F90E7D12}"/>
    <cellStyle name="Comma 11 4 2 2 4 5" xfId="8622" xr:uid="{A7A61A52-3439-452C-A888-BCB416ED2CBB}"/>
    <cellStyle name="Comma 11 4 2 2 4 5 2" xfId="12795" xr:uid="{31890076-8CE1-454B-B5E7-32280E157D26}"/>
    <cellStyle name="Comma 11 4 2 2 4 5 2 2" xfId="27972" xr:uid="{587AE102-DBDB-40D1-8B03-E597550D3D44}"/>
    <cellStyle name="Comma 11 4 2 2 4 5 3" xfId="23800" xr:uid="{ED76B853-27CF-4F27-8F1C-5BE9381F630A}"/>
    <cellStyle name="Comma 11 4 2 2 4 6" xfId="16340" xr:uid="{F2EA9A13-FD49-49AC-85DB-393BD476BF1F}"/>
    <cellStyle name="Comma 11 4 2 2 4 7" xfId="31560" xr:uid="{C663284F-42FF-4CAD-BCB7-8450C1A175BD}"/>
    <cellStyle name="Comma 11 4 2 2 5" xfId="1273" xr:uid="{0B5C61C7-054B-4B09-8177-41A3CE4A9251}"/>
    <cellStyle name="Comma 11 4 2 2 5 10" xfId="31332" xr:uid="{E79452B8-E394-499A-B688-6A10C4117CE1}"/>
    <cellStyle name="Comma 11 4 2 2 5 2" xfId="2703" xr:uid="{67B8283C-2013-4253-AD0A-F4338C055522}"/>
    <cellStyle name="Comma 11 4 2 2 5 2 2" xfId="10194" xr:uid="{8C8A8CC9-E7AA-4A9D-B9B8-593D9B3D04BF}"/>
    <cellStyle name="Comma 11 4 2 2 5 2 2 2" xfId="13838" xr:uid="{1E7796F9-A20E-4C67-BB5A-FB349F698565}"/>
    <cellStyle name="Comma 11 4 2 2 5 2 2 2 2" xfId="29015" xr:uid="{7DE8F0FE-78C1-43E0-B233-9C9B6BAC91DF}"/>
    <cellStyle name="Comma 11 4 2 2 5 2 2 3" xfId="25372" xr:uid="{3DCD71A7-B4EA-42D9-980D-46A0B37A5942}"/>
    <cellStyle name="Comma 11 4 2 2 5 2 3" xfId="6020" xr:uid="{27E1BA3D-D2E8-48AE-9ABB-EBEF1EC17E17}"/>
    <cellStyle name="Comma 11 4 2 2 5 2 3 2" xfId="21200" xr:uid="{3DAAFC5A-A662-4391-B706-3C668337637D}"/>
    <cellStyle name="Comma 11 4 2 2 5 2 4" xfId="17912" xr:uid="{7423F594-C68C-4706-82D4-FD75D104AE91}"/>
    <cellStyle name="Comma 11 4 2 2 5 3" xfId="3590" xr:uid="{D872A5F4-286E-4CFC-A4EE-A5205FBC41F7}"/>
    <cellStyle name="Comma 11 4 2 2 5 3 2" xfId="11078" xr:uid="{77C1FF1B-BB4E-4016-8E45-F155D085E6A1}"/>
    <cellStyle name="Comma 11 4 2 2 5 3 2 2" xfId="14624" xr:uid="{A825E244-3702-4C21-8F7F-10671E599350}"/>
    <cellStyle name="Comma 11 4 2 2 5 3 2 2 2" xfId="29801" xr:uid="{20C3DD59-05B8-425B-B113-54ED72436A32}"/>
    <cellStyle name="Comma 11 4 2 2 5 3 2 3" xfId="26256" xr:uid="{93728EB7-98F5-408C-BC4F-C1D2A6660956}"/>
    <cellStyle name="Comma 11 4 2 2 5 3 3" xfId="6904" xr:uid="{B1A0892E-9643-4605-8C4B-5DC22D15583B}"/>
    <cellStyle name="Comma 11 4 2 2 5 3 3 2" xfId="22084" xr:uid="{EB8B0AD9-6AF1-4F4B-9DF6-27AC5F87CC8D}"/>
    <cellStyle name="Comma 11 4 2 2 5 3 4" xfId="18796" xr:uid="{7A89376A-7791-4EE9-9C37-173E1BAA4978}"/>
    <cellStyle name="Comma 11 4 2 2 5 4" xfId="4276" xr:uid="{87194A4C-F2B8-4ACD-A8AD-017739861152}"/>
    <cellStyle name="Comma 11 4 2 2 5 4 2" xfId="11761" xr:uid="{6F013644-2967-4D90-BCDF-2757872A2428}"/>
    <cellStyle name="Comma 11 4 2 2 5 4 2 2" xfId="15307" xr:uid="{E103A831-0AFD-40A5-9244-7BE95AB7D491}"/>
    <cellStyle name="Comma 11 4 2 2 5 4 2 2 2" xfId="30484" xr:uid="{342A2240-86F1-4603-AAA8-0EA3B27F8A10}"/>
    <cellStyle name="Comma 11 4 2 2 5 4 2 3" xfId="26939" xr:uid="{1A8BCA8D-5BE2-446A-8642-3E087DE47923}"/>
    <cellStyle name="Comma 11 4 2 2 5 4 3" xfId="7587" xr:uid="{C7E990F8-CFD1-4C9D-9570-D8A812DEB32C}"/>
    <cellStyle name="Comma 11 4 2 2 5 4 3 2" xfId="22767" xr:uid="{A72CEA93-3485-49DA-B2A0-F700987538C1}"/>
    <cellStyle name="Comma 11 4 2 2 5 4 4" xfId="19479" xr:uid="{1199C69F-7B2F-4A01-AF92-24D090E19B8A}"/>
    <cellStyle name="Comma 11 4 2 2 5 5" xfId="4992" xr:uid="{7C355299-847A-4540-A964-314E0880FE23}"/>
    <cellStyle name="Comma 11 4 2 2 5 5 2" xfId="12476" xr:uid="{BEEBE2A0-9503-4CFC-97C2-696379D089E7}"/>
    <cellStyle name="Comma 11 4 2 2 5 5 2 2" xfId="16022" xr:uid="{71A125B5-9A7D-4C58-8DEB-4711FF4650CA}"/>
    <cellStyle name="Comma 11 4 2 2 5 5 2 2 2" xfId="31199" xr:uid="{9AD926D0-BCE5-40E9-86AF-F373270AB296}"/>
    <cellStyle name="Comma 11 4 2 2 5 5 2 3" xfId="27654" xr:uid="{C2A891A3-E3CE-4B79-B86B-96D76D305149}"/>
    <cellStyle name="Comma 11 4 2 2 5 5 3" xfId="8302" xr:uid="{9E2E43FB-E568-4FC0-A2AB-20D5B11094F9}"/>
    <cellStyle name="Comma 11 4 2 2 5 5 3 2" xfId="23482" xr:uid="{7DC203C0-1DA6-4157-B55C-0E34AB6B84D8}"/>
    <cellStyle name="Comma 11 4 2 2 5 5 4" xfId="20194" xr:uid="{68F5790A-0F22-4217-8AC9-B3F03836B903}"/>
    <cellStyle name="Comma 11 4 2 2 5 6" xfId="1813" xr:uid="{7BB1D751-5E7A-4ED1-9BDF-D43B92F3DFDD}"/>
    <cellStyle name="Comma 11 4 2 2 5 6 2" xfId="9310" xr:uid="{E149514F-ECD4-4668-A926-12E8BE1074EF}"/>
    <cellStyle name="Comma 11 4 2 2 5 6 2 2" xfId="24488" xr:uid="{8F021F3B-9AC1-49CE-AE3E-F896C96887CC}"/>
    <cellStyle name="Comma 11 4 2 2 5 6 3" xfId="17028" xr:uid="{0C67B07E-17AA-4707-88B0-5E20AD7E81DD}"/>
    <cellStyle name="Comma 11 4 2 2 5 7" xfId="8796" xr:uid="{EF0D96CB-4633-402F-9E14-2900772C598A}"/>
    <cellStyle name="Comma 11 4 2 2 5 7 2" xfId="12969" xr:uid="{96F6414A-6810-4390-BB89-F3DFD33B92D4}"/>
    <cellStyle name="Comma 11 4 2 2 5 7 2 2" xfId="28146" xr:uid="{CB181841-78D3-4073-A4F7-99A0F84EE7C1}"/>
    <cellStyle name="Comma 11 4 2 2 5 7 3" xfId="23974" xr:uid="{648AA0AB-1B9F-4AC2-A12B-8F2786292A8C}"/>
    <cellStyle name="Comma 11 4 2 2 5 8" xfId="5136" xr:uid="{B6ACC4DD-FCE7-484E-8C50-C2F87ED11485}"/>
    <cellStyle name="Comma 11 4 2 2 5 8 2" xfId="20316" xr:uid="{465915DD-5247-4334-A7B0-7419A8368580}"/>
    <cellStyle name="Comma 11 4 2 2 5 9" xfId="16514" xr:uid="{9C500533-C25D-43B0-9688-8E7EE8E4491C}"/>
    <cellStyle name="Comma 11 4 2 2 6" xfId="1375" xr:uid="{2E1D0800-6807-4F19-978F-09E5EC50ED54}"/>
    <cellStyle name="Comma 11 4 2 2 6 2" xfId="2801" xr:uid="{E4D25AA5-52D2-4AA2-9FE8-104CECC729CE}"/>
    <cellStyle name="Comma 11 4 2 2 6 2 2" xfId="10292" xr:uid="{118BFD34-C7BF-445A-8ACD-62B86D0EBB23}"/>
    <cellStyle name="Comma 11 4 2 2 6 2 2 2" xfId="13887" xr:uid="{7DDCDFDA-4BB9-426D-A7C6-C9159B48E5B9}"/>
    <cellStyle name="Comma 11 4 2 2 6 2 2 2 2" xfId="29064" xr:uid="{650EEE9B-63E5-418C-B939-05E6079A2F36}"/>
    <cellStyle name="Comma 11 4 2 2 6 2 2 3" xfId="25470" xr:uid="{C3360BD6-8A3E-4BF4-9D41-E9426A122209}"/>
    <cellStyle name="Comma 11 4 2 2 6 2 3" xfId="6118" xr:uid="{AFD4C6AD-B081-4C55-A74D-01A11CAD8D16}"/>
    <cellStyle name="Comma 11 4 2 2 6 2 3 2" xfId="21298" xr:uid="{81A3F804-46C8-4AFD-B22D-3A4883B408C4}"/>
    <cellStyle name="Comma 11 4 2 2 6 2 4" xfId="18010" xr:uid="{0BEC3EE3-63A3-4FC1-92F8-38573FA97C5D}"/>
    <cellStyle name="Comma 11 4 2 2 6 3" xfId="3688" xr:uid="{465CE37F-8C74-4D8A-A659-219AA699F391}"/>
    <cellStyle name="Comma 11 4 2 2 6 3 2" xfId="11176" xr:uid="{11FB24BA-3CC9-4299-87BD-18F6EB25CB0D}"/>
    <cellStyle name="Comma 11 4 2 2 6 3 2 2" xfId="14722" xr:uid="{8C47E3AA-ED6F-4B58-893D-F4A537310B32}"/>
    <cellStyle name="Comma 11 4 2 2 6 3 2 2 2" xfId="29899" xr:uid="{6720BF7B-2A72-4A10-A180-3AB2F95E8F17}"/>
    <cellStyle name="Comma 11 4 2 2 6 3 2 3" xfId="26354" xr:uid="{60C3647C-670B-4AAF-B002-248C5F6B8845}"/>
    <cellStyle name="Comma 11 4 2 2 6 3 3" xfId="7002" xr:uid="{826A52CF-384F-47C4-88F8-61C406371B12}"/>
    <cellStyle name="Comma 11 4 2 2 6 3 3 2" xfId="22182" xr:uid="{11A68394-798F-4771-838A-A761DDC23D3E}"/>
    <cellStyle name="Comma 11 4 2 2 6 3 4" xfId="18894" xr:uid="{B87D4EFA-1DC6-47AE-A32B-CFDA40A7871E}"/>
    <cellStyle name="Comma 11 4 2 2 6 4" xfId="4277" xr:uid="{CCC02C6C-8E7D-455C-9C71-13C4D7CFBD67}"/>
    <cellStyle name="Comma 11 4 2 2 6 4 2" xfId="11762" xr:uid="{ED7F007D-4FAA-4057-8A41-FB54B6A8F89F}"/>
    <cellStyle name="Comma 11 4 2 2 6 4 2 2" xfId="15308" xr:uid="{DB9E3574-B8DB-4AFE-BF84-3294DA32C712}"/>
    <cellStyle name="Comma 11 4 2 2 6 4 2 2 2" xfId="30485" xr:uid="{32FA4815-3E7D-47C2-91E2-6E4A3708617F}"/>
    <cellStyle name="Comma 11 4 2 2 6 4 2 3" xfId="26940" xr:uid="{916A07A1-D06E-4B72-9806-DBD66EDF9811}"/>
    <cellStyle name="Comma 11 4 2 2 6 4 3" xfId="7588" xr:uid="{70703107-BFC5-4870-A420-6F7425AB6022}"/>
    <cellStyle name="Comma 11 4 2 2 6 4 3 2" xfId="22768" xr:uid="{68B9EC06-C927-4D8F-B138-625DCBF059B7}"/>
    <cellStyle name="Comma 11 4 2 2 6 4 4" xfId="19480" xr:uid="{10984B44-14DD-484C-8162-5372FC06628B}"/>
    <cellStyle name="Comma 11 4 2 2 6 5" xfId="1911" xr:uid="{CE09F469-E3B0-458D-9800-B306A4EEC704}"/>
    <cellStyle name="Comma 11 4 2 2 6 5 2" xfId="9408" xr:uid="{91223953-C4C9-4845-8146-DC0C452F6D23}"/>
    <cellStyle name="Comma 11 4 2 2 6 5 2 2" xfId="24586" xr:uid="{B07922D8-03B3-43E0-B770-C31D783D515C}"/>
    <cellStyle name="Comma 11 4 2 2 6 5 3" xfId="17126" xr:uid="{667689E7-2D5F-432A-84D2-5353B9491FC5}"/>
    <cellStyle name="Comma 11 4 2 2 6 6" xfId="8894" xr:uid="{AA0A48CA-E33E-4319-8C12-F1AEAA6359BD}"/>
    <cellStyle name="Comma 11 4 2 2 6 6 2" xfId="13067" xr:uid="{E699FB2A-6F31-4345-AAF2-10B3824B1A57}"/>
    <cellStyle name="Comma 11 4 2 2 6 6 2 2" xfId="28244" xr:uid="{958AA1CD-DEFE-44A4-B0A2-F2430FA4D5A7}"/>
    <cellStyle name="Comma 11 4 2 2 6 6 3" xfId="24072" xr:uid="{F8AC3625-4AB1-4CDD-9729-AD01F9BE7A23}"/>
    <cellStyle name="Comma 11 4 2 2 6 7" xfId="5234" xr:uid="{FDB53217-BB97-4B93-B8AB-6A4A8EF56E4A}"/>
    <cellStyle name="Comma 11 4 2 2 6 7 2" xfId="20414" xr:uid="{08EED4ED-A9A2-41B0-B008-08A7B0A999D9}"/>
    <cellStyle name="Comma 11 4 2 2 6 8" xfId="16612" xr:uid="{24145EDD-7514-4C35-B842-9575E23C0EEB}"/>
    <cellStyle name="Comma 11 4 2 2 7" xfId="1474" xr:uid="{C656927C-7552-44E1-98A8-D014F0DBE618}"/>
    <cellStyle name="Comma 11 4 2 2 7 2" xfId="2899" xr:uid="{A0EA5A5B-E91C-46F5-962E-6E1511C1D353}"/>
    <cellStyle name="Comma 11 4 2 2 7 2 2" xfId="10390" xr:uid="{A707EE77-E9F0-4DBE-AE4C-09C66074E4E2}"/>
    <cellStyle name="Comma 11 4 2 2 7 2 2 2" xfId="13936" xr:uid="{B21F27B1-9AA2-4DB2-B42F-EEC4EF334B4F}"/>
    <cellStyle name="Comma 11 4 2 2 7 2 2 2 2" xfId="29113" xr:uid="{6C708F43-D252-472B-ACC5-AF52766E9625}"/>
    <cellStyle name="Comma 11 4 2 2 7 2 2 3" xfId="25568" xr:uid="{D5876CB5-98FB-435A-8194-FBD24B6864B8}"/>
    <cellStyle name="Comma 11 4 2 2 7 2 3" xfId="6216" xr:uid="{6E7FA1E0-75E0-445F-BEB0-6B2A09CEFEB3}"/>
    <cellStyle name="Comma 11 4 2 2 7 2 3 2" xfId="21396" xr:uid="{86835107-08F5-4D4D-9416-7B230A978B9E}"/>
    <cellStyle name="Comma 11 4 2 2 7 2 4" xfId="18108" xr:uid="{C4869931-6DCE-4655-AA3A-338D870B5BCB}"/>
    <cellStyle name="Comma 11 4 2 2 7 3" xfId="3786" xr:uid="{3A5F2DFB-4CDE-4A61-A87A-5E8061F895F8}"/>
    <cellStyle name="Comma 11 4 2 2 7 3 2" xfId="11274" xr:uid="{C0561904-886A-4F73-88B9-5636063CCD83}"/>
    <cellStyle name="Comma 11 4 2 2 7 3 2 2" xfId="14820" xr:uid="{5B5D8D14-77BC-42BD-B08C-7914B9A037A7}"/>
    <cellStyle name="Comma 11 4 2 2 7 3 2 2 2" xfId="29997" xr:uid="{66DA1FB7-079B-46D9-8009-68AA088BDE68}"/>
    <cellStyle name="Comma 11 4 2 2 7 3 2 3" xfId="26452" xr:uid="{D7A4EA39-052B-4B45-947C-832BBEC17D98}"/>
    <cellStyle name="Comma 11 4 2 2 7 3 3" xfId="7100" xr:uid="{D862FF19-D169-417E-A8A9-F42399190167}"/>
    <cellStyle name="Comma 11 4 2 2 7 3 3 2" xfId="22280" xr:uid="{0D47734C-A3F8-4A94-AD5A-6DE1FF9C624F}"/>
    <cellStyle name="Comma 11 4 2 2 7 3 4" xfId="18992" xr:uid="{BCB5B4A3-24EF-4964-9842-B039C8A50EB6}"/>
    <cellStyle name="Comma 11 4 2 2 7 4" xfId="4278" xr:uid="{9A6B4B11-99A7-46D1-8A5B-C7E203D21F9D}"/>
    <cellStyle name="Comma 11 4 2 2 7 4 2" xfId="11763" xr:uid="{024658A9-6B50-40AF-A4BA-B82CFA22AA4C}"/>
    <cellStyle name="Comma 11 4 2 2 7 4 2 2" xfId="15309" xr:uid="{46373712-D9C0-4764-8341-4B6FD7E18E4C}"/>
    <cellStyle name="Comma 11 4 2 2 7 4 2 2 2" xfId="30486" xr:uid="{A6391E93-4913-493D-AAD1-D60CD2789C8E}"/>
    <cellStyle name="Comma 11 4 2 2 7 4 2 3" xfId="26941" xr:uid="{8F18285A-A9D9-4474-B89C-C18590163A59}"/>
    <cellStyle name="Comma 11 4 2 2 7 4 3" xfId="7589" xr:uid="{1CB12755-78B0-4512-9831-8833A764DD13}"/>
    <cellStyle name="Comma 11 4 2 2 7 4 3 2" xfId="22769" xr:uid="{8B162CAB-F452-4266-A826-A6AFF66DCDD9}"/>
    <cellStyle name="Comma 11 4 2 2 7 4 4" xfId="19481" xr:uid="{D0CBF202-F5E7-4BEB-808D-883C0FC936DD}"/>
    <cellStyle name="Comma 11 4 2 2 7 5" xfId="2009" xr:uid="{AEBC1E9D-7C5B-44BD-88A7-729C47B70F9C}"/>
    <cellStyle name="Comma 11 4 2 2 7 5 2" xfId="9506" xr:uid="{F500A2B7-DAB2-4BBE-8C4D-34A53F81F8BB}"/>
    <cellStyle name="Comma 11 4 2 2 7 5 2 2" xfId="24684" xr:uid="{0D42E532-8ABC-44C7-B971-CC8C80942A44}"/>
    <cellStyle name="Comma 11 4 2 2 7 5 3" xfId="17224" xr:uid="{1D4072AE-6C5F-4B24-BF84-845AF96C87BD}"/>
    <cellStyle name="Comma 11 4 2 2 7 6" xfId="8992" xr:uid="{DABA3579-41D7-40A9-8D90-5CEAAAA6FA5C}"/>
    <cellStyle name="Comma 11 4 2 2 7 6 2" xfId="13165" xr:uid="{CEFCD270-9FC7-4FBF-881A-8A4B07CCB5C2}"/>
    <cellStyle name="Comma 11 4 2 2 7 6 2 2" xfId="28342" xr:uid="{15B85392-73F1-433C-B473-0255073F3764}"/>
    <cellStyle name="Comma 11 4 2 2 7 6 3" xfId="24170" xr:uid="{7259910E-B686-48F9-9387-CA3D99362F6F}"/>
    <cellStyle name="Comma 11 4 2 2 7 7" xfId="5332" xr:uid="{5A683F47-DA22-499D-A642-40B9A15899F6}"/>
    <cellStyle name="Comma 11 4 2 2 7 7 2" xfId="20512" xr:uid="{4DBB8708-19BF-411C-A818-41F8D9B5992E}"/>
    <cellStyle name="Comma 11 4 2 2 7 8" xfId="16710" xr:uid="{21B41C18-E4E5-4B2C-9C2E-38C1AA6FCBFF}"/>
    <cellStyle name="Comma 11 4 2 2 8" xfId="1577" xr:uid="{3006506B-E068-431C-826E-7A47CCEDF832}"/>
    <cellStyle name="Comma 11 4 2 2 8 2" xfId="2997" xr:uid="{A2633450-D929-470F-B645-69A9F6F44E62}"/>
    <cellStyle name="Comma 11 4 2 2 8 2 2" xfId="10488" xr:uid="{48480194-DB08-4731-BB87-5C551695E7C8}"/>
    <cellStyle name="Comma 11 4 2 2 8 2 2 2" xfId="14034" xr:uid="{6E26C7AB-E3D7-4C0F-AE59-AF4BC0F40DCB}"/>
    <cellStyle name="Comma 11 4 2 2 8 2 2 2 2" xfId="29211" xr:uid="{7B250CFD-5D77-40AD-82D6-E1656AB3E2CA}"/>
    <cellStyle name="Comma 11 4 2 2 8 2 2 3" xfId="25666" xr:uid="{24452A00-E9CE-477F-A2DF-15B3E7B7BA91}"/>
    <cellStyle name="Comma 11 4 2 2 8 2 3" xfId="6314" xr:uid="{566376B7-FD9D-49D8-BD5E-853F66551B93}"/>
    <cellStyle name="Comma 11 4 2 2 8 2 3 2" xfId="21494" xr:uid="{C84BE8F4-9F56-42B2-B16B-9DD2D6F6689C}"/>
    <cellStyle name="Comma 11 4 2 2 8 2 4" xfId="18206" xr:uid="{8AA67784-0979-4F24-AAB3-F93D3EDA13AA}"/>
    <cellStyle name="Comma 11 4 2 2 8 3" xfId="3884" xr:uid="{94E8925C-6B74-4609-A6FE-30496F626631}"/>
    <cellStyle name="Comma 11 4 2 2 8 3 2" xfId="11372" xr:uid="{63E002F1-88F8-47FD-B721-9D80F532558B}"/>
    <cellStyle name="Comma 11 4 2 2 8 3 2 2" xfId="14918" xr:uid="{6F85CA32-A04B-4304-96EB-9D27C1C8071D}"/>
    <cellStyle name="Comma 11 4 2 2 8 3 2 2 2" xfId="30095" xr:uid="{49833E2B-F549-448B-BC11-86E3265ED3AA}"/>
    <cellStyle name="Comma 11 4 2 2 8 3 2 3" xfId="26550" xr:uid="{F15F895D-6B8D-4A8D-ACE7-CCADECF7DF78}"/>
    <cellStyle name="Comma 11 4 2 2 8 3 3" xfId="7198" xr:uid="{CC9B66C8-B2BF-4FD2-97FE-915E3E389DC6}"/>
    <cellStyle name="Comma 11 4 2 2 8 3 3 2" xfId="22378" xr:uid="{4D8804D0-C0B6-4A08-B0A4-A6F8944345BF}"/>
    <cellStyle name="Comma 11 4 2 2 8 3 4" xfId="19090" xr:uid="{BA551977-9BD5-4B79-8981-DD79B2E51319}"/>
    <cellStyle name="Comma 11 4 2 2 8 4" xfId="4279" xr:uid="{C1E67050-248C-4A42-9E7D-E97E13E360F1}"/>
    <cellStyle name="Comma 11 4 2 2 8 4 2" xfId="11764" xr:uid="{0D3CCAA9-B6BD-47E6-8ED6-D1C1E3CC2B33}"/>
    <cellStyle name="Comma 11 4 2 2 8 4 2 2" xfId="15310" xr:uid="{E1C49E87-1006-4283-8CA9-7271C662F2C7}"/>
    <cellStyle name="Comma 11 4 2 2 8 4 2 2 2" xfId="30487" xr:uid="{29D795B4-9F70-43C3-869E-ABDE79A798F5}"/>
    <cellStyle name="Comma 11 4 2 2 8 4 2 3" xfId="26942" xr:uid="{74E539F7-FF97-49DE-B44C-5C26D4718835}"/>
    <cellStyle name="Comma 11 4 2 2 8 4 3" xfId="7590" xr:uid="{C8F3487F-DF63-426B-B518-27D23C844CE7}"/>
    <cellStyle name="Comma 11 4 2 2 8 4 3 2" xfId="22770" xr:uid="{A6346858-CD78-402B-B3E2-2A1555122D0D}"/>
    <cellStyle name="Comma 11 4 2 2 8 4 4" xfId="19482" xr:uid="{DCE0804C-E926-4B52-9555-94F504C65435}"/>
    <cellStyle name="Comma 11 4 2 2 8 5" xfId="2107" xr:uid="{5FC33724-42E9-4914-BE92-7724735862C7}"/>
    <cellStyle name="Comma 11 4 2 2 8 5 2" xfId="9604" xr:uid="{B2C9A9C4-E82F-4638-B2E5-FC8D69C1D50E}"/>
    <cellStyle name="Comma 11 4 2 2 8 5 2 2" xfId="24782" xr:uid="{FD55986A-CF75-4BB6-BA20-97705B40616A}"/>
    <cellStyle name="Comma 11 4 2 2 8 5 3" xfId="17322" xr:uid="{48675CD6-45C6-4615-9E91-B49576DDBE2C}"/>
    <cellStyle name="Comma 11 4 2 2 8 6" xfId="9090" xr:uid="{907BFDB3-3315-44B5-811F-80D549CF6D39}"/>
    <cellStyle name="Comma 11 4 2 2 8 6 2" xfId="13263" xr:uid="{577F76EB-A681-4901-8105-074EA539ABA0}"/>
    <cellStyle name="Comma 11 4 2 2 8 6 2 2" xfId="28440" xr:uid="{F1C3DF61-EA2C-422E-835A-80D41C996A43}"/>
    <cellStyle name="Comma 11 4 2 2 8 6 3" xfId="24268" xr:uid="{44391BA9-6685-444C-BE3A-49EEBE46D89E}"/>
    <cellStyle name="Comma 11 4 2 2 8 7" xfId="5430" xr:uid="{B98C895D-3E2D-424F-8495-588E46EC47FC}"/>
    <cellStyle name="Comma 11 4 2 2 8 7 2" xfId="20610" xr:uid="{5D3C7D1F-5E55-43E2-A420-4C7721C489A3}"/>
    <cellStyle name="Comma 11 4 2 2 8 8" xfId="16808" xr:uid="{C1F2AE49-A4BC-4A12-8FFC-6022C7903A5A}"/>
    <cellStyle name="Comma 11 4 2 2 9" xfId="1676" xr:uid="{53564222-E13D-4D54-8095-7949DF20AC37}"/>
    <cellStyle name="Comma 11 4 2 2 9 2" xfId="3095" xr:uid="{2ABEC6A5-ED93-44EF-A646-2C73200D18BE}"/>
    <cellStyle name="Comma 11 4 2 2 9 2 2" xfId="10586" xr:uid="{9EDA99A6-AA87-477D-BA3A-77FBF000BA5D}"/>
    <cellStyle name="Comma 11 4 2 2 9 2 2 2" xfId="14132" xr:uid="{A8F56A48-99F8-4243-A8EB-836B8BCF7233}"/>
    <cellStyle name="Comma 11 4 2 2 9 2 2 2 2" xfId="29309" xr:uid="{48D3BD49-0ADF-48AA-A8C6-F306A157107C}"/>
    <cellStyle name="Comma 11 4 2 2 9 2 2 3" xfId="25764" xr:uid="{F3AF5E30-6A55-47EF-9E3B-42F504B8E86E}"/>
    <cellStyle name="Comma 11 4 2 2 9 2 3" xfId="6412" xr:uid="{BCB563B6-5114-4DC7-A169-A31CFCBCC897}"/>
    <cellStyle name="Comma 11 4 2 2 9 2 3 2" xfId="21592" xr:uid="{87E1FB09-98BC-4F51-9085-6CD763C18D91}"/>
    <cellStyle name="Comma 11 4 2 2 9 2 4" xfId="18304" xr:uid="{B2F8EA27-8DB4-4A3A-B8F2-AA8691AABA40}"/>
    <cellStyle name="Comma 11 4 2 2 9 3" xfId="3982" xr:uid="{78EC23F1-35F5-47E2-BEF4-EE6B931F5E64}"/>
    <cellStyle name="Comma 11 4 2 2 9 3 2" xfId="11470" xr:uid="{84DAEBB7-675A-4218-AA7E-49AA69896312}"/>
    <cellStyle name="Comma 11 4 2 2 9 3 2 2" xfId="15016" xr:uid="{CE5E9EB2-F66C-45EB-BDF3-3EEC0D507A26}"/>
    <cellStyle name="Comma 11 4 2 2 9 3 2 2 2" xfId="30193" xr:uid="{E5D98684-4782-42B7-B665-9936D4ABD0B5}"/>
    <cellStyle name="Comma 11 4 2 2 9 3 2 3" xfId="26648" xr:uid="{1453CCCF-A4EA-402B-8E3B-703809FCF141}"/>
    <cellStyle name="Comma 11 4 2 2 9 3 3" xfId="7296" xr:uid="{50D8DFF5-B9C9-44E3-95DA-087020343AE3}"/>
    <cellStyle name="Comma 11 4 2 2 9 3 3 2" xfId="22476" xr:uid="{5D2EBCC5-95B1-42FA-AEDC-BBD2F41710D3}"/>
    <cellStyle name="Comma 11 4 2 2 9 3 4" xfId="19188" xr:uid="{682AFCE8-FA0D-49EF-9314-A7B015D48529}"/>
    <cellStyle name="Comma 11 4 2 2 9 4" xfId="4280" xr:uid="{E1B625CF-A0F8-436E-B31D-D937D376C2F3}"/>
    <cellStyle name="Comma 11 4 2 2 9 4 2" xfId="11765" xr:uid="{5CB23BE7-F458-4514-96CC-BE8E481A0991}"/>
    <cellStyle name="Comma 11 4 2 2 9 4 2 2" xfId="15311" xr:uid="{16D2881C-3FD7-4CC7-A361-C0EB925888C6}"/>
    <cellStyle name="Comma 11 4 2 2 9 4 2 2 2" xfId="30488" xr:uid="{F64FEC82-F74B-407D-B40D-A2E7F52076F2}"/>
    <cellStyle name="Comma 11 4 2 2 9 4 2 3" xfId="26943" xr:uid="{82B3631D-3C5A-47F8-9168-690414C92A27}"/>
    <cellStyle name="Comma 11 4 2 2 9 4 3" xfId="7591" xr:uid="{8155318F-CD71-46CF-8D96-F66979E7BACF}"/>
    <cellStyle name="Comma 11 4 2 2 9 4 3 2" xfId="22771" xr:uid="{E9837400-7239-4BBF-8188-08D6CF1777CF}"/>
    <cellStyle name="Comma 11 4 2 2 9 4 4" xfId="19483" xr:uid="{A0B3C420-FCD4-4038-9E6B-2290BB1BBE82}"/>
    <cellStyle name="Comma 11 4 2 2 9 5" xfId="2205" xr:uid="{9CE66BD7-AD3C-46E0-BFB8-4DA1E530E483}"/>
    <cellStyle name="Comma 11 4 2 2 9 5 2" xfId="9702" xr:uid="{3038C573-7410-458D-AB06-4D8C13455B1F}"/>
    <cellStyle name="Comma 11 4 2 2 9 5 2 2" xfId="24880" xr:uid="{40647E36-B3E6-4D36-A752-F8CB41AA294B}"/>
    <cellStyle name="Comma 11 4 2 2 9 5 3" xfId="17420" xr:uid="{3F7641C9-F91D-4B64-BF51-DD5E457B02CE}"/>
    <cellStyle name="Comma 11 4 2 2 9 6" xfId="9188" xr:uid="{F7D46A32-9DEB-4525-BA7A-5B88EA9AA8DD}"/>
    <cellStyle name="Comma 11 4 2 2 9 6 2" xfId="13361" xr:uid="{D85E0751-8CCC-4B27-BDB7-A1D9DC78B74F}"/>
    <cellStyle name="Comma 11 4 2 2 9 6 2 2" xfId="28538" xr:uid="{F8755DFD-EC8C-4C68-A631-A5E142845615}"/>
    <cellStyle name="Comma 11 4 2 2 9 6 3" xfId="24366" xr:uid="{858C22C7-8D9E-4CA0-9533-D314B7C814C3}"/>
    <cellStyle name="Comma 11 4 2 2 9 7" xfId="5528" xr:uid="{2A5C21BC-ACFB-4766-AE9F-9B34A2248349}"/>
    <cellStyle name="Comma 11 4 2 2 9 7 2" xfId="20708" xr:uid="{86F26CBB-6ECF-4DCF-A400-AD7426A5E6E6}"/>
    <cellStyle name="Comma 11 4 2 2 9 8" xfId="16906" xr:uid="{1A288DB7-4D54-48AB-9BF1-C31AA93F869A}"/>
    <cellStyle name="Comma 11 4 2 3" xfId="759" xr:uid="{F0B47EFB-820C-478C-94BD-A582A02920F7}"/>
    <cellStyle name="Comma 11 4 2 3 10" xfId="8425" xr:uid="{DAD9DAA4-C7BB-41A1-8FB8-6E4D292AF4DD}"/>
    <cellStyle name="Comma 11 4 2 3 10 2" xfId="12599" xr:uid="{AAC0FCAC-4980-47B9-AC9D-4A800656567B}"/>
    <cellStyle name="Comma 11 4 2 3 10 2 2" xfId="27776" xr:uid="{38E56EF2-486E-455C-A13F-46F1EF8B2F52}"/>
    <cellStyle name="Comma 11 4 2 3 10 3" xfId="23604" xr:uid="{8AB844F7-8E9A-4938-AD88-F5104998EE9F}"/>
    <cellStyle name="Comma 11 4 2 3 11" xfId="16144" xr:uid="{9615C6EC-AE95-4313-8D1E-413FD7B9AED4}"/>
    <cellStyle name="Comma 11 4 2 3 12" xfId="31486" xr:uid="{74A4BC24-C2B3-4581-B8C9-856650AC5AA6}"/>
    <cellStyle name="Comma 11 4 2 3 2" xfId="936" xr:uid="{3A628BDF-C4B5-4638-96D9-845BC31B9A13}"/>
    <cellStyle name="Comma 11 4 2 3 2 10" xfId="16266" xr:uid="{0F9DFB39-2D19-40D7-BC12-0C44F83076F2}"/>
    <cellStyle name="Comma 11 4 2 3 2 11" xfId="31356" xr:uid="{13931318-177C-4B75-9179-D37D68BDFF22}"/>
    <cellStyle name="Comma 11 4 2 3 2 12" xfId="31706" xr:uid="{A0ADAFB6-A84D-4DB3-A04A-BE2C8E8CFEBC}"/>
    <cellStyle name="Comma 11 4 2 3 2 2" xfId="1297" xr:uid="{27E8588A-F839-439D-A6A3-9D43CBAD8207}"/>
    <cellStyle name="Comma 11 4 2 3 2 2 2" xfId="3614" xr:uid="{31BEF7DE-289E-4F9F-9F6F-85C8FCB89C53}"/>
    <cellStyle name="Comma 11 4 2 3 2 2 2 2" xfId="11102" xr:uid="{D5835C72-EEF6-4BD7-9DA6-D02B20998F39}"/>
    <cellStyle name="Comma 11 4 2 3 2 2 2 2 2" xfId="14648" xr:uid="{73EB5FAC-E0C7-4189-8504-DAAC2B222BE8}"/>
    <cellStyle name="Comma 11 4 2 3 2 2 2 2 2 2" xfId="29825" xr:uid="{5553F4E9-73BB-41A7-BC00-77E3ABF47ADE}"/>
    <cellStyle name="Comma 11 4 2 3 2 2 2 2 3" xfId="26280" xr:uid="{EDA4CA50-400F-4AC2-B3E3-93389647C4F2}"/>
    <cellStyle name="Comma 11 4 2 3 2 2 2 3" xfId="6928" xr:uid="{7A7AF2F3-7537-4739-BC73-7DC9C509D976}"/>
    <cellStyle name="Comma 11 4 2 3 2 2 2 3 2" xfId="22108" xr:uid="{419F6EE9-CB71-4139-9AED-569A4F9DEC5D}"/>
    <cellStyle name="Comma 11 4 2 3 2 2 2 4" xfId="18820" xr:uid="{A93C3A26-8456-4198-8F9B-60F9A775B488}"/>
    <cellStyle name="Comma 11 4 2 3 2 2 3" xfId="4281" xr:uid="{FBBFF78E-7DC2-41F8-B24A-9DE96C4A2080}"/>
    <cellStyle name="Comma 11 4 2 3 2 2 3 2" xfId="11766" xr:uid="{8ABC109B-0B37-495B-99B6-ED112880F0F4}"/>
    <cellStyle name="Comma 11 4 2 3 2 2 3 2 2" xfId="15312" xr:uid="{1FAAAAC2-C36E-44E3-9C5B-512ECC41116E}"/>
    <cellStyle name="Comma 11 4 2 3 2 2 3 2 2 2" xfId="30489" xr:uid="{ECD8E4A7-976B-4082-AB48-6F03C8973889}"/>
    <cellStyle name="Comma 11 4 2 3 2 2 3 2 3" xfId="26944" xr:uid="{486F6F4D-884A-48CE-AA54-9591336D8971}"/>
    <cellStyle name="Comma 11 4 2 3 2 2 3 3" xfId="7592" xr:uid="{A47E3B4F-4342-4550-A8FF-8FD3A44D5D3C}"/>
    <cellStyle name="Comma 11 4 2 3 2 2 3 3 2" xfId="22772" xr:uid="{92F05D4F-1EF6-453E-BF80-FE6685C96B26}"/>
    <cellStyle name="Comma 11 4 2 3 2 2 3 4" xfId="19484" xr:uid="{6E0CB13F-9EE6-4F23-8F24-6259E05B3026}"/>
    <cellStyle name="Comma 11 4 2 3 2 2 4" xfId="2727" xr:uid="{39277D9E-1A34-4244-9E4F-7232C72ABD60}"/>
    <cellStyle name="Comma 11 4 2 3 2 2 4 2" xfId="10218" xr:uid="{446E8573-D44F-47D2-A2B4-9A3DC0B05B36}"/>
    <cellStyle name="Comma 11 4 2 3 2 2 4 2 2" xfId="25396" xr:uid="{39E78916-B9E4-457A-BC2D-3FB6D046BFD5}"/>
    <cellStyle name="Comma 11 4 2 3 2 2 4 3" xfId="17936" xr:uid="{31542926-2204-48A9-9205-7AC7F23E4EAF}"/>
    <cellStyle name="Comma 11 4 2 3 2 2 5" xfId="8820" xr:uid="{F914F009-87BE-4966-8B78-953F1F392476}"/>
    <cellStyle name="Comma 11 4 2 3 2 2 5 2" xfId="12993" xr:uid="{20F7A3A2-3485-4B7C-BDB6-C0BA09CD8540}"/>
    <cellStyle name="Comma 11 4 2 3 2 2 5 2 2" xfId="28170" xr:uid="{5EFA3538-336C-4C44-9A6B-A278F50680DD}"/>
    <cellStyle name="Comma 11 4 2 3 2 2 5 3" xfId="23998" xr:uid="{8CA0AEE9-54C1-44BA-8301-FF190333D008}"/>
    <cellStyle name="Comma 11 4 2 3 2 2 6" xfId="6044" xr:uid="{737830AC-653B-4147-9A92-5C782DF679C6}"/>
    <cellStyle name="Comma 11 4 2 3 2 2 6 2" xfId="21224" xr:uid="{3FFA63B6-FA1A-4212-A7E8-198340296BD0}"/>
    <cellStyle name="Comma 11 4 2 3 2 2 7" xfId="16538" xr:uid="{FF3C38F4-C717-4627-99D1-3914AB7791BF}"/>
    <cellStyle name="Comma 11 4 2 3 2 3" xfId="2454" xr:uid="{F24D188B-6886-46EC-A414-9DF9D93E2275}"/>
    <cellStyle name="Comma 11 4 2 3 2 3 2" xfId="9946" xr:uid="{77EB96CA-44E5-4248-9645-03EC6555F0A1}"/>
    <cellStyle name="Comma 11 4 2 3 2 3 2 2" xfId="13605" xr:uid="{43F4C967-3C2C-47C1-BEE4-54120A391653}"/>
    <cellStyle name="Comma 11 4 2 3 2 3 2 2 2" xfId="28782" xr:uid="{86EBF60C-7DF7-46F9-91F7-4DA805007352}"/>
    <cellStyle name="Comma 11 4 2 3 2 3 2 3" xfId="25124" xr:uid="{C71D8C7A-0654-4144-9ADF-93821A031C98}"/>
    <cellStyle name="Comma 11 4 2 3 2 3 3" xfId="5772" xr:uid="{65F43A91-145E-454A-B592-DBE89C981246}"/>
    <cellStyle name="Comma 11 4 2 3 2 3 3 2" xfId="20952" xr:uid="{3DA19CE4-0DF2-4364-B77B-CFA14408F799}"/>
    <cellStyle name="Comma 11 4 2 3 2 3 4" xfId="17664" xr:uid="{6C1AA622-B02E-4AA4-832F-E90C313DFE4F}"/>
    <cellStyle name="Comma 11 4 2 3 2 4" xfId="3342" xr:uid="{02C74986-86B1-486F-A910-169D2FC1C444}"/>
    <cellStyle name="Comma 11 4 2 3 2 4 2" xfId="10830" xr:uid="{29EDAE37-1172-46F0-80DA-26B4488CA99C}"/>
    <cellStyle name="Comma 11 4 2 3 2 4 2 2" xfId="14376" xr:uid="{4EEF22C3-D249-457C-9BA4-405E1AE09DBA}"/>
    <cellStyle name="Comma 11 4 2 3 2 4 2 2 2" xfId="29553" xr:uid="{7AACAC35-61CC-4A48-8FB5-FBFBE7AA81CF}"/>
    <cellStyle name="Comma 11 4 2 3 2 4 2 3" xfId="26008" xr:uid="{B3ED343D-8B87-4739-A65C-5602385D95FC}"/>
    <cellStyle name="Comma 11 4 2 3 2 4 3" xfId="6656" xr:uid="{169D32C8-ED0E-4B25-9D07-41C3368ABE80}"/>
    <cellStyle name="Comma 11 4 2 3 2 4 3 2" xfId="21836" xr:uid="{CE87943C-3731-4325-8BC3-5D38E16C44CA}"/>
    <cellStyle name="Comma 11 4 2 3 2 4 4" xfId="18548" xr:uid="{C7AB0397-8645-40AF-9EE3-EBFE7475455A}"/>
    <cellStyle name="Comma 11 4 2 3 2 5" xfId="4282" xr:uid="{A8D8C8BD-A974-4A6A-961C-4264DEA834EC}"/>
    <cellStyle name="Comma 11 4 2 3 2 5 2" xfId="11767" xr:uid="{DED29097-BA13-4126-83A4-A105FD62B8E4}"/>
    <cellStyle name="Comma 11 4 2 3 2 5 2 2" xfId="15313" xr:uid="{06355240-4A8B-4244-8A86-9E4E4348BF85}"/>
    <cellStyle name="Comma 11 4 2 3 2 5 2 2 2" xfId="30490" xr:uid="{CC3E4B9D-F2B1-48E5-AE99-C42C87D20D00}"/>
    <cellStyle name="Comma 11 4 2 3 2 5 2 3" xfId="26945" xr:uid="{D9EE303E-E8A9-4FDE-B7E5-2A4295269B1E}"/>
    <cellStyle name="Comma 11 4 2 3 2 5 3" xfId="7593" xr:uid="{F608B748-8587-4A90-90EB-924F994C0AC7}"/>
    <cellStyle name="Comma 11 4 2 3 2 5 3 2" xfId="22773" xr:uid="{8E3A53CC-3EE8-44BE-B6D0-772FF8F333CA}"/>
    <cellStyle name="Comma 11 4 2 3 2 5 4" xfId="19485" xr:uid="{23AD38E8-4D2F-46E1-8CA8-5E1015538F7E}"/>
    <cellStyle name="Comma 11 4 2 3 2 6" xfId="5016" xr:uid="{51175E42-3C16-427C-A84D-04D4FE250F74}"/>
    <cellStyle name="Comma 11 4 2 3 2 6 2" xfId="12500" xr:uid="{0035A23D-0ADF-4DA6-A3F9-A900423B80E6}"/>
    <cellStyle name="Comma 11 4 2 3 2 6 2 2" xfId="16046" xr:uid="{1B6D4359-F931-4884-99E3-EC6CED1DC1A4}"/>
    <cellStyle name="Comma 11 4 2 3 2 6 2 2 2" xfId="31223" xr:uid="{C0CB9830-13B8-4B49-922C-E4AD21B0C35A}"/>
    <cellStyle name="Comma 11 4 2 3 2 6 2 3" xfId="27678" xr:uid="{36EE421D-7049-48C7-8FA4-B8D804CF660D}"/>
    <cellStyle name="Comma 11 4 2 3 2 6 3" xfId="8326" xr:uid="{3EDB0A53-4482-4E3E-8C82-0C11A7BCBEA1}"/>
    <cellStyle name="Comma 11 4 2 3 2 6 3 2" xfId="23506" xr:uid="{7AFEEDC6-E5F2-4C6C-9A02-2549617E89B4}"/>
    <cellStyle name="Comma 11 4 2 3 2 6 4" xfId="20218" xr:uid="{8CB6B173-F998-4167-91D5-FA5392B7E0D5}"/>
    <cellStyle name="Comma 11 4 2 3 2 7" xfId="1837" xr:uid="{25B22ED1-9575-4C35-B1D2-AAA98E025B49}"/>
    <cellStyle name="Comma 11 4 2 3 2 7 2" xfId="9334" xr:uid="{0B3D5228-87DB-4413-A8A2-DCA5E76CB9A6}"/>
    <cellStyle name="Comma 11 4 2 3 2 7 2 2" xfId="24512" xr:uid="{FB92E3B1-C394-4C86-97FD-1C0B2F14C08E}"/>
    <cellStyle name="Comma 11 4 2 3 2 7 3" xfId="17052" xr:uid="{57BBC29E-5AA1-4944-B5BB-8F162C4AEAC1}"/>
    <cellStyle name="Comma 11 4 2 3 2 8" xfId="8548" xr:uid="{1A2B592A-15A1-46C7-BEA1-58734207DD62}"/>
    <cellStyle name="Comma 11 4 2 3 2 8 2" xfId="12721" xr:uid="{8EC74C26-A686-4424-9F8A-18A12B80F81F}"/>
    <cellStyle name="Comma 11 4 2 3 2 8 2 2" xfId="27898" xr:uid="{B84DF282-E50E-4A46-9590-E02FD304F1EA}"/>
    <cellStyle name="Comma 11 4 2 3 2 8 3" xfId="23726" xr:uid="{9501B426-D3E6-42E3-BF56-63A3282D576D}"/>
    <cellStyle name="Comma 11 4 2 3 2 9" xfId="5160" xr:uid="{F9AEE42D-20FB-455E-A032-B07DAE919B23}"/>
    <cellStyle name="Comma 11 4 2 3 2 9 2" xfId="20340" xr:uid="{C6F951B5-20A1-4C7F-A9EA-DB7345AFFB3E}"/>
    <cellStyle name="Comma 11 4 2 3 3" xfId="1039" xr:uid="{2AB0063B-CAA4-44FD-96A9-EE48E93F3ACE}"/>
    <cellStyle name="Comma 11 4 2 3 3 10" xfId="31584" xr:uid="{B30CE62D-4EBA-4781-A53E-2911B6D283DC}"/>
    <cellStyle name="Comma 11 4 2 3 3 2" xfId="1399" xr:uid="{219519F2-3392-4DEE-9CDB-E77E70EC1769}"/>
    <cellStyle name="Comma 11 4 2 3 3 2 2" xfId="3712" xr:uid="{30464886-98DA-477F-AE6D-9A0A17AEF44E}"/>
    <cellStyle name="Comma 11 4 2 3 3 2 2 2" xfId="11200" xr:uid="{7C381E83-001E-45C5-955B-6F6677E9F875}"/>
    <cellStyle name="Comma 11 4 2 3 3 2 2 2 2" xfId="14746" xr:uid="{D89C78EA-D787-49CA-9FE8-FEC52B68C966}"/>
    <cellStyle name="Comma 11 4 2 3 3 2 2 2 2 2" xfId="29923" xr:uid="{6DED42EB-BB19-4FFA-86B1-227929187679}"/>
    <cellStyle name="Comma 11 4 2 3 3 2 2 2 3" xfId="26378" xr:uid="{203A3880-66B9-42C1-A6DF-245C3FB59298}"/>
    <cellStyle name="Comma 11 4 2 3 3 2 2 3" xfId="7026" xr:uid="{81C81725-0D84-48A5-BEC4-B15D5D1E49B6}"/>
    <cellStyle name="Comma 11 4 2 3 3 2 2 3 2" xfId="22206" xr:uid="{2012C4FB-6528-41DC-BAC0-A1C5F9F3611D}"/>
    <cellStyle name="Comma 11 4 2 3 3 2 2 4" xfId="18918" xr:uid="{732EC8EC-2F4B-4461-923F-2467A5544C8D}"/>
    <cellStyle name="Comma 11 4 2 3 3 2 3" xfId="4283" xr:uid="{640981AB-CFE2-422A-A167-68A57025845F}"/>
    <cellStyle name="Comma 11 4 2 3 3 2 3 2" xfId="11768" xr:uid="{30F55475-84E1-4DE1-89A6-E53DAF7B0D72}"/>
    <cellStyle name="Comma 11 4 2 3 3 2 3 2 2" xfId="15314" xr:uid="{622A38DC-E405-44AD-9536-6C4D3BE72B79}"/>
    <cellStyle name="Comma 11 4 2 3 3 2 3 2 2 2" xfId="30491" xr:uid="{0F6A7B2D-86EC-425A-80A8-B465991BD522}"/>
    <cellStyle name="Comma 11 4 2 3 3 2 3 2 3" xfId="26946" xr:uid="{5328F41A-389F-490A-9F5F-9C365B06CA1D}"/>
    <cellStyle name="Comma 11 4 2 3 3 2 3 3" xfId="7594" xr:uid="{30788CFF-E14D-46F4-AC02-7EB6E90E472B}"/>
    <cellStyle name="Comma 11 4 2 3 3 2 3 3 2" xfId="22774" xr:uid="{2EC3B453-879B-4999-908F-4FB98AAB82B8}"/>
    <cellStyle name="Comma 11 4 2 3 3 2 3 4" xfId="19486" xr:uid="{F56A5D89-E072-4512-AB3E-333A1D5F6638}"/>
    <cellStyle name="Comma 11 4 2 3 3 2 4" xfId="2825" xr:uid="{3A13AA78-3A7F-47F3-8918-69631D65B15C}"/>
    <cellStyle name="Comma 11 4 2 3 3 2 4 2" xfId="10316" xr:uid="{19EFD667-C2BA-49E8-AC8F-B1E73C28CC2D}"/>
    <cellStyle name="Comma 11 4 2 3 3 2 4 2 2" xfId="25494" xr:uid="{2BF751CD-BFE7-4C59-B69E-48F1F372A480}"/>
    <cellStyle name="Comma 11 4 2 3 3 2 4 3" xfId="18034" xr:uid="{A625C1EF-FA23-4CFA-A86E-C5B572E78E97}"/>
    <cellStyle name="Comma 11 4 2 3 3 2 5" xfId="8918" xr:uid="{B4A601B1-1408-4415-BFCD-F95D3E5B6BF3}"/>
    <cellStyle name="Comma 11 4 2 3 3 2 5 2" xfId="13091" xr:uid="{717097CE-07B5-48D5-9350-629F92B88187}"/>
    <cellStyle name="Comma 11 4 2 3 3 2 5 2 2" xfId="28268" xr:uid="{FEA1AA60-DB43-4697-ADB9-C0AA210B37D7}"/>
    <cellStyle name="Comma 11 4 2 3 3 2 5 3" xfId="24096" xr:uid="{A9EA40EF-57FB-48F9-8F74-78F25F27C426}"/>
    <cellStyle name="Comma 11 4 2 3 3 2 6" xfId="6142" xr:uid="{C4F7E08A-1F36-46FE-ACF3-CE80CC2BFA1E}"/>
    <cellStyle name="Comma 11 4 2 3 3 2 6 2" xfId="21322" xr:uid="{1D2F1D46-3403-4726-AB0E-7BF208BFB61E}"/>
    <cellStyle name="Comma 11 4 2 3 3 2 7" xfId="16636" xr:uid="{7BB7D858-26FF-40E3-A433-54DD953BD24B}"/>
    <cellStyle name="Comma 11 4 2 3 3 3" xfId="2552" xr:uid="{E356F673-5018-4A6E-AC3A-C647B3BE0350}"/>
    <cellStyle name="Comma 11 4 2 3 3 3 2" xfId="10044" xr:uid="{FEFFD90D-6D05-413F-900E-70EE0C307169}"/>
    <cellStyle name="Comma 11 4 2 3 3 3 2 2" xfId="13703" xr:uid="{314CFFA1-3586-46DA-9A7C-C163E3F934A4}"/>
    <cellStyle name="Comma 11 4 2 3 3 3 2 2 2" xfId="28880" xr:uid="{4EA0A25B-7330-41D3-9DC8-24FFEDB56EBE}"/>
    <cellStyle name="Comma 11 4 2 3 3 3 2 3" xfId="25222" xr:uid="{163D0F21-EA77-4E24-B75B-5500594AA71F}"/>
    <cellStyle name="Comma 11 4 2 3 3 3 3" xfId="5870" xr:uid="{CA00A52E-7964-45DE-8233-8411E794696C}"/>
    <cellStyle name="Comma 11 4 2 3 3 3 3 2" xfId="21050" xr:uid="{6F5652C3-5A2B-4A84-90F2-9E51D85E2A7C}"/>
    <cellStyle name="Comma 11 4 2 3 3 3 4" xfId="17762" xr:uid="{F9DEE1EC-8EDE-4297-8205-018E906608AB}"/>
    <cellStyle name="Comma 11 4 2 3 3 4" xfId="3440" xr:uid="{F680A266-80F2-49A7-8763-C544ACDAAA27}"/>
    <cellStyle name="Comma 11 4 2 3 3 4 2" xfId="10928" xr:uid="{6748343B-08B4-4DD9-99C5-05B2987A2102}"/>
    <cellStyle name="Comma 11 4 2 3 3 4 2 2" xfId="14474" xr:uid="{21CC6DD1-F6A8-444D-8812-F744A293B0E6}"/>
    <cellStyle name="Comma 11 4 2 3 3 4 2 2 2" xfId="29651" xr:uid="{43DA7285-9894-43F7-B66E-6DDB14647AD5}"/>
    <cellStyle name="Comma 11 4 2 3 3 4 2 3" xfId="26106" xr:uid="{62039ED4-D883-4A82-BB63-C46D62647104}"/>
    <cellStyle name="Comma 11 4 2 3 3 4 3" xfId="6754" xr:uid="{356EC03D-9B97-4B05-B77C-7C55932DD3B7}"/>
    <cellStyle name="Comma 11 4 2 3 3 4 3 2" xfId="21934" xr:uid="{824EA214-8523-4AB3-80B6-A7A4E02AC942}"/>
    <cellStyle name="Comma 11 4 2 3 3 4 4" xfId="18646" xr:uid="{6619885D-4989-4A2F-AD0A-FF78EC549656}"/>
    <cellStyle name="Comma 11 4 2 3 3 5" xfId="4284" xr:uid="{58C72289-BD58-4DD6-8E05-EA1EC1400318}"/>
    <cellStyle name="Comma 11 4 2 3 3 5 2" xfId="11769" xr:uid="{4E95B51D-45D8-4B8D-A26E-C484123846F4}"/>
    <cellStyle name="Comma 11 4 2 3 3 5 2 2" xfId="15315" xr:uid="{27702661-ECAD-4232-95F9-36DF7DC1F391}"/>
    <cellStyle name="Comma 11 4 2 3 3 5 2 2 2" xfId="30492" xr:uid="{340E9705-D1F5-4494-B010-60FA677A199D}"/>
    <cellStyle name="Comma 11 4 2 3 3 5 2 3" xfId="26947" xr:uid="{26ED62A7-305A-4C25-9AEC-06889FB1CEBF}"/>
    <cellStyle name="Comma 11 4 2 3 3 5 3" xfId="7595" xr:uid="{8951FF86-F99D-4834-A3C6-3F290AE9B7B5}"/>
    <cellStyle name="Comma 11 4 2 3 3 5 3 2" xfId="22775" xr:uid="{427FBD0A-6307-4258-813B-37AD41936B15}"/>
    <cellStyle name="Comma 11 4 2 3 3 5 4" xfId="19487" xr:uid="{F0A3E388-B534-46B7-80BF-90B61478D0FF}"/>
    <cellStyle name="Comma 11 4 2 3 3 6" xfId="1935" xr:uid="{86D6D5BD-F2A5-42E5-84A3-C358424608DB}"/>
    <cellStyle name="Comma 11 4 2 3 3 6 2" xfId="9432" xr:uid="{04E96F35-FFB5-48F3-ACEF-5AC6EA55F6B9}"/>
    <cellStyle name="Comma 11 4 2 3 3 6 2 2" xfId="24610" xr:uid="{F3790D64-8CDF-4342-AC8A-BD32BEA538E6}"/>
    <cellStyle name="Comma 11 4 2 3 3 6 3" xfId="17150" xr:uid="{03E129C1-E615-4359-80BB-7E68D2CD4866}"/>
    <cellStyle name="Comma 11 4 2 3 3 7" xfId="8646" xr:uid="{76FDF7CB-C3C3-4AB1-9EDD-6D676390DFDA}"/>
    <cellStyle name="Comma 11 4 2 3 3 7 2" xfId="12819" xr:uid="{F27D6574-8FD2-4837-A1A6-0157DFC4E2C5}"/>
    <cellStyle name="Comma 11 4 2 3 3 7 2 2" xfId="27996" xr:uid="{6DBCA3A8-6043-42B1-AB4A-852F9F95BBE1}"/>
    <cellStyle name="Comma 11 4 2 3 3 7 3" xfId="23824" xr:uid="{519AB8C1-100E-49DC-AB1A-D338834C1A03}"/>
    <cellStyle name="Comma 11 4 2 3 3 8" xfId="5258" xr:uid="{23ECF7DE-CD2F-48A6-946F-19D395690F59}"/>
    <cellStyle name="Comma 11 4 2 3 3 8 2" xfId="20438" xr:uid="{1392B2D1-E809-4CBE-A273-D487AE3C71AD}"/>
    <cellStyle name="Comma 11 4 2 3 3 9" xfId="16364" xr:uid="{A8019027-D0CE-4F69-AE02-28AD10070627}"/>
    <cellStyle name="Comma 11 4 2 3 4" xfId="1498" xr:uid="{5A028EAA-FD3E-4D7C-97F4-60294DC39B78}"/>
    <cellStyle name="Comma 11 4 2 3 4 2" xfId="2923" xr:uid="{8245093E-BA56-4361-9D0A-2E9061B524FA}"/>
    <cellStyle name="Comma 11 4 2 3 4 2 2" xfId="10414" xr:uid="{BA2D1655-64C1-421D-A725-070CC82890EB}"/>
    <cellStyle name="Comma 11 4 2 3 4 2 2 2" xfId="13960" xr:uid="{C81F662C-22EE-4810-81E2-1C437421970C}"/>
    <cellStyle name="Comma 11 4 2 3 4 2 2 2 2" xfId="29137" xr:uid="{48073486-2FC8-4548-ABDD-EAFF85644BA8}"/>
    <cellStyle name="Comma 11 4 2 3 4 2 2 3" xfId="25592" xr:uid="{137D4F52-2580-4664-BAE9-039D52686900}"/>
    <cellStyle name="Comma 11 4 2 3 4 2 3" xfId="6240" xr:uid="{7AD78F67-9A12-4D0A-84CC-DAF9326F0270}"/>
    <cellStyle name="Comma 11 4 2 3 4 2 3 2" xfId="21420" xr:uid="{8A8F0A94-F1D3-4AD9-B71D-46D690FFCEA3}"/>
    <cellStyle name="Comma 11 4 2 3 4 2 4" xfId="18132" xr:uid="{0E376A07-E103-4F88-A79D-9F4470AE21D4}"/>
    <cellStyle name="Comma 11 4 2 3 4 3" xfId="3810" xr:uid="{24A0DE63-A649-422E-B8B0-18D3C618C2E2}"/>
    <cellStyle name="Comma 11 4 2 3 4 3 2" xfId="11298" xr:uid="{A0A52352-AC25-438B-BDB3-E548DBD4FC95}"/>
    <cellStyle name="Comma 11 4 2 3 4 3 2 2" xfId="14844" xr:uid="{823BB2E9-414C-464F-9575-E40D8BC70738}"/>
    <cellStyle name="Comma 11 4 2 3 4 3 2 2 2" xfId="30021" xr:uid="{7AB3D92D-B91D-4756-81DF-76FDC49170DD}"/>
    <cellStyle name="Comma 11 4 2 3 4 3 2 3" xfId="26476" xr:uid="{85853EA8-84A6-490A-A59E-C5C343ABC620}"/>
    <cellStyle name="Comma 11 4 2 3 4 3 3" xfId="7124" xr:uid="{819665D9-99D4-431F-9382-DDE0453FE025}"/>
    <cellStyle name="Comma 11 4 2 3 4 3 3 2" xfId="22304" xr:uid="{B0D507FF-4C8B-4A9B-A729-37EC76ABEA12}"/>
    <cellStyle name="Comma 11 4 2 3 4 3 4" xfId="19016" xr:uid="{8274D550-6FA6-45E9-829F-8C88C9E4D2A9}"/>
    <cellStyle name="Comma 11 4 2 3 4 4" xfId="4285" xr:uid="{B710F7C2-9E52-4169-A41A-5C2C9781AF1C}"/>
    <cellStyle name="Comma 11 4 2 3 4 4 2" xfId="11770" xr:uid="{AA40B0FA-6EEF-426A-AE2C-620A87FC76BA}"/>
    <cellStyle name="Comma 11 4 2 3 4 4 2 2" xfId="15316" xr:uid="{016354CF-7645-4C8E-9309-6BA78669363A}"/>
    <cellStyle name="Comma 11 4 2 3 4 4 2 2 2" xfId="30493" xr:uid="{FD419A13-29C9-49D7-A35D-063B44ED18BD}"/>
    <cellStyle name="Comma 11 4 2 3 4 4 2 3" xfId="26948" xr:uid="{5B9240E0-9849-45B0-8A63-B942B298EFAF}"/>
    <cellStyle name="Comma 11 4 2 3 4 4 3" xfId="7596" xr:uid="{96C3972F-B7A6-4013-9F69-84AC49622613}"/>
    <cellStyle name="Comma 11 4 2 3 4 4 3 2" xfId="22776" xr:uid="{B6204275-AC97-4930-A88B-86B6DA4D8D1D}"/>
    <cellStyle name="Comma 11 4 2 3 4 4 4" xfId="19488" xr:uid="{A0AD0C1B-D9E7-4408-9E98-FAA656357C9C}"/>
    <cellStyle name="Comma 11 4 2 3 4 5" xfId="2033" xr:uid="{FAD88209-DD51-4085-B9F6-86B0AFB2F2E6}"/>
    <cellStyle name="Comma 11 4 2 3 4 5 2" xfId="9530" xr:uid="{03F52B0F-CF4D-4FCA-BF83-1A35EAE5A8C0}"/>
    <cellStyle name="Comma 11 4 2 3 4 5 2 2" xfId="24708" xr:uid="{8F9EFD01-404A-495C-B4AA-4B5A7015A777}"/>
    <cellStyle name="Comma 11 4 2 3 4 5 3" xfId="17248" xr:uid="{B9DF5C47-1AA5-400F-BCA9-13B4591BA5B4}"/>
    <cellStyle name="Comma 11 4 2 3 4 6" xfId="9016" xr:uid="{C8689B7C-307E-4728-AF5C-B51AB96A09C4}"/>
    <cellStyle name="Comma 11 4 2 3 4 6 2" xfId="13189" xr:uid="{87B0BF21-B84F-4AB7-8BA4-AD1AE44BEDFA}"/>
    <cellStyle name="Comma 11 4 2 3 4 6 2 2" xfId="28366" xr:uid="{1F34440A-E94D-4707-8634-950924F7F142}"/>
    <cellStyle name="Comma 11 4 2 3 4 6 3" xfId="24194" xr:uid="{ABB33FDA-B35A-4271-A021-FDA6F908B18A}"/>
    <cellStyle name="Comma 11 4 2 3 4 7" xfId="5356" xr:uid="{F313FB01-1F9A-42BE-BB2E-254C2E2EFBBB}"/>
    <cellStyle name="Comma 11 4 2 3 4 7 2" xfId="20536" xr:uid="{2C05D434-0F1B-46F1-B2CC-090BDE361907}"/>
    <cellStyle name="Comma 11 4 2 3 4 8" xfId="16734" xr:uid="{0A594789-1BFE-4CEB-85A7-1ECF52F706C2}"/>
    <cellStyle name="Comma 11 4 2 3 5" xfId="1601" xr:uid="{186169FF-801B-4AB9-998F-6DE0C7487E0F}"/>
    <cellStyle name="Comma 11 4 2 3 5 2" xfId="3021" xr:uid="{DA062AA1-4055-47CF-934F-B26724DAF868}"/>
    <cellStyle name="Comma 11 4 2 3 5 2 2" xfId="10512" xr:uid="{02F551E9-BDC1-4E8A-A697-BAAF97D2BDA6}"/>
    <cellStyle name="Comma 11 4 2 3 5 2 2 2" xfId="14058" xr:uid="{AECDE094-F977-4F1F-AD40-930FB707DA6C}"/>
    <cellStyle name="Comma 11 4 2 3 5 2 2 2 2" xfId="29235" xr:uid="{B2485DE9-77AB-41BB-8C02-4B69620161DE}"/>
    <cellStyle name="Comma 11 4 2 3 5 2 2 3" xfId="25690" xr:uid="{38C19AA0-38E8-4E01-8ED6-8602BE4CE978}"/>
    <cellStyle name="Comma 11 4 2 3 5 2 3" xfId="6338" xr:uid="{A1B6DA68-4573-4462-A391-A71FAA410868}"/>
    <cellStyle name="Comma 11 4 2 3 5 2 3 2" xfId="21518" xr:uid="{86A8FBB2-B180-4782-ADB1-F6D8D797A63D}"/>
    <cellStyle name="Comma 11 4 2 3 5 2 4" xfId="18230" xr:uid="{87BD5021-9481-4BBA-9BE6-7481141F5B47}"/>
    <cellStyle name="Comma 11 4 2 3 5 3" xfId="3908" xr:uid="{6424DE71-2501-44EC-9381-345A094704FA}"/>
    <cellStyle name="Comma 11 4 2 3 5 3 2" xfId="11396" xr:uid="{713EAF36-F625-4383-972B-D2034FF89298}"/>
    <cellStyle name="Comma 11 4 2 3 5 3 2 2" xfId="14942" xr:uid="{D54E5B56-D6A5-46C4-8883-8443DA67F81B}"/>
    <cellStyle name="Comma 11 4 2 3 5 3 2 2 2" xfId="30119" xr:uid="{EC7D7DC8-C790-4819-BB21-19010094B1C4}"/>
    <cellStyle name="Comma 11 4 2 3 5 3 2 3" xfId="26574" xr:uid="{1D7CF7D0-794A-4472-90F2-D130400E60FF}"/>
    <cellStyle name="Comma 11 4 2 3 5 3 3" xfId="7222" xr:uid="{43EA6730-D7CE-450F-856C-13BFF668FB05}"/>
    <cellStyle name="Comma 11 4 2 3 5 3 3 2" xfId="22402" xr:uid="{1590F223-6CDF-4E3C-88A5-8AD893267D47}"/>
    <cellStyle name="Comma 11 4 2 3 5 3 4" xfId="19114" xr:uid="{C3D41EDE-326C-44DA-9B67-25B2C1909076}"/>
    <cellStyle name="Comma 11 4 2 3 5 4" xfId="4286" xr:uid="{65A53D68-846D-4DBB-A067-7B6AA614A32B}"/>
    <cellStyle name="Comma 11 4 2 3 5 4 2" xfId="11771" xr:uid="{EAB784E6-504F-4628-8D01-2A1B8EB34421}"/>
    <cellStyle name="Comma 11 4 2 3 5 4 2 2" xfId="15317" xr:uid="{319BA518-D521-4857-8A2B-67D2F6761D75}"/>
    <cellStyle name="Comma 11 4 2 3 5 4 2 2 2" xfId="30494" xr:uid="{35F7C991-452F-4CA0-A236-7C961E915DE4}"/>
    <cellStyle name="Comma 11 4 2 3 5 4 2 3" xfId="26949" xr:uid="{E3696D08-966B-4201-B36D-605D02E18E97}"/>
    <cellStyle name="Comma 11 4 2 3 5 4 3" xfId="7597" xr:uid="{40400D29-C854-46F2-9332-B1EEBDD65C54}"/>
    <cellStyle name="Comma 11 4 2 3 5 4 3 2" xfId="22777" xr:uid="{F3DA8B27-D841-493B-86AE-C8FD096479DF}"/>
    <cellStyle name="Comma 11 4 2 3 5 4 4" xfId="19489" xr:uid="{461B9B2F-0FD8-48FE-86F4-8BC28DFA7451}"/>
    <cellStyle name="Comma 11 4 2 3 5 5" xfId="2131" xr:uid="{B05232DB-99CC-4E2B-842B-52FB7113B842}"/>
    <cellStyle name="Comma 11 4 2 3 5 5 2" xfId="9628" xr:uid="{DCE31568-13F6-4716-B6BF-BFB50E968846}"/>
    <cellStyle name="Comma 11 4 2 3 5 5 2 2" xfId="24806" xr:uid="{F6ED4D31-33A8-4CD3-B667-D45094951CCC}"/>
    <cellStyle name="Comma 11 4 2 3 5 5 3" xfId="17346" xr:uid="{C1731375-6AA3-4359-8DE6-C5D555BF02E2}"/>
    <cellStyle name="Comma 11 4 2 3 5 6" xfId="9114" xr:uid="{F6CD557F-2B2F-4DDB-9117-12CA3995C8AC}"/>
    <cellStyle name="Comma 11 4 2 3 5 6 2" xfId="13287" xr:uid="{52BF0602-F705-4289-970D-D053727A8110}"/>
    <cellStyle name="Comma 11 4 2 3 5 6 2 2" xfId="28464" xr:uid="{E77CB79C-0314-4976-83D2-F7CC9F6BA31E}"/>
    <cellStyle name="Comma 11 4 2 3 5 6 3" xfId="24292" xr:uid="{C0042F10-C65C-400A-B432-2941894DEE58}"/>
    <cellStyle name="Comma 11 4 2 3 5 7" xfId="5454" xr:uid="{C9A2F126-59C1-48AF-BF56-70C4AF21EF35}"/>
    <cellStyle name="Comma 11 4 2 3 5 7 2" xfId="20634" xr:uid="{084D7811-03E7-444E-8818-1210E025A683}"/>
    <cellStyle name="Comma 11 4 2 3 5 8" xfId="16832" xr:uid="{88D09FAF-0DF4-4F45-8173-CF71734C8DDD}"/>
    <cellStyle name="Comma 11 4 2 3 6" xfId="1700" xr:uid="{F4221119-D05E-40DB-8DFA-59CDE82B3396}"/>
    <cellStyle name="Comma 11 4 2 3 6 2" xfId="3119" xr:uid="{54F7DD21-F2BE-485B-915E-258883CCD350}"/>
    <cellStyle name="Comma 11 4 2 3 6 2 2" xfId="10610" xr:uid="{DC37C575-DA06-44CE-ADB4-1D60C809FE12}"/>
    <cellStyle name="Comma 11 4 2 3 6 2 2 2" xfId="14156" xr:uid="{3B5A4E5E-A682-4582-A486-1F6649E45312}"/>
    <cellStyle name="Comma 11 4 2 3 6 2 2 2 2" xfId="29333" xr:uid="{6108D8E1-1CA2-4EA9-A4AE-0AB2D3F0C635}"/>
    <cellStyle name="Comma 11 4 2 3 6 2 2 3" xfId="25788" xr:uid="{04469F66-A8DC-4BE0-9596-D66E56838AD2}"/>
    <cellStyle name="Comma 11 4 2 3 6 2 3" xfId="6436" xr:uid="{76F6CEEB-4718-4424-B532-E70D70F8A8CC}"/>
    <cellStyle name="Comma 11 4 2 3 6 2 3 2" xfId="21616" xr:uid="{D8676392-9DBC-4DDA-9DE4-24D89A49CB2C}"/>
    <cellStyle name="Comma 11 4 2 3 6 2 4" xfId="18328" xr:uid="{5C987C58-9D0C-448B-B210-7259B4817A50}"/>
    <cellStyle name="Comma 11 4 2 3 6 3" xfId="4006" xr:uid="{00966A41-0DBA-4C79-970A-860A0633F0E0}"/>
    <cellStyle name="Comma 11 4 2 3 6 3 2" xfId="11494" xr:uid="{33A520F3-3690-4B9A-82DC-2781EB07A0F5}"/>
    <cellStyle name="Comma 11 4 2 3 6 3 2 2" xfId="15040" xr:uid="{03D6E92C-B103-442C-B4A7-0D07B454CB1E}"/>
    <cellStyle name="Comma 11 4 2 3 6 3 2 2 2" xfId="30217" xr:uid="{72C3CD83-28E7-406F-AEB2-A62D4F5767B9}"/>
    <cellStyle name="Comma 11 4 2 3 6 3 2 3" xfId="26672" xr:uid="{A739142A-20BE-402C-80BF-178CC2E14E42}"/>
    <cellStyle name="Comma 11 4 2 3 6 3 3" xfId="7320" xr:uid="{420E87FB-57C4-47D6-BB44-74EC0AC91091}"/>
    <cellStyle name="Comma 11 4 2 3 6 3 3 2" xfId="22500" xr:uid="{5684D724-4DC3-4470-8E2A-773FA9C73895}"/>
    <cellStyle name="Comma 11 4 2 3 6 3 4" xfId="19212" xr:uid="{99FA899C-1F55-4A89-B9A7-FCFA9022C409}"/>
    <cellStyle name="Comma 11 4 2 3 6 4" xfId="4287" xr:uid="{682A3367-F876-48DB-B917-C4C4EA0B9FB3}"/>
    <cellStyle name="Comma 11 4 2 3 6 4 2" xfId="11772" xr:uid="{902B54F7-EA98-4F3A-BC9E-9F991DDB63B4}"/>
    <cellStyle name="Comma 11 4 2 3 6 4 2 2" xfId="15318" xr:uid="{D4BDABA3-B2EC-4238-97FF-62B0CE81EFC2}"/>
    <cellStyle name="Comma 11 4 2 3 6 4 2 2 2" xfId="30495" xr:uid="{5D4313A6-070D-4B9F-B2FD-EF707E57CFB2}"/>
    <cellStyle name="Comma 11 4 2 3 6 4 2 3" xfId="26950" xr:uid="{10699E2C-9958-4281-9C1E-A3AFEA72FAC2}"/>
    <cellStyle name="Comma 11 4 2 3 6 4 3" xfId="7598" xr:uid="{FBC5B94A-6A4B-4DED-96D3-A8B7E950C55B}"/>
    <cellStyle name="Comma 11 4 2 3 6 4 3 2" xfId="22778" xr:uid="{8C89DCAA-CA04-4F6B-B2D2-09E10F592CEE}"/>
    <cellStyle name="Comma 11 4 2 3 6 4 4" xfId="19490" xr:uid="{B525A202-0F5D-4D75-A5B3-FCD6B1D8F941}"/>
    <cellStyle name="Comma 11 4 2 3 6 5" xfId="2229" xr:uid="{B1C0F04D-2C16-4861-9946-00D7763348DE}"/>
    <cellStyle name="Comma 11 4 2 3 6 5 2" xfId="9726" xr:uid="{BB245947-D5E6-4243-A2A7-7765FB624671}"/>
    <cellStyle name="Comma 11 4 2 3 6 5 2 2" xfId="24904" xr:uid="{53894290-3174-4600-8EB4-E40A901AEF73}"/>
    <cellStyle name="Comma 11 4 2 3 6 5 3" xfId="17444" xr:uid="{AFDDE9B7-1FAA-42E0-B615-0B8558089716}"/>
    <cellStyle name="Comma 11 4 2 3 6 6" xfId="9212" xr:uid="{A65E2B67-C25B-4F08-AD00-E041428840C1}"/>
    <cellStyle name="Comma 11 4 2 3 6 6 2" xfId="13385" xr:uid="{9117B985-D08B-4757-A12B-0648C7FD1C6D}"/>
    <cellStyle name="Comma 11 4 2 3 6 6 2 2" xfId="28562" xr:uid="{6AA3B7EE-DB12-430D-A853-1CF114EB230E}"/>
    <cellStyle name="Comma 11 4 2 3 6 6 3" xfId="24390" xr:uid="{30302AA1-F962-464B-9C25-F1773141C74A}"/>
    <cellStyle name="Comma 11 4 2 3 6 7" xfId="5552" xr:uid="{E4277C24-E8E3-4D13-922D-7843CEEAB425}"/>
    <cellStyle name="Comma 11 4 2 3 6 7 2" xfId="20732" xr:uid="{8FDB7741-4B5E-45AF-B404-FDE8796CFFF6}"/>
    <cellStyle name="Comma 11 4 2 3 6 8" xfId="16930" xr:uid="{569C6A56-4587-4362-8649-9586848F0BB2}"/>
    <cellStyle name="Comma 11 4 2 3 7" xfId="2329" xr:uid="{7C0FABF2-533E-4BCF-A4B9-6777C3DFCB6F}"/>
    <cellStyle name="Comma 11 4 2 3 7 2" xfId="9824" xr:uid="{E4A8CC47-3493-4EC6-9615-A90E8742C0D7}"/>
    <cellStyle name="Comma 11 4 2 3 7 2 2" xfId="13483" xr:uid="{E8D3FC55-5F2F-4DFF-B9E7-6DB2A50BE2B5}"/>
    <cellStyle name="Comma 11 4 2 3 7 2 2 2" xfId="28660" xr:uid="{BB916FC9-D211-450F-B5EE-2A90012D1F83}"/>
    <cellStyle name="Comma 11 4 2 3 7 2 3" xfId="25002" xr:uid="{470A1CE0-FE64-4713-9068-DD444A28C69E}"/>
    <cellStyle name="Comma 11 4 2 3 7 3" xfId="5650" xr:uid="{23B75A25-F399-4393-9D9A-F4D15AF2C439}"/>
    <cellStyle name="Comma 11 4 2 3 7 3 2" xfId="20830" xr:uid="{4B78ACD1-27A8-4357-B1FC-1E11ECF6F8C7}"/>
    <cellStyle name="Comma 11 4 2 3 7 4" xfId="17542" xr:uid="{42A06702-8304-4A5A-8A84-0A2A5761BA11}"/>
    <cellStyle name="Comma 11 4 2 3 8" xfId="3219" xr:uid="{981E45CA-CA07-4EA3-8B06-EC7B730CABC0}"/>
    <cellStyle name="Comma 11 4 2 3 8 2" xfId="10708" xr:uid="{2B3BD6C3-9B65-4974-ACBA-49DEB08B8B3E}"/>
    <cellStyle name="Comma 11 4 2 3 8 2 2" xfId="14254" xr:uid="{C8CD6626-1AED-4AA8-A0D5-03B9A0A51CB6}"/>
    <cellStyle name="Comma 11 4 2 3 8 2 2 2" xfId="29431" xr:uid="{40FCB64F-B314-4ABC-8C78-93AD5EA3B9CE}"/>
    <cellStyle name="Comma 11 4 2 3 8 2 3" xfId="25886" xr:uid="{ABF956DB-6C6B-4441-B448-0C5F8C1E36B3}"/>
    <cellStyle name="Comma 11 4 2 3 8 3" xfId="6534" xr:uid="{BF6F7026-C664-441C-AF1D-9E5F85B35A70}"/>
    <cellStyle name="Comma 11 4 2 3 8 3 2" xfId="21714" xr:uid="{B4BE215F-63EC-43A6-B8E9-DE76C082903B}"/>
    <cellStyle name="Comma 11 4 2 3 8 4" xfId="18426" xr:uid="{D77B7654-F3C5-4210-A74F-D0A4DBEE2FFC}"/>
    <cellStyle name="Comma 11 4 2 3 9" xfId="4288" xr:uid="{B31E5BB1-1C66-4160-8B68-14F32095CF8F}"/>
    <cellStyle name="Comma 11 4 2 3 9 2" xfId="11773" xr:uid="{AAC01184-2AA6-40DD-81B5-9C27EB6A336C}"/>
    <cellStyle name="Comma 11 4 2 3 9 2 2" xfId="15319" xr:uid="{8F2FBB22-A6BC-4C94-81B8-422BA0473623}"/>
    <cellStyle name="Comma 11 4 2 3 9 2 2 2" xfId="30496" xr:uid="{46C2D91E-1DB2-4BB3-83CD-25360A69F68A}"/>
    <cellStyle name="Comma 11 4 2 3 9 2 3" xfId="26951" xr:uid="{4EC3AE4B-CAA2-4D88-9E35-099DF3C0D249}"/>
    <cellStyle name="Comma 11 4 2 3 9 3" xfId="7599" xr:uid="{24094E3E-654D-418A-981C-6DA85A0C690F}"/>
    <cellStyle name="Comma 11 4 2 3 9 3 2" xfId="22779" xr:uid="{C82A521D-DE1E-4DA4-AC92-C783838EF1B3}"/>
    <cellStyle name="Comma 11 4 2 3 9 4" xfId="19491" xr:uid="{52940E6F-7780-47BC-92F3-8F78BB46396C}"/>
    <cellStyle name="Comma 11 4 2 4" xfId="887" xr:uid="{BACC21DB-9D19-4863-BA32-1A10751639A3}"/>
    <cellStyle name="Comma 11 4 2 4 2" xfId="2405" xr:uid="{4291BA56-E75F-41DF-A8B0-87D0C0E6BAA0}"/>
    <cellStyle name="Comma 11 4 2 4 2 2" xfId="9897" xr:uid="{1F3AC58A-6BAA-4533-BE0D-DCDC9E023322}"/>
    <cellStyle name="Comma 11 4 2 4 2 2 2" xfId="13556" xr:uid="{B8948639-8996-48BC-ADD6-659FFD2BAA55}"/>
    <cellStyle name="Comma 11 4 2 4 2 2 2 2" xfId="28733" xr:uid="{63B0CC0C-84B7-407F-AA6F-625EACD09DCB}"/>
    <cellStyle name="Comma 11 4 2 4 2 2 3" xfId="25075" xr:uid="{0DC15E7E-0852-4E5B-9865-F95A0BCC977B}"/>
    <cellStyle name="Comma 11 4 2 4 2 3" xfId="5723" xr:uid="{F7B9A85E-0CF4-44A7-B0C9-A6B8E16C1D3F}"/>
    <cellStyle name="Comma 11 4 2 4 2 3 2" xfId="20903" xr:uid="{9645372C-E5DC-4F8B-8EAD-37055AB9018A}"/>
    <cellStyle name="Comma 11 4 2 4 2 4" xfId="17615" xr:uid="{769A17A2-2002-4DB7-8AE1-3D57987AEC64}"/>
    <cellStyle name="Comma 11 4 2 4 3" xfId="3293" xr:uid="{D56ACBE8-D536-48AF-9735-248A0D7DC1F3}"/>
    <cellStyle name="Comma 11 4 2 4 3 2" xfId="10781" xr:uid="{AFCB7586-392F-4F14-8DF1-D13C599193D1}"/>
    <cellStyle name="Comma 11 4 2 4 3 2 2" xfId="14327" xr:uid="{A5F47FD3-4F06-487D-854B-E5DF40CDB423}"/>
    <cellStyle name="Comma 11 4 2 4 3 2 2 2" xfId="29504" xr:uid="{51022C34-AC70-46AA-ABBC-F1BF7CAF1DA9}"/>
    <cellStyle name="Comma 11 4 2 4 3 2 3" xfId="25959" xr:uid="{9EEC4A75-C22A-4912-994C-0FC6C2843718}"/>
    <cellStyle name="Comma 11 4 2 4 3 3" xfId="6607" xr:uid="{20D0691F-D3C7-45C7-B0C4-8148773FAD29}"/>
    <cellStyle name="Comma 11 4 2 4 3 3 2" xfId="21787" xr:uid="{BA1E4D06-41FE-416F-912C-60ED73C602B2}"/>
    <cellStyle name="Comma 11 4 2 4 3 4" xfId="18499" xr:uid="{3B41C41B-A1A8-49F8-A101-83310678C806}"/>
    <cellStyle name="Comma 11 4 2 4 4" xfId="4289" xr:uid="{C3C90C1A-E8E5-4B30-A3E0-41880991C6E6}"/>
    <cellStyle name="Comma 11 4 2 4 4 2" xfId="11774" xr:uid="{B3037C30-FD49-498B-A6FF-D4DDF455FFBE}"/>
    <cellStyle name="Comma 11 4 2 4 4 2 2" xfId="15320" xr:uid="{144D4486-CB67-42D2-AD0B-0A38C186605F}"/>
    <cellStyle name="Comma 11 4 2 4 4 2 2 2" xfId="30497" xr:uid="{4EB2B9B2-4600-4AA8-9224-EA70E1796EA4}"/>
    <cellStyle name="Comma 11 4 2 4 4 2 3" xfId="26952" xr:uid="{21C4E278-9183-4833-AC82-2A2CDDD2BE1C}"/>
    <cellStyle name="Comma 11 4 2 4 4 3" xfId="7600" xr:uid="{FBCC60B3-84DA-4A3E-B1D8-44333CB3B96A}"/>
    <cellStyle name="Comma 11 4 2 4 4 3 2" xfId="22780" xr:uid="{47170B06-1D5E-413B-9D95-557CAB9BFF7C}"/>
    <cellStyle name="Comma 11 4 2 4 4 4" xfId="19492" xr:uid="{D2E53ECD-484E-430F-A3C6-682F5E5D54D8}"/>
    <cellStyle name="Comma 11 4 2 4 5" xfId="8499" xr:uid="{1309C2CF-607F-4E36-B5DD-C0CEBDC25668}"/>
    <cellStyle name="Comma 11 4 2 4 5 2" xfId="12672" xr:uid="{E1438562-35D4-459E-AE39-0DBC8F4458BE}"/>
    <cellStyle name="Comma 11 4 2 4 5 2 2" xfId="27849" xr:uid="{609B77ED-2C18-4B1C-A475-C283B9D7377B}"/>
    <cellStyle name="Comma 11 4 2 4 5 3" xfId="23677" xr:uid="{7F8FFFDC-793C-4D74-B954-5A5589927BAE}"/>
    <cellStyle name="Comma 11 4 2 4 6" xfId="16217" xr:uid="{20452750-B813-450D-847B-7F19B58D8843}"/>
    <cellStyle name="Comma 11 4 2 4 7" xfId="31657" xr:uid="{456F7438-9060-4339-AF0C-F81B02775E86}"/>
    <cellStyle name="Comma 11 4 2 5" xfId="990" xr:uid="{3C240CEA-5D83-4F6B-B613-9E116F08D6A3}"/>
    <cellStyle name="Comma 11 4 2 5 2" xfId="2503" xr:uid="{552C772F-24A6-431C-8EF3-95EB8491486B}"/>
    <cellStyle name="Comma 11 4 2 5 2 2" xfId="9995" xr:uid="{A6D07032-8199-4CB4-8681-447D6BB73A71}"/>
    <cellStyle name="Comma 11 4 2 5 2 2 2" xfId="13654" xr:uid="{05B4440C-5EC8-4E31-A96E-E8850C66E613}"/>
    <cellStyle name="Comma 11 4 2 5 2 2 2 2" xfId="28831" xr:uid="{88CED6F7-EDFC-41EF-9E50-CFE376EDEFCD}"/>
    <cellStyle name="Comma 11 4 2 5 2 2 3" xfId="25173" xr:uid="{FAC5DB27-3E6E-48FE-9458-8E2B85B52207}"/>
    <cellStyle name="Comma 11 4 2 5 2 3" xfId="5821" xr:uid="{AF3903B6-E7FF-4041-8EA4-C2F392580A88}"/>
    <cellStyle name="Comma 11 4 2 5 2 3 2" xfId="21001" xr:uid="{1FA671ED-AB8D-4683-9945-88C17EBD377C}"/>
    <cellStyle name="Comma 11 4 2 5 2 4" xfId="17713" xr:uid="{2B4450D3-204C-42C9-816B-5CE3D099708A}"/>
    <cellStyle name="Comma 11 4 2 5 3" xfId="3391" xr:uid="{3B806F8C-62CF-4DF2-892D-CB5ECA4FDDE3}"/>
    <cellStyle name="Comma 11 4 2 5 3 2" xfId="10879" xr:uid="{048F478D-2DF3-4C5D-A4F4-DD0A3C7A1066}"/>
    <cellStyle name="Comma 11 4 2 5 3 2 2" xfId="14425" xr:uid="{F1B7590F-91BD-4253-84B3-0AC08D2A32DB}"/>
    <cellStyle name="Comma 11 4 2 5 3 2 2 2" xfId="29602" xr:uid="{0E2ABCBC-210E-4C43-ABDE-BBCB98A81429}"/>
    <cellStyle name="Comma 11 4 2 5 3 2 3" xfId="26057" xr:uid="{E457124D-799C-48DE-922E-933F9E9CA6E8}"/>
    <cellStyle name="Comma 11 4 2 5 3 3" xfId="6705" xr:uid="{67B9CE9F-595B-4C7D-872B-4F651501BA91}"/>
    <cellStyle name="Comma 11 4 2 5 3 3 2" xfId="21885" xr:uid="{7CB450F4-59E6-4985-B548-98B8E6A86206}"/>
    <cellStyle name="Comma 11 4 2 5 3 4" xfId="18597" xr:uid="{E8E5039B-1815-49EC-8A5E-B9C7E54E7A39}"/>
    <cellStyle name="Comma 11 4 2 5 4" xfId="4290" xr:uid="{2FF8E24A-0918-48A1-9A9B-4134994B8C1F}"/>
    <cellStyle name="Comma 11 4 2 5 4 2" xfId="11775" xr:uid="{DDE9EF96-6B5B-47F0-BB7C-CDB46E1C436A}"/>
    <cellStyle name="Comma 11 4 2 5 4 2 2" xfId="15321" xr:uid="{BE971AB0-A3E7-4EB5-9888-0C65211A944A}"/>
    <cellStyle name="Comma 11 4 2 5 4 2 2 2" xfId="30498" xr:uid="{B1D2CF7F-20E4-4149-B0DA-BA439D5B1C9E}"/>
    <cellStyle name="Comma 11 4 2 5 4 2 3" xfId="26953" xr:uid="{1509AA89-C367-406D-8668-B87E7DC2D6B5}"/>
    <cellStyle name="Comma 11 4 2 5 4 3" xfId="7601" xr:uid="{80F79FCB-6EE6-4388-B203-9AACBF780ACA}"/>
    <cellStyle name="Comma 11 4 2 5 4 3 2" xfId="22781" xr:uid="{CF664040-CF31-41F1-98E7-13D4E9A420F9}"/>
    <cellStyle name="Comma 11 4 2 5 4 4" xfId="19493" xr:uid="{4FBB5A73-D018-4964-BE6E-B2672DAA012C}"/>
    <cellStyle name="Comma 11 4 2 5 5" xfId="8597" xr:uid="{C60D2289-1721-48AE-ABD0-4E1A6499E6C5}"/>
    <cellStyle name="Comma 11 4 2 5 5 2" xfId="12770" xr:uid="{438DB871-E1A0-465C-9127-23E1F7797A23}"/>
    <cellStyle name="Comma 11 4 2 5 5 2 2" xfId="27947" xr:uid="{F5D5B26B-C4CC-4EDA-921F-17D8B663A167}"/>
    <cellStyle name="Comma 11 4 2 5 5 3" xfId="23775" xr:uid="{B79B9284-2409-459B-AD11-66F7ED34A751}"/>
    <cellStyle name="Comma 11 4 2 5 6" xfId="16315" xr:uid="{A38AD3A0-FA21-4611-A354-5DB8320EFA2F}"/>
    <cellStyle name="Comma 11 4 2 5 7" xfId="31535" xr:uid="{21B03B96-6126-4C63-9E03-91D62AB46C8A}"/>
    <cellStyle name="Comma 11 4 2 6" xfId="1173" xr:uid="{FA395BD8-BA3B-44FC-B68B-7B0D7C52D6DC}"/>
    <cellStyle name="Comma 11 4 2 6 2" xfId="2606" xr:uid="{A1CF97E3-7342-475D-A8C0-9A52B82DCE56}"/>
    <cellStyle name="Comma 11 4 2 6 2 2" xfId="10097" xr:uid="{1F9AE5A8-0F68-48FF-91BE-B2AFF3FD3494}"/>
    <cellStyle name="Comma 11 4 2 6 2 2 2" xfId="13755" xr:uid="{B76CE67A-F3A3-4542-B9B7-8F5E21BC23ED}"/>
    <cellStyle name="Comma 11 4 2 6 2 2 2 2" xfId="28932" xr:uid="{70558842-2B79-47C9-B4A6-C25C05C6CECA}"/>
    <cellStyle name="Comma 11 4 2 6 2 2 3" xfId="25275" xr:uid="{82614E07-1A92-4307-95EF-FC5BBA0E7CB7}"/>
    <cellStyle name="Comma 11 4 2 6 2 3" xfId="5923" xr:uid="{0318FA60-23BE-4FB1-A182-933D2322F92D}"/>
    <cellStyle name="Comma 11 4 2 6 2 3 2" xfId="21103" xr:uid="{0AC255A5-5998-494E-9531-8B170EE52232}"/>
    <cellStyle name="Comma 11 4 2 6 2 4" xfId="17815" xr:uid="{85AE6E7E-4A63-47B3-AC75-7691D4A740ED}"/>
    <cellStyle name="Comma 11 4 2 6 3" xfId="3493" xr:uid="{16B41A32-C1C7-4742-92C3-6161944CBE5A}"/>
    <cellStyle name="Comma 11 4 2 6 3 2" xfId="10981" xr:uid="{F4FBF178-1364-4440-BF4B-65BC47FC5A29}"/>
    <cellStyle name="Comma 11 4 2 6 3 2 2" xfId="14527" xr:uid="{49CB9F0C-EB7D-4D8D-BC84-BAEBABAE7C85}"/>
    <cellStyle name="Comma 11 4 2 6 3 2 2 2" xfId="29704" xr:uid="{DB1DA014-2FB4-494F-89CA-B5EB2BDB4E95}"/>
    <cellStyle name="Comma 11 4 2 6 3 2 3" xfId="26159" xr:uid="{A7376AC7-3748-4EC4-8BD9-04DEB62CE6BB}"/>
    <cellStyle name="Comma 11 4 2 6 3 3" xfId="6807" xr:uid="{1CC9EDB9-9150-4683-B0FF-83DD06CDEEE2}"/>
    <cellStyle name="Comma 11 4 2 6 3 3 2" xfId="21987" xr:uid="{21FDAAA1-EE13-48C9-9241-E8A69EE400B5}"/>
    <cellStyle name="Comma 11 4 2 6 3 4" xfId="18699" xr:uid="{00156884-56C4-4711-894C-C10F10A3D39A}"/>
    <cellStyle name="Comma 11 4 2 6 4" xfId="4291" xr:uid="{73CB21C6-B0E9-488C-BB01-9E679DE969E7}"/>
    <cellStyle name="Comma 11 4 2 6 4 2" xfId="11776" xr:uid="{C9541FA5-8F70-4B7F-BDED-2ED1CE9DD824}"/>
    <cellStyle name="Comma 11 4 2 6 4 2 2" xfId="15322" xr:uid="{DCE1E59C-029B-426B-A5B0-B651991CE60B}"/>
    <cellStyle name="Comma 11 4 2 6 4 2 2 2" xfId="30499" xr:uid="{46C36F70-C9BA-47DC-8E61-96921C4B0E1B}"/>
    <cellStyle name="Comma 11 4 2 6 4 2 3" xfId="26954" xr:uid="{00F855CA-620B-4407-97C2-563587F191AA}"/>
    <cellStyle name="Comma 11 4 2 6 4 3" xfId="7602" xr:uid="{8C5B68CD-6297-4FE2-BCEC-CF94A21B422E}"/>
    <cellStyle name="Comma 11 4 2 6 4 3 2" xfId="22782" xr:uid="{1CE49ADC-F5FB-40F5-BA9A-410EF5CDB460}"/>
    <cellStyle name="Comma 11 4 2 6 4 4" xfId="19494" xr:uid="{EAC7D208-F065-4629-BA68-B30518549C70}"/>
    <cellStyle name="Comma 11 4 2 6 5" xfId="8699" xr:uid="{551AE6E7-25A6-45F3-A64F-1C6B7777A8B3}"/>
    <cellStyle name="Comma 11 4 2 6 5 2" xfId="12872" xr:uid="{6CA023D3-E5E3-4286-A7A3-B73481B01D0D}"/>
    <cellStyle name="Comma 11 4 2 6 5 2 2" xfId="28049" xr:uid="{E4D7DAF4-1510-4866-984E-5C691DAF7618}"/>
    <cellStyle name="Comma 11 4 2 6 5 3" xfId="23877" xr:uid="{B68B85AE-262E-4018-8C51-1E291A2AF296}"/>
    <cellStyle name="Comma 11 4 2 6 6" xfId="16417" xr:uid="{5F5D8882-565C-4CEB-ADBC-959B3D63A1E1}"/>
    <cellStyle name="Comma 11 4 2 7" xfId="1199" xr:uid="{3CEF86C4-FC20-4102-A81E-8D4F4267B8B4}"/>
    <cellStyle name="Comma 11 4 2 7 2" xfId="2630" xr:uid="{14CAD593-D341-4196-ADC0-D2E5DE2AF706}"/>
    <cellStyle name="Comma 11 4 2 7 2 2" xfId="10121" xr:uid="{63294E4F-8AB9-4DAC-A946-8D166FED4927}"/>
    <cellStyle name="Comma 11 4 2 7 2 2 2" xfId="13779" xr:uid="{CB7809CD-FA26-4BF9-ADBC-EB9CD4A2F364}"/>
    <cellStyle name="Comma 11 4 2 7 2 2 2 2" xfId="28956" xr:uid="{6C50B621-8BF4-4FD8-A0B7-BEE6791530DB}"/>
    <cellStyle name="Comma 11 4 2 7 2 2 3" xfId="25299" xr:uid="{9AB77BCA-7B3B-4B93-8C02-C1074F9C64D4}"/>
    <cellStyle name="Comma 11 4 2 7 2 3" xfId="5947" xr:uid="{0CC4A3D7-F0F2-47EF-A796-BE7E00B21DA8}"/>
    <cellStyle name="Comma 11 4 2 7 2 3 2" xfId="21127" xr:uid="{030706B6-F926-4A52-838D-CA344064E1C2}"/>
    <cellStyle name="Comma 11 4 2 7 2 4" xfId="17839" xr:uid="{D56C2C3F-9159-48DA-A775-1870EE4DBC5F}"/>
    <cellStyle name="Comma 11 4 2 7 3" xfId="3517" xr:uid="{AFEB2614-319D-446B-9F4A-0AA6DA07D04B}"/>
    <cellStyle name="Comma 11 4 2 7 3 2" xfId="11005" xr:uid="{64F8E108-D111-403B-A8C8-66AC972B29CC}"/>
    <cellStyle name="Comma 11 4 2 7 3 2 2" xfId="14551" xr:uid="{623DEBE2-CDCC-4394-94FD-019AA50004DE}"/>
    <cellStyle name="Comma 11 4 2 7 3 2 2 2" xfId="29728" xr:uid="{69850098-CC3A-48BF-BBCC-BCC93C090CE5}"/>
    <cellStyle name="Comma 11 4 2 7 3 2 3" xfId="26183" xr:uid="{C4B389AA-1783-4DB5-B1EC-AFD23BE15B3F}"/>
    <cellStyle name="Comma 11 4 2 7 3 3" xfId="6831" xr:uid="{825D6A3D-18F5-49EC-BA94-9C6058FEBCC4}"/>
    <cellStyle name="Comma 11 4 2 7 3 3 2" xfId="22011" xr:uid="{41D8BCEF-19BD-47CC-9DB2-CADA4BCA853D}"/>
    <cellStyle name="Comma 11 4 2 7 3 4" xfId="18723" xr:uid="{9ACAC935-9B11-4E3A-9932-0755925660A4}"/>
    <cellStyle name="Comma 11 4 2 7 4" xfId="4292" xr:uid="{32DE26CF-3636-4FD3-A013-68DC24100214}"/>
    <cellStyle name="Comma 11 4 2 7 4 2" xfId="11777" xr:uid="{EB8B8181-FA92-4FE2-BA65-A8D65FD66474}"/>
    <cellStyle name="Comma 11 4 2 7 4 2 2" xfId="15323" xr:uid="{BA909BE3-ADB6-4B1B-8AA5-EE446E9F285D}"/>
    <cellStyle name="Comma 11 4 2 7 4 2 2 2" xfId="30500" xr:uid="{E2356DC9-56C0-48D0-87EB-7563C5A10371}"/>
    <cellStyle name="Comma 11 4 2 7 4 2 3" xfId="26955" xr:uid="{5D85BFE1-4347-49C3-BB0B-CA33E2391E3C}"/>
    <cellStyle name="Comma 11 4 2 7 4 3" xfId="7603" xr:uid="{2FE6DA4D-2561-45B4-9706-FABBB31EA737}"/>
    <cellStyle name="Comma 11 4 2 7 4 3 2" xfId="22783" xr:uid="{5F95759B-27F2-4EF5-B26C-18C125A4F91F}"/>
    <cellStyle name="Comma 11 4 2 7 4 4" xfId="19495" xr:uid="{2E6FAF8A-8B44-4EAB-A88B-5EB826C3F559}"/>
    <cellStyle name="Comma 11 4 2 7 5" xfId="8723" xr:uid="{E3FCBDD7-CA95-4E81-9F88-630BB2A86C73}"/>
    <cellStyle name="Comma 11 4 2 7 5 2" xfId="12896" xr:uid="{3221A458-E1CD-48D7-80A0-902868AB0273}"/>
    <cellStyle name="Comma 11 4 2 7 5 2 2" xfId="28073" xr:uid="{1EAFE23D-3C37-4592-B891-44B84384D3C9}"/>
    <cellStyle name="Comma 11 4 2 7 5 3" xfId="23901" xr:uid="{2C14ABF4-3751-4A1B-80B4-286C71903728}"/>
    <cellStyle name="Comma 11 4 2 7 6" xfId="16441" xr:uid="{FB755E05-E131-43A5-A9D2-F1E33071785F}"/>
    <cellStyle name="Comma 11 4 2 8" xfId="1248" xr:uid="{CCB5024D-E47B-4A8A-B369-7512005B3B57}"/>
    <cellStyle name="Comma 11 4 2 8 10" xfId="31307" xr:uid="{8E203227-A706-4AB1-9714-276058F65FB8}"/>
    <cellStyle name="Comma 11 4 2 8 2" xfId="2678" xr:uid="{61637D9B-9D6A-454D-BE82-6F4AFE999B34}"/>
    <cellStyle name="Comma 11 4 2 8 2 2" xfId="10169" xr:uid="{29A48985-254A-4FAC-A636-0C708507F416}"/>
    <cellStyle name="Comma 11 4 2 8 2 2 2" xfId="13813" xr:uid="{5346EC79-45C7-48DB-BBE9-3D29E01A1318}"/>
    <cellStyle name="Comma 11 4 2 8 2 2 2 2" xfId="28990" xr:uid="{7D830CBD-1DD2-4CDE-ABC4-07525B82EC0B}"/>
    <cellStyle name="Comma 11 4 2 8 2 2 3" xfId="25347" xr:uid="{5698B30F-2312-4EC2-9875-2989B2DD23AB}"/>
    <cellStyle name="Comma 11 4 2 8 2 3" xfId="5995" xr:uid="{4A086F41-48C7-4F7C-A4DC-6367D0510AF3}"/>
    <cellStyle name="Comma 11 4 2 8 2 3 2" xfId="21175" xr:uid="{AAA9A646-6776-4D9D-BC31-DFB6DFCE3565}"/>
    <cellStyle name="Comma 11 4 2 8 2 4" xfId="17887" xr:uid="{C46CE664-7EF1-48A5-A768-54CFBF7AEE55}"/>
    <cellStyle name="Comma 11 4 2 8 3" xfId="3565" xr:uid="{B929E2BD-143B-438C-8D35-2EF49D1BD673}"/>
    <cellStyle name="Comma 11 4 2 8 3 2" xfId="11053" xr:uid="{7C10371B-71A0-4165-82F5-C1BAA5BFC050}"/>
    <cellStyle name="Comma 11 4 2 8 3 2 2" xfId="14599" xr:uid="{752B4F4D-8B91-43D5-828B-CE4378F0A6C9}"/>
    <cellStyle name="Comma 11 4 2 8 3 2 2 2" xfId="29776" xr:uid="{02E5FE2D-0088-476B-8B8D-6AFCEE52675C}"/>
    <cellStyle name="Comma 11 4 2 8 3 2 3" xfId="26231" xr:uid="{DC328B6F-CA4F-4089-81A3-B58452342BEA}"/>
    <cellStyle name="Comma 11 4 2 8 3 3" xfId="6879" xr:uid="{963F75E7-5F0C-48AE-9178-DA5EC3B68829}"/>
    <cellStyle name="Comma 11 4 2 8 3 3 2" xfId="22059" xr:uid="{AA492002-DD93-4ECC-BE0B-F614E0D91418}"/>
    <cellStyle name="Comma 11 4 2 8 3 4" xfId="18771" xr:uid="{DC32CE14-650A-462F-8CCA-BCB147C10327}"/>
    <cellStyle name="Comma 11 4 2 8 4" xfId="4293" xr:uid="{5C809C14-7D25-4B25-ABF9-7CD33846EDB0}"/>
    <cellStyle name="Comma 11 4 2 8 4 2" xfId="11778" xr:uid="{5063122D-4204-4F78-8673-E63E221CC2F1}"/>
    <cellStyle name="Comma 11 4 2 8 4 2 2" xfId="15324" xr:uid="{79C25A76-3F83-40CE-A1AB-084533FB0884}"/>
    <cellStyle name="Comma 11 4 2 8 4 2 2 2" xfId="30501" xr:uid="{40B958B3-49E7-463E-9EE5-1407F231E5D1}"/>
    <cellStyle name="Comma 11 4 2 8 4 2 3" xfId="26956" xr:uid="{69195CD8-5704-4E4F-A68B-DFA35BDA3CE5}"/>
    <cellStyle name="Comma 11 4 2 8 4 3" xfId="7604" xr:uid="{5CD906BB-2599-4743-9CEF-F226BEDA228B}"/>
    <cellStyle name="Comma 11 4 2 8 4 3 2" xfId="22784" xr:uid="{B9318E19-D991-4B5B-B41C-107725E9F00D}"/>
    <cellStyle name="Comma 11 4 2 8 4 4" xfId="19496" xr:uid="{5EDC2EC7-2645-4FFB-977E-F43769BC4000}"/>
    <cellStyle name="Comma 11 4 2 8 5" xfId="4967" xr:uid="{135685D0-F7E5-4B50-BAB2-FA45923AFEBB}"/>
    <cellStyle name="Comma 11 4 2 8 5 2" xfId="12451" xr:uid="{D345D6C8-CEF7-4F6B-A3D7-D2D55A3797DA}"/>
    <cellStyle name="Comma 11 4 2 8 5 2 2" xfId="15997" xr:uid="{E13C3553-D2F1-432B-BA98-29466C899577}"/>
    <cellStyle name="Comma 11 4 2 8 5 2 2 2" xfId="31174" xr:uid="{D8CC9EB0-0733-4ADD-840D-E5EB681E8742}"/>
    <cellStyle name="Comma 11 4 2 8 5 2 3" xfId="27629" xr:uid="{96E7E930-1248-46A1-AA93-8447B2529701}"/>
    <cellStyle name="Comma 11 4 2 8 5 3" xfId="8277" xr:uid="{A529D575-8D90-4ED4-9216-2B3BF156F5D7}"/>
    <cellStyle name="Comma 11 4 2 8 5 3 2" xfId="23457" xr:uid="{6B4BA228-6479-4A3A-8363-82ADF3123F02}"/>
    <cellStyle name="Comma 11 4 2 8 5 4" xfId="20169" xr:uid="{DBB9F9AD-3911-445C-9CC8-D1F338D4CD4A}"/>
    <cellStyle name="Comma 11 4 2 8 6" xfId="1788" xr:uid="{213F84A3-0C93-4926-82A5-DD93E978E579}"/>
    <cellStyle name="Comma 11 4 2 8 6 2" xfId="9285" xr:uid="{853D6622-2748-4CCD-8EFD-901E6308959A}"/>
    <cellStyle name="Comma 11 4 2 8 6 2 2" xfId="24463" xr:uid="{0AA26356-C287-4F6E-848B-4990D3D781B2}"/>
    <cellStyle name="Comma 11 4 2 8 6 3" xfId="17003" xr:uid="{4CE89DF3-43EA-4FB7-9373-789779195370}"/>
    <cellStyle name="Comma 11 4 2 8 7" xfId="8771" xr:uid="{2C7E5BAD-ED32-4EF5-9F7E-1AA13FEA571C}"/>
    <cellStyle name="Comma 11 4 2 8 7 2" xfId="12944" xr:uid="{E1DD95EC-DCA1-4013-BE7E-8E21D120A482}"/>
    <cellStyle name="Comma 11 4 2 8 7 2 2" xfId="28121" xr:uid="{BD1B6EF9-30CD-4E1B-91CE-BFEBE05011AC}"/>
    <cellStyle name="Comma 11 4 2 8 7 3" xfId="23949" xr:uid="{5D9F8AD6-CFDD-4C54-974C-3A3B94F1ED5C}"/>
    <cellStyle name="Comma 11 4 2 8 8" xfId="5111" xr:uid="{9523AB43-F4A6-49F5-8CC1-9830612B8033}"/>
    <cellStyle name="Comma 11 4 2 8 8 2" xfId="20291" xr:uid="{5FD454C5-E009-48EE-968A-8D1821AD55B5}"/>
    <cellStyle name="Comma 11 4 2 8 9" xfId="16489" xr:uid="{4FC7925B-D53A-46DA-A701-F8AD0E94B87E}"/>
    <cellStyle name="Comma 11 4 2 9" xfId="1350" xr:uid="{04475D93-75A6-4234-8B72-C6B72E93A5C2}"/>
    <cellStyle name="Comma 11 4 2 9 2" xfId="2776" xr:uid="{EC6A74A6-CFDA-464C-890B-E3980813E32C}"/>
    <cellStyle name="Comma 11 4 2 9 2 2" xfId="10267" xr:uid="{58FAB8CC-B6EB-44D7-96DB-BE8505891E5C}"/>
    <cellStyle name="Comma 11 4 2 9 2 2 2" xfId="13862" xr:uid="{F4DEBA9D-410A-443D-A905-52CE5BB387D2}"/>
    <cellStyle name="Comma 11 4 2 9 2 2 2 2" xfId="29039" xr:uid="{3F1DFC96-2F52-4F50-BAAA-D7D3CC7BDB56}"/>
    <cellStyle name="Comma 11 4 2 9 2 2 3" xfId="25445" xr:uid="{25A081D6-16A6-4A18-85A6-E52B0E00BD86}"/>
    <cellStyle name="Comma 11 4 2 9 2 3" xfId="6093" xr:uid="{189E5786-7684-46D6-9B6D-C4C8590EEFA4}"/>
    <cellStyle name="Comma 11 4 2 9 2 3 2" xfId="21273" xr:uid="{44DDD5BC-3BF7-4BF6-A42A-51D2BD173D47}"/>
    <cellStyle name="Comma 11 4 2 9 2 4" xfId="17985" xr:uid="{9E27798A-4106-4E19-9664-F18D6D2DD3C4}"/>
    <cellStyle name="Comma 11 4 2 9 3" xfId="3663" xr:uid="{06910F2D-4378-4B29-809B-6A1BAF666342}"/>
    <cellStyle name="Comma 11 4 2 9 3 2" xfId="11151" xr:uid="{31D48856-38D9-40D8-8FA7-22AA0CFCF02C}"/>
    <cellStyle name="Comma 11 4 2 9 3 2 2" xfId="14697" xr:uid="{4E2CAC6F-B9E5-4626-A7C7-0800EF9D1BA6}"/>
    <cellStyle name="Comma 11 4 2 9 3 2 2 2" xfId="29874" xr:uid="{E60720EF-D75A-4F81-93F5-BB2162B95BEC}"/>
    <cellStyle name="Comma 11 4 2 9 3 2 3" xfId="26329" xr:uid="{DAE2F821-0B86-42BC-8A5D-73C5E4C699B6}"/>
    <cellStyle name="Comma 11 4 2 9 3 3" xfId="6977" xr:uid="{1C107CC2-3711-49AA-8FD4-FAC8DC8B6F9C}"/>
    <cellStyle name="Comma 11 4 2 9 3 3 2" xfId="22157" xr:uid="{FEA5932E-89C1-4DFA-9AB7-6FAB1303D9B9}"/>
    <cellStyle name="Comma 11 4 2 9 3 4" xfId="18869" xr:uid="{7339A08F-F15D-4267-B990-923129C8DD9C}"/>
    <cellStyle name="Comma 11 4 2 9 4" xfId="4294" xr:uid="{22E1A66F-C3E8-4054-B67C-F0E465160F7C}"/>
    <cellStyle name="Comma 11 4 2 9 4 2" xfId="11779" xr:uid="{9CDEFD1B-7610-4299-8876-162C9838C6E7}"/>
    <cellStyle name="Comma 11 4 2 9 4 2 2" xfId="15325" xr:uid="{66382F2E-2B7B-4153-AA99-4A276E58923D}"/>
    <cellStyle name="Comma 11 4 2 9 4 2 2 2" xfId="30502" xr:uid="{45B90C89-8A95-4536-9737-774E0A0F2776}"/>
    <cellStyle name="Comma 11 4 2 9 4 2 3" xfId="26957" xr:uid="{6DD7F139-ACAE-4339-B4D2-CFD1AC65F19D}"/>
    <cellStyle name="Comma 11 4 2 9 4 3" xfId="7605" xr:uid="{FDCC7BAC-ADA3-454B-B64C-752DD64E8E33}"/>
    <cellStyle name="Comma 11 4 2 9 4 3 2" xfId="22785" xr:uid="{2CB924F8-9A09-4299-8546-D642519E4A6F}"/>
    <cellStyle name="Comma 11 4 2 9 4 4" xfId="19497" xr:uid="{554643C8-1458-4C34-88C0-2EDB49DF0EA6}"/>
    <cellStyle name="Comma 11 4 2 9 5" xfId="1886" xr:uid="{3DB1B08B-5D98-4D05-A493-4A75AE8007A7}"/>
    <cellStyle name="Comma 11 4 2 9 5 2" xfId="9383" xr:uid="{8FEF7D80-B939-42E4-82EA-8CD9B83CBAC1}"/>
    <cellStyle name="Comma 11 4 2 9 5 2 2" xfId="24561" xr:uid="{A41E00C7-BEB4-4D5C-987A-FC7105723682}"/>
    <cellStyle name="Comma 11 4 2 9 5 3" xfId="17101" xr:uid="{02186FA3-E412-463C-A362-377E631D9715}"/>
    <cellStyle name="Comma 11 4 2 9 6" xfId="8869" xr:uid="{C5AA5E68-A0D2-4BEB-9D56-03A88327296C}"/>
    <cellStyle name="Comma 11 4 2 9 6 2" xfId="13042" xr:uid="{C1B1151B-A473-40CE-8D53-83974BC309A1}"/>
    <cellStyle name="Comma 11 4 2 9 6 2 2" xfId="28219" xr:uid="{5BE2BA8A-CD4A-41F9-9EF5-6CA13326BAC3}"/>
    <cellStyle name="Comma 11 4 2 9 6 3" xfId="24047" xr:uid="{214C486A-9045-4E77-A071-1F55A628CE9F}"/>
    <cellStyle name="Comma 11 4 2 9 7" xfId="5209" xr:uid="{3243E56F-BB7B-4C9F-8347-A4436A42EB8E}"/>
    <cellStyle name="Comma 11 4 2 9 7 2" xfId="20389" xr:uid="{46244944-56FC-44FE-8D97-A9E6316EC510}"/>
    <cellStyle name="Comma 11 4 2 9 8" xfId="16587" xr:uid="{DD6044FD-0CCC-4192-B18C-75E95B3AC15C}"/>
    <cellStyle name="Comma 11 4 3" xfId="570" xr:uid="{70B8066C-11D5-4426-A2D6-3070D6ADC43C}"/>
    <cellStyle name="Comma 11 4 3 10" xfId="16193" xr:uid="{C4658FA8-9891-49EE-A93B-E8CF615C9D49}"/>
    <cellStyle name="Comma 11 4 3 11" xfId="31283" xr:uid="{A2308B7E-6221-406B-893A-9C860428F18E}"/>
    <cellStyle name="Comma 11 4 3 12" xfId="31633" xr:uid="{0BFE8482-A529-47BF-8514-48084C508C06}"/>
    <cellStyle name="Comma 11 4 3 13" xfId="861" xr:uid="{8D92E455-93E8-4909-B73D-803A8CB5780F}"/>
    <cellStyle name="Comma 11 4 3 2" xfId="1224" xr:uid="{8FF7EFF8-BBBB-426F-AEB0-3B4501768525}"/>
    <cellStyle name="Comma 11 4 3 2 2" xfId="3541" xr:uid="{AE57F1CF-C28F-4735-BB56-E0102E91A8F5}"/>
    <cellStyle name="Comma 11 4 3 2 2 2" xfId="11029" xr:uid="{31AC47C6-4CC2-41F9-BFA9-F5D8238CA759}"/>
    <cellStyle name="Comma 11 4 3 2 2 2 2" xfId="14575" xr:uid="{52EF831F-166D-4631-951E-B7C44BCA8D63}"/>
    <cellStyle name="Comma 11 4 3 2 2 2 2 2" xfId="29752" xr:uid="{147B39EC-1219-4885-9EBB-2F191C1EC826}"/>
    <cellStyle name="Comma 11 4 3 2 2 2 3" xfId="26207" xr:uid="{0C0F1463-6E9A-45BD-A25D-6D32C962DF00}"/>
    <cellStyle name="Comma 11 4 3 2 2 3" xfId="6855" xr:uid="{92C4AB42-7CF6-4A6C-A7BD-B393266DDABE}"/>
    <cellStyle name="Comma 11 4 3 2 2 3 2" xfId="22035" xr:uid="{0158E001-F3D8-4EC9-BA7F-50ACE18CA076}"/>
    <cellStyle name="Comma 11 4 3 2 2 4" xfId="18747" xr:uid="{011B4577-FA73-4D46-B5C9-01AE23EE6339}"/>
    <cellStyle name="Comma 11 4 3 2 3" xfId="4295" xr:uid="{EAF0CA37-403D-496A-8866-7A38604B5A30}"/>
    <cellStyle name="Comma 11 4 3 2 3 2" xfId="11780" xr:uid="{116982C2-8192-4D5D-96A2-AD2BFC8ABF5E}"/>
    <cellStyle name="Comma 11 4 3 2 3 2 2" xfId="15326" xr:uid="{AA0C579A-101F-46F0-983D-093BC61ED9C5}"/>
    <cellStyle name="Comma 11 4 3 2 3 2 2 2" xfId="30503" xr:uid="{FAFEB126-E462-4479-B172-D286BCCC59F3}"/>
    <cellStyle name="Comma 11 4 3 2 3 2 3" xfId="26958" xr:uid="{18A1AB41-9F27-4D50-BDAA-BC9C3F24A9EA}"/>
    <cellStyle name="Comma 11 4 3 2 3 3" xfId="7606" xr:uid="{EB147288-045F-4041-AFFC-3623B8E006BE}"/>
    <cellStyle name="Comma 11 4 3 2 3 3 2" xfId="22786" xr:uid="{89FB3EFC-4AB3-405A-9B79-3DA978360701}"/>
    <cellStyle name="Comma 11 4 3 2 3 4" xfId="19498" xr:uid="{722FE1AA-9B9F-4A36-A409-15553DCF708D}"/>
    <cellStyle name="Comma 11 4 3 2 4" xfId="2654" xr:uid="{7B5E8748-F739-4AD3-BB9F-AC5E8C9B99F0}"/>
    <cellStyle name="Comma 11 4 3 2 4 2" xfId="10145" xr:uid="{8497273A-3D91-4568-8187-5D0196F55104}"/>
    <cellStyle name="Comma 11 4 3 2 4 2 2" xfId="25323" xr:uid="{F175E6EC-43C9-4739-9562-22D0D7A982EF}"/>
    <cellStyle name="Comma 11 4 3 2 4 3" xfId="17863" xr:uid="{47F88FA3-5D99-4FB1-9E5B-78B732DB69F9}"/>
    <cellStyle name="Comma 11 4 3 2 5" xfId="8747" xr:uid="{D99E8810-1A1E-4E28-9A79-EA4FD93347C8}"/>
    <cellStyle name="Comma 11 4 3 2 5 2" xfId="12920" xr:uid="{D984515A-C856-4D44-9325-7DBC4348E8DE}"/>
    <cellStyle name="Comma 11 4 3 2 5 2 2" xfId="28097" xr:uid="{EFC04B32-05B0-4819-9E6C-6EB5ECF6330F}"/>
    <cellStyle name="Comma 11 4 3 2 5 3" xfId="23925" xr:uid="{D42E050F-2B9B-4E81-BAE5-26710090653D}"/>
    <cellStyle name="Comma 11 4 3 2 6" xfId="5971" xr:uid="{54CDD201-B592-4C01-B0BC-EF8094FF9BC2}"/>
    <cellStyle name="Comma 11 4 3 2 6 2" xfId="21151" xr:uid="{C876FB32-3F55-4859-BE16-2FDB6CFF539A}"/>
    <cellStyle name="Comma 11 4 3 2 7" xfId="16465" xr:uid="{4DEA6782-9256-4902-8A3A-B5D5C51B41D5}"/>
    <cellStyle name="Comma 11 4 3 3" xfId="2379" xr:uid="{71ECBF6E-CAA4-4F21-9F00-E1E756815ED9}"/>
    <cellStyle name="Comma 11 4 3 3 2" xfId="9873" xr:uid="{2A37B5AD-64A3-4234-B36F-FC0812831F3A}"/>
    <cellStyle name="Comma 11 4 3 3 2 2" xfId="13532" xr:uid="{2483345B-1B3F-4774-8A33-FB0EE207F2BB}"/>
    <cellStyle name="Comma 11 4 3 3 2 2 2" xfId="28709" xr:uid="{E41C51B1-BB92-4840-9BE2-63D15CF82EFD}"/>
    <cellStyle name="Comma 11 4 3 3 2 3" xfId="25051" xr:uid="{71153F92-C3EB-4C7B-A5A8-60AF2775DA91}"/>
    <cellStyle name="Comma 11 4 3 3 3" xfId="5699" xr:uid="{491CEF07-BFF0-4BC1-827C-B2E05306891D}"/>
    <cellStyle name="Comma 11 4 3 3 3 2" xfId="20879" xr:uid="{D9284271-1236-4985-BF10-84B0A305CB2F}"/>
    <cellStyle name="Comma 11 4 3 3 4" xfId="17591" xr:uid="{8BA7C2BC-A287-44B4-8242-4865FBEA27CF}"/>
    <cellStyle name="Comma 11 4 3 4" xfId="3269" xr:uid="{CBD92F5B-068F-49AD-AC07-6B08CD16D4E2}"/>
    <cellStyle name="Comma 11 4 3 4 2" xfId="10757" xr:uid="{A127E89C-2A59-43C8-A96F-10BEA8A01874}"/>
    <cellStyle name="Comma 11 4 3 4 2 2" xfId="14303" xr:uid="{71BF82DF-5365-47F3-9366-125D29FB9934}"/>
    <cellStyle name="Comma 11 4 3 4 2 2 2" xfId="29480" xr:uid="{1DC8FF9C-C81B-4A95-A509-7EA71DF5273B}"/>
    <cellStyle name="Comma 11 4 3 4 2 3" xfId="25935" xr:uid="{FD209410-F27A-4C26-9488-DD22C12DA3E7}"/>
    <cellStyle name="Comma 11 4 3 4 3" xfId="6583" xr:uid="{DD14B143-0230-4007-BDBC-47960625D879}"/>
    <cellStyle name="Comma 11 4 3 4 3 2" xfId="21763" xr:uid="{DDD5786E-1590-4050-A83C-8615764A3CAA}"/>
    <cellStyle name="Comma 11 4 3 4 4" xfId="18475" xr:uid="{7ED3497A-17D7-4515-809F-C649D88CD0F8}"/>
    <cellStyle name="Comma 11 4 3 5" xfId="4296" xr:uid="{259CA290-F48E-4738-A659-AB97C01E71B3}"/>
    <cellStyle name="Comma 11 4 3 5 2" xfId="11781" xr:uid="{FF7733B4-D1A9-441E-9581-31E6220184E8}"/>
    <cellStyle name="Comma 11 4 3 5 2 2" xfId="15327" xr:uid="{3A7AB82A-D770-4DC4-A400-06420BE3AAB7}"/>
    <cellStyle name="Comma 11 4 3 5 2 2 2" xfId="30504" xr:uid="{50200BA7-2AA0-4B78-B4A9-DD71279C9D56}"/>
    <cellStyle name="Comma 11 4 3 5 2 3" xfId="26959" xr:uid="{72DABA6F-C00F-4FE3-A9D5-ADFD737D51A7}"/>
    <cellStyle name="Comma 11 4 3 5 3" xfId="7607" xr:uid="{ACFA76D1-F281-4FBB-8FEC-1785C97E9E2A}"/>
    <cellStyle name="Comma 11 4 3 5 3 2" xfId="22787" xr:uid="{B0504B2E-F27B-4E99-8B3D-8C182CF69320}"/>
    <cellStyle name="Comma 11 4 3 5 4" xfId="19499" xr:uid="{7D73E960-F232-4EA2-80D2-19028D364332}"/>
    <cellStyle name="Comma 11 4 3 6" xfId="4943" xr:uid="{101E38F3-6751-4639-A390-62BAD6AC5C7B}"/>
    <cellStyle name="Comma 11 4 3 6 2" xfId="12427" xr:uid="{D21714D5-86C4-4F20-BD8C-E7EAC29EDD34}"/>
    <cellStyle name="Comma 11 4 3 6 2 2" xfId="15973" xr:uid="{CAC3A492-8A11-443C-9CC7-A27AAE794049}"/>
    <cellStyle name="Comma 11 4 3 6 2 2 2" xfId="31150" xr:uid="{914D87D2-697B-47FE-875C-DA11CC94DE5E}"/>
    <cellStyle name="Comma 11 4 3 6 2 3" xfId="27605" xr:uid="{C60C9645-E8D6-4D40-B588-6CD78E5C049F}"/>
    <cellStyle name="Comma 11 4 3 6 3" xfId="8253" xr:uid="{77D0185D-789E-4FD6-9C1C-50359FB16FDC}"/>
    <cellStyle name="Comma 11 4 3 6 3 2" xfId="23433" xr:uid="{43AAEA20-B7EA-40F1-B30D-A4B95A082B5E}"/>
    <cellStyle name="Comma 11 4 3 6 4" xfId="20145" xr:uid="{E3B2A53A-3528-4374-8A12-8042E4A3688A}"/>
    <cellStyle name="Comma 11 4 3 7" xfId="1764" xr:uid="{4306380C-E81B-46D0-909A-8B23AA80699C}"/>
    <cellStyle name="Comma 11 4 3 7 2" xfId="9261" xr:uid="{CAE2AC33-E096-483A-B739-9D47D1D13F83}"/>
    <cellStyle name="Comma 11 4 3 7 2 2" xfId="24439" xr:uid="{A4C6F258-8FA5-4DC1-B593-2FC95B1C4FB4}"/>
    <cellStyle name="Comma 11 4 3 7 3" xfId="16979" xr:uid="{3E2A8290-3084-424C-8701-A862D801603A}"/>
    <cellStyle name="Comma 11 4 3 8" xfId="8475" xr:uid="{D84FB01B-B597-4891-B44A-58FB6B3810FE}"/>
    <cellStyle name="Comma 11 4 3 8 2" xfId="12648" xr:uid="{0EA0BEB1-CF51-4B81-BEAE-F98B40319C48}"/>
    <cellStyle name="Comma 11 4 3 8 2 2" xfId="27825" xr:uid="{F5D38D5B-C749-449D-B006-E129E78B9D4F}"/>
    <cellStyle name="Comma 11 4 3 8 3" xfId="23653" xr:uid="{88A872BF-2808-4B6A-AC6E-C75332E4CD36}"/>
    <cellStyle name="Comma 11 4 3 9" xfId="5087" xr:uid="{641E43B7-D9FB-42FF-AA5C-FF831DD91715}"/>
    <cellStyle name="Comma 11 4 3 9 2" xfId="20267" xr:uid="{E6155BA4-9CD6-41C8-AE06-F52B3DD6A153}"/>
    <cellStyle name="Comma 11 4 4" xfId="31413" xr:uid="{1224506C-A816-421B-94DC-35FCC00A7DA5}"/>
    <cellStyle name="Comma 11 4 5" xfId="621" xr:uid="{B958ABFE-26D0-490D-9F39-70585CC42CDC}"/>
    <cellStyle name="Comma 11 5" xfId="267" xr:uid="{008B9704-C917-4484-90A5-B56488D49428}"/>
    <cellStyle name="Comma 11 5 10" xfId="1436" xr:uid="{237A2BB0-E503-4096-9EAE-93939337BBE4}"/>
    <cellStyle name="Comma 11 5 10 2" xfId="2861" xr:uid="{E30BA65F-72A3-4130-989D-4F03AB957E6D}"/>
    <cellStyle name="Comma 11 5 10 2 2" xfId="10352" xr:uid="{415D788B-7D49-4729-9902-6158DE8993B4}"/>
    <cellStyle name="Comma 11 5 10 2 2 2" xfId="13898" xr:uid="{F8778F37-E469-4633-A666-5694CF64D436}"/>
    <cellStyle name="Comma 11 5 10 2 2 2 2" xfId="29075" xr:uid="{D8F7ED6F-8CCB-49BE-B1BA-83B9DAF15F69}"/>
    <cellStyle name="Comma 11 5 10 2 2 3" xfId="25530" xr:uid="{6B766E43-7E2B-4C53-B400-068A7418183C}"/>
    <cellStyle name="Comma 11 5 10 2 3" xfId="6178" xr:uid="{6413111B-4D97-48BC-B0BA-A88C00B16A6F}"/>
    <cellStyle name="Comma 11 5 10 2 3 2" xfId="21358" xr:uid="{F5F82DC4-939F-4C69-8A09-8A10E397CADC}"/>
    <cellStyle name="Comma 11 5 10 2 4" xfId="18070" xr:uid="{543B26A8-4A0B-410A-AADB-BDFE28F63247}"/>
    <cellStyle name="Comma 11 5 10 3" xfId="3748" xr:uid="{951E7681-B141-4E8F-8F5F-DC1CF8F3ED85}"/>
    <cellStyle name="Comma 11 5 10 3 2" xfId="11236" xr:uid="{65C6C141-8336-4B72-87D3-2F01AA6EB8FD}"/>
    <cellStyle name="Comma 11 5 10 3 2 2" xfId="14782" xr:uid="{A958DC6F-24FE-4D98-B45B-327E45B457A6}"/>
    <cellStyle name="Comma 11 5 10 3 2 2 2" xfId="29959" xr:uid="{CC5EC71B-C24A-4B9E-8411-4234D78286C1}"/>
    <cellStyle name="Comma 11 5 10 3 2 3" xfId="26414" xr:uid="{4AA92BB0-9AFA-4ADC-9E99-47725BAA2F69}"/>
    <cellStyle name="Comma 11 5 10 3 3" xfId="7062" xr:uid="{59444256-DFD4-4FB1-B709-DAD02B61BEAB}"/>
    <cellStyle name="Comma 11 5 10 3 3 2" xfId="22242" xr:uid="{E84930E0-7447-4412-AC21-321DC7964C29}"/>
    <cellStyle name="Comma 11 5 10 3 4" xfId="18954" xr:uid="{E67A7F71-10A8-47D0-A836-8C598232493D}"/>
    <cellStyle name="Comma 11 5 10 4" xfId="4297" xr:uid="{5EA787E5-608C-4045-BD30-E577E6FA2D85}"/>
    <cellStyle name="Comma 11 5 10 4 2" xfId="11782" xr:uid="{35A77391-529E-41F4-9417-9BF6B9F57A4E}"/>
    <cellStyle name="Comma 11 5 10 4 2 2" xfId="15328" xr:uid="{DD35048D-CC84-4927-97BE-153F04D51E1B}"/>
    <cellStyle name="Comma 11 5 10 4 2 2 2" xfId="30505" xr:uid="{40489C75-DDA6-497C-8CC8-F83806DD1D4A}"/>
    <cellStyle name="Comma 11 5 10 4 2 3" xfId="26960" xr:uid="{AC6327CF-88FC-408C-816B-3A2EF9F0B566}"/>
    <cellStyle name="Comma 11 5 10 4 3" xfId="7608" xr:uid="{3977935C-4DA6-491B-8DA3-2D980BF333DA}"/>
    <cellStyle name="Comma 11 5 10 4 3 2" xfId="22788" xr:uid="{605CAADB-AA63-4D10-9CB1-84E89BC9598A}"/>
    <cellStyle name="Comma 11 5 10 4 4" xfId="19500" xr:uid="{4C6B46B8-59C6-4FCB-99BD-5FA81D0C8C92}"/>
    <cellStyle name="Comma 11 5 10 5" xfId="1971" xr:uid="{9FED7835-8AD1-4D6E-B4CD-38827FEE9DAD}"/>
    <cellStyle name="Comma 11 5 10 5 2" xfId="9468" xr:uid="{DE0EDAB5-7238-47AF-8AE9-F4C070478411}"/>
    <cellStyle name="Comma 11 5 10 5 2 2" xfId="24646" xr:uid="{E74E9437-6C61-4B39-BFB2-AAD5B347F5DA}"/>
    <cellStyle name="Comma 11 5 10 5 3" xfId="17186" xr:uid="{94C7F1CA-A9AD-4D05-9D18-0E823316AF93}"/>
    <cellStyle name="Comma 11 5 10 6" xfId="8954" xr:uid="{B2566F42-0690-4EBC-A8C2-B5B4F79EB4CE}"/>
    <cellStyle name="Comma 11 5 10 6 2" xfId="13127" xr:uid="{4BA1186E-F9E9-4A67-85AB-F56E357438E6}"/>
    <cellStyle name="Comma 11 5 10 6 2 2" xfId="28304" xr:uid="{390965E2-6639-4E5D-A6B7-F42778E6476C}"/>
    <cellStyle name="Comma 11 5 10 6 3" xfId="24132" xr:uid="{9F774CF2-C98C-45E3-9A09-90250AE0AC3C}"/>
    <cellStyle name="Comma 11 5 10 7" xfId="5294" xr:uid="{B5356542-C5E0-4185-BEA6-0FEA118B0C9A}"/>
    <cellStyle name="Comma 11 5 10 7 2" xfId="20474" xr:uid="{FB6D8E9D-37DF-41F0-A0BF-D60CBD978B3F}"/>
    <cellStyle name="Comma 11 5 10 8" xfId="16672" xr:uid="{EDAF6B73-107C-4027-9912-6784551FB575}"/>
    <cellStyle name="Comma 11 5 11" xfId="1539" xr:uid="{0ED914E5-AF92-467B-8665-47401BD8AE0C}"/>
    <cellStyle name="Comma 11 5 11 2" xfId="2959" xr:uid="{FE35D426-F619-496F-A69B-89376762F178}"/>
    <cellStyle name="Comma 11 5 11 2 2" xfId="10450" xr:uid="{E28AA48B-DF3F-42A3-BB2D-4D50F5979218}"/>
    <cellStyle name="Comma 11 5 11 2 2 2" xfId="13996" xr:uid="{B8013780-9851-4162-B1BB-8192C8295D68}"/>
    <cellStyle name="Comma 11 5 11 2 2 2 2" xfId="29173" xr:uid="{85E30AF1-5E91-49D5-8069-D484D6C82197}"/>
    <cellStyle name="Comma 11 5 11 2 2 3" xfId="25628" xr:uid="{7C9AB567-11EF-4DF1-BF8C-7E38405F6E47}"/>
    <cellStyle name="Comma 11 5 11 2 3" xfId="6276" xr:uid="{03B5F0AE-2ADF-4A01-B2FB-4A9FDD5638C3}"/>
    <cellStyle name="Comma 11 5 11 2 3 2" xfId="21456" xr:uid="{E9D8D15C-0EBA-452C-9C5A-6D7CEFD2A962}"/>
    <cellStyle name="Comma 11 5 11 2 4" xfId="18168" xr:uid="{487AED6E-0099-4344-8065-487D007F3935}"/>
    <cellStyle name="Comma 11 5 11 3" xfId="3846" xr:uid="{1C3DE5B8-3FD2-4CEB-BE8F-86519462BD29}"/>
    <cellStyle name="Comma 11 5 11 3 2" xfId="11334" xr:uid="{4569047A-90AA-4F4A-8A21-C562F3B55B01}"/>
    <cellStyle name="Comma 11 5 11 3 2 2" xfId="14880" xr:uid="{20456ACB-116B-4B15-8218-80274E4DEC27}"/>
    <cellStyle name="Comma 11 5 11 3 2 2 2" xfId="30057" xr:uid="{8BEA28D0-3175-4C50-9071-1ED28B9B3D13}"/>
    <cellStyle name="Comma 11 5 11 3 2 3" xfId="26512" xr:uid="{2024320F-28BC-48AE-A8DF-C85A80B05471}"/>
    <cellStyle name="Comma 11 5 11 3 3" xfId="7160" xr:uid="{7B5FB41B-E7FE-483B-8C66-2E3997FDC96C}"/>
    <cellStyle name="Comma 11 5 11 3 3 2" xfId="22340" xr:uid="{31BD9C25-17A7-4D7A-AD41-16CEAAA51920}"/>
    <cellStyle name="Comma 11 5 11 3 4" xfId="19052" xr:uid="{CE8BBF44-EC62-4BB9-A4E9-B10CD8004771}"/>
    <cellStyle name="Comma 11 5 11 4" xfId="4298" xr:uid="{ED2A7CD2-D96E-4861-B105-98F280F18B54}"/>
    <cellStyle name="Comma 11 5 11 4 2" xfId="11783" xr:uid="{7F17225F-3463-4F98-B4BD-66C2A411E947}"/>
    <cellStyle name="Comma 11 5 11 4 2 2" xfId="15329" xr:uid="{F08F95B8-2EFB-42CC-A165-81272F4F39B3}"/>
    <cellStyle name="Comma 11 5 11 4 2 2 2" xfId="30506" xr:uid="{3D36F63E-8606-484B-BCDC-584A7991CB2F}"/>
    <cellStyle name="Comma 11 5 11 4 2 3" xfId="26961" xr:uid="{6F041ED9-984F-4580-ACB5-9F7FC818BF4F}"/>
    <cellStyle name="Comma 11 5 11 4 3" xfId="7609" xr:uid="{5A6A0CDB-337C-4DB9-A8C9-DC722595A388}"/>
    <cellStyle name="Comma 11 5 11 4 3 2" xfId="22789" xr:uid="{126C6417-19C6-4061-AD6A-2BC857A3BC33}"/>
    <cellStyle name="Comma 11 5 11 4 4" xfId="19501" xr:uid="{299A6E30-33B2-47C9-B404-1E5F525155CD}"/>
    <cellStyle name="Comma 11 5 11 5" xfId="2069" xr:uid="{CD360E70-AE2E-4EE3-8C9B-8BA6377E084D}"/>
    <cellStyle name="Comma 11 5 11 5 2" xfId="9566" xr:uid="{6A831F75-EFB4-47C3-BBFC-EC3E73A17BE7}"/>
    <cellStyle name="Comma 11 5 11 5 2 2" xfId="24744" xr:uid="{E555DF2D-D4DC-4B69-A804-C2C7E27FA6D2}"/>
    <cellStyle name="Comma 11 5 11 5 3" xfId="17284" xr:uid="{08165FC8-2242-4353-8C97-A044EA8E90A6}"/>
    <cellStyle name="Comma 11 5 11 6" xfId="9052" xr:uid="{4D6F01A7-AC95-43BE-9D5D-54E55D87F79E}"/>
    <cellStyle name="Comma 11 5 11 6 2" xfId="13225" xr:uid="{D041C50D-E1AC-44F7-8ECF-1EFDB392527F}"/>
    <cellStyle name="Comma 11 5 11 6 2 2" xfId="28402" xr:uid="{E48CEB52-666A-4162-9E61-CA3141B83D87}"/>
    <cellStyle name="Comma 11 5 11 6 3" xfId="24230" xr:uid="{63D24024-F963-4C8F-B772-F983A7541B7D}"/>
    <cellStyle name="Comma 11 5 11 7" xfId="5392" xr:uid="{DAA5B816-8FFF-4030-98FF-2D0D1F8B8F1E}"/>
    <cellStyle name="Comma 11 5 11 7 2" xfId="20572" xr:uid="{F44F6A65-33A4-41FD-995F-F532716C9014}"/>
    <cellStyle name="Comma 11 5 11 8" xfId="16770" xr:uid="{2E75F8E7-4AE9-43CC-AED3-61301861A853}"/>
    <cellStyle name="Comma 11 5 12" xfId="1638" xr:uid="{DFF47AB0-6484-4EB6-96C8-E0583AECA47E}"/>
    <cellStyle name="Comma 11 5 12 2" xfId="3057" xr:uid="{F4844ECA-D173-40C1-97E3-EBB662E5EBC5}"/>
    <cellStyle name="Comma 11 5 12 2 2" xfId="10548" xr:uid="{171C81EC-E5AD-4957-988E-314A85C7D5F1}"/>
    <cellStyle name="Comma 11 5 12 2 2 2" xfId="14094" xr:uid="{F5436130-D96F-4589-AE80-9D4D2E4D5F7A}"/>
    <cellStyle name="Comma 11 5 12 2 2 2 2" xfId="29271" xr:uid="{D20669E3-273B-4D45-BA55-838584291315}"/>
    <cellStyle name="Comma 11 5 12 2 2 3" xfId="25726" xr:uid="{CBDFB570-185D-40FD-8EC3-BB79AA3325F0}"/>
    <cellStyle name="Comma 11 5 12 2 3" xfId="6374" xr:uid="{12BC7CBF-BD12-492D-B1AF-69FA7B9D6370}"/>
    <cellStyle name="Comma 11 5 12 2 3 2" xfId="21554" xr:uid="{7D6483C3-9BA4-42A2-8075-AE77D1B7B770}"/>
    <cellStyle name="Comma 11 5 12 2 4" xfId="18266" xr:uid="{37981CAC-0216-4959-B911-146D246CCCF5}"/>
    <cellStyle name="Comma 11 5 12 3" xfId="3944" xr:uid="{01303D99-23D8-484B-B781-B4CC81F765A4}"/>
    <cellStyle name="Comma 11 5 12 3 2" xfId="11432" xr:uid="{3ED8D5FC-D646-4BFA-9ACA-F93087A6BB25}"/>
    <cellStyle name="Comma 11 5 12 3 2 2" xfId="14978" xr:uid="{83F43313-9E06-4F48-B7D2-894E8EE6E245}"/>
    <cellStyle name="Comma 11 5 12 3 2 2 2" xfId="30155" xr:uid="{5E27DD84-1F23-4176-80AE-5C825354FFFE}"/>
    <cellStyle name="Comma 11 5 12 3 2 3" xfId="26610" xr:uid="{81986D0E-7B15-49CA-9E94-921BDC1AEC72}"/>
    <cellStyle name="Comma 11 5 12 3 3" xfId="7258" xr:uid="{91DB0F48-F3AA-44CA-B3E3-7EBEB69A2FF7}"/>
    <cellStyle name="Comma 11 5 12 3 3 2" xfId="22438" xr:uid="{F8AC345F-B8EB-463F-BA37-432A508F79E3}"/>
    <cellStyle name="Comma 11 5 12 3 4" xfId="19150" xr:uid="{3D3BEAE9-A49C-4A0D-93B2-4C4B587B770B}"/>
    <cellStyle name="Comma 11 5 12 4" xfId="4299" xr:uid="{E934B550-B6B2-4C36-8E9C-BF004680DE0A}"/>
    <cellStyle name="Comma 11 5 12 4 2" xfId="11784" xr:uid="{F428C83C-2BB2-4861-8C34-014E1C59B5FF}"/>
    <cellStyle name="Comma 11 5 12 4 2 2" xfId="15330" xr:uid="{EB323E3C-811C-4145-A5E6-A178C9C093BF}"/>
    <cellStyle name="Comma 11 5 12 4 2 2 2" xfId="30507" xr:uid="{DC8EF478-1509-495C-A41B-F71094D6A53E}"/>
    <cellStyle name="Comma 11 5 12 4 2 3" xfId="26962" xr:uid="{35F32B6C-84F9-4E05-B8B7-0EF57279B9A4}"/>
    <cellStyle name="Comma 11 5 12 4 3" xfId="7610" xr:uid="{79F30F6A-F9B1-4E21-8BD9-01200F7835BB}"/>
    <cellStyle name="Comma 11 5 12 4 3 2" xfId="22790" xr:uid="{3F5F88FC-A2F3-4F22-BEA2-FF4F4DC081ED}"/>
    <cellStyle name="Comma 11 5 12 4 4" xfId="19502" xr:uid="{84F4B654-FC00-442A-A09C-2E1312C6C5F8}"/>
    <cellStyle name="Comma 11 5 12 5" xfId="2167" xr:uid="{11016B2B-C91C-4457-887A-B177156FE209}"/>
    <cellStyle name="Comma 11 5 12 5 2" xfId="9664" xr:uid="{E887EC86-8AA6-4BE8-8547-BB51F1DD5983}"/>
    <cellStyle name="Comma 11 5 12 5 2 2" xfId="24842" xr:uid="{C6C9A102-7C9D-4C09-BCD1-95DC52EEC513}"/>
    <cellStyle name="Comma 11 5 12 5 3" xfId="17382" xr:uid="{B32EBFE6-1152-4D8D-8927-D7A7D83BBC1F}"/>
    <cellStyle name="Comma 11 5 12 6" xfId="9150" xr:uid="{8CE00B81-417F-47AC-A7B2-462F6FB820E4}"/>
    <cellStyle name="Comma 11 5 12 6 2" xfId="13323" xr:uid="{1CB894ED-C302-477E-9079-D8701ED20FD6}"/>
    <cellStyle name="Comma 11 5 12 6 2 2" xfId="28500" xr:uid="{3317C0DE-AED3-40EF-93B1-35C957073CCB}"/>
    <cellStyle name="Comma 11 5 12 6 3" xfId="24328" xr:uid="{F4A6F48A-D9B4-4123-85F9-4E0D5C2E26BB}"/>
    <cellStyle name="Comma 11 5 12 7" xfId="5490" xr:uid="{E234E25F-7BC7-4338-931A-5691D4A9D254}"/>
    <cellStyle name="Comma 11 5 12 7 2" xfId="20670" xr:uid="{681A71E3-B797-47C0-B19E-5BD8C825B7AA}"/>
    <cellStyle name="Comma 11 5 12 8" xfId="16868" xr:uid="{D9B1AF98-65AE-48BE-A317-9D4C6DFE2261}"/>
    <cellStyle name="Comma 11 5 13" xfId="2267" xr:uid="{FAEB8BFF-BE7A-4BD2-B26A-EEE10848E2C6}"/>
    <cellStyle name="Comma 11 5 13 2" xfId="9762" xr:uid="{2D271A2C-7420-498B-A03C-E0F9FD5ABA6B}"/>
    <cellStyle name="Comma 11 5 13 2 2" xfId="13421" xr:uid="{E2007573-1833-40AD-A371-724EA133B097}"/>
    <cellStyle name="Comma 11 5 13 2 2 2" xfId="28598" xr:uid="{2B70611F-8EBE-42D9-A7A4-2B4C7FC9AD13}"/>
    <cellStyle name="Comma 11 5 13 2 3" xfId="24940" xr:uid="{4353CBCB-135D-42BD-B121-745E303029FB}"/>
    <cellStyle name="Comma 11 5 13 3" xfId="5588" xr:uid="{3E9F7F73-6AE0-4E7E-B057-840536937A34}"/>
    <cellStyle name="Comma 11 5 13 3 2" xfId="20768" xr:uid="{BC7324E9-F4E9-493A-B84F-566E5128F564}"/>
    <cellStyle name="Comma 11 5 13 4" xfId="17480" xr:uid="{7E6BA146-8293-46E6-941E-13BB5F88F415}"/>
    <cellStyle name="Comma 11 5 14" xfId="3157" xr:uid="{D94187A5-A325-443B-B734-39C943FEF083}"/>
    <cellStyle name="Comma 11 5 14 2" xfId="10646" xr:uid="{CE59F869-0EAD-40EC-B57A-566CBAC505C8}"/>
    <cellStyle name="Comma 11 5 14 2 2" xfId="14192" xr:uid="{81605E43-5DDF-49E1-A472-E203BEE415C3}"/>
    <cellStyle name="Comma 11 5 14 2 2 2" xfId="29369" xr:uid="{75FA3FF6-8C35-4F8D-B8A7-1F1C15DA30DD}"/>
    <cellStyle name="Comma 11 5 14 2 3" xfId="25824" xr:uid="{9C116B14-F163-4377-9441-6646FEE1DC80}"/>
    <cellStyle name="Comma 11 5 14 3" xfId="6472" xr:uid="{E32823EF-CA5A-46B2-8C5E-4A7581075C07}"/>
    <cellStyle name="Comma 11 5 14 3 2" xfId="21652" xr:uid="{284BD953-6AB5-4506-9E40-F107E66C9451}"/>
    <cellStyle name="Comma 11 5 14 4" xfId="18364" xr:uid="{1B873F6C-4863-467D-B293-01DA162D95CF}"/>
    <cellStyle name="Comma 11 5 15" xfId="4300" xr:uid="{09E8572B-1BD1-4DC6-A4EF-2465DF7C7AC1}"/>
    <cellStyle name="Comma 11 5 15 2" xfId="11785" xr:uid="{D161223F-9D94-4180-BAC2-22A00E786164}"/>
    <cellStyle name="Comma 11 5 15 2 2" xfId="15331" xr:uid="{FFAF2A45-FB0F-435F-B4C6-67CD1B26B60E}"/>
    <cellStyle name="Comma 11 5 15 2 2 2" xfId="30508" xr:uid="{17218D65-77B7-47EC-B86A-66225F190118}"/>
    <cellStyle name="Comma 11 5 15 2 3" xfId="26963" xr:uid="{D69523C2-7834-41F6-ACF5-49F80355CC27}"/>
    <cellStyle name="Comma 11 5 15 3" xfId="7611" xr:uid="{BDDB1CFA-77C4-4E0E-A29D-5EBC3D0E385D}"/>
    <cellStyle name="Comma 11 5 15 3 2" xfId="22791" xr:uid="{FC46275D-FCB1-440E-B8EF-2A26069A1D79}"/>
    <cellStyle name="Comma 11 5 15 4" xfId="19503" xr:uid="{90F82944-0C72-46B6-A312-7C5088B28D9E}"/>
    <cellStyle name="Comma 11 5 16" xfId="8363" xr:uid="{7ABC723B-A0AE-4258-8CC0-6D5A8FE2D357}"/>
    <cellStyle name="Comma 11 5 16 2" xfId="12537" xr:uid="{9346C335-F1F6-4B15-93A8-315A086A8183}"/>
    <cellStyle name="Comma 11 5 16 2 2" xfId="27714" xr:uid="{64DDF4A7-DE22-4EE5-A6A0-1B7667B91743}"/>
    <cellStyle name="Comma 11 5 16 3" xfId="23542" xr:uid="{08D2BF92-2AAD-45A6-ABC9-BC6D24A453A6}"/>
    <cellStyle name="Comma 11 5 17" xfId="16082" xr:uid="{C7486207-3A12-4AD8-9C29-51BBC0781BF3}"/>
    <cellStyle name="Comma 11 5 18" xfId="31424" xr:uid="{7AA3B9F8-16E3-4C2D-B58A-DDC3DE823BD8}"/>
    <cellStyle name="Comma 11 5 19" xfId="684" xr:uid="{48F98F14-8E49-470B-8378-5E24D6BD3D10}"/>
    <cellStyle name="Comma 11 5 2" xfId="557" xr:uid="{9BE90830-FB3E-4BD1-A11B-88B14724CB7F}"/>
    <cellStyle name="Comma 11 5 2 10" xfId="2292" xr:uid="{728FD5CA-01AD-4FC0-A3AB-B02937C7A67D}"/>
    <cellStyle name="Comma 11 5 2 10 2" xfId="9787" xr:uid="{85CF73DD-1C6C-4CEF-AD9C-EF8123CE89A6}"/>
    <cellStyle name="Comma 11 5 2 10 2 2" xfId="13446" xr:uid="{A3F97CC7-53FE-4915-B456-6C95FA38EF08}"/>
    <cellStyle name="Comma 11 5 2 10 2 2 2" xfId="28623" xr:uid="{D7CCAA74-E78F-442A-A631-E7013C8BECD9}"/>
    <cellStyle name="Comma 11 5 2 10 2 3" xfId="24965" xr:uid="{465378E7-3287-45CA-818F-3A71BCE8F019}"/>
    <cellStyle name="Comma 11 5 2 10 3" xfId="5613" xr:uid="{D9DAA095-1204-46B2-81C8-FF5AB39E85BF}"/>
    <cellStyle name="Comma 11 5 2 10 3 2" xfId="20793" xr:uid="{B7094F59-F57F-4EE6-B11B-7940224FB057}"/>
    <cellStyle name="Comma 11 5 2 10 4" xfId="17505" xr:uid="{1C821725-B7E4-4C36-974D-0EE9155B94E8}"/>
    <cellStyle name="Comma 11 5 2 11" xfId="3182" xr:uid="{17BDF109-C41D-4B74-AD5B-24050F0C426C}"/>
    <cellStyle name="Comma 11 5 2 11 2" xfId="10671" xr:uid="{0F145C3E-9047-4F0F-9E4A-67D7E9F91E42}"/>
    <cellStyle name="Comma 11 5 2 11 2 2" xfId="14217" xr:uid="{ECE7FBA3-3FD5-4BBA-8839-43365912B2B7}"/>
    <cellStyle name="Comma 11 5 2 11 2 2 2" xfId="29394" xr:uid="{1611EAB0-E8B9-4AA8-B6E9-90D667363D75}"/>
    <cellStyle name="Comma 11 5 2 11 2 3" xfId="25849" xr:uid="{D93B0BD5-BEA4-4E43-A1D1-294688FC0016}"/>
    <cellStyle name="Comma 11 5 2 11 3" xfId="6497" xr:uid="{A6B154D4-0804-4F90-A1F2-2CAB69216D74}"/>
    <cellStyle name="Comma 11 5 2 11 3 2" xfId="21677" xr:uid="{BB1FCAD3-B75F-45BA-BA78-6477AE903D33}"/>
    <cellStyle name="Comma 11 5 2 11 4" xfId="18389" xr:uid="{C2503B27-C707-4694-8AC5-281806D1CD2B}"/>
    <cellStyle name="Comma 11 5 2 12" xfId="4301" xr:uid="{28EE14EF-D4BA-43BF-91B4-AFC2684B9D72}"/>
    <cellStyle name="Comma 11 5 2 12 2" xfId="11786" xr:uid="{25B161C6-9644-4F26-B109-2F9DE3940057}"/>
    <cellStyle name="Comma 11 5 2 12 2 2" xfId="15332" xr:uid="{782FE667-1E5C-46C3-B68C-1EB0E7A733CB}"/>
    <cellStyle name="Comma 11 5 2 12 2 2 2" xfId="30509" xr:uid="{3ACCDB82-A06C-4673-A66E-875C5AF14C14}"/>
    <cellStyle name="Comma 11 5 2 12 2 3" xfId="26964" xr:uid="{3A306248-A6D6-43FE-917F-E9BB988C2553}"/>
    <cellStyle name="Comma 11 5 2 12 3" xfId="7612" xr:uid="{D5FAAB0C-53E0-4A0D-8740-A17BA7ABF5EC}"/>
    <cellStyle name="Comma 11 5 2 12 3 2" xfId="22792" xr:uid="{2B7662FA-CFB4-4B07-8832-6CAC7FC8E548}"/>
    <cellStyle name="Comma 11 5 2 12 4" xfId="19504" xr:uid="{70820F93-B051-4745-B5E1-68D904F85234}"/>
    <cellStyle name="Comma 11 5 2 13" xfId="8388" xr:uid="{5EB15875-BD46-4DC7-B8F7-A4082E81CB47}"/>
    <cellStyle name="Comma 11 5 2 13 2" xfId="12562" xr:uid="{E8028AEB-D033-4209-9788-B3AA78D0D8E1}"/>
    <cellStyle name="Comma 11 5 2 13 2 2" xfId="27739" xr:uid="{07E744A6-2DB6-40D4-920A-6924524F778C}"/>
    <cellStyle name="Comma 11 5 2 13 3" xfId="23567" xr:uid="{311D0AFD-DBEF-4BFC-8B79-B5A09A63A32E}"/>
    <cellStyle name="Comma 11 5 2 14" xfId="16107" xr:uid="{3660357F-10E1-4CBC-9B9C-6309AF936B3F}"/>
    <cellStyle name="Comma 11 5 2 15" xfId="31449" xr:uid="{7B235683-A0B7-4350-9A94-530B5ED2C653}"/>
    <cellStyle name="Comma 11 5 2 16" xfId="719" xr:uid="{12545526-E2A7-4E4C-808A-8D26753437BA}"/>
    <cellStyle name="Comma 11 5 2 2" xfId="771" xr:uid="{E8CA59BA-B452-4ABD-8BDD-E226FE70E85A}"/>
    <cellStyle name="Comma 11 5 2 2 10" xfId="8437" xr:uid="{C4D288A9-611D-44A2-9843-761AEB9384B9}"/>
    <cellStyle name="Comma 11 5 2 2 10 2" xfId="12611" xr:uid="{F6EB9DB9-469D-4DA7-84EC-4A2A6CFA1C5F}"/>
    <cellStyle name="Comma 11 5 2 2 10 2 2" xfId="27788" xr:uid="{7A395130-23BA-49B5-98F0-F4CE801A17E9}"/>
    <cellStyle name="Comma 11 5 2 2 10 3" xfId="23616" xr:uid="{B420AF13-E4B6-443C-8804-6888A73A5044}"/>
    <cellStyle name="Comma 11 5 2 2 11" xfId="16156" xr:uid="{38F35A72-2C3A-4EA7-ADED-3C521606E581}"/>
    <cellStyle name="Comma 11 5 2 2 12" xfId="31498" xr:uid="{D97BAFD3-DE8B-4478-BD00-6F8F6B11D4FC}"/>
    <cellStyle name="Comma 11 5 2 2 2" xfId="948" xr:uid="{A1FFE4BB-6EBA-4CE0-BAA1-BF5E14A493A8}"/>
    <cellStyle name="Comma 11 5 2 2 2 10" xfId="16278" xr:uid="{5F851BEC-1F66-4D94-96ED-DBDA3C1D0FE5}"/>
    <cellStyle name="Comma 11 5 2 2 2 11" xfId="31368" xr:uid="{0AA04AAD-FDC5-49FD-B6CC-5A030531423C}"/>
    <cellStyle name="Comma 11 5 2 2 2 12" xfId="31718" xr:uid="{2E8D304E-0B90-493D-9217-84752DC61AB3}"/>
    <cellStyle name="Comma 11 5 2 2 2 2" xfId="1309" xr:uid="{E1E81FDD-B60A-4443-97E5-4B8AF3C58C96}"/>
    <cellStyle name="Comma 11 5 2 2 2 2 2" xfId="3626" xr:uid="{B824A7DF-78DD-44AE-9FB8-EDD7A444D3CF}"/>
    <cellStyle name="Comma 11 5 2 2 2 2 2 2" xfId="11114" xr:uid="{CB3A269C-C563-4135-A7B6-017721476AFA}"/>
    <cellStyle name="Comma 11 5 2 2 2 2 2 2 2" xfId="14660" xr:uid="{F5CEDFC6-4FB6-4A7D-8E83-73782315AFB0}"/>
    <cellStyle name="Comma 11 5 2 2 2 2 2 2 2 2" xfId="29837" xr:uid="{F3BEC36D-FD10-430A-9325-57D55B9279E7}"/>
    <cellStyle name="Comma 11 5 2 2 2 2 2 2 3" xfId="26292" xr:uid="{5BC12DE9-6B43-42A7-91DF-736373D12DF8}"/>
    <cellStyle name="Comma 11 5 2 2 2 2 2 3" xfId="6940" xr:uid="{A1768C2B-5CF1-4505-B6F7-CD601C7AA00C}"/>
    <cellStyle name="Comma 11 5 2 2 2 2 2 3 2" xfId="22120" xr:uid="{98ABB12F-28AF-46A5-9CA5-D9A79C468007}"/>
    <cellStyle name="Comma 11 5 2 2 2 2 2 4" xfId="18832" xr:uid="{A5072D0A-1329-40E4-A411-7A59DC67B15E}"/>
    <cellStyle name="Comma 11 5 2 2 2 2 3" xfId="4302" xr:uid="{A4119125-EC45-4C55-B934-20A1DAA5E1AD}"/>
    <cellStyle name="Comma 11 5 2 2 2 2 3 2" xfId="11787" xr:uid="{B84A7F56-9A5D-4D2F-8217-993DAA55D46C}"/>
    <cellStyle name="Comma 11 5 2 2 2 2 3 2 2" xfId="15333" xr:uid="{A1DC738E-FA8C-4F12-A0DD-273CEE46277C}"/>
    <cellStyle name="Comma 11 5 2 2 2 2 3 2 2 2" xfId="30510" xr:uid="{5B7A9F19-E7D8-4BF2-B6BE-CC8C2A92E153}"/>
    <cellStyle name="Comma 11 5 2 2 2 2 3 2 3" xfId="26965" xr:uid="{4A41C151-4C1D-4FC4-A897-2AC720220994}"/>
    <cellStyle name="Comma 11 5 2 2 2 2 3 3" xfId="7613" xr:uid="{BF2CB9F5-40C1-4211-A5E3-18E72D8B7145}"/>
    <cellStyle name="Comma 11 5 2 2 2 2 3 3 2" xfId="22793" xr:uid="{9AAE72F8-E9D0-4531-9171-5C913CFD5F22}"/>
    <cellStyle name="Comma 11 5 2 2 2 2 3 4" xfId="19505" xr:uid="{947EECB8-C01D-4093-BD3B-7841B7D02B42}"/>
    <cellStyle name="Comma 11 5 2 2 2 2 4" xfId="2739" xr:uid="{87A08982-737E-423E-A37D-1132290E877D}"/>
    <cellStyle name="Comma 11 5 2 2 2 2 4 2" xfId="10230" xr:uid="{FA44F33A-925F-4299-8435-A81572899A38}"/>
    <cellStyle name="Comma 11 5 2 2 2 2 4 2 2" xfId="25408" xr:uid="{198B6704-3EC2-407B-AABF-82786A606F02}"/>
    <cellStyle name="Comma 11 5 2 2 2 2 4 3" xfId="17948" xr:uid="{BC82562B-34CD-48F7-9EE0-AB395DE90AF9}"/>
    <cellStyle name="Comma 11 5 2 2 2 2 5" xfId="8832" xr:uid="{995F05A0-448A-4778-9570-44F654CC6536}"/>
    <cellStyle name="Comma 11 5 2 2 2 2 5 2" xfId="13005" xr:uid="{8A9655F3-BC3B-4FC9-BFD4-FA12515EBEE0}"/>
    <cellStyle name="Comma 11 5 2 2 2 2 5 2 2" xfId="28182" xr:uid="{131FB4B0-E79F-44EB-9CE3-C0A01EE87352}"/>
    <cellStyle name="Comma 11 5 2 2 2 2 5 3" xfId="24010" xr:uid="{5245EFEC-74A7-43D0-9EAA-CDFD160DE9D1}"/>
    <cellStyle name="Comma 11 5 2 2 2 2 6" xfId="6056" xr:uid="{743FB506-C3CF-42F1-9DC9-9729F01E2A09}"/>
    <cellStyle name="Comma 11 5 2 2 2 2 6 2" xfId="21236" xr:uid="{22EBB45A-EC5D-462D-82DC-0F1BAB6E1030}"/>
    <cellStyle name="Comma 11 5 2 2 2 2 7" xfId="16550" xr:uid="{8A99BFD2-AFED-4F8C-BECA-002FFEDBF88C}"/>
    <cellStyle name="Comma 11 5 2 2 2 3" xfId="2466" xr:uid="{35D29DFA-4F61-4BEA-AA9A-873ACE03A6F6}"/>
    <cellStyle name="Comma 11 5 2 2 2 3 2" xfId="9958" xr:uid="{AD5BFB67-6769-4C25-8EA5-E9F964665074}"/>
    <cellStyle name="Comma 11 5 2 2 2 3 2 2" xfId="13617" xr:uid="{E57F7F6F-237B-46BD-9637-E2B714CBDE79}"/>
    <cellStyle name="Comma 11 5 2 2 2 3 2 2 2" xfId="28794" xr:uid="{4610FBA3-7128-4921-9FD1-2FB8123EB256}"/>
    <cellStyle name="Comma 11 5 2 2 2 3 2 3" xfId="25136" xr:uid="{09FDB86C-AF0C-4E17-9CE8-3F340C27D58F}"/>
    <cellStyle name="Comma 11 5 2 2 2 3 3" xfId="5784" xr:uid="{1E40D7E3-B894-46C8-9140-C3BCD2A63AED}"/>
    <cellStyle name="Comma 11 5 2 2 2 3 3 2" xfId="20964" xr:uid="{DFCC4EB2-744B-4733-A0F1-2CD40806D433}"/>
    <cellStyle name="Comma 11 5 2 2 2 3 4" xfId="17676" xr:uid="{310C4755-F7FB-4508-A15D-0A9F888B237E}"/>
    <cellStyle name="Comma 11 5 2 2 2 4" xfId="3354" xr:uid="{6D1559D1-D637-44DB-A6C0-2F0E79818DA8}"/>
    <cellStyle name="Comma 11 5 2 2 2 4 2" xfId="10842" xr:uid="{EFB5BEB7-F5E9-4940-A5B0-60B11F1D4044}"/>
    <cellStyle name="Comma 11 5 2 2 2 4 2 2" xfId="14388" xr:uid="{D4AD4276-0CFA-4F4C-B288-4A80F0175D41}"/>
    <cellStyle name="Comma 11 5 2 2 2 4 2 2 2" xfId="29565" xr:uid="{D77B3F35-9715-4D42-A94E-8FE47DE4E665}"/>
    <cellStyle name="Comma 11 5 2 2 2 4 2 3" xfId="26020" xr:uid="{70E1E2C6-2503-4738-9916-4B0266DA4B51}"/>
    <cellStyle name="Comma 11 5 2 2 2 4 3" xfId="6668" xr:uid="{4DC64D25-EE49-496C-BB13-7289CC011FDA}"/>
    <cellStyle name="Comma 11 5 2 2 2 4 3 2" xfId="21848" xr:uid="{05B6244F-F663-482B-BF3A-81B702D0EB25}"/>
    <cellStyle name="Comma 11 5 2 2 2 4 4" xfId="18560" xr:uid="{22856958-2914-4322-9811-9DD54D346EB2}"/>
    <cellStyle name="Comma 11 5 2 2 2 5" xfId="4303" xr:uid="{0AB6B0BB-9067-4D1C-BB8F-4A5B8B6F6BB3}"/>
    <cellStyle name="Comma 11 5 2 2 2 5 2" xfId="11788" xr:uid="{B03A5760-D9BE-47E6-AD26-AAAB64F38A78}"/>
    <cellStyle name="Comma 11 5 2 2 2 5 2 2" xfId="15334" xr:uid="{C4A657E6-A3D1-4793-BD33-05096A902E8E}"/>
    <cellStyle name="Comma 11 5 2 2 2 5 2 2 2" xfId="30511" xr:uid="{BEB4432E-3C27-4CD3-B4D1-14FC78A410FA}"/>
    <cellStyle name="Comma 11 5 2 2 2 5 2 3" xfId="26966" xr:uid="{0B3318B8-087C-42FD-B11A-C76D6C59D79E}"/>
    <cellStyle name="Comma 11 5 2 2 2 5 3" xfId="7614" xr:uid="{5BDA3E54-4059-44C2-812C-BC3D1F7720D8}"/>
    <cellStyle name="Comma 11 5 2 2 2 5 3 2" xfId="22794" xr:uid="{C78DAE46-C555-4E0E-BCC2-185DDB5A685E}"/>
    <cellStyle name="Comma 11 5 2 2 2 5 4" xfId="19506" xr:uid="{8F94175A-A2D9-4586-8E8B-53689F7D6EB3}"/>
    <cellStyle name="Comma 11 5 2 2 2 6" xfId="5028" xr:uid="{579DB16D-6B66-4C06-9E1F-812DC2EEEBFD}"/>
    <cellStyle name="Comma 11 5 2 2 2 6 2" xfId="12512" xr:uid="{9267BC96-6914-4B78-B967-9B89A60EB1CF}"/>
    <cellStyle name="Comma 11 5 2 2 2 6 2 2" xfId="16058" xr:uid="{220631B1-CD6D-4683-BFDF-785A9F503483}"/>
    <cellStyle name="Comma 11 5 2 2 2 6 2 2 2" xfId="31235" xr:uid="{1D3142FB-AF03-4E9A-8D0B-885285594825}"/>
    <cellStyle name="Comma 11 5 2 2 2 6 2 3" xfId="27690" xr:uid="{1A47DFA5-86FD-432E-9B05-928DFAB00BAC}"/>
    <cellStyle name="Comma 11 5 2 2 2 6 3" xfId="8338" xr:uid="{36378E9C-EFD2-4DB2-82EF-8F9A2FFCEA31}"/>
    <cellStyle name="Comma 11 5 2 2 2 6 3 2" xfId="23518" xr:uid="{1BD23546-B7C4-433F-B734-77D589EF7C90}"/>
    <cellStyle name="Comma 11 5 2 2 2 6 4" xfId="20230" xr:uid="{E15C777E-FEFB-4DBE-A893-0412F0D53629}"/>
    <cellStyle name="Comma 11 5 2 2 2 7" xfId="1849" xr:uid="{F51A9880-13F3-432C-9425-1FF24675C499}"/>
    <cellStyle name="Comma 11 5 2 2 2 7 2" xfId="9346" xr:uid="{85740F0F-7E5D-4996-830C-4F1B297A1F9F}"/>
    <cellStyle name="Comma 11 5 2 2 2 7 2 2" xfId="24524" xr:uid="{26F1AFD1-5245-4624-850F-49187341FF83}"/>
    <cellStyle name="Comma 11 5 2 2 2 7 3" xfId="17064" xr:uid="{310F1952-D4EE-4D89-B09B-8F3A78ED2F88}"/>
    <cellStyle name="Comma 11 5 2 2 2 8" xfId="8560" xr:uid="{689EAA23-5E39-4C65-9B71-66A945184B92}"/>
    <cellStyle name="Comma 11 5 2 2 2 8 2" xfId="12733" xr:uid="{B633F42D-4C89-45DB-9398-B6DC08C7F871}"/>
    <cellStyle name="Comma 11 5 2 2 2 8 2 2" xfId="27910" xr:uid="{948044BD-1C54-4139-B6C6-A3C046B9AB05}"/>
    <cellStyle name="Comma 11 5 2 2 2 8 3" xfId="23738" xr:uid="{AEA221D4-746E-4746-9961-1EAF0A72B3B1}"/>
    <cellStyle name="Comma 11 5 2 2 2 9" xfId="5172" xr:uid="{B5A3A2BB-8CEE-4F44-862B-C41F80ED0F67}"/>
    <cellStyle name="Comma 11 5 2 2 2 9 2" xfId="20352" xr:uid="{B59BF086-A8FB-48CC-BD64-03713FB12655}"/>
    <cellStyle name="Comma 11 5 2 2 3" xfId="1051" xr:uid="{82CB99F4-5025-4F9B-9BFC-F6F3FAA4170A}"/>
    <cellStyle name="Comma 11 5 2 2 3 10" xfId="31596" xr:uid="{D0332AEA-A61B-48D5-AD35-11C3530E429B}"/>
    <cellStyle name="Comma 11 5 2 2 3 2" xfId="1411" xr:uid="{BA8473F7-0162-45D1-8A60-E60ACC9C9EE3}"/>
    <cellStyle name="Comma 11 5 2 2 3 2 2" xfId="3724" xr:uid="{EA108F6C-C600-4BE3-A240-939D120DC0C8}"/>
    <cellStyle name="Comma 11 5 2 2 3 2 2 2" xfId="11212" xr:uid="{9ABDAED7-63F4-4E6A-B926-289517D4AB49}"/>
    <cellStyle name="Comma 11 5 2 2 3 2 2 2 2" xfId="14758" xr:uid="{6C92BA46-68E4-4305-A83F-697E4BA769B9}"/>
    <cellStyle name="Comma 11 5 2 2 3 2 2 2 2 2" xfId="29935" xr:uid="{EFD04E08-0E5D-4BFF-B2BD-375CB3B7E905}"/>
    <cellStyle name="Comma 11 5 2 2 3 2 2 2 3" xfId="26390" xr:uid="{7ECDAF60-7C1F-47C2-9EE2-A908BE049BAE}"/>
    <cellStyle name="Comma 11 5 2 2 3 2 2 3" xfId="7038" xr:uid="{F6E0B2D5-D998-4F2A-BD92-48DB891DA56B}"/>
    <cellStyle name="Comma 11 5 2 2 3 2 2 3 2" xfId="22218" xr:uid="{9C292A06-B7C7-45DC-9D8C-0E0B468D2937}"/>
    <cellStyle name="Comma 11 5 2 2 3 2 2 4" xfId="18930" xr:uid="{EBB616FC-C29D-4518-9314-7847E2B303CD}"/>
    <cellStyle name="Comma 11 5 2 2 3 2 3" xfId="4304" xr:uid="{B55D1B79-BA1E-4B90-826D-B775E4B9E3C4}"/>
    <cellStyle name="Comma 11 5 2 2 3 2 3 2" xfId="11789" xr:uid="{B368AFAB-6583-4EFB-BC06-ED4070E2FD6B}"/>
    <cellStyle name="Comma 11 5 2 2 3 2 3 2 2" xfId="15335" xr:uid="{7AF17157-0EA6-408B-A0C0-D3640CC303C4}"/>
    <cellStyle name="Comma 11 5 2 2 3 2 3 2 2 2" xfId="30512" xr:uid="{A698FBB3-6D4F-4DC2-B4FF-359D2B284C2A}"/>
    <cellStyle name="Comma 11 5 2 2 3 2 3 2 3" xfId="26967" xr:uid="{3C8CCB3C-C3E0-4D77-8FBF-9A58AE30A296}"/>
    <cellStyle name="Comma 11 5 2 2 3 2 3 3" xfId="7615" xr:uid="{39F734E8-DC76-4DFF-8DEB-F576FA665E97}"/>
    <cellStyle name="Comma 11 5 2 2 3 2 3 3 2" xfId="22795" xr:uid="{E4333DB5-B673-483C-835E-E9BEA6661404}"/>
    <cellStyle name="Comma 11 5 2 2 3 2 3 4" xfId="19507" xr:uid="{3F8FD0A7-C710-4C56-8C23-D75572FCD5FA}"/>
    <cellStyle name="Comma 11 5 2 2 3 2 4" xfId="2837" xr:uid="{A2C1D87E-2172-4B2B-BD95-FF7AA3AFD275}"/>
    <cellStyle name="Comma 11 5 2 2 3 2 4 2" xfId="10328" xr:uid="{87A887A5-A066-4F52-9764-3DAEC0D2B9C1}"/>
    <cellStyle name="Comma 11 5 2 2 3 2 4 2 2" xfId="25506" xr:uid="{2E04426A-830B-4561-A8CA-21D2F74E6163}"/>
    <cellStyle name="Comma 11 5 2 2 3 2 4 3" xfId="18046" xr:uid="{8DB7F08F-D521-4FB4-A7EB-545974080BC7}"/>
    <cellStyle name="Comma 11 5 2 2 3 2 5" xfId="8930" xr:uid="{7227DD41-5CE4-4DF0-84AC-F570CB3A45BA}"/>
    <cellStyle name="Comma 11 5 2 2 3 2 5 2" xfId="13103" xr:uid="{AA228B6F-CFF2-464A-B0CD-357F5D0070FF}"/>
    <cellStyle name="Comma 11 5 2 2 3 2 5 2 2" xfId="28280" xr:uid="{8D245415-91EF-4CE7-A8E4-EC51F122EC32}"/>
    <cellStyle name="Comma 11 5 2 2 3 2 5 3" xfId="24108" xr:uid="{3A8512DD-83EC-49D3-B166-FF0817A2E39D}"/>
    <cellStyle name="Comma 11 5 2 2 3 2 6" xfId="6154" xr:uid="{4F6C690A-3E5B-477E-845C-BC8DAEFA6724}"/>
    <cellStyle name="Comma 11 5 2 2 3 2 6 2" xfId="21334" xr:uid="{5A6039A7-7A36-483E-B48B-784A68980A42}"/>
    <cellStyle name="Comma 11 5 2 2 3 2 7" xfId="16648" xr:uid="{CF488F95-DAE4-4FDD-9C4A-5EFF0AE8FABE}"/>
    <cellStyle name="Comma 11 5 2 2 3 3" xfId="2564" xr:uid="{98E22D15-9815-4F15-A746-FCDC05E50EF4}"/>
    <cellStyle name="Comma 11 5 2 2 3 3 2" xfId="10056" xr:uid="{52C103B6-BCD4-4945-8983-34F43C23E10C}"/>
    <cellStyle name="Comma 11 5 2 2 3 3 2 2" xfId="13715" xr:uid="{239AD826-6FC8-4242-A849-3032517AAFE3}"/>
    <cellStyle name="Comma 11 5 2 2 3 3 2 2 2" xfId="28892" xr:uid="{503372E0-6550-4A2C-8DC2-1E960DDE2E88}"/>
    <cellStyle name="Comma 11 5 2 2 3 3 2 3" xfId="25234" xr:uid="{3638C8B0-BC1B-4CFB-A8CE-6DA029E13169}"/>
    <cellStyle name="Comma 11 5 2 2 3 3 3" xfId="5882" xr:uid="{B2861924-67E7-4D55-9763-38A6E68B08FB}"/>
    <cellStyle name="Comma 11 5 2 2 3 3 3 2" xfId="21062" xr:uid="{DB3BB22F-C82D-4995-BFC0-EF461B0ECA82}"/>
    <cellStyle name="Comma 11 5 2 2 3 3 4" xfId="17774" xr:uid="{8F13F9F7-BC6D-4B12-9EDC-BC760A5EEEF3}"/>
    <cellStyle name="Comma 11 5 2 2 3 4" xfId="3452" xr:uid="{31FC6309-F48D-4786-A047-D07B3C29A83E}"/>
    <cellStyle name="Comma 11 5 2 2 3 4 2" xfId="10940" xr:uid="{1285B1DE-81BA-4430-AE52-507801327A5B}"/>
    <cellStyle name="Comma 11 5 2 2 3 4 2 2" xfId="14486" xr:uid="{7C866C55-F0F6-4BA9-95BA-05FA1104C2EC}"/>
    <cellStyle name="Comma 11 5 2 2 3 4 2 2 2" xfId="29663" xr:uid="{6FD9E84E-491C-4185-8C90-4103889A516C}"/>
    <cellStyle name="Comma 11 5 2 2 3 4 2 3" xfId="26118" xr:uid="{1D4F3DE2-866B-4505-B62E-ADCBE2C35942}"/>
    <cellStyle name="Comma 11 5 2 2 3 4 3" xfId="6766" xr:uid="{AF4FE116-5AE2-40F8-8BCF-F13204C6D6D8}"/>
    <cellStyle name="Comma 11 5 2 2 3 4 3 2" xfId="21946" xr:uid="{0A3346DF-A90A-42ED-BDF6-D0295AD5B86E}"/>
    <cellStyle name="Comma 11 5 2 2 3 4 4" xfId="18658" xr:uid="{4BDA9047-3CF9-462F-8569-3B98AD8499E3}"/>
    <cellStyle name="Comma 11 5 2 2 3 5" xfId="4305" xr:uid="{531472B9-860C-4540-B1AE-E5FB8E44E94F}"/>
    <cellStyle name="Comma 11 5 2 2 3 5 2" xfId="11790" xr:uid="{3596A87E-4440-4E9E-82D1-F4844A828951}"/>
    <cellStyle name="Comma 11 5 2 2 3 5 2 2" xfId="15336" xr:uid="{9CE67CE6-9C7F-4B2D-853E-8C4AA5174B32}"/>
    <cellStyle name="Comma 11 5 2 2 3 5 2 2 2" xfId="30513" xr:uid="{BB7C78FA-C8AD-400F-851F-8A175E3691C3}"/>
    <cellStyle name="Comma 11 5 2 2 3 5 2 3" xfId="26968" xr:uid="{B958F993-0641-4BF3-B53B-E1E7F8CBC7B0}"/>
    <cellStyle name="Comma 11 5 2 2 3 5 3" xfId="7616" xr:uid="{BFFE9546-E82D-447C-8528-303B76847D50}"/>
    <cellStyle name="Comma 11 5 2 2 3 5 3 2" xfId="22796" xr:uid="{7628AABA-10BF-41A9-BD7B-E6BA4AA1B095}"/>
    <cellStyle name="Comma 11 5 2 2 3 5 4" xfId="19508" xr:uid="{F1F047F4-B1D4-4217-8ADD-9F2C667358EE}"/>
    <cellStyle name="Comma 11 5 2 2 3 6" xfId="1947" xr:uid="{3D54E076-3AA8-46BB-BBE2-7D2F02D6C009}"/>
    <cellStyle name="Comma 11 5 2 2 3 6 2" xfId="9444" xr:uid="{8FECBB3A-5B82-49DF-A0FF-B9B52EE718D5}"/>
    <cellStyle name="Comma 11 5 2 2 3 6 2 2" xfId="24622" xr:uid="{6F606BCE-66D2-480E-BA04-7C518CA21E61}"/>
    <cellStyle name="Comma 11 5 2 2 3 6 3" xfId="17162" xr:uid="{C88E33D8-31C2-4C06-834D-11201BB1DC2A}"/>
    <cellStyle name="Comma 11 5 2 2 3 7" xfId="8658" xr:uid="{C337316A-6F8D-453C-A019-F2ED2B9772AE}"/>
    <cellStyle name="Comma 11 5 2 2 3 7 2" xfId="12831" xr:uid="{2685F8EB-B2CB-472E-9AEC-E90364F5ED50}"/>
    <cellStyle name="Comma 11 5 2 2 3 7 2 2" xfId="28008" xr:uid="{9347EBF0-060D-4FE3-875E-2F3AB56755A3}"/>
    <cellStyle name="Comma 11 5 2 2 3 7 3" xfId="23836" xr:uid="{976E4032-79CE-42A8-90E3-900739F41C52}"/>
    <cellStyle name="Comma 11 5 2 2 3 8" xfId="5270" xr:uid="{4CCC05AE-09FB-4827-9ADE-49D0223F7217}"/>
    <cellStyle name="Comma 11 5 2 2 3 8 2" xfId="20450" xr:uid="{483BE99E-10A9-47A3-8C42-A9C0FA4E30B0}"/>
    <cellStyle name="Comma 11 5 2 2 3 9" xfId="16376" xr:uid="{D2FD5C13-D1BF-4FDB-9CDC-A0ACCD9BB26D}"/>
    <cellStyle name="Comma 11 5 2 2 4" xfId="1510" xr:uid="{C41DBC1F-9853-4271-BBDE-98F67A31DEC9}"/>
    <cellStyle name="Comma 11 5 2 2 4 2" xfId="2935" xr:uid="{E318181E-A481-4950-98A3-F4C516935E57}"/>
    <cellStyle name="Comma 11 5 2 2 4 2 2" xfId="10426" xr:uid="{42DC539C-816A-408C-A434-538150D1BCDC}"/>
    <cellStyle name="Comma 11 5 2 2 4 2 2 2" xfId="13972" xr:uid="{6EDA5F32-D4C3-4DED-862A-BC2C3FF72730}"/>
    <cellStyle name="Comma 11 5 2 2 4 2 2 2 2" xfId="29149" xr:uid="{BAA0BBC8-95BC-4BD4-95AE-D1BFF8540E10}"/>
    <cellStyle name="Comma 11 5 2 2 4 2 2 3" xfId="25604" xr:uid="{777E5ADD-0CEB-476D-BD85-D32FDCFA1302}"/>
    <cellStyle name="Comma 11 5 2 2 4 2 3" xfId="6252" xr:uid="{DB2BDC58-7A0C-45AE-BA43-13532B008F22}"/>
    <cellStyle name="Comma 11 5 2 2 4 2 3 2" xfId="21432" xr:uid="{577DF9D5-1370-40BC-912A-5D78E6423029}"/>
    <cellStyle name="Comma 11 5 2 2 4 2 4" xfId="18144" xr:uid="{7A4F295F-2A9C-4C8B-830B-41F29F44023F}"/>
    <cellStyle name="Comma 11 5 2 2 4 3" xfId="3822" xr:uid="{2EF903D2-EF6A-45D0-87FC-0451D4D302D8}"/>
    <cellStyle name="Comma 11 5 2 2 4 3 2" xfId="11310" xr:uid="{45AA93C0-E23C-49A6-B9B7-6F87A364B6DF}"/>
    <cellStyle name="Comma 11 5 2 2 4 3 2 2" xfId="14856" xr:uid="{6FF25D12-C2E8-4B24-9E38-C3B31AA5D733}"/>
    <cellStyle name="Comma 11 5 2 2 4 3 2 2 2" xfId="30033" xr:uid="{D646DA40-38D4-4264-80DA-A34A15FE248B}"/>
    <cellStyle name="Comma 11 5 2 2 4 3 2 3" xfId="26488" xr:uid="{C5438428-56B5-4E7D-AE7C-5A431B931955}"/>
    <cellStyle name="Comma 11 5 2 2 4 3 3" xfId="7136" xr:uid="{D1B7E430-F837-4CA1-8A70-E7F0122DEE2A}"/>
    <cellStyle name="Comma 11 5 2 2 4 3 3 2" xfId="22316" xr:uid="{45542225-AA44-4131-BCF0-F182BD12FBD6}"/>
    <cellStyle name="Comma 11 5 2 2 4 3 4" xfId="19028" xr:uid="{486198BF-9EFF-470F-BADD-B1CEA95BD75F}"/>
    <cellStyle name="Comma 11 5 2 2 4 4" xfId="4306" xr:uid="{57F845B5-D84F-4C84-95C6-17876CC866DE}"/>
    <cellStyle name="Comma 11 5 2 2 4 4 2" xfId="11791" xr:uid="{E3234523-D578-4D5F-B48A-AAD6D42CDF9A}"/>
    <cellStyle name="Comma 11 5 2 2 4 4 2 2" xfId="15337" xr:uid="{5F77EC7D-D3FF-400B-AB30-37556F37127C}"/>
    <cellStyle name="Comma 11 5 2 2 4 4 2 2 2" xfId="30514" xr:uid="{C931DC02-7C14-45CC-ADA8-4D89B83352E3}"/>
    <cellStyle name="Comma 11 5 2 2 4 4 2 3" xfId="26969" xr:uid="{FCD6940F-E415-48C7-9155-8BE6AF93BB82}"/>
    <cellStyle name="Comma 11 5 2 2 4 4 3" xfId="7617" xr:uid="{463F03BD-3F12-4D16-BB48-BC1176ABE051}"/>
    <cellStyle name="Comma 11 5 2 2 4 4 3 2" xfId="22797" xr:uid="{C3F7225C-3161-4D74-9DC0-B02AB3B4EE2F}"/>
    <cellStyle name="Comma 11 5 2 2 4 4 4" xfId="19509" xr:uid="{3132B3A9-4AC0-421B-A56D-1A36E2C1C77A}"/>
    <cellStyle name="Comma 11 5 2 2 4 5" xfId="2045" xr:uid="{3DAB167A-44E3-411A-975A-85070EE7460D}"/>
    <cellStyle name="Comma 11 5 2 2 4 5 2" xfId="9542" xr:uid="{BD8A480C-8479-4BED-AB7E-964E085C7C60}"/>
    <cellStyle name="Comma 11 5 2 2 4 5 2 2" xfId="24720" xr:uid="{105B3CAE-89F4-4C84-84D8-8BAA69E8B17A}"/>
    <cellStyle name="Comma 11 5 2 2 4 5 3" xfId="17260" xr:uid="{C80C3870-ACD4-47E1-B1AF-755ED314F0CC}"/>
    <cellStyle name="Comma 11 5 2 2 4 6" xfId="9028" xr:uid="{3F85E830-F223-42D4-BBBD-26924CFC8291}"/>
    <cellStyle name="Comma 11 5 2 2 4 6 2" xfId="13201" xr:uid="{72B93D84-C513-44B5-A37F-52124D9FEBDF}"/>
    <cellStyle name="Comma 11 5 2 2 4 6 2 2" xfId="28378" xr:uid="{CDA2F2F0-BD2E-4D99-B711-A6B496AC336E}"/>
    <cellStyle name="Comma 11 5 2 2 4 6 3" xfId="24206" xr:uid="{06C7BDBA-71C5-48E5-A65B-E86D001BF67F}"/>
    <cellStyle name="Comma 11 5 2 2 4 7" xfId="5368" xr:uid="{AF3ACE07-8729-4FED-B44F-BB1A282CDA3C}"/>
    <cellStyle name="Comma 11 5 2 2 4 7 2" xfId="20548" xr:uid="{9D4E3B0C-A70E-4E5B-B382-CC11078A3CCC}"/>
    <cellStyle name="Comma 11 5 2 2 4 8" xfId="16746" xr:uid="{CC4B2270-043B-4864-9E8D-2327C16D5561}"/>
    <cellStyle name="Comma 11 5 2 2 5" xfId="1613" xr:uid="{0F0C5346-28F5-419F-9C33-26B6B8EB71AD}"/>
    <cellStyle name="Comma 11 5 2 2 5 2" xfId="3033" xr:uid="{51D7F984-A0B1-4D6E-AECA-81DD1D9D769E}"/>
    <cellStyle name="Comma 11 5 2 2 5 2 2" xfId="10524" xr:uid="{B5CBFD1E-0665-453E-97B0-6EE668FF8F09}"/>
    <cellStyle name="Comma 11 5 2 2 5 2 2 2" xfId="14070" xr:uid="{6568FD13-99D4-412F-9BCA-808706619378}"/>
    <cellStyle name="Comma 11 5 2 2 5 2 2 2 2" xfId="29247" xr:uid="{1B62E67A-18A6-43A3-8DA6-2F14DA273B6D}"/>
    <cellStyle name="Comma 11 5 2 2 5 2 2 3" xfId="25702" xr:uid="{40398445-2668-4C0F-BE7B-4AEC56217FEE}"/>
    <cellStyle name="Comma 11 5 2 2 5 2 3" xfId="6350" xr:uid="{E3D84C4E-239D-4796-AAAE-AE620543BBC2}"/>
    <cellStyle name="Comma 11 5 2 2 5 2 3 2" xfId="21530" xr:uid="{8022FA4A-8B75-4260-A5E3-6C1C742289CB}"/>
    <cellStyle name="Comma 11 5 2 2 5 2 4" xfId="18242" xr:uid="{8547D954-3AA5-4A29-AA1D-C558B4ED395C}"/>
    <cellStyle name="Comma 11 5 2 2 5 3" xfId="3920" xr:uid="{583BE98D-46AC-4B6D-874D-7B8750231CB6}"/>
    <cellStyle name="Comma 11 5 2 2 5 3 2" xfId="11408" xr:uid="{D8202214-AA3B-46C8-8321-1ABF0044ACED}"/>
    <cellStyle name="Comma 11 5 2 2 5 3 2 2" xfId="14954" xr:uid="{71FE65B6-0E4A-4109-BE07-0BDA1240F184}"/>
    <cellStyle name="Comma 11 5 2 2 5 3 2 2 2" xfId="30131" xr:uid="{9B7CDD92-1C59-47EE-911C-9BB5828599E1}"/>
    <cellStyle name="Comma 11 5 2 2 5 3 2 3" xfId="26586" xr:uid="{1452921E-3435-4817-8C77-FF478BB58194}"/>
    <cellStyle name="Comma 11 5 2 2 5 3 3" xfId="7234" xr:uid="{BB1D5C3D-09EE-49E3-BEE1-7CA9CDFC5421}"/>
    <cellStyle name="Comma 11 5 2 2 5 3 3 2" xfId="22414" xr:uid="{CC7E9C3B-7E80-4E9F-9117-ADBF57898650}"/>
    <cellStyle name="Comma 11 5 2 2 5 3 4" xfId="19126" xr:uid="{22F1DDC8-1980-4B39-9595-9FC6A4F7F18E}"/>
    <cellStyle name="Comma 11 5 2 2 5 4" xfId="4307" xr:uid="{44507D1C-20B5-44D2-B836-E3151DF96485}"/>
    <cellStyle name="Comma 11 5 2 2 5 4 2" xfId="11792" xr:uid="{9C81C98F-9A6B-4BF2-BE3B-25C74C4D4475}"/>
    <cellStyle name="Comma 11 5 2 2 5 4 2 2" xfId="15338" xr:uid="{A9814C31-E711-4615-98D5-62C34ACC37CF}"/>
    <cellStyle name="Comma 11 5 2 2 5 4 2 2 2" xfId="30515" xr:uid="{904FD643-9482-4FCB-80D6-7CAC364B5B83}"/>
    <cellStyle name="Comma 11 5 2 2 5 4 2 3" xfId="26970" xr:uid="{8C94CB23-6CC3-4C8C-9B99-30F207D37427}"/>
    <cellStyle name="Comma 11 5 2 2 5 4 3" xfId="7618" xr:uid="{439CD6D3-7A16-4DFE-A46D-06C42957D0A2}"/>
    <cellStyle name="Comma 11 5 2 2 5 4 3 2" xfId="22798" xr:uid="{EB2F6059-B098-4EB7-BC60-D16615A651E0}"/>
    <cellStyle name="Comma 11 5 2 2 5 4 4" xfId="19510" xr:uid="{466662C1-6A95-44A6-B1B5-C8EA90C2DDAF}"/>
    <cellStyle name="Comma 11 5 2 2 5 5" xfId="2143" xr:uid="{AE9F5CF4-910A-4244-844A-C7C093331A90}"/>
    <cellStyle name="Comma 11 5 2 2 5 5 2" xfId="9640" xr:uid="{69136842-4514-4F30-A20B-E20F76315D0D}"/>
    <cellStyle name="Comma 11 5 2 2 5 5 2 2" xfId="24818" xr:uid="{645D55DF-D997-4A4F-86E4-FAEE176B798C}"/>
    <cellStyle name="Comma 11 5 2 2 5 5 3" xfId="17358" xr:uid="{CCE59AF7-7EC8-4C0B-8914-72F14C9183C4}"/>
    <cellStyle name="Comma 11 5 2 2 5 6" xfId="9126" xr:uid="{9FD3FD48-AE42-4C55-8E2A-9E7B47B0A620}"/>
    <cellStyle name="Comma 11 5 2 2 5 6 2" xfId="13299" xr:uid="{507C9D08-1892-4E0F-AEA4-94C5E318C7A6}"/>
    <cellStyle name="Comma 11 5 2 2 5 6 2 2" xfId="28476" xr:uid="{A1F2B047-316D-45B9-BDB6-BA1BF20BC69E}"/>
    <cellStyle name="Comma 11 5 2 2 5 6 3" xfId="24304" xr:uid="{77F20DF8-2EFD-4314-9A43-E4F11E88E92F}"/>
    <cellStyle name="Comma 11 5 2 2 5 7" xfId="5466" xr:uid="{272203B2-0168-483F-9DFD-AFC3916099E1}"/>
    <cellStyle name="Comma 11 5 2 2 5 7 2" xfId="20646" xr:uid="{DBBD9D96-F83B-425F-A605-9987D84647D6}"/>
    <cellStyle name="Comma 11 5 2 2 5 8" xfId="16844" xr:uid="{9DC64C93-488D-4C01-8987-7A9ECD2F1487}"/>
    <cellStyle name="Comma 11 5 2 2 6" xfId="1712" xr:uid="{A0FE4C36-1659-4E42-B14D-A08CD504F621}"/>
    <cellStyle name="Comma 11 5 2 2 6 2" xfId="3131" xr:uid="{B1D4D1E2-D5CC-43DD-B53D-B903157206DD}"/>
    <cellStyle name="Comma 11 5 2 2 6 2 2" xfId="10622" xr:uid="{9AC145DF-C08B-40DE-842C-B357F0C4072D}"/>
    <cellStyle name="Comma 11 5 2 2 6 2 2 2" xfId="14168" xr:uid="{5E194962-4E99-4ECC-A12C-D173FF99BD7F}"/>
    <cellStyle name="Comma 11 5 2 2 6 2 2 2 2" xfId="29345" xr:uid="{ED74E279-A128-4B0F-8A6E-E4D4AA7F8D36}"/>
    <cellStyle name="Comma 11 5 2 2 6 2 2 3" xfId="25800" xr:uid="{282EBC5C-2827-4896-B4AF-FFCFC6AC8C1A}"/>
    <cellStyle name="Comma 11 5 2 2 6 2 3" xfId="6448" xr:uid="{683F6331-3198-4914-8307-B9F8378214B1}"/>
    <cellStyle name="Comma 11 5 2 2 6 2 3 2" xfId="21628" xr:uid="{DBE9F386-00F2-4A02-BF8E-9EC934008496}"/>
    <cellStyle name="Comma 11 5 2 2 6 2 4" xfId="18340" xr:uid="{BB1C80F9-E581-4A48-9AB3-F2C5885BBC85}"/>
    <cellStyle name="Comma 11 5 2 2 6 3" xfId="4018" xr:uid="{68999305-0FAA-4F0E-A0B7-BCAA30ACE76F}"/>
    <cellStyle name="Comma 11 5 2 2 6 3 2" xfId="11506" xr:uid="{0D0A686E-C769-40B7-877E-BA2F6F952609}"/>
    <cellStyle name="Comma 11 5 2 2 6 3 2 2" xfId="15052" xr:uid="{0C419642-FDEE-4477-9A8C-9D02CABE111E}"/>
    <cellStyle name="Comma 11 5 2 2 6 3 2 2 2" xfId="30229" xr:uid="{1B2AB1D0-8470-4533-A905-CC79EDB2FE57}"/>
    <cellStyle name="Comma 11 5 2 2 6 3 2 3" xfId="26684" xr:uid="{67D407D9-4015-41CF-AB5C-F31D1E9BA8FB}"/>
    <cellStyle name="Comma 11 5 2 2 6 3 3" xfId="7332" xr:uid="{F7CA07E6-B576-412D-A626-82DBFB4E525F}"/>
    <cellStyle name="Comma 11 5 2 2 6 3 3 2" xfId="22512" xr:uid="{BB979AA7-14F6-45C2-94A1-D11042D2BEEB}"/>
    <cellStyle name="Comma 11 5 2 2 6 3 4" xfId="19224" xr:uid="{22239D9F-3081-4460-8730-EF9FA7637987}"/>
    <cellStyle name="Comma 11 5 2 2 6 4" xfId="4308" xr:uid="{359F4BB2-48BC-4AF5-9091-FD8EBF09E530}"/>
    <cellStyle name="Comma 11 5 2 2 6 4 2" xfId="11793" xr:uid="{571B2B03-220B-460B-8225-30DD83D72D33}"/>
    <cellStyle name="Comma 11 5 2 2 6 4 2 2" xfId="15339" xr:uid="{215F59F1-6D3B-4CED-B716-88497DD5E938}"/>
    <cellStyle name="Comma 11 5 2 2 6 4 2 2 2" xfId="30516" xr:uid="{0A45215E-20AC-4337-B77B-577D92F022F2}"/>
    <cellStyle name="Comma 11 5 2 2 6 4 2 3" xfId="26971" xr:uid="{4458021E-2A16-46DD-B035-8D992125401C}"/>
    <cellStyle name="Comma 11 5 2 2 6 4 3" xfId="7619" xr:uid="{F4CA30A1-4EDE-4676-92F0-7C5CB35C92FA}"/>
    <cellStyle name="Comma 11 5 2 2 6 4 3 2" xfId="22799" xr:uid="{C6C01FEC-1031-470A-A66E-A1B5BF1F07C3}"/>
    <cellStyle name="Comma 11 5 2 2 6 4 4" xfId="19511" xr:uid="{4BDEFBF0-C297-4D72-8FBA-12668AF20571}"/>
    <cellStyle name="Comma 11 5 2 2 6 5" xfId="2241" xr:uid="{BEA3E7F4-DD46-435E-AF3A-12C673353BAF}"/>
    <cellStyle name="Comma 11 5 2 2 6 5 2" xfId="9738" xr:uid="{BF9E7DD7-59F1-48BC-9D10-BFF7E23727EE}"/>
    <cellStyle name="Comma 11 5 2 2 6 5 2 2" xfId="24916" xr:uid="{75C5C44F-22FA-4FAE-914A-937D0F7313FF}"/>
    <cellStyle name="Comma 11 5 2 2 6 5 3" xfId="17456" xr:uid="{730FF1B4-0622-4C40-B085-F0DB893779F8}"/>
    <cellStyle name="Comma 11 5 2 2 6 6" xfId="9224" xr:uid="{C4B0CF45-42FB-4D38-8C2D-9E7324A17924}"/>
    <cellStyle name="Comma 11 5 2 2 6 6 2" xfId="13397" xr:uid="{53C3A757-C40A-4551-B5B4-FCBD8A5B6321}"/>
    <cellStyle name="Comma 11 5 2 2 6 6 2 2" xfId="28574" xr:uid="{A27DDCDC-3931-4A01-A357-DA8BD834E06D}"/>
    <cellStyle name="Comma 11 5 2 2 6 6 3" xfId="24402" xr:uid="{8B0F188D-DCB6-4CAD-AAB5-AC20DBB10940}"/>
    <cellStyle name="Comma 11 5 2 2 6 7" xfId="5564" xr:uid="{838F3CE7-E67A-4FAA-940F-56FCA24DF264}"/>
    <cellStyle name="Comma 11 5 2 2 6 7 2" xfId="20744" xr:uid="{0F563475-BE63-4119-9520-875339048072}"/>
    <cellStyle name="Comma 11 5 2 2 6 8" xfId="16942" xr:uid="{8D1CEF6F-8D8C-4B93-8493-B53322F5D6D8}"/>
    <cellStyle name="Comma 11 5 2 2 7" xfId="2341" xr:uid="{8BC37508-524B-4310-B624-1D92F1E95254}"/>
    <cellStyle name="Comma 11 5 2 2 7 2" xfId="9836" xr:uid="{99724541-258A-4FFC-B0F8-679E95372D96}"/>
    <cellStyle name="Comma 11 5 2 2 7 2 2" xfId="13495" xr:uid="{2922F9F0-ADED-4912-9F2B-FB6C608B494F}"/>
    <cellStyle name="Comma 11 5 2 2 7 2 2 2" xfId="28672" xr:uid="{82CC08BF-6F23-4F9E-94B6-7EB40A22F063}"/>
    <cellStyle name="Comma 11 5 2 2 7 2 3" xfId="25014" xr:uid="{A61BF45F-53A1-42CF-A4CD-5C15CAAC9AE2}"/>
    <cellStyle name="Comma 11 5 2 2 7 3" xfId="5662" xr:uid="{BC3A49B7-1C58-47F2-B09B-E4A02D1D0563}"/>
    <cellStyle name="Comma 11 5 2 2 7 3 2" xfId="20842" xr:uid="{03CB53F6-6885-4213-96C3-D523601E07B5}"/>
    <cellStyle name="Comma 11 5 2 2 7 4" xfId="17554" xr:uid="{23F460FB-8CB6-431A-89DC-5FD9DFA5FDD2}"/>
    <cellStyle name="Comma 11 5 2 2 8" xfId="3231" xr:uid="{44B5DD5A-A473-4B7A-A273-C36759946BEB}"/>
    <cellStyle name="Comma 11 5 2 2 8 2" xfId="10720" xr:uid="{2742F7FF-D3FF-415A-B46A-F4A4AE23E4F3}"/>
    <cellStyle name="Comma 11 5 2 2 8 2 2" xfId="14266" xr:uid="{4518B28D-65CB-48E2-9FB7-5D41A2EDA7E8}"/>
    <cellStyle name="Comma 11 5 2 2 8 2 2 2" xfId="29443" xr:uid="{333C42CE-3448-476F-AE3D-7367B71BB01B}"/>
    <cellStyle name="Comma 11 5 2 2 8 2 3" xfId="25898" xr:uid="{12BEA89D-6483-4E94-921D-CF59849DD46F}"/>
    <cellStyle name="Comma 11 5 2 2 8 3" xfId="6546" xr:uid="{B0C1EF2E-B7BB-4AFC-9E7C-5B745F97741B}"/>
    <cellStyle name="Comma 11 5 2 2 8 3 2" xfId="21726" xr:uid="{C583F0FA-5789-4ABF-B6B0-55132AB6AF63}"/>
    <cellStyle name="Comma 11 5 2 2 8 4" xfId="18438" xr:uid="{E61A999A-0D8A-421A-8667-42E0023DEE6F}"/>
    <cellStyle name="Comma 11 5 2 2 9" xfId="4309" xr:uid="{6E2BF994-DA68-4E81-BEBE-3FCD41567D8E}"/>
    <cellStyle name="Comma 11 5 2 2 9 2" xfId="11794" xr:uid="{56834963-04DF-4703-90B5-D485417FB9BB}"/>
    <cellStyle name="Comma 11 5 2 2 9 2 2" xfId="15340" xr:uid="{A4E77DCE-C54F-4625-9359-6CA1E19C28B1}"/>
    <cellStyle name="Comma 11 5 2 2 9 2 2 2" xfId="30517" xr:uid="{DE4C2BEF-0D2C-4624-9469-E6AA5E3A4A62}"/>
    <cellStyle name="Comma 11 5 2 2 9 2 3" xfId="26972" xr:uid="{663766B2-F926-4E48-8800-D3B9E01F037B}"/>
    <cellStyle name="Comma 11 5 2 2 9 3" xfId="7620" xr:uid="{77CEE53D-FDC8-45BB-87CE-6A41063DB66B}"/>
    <cellStyle name="Comma 11 5 2 2 9 3 2" xfId="22800" xr:uid="{ACB3EF8C-4F00-4444-B946-D65A26C4126D}"/>
    <cellStyle name="Comma 11 5 2 2 9 4" xfId="19512" xr:uid="{C148DB8B-E2E0-4306-B62B-5AB376306ACA}"/>
    <cellStyle name="Comma 11 5 2 3" xfId="899" xr:uid="{4B56FC72-3990-4611-B599-8463632081E7}"/>
    <cellStyle name="Comma 11 5 2 3 2" xfId="2417" xr:uid="{CC23BB5F-51AD-4D08-8BC1-B422586AA5F7}"/>
    <cellStyle name="Comma 11 5 2 3 2 2" xfId="9909" xr:uid="{0FFA04AA-DF55-4601-890A-A1E716BAAA82}"/>
    <cellStyle name="Comma 11 5 2 3 2 2 2" xfId="13568" xr:uid="{402CE695-06E6-498F-B05F-4DFF67B03627}"/>
    <cellStyle name="Comma 11 5 2 3 2 2 2 2" xfId="28745" xr:uid="{3D31B95A-CCB7-4F51-AC1E-6C86F68B5B2D}"/>
    <cellStyle name="Comma 11 5 2 3 2 2 3" xfId="25087" xr:uid="{F37D19F1-52AA-4EBB-A022-06D19786C31D}"/>
    <cellStyle name="Comma 11 5 2 3 2 3" xfId="5735" xr:uid="{361AD141-120C-4FA8-8F3C-865C0FDCA311}"/>
    <cellStyle name="Comma 11 5 2 3 2 3 2" xfId="20915" xr:uid="{4778EFB8-649C-4157-9FBF-1853C6DCC0E2}"/>
    <cellStyle name="Comma 11 5 2 3 2 4" xfId="17627" xr:uid="{B83C67D2-C4A3-4A78-8B7C-50A4DA119BDF}"/>
    <cellStyle name="Comma 11 5 2 3 3" xfId="3305" xr:uid="{893472FF-F2B7-4009-9745-A238CF0C4ADF}"/>
    <cellStyle name="Comma 11 5 2 3 3 2" xfId="10793" xr:uid="{2E7237EF-D241-42A6-A783-3BD65BDDDE3E}"/>
    <cellStyle name="Comma 11 5 2 3 3 2 2" xfId="14339" xr:uid="{E85538DD-133F-42DB-9ABD-BFB0DACC2627}"/>
    <cellStyle name="Comma 11 5 2 3 3 2 2 2" xfId="29516" xr:uid="{21127161-C6AF-4C63-840C-2ABB454D90C3}"/>
    <cellStyle name="Comma 11 5 2 3 3 2 3" xfId="25971" xr:uid="{76C278A5-1D61-4B5C-B9D2-25D3DE9EB36C}"/>
    <cellStyle name="Comma 11 5 2 3 3 3" xfId="6619" xr:uid="{1A7C7F7D-106A-44D3-84B4-21750E89E314}"/>
    <cellStyle name="Comma 11 5 2 3 3 3 2" xfId="21799" xr:uid="{451A9EF5-2AD6-451B-BE00-179705A36734}"/>
    <cellStyle name="Comma 11 5 2 3 3 4" xfId="18511" xr:uid="{A062ED31-654E-46AF-9116-5730C8E116B1}"/>
    <cellStyle name="Comma 11 5 2 3 4" xfId="4310" xr:uid="{310CB5DB-758F-44D2-B06E-3D4EE712510A}"/>
    <cellStyle name="Comma 11 5 2 3 4 2" xfId="11795" xr:uid="{70097EE8-5106-40AF-8D3D-C0806CC8AAC1}"/>
    <cellStyle name="Comma 11 5 2 3 4 2 2" xfId="15341" xr:uid="{DAF79B6B-EBB0-4363-B8EF-9837DAEBF6B3}"/>
    <cellStyle name="Comma 11 5 2 3 4 2 2 2" xfId="30518" xr:uid="{377FFF54-EFFC-4558-B7E5-0CF3A7CBD289}"/>
    <cellStyle name="Comma 11 5 2 3 4 2 3" xfId="26973" xr:uid="{FEFA725E-49F5-4E03-83C2-ECE286C4FB11}"/>
    <cellStyle name="Comma 11 5 2 3 4 3" xfId="7621" xr:uid="{098AA162-C44E-4790-AC41-A130FE5DB5D4}"/>
    <cellStyle name="Comma 11 5 2 3 4 3 2" xfId="22801" xr:uid="{7A24E9E5-0166-460C-8B34-CC2B40F281A4}"/>
    <cellStyle name="Comma 11 5 2 3 4 4" xfId="19513" xr:uid="{E56C858D-EF51-437E-BA09-96B0FF7AA515}"/>
    <cellStyle name="Comma 11 5 2 3 5" xfId="8511" xr:uid="{3E656E56-7246-44CF-8971-BC6009087BCE}"/>
    <cellStyle name="Comma 11 5 2 3 5 2" xfId="12684" xr:uid="{0F82C012-FD0B-499F-9012-00ED2DC8AB2A}"/>
    <cellStyle name="Comma 11 5 2 3 5 2 2" xfId="27861" xr:uid="{BD4916D0-29C6-4795-BE8E-DC7B6FCEFDDF}"/>
    <cellStyle name="Comma 11 5 2 3 5 3" xfId="23689" xr:uid="{68D36EAE-8457-47D1-BA71-4A321D4D648F}"/>
    <cellStyle name="Comma 11 5 2 3 6" xfId="16229" xr:uid="{79C3C2D5-A1EF-48A5-87E3-4B48A1EC1267}"/>
    <cellStyle name="Comma 11 5 2 3 7" xfId="31669" xr:uid="{FD76E829-241A-4226-88E6-344E97268429}"/>
    <cellStyle name="Comma 11 5 2 4" xfId="1002" xr:uid="{7A7F5A0A-ED3E-4D15-A380-341D767E73B8}"/>
    <cellStyle name="Comma 11 5 2 4 2" xfId="2515" xr:uid="{E382ADE6-708F-4092-B824-E37E6482D8D4}"/>
    <cellStyle name="Comma 11 5 2 4 2 2" xfId="10007" xr:uid="{A9245B77-0311-41C5-99DD-604A2C325EB1}"/>
    <cellStyle name="Comma 11 5 2 4 2 2 2" xfId="13666" xr:uid="{BD6E7D4A-E9D8-4253-A49B-C66696BA9C50}"/>
    <cellStyle name="Comma 11 5 2 4 2 2 2 2" xfId="28843" xr:uid="{A18C56BB-D201-4D35-870A-E9D946331784}"/>
    <cellStyle name="Comma 11 5 2 4 2 2 3" xfId="25185" xr:uid="{E1B6BDD7-BF5D-4CB5-8730-E58B405C8FB2}"/>
    <cellStyle name="Comma 11 5 2 4 2 3" xfId="5833" xr:uid="{9795AB68-1B40-4BDA-9DF3-D0E6AF15B812}"/>
    <cellStyle name="Comma 11 5 2 4 2 3 2" xfId="21013" xr:uid="{417EA10C-5285-4F88-8E4C-412E9B5B2CCA}"/>
    <cellStyle name="Comma 11 5 2 4 2 4" xfId="17725" xr:uid="{9AD8D5EC-B596-40AC-B2AC-0009B807BEE9}"/>
    <cellStyle name="Comma 11 5 2 4 3" xfId="3403" xr:uid="{38972C84-ACDB-4913-99C4-01F0E07F2779}"/>
    <cellStyle name="Comma 11 5 2 4 3 2" xfId="10891" xr:uid="{2D14823E-981E-439D-AD51-7C77380CD7CB}"/>
    <cellStyle name="Comma 11 5 2 4 3 2 2" xfId="14437" xr:uid="{D5FC6FC3-9650-48C1-A222-33A47FDC298E}"/>
    <cellStyle name="Comma 11 5 2 4 3 2 2 2" xfId="29614" xr:uid="{EFA5EA54-4F02-4C8A-A3AC-32D11EE8ECEE}"/>
    <cellStyle name="Comma 11 5 2 4 3 2 3" xfId="26069" xr:uid="{B13B1EFF-1FEA-4B2C-AD1D-E805C204D06F}"/>
    <cellStyle name="Comma 11 5 2 4 3 3" xfId="6717" xr:uid="{537C679D-80DB-484C-A9F8-D52CAC502BE5}"/>
    <cellStyle name="Comma 11 5 2 4 3 3 2" xfId="21897" xr:uid="{5D0D9E24-2782-4599-8527-627BDF188B50}"/>
    <cellStyle name="Comma 11 5 2 4 3 4" xfId="18609" xr:uid="{C7E21BCD-A3F6-4CD7-8931-71D1151F98CA}"/>
    <cellStyle name="Comma 11 5 2 4 4" xfId="4311" xr:uid="{60D85E4E-C5C2-4163-B270-5200CC15A206}"/>
    <cellStyle name="Comma 11 5 2 4 4 2" xfId="11796" xr:uid="{8AA4B427-23F8-4E51-903B-243E05F29F4A}"/>
    <cellStyle name="Comma 11 5 2 4 4 2 2" xfId="15342" xr:uid="{D20D19ED-B214-480A-85CA-2C20362BE446}"/>
    <cellStyle name="Comma 11 5 2 4 4 2 2 2" xfId="30519" xr:uid="{C9658B23-AFF6-48AB-8360-B4308CD42632}"/>
    <cellStyle name="Comma 11 5 2 4 4 2 3" xfId="26974" xr:uid="{477256FA-60BC-4A82-9C60-2D1E8652DFC5}"/>
    <cellStyle name="Comma 11 5 2 4 4 3" xfId="7622" xr:uid="{27271B89-0274-42CA-A599-A73BC2C8F8CD}"/>
    <cellStyle name="Comma 11 5 2 4 4 3 2" xfId="22802" xr:uid="{9B48EE1B-E59E-4550-B65A-4299C9A3B281}"/>
    <cellStyle name="Comma 11 5 2 4 4 4" xfId="19514" xr:uid="{B3029875-8E3B-4FEE-A01E-E6EE0F79E294}"/>
    <cellStyle name="Comma 11 5 2 4 5" xfId="8609" xr:uid="{37C0E353-5D5B-46AC-9602-BE7172157750}"/>
    <cellStyle name="Comma 11 5 2 4 5 2" xfId="12782" xr:uid="{6D8DF366-AFDA-4E80-8D83-AC63C639646B}"/>
    <cellStyle name="Comma 11 5 2 4 5 2 2" xfId="27959" xr:uid="{1AE5C2A9-94C7-4F1C-B518-DAD3F3E07756}"/>
    <cellStyle name="Comma 11 5 2 4 5 3" xfId="23787" xr:uid="{E98520FF-BB31-44F6-BBB0-D8CA1310FCF5}"/>
    <cellStyle name="Comma 11 5 2 4 6" xfId="16327" xr:uid="{1D57A861-35B1-443D-8FB9-C684035991C3}"/>
    <cellStyle name="Comma 11 5 2 4 7" xfId="31547" xr:uid="{C3B56A0F-2AEA-4691-B746-2398795EA790}"/>
    <cellStyle name="Comma 11 5 2 5" xfId="1260" xr:uid="{80B128D4-7800-4FE5-BEE5-669DB45F6642}"/>
    <cellStyle name="Comma 11 5 2 5 10" xfId="31319" xr:uid="{CE788D43-10DB-4582-B69F-ABF6034E077B}"/>
    <cellStyle name="Comma 11 5 2 5 2" xfId="2690" xr:uid="{F87A8652-824E-422C-89FB-C3F70568D986}"/>
    <cellStyle name="Comma 11 5 2 5 2 2" xfId="10181" xr:uid="{9F79D1CC-587A-4138-A034-2D3535821DD0}"/>
    <cellStyle name="Comma 11 5 2 5 2 2 2" xfId="13825" xr:uid="{14CC18A9-359B-42A7-9C4E-F012627A39B3}"/>
    <cellStyle name="Comma 11 5 2 5 2 2 2 2" xfId="29002" xr:uid="{2C24D923-45C8-4304-965D-9856F4A71746}"/>
    <cellStyle name="Comma 11 5 2 5 2 2 3" xfId="25359" xr:uid="{6218B9A8-766E-4C7B-B5AF-422BF478EFC1}"/>
    <cellStyle name="Comma 11 5 2 5 2 3" xfId="6007" xr:uid="{E8C728AA-7E74-47B0-B51D-869C14E28061}"/>
    <cellStyle name="Comma 11 5 2 5 2 3 2" xfId="21187" xr:uid="{079AC3FA-F0D5-4255-B814-A50AAC736394}"/>
    <cellStyle name="Comma 11 5 2 5 2 4" xfId="17899" xr:uid="{C90F4090-7C61-4FDA-B442-8967933A92D3}"/>
    <cellStyle name="Comma 11 5 2 5 3" xfId="3577" xr:uid="{25950513-E352-44B4-9C0C-E20962474A28}"/>
    <cellStyle name="Comma 11 5 2 5 3 2" xfId="11065" xr:uid="{2BF1CCFA-976B-45E0-B8DB-5C7DFE87016E}"/>
    <cellStyle name="Comma 11 5 2 5 3 2 2" xfId="14611" xr:uid="{5AB7D120-AE4C-42E1-B457-F0AC1C844AB3}"/>
    <cellStyle name="Comma 11 5 2 5 3 2 2 2" xfId="29788" xr:uid="{F247C614-E8AF-4035-B938-BF1C722CFE74}"/>
    <cellStyle name="Comma 11 5 2 5 3 2 3" xfId="26243" xr:uid="{BC7AE895-2A77-4EF2-92A2-D7D3DBABDE58}"/>
    <cellStyle name="Comma 11 5 2 5 3 3" xfId="6891" xr:uid="{634F6E8F-CDB4-441C-A489-16B986D905B6}"/>
    <cellStyle name="Comma 11 5 2 5 3 3 2" xfId="22071" xr:uid="{F3D9764B-F16B-409F-B6EB-4E2904A55CED}"/>
    <cellStyle name="Comma 11 5 2 5 3 4" xfId="18783" xr:uid="{FF4D362E-0217-480F-8813-44E7761A1FA2}"/>
    <cellStyle name="Comma 11 5 2 5 4" xfId="4312" xr:uid="{DAB01D2D-B05F-475E-9A30-7021DBBC3065}"/>
    <cellStyle name="Comma 11 5 2 5 4 2" xfId="11797" xr:uid="{AA3B148F-7D3C-40F3-BE93-A1DDF3A6B98B}"/>
    <cellStyle name="Comma 11 5 2 5 4 2 2" xfId="15343" xr:uid="{03701933-80C2-4D14-B984-81EC4BB5F70D}"/>
    <cellStyle name="Comma 11 5 2 5 4 2 2 2" xfId="30520" xr:uid="{6793105D-2481-4658-AB9A-CD8439B5D487}"/>
    <cellStyle name="Comma 11 5 2 5 4 2 3" xfId="26975" xr:uid="{19FE441C-9B15-4D8A-861D-1741D683031F}"/>
    <cellStyle name="Comma 11 5 2 5 4 3" xfId="7623" xr:uid="{83453B03-BC9F-48E5-B0F1-A7EB95A3BCE8}"/>
    <cellStyle name="Comma 11 5 2 5 4 3 2" xfId="22803" xr:uid="{B66CD1DF-1BBB-4510-A417-4D2936A2B212}"/>
    <cellStyle name="Comma 11 5 2 5 4 4" xfId="19515" xr:uid="{FCC7D147-ED3A-435E-999A-B09185B75DF8}"/>
    <cellStyle name="Comma 11 5 2 5 5" xfId="4979" xr:uid="{1AF31CAE-7881-4F70-AAA5-94F1A385750A}"/>
    <cellStyle name="Comma 11 5 2 5 5 2" xfId="12463" xr:uid="{6454B040-6384-46CC-B3CB-19E355936968}"/>
    <cellStyle name="Comma 11 5 2 5 5 2 2" xfId="16009" xr:uid="{E603029F-56B1-4851-9705-24750C45D6BB}"/>
    <cellStyle name="Comma 11 5 2 5 5 2 2 2" xfId="31186" xr:uid="{76F9FC5D-C77B-4D59-A964-53B57291C55D}"/>
    <cellStyle name="Comma 11 5 2 5 5 2 3" xfId="27641" xr:uid="{D1900840-67ED-4538-BBD0-79823F95EDBC}"/>
    <cellStyle name="Comma 11 5 2 5 5 3" xfId="8289" xr:uid="{5146B8C3-8EB3-47E2-93FB-70ACDCFAB09C}"/>
    <cellStyle name="Comma 11 5 2 5 5 3 2" xfId="23469" xr:uid="{E38E6B67-9BCE-4ED7-8535-F6544DE3D110}"/>
    <cellStyle name="Comma 11 5 2 5 5 4" xfId="20181" xr:uid="{A2A066EE-71C0-40FD-86DE-F65E88861052}"/>
    <cellStyle name="Comma 11 5 2 5 6" xfId="1800" xr:uid="{347FD8AE-B491-4CBB-8572-9FDDC17D4812}"/>
    <cellStyle name="Comma 11 5 2 5 6 2" xfId="9297" xr:uid="{9AF38C74-FA63-49E9-BC80-3EFBE870F058}"/>
    <cellStyle name="Comma 11 5 2 5 6 2 2" xfId="24475" xr:uid="{C60ED5DF-BED7-4B42-ADD6-CEA2DEEDE24A}"/>
    <cellStyle name="Comma 11 5 2 5 6 3" xfId="17015" xr:uid="{CA1A3249-C1A5-44A8-9430-955230B5E47C}"/>
    <cellStyle name="Comma 11 5 2 5 7" xfId="8783" xr:uid="{AC0DB87F-FC8E-4756-879C-2155E77A9331}"/>
    <cellStyle name="Comma 11 5 2 5 7 2" xfId="12956" xr:uid="{90260B3A-D924-4267-8B9D-50B6258E9991}"/>
    <cellStyle name="Comma 11 5 2 5 7 2 2" xfId="28133" xr:uid="{360A33CC-FB46-41E6-A697-5F75CC7061E0}"/>
    <cellStyle name="Comma 11 5 2 5 7 3" xfId="23961" xr:uid="{FAE5B71F-F463-4600-8CA5-8B7FA51F5203}"/>
    <cellStyle name="Comma 11 5 2 5 8" xfId="5123" xr:uid="{3DE38ADC-8329-4C92-92BA-184EB1F5C0B8}"/>
    <cellStyle name="Comma 11 5 2 5 8 2" xfId="20303" xr:uid="{C8F9A13B-69FB-4293-A3D5-A92D341E2C22}"/>
    <cellStyle name="Comma 11 5 2 5 9" xfId="16501" xr:uid="{04DC0C8D-9267-43C1-B33F-566AB08123E3}"/>
    <cellStyle name="Comma 11 5 2 6" xfId="1362" xr:uid="{34AB059C-4BDC-4ED3-9F42-E3E41FFD5E9B}"/>
    <cellStyle name="Comma 11 5 2 6 2" xfId="2788" xr:uid="{1D3FA5F0-8C7E-4FCF-AC3F-1DB51E259B56}"/>
    <cellStyle name="Comma 11 5 2 6 2 2" xfId="10279" xr:uid="{DF9726D9-3386-4763-8626-55314A36163D}"/>
    <cellStyle name="Comma 11 5 2 6 2 2 2" xfId="13874" xr:uid="{A4A77FB8-5780-42E5-999B-F10759EFE9B6}"/>
    <cellStyle name="Comma 11 5 2 6 2 2 2 2" xfId="29051" xr:uid="{6C0691A4-A408-4D7C-904E-DF4D6AC39403}"/>
    <cellStyle name="Comma 11 5 2 6 2 2 3" xfId="25457" xr:uid="{57E82D4E-9F81-4AEE-9AE9-92417C20B9D7}"/>
    <cellStyle name="Comma 11 5 2 6 2 3" xfId="6105" xr:uid="{206A8CB2-9AF7-4228-8BC2-373F9DF0C411}"/>
    <cellStyle name="Comma 11 5 2 6 2 3 2" xfId="21285" xr:uid="{457B00BF-A3C7-4491-A50B-E1A7B4974A41}"/>
    <cellStyle name="Comma 11 5 2 6 2 4" xfId="17997" xr:uid="{0BFF47DD-CD2F-4BFC-80D4-FA44528C0772}"/>
    <cellStyle name="Comma 11 5 2 6 3" xfId="3675" xr:uid="{DE7400D4-EA53-4830-9694-F3C6CC18F252}"/>
    <cellStyle name="Comma 11 5 2 6 3 2" xfId="11163" xr:uid="{79B8F4D1-9B02-4525-BC3F-A8E20758C253}"/>
    <cellStyle name="Comma 11 5 2 6 3 2 2" xfId="14709" xr:uid="{BC736169-D051-405F-94BC-3D875AB4273D}"/>
    <cellStyle name="Comma 11 5 2 6 3 2 2 2" xfId="29886" xr:uid="{9501BF3C-575E-42EA-A67B-10D5F4CF0424}"/>
    <cellStyle name="Comma 11 5 2 6 3 2 3" xfId="26341" xr:uid="{B7A04C58-DCAF-42FD-928A-DACB5B5603B6}"/>
    <cellStyle name="Comma 11 5 2 6 3 3" xfId="6989" xr:uid="{85945708-AB1E-46A4-B477-9DC80D6BA4E9}"/>
    <cellStyle name="Comma 11 5 2 6 3 3 2" xfId="22169" xr:uid="{930E30D5-DE61-4B25-B6FE-0E059246E609}"/>
    <cellStyle name="Comma 11 5 2 6 3 4" xfId="18881" xr:uid="{27F813D7-98ED-44C4-9CBE-E0310D309ED1}"/>
    <cellStyle name="Comma 11 5 2 6 4" xfId="4313" xr:uid="{333C88AC-4109-489F-A762-95F3B93D19D6}"/>
    <cellStyle name="Comma 11 5 2 6 4 2" xfId="11798" xr:uid="{BECA38B7-9F41-4FD9-917A-F603D01E2F86}"/>
    <cellStyle name="Comma 11 5 2 6 4 2 2" xfId="15344" xr:uid="{0D4D8AD4-6B6F-4650-B77F-A412692A72D2}"/>
    <cellStyle name="Comma 11 5 2 6 4 2 2 2" xfId="30521" xr:uid="{68015488-3E35-4E0C-A065-12884006A479}"/>
    <cellStyle name="Comma 11 5 2 6 4 2 3" xfId="26976" xr:uid="{46050365-3518-4045-BE9A-F12975203013}"/>
    <cellStyle name="Comma 11 5 2 6 4 3" xfId="7624" xr:uid="{2F9E4368-7B5C-41F5-B34C-25417097F6B5}"/>
    <cellStyle name="Comma 11 5 2 6 4 3 2" xfId="22804" xr:uid="{485E1632-9076-4AD9-AA3B-DC0EA48E2FAE}"/>
    <cellStyle name="Comma 11 5 2 6 4 4" xfId="19516" xr:uid="{7C2166FC-3E14-4645-A9D6-0A7BBD096AFA}"/>
    <cellStyle name="Comma 11 5 2 6 5" xfId="1898" xr:uid="{F33C15A7-2B49-4EF5-94A4-42893D567727}"/>
    <cellStyle name="Comma 11 5 2 6 5 2" xfId="9395" xr:uid="{6F2464C1-6402-4535-9023-0A24D9B0696D}"/>
    <cellStyle name="Comma 11 5 2 6 5 2 2" xfId="24573" xr:uid="{D3CCCAD3-B041-418E-8740-61C531DE9A15}"/>
    <cellStyle name="Comma 11 5 2 6 5 3" xfId="17113" xr:uid="{F37B5637-66C5-4571-AAC1-7AC7DFB308EB}"/>
    <cellStyle name="Comma 11 5 2 6 6" xfId="8881" xr:uid="{5E7C2177-AD55-4FF2-A856-69CF19941A9B}"/>
    <cellStyle name="Comma 11 5 2 6 6 2" xfId="13054" xr:uid="{19CFA21C-BAE1-4B03-8060-5F377AE91FAC}"/>
    <cellStyle name="Comma 11 5 2 6 6 2 2" xfId="28231" xr:uid="{02C115A1-B26A-49D8-AC25-B71A0E0F7CE0}"/>
    <cellStyle name="Comma 11 5 2 6 6 3" xfId="24059" xr:uid="{3F8FBEF8-549B-4C40-8EA1-71CF2024118F}"/>
    <cellStyle name="Comma 11 5 2 6 7" xfId="5221" xr:uid="{97B1EB75-4F65-45FA-B24C-B50613EDF3F6}"/>
    <cellStyle name="Comma 11 5 2 6 7 2" xfId="20401" xr:uid="{E96C7064-EB61-45F8-B2B2-F0C0ED95CF93}"/>
    <cellStyle name="Comma 11 5 2 6 8" xfId="16599" xr:uid="{7F016625-70F8-4302-AEE1-64E012641D38}"/>
    <cellStyle name="Comma 11 5 2 7" xfId="1461" xr:uid="{96504954-010A-4F3B-B9AC-CF18A062D403}"/>
    <cellStyle name="Comma 11 5 2 7 2" xfId="2886" xr:uid="{98AA84C9-1E48-426F-B1F0-721847520309}"/>
    <cellStyle name="Comma 11 5 2 7 2 2" xfId="10377" xr:uid="{4AC636AC-DACB-405B-B253-D29C7E3817AB}"/>
    <cellStyle name="Comma 11 5 2 7 2 2 2" xfId="13923" xr:uid="{4C89A7D5-C2E4-4FD6-A98F-4DDD9B840AC1}"/>
    <cellStyle name="Comma 11 5 2 7 2 2 2 2" xfId="29100" xr:uid="{CD2D39FC-8C08-49E4-A1F1-E9D7CC02D9B0}"/>
    <cellStyle name="Comma 11 5 2 7 2 2 3" xfId="25555" xr:uid="{58273EA5-9711-4627-81E2-6B4583889AA7}"/>
    <cellStyle name="Comma 11 5 2 7 2 3" xfId="6203" xr:uid="{FC962577-796E-4574-B6E4-78C539B41D31}"/>
    <cellStyle name="Comma 11 5 2 7 2 3 2" xfId="21383" xr:uid="{AFEA836A-0295-4E62-910F-B2AE74D95D86}"/>
    <cellStyle name="Comma 11 5 2 7 2 4" xfId="18095" xr:uid="{DB383AB2-9972-47F4-AED8-C271172968BF}"/>
    <cellStyle name="Comma 11 5 2 7 3" xfId="3773" xr:uid="{A4185348-CD5D-404E-9B38-97A9B7B609B3}"/>
    <cellStyle name="Comma 11 5 2 7 3 2" xfId="11261" xr:uid="{E4A3E85C-752B-45B6-B7D9-11C285B2D8F8}"/>
    <cellStyle name="Comma 11 5 2 7 3 2 2" xfId="14807" xr:uid="{25143AC6-5BC6-4B45-ADBF-E078CCAD5F3D}"/>
    <cellStyle name="Comma 11 5 2 7 3 2 2 2" xfId="29984" xr:uid="{DD2126E0-B16B-4DB0-98B4-C91BF13A5759}"/>
    <cellStyle name="Comma 11 5 2 7 3 2 3" xfId="26439" xr:uid="{22F0BF18-0B4B-4B4E-A18C-BBBC55EC0C4A}"/>
    <cellStyle name="Comma 11 5 2 7 3 3" xfId="7087" xr:uid="{0CBEBD7F-C01E-4F4A-BF7C-F0C4CE6BB799}"/>
    <cellStyle name="Comma 11 5 2 7 3 3 2" xfId="22267" xr:uid="{462B8156-4938-4B33-952D-3282856E7F03}"/>
    <cellStyle name="Comma 11 5 2 7 3 4" xfId="18979" xr:uid="{5FAEEE5C-3AA3-43B8-9498-C8A39F9AD9D5}"/>
    <cellStyle name="Comma 11 5 2 7 4" xfId="4314" xr:uid="{AEC51CA1-0CF8-42E2-A611-AEF3E845583A}"/>
    <cellStyle name="Comma 11 5 2 7 4 2" xfId="11799" xr:uid="{D0E9E90A-7669-4E89-977B-97A03BD86B84}"/>
    <cellStyle name="Comma 11 5 2 7 4 2 2" xfId="15345" xr:uid="{6571B7CD-8375-4104-A6CA-8021CB66468C}"/>
    <cellStyle name="Comma 11 5 2 7 4 2 2 2" xfId="30522" xr:uid="{1844929A-DFE3-499F-8A3A-CDCD947E087B}"/>
    <cellStyle name="Comma 11 5 2 7 4 2 3" xfId="26977" xr:uid="{F742A480-8324-489A-80DD-2FD920BFD277}"/>
    <cellStyle name="Comma 11 5 2 7 4 3" xfId="7625" xr:uid="{6BCA26F4-0DE9-4DE6-915F-176FE3D9E0DD}"/>
    <cellStyle name="Comma 11 5 2 7 4 3 2" xfId="22805" xr:uid="{8A9C90A6-D803-4C8F-B8AE-372419FE03C8}"/>
    <cellStyle name="Comma 11 5 2 7 4 4" xfId="19517" xr:uid="{82729732-63A8-4861-9F54-85FA23CCED4C}"/>
    <cellStyle name="Comma 11 5 2 7 5" xfId="1996" xr:uid="{D5946AD4-9FBF-4C14-BB21-2DC381902A49}"/>
    <cellStyle name="Comma 11 5 2 7 5 2" xfId="9493" xr:uid="{31817C18-D9D3-498D-A3CF-AFD90DE17C7F}"/>
    <cellStyle name="Comma 11 5 2 7 5 2 2" xfId="24671" xr:uid="{0D235091-D9F8-4A45-96BB-01D0E648D424}"/>
    <cellStyle name="Comma 11 5 2 7 5 3" xfId="17211" xr:uid="{4BCF068A-BDB6-4E72-9EAF-5E0E93B8B5AF}"/>
    <cellStyle name="Comma 11 5 2 7 6" xfId="8979" xr:uid="{BB363D7F-0509-419D-9DE8-222CDAE5B7D3}"/>
    <cellStyle name="Comma 11 5 2 7 6 2" xfId="13152" xr:uid="{9EE4ED4A-A649-4A79-8F4A-AD11705E73D2}"/>
    <cellStyle name="Comma 11 5 2 7 6 2 2" xfId="28329" xr:uid="{86ACDEB8-1E74-410F-B21B-24D0A14EE3BB}"/>
    <cellStyle name="Comma 11 5 2 7 6 3" xfId="24157" xr:uid="{24BD771B-F1E8-4364-9F67-CA1C8B8A5025}"/>
    <cellStyle name="Comma 11 5 2 7 7" xfId="5319" xr:uid="{11B7550A-3F7D-4FF9-AF04-1F7D5A967395}"/>
    <cellStyle name="Comma 11 5 2 7 7 2" xfId="20499" xr:uid="{015F1606-886C-445F-BAAF-E1DA86584397}"/>
    <cellStyle name="Comma 11 5 2 7 8" xfId="16697" xr:uid="{588639BE-C119-461F-B7B3-EB65CCC91294}"/>
    <cellStyle name="Comma 11 5 2 8" xfId="1564" xr:uid="{FFDF50AC-B5C6-414F-BC37-915C4954390F}"/>
    <cellStyle name="Comma 11 5 2 8 2" xfId="2984" xr:uid="{7BA02BDC-2C68-4825-9DCD-F8E175291B88}"/>
    <cellStyle name="Comma 11 5 2 8 2 2" xfId="10475" xr:uid="{F3E4134E-7638-4B66-B874-F1D79246485F}"/>
    <cellStyle name="Comma 11 5 2 8 2 2 2" xfId="14021" xr:uid="{C3C8095E-9405-4E81-863D-A1D8104A3F46}"/>
    <cellStyle name="Comma 11 5 2 8 2 2 2 2" xfId="29198" xr:uid="{4B551875-9222-463B-BA6D-05732F0F682F}"/>
    <cellStyle name="Comma 11 5 2 8 2 2 3" xfId="25653" xr:uid="{3FDE364E-C799-44F7-853E-A24BF2D8BB09}"/>
    <cellStyle name="Comma 11 5 2 8 2 3" xfId="6301" xr:uid="{798B8794-6F99-403B-B702-1B246F9FFB97}"/>
    <cellStyle name="Comma 11 5 2 8 2 3 2" xfId="21481" xr:uid="{6C436705-8EB9-4D38-8DC7-B36ED5880052}"/>
    <cellStyle name="Comma 11 5 2 8 2 4" xfId="18193" xr:uid="{1B973944-50F7-4D9B-9A3A-62127DF9DF56}"/>
    <cellStyle name="Comma 11 5 2 8 3" xfId="3871" xr:uid="{BA008F22-5459-4303-97C8-AAA9BD248920}"/>
    <cellStyle name="Comma 11 5 2 8 3 2" xfId="11359" xr:uid="{BF23FC93-9CE1-4884-9071-F2E254DD3797}"/>
    <cellStyle name="Comma 11 5 2 8 3 2 2" xfId="14905" xr:uid="{79212B36-A28D-4C59-AD07-DFCFA8CFED89}"/>
    <cellStyle name="Comma 11 5 2 8 3 2 2 2" xfId="30082" xr:uid="{21C02E00-DF3C-4400-A2DC-A65ECBDD8065}"/>
    <cellStyle name="Comma 11 5 2 8 3 2 3" xfId="26537" xr:uid="{FC93E1FC-81BB-4F1B-940E-AC6A78B5EDBE}"/>
    <cellStyle name="Comma 11 5 2 8 3 3" xfId="7185" xr:uid="{5A2C2D5F-831B-4F55-823D-73B0208E7FF5}"/>
    <cellStyle name="Comma 11 5 2 8 3 3 2" xfId="22365" xr:uid="{F511B28F-74B4-4E51-8B42-CE1F1C2BA57D}"/>
    <cellStyle name="Comma 11 5 2 8 3 4" xfId="19077" xr:uid="{29206211-83DF-4E89-8F17-E1A6599F80B5}"/>
    <cellStyle name="Comma 11 5 2 8 4" xfId="4315" xr:uid="{AAFF9F57-034B-406E-A93B-B4303434E86C}"/>
    <cellStyle name="Comma 11 5 2 8 4 2" xfId="11800" xr:uid="{3ED1581B-68F1-4B37-A508-7E25440B0527}"/>
    <cellStyle name="Comma 11 5 2 8 4 2 2" xfId="15346" xr:uid="{D8DCA287-99DC-4588-8ACC-D85FE0968508}"/>
    <cellStyle name="Comma 11 5 2 8 4 2 2 2" xfId="30523" xr:uid="{AC4C824F-BA29-41B9-AAC2-E4B6EE0C54EA}"/>
    <cellStyle name="Comma 11 5 2 8 4 2 3" xfId="26978" xr:uid="{8E54E1AA-3EFC-41E8-8FD4-E203CA5999A0}"/>
    <cellStyle name="Comma 11 5 2 8 4 3" xfId="7626" xr:uid="{3687D8A7-D503-49C4-94F9-66EB0FA196DA}"/>
    <cellStyle name="Comma 11 5 2 8 4 3 2" xfId="22806" xr:uid="{7BB0821C-C82D-4ADD-9979-71750B1B8504}"/>
    <cellStyle name="Comma 11 5 2 8 4 4" xfId="19518" xr:uid="{E95035D2-A2F1-4FBD-955D-842F968B1FF7}"/>
    <cellStyle name="Comma 11 5 2 8 5" xfId="2094" xr:uid="{04F2F199-E330-4FBB-B637-7797BA48C08A}"/>
    <cellStyle name="Comma 11 5 2 8 5 2" xfId="9591" xr:uid="{37F1514B-6FAC-4395-AF26-B5AD38EF01CE}"/>
    <cellStyle name="Comma 11 5 2 8 5 2 2" xfId="24769" xr:uid="{C96D825D-997D-4AE5-AD6C-5928D519B29F}"/>
    <cellStyle name="Comma 11 5 2 8 5 3" xfId="17309" xr:uid="{C1024147-BFB4-49E8-A464-6DFCD19959B1}"/>
    <cellStyle name="Comma 11 5 2 8 6" xfId="9077" xr:uid="{7108F96D-D6B3-459F-A6E9-B70AC95F212E}"/>
    <cellStyle name="Comma 11 5 2 8 6 2" xfId="13250" xr:uid="{20AB3024-AF36-457C-B6EB-FE1BFA54FC03}"/>
    <cellStyle name="Comma 11 5 2 8 6 2 2" xfId="28427" xr:uid="{9BE980EB-1D8C-458A-BDC9-8C96EFAB4854}"/>
    <cellStyle name="Comma 11 5 2 8 6 3" xfId="24255" xr:uid="{562D8A14-8673-4898-B67A-A5D73DDF0279}"/>
    <cellStyle name="Comma 11 5 2 8 7" xfId="5417" xr:uid="{CAC734EF-83F8-4350-B667-9B6AFA2D34A4}"/>
    <cellStyle name="Comma 11 5 2 8 7 2" xfId="20597" xr:uid="{CD80AD39-7D29-4DAC-8D1D-B55765C84AD9}"/>
    <cellStyle name="Comma 11 5 2 8 8" xfId="16795" xr:uid="{039586D0-2DD2-4C94-8161-12EDD2052F48}"/>
    <cellStyle name="Comma 11 5 2 9" xfId="1663" xr:uid="{3DDA4C10-CA54-43FE-8AA1-B44076499DCF}"/>
    <cellStyle name="Comma 11 5 2 9 2" xfId="3082" xr:uid="{411BC203-005A-4081-A5F6-6663FA5A1969}"/>
    <cellStyle name="Comma 11 5 2 9 2 2" xfId="10573" xr:uid="{9432503F-CDFC-4CF0-B9AA-111B4E3DB390}"/>
    <cellStyle name="Comma 11 5 2 9 2 2 2" xfId="14119" xr:uid="{39941DC3-AB90-417A-A7BF-500A11B70BEF}"/>
    <cellStyle name="Comma 11 5 2 9 2 2 2 2" xfId="29296" xr:uid="{CF9206C4-4A07-445C-B239-C00A67FFE5F6}"/>
    <cellStyle name="Comma 11 5 2 9 2 2 3" xfId="25751" xr:uid="{A9604DB5-9F89-46AA-AE13-C42D96F3781F}"/>
    <cellStyle name="Comma 11 5 2 9 2 3" xfId="6399" xr:uid="{2969E5EA-0891-4EA4-98F5-A4D5F173DBF9}"/>
    <cellStyle name="Comma 11 5 2 9 2 3 2" xfId="21579" xr:uid="{0E414415-63E5-410B-9C88-0E5E9EF7356D}"/>
    <cellStyle name="Comma 11 5 2 9 2 4" xfId="18291" xr:uid="{BA2A6355-09F7-40F7-856A-0870FD69818C}"/>
    <cellStyle name="Comma 11 5 2 9 3" xfId="3969" xr:uid="{10D863E0-3907-4E7A-8496-8AB78FED049E}"/>
    <cellStyle name="Comma 11 5 2 9 3 2" xfId="11457" xr:uid="{277834FA-CBED-435A-8F7D-80F1E66C6312}"/>
    <cellStyle name="Comma 11 5 2 9 3 2 2" xfId="15003" xr:uid="{BF714404-CD6D-4D26-B134-09F9FD693406}"/>
    <cellStyle name="Comma 11 5 2 9 3 2 2 2" xfId="30180" xr:uid="{FD2E6553-5CD8-4B77-8F7E-9ADE9FDE7A18}"/>
    <cellStyle name="Comma 11 5 2 9 3 2 3" xfId="26635" xr:uid="{F704A894-AD8E-449F-8543-AD380C6922A0}"/>
    <cellStyle name="Comma 11 5 2 9 3 3" xfId="7283" xr:uid="{6662CC15-C74B-4D12-BEE5-7B03DBC7944B}"/>
    <cellStyle name="Comma 11 5 2 9 3 3 2" xfId="22463" xr:uid="{C3C91441-C2E3-4D82-9E01-637F98F57704}"/>
    <cellStyle name="Comma 11 5 2 9 3 4" xfId="19175" xr:uid="{164A0667-A9B8-4D4E-9E1C-5C1C234AB6B6}"/>
    <cellStyle name="Comma 11 5 2 9 4" xfId="4316" xr:uid="{4982F940-CDCC-44A2-B518-4A9AE0F57C7A}"/>
    <cellStyle name="Comma 11 5 2 9 4 2" xfId="11801" xr:uid="{A700E33E-BB2A-4CB4-A95E-119A0BC7C15D}"/>
    <cellStyle name="Comma 11 5 2 9 4 2 2" xfId="15347" xr:uid="{D10A2D27-CE7E-417D-9AA9-58A9310EC03D}"/>
    <cellStyle name="Comma 11 5 2 9 4 2 2 2" xfId="30524" xr:uid="{C43D8142-5003-450D-AFEC-512774C68DB8}"/>
    <cellStyle name="Comma 11 5 2 9 4 2 3" xfId="26979" xr:uid="{F92876F3-E044-423F-A097-A7BAA25BF641}"/>
    <cellStyle name="Comma 11 5 2 9 4 3" xfId="7627" xr:uid="{8D49C38B-FE7A-4F14-9920-FBC2ADE7F1E7}"/>
    <cellStyle name="Comma 11 5 2 9 4 3 2" xfId="22807" xr:uid="{23584A95-ECD4-4116-AB88-5E1360A9965D}"/>
    <cellStyle name="Comma 11 5 2 9 4 4" xfId="19519" xr:uid="{0531D5C5-4276-4EB7-B480-F00814AB0739}"/>
    <cellStyle name="Comma 11 5 2 9 5" xfId="2192" xr:uid="{AA613D66-E035-43C9-B228-F6342D55BE94}"/>
    <cellStyle name="Comma 11 5 2 9 5 2" xfId="9689" xr:uid="{6C36430F-6F1F-4981-A5A1-0EA14C5A177C}"/>
    <cellStyle name="Comma 11 5 2 9 5 2 2" xfId="24867" xr:uid="{269ABA2F-FA18-4167-A067-1527E7BB5427}"/>
    <cellStyle name="Comma 11 5 2 9 5 3" xfId="17407" xr:uid="{E2806FCA-5551-400A-971B-F3BE829C8B77}"/>
    <cellStyle name="Comma 11 5 2 9 6" xfId="9175" xr:uid="{71A394E1-9970-4E2D-913C-A7BF517D37DE}"/>
    <cellStyle name="Comma 11 5 2 9 6 2" xfId="13348" xr:uid="{1F5B3B4D-1601-4A86-8744-CF903E34D941}"/>
    <cellStyle name="Comma 11 5 2 9 6 2 2" xfId="28525" xr:uid="{5130A22E-769F-43C1-8276-E559A7C6D275}"/>
    <cellStyle name="Comma 11 5 2 9 6 3" xfId="24353" xr:uid="{D8F42172-1A10-4DAD-BCC5-2E546967E4C0}"/>
    <cellStyle name="Comma 11 5 2 9 7" xfId="5515" xr:uid="{1F2C9AA6-CCA9-4F34-9257-07FF5C7A7793}"/>
    <cellStyle name="Comma 11 5 2 9 7 2" xfId="20695" xr:uid="{3A4C690A-8D19-424F-97CC-5047F27F3C4A}"/>
    <cellStyle name="Comma 11 5 2 9 8" xfId="16893" xr:uid="{612CD9A9-483B-458C-B94D-B279496D2038}"/>
    <cellStyle name="Comma 11 5 3" xfId="746" xr:uid="{77B2BA51-EB3D-4A33-86C4-BC2211840DE6}"/>
    <cellStyle name="Comma 11 5 3 10" xfId="8412" xr:uid="{EB07E299-76FF-4D81-AEA4-C025B9C27FF6}"/>
    <cellStyle name="Comma 11 5 3 10 2" xfId="12586" xr:uid="{AAC847A9-6B91-45F8-92DD-54EE639E22C0}"/>
    <cellStyle name="Comma 11 5 3 10 2 2" xfId="27763" xr:uid="{9AD77FA6-B7AD-4B93-9E8C-913D7230EE3B}"/>
    <cellStyle name="Comma 11 5 3 10 3" xfId="23591" xr:uid="{12C1C36A-D965-4B46-BC66-B3FB6F655DF3}"/>
    <cellStyle name="Comma 11 5 3 11" xfId="16131" xr:uid="{A10A68F3-DB3C-43E2-89C8-23918B7994A6}"/>
    <cellStyle name="Comma 11 5 3 12" xfId="31473" xr:uid="{2E841D53-D830-475B-B710-ED1FD413886B}"/>
    <cellStyle name="Comma 11 5 3 2" xfId="923" xr:uid="{8CE80A5E-01BA-4869-96E2-0B39CC2098AA}"/>
    <cellStyle name="Comma 11 5 3 2 10" xfId="16253" xr:uid="{982D47E6-0A93-4799-AA0F-2458977AD878}"/>
    <cellStyle name="Comma 11 5 3 2 11" xfId="31343" xr:uid="{4A58571D-9472-45CF-8AB4-FCF6C59449D4}"/>
    <cellStyle name="Comma 11 5 3 2 12" xfId="31693" xr:uid="{02C75914-2117-4375-BAC3-630BF259E7F1}"/>
    <cellStyle name="Comma 11 5 3 2 2" xfId="1284" xr:uid="{8FB87B1F-3B26-4715-8A6B-A25B8B99ABA0}"/>
    <cellStyle name="Comma 11 5 3 2 2 2" xfId="3601" xr:uid="{396C2551-0970-4B5E-9B9A-3C63D6494166}"/>
    <cellStyle name="Comma 11 5 3 2 2 2 2" xfId="11089" xr:uid="{AC0AE3D9-119A-4CEA-9822-56A93AAE8ECB}"/>
    <cellStyle name="Comma 11 5 3 2 2 2 2 2" xfId="14635" xr:uid="{F9761C04-9D4A-44C6-8A4E-AC4E3423BD9B}"/>
    <cellStyle name="Comma 11 5 3 2 2 2 2 2 2" xfId="29812" xr:uid="{7295A9B5-2812-4227-ADF2-43AD21EE8FC9}"/>
    <cellStyle name="Comma 11 5 3 2 2 2 2 3" xfId="26267" xr:uid="{D9066BDA-4304-4087-B7EA-A2C973B13A64}"/>
    <cellStyle name="Comma 11 5 3 2 2 2 3" xfId="6915" xr:uid="{E2149C91-3FEC-47ED-8CF0-F58C67ADF62C}"/>
    <cellStyle name="Comma 11 5 3 2 2 2 3 2" xfId="22095" xr:uid="{83E2629B-BC33-48BF-B1CE-A554D2EC1FB6}"/>
    <cellStyle name="Comma 11 5 3 2 2 2 4" xfId="18807" xr:uid="{4D6C7A84-6E30-4E64-997A-E9B398D48C12}"/>
    <cellStyle name="Comma 11 5 3 2 2 3" xfId="4317" xr:uid="{99CDD82E-23ED-47F8-AEC7-E766C5243787}"/>
    <cellStyle name="Comma 11 5 3 2 2 3 2" xfId="11802" xr:uid="{8E96804B-9F0F-4057-AD11-C04DCD35A1F0}"/>
    <cellStyle name="Comma 11 5 3 2 2 3 2 2" xfId="15348" xr:uid="{3632941A-887E-46E8-93A0-445B38DF9D21}"/>
    <cellStyle name="Comma 11 5 3 2 2 3 2 2 2" xfId="30525" xr:uid="{E35F894E-C02B-4BF3-B022-369EFB5F9847}"/>
    <cellStyle name="Comma 11 5 3 2 2 3 2 3" xfId="26980" xr:uid="{C26CBEE5-7E85-4868-8327-49E9519DA729}"/>
    <cellStyle name="Comma 11 5 3 2 2 3 3" xfId="7628" xr:uid="{102F0AF6-D3C2-4760-B2EB-0D2926FBFA18}"/>
    <cellStyle name="Comma 11 5 3 2 2 3 3 2" xfId="22808" xr:uid="{2728D9EA-19B7-4EAB-9C36-A0B64F734500}"/>
    <cellStyle name="Comma 11 5 3 2 2 3 4" xfId="19520" xr:uid="{D68C003F-1318-4B37-8414-9F0F6871CC73}"/>
    <cellStyle name="Comma 11 5 3 2 2 4" xfId="2714" xr:uid="{B9780E39-1833-4DDC-B140-63C2F3E4C1CF}"/>
    <cellStyle name="Comma 11 5 3 2 2 4 2" xfId="10205" xr:uid="{30C53F75-5DA3-40D2-8F82-F377EA1374AA}"/>
    <cellStyle name="Comma 11 5 3 2 2 4 2 2" xfId="25383" xr:uid="{C66A0E2B-8AB2-48EF-917D-36B69FA6DBF7}"/>
    <cellStyle name="Comma 11 5 3 2 2 4 3" xfId="17923" xr:uid="{AB296582-1242-40F3-AD6F-7E691D4AF679}"/>
    <cellStyle name="Comma 11 5 3 2 2 5" xfId="8807" xr:uid="{8F660E23-0B82-49AF-A415-3C4FBA8C610E}"/>
    <cellStyle name="Comma 11 5 3 2 2 5 2" xfId="12980" xr:uid="{40E6BBE2-9740-4931-BC16-25976C0B6EE6}"/>
    <cellStyle name="Comma 11 5 3 2 2 5 2 2" xfId="28157" xr:uid="{B3620AF8-5AF9-4339-8C3F-B5FE6B134D02}"/>
    <cellStyle name="Comma 11 5 3 2 2 5 3" xfId="23985" xr:uid="{458F4C70-80FF-4432-9887-8EE0ACA46554}"/>
    <cellStyle name="Comma 11 5 3 2 2 6" xfId="6031" xr:uid="{7AB67B4F-877A-4222-954E-C492620F20CF}"/>
    <cellStyle name="Comma 11 5 3 2 2 6 2" xfId="21211" xr:uid="{0D584B41-02E8-4AF0-9DAF-1015B0DF5FAA}"/>
    <cellStyle name="Comma 11 5 3 2 2 7" xfId="16525" xr:uid="{C2FCEE44-2054-405C-8832-7B09DDC8D18E}"/>
    <cellStyle name="Comma 11 5 3 2 3" xfId="2441" xr:uid="{D75D58CD-9040-4C1B-8EB3-7A2ECB9F631B}"/>
    <cellStyle name="Comma 11 5 3 2 3 2" xfId="9933" xr:uid="{8782215D-A111-4D2E-8FE5-A1977B22CDEB}"/>
    <cellStyle name="Comma 11 5 3 2 3 2 2" xfId="13592" xr:uid="{786B017B-5B6B-4448-8D55-8EF782AC8B6B}"/>
    <cellStyle name="Comma 11 5 3 2 3 2 2 2" xfId="28769" xr:uid="{85BF6FA0-91DF-40B2-BAAD-3586915B1368}"/>
    <cellStyle name="Comma 11 5 3 2 3 2 3" xfId="25111" xr:uid="{4BD43717-4929-42D8-9AB1-D7E587F2BFAF}"/>
    <cellStyle name="Comma 11 5 3 2 3 3" xfId="5759" xr:uid="{ED52835A-3EB4-48B6-A1BC-66ADBE91DC07}"/>
    <cellStyle name="Comma 11 5 3 2 3 3 2" xfId="20939" xr:uid="{B551E540-5E8E-4757-832F-22FC2D343A6B}"/>
    <cellStyle name="Comma 11 5 3 2 3 4" xfId="17651" xr:uid="{880FAC11-E2A3-417E-868B-71E23E6C0FB2}"/>
    <cellStyle name="Comma 11 5 3 2 4" xfId="3329" xr:uid="{16F1C653-6176-471C-B340-B63560E2DAD9}"/>
    <cellStyle name="Comma 11 5 3 2 4 2" xfId="10817" xr:uid="{CEBBF2F6-4B5F-4891-8DB1-FCF6FB79CA24}"/>
    <cellStyle name="Comma 11 5 3 2 4 2 2" xfId="14363" xr:uid="{F546556E-442D-41C2-8FDD-EFDC0BAEDF73}"/>
    <cellStyle name="Comma 11 5 3 2 4 2 2 2" xfId="29540" xr:uid="{93889988-5615-473D-BADA-59460834EA5B}"/>
    <cellStyle name="Comma 11 5 3 2 4 2 3" xfId="25995" xr:uid="{8F9476DA-5FBF-48C6-B5E1-7B3C8B07073F}"/>
    <cellStyle name="Comma 11 5 3 2 4 3" xfId="6643" xr:uid="{9C55D606-5003-4E65-B305-A106636CC094}"/>
    <cellStyle name="Comma 11 5 3 2 4 3 2" xfId="21823" xr:uid="{B22B8945-8518-4DFA-AC5B-064476F2CEAE}"/>
    <cellStyle name="Comma 11 5 3 2 4 4" xfId="18535" xr:uid="{9E88D0E9-F5AF-4D20-8AB1-D3C48E143C33}"/>
    <cellStyle name="Comma 11 5 3 2 5" xfId="4318" xr:uid="{053576A1-8C8A-491F-83E3-4F55B7C3C968}"/>
    <cellStyle name="Comma 11 5 3 2 5 2" xfId="11803" xr:uid="{106ABD10-C1E7-4B64-B1EB-DF55D7C7EA8A}"/>
    <cellStyle name="Comma 11 5 3 2 5 2 2" xfId="15349" xr:uid="{78E580C5-52B1-4C5E-A7E0-D02013066586}"/>
    <cellStyle name="Comma 11 5 3 2 5 2 2 2" xfId="30526" xr:uid="{FE4732CF-5AE7-4A1E-8C88-DD251BBFB9A1}"/>
    <cellStyle name="Comma 11 5 3 2 5 2 3" xfId="26981" xr:uid="{D108AE3D-D533-49CE-A522-1C75E65F79DA}"/>
    <cellStyle name="Comma 11 5 3 2 5 3" xfId="7629" xr:uid="{DEECB1B2-34F9-45C1-BC21-2322ABE41735}"/>
    <cellStyle name="Comma 11 5 3 2 5 3 2" xfId="22809" xr:uid="{F6D54B79-C515-43A3-8533-8E0A8440B162}"/>
    <cellStyle name="Comma 11 5 3 2 5 4" xfId="19521" xr:uid="{F68B7426-6B04-4032-AB47-3807E2E0C934}"/>
    <cellStyle name="Comma 11 5 3 2 6" xfId="5003" xr:uid="{0A5F2FEB-FFA5-48B4-AF0C-2827EDD3E81D}"/>
    <cellStyle name="Comma 11 5 3 2 6 2" xfId="12487" xr:uid="{D59250DC-C826-4342-8DB4-9E47424A6141}"/>
    <cellStyle name="Comma 11 5 3 2 6 2 2" xfId="16033" xr:uid="{2277A682-A3E5-45BC-A137-7AA5217661BE}"/>
    <cellStyle name="Comma 11 5 3 2 6 2 2 2" xfId="31210" xr:uid="{1560FDE7-2D79-408E-BCBD-B8C5C84B9A7B}"/>
    <cellStyle name="Comma 11 5 3 2 6 2 3" xfId="27665" xr:uid="{62E4E523-0AA7-420A-84A9-A4AF9C7D0DE6}"/>
    <cellStyle name="Comma 11 5 3 2 6 3" xfId="8313" xr:uid="{54D22977-750F-44A4-B764-D09C5F375DE2}"/>
    <cellStyle name="Comma 11 5 3 2 6 3 2" xfId="23493" xr:uid="{E9416EC3-2DDB-4F1D-B259-6580DA1CFA92}"/>
    <cellStyle name="Comma 11 5 3 2 6 4" xfId="20205" xr:uid="{116E602C-BA23-47FB-8FDD-E086A0C5DFFB}"/>
    <cellStyle name="Comma 11 5 3 2 7" xfId="1824" xr:uid="{69113E9A-708F-4627-BA96-2128FD597F82}"/>
    <cellStyle name="Comma 11 5 3 2 7 2" xfId="9321" xr:uid="{FD954308-8999-4C62-83DA-0649B2F0F980}"/>
    <cellStyle name="Comma 11 5 3 2 7 2 2" xfId="24499" xr:uid="{0EB8DB9C-DACA-4CE9-9736-59EBD797DA71}"/>
    <cellStyle name="Comma 11 5 3 2 7 3" xfId="17039" xr:uid="{C32BD027-51F3-4C95-83F1-98DB2ADDBAEF}"/>
    <cellStyle name="Comma 11 5 3 2 8" xfId="8535" xr:uid="{40A135E7-B1A0-4CCA-A982-81967E2BA400}"/>
    <cellStyle name="Comma 11 5 3 2 8 2" xfId="12708" xr:uid="{13A1A732-0C61-4F44-91FA-507A4FA4E65F}"/>
    <cellStyle name="Comma 11 5 3 2 8 2 2" xfId="27885" xr:uid="{18E09890-20CD-4CFB-88A3-07F709D28D3A}"/>
    <cellStyle name="Comma 11 5 3 2 8 3" xfId="23713" xr:uid="{09CF5CA8-0E38-40D3-A02A-A4AC45EADDD5}"/>
    <cellStyle name="Comma 11 5 3 2 9" xfId="5147" xr:uid="{135B4E63-BCCF-4CFC-8205-DA66D0BC07F4}"/>
    <cellStyle name="Comma 11 5 3 2 9 2" xfId="20327" xr:uid="{D353394C-0126-44B5-8EEB-8E27CD95F44B}"/>
    <cellStyle name="Comma 11 5 3 3" xfId="1026" xr:uid="{8D03F411-B21B-4531-BDDA-13FBA24BC6A7}"/>
    <cellStyle name="Comma 11 5 3 3 10" xfId="31571" xr:uid="{9DCE8B62-9985-4EA9-8240-467D891C56D9}"/>
    <cellStyle name="Comma 11 5 3 3 2" xfId="1386" xr:uid="{1DCE1A10-73C6-4839-8E95-26397E2440F3}"/>
    <cellStyle name="Comma 11 5 3 3 2 2" xfId="3699" xr:uid="{1A17B545-7375-485E-8D7B-342CE7FF9DCA}"/>
    <cellStyle name="Comma 11 5 3 3 2 2 2" xfId="11187" xr:uid="{67228730-36D6-41C5-8499-2F8F60D222D1}"/>
    <cellStyle name="Comma 11 5 3 3 2 2 2 2" xfId="14733" xr:uid="{EC854706-A566-4CE3-858C-EF5E08A7ECEA}"/>
    <cellStyle name="Comma 11 5 3 3 2 2 2 2 2" xfId="29910" xr:uid="{0217C850-E36E-4356-A543-47B4DB1BBC6F}"/>
    <cellStyle name="Comma 11 5 3 3 2 2 2 3" xfId="26365" xr:uid="{87A56B4C-288D-4C89-9F86-935BA25E90E7}"/>
    <cellStyle name="Comma 11 5 3 3 2 2 3" xfId="7013" xr:uid="{283782A4-39C7-476E-805F-37CD3FDBB0A8}"/>
    <cellStyle name="Comma 11 5 3 3 2 2 3 2" xfId="22193" xr:uid="{E214B572-9560-4504-B86A-BD276F005E25}"/>
    <cellStyle name="Comma 11 5 3 3 2 2 4" xfId="18905" xr:uid="{BA0502B5-89D1-4E8F-81C2-3ED245194021}"/>
    <cellStyle name="Comma 11 5 3 3 2 3" xfId="4319" xr:uid="{C8FE76D0-B0F2-424F-97B7-886A92AB6708}"/>
    <cellStyle name="Comma 11 5 3 3 2 3 2" xfId="11804" xr:uid="{97BEA659-0E7F-47ED-8312-D88B78DBE3D1}"/>
    <cellStyle name="Comma 11 5 3 3 2 3 2 2" xfId="15350" xr:uid="{1FE1E211-DDF8-42D6-8552-412DBBE40CC7}"/>
    <cellStyle name="Comma 11 5 3 3 2 3 2 2 2" xfId="30527" xr:uid="{09CCBE85-2E99-44BA-92B2-4F4159C587E9}"/>
    <cellStyle name="Comma 11 5 3 3 2 3 2 3" xfId="26982" xr:uid="{7E831B51-EE2E-47D0-9093-4773CEACEF0F}"/>
    <cellStyle name="Comma 11 5 3 3 2 3 3" xfId="7630" xr:uid="{563126EE-C3D7-43FE-9888-8855E2E6F729}"/>
    <cellStyle name="Comma 11 5 3 3 2 3 3 2" xfId="22810" xr:uid="{76B0D602-7C98-4BE0-B0FE-603F91991551}"/>
    <cellStyle name="Comma 11 5 3 3 2 3 4" xfId="19522" xr:uid="{5FAD8E56-7273-40B5-8462-0E45228857A6}"/>
    <cellStyle name="Comma 11 5 3 3 2 4" xfId="2812" xr:uid="{26A19511-B30D-47F5-8ADE-27EF33AA7D54}"/>
    <cellStyle name="Comma 11 5 3 3 2 4 2" xfId="10303" xr:uid="{DF94FF85-0A45-4DE9-A71C-6657A200087F}"/>
    <cellStyle name="Comma 11 5 3 3 2 4 2 2" xfId="25481" xr:uid="{75B44046-2398-4E53-8CF3-7F3B211A39BC}"/>
    <cellStyle name="Comma 11 5 3 3 2 4 3" xfId="18021" xr:uid="{D7B55F5C-1FFD-46B6-8D37-478BB0B5363C}"/>
    <cellStyle name="Comma 11 5 3 3 2 5" xfId="8905" xr:uid="{D8BAF535-9A04-4BCE-A8BF-16F4BD4CCC3B}"/>
    <cellStyle name="Comma 11 5 3 3 2 5 2" xfId="13078" xr:uid="{A38F547B-0F66-4B1F-A299-E5B8038477D0}"/>
    <cellStyle name="Comma 11 5 3 3 2 5 2 2" xfId="28255" xr:uid="{30314098-55E2-4EB3-A4F0-4A0D6D916F9D}"/>
    <cellStyle name="Comma 11 5 3 3 2 5 3" xfId="24083" xr:uid="{D739B78E-B463-4807-975B-4768393DBC02}"/>
    <cellStyle name="Comma 11 5 3 3 2 6" xfId="6129" xr:uid="{BB1138AA-D67F-43E5-AE45-68BCC8C03549}"/>
    <cellStyle name="Comma 11 5 3 3 2 6 2" xfId="21309" xr:uid="{54A366B6-8C9D-404D-A735-3BF793C88F45}"/>
    <cellStyle name="Comma 11 5 3 3 2 7" xfId="16623" xr:uid="{CF52667D-F1ED-46F3-8207-5FBC87798E4B}"/>
    <cellStyle name="Comma 11 5 3 3 3" xfId="2539" xr:uid="{55B54C9B-3C19-499F-9FDD-EC6F46B84920}"/>
    <cellStyle name="Comma 11 5 3 3 3 2" xfId="10031" xr:uid="{063E03F8-2556-4643-BB14-02AF65A9A460}"/>
    <cellStyle name="Comma 11 5 3 3 3 2 2" xfId="13690" xr:uid="{21F59895-FD49-4FE3-9D01-D0A238A95315}"/>
    <cellStyle name="Comma 11 5 3 3 3 2 2 2" xfId="28867" xr:uid="{76C8A6E7-B57A-4603-AF3C-C5FCFCA3422A}"/>
    <cellStyle name="Comma 11 5 3 3 3 2 3" xfId="25209" xr:uid="{DF151767-62F1-4BC9-B41E-225CE2379030}"/>
    <cellStyle name="Comma 11 5 3 3 3 3" xfId="5857" xr:uid="{717D4F49-A62E-4D6E-8FBA-0F22E5D017E6}"/>
    <cellStyle name="Comma 11 5 3 3 3 3 2" xfId="21037" xr:uid="{CBE445E0-802B-469B-AAD1-F7C35D20D7B2}"/>
    <cellStyle name="Comma 11 5 3 3 3 4" xfId="17749" xr:uid="{640A8C22-C700-4EF0-A319-E5BA751381E6}"/>
    <cellStyle name="Comma 11 5 3 3 4" xfId="3427" xr:uid="{D88E0B32-5A27-4176-A869-81A356DA2A81}"/>
    <cellStyle name="Comma 11 5 3 3 4 2" xfId="10915" xr:uid="{EA567A74-403A-4C19-9B7B-CB8F80D194A9}"/>
    <cellStyle name="Comma 11 5 3 3 4 2 2" xfId="14461" xr:uid="{01FCBA1D-04C9-4C30-A240-2E6FEB9673D3}"/>
    <cellStyle name="Comma 11 5 3 3 4 2 2 2" xfId="29638" xr:uid="{3087B91D-99A6-4BFE-9C9F-E174AE2AB16F}"/>
    <cellStyle name="Comma 11 5 3 3 4 2 3" xfId="26093" xr:uid="{EC0B9253-4AA8-4787-B49E-D9EF00E74B4A}"/>
    <cellStyle name="Comma 11 5 3 3 4 3" xfId="6741" xr:uid="{0A833B2B-BFC3-45FE-9C07-68D26F175296}"/>
    <cellStyle name="Comma 11 5 3 3 4 3 2" xfId="21921" xr:uid="{7AD16093-0744-40A6-9E16-8A6AB2D09348}"/>
    <cellStyle name="Comma 11 5 3 3 4 4" xfId="18633" xr:uid="{283A47B2-F221-48E6-928A-35FA0BCD14C6}"/>
    <cellStyle name="Comma 11 5 3 3 5" xfId="4320" xr:uid="{BB36EA58-94AD-4C2A-99EA-D416BA0A307D}"/>
    <cellStyle name="Comma 11 5 3 3 5 2" xfId="11805" xr:uid="{33F19BB0-24BF-4A20-812E-63228E7C488B}"/>
    <cellStyle name="Comma 11 5 3 3 5 2 2" xfId="15351" xr:uid="{21681A5C-0134-452B-8DC0-A78005CD4BFB}"/>
    <cellStyle name="Comma 11 5 3 3 5 2 2 2" xfId="30528" xr:uid="{DCF607E8-9A47-4A6B-BDBB-811989FC868D}"/>
    <cellStyle name="Comma 11 5 3 3 5 2 3" xfId="26983" xr:uid="{B7589A31-BD18-481B-8FF0-D635AD374CAE}"/>
    <cellStyle name="Comma 11 5 3 3 5 3" xfId="7631" xr:uid="{B1E501CA-FA2D-469D-BC3B-54BAA7CCD3E3}"/>
    <cellStyle name="Comma 11 5 3 3 5 3 2" xfId="22811" xr:uid="{B2ABAA04-66F9-42B3-9C51-2E9AD6E00011}"/>
    <cellStyle name="Comma 11 5 3 3 5 4" xfId="19523" xr:uid="{F586AAE9-C4E7-4E2E-B2E7-E13BB38177FE}"/>
    <cellStyle name="Comma 11 5 3 3 6" xfId="1922" xr:uid="{6214E844-3428-41FC-B83C-1EED67AFBEBD}"/>
    <cellStyle name="Comma 11 5 3 3 6 2" xfId="9419" xr:uid="{26D15989-B187-4A99-A94F-483DACD26043}"/>
    <cellStyle name="Comma 11 5 3 3 6 2 2" xfId="24597" xr:uid="{505FAADB-D973-47CB-92A4-0AC65BB949BA}"/>
    <cellStyle name="Comma 11 5 3 3 6 3" xfId="17137" xr:uid="{8B469B37-E661-48A8-8F9B-D0AB86F595DA}"/>
    <cellStyle name="Comma 11 5 3 3 7" xfId="8633" xr:uid="{743284A4-FF7E-4914-8ABD-893D1A2853D1}"/>
    <cellStyle name="Comma 11 5 3 3 7 2" xfId="12806" xr:uid="{FEE50929-CCF2-4E08-8DB6-996ACCEB46CF}"/>
    <cellStyle name="Comma 11 5 3 3 7 2 2" xfId="27983" xr:uid="{F58C75AE-B5B1-43AA-8E33-0E465B4F132D}"/>
    <cellStyle name="Comma 11 5 3 3 7 3" xfId="23811" xr:uid="{EB501716-CBFF-4D51-A346-795C357FA5C3}"/>
    <cellStyle name="Comma 11 5 3 3 8" xfId="5245" xr:uid="{0632946D-EE3A-44AF-B229-CC8BD45D7986}"/>
    <cellStyle name="Comma 11 5 3 3 8 2" xfId="20425" xr:uid="{EE895DFB-E86C-4CEA-BF77-2B114A04DE8B}"/>
    <cellStyle name="Comma 11 5 3 3 9" xfId="16351" xr:uid="{069C08EE-F83C-436F-973A-020E371A8B93}"/>
    <cellStyle name="Comma 11 5 3 4" xfId="1485" xr:uid="{C2492560-18F8-4034-A7AD-E8B1CB014926}"/>
    <cellStyle name="Comma 11 5 3 4 2" xfId="2910" xr:uid="{DA798FAE-569D-49D1-9128-787B0D79B0F8}"/>
    <cellStyle name="Comma 11 5 3 4 2 2" xfId="10401" xr:uid="{E1A28A46-F359-493B-92FB-5127FA2BE8A4}"/>
    <cellStyle name="Comma 11 5 3 4 2 2 2" xfId="13947" xr:uid="{2AC6DE66-9AEE-4019-B55C-ACE603F03BA8}"/>
    <cellStyle name="Comma 11 5 3 4 2 2 2 2" xfId="29124" xr:uid="{9BDE1467-6B53-487C-91AB-8E7C792D59F9}"/>
    <cellStyle name="Comma 11 5 3 4 2 2 3" xfId="25579" xr:uid="{F69255DE-1B81-45DA-8417-6A41823D745F}"/>
    <cellStyle name="Comma 11 5 3 4 2 3" xfId="6227" xr:uid="{251753EA-7D81-4D9C-9406-7E7B3131CDAC}"/>
    <cellStyle name="Comma 11 5 3 4 2 3 2" xfId="21407" xr:uid="{0EB1966D-E4F0-4A85-975B-BA07023E3A7C}"/>
    <cellStyle name="Comma 11 5 3 4 2 4" xfId="18119" xr:uid="{D963BAE9-81AC-4604-B50F-274052D225A5}"/>
    <cellStyle name="Comma 11 5 3 4 3" xfId="3797" xr:uid="{8AD0FD93-9234-4463-9B48-DD5CA8FC11B1}"/>
    <cellStyle name="Comma 11 5 3 4 3 2" xfId="11285" xr:uid="{CBBD396C-5B71-40D4-858E-7A9DE767E64D}"/>
    <cellStyle name="Comma 11 5 3 4 3 2 2" xfId="14831" xr:uid="{EBE2B5A6-88C9-480B-8DBE-3CF2C1474C5C}"/>
    <cellStyle name="Comma 11 5 3 4 3 2 2 2" xfId="30008" xr:uid="{A3A09776-90C4-4F01-82CD-5007430063B5}"/>
    <cellStyle name="Comma 11 5 3 4 3 2 3" xfId="26463" xr:uid="{A0D8032E-026B-4D68-87DD-F4FDCAF4A108}"/>
    <cellStyle name="Comma 11 5 3 4 3 3" xfId="7111" xr:uid="{389ABDC8-D841-46AE-A174-05EE7682233A}"/>
    <cellStyle name="Comma 11 5 3 4 3 3 2" xfId="22291" xr:uid="{BEB9B02E-4E70-4384-BC42-D5468A4DDD3C}"/>
    <cellStyle name="Comma 11 5 3 4 3 4" xfId="19003" xr:uid="{C70D1FA4-E4E0-450A-9C6D-DA323C713A70}"/>
    <cellStyle name="Comma 11 5 3 4 4" xfId="4321" xr:uid="{DFF8BF65-DEE1-4303-BAB7-25DAEE541AB4}"/>
    <cellStyle name="Comma 11 5 3 4 4 2" xfId="11806" xr:uid="{9D0AE6C2-6BC6-4E51-A7E2-EE7815340DB2}"/>
    <cellStyle name="Comma 11 5 3 4 4 2 2" xfId="15352" xr:uid="{B84EEC22-4D97-47A0-9CB5-EEEB170D948D}"/>
    <cellStyle name="Comma 11 5 3 4 4 2 2 2" xfId="30529" xr:uid="{0DDDB431-D082-4EA7-9D44-D0E613B55A1B}"/>
    <cellStyle name="Comma 11 5 3 4 4 2 3" xfId="26984" xr:uid="{8964FEFC-7B43-402B-A3CA-0B8196FFDC08}"/>
    <cellStyle name="Comma 11 5 3 4 4 3" xfId="7632" xr:uid="{5692BF46-4B36-43E8-AD55-1C9E5C79A7D8}"/>
    <cellStyle name="Comma 11 5 3 4 4 3 2" xfId="22812" xr:uid="{358AD272-0986-42E3-8C50-066ACB0289C8}"/>
    <cellStyle name="Comma 11 5 3 4 4 4" xfId="19524" xr:uid="{31262651-390E-4723-9DC4-9E3C6B33D6F2}"/>
    <cellStyle name="Comma 11 5 3 4 5" xfId="2020" xr:uid="{869C41C5-0AF9-4139-AC9F-63411C140078}"/>
    <cellStyle name="Comma 11 5 3 4 5 2" xfId="9517" xr:uid="{C75AAE69-16AC-4E5D-B69A-42F12B68FE35}"/>
    <cellStyle name="Comma 11 5 3 4 5 2 2" xfId="24695" xr:uid="{081F8212-30B1-47E1-95C4-0AC0F40E9A6F}"/>
    <cellStyle name="Comma 11 5 3 4 5 3" xfId="17235" xr:uid="{953FFFA3-3BE8-477D-ABF3-75895CE82EF0}"/>
    <cellStyle name="Comma 11 5 3 4 6" xfId="9003" xr:uid="{935A398F-A378-432B-BEAC-8059B2FEB7CF}"/>
    <cellStyle name="Comma 11 5 3 4 6 2" xfId="13176" xr:uid="{21F3CA9A-CB2D-4166-B945-3E0F37555B6D}"/>
    <cellStyle name="Comma 11 5 3 4 6 2 2" xfId="28353" xr:uid="{40698BD5-5BA8-4EED-A726-BF23194D8088}"/>
    <cellStyle name="Comma 11 5 3 4 6 3" xfId="24181" xr:uid="{EA2269D1-67AE-4163-A43A-744D0ED19BC9}"/>
    <cellStyle name="Comma 11 5 3 4 7" xfId="5343" xr:uid="{F03A19C7-D198-47B1-8C54-D2F60D9718EB}"/>
    <cellStyle name="Comma 11 5 3 4 7 2" xfId="20523" xr:uid="{03125493-25C2-4EDE-BA70-13C5A3158BD3}"/>
    <cellStyle name="Comma 11 5 3 4 8" xfId="16721" xr:uid="{B4BE1E27-BFBC-4713-AA64-7B4A7A18179E}"/>
    <cellStyle name="Comma 11 5 3 5" xfId="1588" xr:uid="{9C646BFD-ECA9-4D57-8F4C-F1CDC18F99C7}"/>
    <cellStyle name="Comma 11 5 3 5 2" xfId="3008" xr:uid="{0BE5FB63-3015-4658-9F70-A1AC816089B1}"/>
    <cellStyle name="Comma 11 5 3 5 2 2" xfId="10499" xr:uid="{F59AB6DA-4B7F-4208-AE90-57A4126CC598}"/>
    <cellStyle name="Comma 11 5 3 5 2 2 2" xfId="14045" xr:uid="{5A4E8827-6E57-40F0-A2FE-BCF55D350F2D}"/>
    <cellStyle name="Comma 11 5 3 5 2 2 2 2" xfId="29222" xr:uid="{E17E62D0-831B-436A-AD32-E31D71B0D294}"/>
    <cellStyle name="Comma 11 5 3 5 2 2 3" xfId="25677" xr:uid="{061DF054-E24F-42F7-A635-660206DEABD5}"/>
    <cellStyle name="Comma 11 5 3 5 2 3" xfId="6325" xr:uid="{A3D49BDD-3AB2-4F0B-802C-AAD1ABF09B60}"/>
    <cellStyle name="Comma 11 5 3 5 2 3 2" xfId="21505" xr:uid="{CFC38B20-D114-417C-A06F-6BEA2668186B}"/>
    <cellStyle name="Comma 11 5 3 5 2 4" xfId="18217" xr:uid="{DEC4A309-655A-4A46-8F7C-EA79D8A86260}"/>
    <cellStyle name="Comma 11 5 3 5 3" xfId="3895" xr:uid="{714125BC-6847-4C8D-AA23-0B6C47DB5C01}"/>
    <cellStyle name="Comma 11 5 3 5 3 2" xfId="11383" xr:uid="{64CC447A-1CF8-4EFA-91BA-7EBFAFB645B5}"/>
    <cellStyle name="Comma 11 5 3 5 3 2 2" xfId="14929" xr:uid="{E906D40E-FE6F-4AF4-87D9-785E5D16E6E4}"/>
    <cellStyle name="Comma 11 5 3 5 3 2 2 2" xfId="30106" xr:uid="{D372D3BF-8A8B-4619-B84A-B615B2A67C3E}"/>
    <cellStyle name="Comma 11 5 3 5 3 2 3" xfId="26561" xr:uid="{B6EE4F0A-E305-412F-ABEF-ACC8A9166141}"/>
    <cellStyle name="Comma 11 5 3 5 3 3" xfId="7209" xr:uid="{7DB08F99-0363-449A-A169-C32FC5EE3381}"/>
    <cellStyle name="Comma 11 5 3 5 3 3 2" xfId="22389" xr:uid="{EDC769EA-6023-4D85-9FF1-1718B0F2695A}"/>
    <cellStyle name="Comma 11 5 3 5 3 4" xfId="19101" xr:uid="{B764B580-22BB-4391-A331-7491F79BB566}"/>
    <cellStyle name="Comma 11 5 3 5 4" xfId="4322" xr:uid="{F32F140C-C4D2-4CF3-8A50-FC8382A4DF50}"/>
    <cellStyle name="Comma 11 5 3 5 4 2" xfId="11807" xr:uid="{A8C34E00-393D-4A7D-8AB6-535E2F2A732C}"/>
    <cellStyle name="Comma 11 5 3 5 4 2 2" xfId="15353" xr:uid="{B50834C9-0342-4F76-8DA7-475ED3ECE0FD}"/>
    <cellStyle name="Comma 11 5 3 5 4 2 2 2" xfId="30530" xr:uid="{0E7997BF-BA09-4021-93D0-7DE1A8E7169E}"/>
    <cellStyle name="Comma 11 5 3 5 4 2 3" xfId="26985" xr:uid="{CD1FEE5F-693B-4EB9-BA80-D7D6E939BD03}"/>
    <cellStyle name="Comma 11 5 3 5 4 3" xfId="7633" xr:uid="{BB6DFDC8-8F13-49E4-B90F-9BF815C6E9D7}"/>
    <cellStyle name="Comma 11 5 3 5 4 3 2" xfId="22813" xr:uid="{BCDE3C1E-1F8A-4A0A-A857-6ABE68985F31}"/>
    <cellStyle name="Comma 11 5 3 5 4 4" xfId="19525" xr:uid="{7CF6F1F0-E716-43E0-BE09-3150B19D5786}"/>
    <cellStyle name="Comma 11 5 3 5 5" xfId="2118" xr:uid="{DF4B2ECA-A45D-40DF-947D-001CBAC050EC}"/>
    <cellStyle name="Comma 11 5 3 5 5 2" xfId="9615" xr:uid="{E73F0125-9F5A-4C2D-B1F3-BF2C79B47232}"/>
    <cellStyle name="Comma 11 5 3 5 5 2 2" xfId="24793" xr:uid="{22C09629-175C-411D-AEA6-275FC92C143B}"/>
    <cellStyle name="Comma 11 5 3 5 5 3" xfId="17333" xr:uid="{E16C0EC3-4DAB-4A00-929B-7C5B23E3B537}"/>
    <cellStyle name="Comma 11 5 3 5 6" xfId="9101" xr:uid="{1B0FEF3E-FF76-445C-8200-36DA1E8FE823}"/>
    <cellStyle name="Comma 11 5 3 5 6 2" xfId="13274" xr:uid="{BF766151-C5A1-4FBC-B22A-E13FA708CEFC}"/>
    <cellStyle name="Comma 11 5 3 5 6 2 2" xfId="28451" xr:uid="{E2283A53-5105-4E9B-B77C-6EDA743D4744}"/>
    <cellStyle name="Comma 11 5 3 5 6 3" xfId="24279" xr:uid="{F5A08FAA-7C35-4DC8-B8F9-1AD82E6E0730}"/>
    <cellStyle name="Comma 11 5 3 5 7" xfId="5441" xr:uid="{39BF59F0-EAF8-47EA-943A-9EBA893CBEDD}"/>
    <cellStyle name="Comma 11 5 3 5 7 2" xfId="20621" xr:uid="{5BDC97CB-03A9-4087-9BCF-AB046A8A6CE9}"/>
    <cellStyle name="Comma 11 5 3 5 8" xfId="16819" xr:uid="{3CB7A034-FC2C-4247-823E-4D13764B9B91}"/>
    <cellStyle name="Comma 11 5 3 6" xfId="1687" xr:uid="{EE9ED264-45DC-491C-88BF-1EEAA1F724D9}"/>
    <cellStyle name="Comma 11 5 3 6 2" xfId="3106" xr:uid="{9513159B-DF9D-4AFD-B18C-F8FBB002BC94}"/>
    <cellStyle name="Comma 11 5 3 6 2 2" xfId="10597" xr:uid="{02008027-8D6B-4272-88FF-53F8D96B9ACE}"/>
    <cellStyle name="Comma 11 5 3 6 2 2 2" xfId="14143" xr:uid="{4F7B71FD-3265-46BC-8113-D815EDE2C649}"/>
    <cellStyle name="Comma 11 5 3 6 2 2 2 2" xfId="29320" xr:uid="{C2D8D000-85E5-46A5-B038-43E0FA720A83}"/>
    <cellStyle name="Comma 11 5 3 6 2 2 3" xfId="25775" xr:uid="{0326495B-6085-46B5-BD40-D14D8975DBF2}"/>
    <cellStyle name="Comma 11 5 3 6 2 3" xfId="6423" xr:uid="{A9DDE89D-180E-48AA-9085-D294EE8B5AE6}"/>
    <cellStyle name="Comma 11 5 3 6 2 3 2" xfId="21603" xr:uid="{B05A5634-5E85-4CBC-8774-43929AC7FDB4}"/>
    <cellStyle name="Comma 11 5 3 6 2 4" xfId="18315" xr:uid="{CDBDF9F7-6FCA-4734-825B-823496C69165}"/>
    <cellStyle name="Comma 11 5 3 6 3" xfId="3993" xr:uid="{0A52F14A-EEDE-474A-B9CD-B2D60E90D7A4}"/>
    <cellStyle name="Comma 11 5 3 6 3 2" xfId="11481" xr:uid="{271E3039-673A-4C5E-AAA3-C3CB08BF7405}"/>
    <cellStyle name="Comma 11 5 3 6 3 2 2" xfId="15027" xr:uid="{B63A91F0-F596-4573-B78C-3F2650C95F9A}"/>
    <cellStyle name="Comma 11 5 3 6 3 2 2 2" xfId="30204" xr:uid="{AF13234D-0B8A-45A8-935D-1995B98F7521}"/>
    <cellStyle name="Comma 11 5 3 6 3 2 3" xfId="26659" xr:uid="{9AABBA61-B706-44E2-A998-4CEA5945951B}"/>
    <cellStyle name="Comma 11 5 3 6 3 3" xfId="7307" xr:uid="{243CB040-0DB6-47F8-98B4-4448D22FD89D}"/>
    <cellStyle name="Comma 11 5 3 6 3 3 2" xfId="22487" xr:uid="{BE6AC0F7-6E06-48BE-A8FD-226DFD1C1572}"/>
    <cellStyle name="Comma 11 5 3 6 3 4" xfId="19199" xr:uid="{047DBB22-F527-4A57-B463-8B8A6B96F0F4}"/>
    <cellStyle name="Comma 11 5 3 6 4" xfId="4323" xr:uid="{F695B538-C595-4574-847F-612B13F262E2}"/>
    <cellStyle name="Comma 11 5 3 6 4 2" xfId="11808" xr:uid="{06D12BC1-4A81-4202-85C7-EB6DD33532FB}"/>
    <cellStyle name="Comma 11 5 3 6 4 2 2" xfId="15354" xr:uid="{5A552066-C903-41E8-8494-FAC8A493002D}"/>
    <cellStyle name="Comma 11 5 3 6 4 2 2 2" xfId="30531" xr:uid="{BD90A3B0-36F5-4B5B-8644-E8A3CAE64D61}"/>
    <cellStyle name="Comma 11 5 3 6 4 2 3" xfId="26986" xr:uid="{6BF5B0F2-6B65-4A0B-B58D-1C68FF892447}"/>
    <cellStyle name="Comma 11 5 3 6 4 3" xfId="7634" xr:uid="{7C71366D-7908-4FC9-8E96-443CC19B6FBB}"/>
    <cellStyle name="Comma 11 5 3 6 4 3 2" xfId="22814" xr:uid="{2727D1ED-09AE-4E12-B897-181BDC638A2D}"/>
    <cellStyle name="Comma 11 5 3 6 4 4" xfId="19526" xr:uid="{CB5C6C19-F072-407A-942F-D500DF20C51C}"/>
    <cellStyle name="Comma 11 5 3 6 5" xfId="2216" xr:uid="{DE7EE369-EF79-4821-ACC1-127A13733ED2}"/>
    <cellStyle name="Comma 11 5 3 6 5 2" xfId="9713" xr:uid="{9E9893CA-ED96-44B0-83BE-5A50D5E87F35}"/>
    <cellStyle name="Comma 11 5 3 6 5 2 2" xfId="24891" xr:uid="{21BA6EEC-29B2-4079-BBBB-6F3DF23F3010}"/>
    <cellStyle name="Comma 11 5 3 6 5 3" xfId="17431" xr:uid="{535506DF-D921-4620-B458-07F7A8BEDB7F}"/>
    <cellStyle name="Comma 11 5 3 6 6" xfId="9199" xr:uid="{67732A2F-A9A0-43DD-9D88-C40605900240}"/>
    <cellStyle name="Comma 11 5 3 6 6 2" xfId="13372" xr:uid="{C4EA8B14-7DB7-48C4-BC02-917309586F0F}"/>
    <cellStyle name="Comma 11 5 3 6 6 2 2" xfId="28549" xr:uid="{C9EE20BC-273F-495D-8638-E4A54DE71A16}"/>
    <cellStyle name="Comma 11 5 3 6 6 3" xfId="24377" xr:uid="{C49A3A26-BE55-4CB6-85D7-6E36A28B06F0}"/>
    <cellStyle name="Comma 11 5 3 6 7" xfId="5539" xr:uid="{BE32FCDD-386D-49B9-8F7D-4204520BC466}"/>
    <cellStyle name="Comma 11 5 3 6 7 2" xfId="20719" xr:uid="{4B9BDFD3-9A77-4541-9572-8EC28C8BE4D7}"/>
    <cellStyle name="Comma 11 5 3 6 8" xfId="16917" xr:uid="{D920A6A5-AB2B-4ACE-81CA-1625760B2EC5}"/>
    <cellStyle name="Comma 11 5 3 7" xfId="2316" xr:uid="{811F3BF1-134F-423B-944A-97C3E078D28C}"/>
    <cellStyle name="Comma 11 5 3 7 2" xfId="9811" xr:uid="{6CC26BD1-4E1D-450F-B72E-B61F08E10D6A}"/>
    <cellStyle name="Comma 11 5 3 7 2 2" xfId="13470" xr:uid="{2BFB4861-64F0-419B-B684-BBB16840113A}"/>
    <cellStyle name="Comma 11 5 3 7 2 2 2" xfId="28647" xr:uid="{BAA58CCE-F291-4720-ACF0-D99CE1E43161}"/>
    <cellStyle name="Comma 11 5 3 7 2 3" xfId="24989" xr:uid="{88D5EDA1-FDA7-4CBB-A143-18D8EB280282}"/>
    <cellStyle name="Comma 11 5 3 7 3" xfId="5637" xr:uid="{C9263AE3-68C5-4D98-9C2B-77FBAC4B4F2F}"/>
    <cellStyle name="Comma 11 5 3 7 3 2" xfId="20817" xr:uid="{42CE5485-A2BB-44A3-811E-2999D56C72D9}"/>
    <cellStyle name="Comma 11 5 3 7 4" xfId="17529" xr:uid="{3B090E0B-8C85-4C8F-86EE-701D0AD21258}"/>
    <cellStyle name="Comma 11 5 3 8" xfId="3206" xr:uid="{A2888123-C7A6-4476-8E5C-23EEA11B6B20}"/>
    <cellStyle name="Comma 11 5 3 8 2" xfId="10695" xr:uid="{9669541B-522F-4B84-84B3-8AED067AFF8A}"/>
    <cellStyle name="Comma 11 5 3 8 2 2" xfId="14241" xr:uid="{62245CA3-70BD-4F00-8D4C-6768B3837266}"/>
    <cellStyle name="Comma 11 5 3 8 2 2 2" xfId="29418" xr:uid="{427AF382-66CE-436D-A11D-1935F3518123}"/>
    <cellStyle name="Comma 11 5 3 8 2 3" xfId="25873" xr:uid="{5CD58B23-B6A0-4A2F-8940-FC25473C232C}"/>
    <cellStyle name="Comma 11 5 3 8 3" xfId="6521" xr:uid="{34049FBA-B050-4C2D-BA56-C9463656075D}"/>
    <cellStyle name="Comma 11 5 3 8 3 2" xfId="21701" xr:uid="{E38529A0-68C9-4CDA-93FA-97D36AA0830E}"/>
    <cellStyle name="Comma 11 5 3 8 4" xfId="18413" xr:uid="{686887E2-9C95-4B64-82D2-1101D5F82D14}"/>
    <cellStyle name="Comma 11 5 3 9" xfId="4324" xr:uid="{99051167-9DBE-478C-B6FD-9FD8A941BBBC}"/>
    <cellStyle name="Comma 11 5 3 9 2" xfId="11809" xr:uid="{B89684F8-2C1F-4243-B4E5-9BEB8C0D6072}"/>
    <cellStyle name="Comma 11 5 3 9 2 2" xfId="15355" xr:uid="{472F90CE-9D1D-4594-BF4A-FC601F77C9ED}"/>
    <cellStyle name="Comma 11 5 3 9 2 2 2" xfId="30532" xr:uid="{B22DE01F-0DB4-4A8E-9C2D-043BDCF040B4}"/>
    <cellStyle name="Comma 11 5 3 9 2 3" xfId="26987" xr:uid="{1D7A43FD-1472-4A3F-87AA-20128A320301}"/>
    <cellStyle name="Comma 11 5 3 9 3" xfId="7635" xr:uid="{96981E66-D2AC-45B3-951B-18747CEFD295}"/>
    <cellStyle name="Comma 11 5 3 9 3 2" xfId="22815" xr:uid="{D265A310-7CD2-492C-8AC4-0723AA8E4FBF}"/>
    <cellStyle name="Comma 11 5 3 9 4" xfId="19527" xr:uid="{A8FE7CD8-182A-4EFF-B569-A62AFECB111E}"/>
    <cellStyle name="Comma 11 5 4" xfId="874" xr:uid="{BE986C03-DDE4-48B7-AB54-DA06D63411B1}"/>
    <cellStyle name="Comma 11 5 4 2" xfId="2392" xr:uid="{7D754D3E-C3A5-47A5-BB9B-9E4CD7E32123}"/>
    <cellStyle name="Comma 11 5 4 2 2" xfId="9884" xr:uid="{8C306CC5-27DA-4B1C-BE5D-0FAE73C22C58}"/>
    <cellStyle name="Comma 11 5 4 2 2 2" xfId="13543" xr:uid="{E96C436B-614F-4B57-A392-69B0E44F1C6F}"/>
    <cellStyle name="Comma 11 5 4 2 2 2 2" xfId="28720" xr:uid="{4CF10B0C-3976-4171-9A82-EAA0EE3C7AA7}"/>
    <cellStyle name="Comma 11 5 4 2 2 3" xfId="25062" xr:uid="{B85A4615-60A5-441C-83E7-B4C260A34E2D}"/>
    <cellStyle name="Comma 11 5 4 2 3" xfId="5710" xr:uid="{71AAF15A-E096-46EB-AD59-4F10BFAB6097}"/>
    <cellStyle name="Comma 11 5 4 2 3 2" xfId="20890" xr:uid="{D6979A6D-44CC-4366-8270-EA82B1A5EFDE}"/>
    <cellStyle name="Comma 11 5 4 2 4" xfId="17602" xr:uid="{874AA03B-7D84-49B8-8F85-BCD2F382ECF3}"/>
    <cellStyle name="Comma 11 5 4 3" xfId="3280" xr:uid="{BF3A641A-D767-4428-BF6E-C2E5C5ABD0CF}"/>
    <cellStyle name="Comma 11 5 4 3 2" xfId="10768" xr:uid="{49989ABF-5DC9-4D6C-8C5D-9E25B3D5E569}"/>
    <cellStyle name="Comma 11 5 4 3 2 2" xfId="14314" xr:uid="{D5A75C30-D68D-4F20-BF1D-1B70C4EDF443}"/>
    <cellStyle name="Comma 11 5 4 3 2 2 2" xfId="29491" xr:uid="{9EB19E71-E786-4642-9232-57AC2BB813BD}"/>
    <cellStyle name="Comma 11 5 4 3 2 3" xfId="25946" xr:uid="{21368410-F67F-4A7D-BB27-01F387CD891B}"/>
    <cellStyle name="Comma 11 5 4 3 3" xfId="6594" xr:uid="{18FF70EB-0F8B-4962-AB14-79A862B083E4}"/>
    <cellStyle name="Comma 11 5 4 3 3 2" xfId="21774" xr:uid="{431D1A5D-2C91-4B78-B16B-AB5337715389}"/>
    <cellStyle name="Comma 11 5 4 3 4" xfId="18486" xr:uid="{D3AE0F71-3A85-4B85-BF17-5D252DF095E1}"/>
    <cellStyle name="Comma 11 5 4 4" xfId="4325" xr:uid="{1963D792-02FC-4A80-924F-4C8D4EFF1930}"/>
    <cellStyle name="Comma 11 5 4 4 2" xfId="11810" xr:uid="{396310A7-7476-4ACC-B7E3-A190CCAE30AD}"/>
    <cellStyle name="Comma 11 5 4 4 2 2" xfId="15356" xr:uid="{69971BE5-1204-403E-8FDA-8312B49C758A}"/>
    <cellStyle name="Comma 11 5 4 4 2 2 2" xfId="30533" xr:uid="{A9A128D4-49F2-499B-A5E5-2C2ED850B546}"/>
    <cellStyle name="Comma 11 5 4 4 2 3" xfId="26988" xr:uid="{84B99679-E59F-42D9-962F-A907CA9C4CE8}"/>
    <cellStyle name="Comma 11 5 4 4 3" xfId="7636" xr:uid="{56B8274C-288B-46A9-999C-ED0AA02BD67C}"/>
    <cellStyle name="Comma 11 5 4 4 3 2" xfId="22816" xr:uid="{7F27F217-E194-459C-94E5-E92D4F0F8952}"/>
    <cellStyle name="Comma 11 5 4 4 4" xfId="19528" xr:uid="{2C3D7082-FA22-4A4C-B4AA-F3C5BECCB878}"/>
    <cellStyle name="Comma 11 5 4 5" xfId="8486" xr:uid="{5073DBFB-12B7-432C-82D0-7E4791501C7D}"/>
    <cellStyle name="Comma 11 5 4 5 2" xfId="12659" xr:uid="{793DC042-0116-43A7-85E0-A8ECD47B3D50}"/>
    <cellStyle name="Comma 11 5 4 5 2 2" xfId="27836" xr:uid="{2DE87415-4EBC-41E6-8A3A-F9F1055BFDBB}"/>
    <cellStyle name="Comma 11 5 4 5 3" xfId="23664" xr:uid="{2F9C496A-4A90-45C6-B632-FB2069A2C615}"/>
    <cellStyle name="Comma 11 5 4 6" xfId="16204" xr:uid="{84C351C4-99C7-4AD4-AD66-E6C83501A914}"/>
    <cellStyle name="Comma 11 5 4 7" xfId="31644" xr:uid="{F7CD3A1E-9879-419A-A896-016B4E60AD5C}"/>
    <cellStyle name="Comma 11 5 5" xfId="977" xr:uid="{2DD4E33B-BA8A-4C88-A45A-51214B5B9A08}"/>
    <cellStyle name="Comma 11 5 5 2" xfId="2490" xr:uid="{DC541C82-39FF-4317-906F-0DF1A56F6BC5}"/>
    <cellStyle name="Comma 11 5 5 2 2" xfId="9982" xr:uid="{793518C1-080C-4838-840E-2621ADCEFE2C}"/>
    <cellStyle name="Comma 11 5 5 2 2 2" xfId="13641" xr:uid="{787303AC-EE8C-4085-BD27-71390A0E51EA}"/>
    <cellStyle name="Comma 11 5 5 2 2 2 2" xfId="28818" xr:uid="{A9467414-8583-4696-8AE0-A1871E52EB27}"/>
    <cellStyle name="Comma 11 5 5 2 2 3" xfId="25160" xr:uid="{C953D5A1-8A09-47AD-9B2D-2224B7C8BB2A}"/>
    <cellStyle name="Comma 11 5 5 2 3" xfId="5808" xr:uid="{DDA34B5B-F8CE-4805-9BF4-A516E2C4B912}"/>
    <cellStyle name="Comma 11 5 5 2 3 2" xfId="20988" xr:uid="{44406144-6602-47F7-83EB-EB62385CFEB2}"/>
    <cellStyle name="Comma 11 5 5 2 4" xfId="17700" xr:uid="{C2A4AF95-01D5-4053-8C05-CA8132C21F02}"/>
    <cellStyle name="Comma 11 5 5 3" xfId="3378" xr:uid="{FED045E6-C98C-4157-887F-8B4D2C970711}"/>
    <cellStyle name="Comma 11 5 5 3 2" xfId="10866" xr:uid="{141A4FE1-2614-4984-885C-B67BE6DF336C}"/>
    <cellStyle name="Comma 11 5 5 3 2 2" xfId="14412" xr:uid="{A7214E91-31C8-4FFF-B075-1EF9CA35A8C1}"/>
    <cellStyle name="Comma 11 5 5 3 2 2 2" xfId="29589" xr:uid="{2C69DCC3-7A5E-40BE-A979-31C147695722}"/>
    <cellStyle name="Comma 11 5 5 3 2 3" xfId="26044" xr:uid="{1A9F1147-9B89-451D-B3C7-E0134D256C38}"/>
    <cellStyle name="Comma 11 5 5 3 3" xfId="6692" xr:uid="{07F6B5C2-174E-4862-88A5-9FB8C5C13C4D}"/>
    <cellStyle name="Comma 11 5 5 3 3 2" xfId="21872" xr:uid="{B7C06E9A-6885-4876-9107-34020BB26EC9}"/>
    <cellStyle name="Comma 11 5 5 3 4" xfId="18584" xr:uid="{01BF1A8C-F016-4AEF-B230-6FE866AACC3A}"/>
    <cellStyle name="Comma 11 5 5 4" xfId="4326" xr:uid="{5ED1446E-4F7F-4B36-B60D-61EFAF263951}"/>
    <cellStyle name="Comma 11 5 5 4 2" xfId="11811" xr:uid="{ED60BDDE-7039-4932-A318-0C7A36986F9F}"/>
    <cellStyle name="Comma 11 5 5 4 2 2" xfId="15357" xr:uid="{B4668086-D61D-4D24-B4C2-530541C12B4D}"/>
    <cellStyle name="Comma 11 5 5 4 2 2 2" xfId="30534" xr:uid="{8C92582F-5AF1-4297-A2CA-5AAED134971F}"/>
    <cellStyle name="Comma 11 5 5 4 2 3" xfId="26989" xr:uid="{459EEAEB-AB43-4982-B758-4F85107F4F62}"/>
    <cellStyle name="Comma 11 5 5 4 3" xfId="7637" xr:uid="{22644086-8525-4B25-B6AF-0BF8D54E35DB}"/>
    <cellStyle name="Comma 11 5 5 4 3 2" xfId="22817" xr:uid="{C0C844B8-6C82-4C4D-8455-3C2537305FB7}"/>
    <cellStyle name="Comma 11 5 5 4 4" xfId="19529" xr:uid="{A788CFE0-0EF9-4959-9321-CDC24FADED20}"/>
    <cellStyle name="Comma 11 5 5 5" xfId="8584" xr:uid="{5C1E4477-6381-4FCD-B164-874E6F4917BF}"/>
    <cellStyle name="Comma 11 5 5 5 2" xfId="12757" xr:uid="{6AC1FCBB-F05C-49CB-8B1A-B573B425D799}"/>
    <cellStyle name="Comma 11 5 5 5 2 2" xfId="27934" xr:uid="{8942DB86-D228-4E56-BDF4-D10C36CAC017}"/>
    <cellStyle name="Comma 11 5 5 5 3" xfId="23762" xr:uid="{EE9CCBFD-FCED-4E3A-AD38-04DAE07703D6}"/>
    <cellStyle name="Comma 11 5 5 6" xfId="16302" xr:uid="{637B503D-3E5F-47EA-AD6F-CF774B6EFBC9}"/>
    <cellStyle name="Comma 11 5 5 7" xfId="31522" xr:uid="{94EAD24B-6BFD-465B-9C61-0A1C9C87292C}"/>
    <cellStyle name="Comma 11 5 6" xfId="1160" xr:uid="{861020D6-18FF-4E6D-81E3-4CF6F629931D}"/>
    <cellStyle name="Comma 11 5 6 2" xfId="2593" xr:uid="{AD43BAA2-574B-441C-A52F-026A24F3D93B}"/>
    <cellStyle name="Comma 11 5 6 2 2" xfId="10084" xr:uid="{F07EE08C-0E0C-4B5B-B323-1AA39E6C841B}"/>
    <cellStyle name="Comma 11 5 6 2 2 2" xfId="13742" xr:uid="{148A5274-2E90-47B6-88B6-66C54EDB982E}"/>
    <cellStyle name="Comma 11 5 6 2 2 2 2" xfId="28919" xr:uid="{7D55F1AA-6B4C-4064-AF28-63B73981721E}"/>
    <cellStyle name="Comma 11 5 6 2 2 3" xfId="25262" xr:uid="{16DD3552-BCE2-44F8-B03B-D6CAC4BB4AEC}"/>
    <cellStyle name="Comma 11 5 6 2 3" xfId="5910" xr:uid="{08F3D3AE-4E9E-424B-B805-3CB3F6C5E163}"/>
    <cellStyle name="Comma 11 5 6 2 3 2" xfId="21090" xr:uid="{D13B2A57-7667-438A-9F62-16C7FCB4443B}"/>
    <cellStyle name="Comma 11 5 6 2 4" xfId="17802" xr:uid="{7EAB702C-DDF3-4C2B-AA98-E72326804294}"/>
    <cellStyle name="Comma 11 5 6 3" xfId="3480" xr:uid="{2DF106DF-26AA-4780-BBF0-24263E10EA80}"/>
    <cellStyle name="Comma 11 5 6 3 2" xfId="10968" xr:uid="{0CA6E368-8873-48CF-9416-8510C094987D}"/>
    <cellStyle name="Comma 11 5 6 3 2 2" xfId="14514" xr:uid="{0159E9FE-C949-4C97-8499-2EEB3C82B8EA}"/>
    <cellStyle name="Comma 11 5 6 3 2 2 2" xfId="29691" xr:uid="{A436FB8F-5E2D-4C72-B76F-FEDE8A87A3F7}"/>
    <cellStyle name="Comma 11 5 6 3 2 3" xfId="26146" xr:uid="{C44398F9-EE9F-4626-B804-E9C36683A2F3}"/>
    <cellStyle name="Comma 11 5 6 3 3" xfId="6794" xr:uid="{E34D80D4-6BCB-43D0-8DB3-A9E0C873C7E1}"/>
    <cellStyle name="Comma 11 5 6 3 3 2" xfId="21974" xr:uid="{5B240A64-37BA-46DF-862F-0EB4980C7F70}"/>
    <cellStyle name="Comma 11 5 6 3 4" xfId="18686" xr:uid="{BDAAB432-BCAA-4214-AACA-40890FF87A82}"/>
    <cellStyle name="Comma 11 5 6 4" xfId="4327" xr:uid="{9A34C319-8C08-4345-872F-1E8E4F0C38F0}"/>
    <cellStyle name="Comma 11 5 6 4 2" xfId="11812" xr:uid="{D7DF7B67-1B47-4D55-9565-C2F7434662D6}"/>
    <cellStyle name="Comma 11 5 6 4 2 2" xfId="15358" xr:uid="{2F27D3FF-D8CC-49F9-9254-34A71C5DD381}"/>
    <cellStyle name="Comma 11 5 6 4 2 2 2" xfId="30535" xr:uid="{27C96F4A-3CB0-45C0-98AB-5A0801FD4F1C}"/>
    <cellStyle name="Comma 11 5 6 4 2 3" xfId="26990" xr:uid="{798447D8-DAD9-425A-B9DA-2D0B26779154}"/>
    <cellStyle name="Comma 11 5 6 4 3" xfId="7638" xr:uid="{5E554508-1907-4F6A-8EF7-3FE2F483B217}"/>
    <cellStyle name="Comma 11 5 6 4 3 2" xfId="22818" xr:uid="{009CD09A-71DC-4416-9DF6-838887C43FD0}"/>
    <cellStyle name="Comma 11 5 6 4 4" xfId="19530" xr:uid="{A9567AF2-B61D-4733-AA2C-5BD93007F6EB}"/>
    <cellStyle name="Comma 11 5 6 5" xfId="8686" xr:uid="{544CA56E-BFF8-41F1-9D98-4FA0F27220EA}"/>
    <cellStyle name="Comma 11 5 6 5 2" xfId="12859" xr:uid="{D23DEA13-7769-49DC-8F05-EA01E1074017}"/>
    <cellStyle name="Comma 11 5 6 5 2 2" xfId="28036" xr:uid="{4BADDB24-6556-4B0A-AEB7-04958C3851EC}"/>
    <cellStyle name="Comma 11 5 6 5 3" xfId="23864" xr:uid="{A683C262-A0C3-4C34-AE75-8B0C363679FC}"/>
    <cellStyle name="Comma 11 5 6 6" xfId="16404" xr:uid="{F390357C-E91C-45D3-B57F-3E4ED04B779D}"/>
    <cellStyle name="Comma 11 5 7" xfId="1186" xr:uid="{6ACD7646-C2A2-48FC-9142-817136FB2B0F}"/>
    <cellStyle name="Comma 11 5 7 2" xfId="2617" xr:uid="{3D8E39F4-040B-4428-989D-BA420E4F19E7}"/>
    <cellStyle name="Comma 11 5 7 2 2" xfId="10108" xr:uid="{F8EC7700-C78A-46AA-831B-EE511F3C2373}"/>
    <cellStyle name="Comma 11 5 7 2 2 2" xfId="13766" xr:uid="{EFBCC16C-E861-40F4-AE7B-9DB92E1B10E8}"/>
    <cellStyle name="Comma 11 5 7 2 2 2 2" xfId="28943" xr:uid="{296E19C9-FE8E-4B4D-9510-5CADDFD057BE}"/>
    <cellStyle name="Comma 11 5 7 2 2 3" xfId="25286" xr:uid="{3EDCEE89-7EE6-45A7-9726-5F5B8E1E2D55}"/>
    <cellStyle name="Comma 11 5 7 2 3" xfId="5934" xr:uid="{F5B68E21-A0EE-4647-8078-80ADECCAE603}"/>
    <cellStyle name="Comma 11 5 7 2 3 2" xfId="21114" xr:uid="{FE92A0A8-C877-4754-BF14-6581D854E3B1}"/>
    <cellStyle name="Comma 11 5 7 2 4" xfId="17826" xr:uid="{60B78EDD-FDBB-46DA-BF3D-CF903424B369}"/>
    <cellStyle name="Comma 11 5 7 3" xfId="3504" xr:uid="{12F47912-DB89-4C10-A259-4BE598254AE8}"/>
    <cellStyle name="Comma 11 5 7 3 2" xfId="10992" xr:uid="{91CCD7E8-F5CF-46AB-B2E7-569126592688}"/>
    <cellStyle name="Comma 11 5 7 3 2 2" xfId="14538" xr:uid="{072794DB-89A3-4EB9-B678-E7097837AD72}"/>
    <cellStyle name="Comma 11 5 7 3 2 2 2" xfId="29715" xr:uid="{C2772479-398D-46ED-BB46-937103139E8C}"/>
    <cellStyle name="Comma 11 5 7 3 2 3" xfId="26170" xr:uid="{10029461-A960-4E19-A194-54A5BA1D0762}"/>
    <cellStyle name="Comma 11 5 7 3 3" xfId="6818" xr:uid="{7122AFC8-2969-43B5-B23E-474A74712276}"/>
    <cellStyle name="Comma 11 5 7 3 3 2" xfId="21998" xr:uid="{DBC1D3FB-28D4-433A-BA40-83107EAB3EDB}"/>
    <cellStyle name="Comma 11 5 7 3 4" xfId="18710" xr:uid="{B453A81F-CAF1-4A8B-BF59-98969006CC34}"/>
    <cellStyle name="Comma 11 5 7 4" xfId="4328" xr:uid="{6A0990C2-F952-4F36-BDAB-FF25F82860E3}"/>
    <cellStyle name="Comma 11 5 7 4 2" xfId="11813" xr:uid="{E67E23E5-769D-4DFD-8F45-0B716B08FB03}"/>
    <cellStyle name="Comma 11 5 7 4 2 2" xfId="15359" xr:uid="{720516BA-C451-4CA6-BE14-82305B92B57B}"/>
    <cellStyle name="Comma 11 5 7 4 2 2 2" xfId="30536" xr:uid="{D10F8025-DE54-4AF9-8B00-33C58C4027F9}"/>
    <cellStyle name="Comma 11 5 7 4 2 3" xfId="26991" xr:uid="{E0E7B556-CEEC-4EC2-83F0-06B81106AD59}"/>
    <cellStyle name="Comma 11 5 7 4 3" xfId="7639" xr:uid="{DC8597B0-8574-42A6-801F-162BE8E08F2B}"/>
    <cellStyle name="Comma 11 5 7 4 3 2" xfId="22819" xr:uid="{641998CD-3B4A-4521-9444-5A62C99D3194}"/>
    <cellStyle name="Comma 11 5 7 4 4" xfId="19531" xr:uid="{CFEB1A13-D5CE-4638-8B8E-6821AA6A9D55}"/>
    <cellStyle name="Comma 11 5 7 5" xfId="8710" xr:uid="{A949876B-60D6-4A8E-AE86-625BD7D5CCA3}"/>
    <cellStyle name="Comma 11 5 7 5 2" xfId="12883" xr:uid="{262D2E31-60A5-46C1-942E-9E13BC859C44}"/>
    <cellStyle name="Comma 11 5 7 5 2 2" xfId="28060" xr:uid="{9AE0EC99-33EC-4EEA-BB9D-5DEF4BE983D5}"/>
    <cellStyle name="Comma 11 5 7 5 3" xfId="23888" xr:uid="{7F16F107-6C0E-4741-9263-29AE2B98AD84}"/>
    <cellStyle name="Comma 11 5 7 6" xfId="16428" xr:uid="{E55F8623-1857-44E5-AA87-867900F8C56C}"/>
    <cellStyle name="Comma 11 5 8" xfId="1235" xr:uid="{40EBE860-367F-44DE-9D9B-5CB5358EE2E0}"/>
    <cellStyle name="Comma 11 5 8 10" xfId="31294" xr:uid="{C3F6F5D2-5286-48E1-A829-6D4C42D3B9AD}"/>
    <cellStyle name="Comma 11 5 8 2" xfId="2665" xr:uid="{A79DAF9A-DC6B-478A-AF29-6CA2EA98B167}"/>
    <cellStyle name="Comma 11 5 8 2 2" xfId="10156" xr:uid="{098BE1C2-E73F-4686-BC03-5BD18BD1CEF9}"/>
    <cellStyle name="Comma 11 5 8 2 2 2" xfId="13800" xr:uid="{510F6C1D-1C8F-46D0-AD88-D9DB610E96A9}"/>
    <cellStyle name="Comma 11 5 8 2 2 2 2" xfId="28977" xr:uid="{B55885EA-F986-4FDA-B4DE-915592FF215E}"/>
    <cellStyle name="Comma 11 5 8 2 2 3" xfId="25334" xr:uid="{667A4193-0778-4B16-914A-28DE5FE29FF3}"/>
    <cellStyle name="Comma 11 5 8 2 3" xfId="5982" xr:uid="{A68E8351-F2E7-43BC-96E8-3BA3D5EBFEB3}"/>
    <cellStyle name="Comma 11 5 8 2 3 2" xfId="21162" xr:uid="{EB684427-A220-4D79-9CBB-A5D94A0E4B40}"/>
    <cellStyle name="Comma 11 5 8 2 4" xfId="17874" xr:uid="{C648D13F-C011-44E2-B75A-07B5890FD277}"/>
    <cellStyle name="Comma 11 5 8 3" xfId="3552" xr:uid="{C318BAA8-EA6C-4269-9F59-748E7686EE77}"/>
    <cellStyle name="Comma 11 5 8 3 2" xfId="11040" xr:uid="{6E66DE5B-AE7D-4F67-B41D-F709C35C033F}"/>
    <cellStyle name="Comma 11 5 8 3 2 2" xfId="14586" xr:uid="{E979B3D2-AD5C-43ED-AA2D-7369AA6075C5}"/>
    <cellStyle name="Comma 11 5 8 3 2 2 2" xfId="29763" xr:uid="{7F1D37AB-827F-4555-8421-C9127820F9C3}"/>
    <cellStyle name="Comma 11 5 8 3 2 3" xfId="26218" xr:uid="{D94B3583-1AED-470B-AC48-E0BFFAFE3A89}"/>
    <cellStyle name="Comma 11 5 8 3 3" xfId="6866" xr:uid="{C5F7640D-F3C5-4AF1-BD05-C19F00119E5E}"/>
    <cellStyle name="Comma 11 5 8 3 3 2" xfId="22046" xr:uid="{B882412C-8E20-429A-9D72-9CAB31537B56}"/>
    <cellStyle name="Comma 11 5 8 3 4" xfId="18758" xr:uid="{FE02534E-915B-4932-8100-632C3623140E}"/>
    <cellStyle name="Comma 11 5 8 4" xfId="4329" xr:uid="{955FC437-B603-4042-B167-A4F482CE625F}"/>
    <cellStyle name="Comma 11 5 8 4 2" xfId="11814" xr:uid="{31688ECD-FA05-4C21-ADE1-C0ABBCF9069E}"/>
    <cellStyle name="Comma 11 5 8 4 2 2" xfId="15360" xr:uid="{AB16158E-37E0-4F5A-8E19-CB89ECAF6B4E}"/>
    <cellStyle name="Comma 11 5 8 4 2 2 2" xfId="30537" xr:uid="{7A107A06-EE9A-4D33-926F-DACC04C6E1AC}"/>
    <cellStyle name="Comma 11 5 8 4 2 3" xfId="26992" xr:uid="{EC267235-A07E-4BFC-AC33-A282481764A5}"/>
    <cellStyle name="Comma 11 5 8 4 3" xfId="7640" xr:uid="{3E3D67D5-9A6D-4C16-BE73-C6C9AEE1DB9B}"/>
    <cellStyle name="Comma 11 5 8 4 3 2" xfId="22820" xr:uid="{BCD377E4-DFBD-4A82-A57F-C1645A3CB818}"/>
    <cellStyle name="Comma 11 5 8 4 4" xfId="19532" xr:uid="{BCFEED89-5966-4C71-B836-3915AA38777C}"/>
    <cellStyle name="Comma 11 5 8 5" xfId="4954" xr:uid="{738C2B9A-00DB-4C73-A89D-6C8D0543554E}"/>
    <cellStyle name="Comma 11 5 8 5 2" xfId="12438" xr:uid="{FB9C6E26-1BB6-40CB-82C7-7F2FE29BCF53}"/>
    <cellStyle name="Comma 11 5 8 5 2 2" xfId="15984" xr:uid="{3F21477C-E5C5-4498-B68E-132C0C1BFA6D}"/>
    <cellStyle name="Comma 11 5 8 5 2 2 2" xfId="31161" xr:uid="{C4B588C2-E31B-4C94-AF08-DEE6236BC197}"/>
    <cellStyle name="Comma 11 5 8 5 2 3" xfId="27616" xr:uid="{A34397FF-CC5E-43F9-95AD-2A6D8126F367}"/>
    <cellStyle name="Comma 11 5 8 5 3" xfId="8264" xr:uid="{EE97D348-B724-480D-8853-C4D15F028B6F}"/>
    <cellStyle name="Comma 11 5 8 5 3 2" xfId="23444" xr:uid="{4341208D-EA2F-4A4B-BED3-6B7DC9316395}"/>
    <cellStyle name="Comma 11 5 8 5 4" xfId="20156" xr:uid="{12F22631-E760-47FE-B314-853A424FD97C}"/>
    <cellStyle name="Comma 11 5 8 6" xfId="1775" xr:uid="{667196DE-0E09-42FC-9A1A-017023D2CD7A}"/>
    <cellStyle name="Comma 11 5 8 6 2" xfId="9272" xr:uid="{917D4AFD-AC35-4D81-B24A-AA01243C688C}"/>
    <cellStyle name="Comma 11 5 8 6 2 2" xfId="24450" xr:uid="{0D849CF1-8FA4-4CA3-9A00-B293C8216B6B}"/>
    <cellStyle name="Comma 11 5 8 6 3" xfId="16990" xr:uid="{F70F29A9-BF58-4413-881D-7B1C207AC883}"/>
    <cellStyle name="Comma 11 5 8 7" xfId="8758" xr:uid="{2BE98C8E-C8B2-4FDE-A6BB-BE2AF0FF3394}"/>
    <cellStyle name="Comma 11 5 8 7 2" xfId="12931" xr:uid="{AB08411B-F883-42F3-B8EC-4B0EA5AD7CF2}"/>
    <cellStyle name="Comma 11 5 8 7 2 2" xfId="28108" xr:uid="{512F0D76-BF2E-4408-A7CE-19C47B57A5C8}"/>
    <cellStyle name="Comma 11 5 8 7 3" xfId="23936" xr:uid="{2CAA08D8-DC1E-4129-9523-D8D27F459347}"/>
    <cellStyle name="Comma 11 5 8 8" xfId="5098" xr:uid="{09C92DB7-313A-4670-A705-5511F0BC2DE6}"/>
    <cellStyle name="Comma 11 5 8 8 2" xfId="20278" xr:uid="{66E9B627-DB56-4225-8383-CC4FD041FD53}"/>
    <cellStyle name="Comma 11 5 8 9" xfId="16476" xr:uid="{94B1D7B6-EA17-4369-87D9-6151DD794559}"/>
    <cellStyle name="Comma 11 5 9" xfId="1337" xr:uid="{F66D0CF1-A888-4561-8125-0F4AEAEFFC64}"/>
    <cellStyle name="Comma 11 5 9 2" xfId="2763" xr:uid="{6EEA1E4E-E360-4533-BBF1-1287510DD4BC}"/>
    <cellStyle name="Comma 11 5 9 2 2" xfId="10254" xr:uid="{4ED7B04A-AC72-49C0-A542-372905283702}"/>
    <cellStyle name="Comma 11 5 9 2 2 2" xfId="13849" xr:uid="{3741304B-60A3-4B05-8358-823BE9ABA174}"/>
    <cellStyle name="Comma 11 5 9 2 2 2 2" xfId="29026" xr:uid="{91E72308-F2DC-44C3-9352-B280B02746DA}"/>
    <cellStyle name="Comma 11 5 9 2 2 3" xfId="25432" xr:uid="{522768BE-93E9-4D6E-9FAB-7D5E3BACC3D1}"/>
    <cellStyle name="Comma 11 5 9 2 3" xfId="6080" xr:uid="{26842005-409A-4589-88A6-8D8727722D7C}"/>
    <cellStyle name="Comma 11 5 9 2 3 2" xfId="21260" xr:uid="{0A0B14E4-C8C9-4830-B434-DDB14DC02932}"/>
    <cellStyle name="Comma 11 5 9 2 4" xfId="17972" xr:uid="{871E6DD2-2F78-41C5-9F60-717BAD2DD064}"/>
    <cellStyle name="Comma 11 5 9 3" xfId="3650" xr:uid="{3BF7934E-FD0C-45C0-8B26-DD9B1C78EB32}"/>
    <cellStyle name="Comma 11 5 9 3 2" xfId="11138" xr:uid="{93A62B65-8F82-4ED1-B469-7DBAF26BD0BB}"/>
    <cellStyle name="Comma 11 5 9 3 2 2" xfId="14684" xr:uid="{24067C6E-9626-4F8C-98E0-1A40D0411EE0}"/>
    <cellStyle name="Comma 11 5 9 3 2 2 2" xfId="29861" xr:uid="{D0FCE03A-F0E4-4640-9939-95A8F3B1DFC3}"/>
    <cellStyle name="Comma 11 5 9 3 2 3" xfId="26316" xr:uid="{BEF6994E-675C-4938-A706-7B26CEC126A8}"/>
    <cellStyle name="Comma 11 5 9 3 3" xfId="6964" xr:uid="{01504044-99AD-488A-B1CC-E4D8043FFA14}"/>
    <cellStyle name="Comma 11 5 9 3 3 2" xfId="22144" xr:uid="{BC8749D3-C8EF-407A-9F21-DCE5E4C3216E}"/>
    <cellStyle name="Comma 11 5 9 3 4" xfId="18856" xr:uid="{C91313EE-1C93-432F-9B32-E49DECEBFBA8}"/>
    <cellStyle name="Comma 11 5 9 4" xfId="4330" xr:uid="{181380B7-B9DD-4C65-8B6A-6334D12FD770}"/>
    <cellStyle name="Comma 11 5 9 4 2" xfId="11815" xr:uid="{65ADB4FE-1045-4C5E-8AFE-BBBEE9DFC772}"/>
    <cellStyle name="Comma 11 5 9 4 2 2" xfId="15361" xr:uid="{172B8366-204E-4875-89E8-C6A7C698C323}"/>
    <cellStyle name="Comma 11 5 9 4 2 2 2" xfId="30538" xr:uid="{EC8D6749-FFEA-45EF-BDA8-19820731E1D6}"/>
    <cellStyle name="Comma 11 5 9 4 2 3" xfId="26993" xr:uid="{68DE187F-0C2B-4151-8C7C-2299F6167C64}"/>
    <cellStyle name="Comma 11 5 9 4 3" xfId="7641" xr:uid="{573393CB-C7D4-4B13-B151-9B5211FCB8E6}"/>
    <cellStyle name="Comma 11 5 9 4 3 2" xfId="22821" xr:uid="{4BE03B3D-5E52-479F-B954-F8DEF9FA8FE6}"/>
    <cellStyle name="Comma 11 5 9 4 4" xfId="19533" xr:uid="{B69F4D6C-7100-4880-BF5C-FDBC3330A038}"/>
    <cellStyle name="Comma 11 5 9 5" xfId="1873" xr:uid="{7CDBBB37-4388-4003-9019-E7FD9B8B26E5}"/>
    <cellStyle name="Comma 11 5 9 5 2" xfId="9370" xr:uid="{B4761B3A-1427-47BA-B430-8A8F950B5CD0}"/>
    <cellStyle name="Comma 11 5 9 5 2 2" xfId="24548" xr:uid="{E252A6E9-43EA-43CC-A8C6-222C7A596D67}"/>
    <cellStyle name="Comma 11 5 9 5 3" xfId="17088" xr:uid="{967C2844-2421-40B5-8E1A-843B8ECAE273}"/>
    <cellStyle name="Comma 11 5 9 6" xfId="8856" xr:uid="{C0E98572-E03D-4D4F-ADB5-EA80B2AD4EB3}"/>
    <cellStyle name="Comma 11 5 9 6 2" xfId="13029" xr:uid="{171CF3DD-5392-4686-AB30-7402B5D2D540}"/>
    <cellStyle name="Comma 11 5 9 6 2 2" xfId="28206" xr:uid="{05FFF06D-9B57-428D-9716-B8AB08815EC2}"/>
    <cellStyle name="Comma 11 5 9 6 3" xfId="24034" xr:uid="{746F4171-23C7-4898-B2A6-1C9BCC2687B2}"/>
    <cellStyle name="Comma 11 5 9 7" xfId="5196" xr:uid="{F0322114-DD7F-4EB2-82D6-11977E991DBA}"/>
    <cellStyle name="Comma 11 5 9 7 2" xfId="20376" xr:uid="{9B6801AA-84BE-4A63-839F-4A1EDAE3AC4C}"/>
    <cellStyle name="Comma 11 5 9 8" xfId="16574" xr:uid="{D6BA671B-391A-4E88-8BFA-05525FBA2018}"/>
    <cellStyle name="Comma 11 6" xfId="469" xr:uid="{BD71CE58-BD7F-436F-80FB-1D7150FB89E4}"/>
    <cellStyle name="Comma 11 6 2" xfId="582" xr:uid="{067F1CFB-E9FF-4869-A3F6-94F668102200}"/>
    <cellStyle name="Comma 11 6 2 2" xfId="9860" xr:uid="{D0BCEFBB-D8A2-4F39-A079-2C7E6FC7DEF7}"/>
    <cellStyle name="Comma 11 6 2 2 2" xfId="13519" xr:uid="{A2B6FEB1-DE5D-4EFD-AB23-54241B4E8700}"/>
    <cellStyle name="Comma 11 6 2 2 2 2" xfId="28696" xr:uid="{3531F686-A7D0-400F-9FD7-7DB4519DF644}"/>
    <cellStyle name="Comma 11 6 2 2 3" xfId="25038" xr:uid="{564CFC16-1BB6-470D-915D-FE6D134471E4}"/>
    <cellStyle name="Comma 11 6 2 3" xfId="5686" xr:uid="{B8C986A4-D0F2-43C8-95E1-2DC46E7481FF}"/>
    <cellStyle name="Comma 11 6 2 3 2" xfId="20866" xr:uid="{3718F3CE-84DE-4186-B5B5-2ABCC8C93464}"/>
    <cellStyle name="Comma 11 6 2 4" xfId="17578" xr:uid="{B16A3CE7-C5CC-4D27-B3BE-390CD2185BFC}"/>
    <cellStyle name="Comma 11 6 2 5" xfId="2366" xr:uid="{AC6A35BF-CA8E-4BAE-AB7C-4C8166AF4DCC}"/>
    <cellStyle name="Comma 11 6 3" xfId="3256" xr:uid="{B104CF74-0A66-45B5-A54C-C181AF2E010B}"/>
    <cellStyle name="Comma 11 6 3 2" xfId="10744" xr:uid="{E12EB79A-01BE-4FBD-B96D-6F4C8BD10350}"/>
    <cellStyle name="Comma 11 6 3 2 2" xfId="14290" xr:uid="{95787F14-66B3-4563-BF0F-488E12EA6997}"/>
    <cellStyle name="Comma 11 6 3 2 2 2" xfId="29467" xr:uid="{CBFD0A03-BDA1-4E82-9225-452C8F08C411}"/>
    <cellStyle name="Comma 11 6 3 2 3" xfId="25922" xr:uid="{42E32B15-8FAE-46A2-B210-284046EAB104}"/>
    <cellStyle name="Comma 11 6 3 3" xfId="6570" xr:uid="{835018F5-45B0-4D4E-BB72-96FFD502EB3E}"/>
    <cellStyle name="Comma 11 6 3 3 2" xfId="21750" xr:uid="{05B4FDBC-E287-4997-B9AA-4F374CA5EA06}"/>
    <cellStyle name="Comma 11 6 3 4" xfId="18462" xr:uid="{FBED5CC8-AEF3-45B7-B5CA-E64E8AC05468}"/>
    <cellStyle name="Comma 11 6 4" xfId="4331" xr:uid="{31CCE783-2CA3-4A2C-8467-BEF4C5BF99BB}"/>
    <cellStyle name="Comma 11 6 4 2" xfId="11816" xr:uid="{3C73725B-14EB-44B0-8DCD-A4567C285ADB}"/>
    <cellStyle name="Comma 11 6 4 2 2" xfId="15362" xr:uid="{9D1CBE24-C83E-4146-BE53-FFEA7458E93D}"/>
    <cellStyle name="Comma 11 6 4 2 2 2" xfId="30539" xr:uid="{3A600DB0-6784-4CE8-81B7-74826C33BF3B}"/>
    <cellStyle name="Comma 11 6 4 2 3" xfId="26994" xr:uid="{D59EE6E6-BC91-4016-832B-88435C2263B6}"/>
    <cellStyle name="Comma 11 6 4 3" xfId="7642" xr:uid="{D1A8302E-AD71-4CA1-9357-5DFA929853EC}"/>
    <cellStyle name="Comma 11 6 4 3 2" xfId="22822" xr:uid="{3BF57887-88E3-4A7A-86F7-4D6EC6E7D73E}"/>
    <cellStyle name="Comma 11 6 4 4" xfId="19534" xr:uid="{27BF68A4-375D-4D1E-8FCB-77B375A6D7CD}"/>
    <cellStyle name="Comma 11 6 5" xfId="8462" xr:uid="{1A96AC7D-500D-4F15-A37B-A41281C2A584}"/>
    <cellStyle name="Comma 11 6 5 2" xfId="12635" xr:uid="{5DE42774-4127-4DFF-BCB5-D680E9472E7E}"/>
    <cellStyle name="Comma 11 6 5 2 2" xfId="27812" xr:uid="{DC24E1CE-61C4-4EA7-B48C-2E0DEB59F31E}"/>
    <cellStyle name="Comma 11 6 5 3" xfId="23640" xr:uid="{E8065508-7E78-4962-ADB9-36AF788022FE}"/>
    <cellStyle name="Comma 11 6 6" xfId="16180" xr:uid="{FB07D9B0-AFAE-4DDC-BDE8-A02F2CFE72E5}"/>
    <cellStyle name="Comma 11 6 7" xfId="31620" xr:uid="{B2AC5EE9-B63B-4D90-A6C4-6C48B06E68CA}"/>
    <cellStyle name="Comma 11 6 8" xfId="848" xr:uid="{7F200BB2-5FF0-48A6-8EF4-B735EFB04EB6}"/>
    <cellStyle name="Comma 11 7" xfId="110" xr:uid="{83B94CF8-D775-43E3-AF57-DAF4D00AC21A}"/>
    <cellStyle name="Comma 11 7 10" xfId="31270" xr:uid="{12705233-731B-4C04-9BB8-121512B7709E}"/>
    <cellStyle name="Comma 11 7 11" xfId="1211" xr:uid="{96B60564-7773-48FB-BC40-5CADB862147B}"/>
    <cellStyle name="Comma 11 7 2" xfId="2641" xr:uid="{E821737E-B3E5-4A22-8A6F-5DD2D4AA4624}"/>
    <cellStyle name="Comma 11 7 2 2" xfId="10132" xr:uid="{F0381717-2B6A-4AF5-90C2-66F49CCA33D2}"/>
    <cellStyle name="Comma 11 7 2 2 2" xfId="13790" xr:uid="{FC6E2176-BDC6-4B38-A8DD-D4687626B607}"/>
    <cellStyle name="Comma 11 7 2 2 2 2" xfId="28967" xr:uid="{2D5C3732-254E-466C-AE90-F6E6D2096A04}"/>
    <cellStyle name="Comma 11 7 2 2 3" xfId="25310" xr:uid="{C380F7AD-CB28-493F-AB2A-B068BA95C09F}"/>
    <cellStyle name="Comma 11 7 2 3" xfId="5958" xr:uid="{FE181EA5-BC09-4323-9EBE-DEA1B2072A8B}"/>
    <cellStyle name="Comma 11 7 2 3 2" xfId="21138" xr:uid="{F04C4F25-C04B-4BD7-8CE4-0F5C115C6B27}"/>
    <cellStyle name="Comma 11 7 2 4" xfId="17850" xr:uid="{8B64918E-27BD-4E3D-A65C-271F8C772FC5}"/>
    <cellStyle name="Comma 11 7 3" xfId="3528" xr:uid="{5C4C62E1-70AF-4191-A3F6-4DB4C07ADBA6}"/>
    <cellStyle name="Comma 11 7 3 2" xfId="11016" xr:uid="{62F3FF61-4D8B-488A-A79A-91FF4E92CF8D}"/>
    <cellStyle name="Comma 11 7 3 2 2" xfId="14562" xr:uid="{FA977E67-D2BB-439B-B679-9722485AF8BF}"/>
    <cellStyle name="Comma 11 7 3 2 2 2" xfId="29739" xr:uid="{0BBBCC50-778D-4D27-816E-A2B36D8D6C20}"/>
    <cellStyle name="Comma 11 7 3 2 3" xfId="26194" xr:uid="{7370FBAB-137F-4BB1-AA20-9F53E11E14DE}"/>
    <cellStyle name="Comma 11 7 3 3" xfId="6842" xr:uid="{D0E867FC-9310-44F0-9137-A220EDA68D3E}"/>
    <cellStyle name="Comma 11 7 3 3 2" xfId="22022" xr:uid="{502E1620-E7F3-4DD4-8C43-862E7C896F3F}"/>
    <cellStyle name="Comma 11 7 3 4" xfId="18734" xr:uid="{672481B6-DCE0-402D-AF46-F72F78478AD9}"/>
    <cellStyle name="Comma 11 7 4" xfId="4332" xr:uid="{24E31504-E1CE-4C20-B033-FCB390CFCC4F}"/>
    <cellStyle name="Comma 11 7 4 2" xfId="11817" xr:uid="{31B3857D-0F25-492D-86A7-8CDF5190FD29}"/>
    <cellStyle name="Comma 11 7 4 2 2" xfId="15363" xr:uid="{D63D1893-A20E-447A-96D1-817A724850D9}"/>
    <cellStyle name="Comma 11 7 4 2 2 2" xfId="30540" xr:uid="{A29B610E-58D6-44FB-B908-774AD33EFEAD}"/>
    <cellStyle name="Comma 11 7 4 2 3" xfId="26995" xr:uid="{A5EFF133-4B99-4255-B387-2F348EB78BF6}"/>
    <cellStyle name="Comma 11 7 4 3" xfId="7643" xr:uid="{9E215C9A-D312-4856-B391-864A0B8E360F}"/>
    <cellStyle name="Comma 11 7 4 3 2" xfId="22823" xr:uid="{1A4AC078-BCA4-46BE-ABCA-2556A647F027}"/>
    <cellStyle name="Comma 11 7 4 4" xfId="19535" xr:uid="{86CDCDF3-28B9-42C2-BA31-1398ADB5E5D8}"/>
    <cellStyle name="Comma 11 7 5" xfId="4930" xr:uid="{FCA8D0A1-E57B-40F3-AD72-42536D3B2C9B}"/>
    <cellStyle name="Comma 11 7 5 2" xfId="12414" xr:uid="{E65E7007-739E-486D-9333-F8BCA9002165}"/>
    <cellStyle name="Comma 11 7 5 2 2" xfId="15960" xr:uid="{9F3E89AC-A160-443B-AA9C-C8E019E32CE2}"/>
    <cellStyle name="Comma 11 7 5 2 2 2" xfId="31137" xr:uid="{114C235E-F260-452B-8240-B5822AACCD6A}"/>
    <cellStyle name="Comma 11 7 5 2 3" xfId="27592" xr:uid="{5AD0E1BE-1143-4117-8B33-5132505AA829}"/>
    <cellStyle name="Comma 11 7 5 3" xfId="8240" xr:uid="{A7CBC97C-8A5C-454A-B987-8A3E64035BC1}"/>
    <cellStyle name="Comma 11 7 5 3 2" xfId="23420" xr:uid="{CA8C415B-E5F7-406C-AC87-956496EDF335}"/>
    <cellStyle name="Comma 11 7 5 4" xfId="20132" xr:uid="{D67DFC9B-0061-49BB-99BA-D5BEB7EC518F}"/>
    <cellStyle name="Comma 11 7 6" xfId="1751" xr:uid="{E996E106-8989-4A4F-83CA-2153B9A3997E}"/>
    <cellStyle name="Comma 11 7 6 2" xfId="9248" xr:uid="{418F0390-BA90-47ED-ACDB-3415B7E64FFE}"/>
    <cellStyle name="Comma 11 7 6 2 2" xfId="24426" xr:uid="{7C742A0F-3387-4F31-8BDF-E3A7F82402EF}"/>
    <cellStyle name="Comma 11 7 6 3" xfId="16966" xr:uid="{69E5D272-0DCB-4316-87C4-1DB6C6FCC0D9}"/>
    <cellStyle name="Comma 11 7 7" xfId="8734" xr:uid="{85739BF6-DA73-4A3A-BA00-73FF93B22BFB}"/>
    <cellStyle name="Comma 11 7 7 2" xfId="12907" xr:uid="{A44E50B4-DD41-48A6-A313-EE6AA7866BFF}"/>
    <cellStyle name="Comma 11 7 7 2 2" xfId="28084" xr:uid="{94176254-31DB-4265-BD5F-CE0589417A83}"/>
    <cellStyle name="Comma 11 7 7 3" xfId="23912" xr:uid="{81DF9DD7-A195-405B-A9B2-D612CAEA2DF4}"/>
    <cellStyle name="Comma 11 7 8" xfId="5074" xr:uid="{B68CE39D-6818-4BE1-9EA7-A2C34601B8ED}"/>
    <cellStyle name="Comma 11 7 8 2" xfId="20254" xr:uid="{40B6AE15-767B-4E46-98E5-7BB11591987F}"/>
    <cellStyle name="Comma 11 7 9" xfId="16452" xr:uid="{BD38D044-82D8-4A1E-A40A-D48140E01296}"/>
    <cellStyle name="Comma 11 8" xfId="545" xr:uid="{57F208E4-64A5-41C1-9E0E-558F3C9B981D}"/>
    <cellStyle name="Comma 11 8 2" xfId="31400" xr:uid="{2066676E-5494-4310-B8C1-8F65919350C0}"/>
    <cellStyle name="Comma 11 9" xfId="608" xr:uid="{C2310E67-3FD5-451B-B7C9-328B11DDFAFA}"/>
    <cellStyle name="Comma 2" xfId="60" xr:uid="{DD7746F2-07BA-496B-8A77-779EC83B1C0F}"/>
    <cellStyle name="Comma 2 2" xfId="415" xr:uid="{EFA736D8-E2B7-4EF9-B286-B80ACD517A55}"/>
    <cellStyle name="Comma 3" xfId="108" xr:uid="{E713FA2E-079B-4BD7-921E-51BD19E089D9}"/>
    <cellStyle name="Comma 3 10" xfId="2291" xr:uid="{0DEDC4A1-0FC8-43D2-B031-8457C369CCF5}"/>
    <cellStyle name="Comma 3 10 2" xfId="9786" xr:uid="{1405390F-958C-4D61-B0B0-6B6D81E53330}"/>
    <cellStyle name="Comma 3 10 2 2" xfId="13445" xr:uid="{0B2A7F09-FC36-403B-A7F3-975436F1D5A0}"/>
    <cellStyle name="Comma 3 10 2 2 2" xfId="28622" xr:uid="{D4CDEE9B-12D0-40BB-B21C-493599EF24D5}"/>
    <cellStyle name="Comma 3 10 2 3" xfId="24964" xr:uid="{87F18642-42CB-4D96-93D5-A82723ADB41C}"/>
    <cellStyle name="Comma 3 10 3" xfId="5612" xr:uid="{8AA204B6-D4EE-4BE6-AACA-D940E08C3797}"/>
    <cellStyle name="Comma 3 10 3 2" xfId="20792" xr:uid="{E90D8D8A-32A2-451B-972F-267150EE986F}"/>
    <cellStyle name="Comma 3 10 4" xfId="17504" xr:uid="{92B22A22-2B17-4B1C-8AC5-13FDBCE98CA5}"/>
    <cellStyle name="Comma 3 11" xfId="3181" xr:uid="{CF0E8249-DB7C-4073-9F95-67BC250C2ADE}"/>
    <cellStyle name="Comma 3 11 2" xfId="10670" xr:uid="{916E5E13-1853-49CE-90BB-8A715A946C6C}"/>
    <cellStyle name="Comma 3 11 2 2" xfId="14216" xr:uid="{F5DD7BAA-BC86-4EC7-BE81-0E86A445B8E5}"/>
    <cellStyle name="Comma 3 11 2 2 2" xfId="29393" xr:uid="{2F1A0E1A-44E1-4E0A-9DCC-F72FB8CEBC80}"/>
    <cellStyle name="Comma 3 11 2 3" xfId="25848" xr:uid="{9D05A05A-76C5-4407-AE8D-FEA97FEEE52F}"/>
    <cellStyle name="Comma 3 11 3" xfId="6496" xr:uid="{45624E87-C93C-4C1C-90F7-634BD2CE34F4}"/>
    <cellStyle name="Comma 3 11 3 2" xfId="21676" xr:uid="{3257ABA6-99C9-4039-BE71-EA6309D267B9}"/>
    <cellStyle name="Comma 3 11 4" xfId="18388" xr:uid="{CA30378C-6F37-43A6-ACBA-FA05632DFAF2}"/>
    <cellStyle name="Comma 3 12" xfId="4333" xr:uid="{1BEF3160-4995-45C3-AD1E-59849485981A}"/>
    <cellStyle name="Comma 3 12 2" xfId="11818" xr:uid="{8F23B2A5-F9ED-49A5-BF62-26981A4DB2FF}"/>
    <cellStyle name="Comma 3 12 2 2" xfId="15364" xr:uid="{3469901F-0385-4817-8037-BBEA4B0184A7}"/>
    <cellStyle name="Comma 3 12 2 2 2" xfId="30541" xr:uid="{9EE7863C-BA41-4A4C-A38F-DECE32A2B1E3}"/>
    <cellStyle name="Comma 3 12 2 3" xfId="26996" xr:uid="{090221A2-5E1C-4384-990B-F13FF5128B21}"/>
    <cellStyle name="Comma 3 12 3" xfId="7644" xr:uid="{C8DF7225-B2D3-4286-871F-D38EC9DD7229}"/>
    <cellStyle name="Comma 3 12 3 2" xfId="22824" xr:uid="{C04CD3FE-7DC7-4D2C-A811-91D93FF4F23E}"/>
    <cellStyle name="Comma 3 12 4" xfId="19536" xr:uid="{6C5646B8-CCA0-4B1F-9781-D0FE9ED9B79D}"/>
    <cellStyle name="Comma 3 13" xfId="8387" xr:uid="{DE2E44A7-D4B2-4969-8FB5-3B0F8653F117}"/>
    <cellStyle name="Comma 3 13 2" xfId="12561" xr:uid="{5BBBD52C-69C2-4D79-9137-E668177C1D2B}"/>
    <cellStyle name="Comma 3 13 2 2" xfId="27738" xr:uid="{ED267BA2-2563-438A-8955-F1CC54E29944}"/>
    <cellStyle name="Comma 3 13 3" xfId="23566" xr:uid="{4C417855-4417-4795-9EF8-64B5863189ED}"/>
    <cellStyle name="Comma 3 14" xfId="16106" xr:uid="{9AB26050-E1A5-4054-904F-11F2EAB29B60}"/>
    <cellStyle name="Comma 3 15" xfId="31448" xr:uid="{A9AB4AFB-4368-4FCD-BFDC-D3F8817F9139}"/>
    <cellStyle name="Comma 3 16" xfId="718" xr:uid="{336C265F-2CA5-4261-B87B-EC7C0EFFFC3D}"/>
    <cellStyle name="Comma 3 2" xfId="544" xr:uid="{ABD35F74-90F3-4455-A155-64081316AF10}"/>
    <cellStyle name="Comma 3 2 10" xfId="8436" xr:uid="{DAB4FBDC-D656-457F-A411-18C71947E210}"/>
    <cellStyle name="Comma 3 2 10 2" xfId="12610" xr:uid="{A6213281-DBDA-4BFF-888D-90DAC9B10C4C}"/>
    <cellStyle name="Comma 3 2 10 2 2" xfId="27787" xr:uid="{E870299B-CBF3-4316-95A0-43345B64C788}"/>
    <cellStyle name="Comma 3 2 10 3" xfId="23615" xr:uid="{B734F322-5B90-4094-B4E3-141B665C1050}"/>
    <cellStyle name="Comma 3 2 11" xfId="16155" xr:uid="{C07A49B3-B75B-476F-8A82-98F2F77EBB47}"/>
    <cellStyle name="Comma 3 2 12" xfId="31497" xr:uid="{A25CB866-C445-44EF-9705-121BF06AFD58}"/>
    <cellStyle name="Comma 3 2 13" xfId="770" xr:uid="{C634C679-B05C-42DB-86A3-32B1A2C5B4E9}"/>
    <cellStyle name="Comma 3 2 2" xfId="947" xr:uid="{BA5C6D55-19C3-4D6C-BA38-68695ACA39E9}"/>
    <cellStyle name="Comma 3 2 2 10" xfId="16277" xr:uid="{DBE6B93F-9ADD-479F-8407-8EE35A346FDA}"/>
    <cellStyle name="Comma 3 2 2 11" xfId="31367" xr:uid="{B757820D-94A3-40F4-BA8E-77EB8E19B474}"/>
    <cellStyle name="Comma 3 2 2 12" xfId="31717" xr:uid="{BBE5093D-E8B7-4149-B98C-646964A8705D}"/>
    <cellStyle name="Comma 3 2 2 2" xfId="1308" xr:uid="{5D41BEBB-D0F2-42B1-9982-8242388B6F34}"/>
    <cellStyle name="Comma 3 2 2 2 2" xfId="3625" xr:uid="{79D89C14-292C-4D29-B2DE-BE2C48717865}"/>
    <cellStyle name="Comma 3 2 2 2 2 2" xfId="11113" xr:uid="{49CB4F16-B310-4532-BAD2-445CC9B32FC9}"/>
    <cellStyle name="Comma 3 2 2 2 2 2 2" xfId="14659" xr:uid="{2A29BBE4-0613-4499-95C7-845944E750AD}"/>
    <cellStyle name="Comma 3 2 2 2 2 2 2 2" xfId="29836" xr:uid="{D3F569C8-55C5-41A9-BF45-6AF4BFAEFBFB}"/>
    <cellStyle name="Comma 3 2 2 2 2 2 3" xfId="26291" xr:uid="{F2ED0742-601F-4A8E-9550-F6B84B50C37D}"/>
    <cellStyle name="Comma 3 2 2 2 2 3" xfId="6939" xr:uid="{F68EAA1B-88FA-45DD-886F-46C9CA43AC82}"/>
    <cellStyle name="Comma 3 2 2 2 2 3 2" xfId="22119" xr:uid="{D847310D-3836-4677-B2AD-5D7104F79B4B}"/>
    <cellStyle name="Comma 3 2 2 2 2 4" xfId="18831" xr:uid="{07CAC499-6F95-422C-B4B9-C809229FB879}"/>
    <cellStyle name="Comma 3 2 2 2 3" xfId="4334" xr:uid="{3189F012-2C93-4C74-9415-99ED1B7716A2}"/>
    <cellStyle name="Comma 3 2 2 2 3 2" xfId="11819" xr:uid="{05391703-D3FE-4DCC-A0D6-7DE72B424445}"/>
    <cellStyle name="Comma 3 2 2 2 3 2 2" xfId="15365" xr:uid="{2418AF92-4C84-437E-91C3-590BB31B0CB0}"/>
    <cellStyle name="Comma 3 2 2 2 3 2 2 2" xfId="30542" xr:uid="{759C2C2B-8F65-43D3-9E46-97B09CC4B1F0}"/>
    <cellStyle name="Comma 3 2 2 2 3 2 3" xfId="26997" xr:uid="{F498131F-1FE7-47B8-9638-D35D4245D8D6}"/>
    <cellStyle name="Comma 3 2 2 2 3 3" xfId="7645" xr:uid="{1C2F4963-C4B8-47B7-89A2-9C8C085DC504}"/>
    <cellStyle name="Comma 3 2 2 2 3 3 2" xfId="22825" xr:uid="{D99BB8B9-BB8E-4D75-BE2F-6A0C4FC188D5}"/>
    <cellStyle name="Comma 3 2 2 2 3 4" xfId="19537" xr:uid="{438992D7-B633-4474-97FB-C54FA19F0757}"/>
    <cellStyle name="Comma 3 2 2 2 4" xfId="2738" xr:uid="{79386A34-E1CC-48B8-9484-EDAFAD66FCE6}"/>
    <cellStyle name="Comma 3 2 2 2 4 2" xfId="10229" xr:uid="{1A78F8AB-201F-4B5B-BBA6-A8A90B6ACB1B}"/>
    <cellStyle name="Comma 3 2 2 2 4 2 2" xfId="25407" xr:uid="{3D78A1BC-76B9-4FD0-A269-79309A9941CE}"/>
    <cellStyle name="Comma 3 2 2 2 4 3" xfId="17947" xr:uid="{8410CA68-59C0-40DA-B8A2-1EEF26D3E055}"/>
    <cellStyle name="Comma 3 2 2 2 5" xfId="8831" xr:uid="{D023393E-9455-4C88-A563-571E643BB8FC}"/>
    <cellStyle name="Comma 3 2 2 2 5 2" xfId="13004" xr:uid="{BE5806ED-58C1-4957-942F-7D6F2425174D}"/>
    <cellStyle name="Comma 3 2 2 2 5 2 2" xfId="28181" xr:uid="{E83D3865-FFD7-4873-AB58-A924141A4858}"/>
    <cellStyle name="Comma 3 2 2 2 5 3" xfId="24009" xr:uid="{C86643DB-F9F0-443B-A1E4-F399E124EE64}"/>
    <cellStyle name="Comma 3 2 2 2 6" xfId="6055" xr:uid="{16F2B5AA-A2AA-445F-B100-3FF8981931D3}"/>
    <cellStyle name="Comma 3 2 2 2 6 2" xfId="21235" xr:uid="{80BA6BC7-0133-44B7-AAF0-CC34BBCB67EC}"/>
    <cellStyle name="Comma 3 2 2 2 7" xfId="16549" xr:uid="{5BECBB7A-BB07-4390-9A21-F12BFC15C0C5}"/>
    <cellStyle name="Comma 3 2 2 3" xfId="2465" xr:uid="{BC9E0E6D-B789-49AC-B57C-A50291F8DCDB}"/>
    <cellStyle name="Comma 3 2 2 3 2" xfId="9957" xr:uid="{BCC8D4DD-5FD7-474D-B28D-995F007366CE}"/>
    <cellStyle name="Comma 3 2 2 3 2 2" xfId="13616" xr:uid="{E497FE39-AEAA-4943-9603-F36B341A9864}"/>
    <cellStyle name="Comma 3 2 2 3 2 2 2" xfId="28793" xr:uid="{F0CA49E4-4C4B-4648-8A99-9D407DA96255}"/>
    <cellStyle name="Comma 3 2 2 3 2 3" xfId="25135" xr:uid="{591501D2-A0AC-4B98-A264-85C75B0BCE72}"/>
    <cellStyle name="Comma 3 2 2 3 3" xfId="5783" xr:uid="{9FB16652-93E6-4DF7-91E4-68E825699388}"/>
    <cellStyle name="Comma 3 2 2 3 3 2" xfId="20963" xr:uid="{9C106C00-367C-4953-B41B-830FB711E4FB}"/>
    <cellStyle name="Comma 3 2 2 3 4" xfId="17675" xr:uid="{50FE5F9D-75AB-49B3-9663-862094EA0DB4}"/>
    <cellStyle name="Comma 3 2 2 4" xfId="3353" xr:uid="{FACD5F77-5D07-4AA5-8C9B-94AC5843B119}"/>
    <cellStyle name="Comma 3 2 2 4 2" xfId="10841" xr:uid="{EF3DC285-2A3B-4906-83D3-57270BE5FA31}"/>
    <cellStyle name="Comma 3 2 2 4 2 2" xfId="14387" xr:uid="{42BBCA7B-6254-463F-8765-FEF8B6BF204D}"/>
    <cellStyle name="Comma 3 2 2 4 2 2 2" xfId="29564" xr:uid="{2FDCCD0A-AE61-4ABC-B7A8-50C3D48A9A58}"/>
    <cellStyle name="Comma 3 2 2 4 2 3" xfId="26019" xr:uid="{B2F8FC05-9A3C-480E-B56C-EBEB12B76120}"/>
    <cellStyle name="Comma 3 2 2 4 3" xfId="6667" xr:uid="{926AA8C6-556D-4371-B553-1BED0D6B428B}"/>
    <cellStyle name="Comma 3 2 2 4 3 2" xfId="21847" xr:uid="{95FBA3D0-9602-46DF-910D-D678CE7B220C}"/>
    <cellStyle name="Comma 3 2 2 4 4" xfId="18559" xr:uid="{5CF4753F-3448-4CE8-B5AF-2FD5C56BA6EA}"/>
    <cellStyle name="Comma 3 2 2 5" xfId="4335" xr:uid="{541AC26E-956A-4062-86D6-AA9869823B4D}"/>
    <cellStyle name="Comma 3 2 2 5 2" xfId="11820" xr:uid="{2DEB9129-AECF-4187-8544-8EFF667AB989}"/>
    <cellStyle name="Comma 3 2 2 5 2 2" xfId="15366" xr:uid="{2C3ED2DF-22A2-4781-8B00-8F3575A05631}"/>
    <cellStyle name="Comma 3 2 2 5 2 2 2" xfId="30543" xr:uid="{9D459968-D2B2-4286-B035-3D1EAE739FD2}"/>
    <cellStyle name="Comma 3 2 2 5 2 3" xfId="26998" xr:uid="{E235F41F-64CE-4BD4-9D33-42DA661674E2}"/>
    <cellStyle name="Comma 3 2 2 5 3" xfId="7646" xr:uid="{7F0E3B2C-199F-41AC-ABF4-B767DA007B84}"/>
    <cellStyle name="Comma 3 2 2 5 3 2" xfId="22826" xr:uid="{EC33C8B5-08D2-4B8D-89BE-E3792409797F}"/>
    <cellStyle name="Comma 3 2 2 5 4" xfId="19538" xr:uid="{8CAE0E96-4259-45F8-BC2A-8967C65C2A96}"/>
    <cellStyle name="Comma 3 2 2 6" xfId="5027" xr:uid="{2CB3C17E-FB6E-495E-9DD3-02C0F8D6ACD6}"/>
    <cellStyle name="Comma 3 2 2 6 2" xfId="12511" xr:uid="{E409B076-9DA8-4A50-9E32-3F7D5788831C}"/>
    <cellStyle name="Comma 3 2 2 6 2 2" xfId="16057" xr:uid="{8E77B410-8644-4B22-959C-63BF0482F721}"/>
    <cellStyle name="Comma 3 2 2 6 2 2 2" xfId="31234" xr:uid="{A3C96EC5-39D9-4DCF-A8FE-C4B1CBA758AA}"/>
    <cellStyle name="Comma 3 2 2 6 2 3" xfId="27689" xr:uid="{29F138AD-5464-446D-A645-8074AC3D8072}"/>
    <cellStyle name="Comma 3 2 2 6 3" xfId="8337" xr:uid="{0FB35736-265E-40E3-9C8D-D994B58ABB53}"/>
    <cellStyle name="Comma 3 2 2 6 3 2" xfId="23517" xr:uid="{B1D3D0A2-55F3-468C-A314-E05B400D09A7}"/>
    <cellStyle name="Comma 3 2 2 6 4" xfId="20229" xr:uid="{1537F057-234A-4341-893B-92261C787AEC}"/>
    <cellStyle name="Comma 3 2 2 7" xfId="1848" xr:uid="{AF98D6F8-2B1D-41DB-AC77-90162E9C3EFB}"/>
    <cellStyle name="Comma 3 2 2 7 2" xfId="9345" xr:uid="{5CA19754-EEA3-4B9B-B354-0F7CF7A994CE}"/>
    <cellStyle name="Comma 3 2 2 7 2 2" xfId="24523" xr:uid="{CA369DBA-C5FA-45AD-8E9D-67F89A60C4FF}"/>
    <cellStyle name="Comma 3 2 2 7 3" xfId="17063" xr:uid="{79A76055-DF61-45FF-A0B9-8F1EAA663E78}"/>
    <cellStyle name="Comma 3 2 2 8" xfId="8559" xr:uid="{D784949B-6831-4F0A-80DF-D4AFBE982F8E}"/>
    <cellStyle name="Comma 3 2 2 8 2" xfId="12732" xr:uid="{10519BBF-8194-4544-B9C7-2D6845497655}"/>
    <cellStyle name="Comma 3 2 2 8 2 2" xfId="27909" xr:uid="{DEC610E9-C04D-4DD0-9BBA-584F0FB02DD7}"/>
    <cellStyle name="Comma 3 2 2 8 3" xfId="23737" xr:uid="{79B5C877-8211-427D-AF56-6E4EFAE30E87}"/>
    <cellStyle name="Comma 3 2 2 9" xfId="5171" xr:uid="{767962A1-7BD0-4E2C-B83F-187125E96110}"/>
    <cellStyle name="Comma 3 2 2 9 2" xfId="20351" xr:uid="{827EA573-7E2C-4300-AB9A-629B2EBCA391}"/>
    <cellStyle name="Comma 3 2 3" xfId="1050" xr:uid="{44652A46-8012-4BAF-A73E-D18D7A651B7B}"/>
    <cellStyle name="Comma 3 2 3 10" xfId="31595" xr:uid="{FC01D21A-7BDF-4E47-90D8-1C0C3DBD81BE}"/>
    <cellStyle name="Comma 3 2 3 2" xfId="1410" xr:uid="{D300001C-6FA7-4EC9-BF6D-C86D128B0365}"/>
    <cellStyle name="Comma 3 2 3 2 2" xfId="3723" xr:uid="{7317FB60-3DA7-43AF-A669-910CAA1258E3}"/>
    <cellStyle name="Comma 3 2 3 2 2 2" xfId="11211" xr:uid="{AD98B2C5-A9DA-42CF-A073-EE9316DC6298}"/>
    <cellStyle name="Comma 3 2 3 2 2 2 2" xfId="14757" xr:uid="{6DC74B81-2C21-4A61-B54C-DE94121E049D}"/>
    <cellStyle name="Comma 3 2 3 2 2 2 2 2" xfId="29934" xr:uid="{90A595B7-EB7A-4ACD-8563-3AE5CC0057E1}"/>
    <cellStyle name="Comma 3 2 3 2 2 2 3" xfId="26389" xr:uid="{1801708A-62D4-4EA2-8FA8-3BDB21344A35}"/>
    <cellStyle name="Comma 3 2 3 2 2 3" xfId="7037" xr:uid="{B53196B2-B76A-47D3-9E28-DB5E2D9768F6}"/>
    <cellStyle name="Comma 3 2 3 2 2 3 2" xfId="22217" xr:uid="{C22C86D7-5C02-47FB-ACFB-AE474B57A115}"/>
    <cellStyle name="Comma 3 2 3 2 2 4" xfId="18929" xr:uid="{1C84FCAE-435A-4EEA-9347-B27181F0CC51}"/>
    <cellStyle name="Comma 3 2 3 2 3" xfId="4336" xr:uid="{D0D7D74F-CFB0-4497-9638-8CF228FA76A2}"/>
    <cellStyle name="Comma 3 2 3 2 3 2" xfId="11821" xr:uid="{FC3E8ADA-743D-4CBD-8226-56E82BE7E73F}"/>
    <cellStyle name="Comma 3 2 3 2 3 2 2" xfId="15367" xr:uid="{B5109DEB-C54C-461D-9180-2777099440F9}"/>
    <cellStyle name="Comma 3 2 3 2 3 2 2 2" xfId="30544" xr:uid="{339F3007-A466-4092-ACAF-11013B35A46B}"/>
    <cellStyle name="Comma 3 2 3 2 3 2 3" xfId="26999" xr:uid="{3EDD83B2-A826-40CE-89FF-B12311B53DD8}"/>
    <cellStyle name="Comma 3 2 3 2 3 3" xfId="7647" xr:uid="{23503E27-D621-49C1-818A-49C1358E9E92}"/>
    <cellStyle name="Comma 3 2 3 2 3 3 2" xfId="22827" xr:uid="{BB2E60E5-397B-48DA-BEF5-6037CF11EDA4}"/>
    <cellStyle name="Comma 3 2 3 2 3 4" xfId="19539" xr:uid="{0D587085-4EDC-4FB0-94E7-B696167F77EC}"/>
    <cellStyle name="Comma 3 2 3 2 4" xfId="2836" xr:uid="{895E4722-CC80-497C-BB1A-CE2369B4DB57}"/>
    <cellStyle name="Comma 3 2 3 2 4 2" xfId="10327" xr:uid="{06BEB132-18C2-4D66-B86C-EE7E70EDBA59}"/>
    <cellStyle name="Comma 3 2 3 2 4 2 2" xfId="25505" xr:uid="{9A9481D8-4D76-4C09-BDAC-468AC2FB2976}"/>
    <cellStyle name="Comma 3 2 3 2 4 3" xfId="18045" xr:uid="{A4C1ABB4-6F7E-457E-856B-82B0E06D9D1B}"/>
    <cellStyle name="Comma 3 2 3 2 5" xfId="8929" xr:uid="{E46EDA79-2DEB-4388-900F-43FB8CDDC415}"/>
    <cellStyle name="Comma 3 2 3 2 5 2" xfId="13102" xr:uid="{78E7F725-C6AE-4ACE-A3BB-02DE5C373338}"/>
    <cellStyle name="Comma 3 2 3 2 5 2 2" xfId="28279" xr:uid="{7279D7B4-4D6E-487F-83A4-A315158E527E}"/>
    <cellStyle name="Comma 3 2 3 2 5 3" xfId="24107" xr:uid="{464098E1-314D-4CE4-9981-E8A7AE736CD8}"/>
    <cellStyle name="Comma 3 2 3 2 6" xfId="6153" xr:uid="{0748C1E4-7A3A-44D3-917F-EAA8E2658A31}"/>
    <cellStyle name="Comma 3 2 3 2 6 2" xfId="21333" xr:uid="{4B31349C-0231-4719-8715-3F23A94673BE}"/>
    <cellStyle name="Comma 3 2 3 2 7" xfId="16647" xr:uid="{E4F08B65-7FD2-45BF-9B0C-3F6D2B4E2D4B}"/>
    <cellStyle name="Comma 3 2 3 3" xfId="2563" xr:uid="{F1BBCD91-81EA-45F6-8C85-A5661F4E6F42}"/>
    <cellStyle name="Comma 3 2 3 3 2" xfId="10055" xr:uid="{D0F5F533-174A-47F4-8FBE-845A819B742D}"/>
    <cellStyle name="Comma 3 2 3 3 2 2" xfId="13714" xr:uid="{3B604767-A7EF-4211-B87D-55B47A8A2B43}"/>
    <cellStyle name="Comma 3 2 3 3 2 2 2" xfId="28891" xr:uid="{EB06E750-F82F-4D2A-A281-6953F706840E}"/>
    <cellStyle name="Comma 3 2 3 3 2 3" xfId="25233" xr:uid="{5078A641-E752-4CA9-BFCF-7A8364862407}"/>
    <cellStyle name="Comma 3 2 3 3 3" xfId="5881" xr:uid="{5B41831C-7318-4B9F-AA37-5D03947DF0A9}"/>
    <cellStyle name="Comma 3 2 3 3 3 2" xfId="21061" xr:uid="{183E1582-A64F-4092-865F-D5F20069DB44}"/>
    <cellStyle name="Comma 3 2 3 3 4" xfId="17773" xr:uid="{9609372F-B32B-414B-8504-97C88373838E}"/>
    <cellStyle name="Comma 3 2 3 4" xfId="3451" xr:uid="{32E0A1FB-404C-4EBD-841B-10B8219B753D}"/>
    <cellStyle name="Comma 3 2 3 4 2" xfId="10939" xr:uid="{F99EAF0B-A155-41C9-8EF3-74751FD9FAF3}"/>
    <cellStyle name="Comma 3 2 3 4 2 2" xfId="14485" xr:uid="{A439EF7C-25DA-4F72-A8AA-D061A43D4D18}"/>
    <cellStyle name="Comma 3 2 3 4 2 2 2" xfId="29662" xr:uid="{18F3FFAB-C6A9-41D6-AF6B-0230DC3D7962}"/>
    <cellStyle name="Comma 3 2 3 4 2 3" xfId="26117" xr:uid="{F9F65BD9-49CD-4B6A-A862-60E61C3AB115}"/>
    <cellStyle name="Comma 3 2 3 4 3" xfId="6765" xr:uid="{D15F1661-9B66-49F1-BE75-1568DF976F07}"/>
    <cellStyle name="Comma 3 2 3 4 3 2" xfId="21945" xr:uid="{53AB28AB-9EE1-44BC-8FD0-01230482B0B7}"/>
    <cellStyle name="Comma 3 2 3 4 4" xfId="18657" xr:uid="{5CE56214-6961-4D3F-90E7-053FEAFB4265}"/>
    <cellStyle name="Comma 3 2 3 5" xfId="4337" xr:uid="{2B95A1E4-CE08-449C-97F2-D74D4440E033}"/>
    <cellStyle name="Comma 3 2 3 5 2" xfId="11822" xr:uid="{37097B1C-902B-47D0-82B9-AA1C1A1C3D8C}"/>
    <cellStyle name="Comma 3 2 3 5 2 2" xfId="15368" xr:uid="{038B444D-CC91-4C69-BB55-3A608CC27C4D}"/>
    <cellStyle name="Comma 3 2 3 5 2 2 2" xfId="30545" xr:uid="{CFD8EFBB-3114-4372-9377-D9AAEC3DA5C6}"/>
    <cellStyle name="Comma 3 2 3 5 2 3" xfId="27000" xr:uid="{D18F38D1-F09D-4AB9-878B-33E626A9D334}"/>
    <cellStyle name="Comma 3 2 3 5 3" xfId="7648" xr:uid="{52DA5C3F-92CB-4477-9559-7F45ED3F68F5}"/>
    <cellStyle name="Comma 3 2 3 5 3 2" xfId="22828" xr:uid="{19E34D29-6875-41A7-B3CB-F1E5995E9FF9}"/>
    <cellStyle name="Comma 3 2 3 5 4" xfId="19540" xr:uid="{BCA6EE6D-4264-4005-AB82-529EC7F9B0A2}"/>
    <cellStyle name="Comma 3 2 3 6" xfId="1946" xr:uid="{AC658A94-A243-456D-9AC8-663C6AA2C0D9}"/>
    <cellStyle name="Comma 3 2 3 6 2" xfId="9443" xr:uid="{FF57F895-38C7-4569-B0FB-CAF02F907033}"/>
    <cellStyle name="Comma 3 2 3 6 2 2" xfId="24621" xr:uid="{B2B9BB19-A64D-46F8-8E65-ED25D8C9ADF2}"/>
    <cellStyle name="Comma 3 2 3 6 3" xfId="17161" xr:uid="{6AFD9EE6-EFD5-40B6-B621-174696B9B078}"/>
    <cellStyle name="Comma 3 2 3 7" xfId="8657" xr:uid="{5B95AC2F-7538-494C-BC39-9B36A7595164}"/>
    <cellStyle name="Comma 3 2 3 7 2" xfId="12830" xr:uid="{A5043D54-316F-48E5-8A1D-63F0785C7615}"/>
    <cellStyle name="Comma 3 2 3 7 2 2" xfId="28007" xr:uid="{C1468739-22BE-43BD-B8AF-EF31A3C33F77}"/>
    <cellStyle name="Comma 3 2 3 7 3" xfId="23835" xr:uid="{A624D953-3CF2-4C03-B421-7296C03A6741}"/>
    <cellStyle name="Comma 3 2 3 8" xfId="5269" xr:uid="{7E804668-653C-44A0-BF1C-3518CE6B24A2}"/>
    <cellStyle name="Comma 3 2 3 8 2" xfId="20449" xr:uid="{F6265AD2-CD9C-4F38-8A77-DAE10909600C}"/>
    <cellStyle name="Comma 3 2 3 9" xfId="16375" xr:uid="{C86433AE-DD14-4D30-8B47-470ABAF176A4}"/>
    <cellStyle name="Comma 3 2 4" xfId="1509" xr:uid="{EC20442A-B99F-4058-8DAA-4246E9DF2260}"/>
    <cellStyle name="Comma 3 2 4 2" xfId="2934" xr:uid="{8E846954-EF9C-440B-89A8-DB2D9C84FE77}"/>
    <cellStyle name="Comma 3 2 4 2 2" xfId="10425" xr:uid="{8E402424-6E6A-4067-8E1E-2EDFB6A73A19}"/>
    <cellStyle name="Comma 3 2 4 2 2 2" xfId="13971" xr:uid="{5EDAE302-2BE3-4F5D-B54A-CE8C07CDC6E2}"/>
    <cellStyle name="Comma 3 2 4 2 2 2 2" xfId="29148" xr:uid="{50B28CAA-3027-4477-9E72-B62E046D4BB6}"/>
    <cellStyle name="Comma 3 2 4 2 2 3" xfId="25603" xr:uid="{EA366CB0-3CDB-4171-9A92-83FDE89EBA81}"/>
    <cellStyle name="Comma 3 2 4 2 3" xfId="6251" xr:uid="{C747DA25-CE60-4048-BC26-BB4053D50C44}"/>
    <cellStyle name="Comma 3 2 4 2 3 2" xfId="21431" xr:uid="{1EB02329-88E1-4FCD-8016-1908DA339366}"/>
    <cellStyle name="Comma 3 2 4 2 4" xfId="18143" xr:uid="{4711C1C3-2731-4F5E-A5EF-DDBCAF065880}"/>
    <cellStyle name="Comma 3 2 4 3" xfId="3821" xr:uid="{965DFF9A-3B31-48F3-A2C3-ADF7D588EA60}"/>
    <cellStyle name="Comma 3 2 4 3 2" xfId="11309" xr:uid="{F1F6934C-6041-47BE-9354-CF0CA7716D73}"/>
    <cellStyle name="Comma 3 2 4 3 2 2" xfId="14855" xr:uid="{986D291D-1E9C-45F9-BF1A-340CEDD5EDCA}"/>
    <cellStyle name="Comma 3 2 4 3 2 2 2" xfId="30032" xr:uid="{6409DDAA-A233-45EC-BEDD-472B37100E51}"/>
    <cellStyle name="Comma 3 2 4 3 2 3" xfId="26487" xr:uid="{F2F8F8DE-AF00-490D-A890-2D437A0E9CEC}"/>
    <cellStyle name="Comma 3 2 4 3 3" xfId="7135" xr:uid="{6E167362-C50A-4A9A-BCC2-5DCA600AABEA}"/>
    <cellStyle name="Comma 3 2 4 3 3 2" xfId="22315" xr:uid="{DF10EC91-8364-45F1-B890-8157FA581F25}"/>
    <cellStyle name="Comma 3 2 4 3 4" xfId="19027" xr:uid="{57ECF14D-1A9B-4A75-8F7E-FE27824C2DAF}"/>
    <cellStyle name="Comma 3 2 4 4" xfId="4338" xr:uid="{DE6FF1F2-0612-4209-A582-CFDB9A346F73}"/>
    <cellStyle name="Comma 3 2 4 4 2" xfId="11823" xr:uid="{E1B7E424-3EC0-4506-9A63-17E40315483E}"/>
    <cellStyle name="Comma 3 2 4 4 2 2" xfId="15369" xr:uid="{2C58D42F-6965-4838-96D8-31FE4540AC43}"/>
    <cellStyle name="Comma 3 2 4 4 2 2 2" xfId="30546" xr:uid="{D826E76C-1CEE-4EF0-BE4E-2C0103A012D3}"/>
    <cellStyle name="Comma 3 2 4 4 2 3" xfId="27001" xr:uid="{EA84CF47-C92F-4A5A-8A4F-8EA0FE627B25}"/>
    <cellStyle name="Comma 3 2 4 4 3" xfId="7649" xr:uid="{EC43DD7B-A08F-4B70-A2D7-A65047EA6902}"/>
    <cellStyle name="Comma 3 2 4 4 3 2" xfId="22829" xr:uid="{84810E0C-8AB5-4990-A26E-95971996D37B}"/>
    <cellStyle name="Comma 3 2 4 4 4" xfId="19541" xr:uid="{346250FF-4865-4DD9-BFB6-42134BF2C846}"/>
    <cellStyle name="Comma 3 2 4 5" xfId="2044" xr:uid="{DBCEBF69-F9F3-4400-984D-252388277E4E}"/>
    <cellStyle name="Comma 3 2 4 5 2" xfId="9541" xr:uid="{99F30B10-6A09-463F-AE4E-ACBA7571DD41}"/>
    <cellStyle name="Comma 3 2 4 5 2 2" xfId="24719" xr:uid="{00BEDB6F-317A-4918-8DE0-1A05C900EB2F}"/>
    <cellStyle name="Comma 3 2 4 5 3" xfId="17259" xr:uid="{DC6810B1-DFB0-404D-A70B-FBDCF85B7687}"/>
    <cellStyle name="Comma 3 2 4 6" xfId="9027" xr:uid="{5F2D5905-7677-4105-9038-B6BCF24870B0}"/>
    <cellStyle name="Comma 3 2 4 6 2" xfId="13200" xr:uid="{329A3E7D-05F2-4A85-B17E-CECA113E0C55}"/>
    <cellStyle name="Comma 3 2 4 6 2 2" xfId="28377" xr:uid="{74E05C97-7F80-45D1-8A01-CE84B69B8F57}"/>
    <cellStyle name="Comma 3 2 4 6 3" xfId="24205" xr:uid="{1154AF19-FA82-4280-BED2-AEA18A945AFF}"/>
    <cellStyle name="Comma 3 2 4 7" xfId="5367" xr:uid="{AABA6780-4643-4221-AAB2-7BB580723CFA}"/>
    <cellStyle name="Comma 3 2 4 7 2" xfId="20547" xr:uid="{C0522CAA-A2CA-42BE-BFAA-9A01CE511CD2}"/>
    <cellStyle name="Comma 3 2 4 8" xfId="16745" xr:uid="{C225421D-F33E-41B6-B191-52363998622F}"/>
    <cellStyle name="Comma 3 2 5" xfId="1612" xr:uid="{712892F1-A41D-4E7F-BA2B-F2E751DEDDA5}"/>
    <cellStyle name="Comma 3 2 5 2" xfId="3032" xr:uid="{BD7625DE-02A7-4176-83B7-A5CEEF9C61FF}"/>
    <cellStyle name="Comma 3 2 5 2 2" xfId="10523" xr:uid="{48956DC1-5653-4087-97CB-868C6B3FDD85}"/>
    <cellStyle name="Comma 3 2 5 2 2 2" xfId="14069" xr:uid="{BA12BC1F-FDA2-45AE-8427-BABE41AE4729}"/>
    <cellStyle name="Comma 3 2 5 2 2 2 2" xfId="29246" xr:uid="{682D6478-6C8E-4B59-9F68-B82DD0DDC223}"/>
    <cellStyle name="Comma 3 2 5 2 2 3" xfId="25701" xr:uid="{71690BB2-924D-4007-BDA9-73F92150EB33}"/>
    <cellStyle name="Comma 3 2 5 2 3" xfId="6349" xr:uid="{9526881C-51E4-45BF-8C4B-5E35C07E1475}"/>
    <cellStyle name="Comma 3 2 5 2 3 2" xfId="21529" xr:uid="{A7805863-E6E5-41F1-B1A2-0DE2D470E1F1}"/>
    <cellStyle name="Comma 3 2 5 2 4" xfId="18241" xr:uid="{DB1417BC-9CE3-4D5E-89CE-DB07CF8A57C0}"/>
    <cellStyle name="Comma 3 2 5 3" xfId="3919" xr:uid="{7145F6F1-F85D-4F74-829C-354D0BB30D03}"/>
    <cellStyle name="Comma 3 2 5 3 2" xfId="11407" xr:uid="{571D598A-8E5E-4E21-96E8-990F3F76EAAC}"/>
    <cellStyle name="Comma 3 2 5 3 2 2" xfId="14953" xr:uid="{108A40F2-730D-4B20-AE5F-EA24B3467B61}"/>
    <cellStyle name="Comma 3 2 5 3 2 2 2" xfId="30130" xr:uid="{1F6BE475-8930-4AD9-ADBA-192EB382DA16}"/>
    <cellStyle name="Comma 3 2 5 3 2 3" xfId="26585" xr:uid="{F6466A24-8F6C-4668-A0BE-5A44DA241A2A}"/>
    <cellStyle name="Comma 3 2 5 3 3" xfId="7233" xr:uid="{10D0590C-DC3F-41AE-A766-3984928476A3}"/>
    <cellStyle name="Comma 3 2 5 3 3 2" xfId="22413" xr:uid="{BCB00BDD-1E37-4AA9-890C-3B6580267FA8}"/>
    <cellStyle name="Comma 3 2 5 3 4" xfId="19125" xr:uid="{87D44830-A2CA-446A-86C0-6F81E4BF9EEA}"/>
    <cellStyle name="Comma 3 2 5 4" xfId="4339" xr:uid="{EF6D437C-AF78-4836-8C24-B08B099B0CF6}"/>
    <cellStyle name="Comma 3 2 5 4 2" xfId="11824" xr:uid="{97573CA9-1C33-4947-A8A7-0FF0AF4644DC}"/>
    <cellStyle name="Comma 3 2 5 4 2 2" xfId="15370" xr:uid="{62DF0AFC-5886-408C-B45C-7FECF8037486}"/>
    <cellStyle name="Comma 3 2 5 4 2 2 2" xfId="30547" xr:uid="{4FB5F2D5-A362-4E27-9B79-0DF8AD9D2C49}"/>
    <cellStyle name="Comma 3 2 5 4 2 3" xfId="27002" xr:uid="{6B7803F8-D9D4-4BEA-8920-767AB15D22AB}"/>
    <cellStyle name="Comma 3 2 5 4 3" xfId="7650" xr:uid="{4DD14394-ACD1-4516-BDC2-C032C43E776D}"/>
    <cellStyle name="Comma 3 2 5 4 3 2" xfId="22830" xr:uid="{99D91A77-3205-4B8B-AAA0-3A280674C909}"/>
    <cellStyle name="Comma 3 2 5 4 4" xfId="19542" xr:uid="{9CB40656-8350-45E1-9998-BC6979E8A678}"/>
    <cellStyle name="Comma 3 2 5 5" xfId="2142" xr:uid="{5676D6FA-95FA-40E6-8C8A-087BC9E2AE90}"/>
    <cellStyle name="Comma 3 2 5 5 2" xfId="9639" xr:uid="{3C198ACF-BBCE-4A59-8E86-390341D6E80B}"/>
    <cellStyle name="Comma 3 2 5 5 2 2" xfId="24817" xr:uid="{49DBDC44-7614-4526-BE9D-CDA83D5870A2}"/>
    <cellStyle name="Comma 3 2 5 5 3" xfId="17357" xr:uid="{3E1BB700-BA65-458F-BE35-EE2BDA0E2C8B}"/>
    <cellStyle name="Comma 3 2 5 6" xfId="9125" xr:uid="{2600E96C-748E-423B-8BC4-3A026E6F9136}"/>
    <cellStyle name="Comma 3 2 5 6 2" xfId="13298" xr:uid="{5CB5C905-1F24-4BF2-A6BA-5C3E6454FD31}"/>
    <cellStyle name="Comma 3 2 5 6 2 2" xfId="28475" xr:uid="{22E8DC1C-981F-48B2-B5BE-86FFB35BB26F}"/>
    <cellStyle name="Comma 3 2 5 6 3" xfId="24303" xr:uid="{660E29F6-0406-4948-A3E2-A22A0E43F8F0}"/>
    <cellStyle name="Comma 3 2 5 7" xfId="5465" xr:uid="{DAC1BA8B-7228-4F88-AA80-1D61A91011A4}"/>
    <cellStyle name="Comma 3 2 5 7 2" xfId="20645" xr:uid="{77772E19-CCBB-42DB-813B-BFB07182ADE0}"/>
    <cellStyle name="Comma 3 2 5 8" xfId="16843" xr:uid="{F43B727B-0922-42C0-8801-5480BBFC60C8}"/>
    <cellStyle name="Comma 3 2 6" xfId="1711" xr:uid="{29E16FC1-AA3F-4C66-B928-8EADFE2EBC82}"/>
    <cellStyle name="Comma 3 2 6 2" xfId="3130" xr:uid="{B45819A0-12AB-4601-91A1-B6138112F204}"/>
    <cellStyle name="Comma 3 2 6 2 2" xfId="10621" xr:uid="{105684A5-72A6-47CB-8702-986AEDF74147}"/>
    <cellStyle name="Comma 3 2 6 2 2 2" xfId="14167" xr:uid="{738E83D8-8799-4957-90BD-12D4BDFA0B29}"/>
    <cellStyle name="Comma 3 2 6 2 2 2 2" xfId="29344" xr:uid="{A947427B-8DA6-467F-8F82-66567034A425}"/>
    <cellStyle name="Comma 3 2 6 2 2 3" xfId="25799" xr:uid="{F2B984BF-B82B-4D18-BCA3-6922EEF2F4A6}"/>
    <cellStyle name="Comma 3 2 6 2 3" xfId="6447" xr:uid="{CCD87497-3856-454E-ADE7-8AABB080B588}"/>
    <cellStyle name="Comma 3 2 6 2 3 2" xfId="21627" xr:uid="{757C4EA3-7DFA-4384-B447-3013E55D0264}"/>
    <cellStyle name="Comma 3 2 6 2 4" xfId="18339" xr:uid="{FA8DDB17-FF14-4AA0-A71F-72B90CCC4953}"/>
    <cellStyle name="Comma 3 2 6 3" xfId="4017" xr:uid="{F195DBC1-6867-46DF-A85F-615ECE8C8B7D}"/>
    <cellStyle name="Comma 3 2 6 3 2" xfId="11505" xr:uid="{4FAAE71F-57A2-418A-A651-25E0B70287C3}"/>
    <cellStyle name="Comma 3 2 6 3 2 2" xfId="15051" xr:uid="{4B4E91CB-596B-4742-9EFA-5416241AF601}"/>
    <cellStyle name="Comma 3 2 6 3 2 2 2" xfId="30228" xr:uid="{0EBC4082-4C34-4A03-ADC0-A85E9BBF9A40}"/>
    <cellStyle name="Comma 3 2 6 3 2 3" xfId="26683" xr:uid="{4AC8121C-FD73-42D5-8B9C-B025CDF4C87C}"/>
    <cellStyle name="Comma 3 2 6 3 3" xfId="7331" xr:uid="{68FAE88A-BDB4-4D11-9CB6-333B35C997D8}"/>
    <cellStyle name="Comma 3 2 6 3 3 2" xfId="22511" xr:uid="{42D3746A-190A-4255-97E6-2BFA1CE21AE3}"/>
    <cellStyle name="Comma 3 2 6 3 4" xfId="19223" xr:uid="{E1C5FB40-4F8E-4C06-96FB-B3308E8BCCFD}"/>
    <cellStyle name="Comma 3 2 6 4" xfId="4340" xr:uid="{E1D1BD1D-EA25-40FB-A85B-D95A36082888}"/>
    <cellStyle name="Comma 3 2 6 4 2" xfId="11825" xr:uid="{1E0170F7-088F-4325-8116-DE6A5F419839}"/>
    <cellStyle name="Comma 3 2 6 4 2 2" xfId="15371" xr:uid="{586E7183-8748-45EB-B7A3-18BD114D04F8}"/>
    <cellStyle name="Comma 3 2 6 4 2 2 2" xfId="30548" xr:uid="{07CFD749-DB94-412A-BC66-67F117C6B0C5}"/>
    <cellStyle name="Comma 3 2 6 4 2 3" xfId="27003" xr:uid="{89BD6DDF-1513-4EDC-B7A3-5D7F3FA3C81B}"/>
    <cellStyle name="Comma 3 2 6 4 3" xfId="7651" xr:uid="{FD4FECFE-8E34-4F9C-A951-FAB36FDC38DF}"/>
    <cellStyle name="Comma 3 2 6 4 3 2" xfId="22831" xr:uid="{39D60C07-4C6E-4EBD-9E93-C928D6FE7D45}"/>
    <cellStyle name="Comma 3 2 6 4 4" xfId="19543" xr:uid="{6107AD58-3241-4634-9028-278400EB2A05}"/>
    <cellStyle name="Comma 3 2 6 5" xfId="2240" xr:uid="{B7B6F343-B188-45F7-A8A6-C51A3227D000}"/>
    <cellStyle name="Comma 3 2 6 5 2" xfId="9737" xr:uid="{F2DC50B1-A855-40C9-9320-B66BD244B5BE}"/>
    <cellStyle name="Comma 3 2 6 5 2 2" xfId="24915" xr:uid="{70ADFFCD-69CF-4E3A-A26E-5BFC5710B041}"/>
    <cellStyle name="Comma 3 2 6 5 3" xfId="17455" xr:uid="{FD99FECF-6453-4132-8B9F-627E42A851FF}"/>
    <cellStyle name="Comma 3 2 6 6" xfId="9223" xr:uid="{4910929B-6B35-4A7F-A948-BC23CA931DC6}"/>
    <cellStyle name="Comma 3 2 6 6 2" xfId="13396" xr:uid="{59FFC23F-2AFE-4B72-A175-CD2115E8DE22}"/>
    <cellStyle name="Comma 3 2 6 6 2 2" xfId="28573" xr:uid="{6A2702FA-689F-49F9-8EEE-C1F0CAD0F0C7}"/>
    <cellStyle name="Comma 3 2 6 6 3" xfId="24401" xr:uid="{EA9FE2A2-6AB1-4F24-B2F8-2526C8AE4DAA}"/>
    <cellStyle name="Comma 3 2 6 7" xfId="5563" xr:uid="{7CE1DDF4-601B-4864-80E8-0850B83E5F3E}"/>
    <cellStyle name="Comma 3 2 6 7 2" xfId="20743" xr:uid="{EDDA8BE9-6F29-444B-9178-8694CF0F201C}"/>
    <cellStyle name="Comma 3 2 6 8" xfId="16941" xr:uid="{134EF2FA-C15A-4408-9EDA-E6B47BA089A4}"/>
    <cellStyle name="Comma 3 2 7" xfId="2340" xr:uid="{F3A06D26-440D-4B72-A003-8B3331FA59ED}"/>
    <cellStyle name="Comma 3 2 7 2" xfId="9835" xr:uid="{26DCC47F-3552-4719-B281-CAC92B455F20}"/>
    <cellStyle name="Comma 3 2 7 2 2" xfId="13494" xr:uid="{31DA17D6-CC95-4D95-9A14-DA040899506B}"/>
    <cellStyle name="Comma 3 2 7 2 2 2" xfId="28671" xr:uid="{911A9A7C-1CDD-4B05-A56A-12F95975B405}"/>
    <cellStyle name="Comma 3 2 7 2 3" xfId="25013" xr:uid="{A8CE5E83-14E0-4161-853D-98CF3480748F}"/>
    <cellStyle name="Comma 3 2 7 3" xfId="5661" xr:uid="{135EDB91-E9D4-4DDD-AD4A-FC308336C29A}"/>
    <cellStyle name="Comma 3 2 7 3 2" xfId="20841" xr:uid="{F1847D7E-BEA8-4E83-95B1-B268BE708D92}"/>
    <cellStyle name="Comma 3 2 7 4" xfId="17553" xr:uid="{2D56BEAD-5053-44CD-814B-767747F0200D}"/>
    <cellStyle name="Comma 3 2 8" xfId="3230" xr:uid="{DF1F51BB-E9EE-41B3-9E2D-E815E336DAAB}"/>
    <cellStyle name="Comma 3 2 8 2" xfId="10719" xr:uid="{26D31339-4576-4F7F-A578-C705B45D54D7}"/>
    <cellStyle name="Comma 3 2 8 2 2" xfId="14265" xr:uid="{998FF682-BD47-4A9B-9269-5AF83CE741A2}"/>
    <cellStyle name="Comma 3 2 8 2 2 2" xfId="29442" xr:uid="{FDDB4B9D-DCB1-4BBD-9493-850F4B44B992}"/>
    <cellStyle name="Comma 3 2 8 2 3" xfId="25897" xr:uid="{5EAA1916-1D9B-4D9E-997B-F18F933A496B}"/>
    <cellStyle name="Comma 3 2 8 3" xfId="6545" xr:uid="{281F8FE3-5523-437E-B29D-0F1D4A909C50}"/>
    <cellStyle name="Comma 3 2 8 3 2" xfId="21725" xr:uid="{49F4FEA9-CBE9-423D-956B-4340470FC50E}"/>
    <cellStyle name="Comma 3 2 8 4" xfId="18437" xr:uid="{236EC7CA-47C4-4D19-BCAA-C464AB26697E}"/>
    <cellStyle name="Comma 3 2 9" xfId="4341" xr:uid="{737122C2-903B-4687-A2A2-113B352BF676}"/>
    <cellStyle name="Comma 3 2 9 2" xfId="11826" xr:uid="{ED8D2C73-D14C-4147-B13B-AFFA24506A67}"/>
    <cellStyle name="Comma 3 2 9 2 2" xfId="15372" xr:uid="{53D86FEF-514B-472E-8944-48D7762A60F9}"/>
    <cellStyle name="Comma 3 2 9 2 2 2" xfId="30549" xr:uid="{EEAE97A9-2886-4823-B8CB-D0A993D230D7}"/>
    <cellStyle name="Comma 3 2 9 2 3" xfId="27004" xr:uid="{A16A0D66-CE1B-45F7-9D79-80A61F93DD4D}"/>
    <cellStyle name="Comma 3 2 9 3" xfId="7652" xr:uid="{7B9222B7-94CD-4135-84DC-CC8528B1A132}"/>
    <cellStyle name="Comma 3 2 9 3 2" xfId="22832" xr:uid="{5EF34ADA-0277-4C89-9E2E-FD2A9B01F5B5}"/>
    <cellStyle name="Comma 3 2 9 4" xfId="19544" xr:uid="{596C5072-5953-4F95-A107-2918119F58D2}"/>
    <cellStyle name="Comma 3 3" xfId="898" xr:uid="{3F27E461-48FD-4FCC-B4DB-158118F22FB1}"/>
    <cellStyle name="Comma 3 3 2" xfId="2416" xr:uid="{CA57C712-C0C1-4A93-B28B-8E1F991B38F4}"/>
    <cellStyle name="Comma 3 3 2 2" xfId="9908" xr:uid="{C4E9F87B-1223-4E7C-80E2-1846B82C9D3B}"/>
    <cellStyle name="Comma 3 3 2 2 2" xfId="13567" xr:uid="{49306CAF-B7D7-479B-8EAC-83015D35147F}"/>
    <cellStyle name="Comma 3 3 2 2 2 2" xfId="28744" xr:uid="{730CFB1C-D98D-4598-A6F6-9B163B119CA2}"/>
    <cellStyle name="Comma 3 3 2 2 3" xfId="25086" xr:uid="{9E6CE5D7-612E-4155-9E10-B7AEC87BE6CC}"/>
    <cellStyle name="Comma 3 3 2 3" xfId="5734" xr:uid="{918795AA-8F06-4A81-97D2-738AA4983FA0}"/>
    <cellStyle name="Comma 3 3 2 3 2" xfId="20914" xr:uid="{F214CA36-583C-4630-9B29-6ADE919DCC89}"/>
    <cellStyle name="Comma 3 3 2 4" xfId="17626" xr:uid="{F9895673-EE59-4E76-AD63-B4AABCC7A1B6}"/>
    <cellStyle name="Comma 3 3 3" xfId="3304" xr:uid="{973E9B75-F981-48E5-8B73-996A2B5A974B}"/>
    <cellStyle name="Comma 3 3 3 2" xfId="10792" xr:uid="{0288E240-EBBA-4C54-9B45-00B0F0DEA908}"/>
    <cellStyle name="Comma 3 3 3 2 2" xfId="14338" xr:uid="{63612F81-1CA5-4E74-A170-3E80A6F8517F}"/>
    <cellStyle name="Comma 3 3 3 2 2 2" xfId="29515" xr:uid="{9415F39D-6A8B-42B9-8334-8459E5E3F9EE}"/>
    <cellStyle name="Comma 3 3 3 2 3" xfId="25970" xr:uid="{233AD69E-E074-4250-9CE9-3047F87351A9}"/>
    <cellStyle name="Comma 3 3 3 3" xfId="6618" xr:uid="{F4EF2D6A-89EE-469F-95DF-7E34CD1F795F}"/>
    <cellStyle name="Comma 3 3 3 3 2" xfId="21798" xr:uid="{4B157FED-5906-49ED-92A1-B702AD32FDDF}"/>
    <cellStyle name="Comma 3 3 3 4" xfId="18510" xr:uid="{FB64F6C3-7135-4C87-B42B-5393A99BEB04}"/>
    <cellStyle name="Comma 3 3 4" xfId="4342" xr:uid="{0E90CDAB-EEF9-4A09-9F35-BD2F6265BA08}"/>
    <cellStyle name="Comma 3 3 4 2" xfId="11827" xr:uid="{B6D057EF-55AC-4F8D-AA5F-664101FB5266}"/>
    <cellStyle name="Comma 3 3 4 2 2" xfId="15373" xr:uid="{8BCDA6CF-5546-4F68-A643-0031B37CBED0}"/>
    <cellStyle name="Comma 3 3 4 2 2 2" xfId="30550" xr:uid="{44CF7C18-7AFC-498F-8927-A164B35DCF69}"/>
    <cellStyle name="Comma 3 3 4 2 3" xfId="27005" xr:uid="{A39408B0-9461-45B9-BDD5-FA2071014CE4}"/>
    <cellStyle name="Comma 3 3 4 3" xfId="7653" xr:uid="{97042E7B-2E86-487B-9C56-BDEBC54CD0F9}"/>
    <cellStyle name="Comma 3 3 4 3 2" xfId="22833" xr:uid="{CF0AB877-C0FE-492E-A83F-0CBF79AAC2C6}"/>
    <cellStyle name="Comma 3 3 4 4" xfId="19545" xr:uid="{AAF6D967-54B4-4A30-9515-BA1D339502C4}"/>
    <cellStyle name="Comma 3 3 5" xfId="8510" xr:uid="{DD359ED8-3753-42F0-BDD8-D641E08E8354}"/>
    <cellStyle name="Comma 3 3 5 2" xfId="12683" xr:uid="{2EEEDBBA-9A75-4E0C-BA5E-54B4EB0A4D04}"/>
    <cellStyle name="Comma 3 3 5 2 2" xfId="27860" xr:uid="{017B91C0-F36C-44F1-A5E6-59D4CA6D3736}"/>
    <cellStyle name="Comma 3 3 5 3" xfId="23688" xr:uid="{BCF5E9F4-9491-4D75-BD5A-99D490A9F672}"/>
    <cellStyle name="Comma 3 3 6" xfId="16228" xr:uid="{F98125D5-5362-4C66-A2DA-71A2AE7E63CB}"/>
    <cellStyle name="Comma 3 3 7" xfId="31668" xr:uid="{32843F52-0CB7-4A59-99CE-E2A01A1861F0}"/>
    <cellStyle name="Comma 3 4" xfId="1001" xr:uid="{353C72C0-6043-43E8-BEB9-CAB771BAA75B}"/>
    <cellStyle name="Comma 3 4 2" xfId="2514" xr:uid="{083B815C-7047-4D6C-959A-7763CFB3D4C0}"/>
    <cellStyle name="Comma 3 4 2 2" xfId="10006" xr:uid="{4568BCCD-E113-4E41-9868-AF5661176F03}"/>
    <cellStyle name="Comma 3 4 2 2 2" xfId="13665" xr:uid="{D4B8DDB7-64A2-4144-8F7B-CEF41FB58BE2}"/>
    <cellStyle name="Comma 3 4 2 2 2 2" xfId="28842" xr:uid="{D85605CB-48F9-42DD-9C29-6C2106575DCE}"/>
    <cellStyle name="Comma 3 4 2 2 3" xfId="25184" xr:uid="{AA5E3ECF-8A05-4458-A411-B072E1436B84}"/>
    <cellStyle name="Comma 3 4 2 3" xfId="5832" xr:uid="{EE3300DF-6E78-4AFC-8B8C-6243583BBE0C}"/>
    <cellStyle name="Comma 3 4 2 3 2" xfId="21012" xr:uid="{68331745-5120-4169-B10F-17133B75DB9A}"/>
    <cellStyle name="Comma 3 4 2 4" xfId="17724" xr:uid="{1DA6CA80-B05C-4E0C-A98C-0CE8880B2216}"/>
    <cellStyle name="Comma 3 4 3" xfId="3402" xr:uid="{2E6FA2F1-3EFE-4358-81B1-A8F2C17E8B48}"/>
    <cellStyle name="Comma 3 4 3 2" xfId="10890" xr:uid="{AE10990C-9902-4A66-A67D-630E1C65762D}"/>
    <cellStyle name="Comma 3 4 3 2 2" xfId="14436" xr:uid="{0FC07C97-07DD-4D4F-8404-0EB0EBD55D82}"/>
    <cellStyle name="Comma 3 4 3 2 2 2" xfId="29613" xr:uid="{AB82F6FD-E12E-4EBE-8DC7-9DDBE6FADCDB}"/>
    <cellStyle name="Comma 3 4 3 2 3" xfId="26068" xr:uid="{32AED69D-F4F7-4A35-A365-8C1160A391D5}"/>
    <cellStyle name="Comma 3 4 3 3" xfId="6716" xr:uid="{D6784612-4425-4BBB-A552-9CB02449BE0B}"/>
    <cellStyle name="Comma 3 4 3 3 2" xfId="21896" xr:uid="{ED7D67E6-BE09-4536-96F0-BCD1A6F98AFD}"/>
    <cellStyle name="Comma 3 4 3 4" xfId="18608" xr:uid="{6E9DF42A-875C-4257-A1DF-54CB99CC428C}"/>
    <cellStyle name="Comma 3 4 4" xfId="4343" xr:uid="{28EC9450-B18E-4BDF-A4D5-5AA1AFB0C3B6}"/>
    <cellStyle name="Comma 3 4 4 2" xfId="11828" xr:uid="{979BAA22-F74B-4E23-ADE1-314122DAA89E}"/>
    <cellStyle name="Comma 3 4 4 2 2" xfId="15374" xr:uid="{3A04C77D-CF2C-4780-B67D-15DD41D31D53}"/>
    <cellStyle name="Comma 3 4 4 2 2 2" xfId="30551" xr:uid="{9D08EFA1-4A15-4354-B564-F4B4F312FEB3}"/>
    <cellStyle name="Comma 3 4 4 2 3" xfId="27006" xr:uid="{E68F1EE4-1A97-42DC-8A1B-A9FE88286549}"/>
    <cellStyle name="Comma 3 4 4 3" xfId="7654" xr:uid="{2B7D25CE-C95C-4EA9-BA51-9DEB178F337D}"/>
    <cellStyle name="Comma 3 4 4 3 2" xfId="22834" xr:uid="{AAC6DCAE-3E47-4A6C-A680-048D4E66207B}"/>
    <cellStyle name="Comma 3 4 4 4" xfId="19546" xr:uid="{B3EDFC56-EDFD-4AC6-A76A-30DD85A4A3F8}"/>
    <cellStyle name="Comma 3 4 5" xfId="8608" xr:uid="{C72731DA-653B-4459-A79C-3C254DB78A78}"/>
    <cellStyle name="Comma 3 4 5 2" xfId="12781" xr:uid="{BDFC809E-71BA-4685-9F85-43FDC6483D51}"/>
    <cellStyle name="Comma 3 4 5 2 2" xfId="27958" xr:uid="{ACF2A069-8F3B-4BD3-A50C-A2FF507AB517}"/>
    <cellStyle name="Comma 3 4 5 3" xfId="23786" xr:uid="{7E0E1A87-E0AB-43E3-B94A-9A6A048A29FD}"/>
    <cellStyle name="Comma 3 4 6" xfId="16326" xr:uid="{583F1DB8-B8B3-4255-9030-1C6F51F46183}"/>
    <cellStyle name="Comma 3 4 7" xfId="31546" xr:uid="{CF572BD0-2D4D-47D2-97B0-B451640FCE6C}"/>
    <cellStyle name="Comma 3 5" xfId="1259" xr:uid="{42885CB6-AC1C-443D-9E54-07A01FBBA8EB}"/>
    <cellStyle name="Comma 3 5 10" xfId="31318" xr:uid="{225D0F2A-B2BB-4F1E-AB1E-27D8ED3B91F2}"/>
    <cellStyle name="Comma 3 5 2" xfId="2689" xr:uid="{87EC7949-B5B9-40CA-8F37-CB8E2E81B1BB}"/>
    <cellStyle name="Comma 3 5 2 2" xfId="10180" xr:uid="{3646DC00-44EC-4585-9EB9-6C47401076E6}"/>
    <cellStyle name="Comma 3 5 2 2 2" xfId="13824" xr:uid="{C90A213A-391C-4DF0-9480-BE1BA6AA01E5}"/>
    <cellStyle name="Comma 3 5 2 2 2 2" xfId="29001" xr:uid="{B567BFB3-A25E-4570-B977-F1A446418F13}"/>
    <cellStyle name="Comma 3 5 2 2 3" xfId="25358" xr:uid="{301F2852-14CA-4C66-BC13-11D204044DD6}"/>
    <cellStyle name="Comma 3 5 2 3" xfId="6006" xr:uid="{0FD15A45-4994-4549-B1FD-6092E1262543}"/>
    <cellStyle name="Comma 3 5 2 3 2" xfId="21186" xr:uid="{AB995450-1951-426F-BFEC-F6091F782A38}"/>
    <cellStyle name="Comma 3 5 2 4" xfId="17898" xr:uid="{2688A3C0-5E13-49E2-9777-648BE6FBA8E4}"/>
    <cellStyle name="Comma 3 5 3" xfId="3576" xr:uid="{8528D5D0-71D3-44D5-A803-DB8DC5DDFFC6}"/>
    <cellStyle name="Comma 3 5 3 2" xfId="11064" xr:uid="{CA83B021-4C6C-4209-9EF9-58CE0D56B802}"/>
    <cellStyle name="Comma 3 5 3 2 2" xfId="14610" xr:uid="{E01E70C5-8157-4CD6-BA05-5C7A15AF29AD}"/>
    <cellStyle name="Comma 3 5 3 2 2 2" xfId="29787" xr:uid="{B93C807A-AA8E-480E-A8C2-96C484F9B8E0}"/>
    <cellStyle name="Comma 3 5 3 2 3" xfId="26242" xr:uid="{D9594D19-D5B8-41F7-B0FD-875152911991}"/>
    <cellStyle name="Comma 3 5 3 3" xfId="6890" xr:uid="{9042E554-751C-4827-9BF5-0A13D4AE0347}"/>
    <cellStyle name="Comma 3 5 3 3 2" xfId="22070" xr:uid="{A180D149-7992-4C25-BE22-2CE93E403AFF}"/>
    <cellStyle name="Comma 3 5 3 4" xfId="18782" xr:uid="{5AC5B754-AD50-4D8B-8756-FCD6AF3455D1}"/>
    <cellStyle name="Comma 3 5 4" xfId="4344" xr:uid="{249AA4AC-CAA3-4953-90CC-1D501D790132}"/>
    <cellStyle name="Comma 3 5 4 2" xfId="11829" xr:uid="{C36FAE62-1D00-4BFA-BFD7-7FC57B06F692}"/>
    <cellStyle name="Comma 3 5 4 2 2" xfId="15375" xr:uid="{C14818E5-266C-4716-8941-28B7CADDD434}"/>
    <cellStyle name="Comma 3 5 4 2 2 2" xfId="30552" xr:uid="{AA9F9FE7-E712-4A10-8D2A-F6BF05A20665}"/>
    <cellStyle name="Comma 3 5 4 2 3" xfId="27007" xr:uid="{F39D9FD2-2CD1-4EEE-A016-B7C16E9A772B}"/>
    <cellStyle name="Comma 3 5 4 3" xfId="7655" xr:uid="{D17A3F46-8AD3-4099-91A8-8BB2C808F28F}"/>
    <cellStyle name="Comma 3 5 4 3 2" xfId="22835" xr:uid="{DA36FB32-4377-473F-BEBD-E85D05CA7EEB}"/>
    <cellStyle name="Comma 3 5 4 4" xfId="19547" xr:uid="{EFF833FD-B87A-4BD1-8259-7940B1A75DEF}"/>
    <cellStyle name="Comma 3 5 5" xfId="4978" xr:uid="{36F5DAC3-AAEF-40CF-B9A6-AB62A73C6D7A}"/>
    <cellStyle name="Comma 3 5 5 2" xfId="12462" xr:uid="{C4B00250-32C9-4460-AA1F-239AF2090E7B}"/>
    <cellStyle name="Comma 3 5 5 2 2" xfId="16008" xr:uid="{A3074A4E-943D-4A9E-9CAB-3D938E0A5E3C}"/>
    <cellStyle name="Comma 3 5 5 2 2 2" xfId="31185" xr:uid="{C7CDAA10-7260-40A6-A4C5-5ECCF9DBCA13}"/>
    <cellStyle name="Comma 3 5 5 2 3" xfId="27640" xr:uid="{F6823AA4-104B-464A-9EF4-D28C0E84C6C3}"/>
    <cellStyle name="Comma 3 5 5 3" xfId="8288" xr:uid="{12FAF878-0D64-46BD-8C95-3B424C72515F}"/>
    <cellStyle name="Comma 3 5 5 3 2" xfId="23468" xr:uid="{37EE9C22-EF7B-4763-9E63-DC45398EB9EE}"/>
    <cellStyle name="Comma 3 5 5 4" xfId="20180" xr:uid="{4E18298C-5812-4596-990B-73FC6F379A99}"/>
    <cellStyle name="Comma 3 5 6" xfId="1799" xr:uid="{E6353016-5A99-4EF3-99F6-0F5E9BA8AC7D}"/>
    <cellStyle name="Comma 3 5 6 2" xfId="9296" xr:uid="{33B75DDE-9BBE-4A48-858C-26E460D9E3EE}"/>
    <cellStyle name="Comma 3 5 6 2 2" xfId="24474" xr:uid="{76B180B4-5742-4753-B047-47F08867A6BD}"/>
    <cellStyle name="Comma 3 5 6 3" xfId="17014" xr:uid="{33CD8DC9-C849-4201-AF0B-AC4EE6DDA420}"/>
    <cellStyle name="Comma 3 5 7" xfId="8782" xr:uid="{389145A1-7991-4FA7-8C42-CD45D280F18F}"/>
    <cellStyle name="Comma 3 5 7 2" xfId="12955" xr:uid="{132A11E1-081C-4E27-869D-C24C120783DF}"/>
    <cellStyle name="Comma 3 5 7 2 2" xfId="28132" xr:uid="{EE00DC7F-062E-4B2A-A59C-ADBD9E95FBA4}"/>
    <cellStyle name="Comma 3 5 7 3" xfId="23960" xr:uid="{FFF25EB8-D5B2-4235-9A57-58465914F714}"/>
    <cellStyle name="Comma 3 5 8" xfId="5122" xr:uid="{94EDAB89-F858-41B0-96C1-0A91ACA786E8}"/>
    <cellStyle name="Comma 3 5 8 2" xfId="20302" xr:uid="{568E8068-7BA2-4362-925C-1402C5937A6E}"/>
    <cellStyle name="Comma 3 5 9" xfId="16500" xr:uid="{3A2881D6-A088-41D3-AFC7-631CBD8253A2}"/>
    <cellStyle name="Comma 3 6" xfId="1361" xr:uid="{5F61478A-699A-4C79-8BF9-4E611453967C}"/>
    <cellStyle name="Comma 3 6 2" xfId="2787" xr:uid="{EC3A4808-BE19-421D-A7E5-43FFE1C1F9AA}"/>
    <cellStyle name="Comma 3 6 2 2" xfId="10278" xr:uid="{099B66C1-49F6-4CA6-B78C-49CDD643DE20}"/>
    <cellStyle name="Comma 3 6 2 2 2" xfId="13873" xr:uid="{D05DB9C0-E64E-491D-80A6-01D9965E567E}"/>
    <cellStyle name="Comma 3 6 2 2 2 2" xfId="29050" xr:uid="{AC5C5BD2-7263-46A3-ADD2-39378FC3F207}"/>
    <cellStyle name="Comma 3 6 2 2 3" xfId="25456" xr:uid="{0D9BE9C1-0368-4C7B-AF86-754AC94BCC0D}"/>
    <cellStyle name="Comma 3 6 2 3" xfId="6104" xr:uid="{8DEFD974-BB8C-4F8F-98AC-3BAF3E6F044C}"/>
    <cellStyle name="Comma 3 6 2 3 2" xfId="21284" xr:uid="{6AB0F669-5EE1-4E74-ADAE-EE225F415663}"/>
    <cellStyle name="Comma 3 6 2 4" xfId="17996" xr:uid="{153FB79E-1815-4FF3-917D-7606A37E05A8}"/>
    <cellStyle name="Comma 3 6 3" xfId="3674" xr:uid="{F71FC59D-357B-4CE2-81F0-B18406E13B55}"/>
    <cellStyle name="Comma 3 6 3 2" xfId="11162" xr:uid="{000DE2C4-6954-47D5-A099-F99802BF3822}"/>
    <cellStyle name="Comma 3 6 3 2 2" xfId="14708" xr:uid="{2F5D976D-AEF5-456B-B2F2-7D0FC93FCDC7}"/>
    <cellStyle name="Comma 3 6 3 2 2 2" xfId="29885" xr:uid="{F4A368E9-9396-47B8-9133-695FBD943204}"/>
    <cellStyle name="Comma 3 6 3 2 3" xfId="26340" xr:uid="{86C939C0-02B0-4928-BDB8-1429F570E871}"/>
    <cellStyle name="Comma 3 6 3 3" xfId="6988" xr:uid="{A503A396-3BA6-40AB-8141-3B487F8CD288}"/>
    <cellStyle name="Comma 3 6 3 3 2" xfId="22168" xr:uid="{A4F02A3D-AE6D-4CFE-92AF-B7C84F4C111F}"/>
    <cellStyle name="Comma 3 6 3 4" xfId="18880" xr:uid="{C8B92C8E-FF71-4807-B8D7-2C34D099E055}"/>
    <cellStyle name="Comma 3 6 4" xfId="4345" xr:uid="{F7042664-6F99-4CA6-87AC-35DEF38248CB}"/>
    <cellStyle name="Comma 3 6 4 2" xfId="11830" xr:uid="{9EC9AFD8-AF59-4F3E-AE87-7A887A718CCC}"/>
    <cellStyle name="Comma 3 6 4 2 2" xfId="15376" xr:uid="{C4BB2B69-AAFE-410C-86C1-36151C5DE7A7}"/>
    <cellStyle name="Comma 3 6 4 2 2 2" xfId="30553" xr:uid="{92BF27E9-B5A1-4020-94CD-58095B86E39C}"/>
    <cellStyle name="Comma 3 6 4 2 3" xfId="27008" xr:uid="{255A361A-B70D-4BF4-B8D1-798E27C55D64}"/>
    <cellStyle name="Comma 3 6 4 3" xfId="7656" xr:uid="{14346FB9-7D18-40B7-82C3-8948CA6026C3}"/>
    <cellStyle name="Comma 3 6 4 3 2" xfId="22836" xr:uid="{F5836AF3-6B8B-47FA-BCCD-EAEB37F116B6}"/>
    <cellStyle name="Comma 3 6 4 4" xfId="19548" xr:uid="{8A9DBAF4-4300-47DC-828E-AD3C949E4B5D}"/>
    <cellStyle name="Comma 3 6 5" xfId="1897" xr:uid="{6B06F12C-8085-461B-B085-2FF22DF6ECF7}"/>
    <cellStyle name="Comma 3 6 5 2" xfId="9394" xr:uid="{EA072D14-43FD-4756-97EA-3DE33254B1B9}"/>
    <cellStyle name="Comma 3 6 5 2 2" xfId="24572" xr:uid="{999E958D-4AB9-40AF-BE93-E7A55DB06282}"/>
    <cellStyle name="Comma 3 6 5 3" xfId="17112" xr:uid="{ECE515C1-2322-49B9-9A11-A93E3F594D7E}"/>
    <cellStyle name="Comma 3 6 6" xfId="8880" xr:uid="{E06BC4EE-F359-40CF-9387-8779BE175030}"/>
    <cellStyle name="Comma 3 6 6 2" xfId="13053" xr:uid="{BAFF9F47-8317-4D69-B7AC-AF6AA6600DA5}"/>
    <cellStyle name="Comma 3 6 6 2 2" xfId="28230" xr:uid="{DB40FF37-BBE9-4505-9B88-73C1056D1FA7}"/>
    <cellStyle name="Comma 3 6 6 3" xfId="24058" xr:uid="{86F1BFD6-E1F3-4C7F-B4D4-E303A3F72E6D}"/>
    <cellStyle name="Comma 3 6 7" xfId="5220" xr:uid="{14473366-C63A-43A9-8674-E97284E4B206}"/>
    <cellStyle name="Comma 3 6 7 2" xfId="20400" xr:uid="{A072900D-8122-4067-9DDF-C719D98D8775}"/>
    <cellStyle name="Comma 3 6 8" xfId="16598" xr:uid="{689AE6E2-7852-41B4-93C4-C3ACF12FCDE1}"/>
    <cellStyle name="Comma 3 7" xfId="1460" xr:uid="{5D4560E6-F69B-4909-9163-1D875FFF59D4}"/>
    <cellStyle name="Comma 3 7 2" xfId="2885" xr:uid="{BA6F5C0F-09FD-400C-BCDF-00ED911C63BC}"/>
    <cellStyle name="Comma 3 7 2 2" xfId="10376" xr:uid="{EEAED8A0-8AE5-4D60-9147-7D0DF6A9DA4E}"/>
    <cellStyle name="Comma 3 7 2 2 2" xfId="13922" xr:uid="{A5C7A0FF-9B44-4270-A146-FD07F9274706}"/>
    <cellStyle name="Comma 3 7 2 2 2 2" xfId="29099" xr:uid="{AFF9B955-B654-4710-B50E-092ADAD5BA2D}"/>
    <cellStyle name="Comma 3 7 2 2 3" xfId="25554" xr:uid="{BE889728-DA5A-48DB-8BFB-8DFF9306B08A}"/>
    <cellStyle name="Comma 3 7 2 3" xfId="6202" xr:uid="{FD3B4FA5-3617-4E94-9425-D824BE4179CA}"/>
    <cellStyle name="Comma 3 7 2 3 2" xfId="21382" xr:uid="{252F3667-0373-4262-BED9-48D8A50BC74B}"/>
    <cellStyle name="Comma 3 7 2 4" xfId="18094" xr:uid="{E2CDFB7E-4089-4DC5-838B-6695F9191133}"/>
    <cellStyle name="Comma 3 7 3" xfId="3772" xr:uid="{C7E719A9-B778-4934-B070-9B1942B8CC18}"/>
    <cellStyle name="Comma 3 7 3 2" xfId="11260" xr:uid="{CA2BEF94-CB42-4561-9EC8-A1BD423D8667}"/>
    <cellStyle name="Comma 3 7 3 2 2" xfId="14806" xr:uid="{281A831F-6387-48F9-9146-4EFC22FA6240}"/>
    <cellStyle name="Comma 3 7 3 2 2 2" xfId="29983" xr:uid="{D861D289-9DBF-4D64-9D12-79112F6B08D9}"/>
    <cellStyle name="Comma 3 7 3 2 3" xfId="26438" xr:uid="{B3943237-D684-41B5-8064-0066F683D802}"/>
    <cellStyle name="Comma 3 7 3 3" xfId="7086" xr:uid="{3E09E4B9-452E-4A67-A6AE-F8EFD8F3C8F3}"/>
    <cellStyle name="Comma 3 7 3 3 2" xfId="22266" xr:uid="{E1FDE580-6AB7-4B31-AA51-B878E20514A2}"/>
    <cellStyle name="Comma 3 7 3 4" xfId="18978" xr:uid="{F77B699E-C237-4C79-9301-E8F834386A87}"/>
    <cellStyle name="Comma 3 7 4" xfId="4346" xr:uid="{6E96B856-C12C-424B-BAE0-78FCA273AFC7}"/>
    <cellStyle name="Comma 3 7 4 2" xfId="11831" xr:uid="{4237216D-F542-4D05-8626-6D71824F5974}"/>
    <cellStyle name="Comma 3 7 4 2 2" xfId="15377" xr:uid="{C32FB054-BDC3-4838-8287-07A8DA379874}"/>
    <cellStyle name="Comma 3 7 4 2 2 2" xfId="30554" xr:uid="{639BF784-BA36-4D42-9C99-C45BAFF123BA}"/>
    <cellStyle name="Comma 3 7 4 2 3" xfId="27009" xr:uid="{1FB928A4-D40E-4220-9546-11E93E091513}"/>
    <cellStyle name="Comma 3 7 4 3" xfId="7657" xr:uid="{401B2A88-3BAB-48C2-812B-9D167B999421}"/>
    <cellStyle name="Comma 3 7 4 3 2" xfId="22837" xr:uid="{55E58E57-5A31-4082-8858-E73F0DF52DFA}"/>
    <cellStyle name="Comma 3 7 4 4" xfId="19549" xr:uid="{3A6C7649-21AC-45EF-ACE5-7EFBC93FACCC}"/>
    <cellStyle name="Comma 3 7 5" xfId="1995" xr:uid="{9A1F4469-C1CB-4F24-BE1E-FFC4730BB387}"/>
    <cellStyle name="Comma 3 7 5 2" xfId="9492" xr:uid="{A14F3703-CCAB-461C-95B5-9066C0974F37}"/>
    <cellStyle name="Comma 3 7 5 2 2" xfId="24670" xr:uid="{BB9EFF1D-5257-4DEC-8800-7F382512B57C}"/>
    <cellStyle name="Comma 3 7 5 3" xfId="17210" xr:uid="{2DECDB77-171C-4984-A7A8-03DD0C23D5F6}"/>
    <cellStyle name="Comma 3 7 6" xfId="8978" xr:uid="{D0530B8B-3C50-4265-8354-CE9FCC93EBE4}"/>
    <cellStyle name="Comma 3 7 6 2" xfId="13151" xr:uid="{B1B8FCA4-84A6-4C71-9D5B-9D2BC376D135}"/>
    <cellStyle name="Comma 3 7 6 2 2" xfId="28328" xr:uid="{0E25E282-496A-41BB-B8D2-3C5637381F5B}"/>
    <cellStyle name="Comma 3 7 6 3" xfId="24156" xr:uid="{307F8567-196B-400C-939B-F133F1E3BB81}"/>
    <cellStyle name="Comma 3 7 7" xfId="5318" xr:uid="{375B84F8-370B-447C-873C-FAD1B2076F96}"/>
    <cellStyle name="Comma 3 7 7 2" xfId="20498" xr:uid="{577DAB52-B8D6-49FB-ADB8-CBC0EE4C88F6}"/>
    <cellStyle name="Comma 3 7 8" xfId="16696" xr:uid="{5077915D-F520-4ED7-A91D-1392AEB80B79}"/>
    <cellStyle name="Comma 3 8" xfId="1563" xr:uid="{D504B153-4E6F-450E-9593-D057BA66E286}"/>
    <cellStyle name="Comma 3 8 2" xfId="2983" xr:uid="{757CE68D-9626-44DA-A12C-F2EE1ECE26FF}"/>
    <cellStyle name="Comma 3 8 2 2" xfId="10474" xr:uid="{D6368015-4C7A-4E5C-82EE-D80B6FA6FA0C}"/>
    <cellStyle name="Comma 3 8 2 2 2" xfId="14020" xr:uid="{0F95DE74-F1F1-4F09-9570-1B3F6A1C6D0D}"/>
    <cellStyle name="Comma 3 8 2 2 2 2" xfId="29197" xr:uid="{A1FB1DBA-6FCD-405A-B4DB-02FE27E3A6EA}"/>
    <cellStyle name="Comma 3 8 2 2 3" xfId="25652" xr:uid="{B5CC384F-F870-4596-91FA-4C259AB7EC11}"/>
    <cellStyle name="Comma 3 8 2 3" xfId="6300" xr:uid="{9BB1E31D-4A7C-4799-A3EE-38F71A01A8AE}"/>
    <cellStyle name="Comma 3 8 2 3 2" xfId="21480" xr:uid="{67E4B7C0-6918-4E71-B88A-39BEE8A514A9}"/>
    <cellStyle name="Comma 3 8 2 4" xfId="18192" xr:uid="{BAE06E0C-DC8F-426D-8B4C-FC52FB88C7F8}"/>
    <cellStyle name="Comma 3 8 3" xfId="3870" xr:uid="{E4686361-0960-4D93-9B0B-6D367FAB728D}"/>
    <cellStyle name="Comma 3 8 3 2" xfId="11358" xr:uid="{81C52307-2FF2-4ECE-B137-CE7742497814}"/>
    <cellStyle name="Comma 3 8 3 2 2" xfId="14904" xr:uid="{7193F6CA-0E0D-47F4-81A2-31464B06A4B3}"/>
    <cellStyle name="Comma 3 8 3 2 2 2" xfId="30081" xr:uid="{ADA899A3-4138-4BD2-A27F-E902A6211D13}"/>
    <cellStyle name="Comma 3 8 3 2 3" xfId="26536" xr:uid="{53BB3F8C-3E53-450A-9851-17BF4952F402}"/>
    <cellStyle name="Comma 3 8 3 3" xfId="7184" xr:uid="{6306C39D-D7C8-4C09-9BCC-D769ED0DB32C}"/>
    <cellStyle name="Comma 3 8 3 3 2" xfId="22364" xr:uid="{74051DC0-62B1-4BCB-994D-A0656BF5A35E}"/>
    <cellStyle name="Comma 3 8 3 4" xfId="19076" xr:uid="{1BBF0FE9-7D9B-40C2-A994-B6263A21070F}"/>
    <cellStyle name="Comma 3 8 4" xfId="4347" xr:uid="{FE6BD60A-23E0-45AA-A499-DCE8F9A8E104}"/>
    <cellStyle name="Comma 3 8 4 2" xfId="11832" xr:uid="{46459F71-C697-48CE-A50A-FF6FEE58CF4F}"/>
    <cellStyle name="Comma 3 8 4 2 2" xfId="15378" xr:uid="{547AF938-EAAB-4D52-BF25-524C3C5AA0CF}"/>
    <cellStyle name="Comma 3 8 4 2 2 2" xfId="30555" xr:uid="{C44E1CE1-5E69-4B94-B5FB-D6E876D939ED}"/>
    <cellStyle name="Comma 3 8 4 2 3" xfId="27010" xr:uid="{0EE3B841-D7DF-4B36-AC1E-BCD9C976E7B0}"/>
    <cellStyle name="Comma 3 8 4 3" xfId="7658" xr:uid="{71C519EA-F7BD-452B-B66A-D8DC5C3BD9BB}"/>
    <cellStyle name="Comma 3 8 4 3 2" xfId="22838" xr:uid="{DD1274C0-BE87-4CB0-BD0B-A81DCF5FE058}"/>
    <cellStyle name="Comma 3 8 4 4" xfId="19550" xr:uid="{C9726E1E-9710-4A37-93DC-C62E657F8760}"/>
    <cellStyle name="Comma 3 8 5" xfId="2093" xr:uid="{58A74F9F-42D9-48A8-914E-30B71EB9CE4A}"/>
    <cellStyle name="Comma 3 8 5 2" xfId="9590" xr:uid="{91B7130C-70E1-4E56-B322-6D7D469D0D2E}"/>
    <cellStyle name="Comma 3 8 5 2 2" xfId="24768" xr:uid="{5C719540-EFD3-4191-861C-8BEB18644851}"/>
    <cellStyle name="Comma 3 8 5 3" xfId="17308" xr:uid="{6E943C16-CF79-4CF4-9742-D37A5DA69A30}"/>
    <cellStyle name="Comma 3 8 6" xfId="9076" xr:uid="{A8625BF2-F4F1-4F8F-8E98-EEF16E61D64B}"/>
    <cellStyle name="Comma 3 8 6 2" xfId="13249" xr:uid="{6FD4ECBB-2742-47DE-8F8D-FB75F4B46119}"/>
    <cellStyle name="Comma 3 8 6 2 2" xfId="28426" xr:uid="{61BB3502-C538-45F4-AAFA-825AAE7A1B6B}"/>
    <cellStyle name="Comma 3 8 6 3" xfId="24254" xr:uid="{6B19FBC2-0908-4E01-B677-92810952D251}"/>
    <cellStyle name="Comma 3 8 7" xfId="5416" xr:uid="{6CF85F13-87CC-4EA2-9380-289114C245FA}"/>
    <cellStyle name="Comma 3 8 7 2" xfId="20596" xr:uid="{EFF84F23-0660-421C-A094-9675A42B3DE8}"/>
    <cellStyle name="Comma 3 8 8" xfId="16794" xr:uid="{45204E67-04D6-4D0E-9B28-0B593A7DAFF2}"/>
    <cellStyle name="Comma 3 9" xfId="1662" xr:uid="{0A33630B-C6CF-4942-A0ED-E52634B91BB1}"/>
    <cellStyle name="Comma 3 9 2" xfId="3081" xr:uid="{B6D02EF6-6F86-48C4-9598-EC5A0EAA07E5}"/>
    <cellStyle name="Comma 3 9 2 2" xfId="10572" xr:uid="{7027D526-0D56-4F55-93B2-CC4BDFEA2364}"/>
    <cellStyle name="Comma 3 9 2 2 2" xfId="14118" xr:uid="{4D7DF6FA-5902-4146-B541-D7CFD376A7D4}"/>
    <cellStyle name="Comma 3 9 2 2 2 2" xfId="29295" xr:uid="{AB32A488-7839-4493-8275-A42C229FCC2B}"/>
    <cellStyle name="Comma 3 9 2 2 3" xfId="25750" xr:uid="{56F8F5A1-1DFD-4098-A0FF-9E347E24A440}"/>
    <cellStyle name="Comma 3 9 2 3" xfId="6398" xr:uid="{5F9C1BD8-C24D-4F36-B456-CB7B0FE7CC33}"/>
    <cellStyle name="Comma 3 9 2 3 2" xfId="21578" xr:uid="{1971C009-471C-492E-84F2-9E1464ACC19E}"/>
    <cellStyle name="Comma 3 9 2 4" xfId="18290" xr:uid="{A1BE813C-370F-4633-835E-0619E666E580}"/>
    <cellStyle name="Comma 3 9 3" xfId="3968" xr:uid="{84D93638-52DE-4EB0-A6E0-2C121E20E410}"/>
    <cellStyle name="Comma 3 9 3 2" xfId="11456" xr:uid="{494BDED5-DB8C-4D9C-827C-F5C8B4D9D364}"/>
    <cellStyle name="Comma 3 9 3 2 2" xfId="15002" xr:uid="{40FEA883-6DC6-4E2E-818B-BFE4AAE3D6E3}"/>
    <cellStyle name="Comma 3 9 3 2 2 2" xfId="30179" xr:uid="{FD7C7C32-8E72-4B17-8786-0F970FBE25D0}"/>
    <cellStyle name="Comma 3 9 3 2 3" xfId="26634" xr:uid="{440D1388-519D-45E0-B060-BE0B5098DC0C}"/>
    <cellStyle name="Comma 3 9 3 3" xfId="7282" xr:uid="{9A2C75EC-8B50-4A2E-83C6-4F6DEB8A36EE}"/>
    <cellStyle name="Comma 3 9 3 3 2" xfId="22462" xr:uid="{88DE5A8F-3983-42E4-8EF6-04828259EEDE}"/>
    <cellStyle name="Comma 3 9 3 4" xfId="19174" xr:uid="{B2264765-40CA-49EE-A997-F5691BA6EBD9}"/>
    <cellStyle name="Comma 3 9 4" xfId="4348" xr:uid="{29C09E39-1CB4-41DA-A247-7EFA41110906}"/>
    <cellStyle name="Comma 3 9 4 2" xfId="11833" xr:uid="{76B17BAA-41FB-4279-AA55-AFBF7F1989EA}"/>
    <cellStyle name="Comma 3 9 4 2 2" xfId="15379" xr:uid="{D9994C7B-88DD-4090-9DD7-870F406AABF7}"/>
    <cellStyle name="Comma 3 9 4 2 2 2" xfId="30556" xr:uid="{CA7F6CF4-D660-4EB1-8915-24ED7667D7D5}"/>
    <cellStyle name="Comma 3 9 4 2 3" xfId="27011" xr:uid="{9D89F3CD-3AB9-434B-9DEE-E888130185B9}"/>
    <cellStyle name="Comma 3 9 4 3" xfId="7659" xr:uid="{ECC9C31C-DA76-43C7-A8CB-AA58D12608F0}"/>
    <cellStyle name="Comma 3 9 4 3 2" xfId="22839" xr:uid="{A9823A1A-9E9B-4FC9-9D8A-6B2155018124}"/>
    <cellStyle name="Comma 3 9 4 4" xfId="19551" xr:uid="{30ADAE3D-2D70-4F01-8016-19A5BB12F297}"/>
    <cellStyle name="Comma 3 9 5" xfId="2191" xr:uid="{8C6C3E1E-DA63-44BD-B39F-68B9B56728F1}"/>
    <cellStyle name="Comma 3 9 5 2" xfId="9688" xr:uid="{7DEC2EAF-B7E0-489B-B18A-17106D1C5F27}"/>
    <cellStyle name="Comma 3 9 5 2 2" xfId="24866" xr:uid="{B9EDA927-D707-42D5-B813-2016FC6EC813}"/>
    <cellStyle name="Comma 3 9 5 3" xfId="17406" xr:uid="{629B42F5-D62A-40A7-A285-0CCD7CB13F8B}"/>
    <cellStyle name="Comma 3 9 6" xfId="9174" xr:uid="{5600EA84-E29C-4DEB-AF7A-B267D29D7F9D}"/>
    <cellStyle name="Comma 3 9 6 2" xfId="13347" xr:uid="{A2DC0087-E386-4F71-B17E-AEF6B18F6124}"/>
    <cellStyle name="Comma 3 9 6 2 2" xfId="28524" xr:uid="{5E54AD5F-0D0D-48ED-B008-41609A749135}"/>
    <cellStyle name="Comma 3 9 6 3" xfId="24352" xr:uid="{3600DBBC-79ED-4E7F-A9B3-5CCF61473738}"/>
    <cellStyle name="Comma 3 9 7" xfId="5514" xr:uid="{A422F54B-EC41-4A4B-816F-ABB34E0C50E8}"/>
    <cellStyle name="Comma 3 9 7 2" xfId="20694" xr:uid="{025A5118-7DC1-431D-979A-ED61E0ABDDCD}"/>
    <cellStyle name="Comma 3 9 8" xfId="16892" xr:uid="{7E8581FB-E018-46C8-86DC-CE5A7F8FC74A}"/>
    <cellStyle name="Comma 4" xfId="249" xr:uid="{850F025D-2147-4849-A08A-9B8676574378}"/>
    <cellStyle name="Comma 4 2" xfId="550" xr:uid="{2D3E39E3-A6D8-461C-9C5F-98CEB7EC77D8}"/>
    <cellStyle name="Comma 4 2 2" xfId="3477" xr:uid="{D3F3614B-9F04-4BE1-AF4E-451887F8933B}"/>
    <cellStyle name="Comma 4 2 2 2" xfId="10965" xr:uid="{07E75FF9-C75F-42C8-AEE9-EE6B3869D45A}"/>
    <cellStyle name="Comma 4 2 2 2 2" xfId="14511" xr:uid="{7F1E9497-C785-41D8-A810-CFD72C517954}"/>
    <cellStyle name="Comma 4 2 2 2 2 2" xfId="29688" xr:uid="{4E242C27-4567-4B94-BF25-4B9E41B899AA}"/>
    <cellStyle name="Comma 4 2 2 2 3" xfId="26143" xr:uid="{4B8B6084-6B5F-435C-B6E5-1F88625A9AEC}"/>
    <cellStyle name="Comma 4 2 2 3" xfId="6791" xr:uid="{760D055E-8EAB-47A2-93D6-FF6D5B450CF7}"/>
    <cellStyle name="Comma 4 2 2 3 2" xfId="21971" xr:uid="{50ECD60F-3E4A-436C-B36E-850B12B33F5F}"/>
    <cellStyle name="Comma 4 2 2 4" xfId="18683" xr:uid="{C9C3183D-1684-478B-93B2-67C33DA5FAC3}"/>
    <cellStyle name="Comma 4 2 3" xfId="4349" xr:uid="{F0DB6EFF-6795-4A73-B656-8B2821E20A3D}"/>
    <cellStyle name="Comma 4 2 3 2" xfId="11834" xr:uid="{69DD5529-EE2C-4012-B581-489F1EAE6882}"/>
    <cellStyle name="Comma 4 2 3 2 2" xfId="15380" xr:uid="{942EA9E0-06C8-4A0A-BB31-494CEDA3A212}"/>
    <cellStyle name="Comma 4 2 3 2 2 2" xfId="30557" xr:uid="{D1E29E6F-09A4-41AC-811E-75517C7DB0A4}"/>
    <cellStyle name="Comma 4 2 3 2 3" xfId="27012" xr:uid="{DEC2CAA3-BE98-4636-A9F4-B57961F1FF13}"/>
    <cellStyle name="Comma 4 2 3 3" xfId="7660" xr:uid="{11FC5CB4-6585-42D3-A361-0EFA56D2D02C}"/>
    <cellStyle name="Comma 4 2 3 3 2" xfId="22840" xr:uid="{AC9B2141-A6ED-4569-831C-625B35A0126F}"/>
    <cellStyle name="Comma 4 2 3 4" xfId="19552" xr:uid="{87C26264-B595-4D03-BF47-A8F93E6AEB91}"/>
    <cellStyle name="Comma 4 2 4" xfId="2590" xr:uid="{B8F87086-B98D-49DC-B295-1F7F674DC01C}"/>
    <cellStyle name="Comma 4 2 4 2" xfId="10081" xr:uid="{6114BBB0-FB3A-4EAD-BAC2-00C1E3A19333}"/>
    <cellStyle name="Comma 4 2 4 2 2" xfId="25259" xr:uid="{C9939D32-B5B0-4B34-AD08-82DBFBB71E3B}"/>
    <cellStyle name="Comma 4 2 4 3" xfId="17799" xr:uid="{A6CBF607-F496-4B9E-9131-E50BDBD45FD1}"/>
    <cellStyle name="Comma 4 2 5" xfId="8683" xr:uid="{1A985FCA-8D8D-497F-8F87-2C71B390453D}"/>
    <cellStyle name="Comma 4 2 5 2" xfId="12856" xr:uid="{ADF49B85-6ABE-44B8-A25F-F12BFDBD3B20}"/>
    <cellStyle name="Comma 4 2 5 2 2" xfId="28033" xr:uid="{561E8133-E88D-4909-A6DD-E4BFA8B59E92}"/>
    <cellStyle name="Comma 4 2 5 3" xfId="23861" xr:uid="{B4373897-51D8-4629-87FE-5558035B39F4}"/>
    <cellStyle name="Comma 4 2 6" xfId="5907" xr:uid="{F65BDEA7-919E-49D1-9C4A-1DDC6C428191}"/>
    <cellStyle name="Comma 4 2 6 2" xfId="21087" xr:uid="{0A0CFFF2-62FD-4725-BC7D-FE55A4BE3766}"/>
    <cellStyle name="Comma 4 2 7" xfId="16401" xr:uid="{2B8FFEE7-1022-437A-9B11-66F0DBA9D644}"/>
    <cellStyle name="Comma 4 2 8" xfId="1124" xr:uid="{218AA3FE-64FC-47DE-A84B-7BF80C7CC13D}"/>
    <cellStyle name="Comma 4 3" xfId="2589" xr:uid="{D356FE92-91BA-4791-AC3D-EC6157F3A511}"/>
    <cellStyle name="Comma 4 3 2" xfId="10080" xr:uid="{C0144EEA-82FF-4369-8DDB-981E9D791C5D}"/>
    <cellStyle name="Comma 4 3 2 2" xfId="13739" xr:uid="{FCB41223-B70C-4CA7-AA36-CC89715AC5E1}"/>
    <cellStyle name="Comma 4 3 2 2 2" xfId="28916" xr:uid="{66424BC1-1AC5-4267-B151-9F31D201A53D}"/>
    <cellStyle name="Comma 4 3 2 3" xfId="25258" xr:uid="{A7C421C1-813E-441F-85A5-BB5C082500DE}"/>
    <cellStyle name="Comma 4 3 3" xfId="5906" xr:uid="{58CC740C-0D9A-4C91-9615-BBE513ADB272}"/>
    <cellStyle name="Comma 4 3 3 2" xfId="21086" xr:uid="{52E8724B-9B47-4F54-B068-681BC1EE97CA}"/>
    <cellStyle name="Comma 4 3 4" xfId="17798" xr:uid="{E58379F9-E2A4-4490-8F17-46BA96EA0C95}"/>
    <cellStyle name="Comma 4 4" xfId="3476" xr:uid="{340D983C-27CF-4CCB-A67C-EF15C9D8CA3A}"/>
    <cellStyle name="Comma 4 4 2" xfId="10964" xr:uid="{F8FE6D85-61CF-4498-8181-4C6DB9A1A47D}"/>
    <cellStyle name="Comma 4 4 2 2" xfId="14510" xr:uid="{3774BD11-6C08-474D-AE40-4EF746AF8455}"/>
    <cellStyle name="Comma 4 4 2 2 2" xfId="29687" xr:uid="{B60D4080-C5E4-4FCB-B6BB-737920F29C42}"/>
    <cellStyle name="Comma 4 4 2 3" xfId="26142" xr:uid="{F70BF178-86B1-4B6B-BBF3-6C494EC967C3}"/>
    <cellStyle name="Comma 4 4 3" xfId="6790" xr:uid="{4A481B26-2112-4062-97AC-6DB411F83A4E}"/>
    <cellStyle name="Comma 4 4 3 2" xfId="21970" xr:uid="{73651F52-E5CA-4CDA-B67A-3ABCF2AFB03B}"/>
    <cellStyle name="Comma 4 4 4" xfId="18682" xr:uid="{EBB871B4-C503-4A01-96FF-FA850CED50FE}"/>
    <cellStyle name="Comma 4 5" xfId="4350" xr:uid="{4595F073-A533-49C0-84E5-892B37AC317E}"/>
    <cellStyle name="Comma 4 5 2" xfId="11835" xr:uid="{38CED8F1-CDDB-4CCA-B969-69194236DABB}"/>
    <cellStyle name="Comma 4 5 2 2" xfId="15381" xr:uid="{A25D2142-E1C3-459C-94E2-716EEDAAE3BE}"/>
    <cellStyle name="Comma 4 5 2 2 2" xfId="30558" xr:uid="{D340715A-745E-4DD6-B54F-12FF90D9932C}"/>
    <cellStyle name="Comma 4 5 2 3" xfId="27013" xr:uid="{F9CEA0BF-F8A2-4362-9562-E68797B7E83C}"/>
    <cellStyle name="Comma 4 5 3" xfId="7661" xr:uid="{76F91226-7BFA-49FC-AB14-4352BB829DD7}"/>
    <cellStyle name="Comma 4 5 3 2" xfId="22841" xr:uid="{AAC98A9D-9FB8-4841-AB4B-DA4F56421380}"/>
    <cellStyle name="Comma 4 5 4" xfId="19553" xr:uid="{6AD1EA22-EC0E-4F14-9C19-D02633C9F45A}"/>
    <cellStyle name="Comma 4 6" xfId="8682" xr:uid="{689529BA-4754-417A-A888-CDC69058BD5F}"/>
    <cellStyle name="Comma 4 6 2" xfId="12855" xr:uid="{F4988CF4-3F9D-4A48-8BBD-842EFE8744AE}"/>
    <cellStyle name="Comma 4 6 2 2" xfId="28032" xr:uid="{5BF0F845-EECC-4C70-A49C-CD33761AE672}"/>
    <cellStyle name="Comma 4 6 3" xfId="23860" xr:uid="{D5E212E4-B01A-4F94-99BD-AE1ABBD973CE}"/>
    <cellStyle name="Comma 4 7" xfId="16400" xr:uid="{99FC2A6A-630B-4F84-9CEC-0DD8D776D1E2}"/>
    <cellStyle name="Comma 4 8" xfId="1076" xr:uid="{DEEE09ED-5A3D-4CD6-ABCF-BE35181BD2B0}"/>
    <cellStyle name="Comma 5" xfId="266" xr:uid="{86226ADF-1E50-42D1-98BA-9DCDA39DFA28}"/>
    <cellStyle name="Comma 5 2" xfId="556" xr:uid="{4C6BDBE7-1A40-4E50-94B8-A75880B0B1AD}"/>
    <cellStyle name="Comma 5 2 2" xfId="10082" xr:uid="{91627C89-33A1-49D3-85DF-2E46CE88552A}"/>
    <cellStyle name="Comma 5 2 2 2" xfId="13740" xr:uid="{1EF5FD5B-E4BE-481A-96AA-92424F00A351}"/>
    <cellStyle name="Comma 5 2 2 2 2" xfId="28917" xr:uid="{8BE336C9-3764-4D49-ACFD-6428F6293BA0}"/>
    <cellStyle name="Comma 5 2 2 3" xfId="25260" xr:uid="{D7423E3F-8348-4F1E-9B1A-EA418973206E}"/>
    <cellStyle name="Comma 5 2 3" xfId="5908" xr:uid="{2BB8FFCD-CAD4-4D4F-A9B6-791A5FB1DB26}"/>
    <cellStyle name="Comma 5 2 3 2" xfId="21088" xr:uid="{8673F672-8230-44E9-BB11-2425CF44BECB}"/>
    <cellStyle name="Comma 5 2 4" xfId="17800" xr:uid="{DC7EE386-EA92-4820-ABD1-8343E17F1BD4}"/>
    <cellStyle name="Comma 5 2 5" xfId="2591" xr:uid="{CADC4870-DCDF-442B-A6B1-D4B7EA4B4224}"/>
    <cellStyle name="Comma 5 3" xfId="3478" xr:uid="{AB9C339A-D395-4E0A-AB6F-D04DDC01B303}"/>
    <cellStyle name="Comma 5 3 2" xfId="10966" xr:uid="{F1225226-FF36-4B80-ABA9-ADCF9C28EEFE}"/>
    <cellStyle name="Comma 5 3 2 2" xfId="14512" xr:uid="{457C0386-90AD-435B-BEBE-5D56DA703053}"/>
    <cellStyle name="Comma 5 3 2 2 2" xfId="29689" xr:uid="{2DBB844F-7FAE-4D4E-B83C-200970B803EC}"/>
    <cellStyle name="Comma 5 3 2 3" xfId="26144" xr:uid="{D57E3DF5-2EE2-43D0-BF47-731A5B1919D1}"/>
    <cellStyle name="Comma 5 3 3" xfId="6792" xr:uid="{881D7278-841B-4C5C-B5A6-F99823CB2177}"/>
    <cellStyle name="Comma 5 3 3 2" xfId="21972" xr:uid="{8E2438DC-9D94-4FA4-97DE-6DFB07023C57}"/>
    <cellStyle name="Comma 5 3 4" xfId="18684" xr:uid="{27E3AE53-83C9-46B0-9A79-545486D6C3D7}"/>
    <cellStyle name="Comma 5 4" xfId="4351" xr:uid="{9E299AC7-21CE-4821-A4B4-63F5D82A4557}"/>
    <cellStyle name="Comma 5 4 2" xfId="11836" xr:uid="{400F9333-4F9F-48E0-BCAD-EFE19FAC9F1F}"/>
    <cellStyle name="Comma 5 4 2 2" xfId="15382" xr:uid="{54B8241D-C8BE-4102-960D-6C01F02D8442}"/>
    <cellStyle name="Comma 5 4 2 2 2" xfId="30559" xr:uid="{0C7531F7-5298-4F79-ACD7-63A9EA892CC1}"/>
    <cellStyle name="Comma 5 4 2 3" xfId="27014" xr:uid="{28F70C33-B1BC-49E1-B585-050D40EE3D9F}"/>
    <cellStyle name="Comma 5 4 3" xfId="7662" xr:uid="{A2FDCAA9-55CB-4A56-ACD2-C4A8A1BC15E3}"/>
    <cellStyle name="Comma 5 4 3 2" xfId="22842" xr:uid="{C8E81584-95E9-40A2-AE86-798558B2E606}"/>
    <cellStyle name="Comma 5 4 4" xfId="19554" xr:uid="{896381F7-9591-4699-866A-32416CBFF7BD}"/>
    <cellStyle name="Comma 5 5" xfId="8684" xr:uid="{EAD212EE-34E6-4CD6-B911-C528F01799D0}"/>
    <cellStyle name="Comma 5 5 2" xfId="12857" xr:uid="{F8109A41-4AEB-4FDC-BCCF-00257066D8EF}"/>
    <cellStyle name="Comma 5 5 2 2" xfId="28034" xr:uid="{0BC6DFBC-E3A0-46FF-A816-DEA34A6FF5DA}"/>
    <cellStyle name="Comma 5 5 3" xfId="23862" xr:uid="{8FEDF2B2-366F-46A9-81AC-F53E9E5F40FA}"/>
    <cellStyle name="Comma 5 6" xfId="16402" xr:uid="{F13771B8-4E0F-4619-AE2F-1C9B0BD20D5A}"/>
    <cellStyle name="Comma 5 7" xfId="1128" xr:uid="{797D04CA-F418-41F0-8960-15E87B79B21B}"/>
    <cellStyle name="Comma 6" xfId="607" xr:uid="{8025ABBE-B70A-4C26-97CA-98124C2F8BEE}"/>
    <cellStyle name="Explanatory Text 2" xfId="93" xr:uid="{367254B7-E88E-492E-9034-893B69B3BE8E}"/>
    <cellStyle name="Explanatory Text 2 2" xfId="509" xr:uid="{E5B033BC-19E0-4EEE-A441-C1927A3510AF}"/>
    <cellStyle name="Explanatory Text 2 3" xfId="1106" xr:uid="{824952CC-1A5F-4955-B53E-2074DF95C06D}"/>
    <cellStyle name="Explanatory Text 3" xfId="672" xr:uid="{5BFDB8EF-5576-47E3-A2F5-0399FB3264BB}"/>
    <cellStyle name="Explanatory Text 4" xfId="833" xr:uid="{4046ACFD-718E-48CF-99CF-0F9C54D10215}"/>
    <cellStyle name="Good 2" xfId="94" xr:uid="{F589CFCE-4D8E-4889-80EB-670990DAD806}"/>
    <cellStyle name="Good 2 2" xfId="500" xr:uid="{C574C8CB-BC47-4CFB-999F-82C6733DA377}"/>
    <cellStyle name="Good 2 3" xfId="1107" xr:uid="{19D2E0CC-188C-42EC-B6CC-D662D9B2B466}"/>
    <cellStyle name="Good 3" xfId="673" xr:uid="{79390F6E-613B-48DF-B046-B904CC4B5D58}"/>
    <cellStyle name="Good 4" xfId="834" xr:uid="{0CBA5CB8-CE25-4049-8116-8BF04C44061A}"/>
    <cellStyle name="Heading 1 2" xfId="95" xr:uid="{5CAF0CF4-0322-4DF1-BE9B-01107D84AFA8}"/>
    <cellStyle name="Heading 1 2 2" xfId="496" xr:uid="{AEE666B1-C186-45C3-AFF3-D25613E0DCC0}"/>
    <cellStyle name="Heading 1 2 3" xfId="1108" xr:uid="{ACFA29EF-C3C7-4A31-AF45-67943F6FA730}"/>
    <cellStyle name="Heading 1 3" xfId="674" xr:uid="{3EEBFF18-4644-4ECC-BBBB-743B7F8BD7B2}"/>
    <cellStyle name="Heading 1 4" xfId="835" xr:uid="{657C4841-3459-4CCD-BEC1-1B81BCC819E4}"/>
    <cellStyle name="Heading 2 2" xfId="96" xr:uid="{57D46160-8E17-4314-B72C-8FEB8A527066}"/>
    <cellStyle name="Heading 2 2 2" xfId="497" xr:uid="{B89725EC-A731-4A5C-B60A-D8370B681574}"/>
    <cellStyle name="Heading 2 2 3" xfId="1109" xr:uid="{0B076D55-673A-4256-9AF8-1C0D120A22D1}"/>
    <cellStyle name="Heading 2 3" xfId="675" xr:uid="{4ABB19C1-1005-4BEE-8A7E-E67F2CDD0864}"/>
    <cellStyle name="Heading 2 4" xfId="836" xr:uid="{F2B3E12E-BA14-4C51-96AB-2DEF7726306F}"/>
    <cellStyle name="Heading 3 2" xfId="97" xr:uid="{B05F5B1E-5373-47C1-9FAD-20F62DB262AE}"/>
    <cellStyle name="Heading 3 2 2" xfId="498" xr:uid="{E23C7EB8-01D9-4804-92FB-7BE74DF4E1C0}"/>
    <cellStyle name="Heading 3 2 3" xfId="1110" xr:uid="{CE7368FF-A3BF-44F6-9080-CC21DE41039B}"/>
    <cellStyle name="Heading 3 3" xfId="676" xr:uid="{C4ACF3C4-D7D4-400C-8094-90F4FFD0BDFE}"/>
    <cellStyle name="Heading 3 4" xfId="837" xr:uid="{46457608-F817-4AF3-A3DF-B7AE0D71071E}"/>
    <cellStyle name="Heading 4 2" xfId="98" xr:uid="{273A050E-C412-40DF-857B-595693D81107}"/>
    <cellStyle name="Heading 4 2 2" xfId="499" xr:uid="{C164D2A5-2007-4AF9-A846-B48881116400}"/>
    <cellStyle name="Heading 4 2 3" xfId="1111" xr:uid="{487A0674-2CDF-499F-A649-61797E866D3C}"/>
    <cellStyle name="Heading 4 3" xfId="677" xr:uid="{CC6FB40A-6416-4FA3-959B-1C1F90676D55}"/>
    <cellStyle name="Heading 4 4" xfId="838" xr:uid="{5C3B3543-E727-4515-A45C-F88D8E6B25DF}"/>
    <cellStyle name="Input" xfId="35" builtinId="20" customBuiltin="1"/>
    <cellStyle name="Input 2" xfId="169" xr:uid="{42BE61B1-1253-4C31-AC4D-901FB2CC81C0}"/>
    <cellStyle name="Input 3" xfId="208" xr:uid="{36913C0D-3830-4D71-9A96-387D917F2756}"/>
    <cellStyle name="Input 3 2" xfId="430" xr:uid="{C2588123-B0D3-4CD0-AD23-185C1F3DB86D}"/>
    <cellStyle name="Input 3 3" xfId="327" xr:uid="{ED38EF17-CFEB-4276-BF34-F6865CB30316}"/>
    <cellStyle name="Input 4" xfId="99" xr:uid="{C5224B18-9FA3-49C3-B208-EF3B7FD2B0BD}"/>
    <cellStyle name="Input 5" xfId="839" xr:uid="{96B7DA47-9544-407B-BE8A-D492CB462AB0}"/>
    <cellStyle name="Linked Cell 2" xfId="100" xr:uid="{C1161960-59D7-4591-B90F-A163F8125112}"/>
    <cellStyle name="Linked Cell 2 2" xfId="505" xr:uid="{28CE6F83-3BAA-485E-BF2A-1CC7064D960F}"/>
    <cellStyle name="Linked Cell 2 3" xfId="1112" xr:uid="{2206A294-3417-473C-A2B1-65398E3E3D73}"/>
    <cellStyle name="Linked Cell 3" xfId="678" xr:uid="{DA24CF26-0B87-4D8B-ADCE-EB68A63B0BB2}"/>
    <cellStyle name="Linked Cell 4" xfId="840" xr:uid="{986AAA34-B793-4A1E-BB5F-54B05DCC0C27}"/>
    <cellStyle name="Migliaia" xfId="44" builtinId="3"/>
    <cellStyle name="Migliaia 2" xfId="52" xr:uid="{818F4B62-79F5-4331-B98F-EC6DF2D698F1}"/>
    <cellStyle name="Migliaia 2 2" xfId="364" xr:uid="{10E3581A-D33C-4D94-BB08-B5AB7E7E45F6}"/>
    <cellStyle name="Migliaia 3" xfId="177" xr:uid="{3A5D79B1-AAD3-4B20-905E-EC0FDC0F0A0E}"/>
    <cellStyle name="Migliaia 3 2" xfId="252" xr:uid="{4557188E-3141-4109-BE1E-CFEABA950549}"/>
    <cellStyle name="Migliaia 3 2 2" xfId="400" xr:uid="{DAF6EC2E-6574-4670-BB9B-F60646C33657}"/>
    <cellStyle name="Migliaia 3 2 2 2" xfId="491" xr:uid="{9ED17F16-0007-4ADD-81F0-4EA5888DD497}"/>
    <cellStyle name="Migliaia 3 2 2 2 10" xfId="1457" xr:uid="{57CC2AC5-1919-4C9A-A2C8-98E209E714C8}"/>
    <cellStyle name="Migliaia 3 2 2 2 10 2" xfId="2882" xr:uid="{D0552F41-C7C0-4471-A7B4-450CF7AA6342}"/>
    <cellStyle name="Migliaia 3 2 2 2 10 2 2" xfId="10373" xr:uid="{E2701CC6-F3B7-42D1-9EBE-4C4CC9B09D5F}"/>
    <cellStyle name="Migliaia 3 2 2 2 10 2 2 2" xfId="13919" xr:uid="{72BC0C74-DB22-4F53-8451-B78DD580C1BC}"/>
    <cellStyle name="Migliaia 3 2 2 2 10 2 2 2 2" xfId="29096" xr:uid="{0BBF6531-64B7-4B9C-92A8-80F5D13C434F}"/>
    <cellStyle name="Migliaia 3 2 2 2 10 2 2 3" xfId="25551" xr:uid="{63181F5F-F4DB-4341-A366-3EBE617EF438}"/>
    <cellStyle name="Migliaia 3 2 2 2 10 2 3" xfId="6199" xr:uid="{3CF88EB2-BC7B-4A36-9EA2-2BA02C02BF2C}"/>
    <cellStyle name="Migliaia 3 2 2 2 10 2 3 2" xfId="21379" xr:uid="{D4788F0F-AC4D-48FE-ABB3-44D3D96AB85A}"/>
    <cellStyle name="Migliaia 3 2 2 2 10 2 4" xfId="18091" xr:uid="{5AF8AF73-189B-456D-9DC7-3299B34A287F}"/>
    <cellStyle name="Migliaia 3 2 2 2 10 3" xfId="3769" xr:uid="{6E0AB0CF-E32C-431A-A500-3993DD4FD6B4}"/>
    <cellStyle name="Migliaia 3 2 2 2 10 3 2" xfId="11257" xr:uid="{4CD28BCB-944A-42E5-93A0-7F0A068F0EF8}"/>
    <cellStyle name="Migliaia 3 2 2 2 10 3 2 2" xfId="14803" xr:uid="{3750853A-6015-4115-828E-29D313E2ABD3}"/>
    <cellStyle name="Migliaia 3 2 2 2 10 3 2 2 2" xfId="29980" xr:uid="{7BDF9B66-2894-470B-9B6E-2584904B0674}"/>
    <cellStyle name="Migliaia 3 2 2 2 10 3 2 3" xfId="26435" xr:uid="{5E593579-418D-4F9E-AF80-25E1AC675D48}"/>
    <cellStyle name="Migliaia 3 2 2 2 10 3 3" xfId="7083" xr:uid="{EFDB249E-40C7-4E10-A4C2-52549D289E94}"/>
    <cellStyle name="Migliaia 3 2 2 2 10 3 3 2" xfId="22263" xr:uid="{E516498E-C8AC-4B77-AAE3-EF7CD4488F77}"/>
    <cellStyle name="Migliaia 3 2 2 2 10 3 4" xfId="18975" xr:uid="{2C05542E-21E0-4AB3-A8F0-7C800A884D07}"/>
    <cellStyle name="Migliaia 3 2 2 2 10 4" xfId="4352" xr:uid="{63C5C0B3-A7FF-449D-B873-FDAA3602E136}"/>
    <cellStyle name="Migliaia 3 2 2 2 10 4 2" xfId="11837" xr:uid="{7D369528-E840-47C8-A82E-7A64B985A355}"/>
    <cellStyle name="Migliaia 3 2 2 2 10 4 2 2" xfId="15383" xr:uid="{1F0F75B5-F633-4F09-8DCB-DA61A0E2AA2F}"/>
    <cellStyle name="Migliaia 3 2 2 2 10 4 2 2 2" xfId="30560" xr:uid="{36B64E7E-997D-497C-A160-90418CF12FD2}"/>
    <cellStyle name="Migliaia 3 2 2 2 10 4 2 3" xfId="27015" xr:uid="{226FA7EF-43D4-49CF-BA14-A82AF6B90F3D}"/>
    <cellStyle name="Migliaia 3 2 2 2 10 4 3" xfId="7663" xr:uid="{6D808DA3-7329-42D7-BD7B-20ABEA4C39D3}"/>
    <cellStyle name="Migliaia 3 2 2 2 10 4 3 2" xfId="22843" xr:uid="{87C39445-BB32-466E-A98A-B065B6FF2734}"/>
    <cellStyle name="Migliaia 3 2 2 2 10 4 4" xfId="19555" xr:uid="{88F5C6DA-550A-4B96-9E63-1EFD922D7FD8}"/>
    <cellStyle name="Migliaia 3 2 2 2 10 5" xfId="1992" xr:uid="{05230BFA-B721-4A7F-B0CA-BFB33A7ED7DC}"/>
    <cellStyle name="Migliaia 3 2 2 2 10 5 2" xfId="9489" xr:uid="{1BF49217-9B20-4212-82AF-97AAE9825CCC}"/>
    <cellStyle name="Migliaia 3 2 2 2 10 5 2 2" xfId="24667" xr:uid="{6550FDB4-08B2-41F6-A5EF-6B9A4C79A564}"/>
    <cellStyle name="Migliaia 3 2 2 2 10 5 3" xfId="17207" xr:uid="{B26DC70C-A52E-4C7D-81A6-3E2F03554CE0}"/>
    <cellStyle name="Migliaia 3 2 2 2 10 6" xfId="8975" xr:uid="{26B1EFBC-059A-49BD-93BC-ACC1632E7CDB}"/>
    <cellStyle name="Migliaia 3 2 2 2 10 6 2" xfId="13148" xr:uid="{203A3C50-1D6D-4C8B-9E2F-65CB45A30B13}"/>
    <cellStyle name="Migliaia 3 2 2 2 10 6 2 2" xfId="28325" xr:uid="{F4BD5E79-564F-4B07-9F19-F46C634A9BB5}"/>
    <cellStyle name="Migliaia 3 2 2 2 10 6 3" xfId="24153" xr:uid="{CACF504A-1CF9-4E5B-B80A-623639CF31DC}"/>
    <cellStyle name="Migliaia 3 2 2 2 10 7" xfId="5315" xr:uid="{84358C44-D7BF-4FBF-B779-7BF6745EE0B4}"/>
    <cellStyle name="Migliaia 3 2 2 2 10 7 2" xfId="20495" xr:uid="{D01A2769-D45F-4D9D-8808-F474D8198DD5}"/>
    <cellStyle name="Migliaia 3 2 2 2 10 8" xfId="16693" xr:uid="{8B0C5AD9-8F29-4DDA-BF9D-009846278B65}"/>
    <cellStyle name="Migliaia 3 2 2 2 11" xfId="1560" xr:uid="{CEE4015F-6810-45B0-8477-B4D8E0B9E309}"/>
    <cellStyle name="Migliaia 3 2 2 2 11 2" xfId="2980" xr:uid="{D62A2119-E276-40E1-8123-4C6115952E50}"/>
    <cellStyle name="Migliaia 3 2 2 2 11 2 2" xfId="10471" xr:uid="{DD204683-DC8E-4184-8EF3-4EE73D0D93F4}"/>
    <cellStyle name="Migliaia 3 2 2 2 11 2 2 2" xfId="14017" xr:uid="{C5D780FD-9DE6-46BC-B4B9-B25A7314E4C6}"/>
    <cellStyle name="Migliaia 3 2 2 2 11 2 2 2 2" xfId="29194" xr:uid="{E164F40E-4351-47FC-ABE1-B98F1B8C439B}"/>
    <cellStyle name="Migliaia 3 2 2 2 11 2 2 3" xfId="25649" xr:uid="{F03B88A5-7B95-43D9-A724-1CFA99C87BFE}"/>
    <cellStyle name="Migliaia 3 2 2 2 11 2 3" xfId="6297" xr:uid="{05F9353B-68A6-4F47-85FB-42A38F9C78ED}"/>
    <cellStyle name="Migliaia 3 2 2 2 11 2 3 2" xfId="21477" xr:uid="{8D46DB79-EB44-4490-8051-27A90560F920}"/>
    <cellStyle name="Migliaia 3 2 2 2 11 2 4" xfId="18189" xr:uid="{88AE99F1-759A-4991-8502-0DF3E901FF9D}"/>
    <cellStyle name="Migliaia 3 2 2 2 11 3" xfId="3867" xr:uid="{B6A70F1B-4CC9-44C6-B55F-03F263628DBF}"/>
    <cellStyle name="Migliaia 3 2 2 2 11 3 2" xfId="11355" xr:uid="{238833A8-18FF-45FE-84A6-370F7F7019C1}"/>
    <cellStyle name="Migliaia 3 2 2 2 11 3 2 2" xfId="14901" xr:uid="{57D68DF2-82A6-4B0F-8816-76669ABFD4C2}"/>
    <cellStyle name="Migliaia 3 2 2 2 11 3 2 2 2" xfId="30078" xr:uid="{CEE240CE-2B5A-402D-9F65-B41093A55AC7}"/>
    <cellStyle name="Migliaia 3 2 2 2 11 3 2 3" xfId="26533" xr:uid="{6E57933B-A609-4C65-BD3A-D34FC20553F9}"/>
    <cellStyle name="Migliaia 3 2 2 2 11 3 3" xfId="7181" xr:uid="{99A61D8A-7B16-4D73-A3E0-28233B55AA23}"/>
    <cellStyle name="Migliaia 3 2 2 2 11 3 3 2" xfId="22361" xr:uid="{A3531FF2-63C1-4E16-BCA0-C5A9A86601E5}"/>
    <cellStyle name="Migliaia 3 2 2 2 11 3 4" xfId="19073" xr:uid="{D8B5B12E-B7E6-4C12-A2B8-ACC8BC219BB9}"/>
    <cellStyle name="Migliaia 3 2 2 2 11 4" xfId="4353" xr:uid="{3DA86D70-AC62-4192-A1A9-1B193A882B17}"/>
    <cellStyle name="Migliaia 3 2 2 2 11 4 2" xfId="11838" xr:uid="{E76BC63C-FB4A-444F-AACE-6F899E5A308B}"/>
    <cellStyle name="Migliaia 3 2 2 2 11 4 2 2" xfId="15384" xr:uid="{98A26B3E-1734-445F-9A47-83E98F9AF102}"/>
    <cellStyle name="Migliaia 3 2 2 2 11 4 2 2 2" xfId="30561" xr:uid="{2A221F42-2383-4B09-97E4-657B699B27E7}"/>
    <cellStyle name="Migliaia 3 2 2 2 11 4 2 3" xfId="27016" xr:uid="{B61F1EE5-A9A1-4598-B410-EF74030408EB}"/>
    <cellStyle name="Migliaia 3 2 2 2 11 4 3" xfId="7664" xr:uid="{E584B3BD-3509-4A30-BD1F-44B8F1F647A9}"/>
    <cellStyle name="Migliaia 3 2 2 2 11 4 3 2" xfId="22844" xr:uid="{87322F9E-5CD4-4B3B-B0D1-70D218A261D1}"/>
    <cellStyle name="Migliaia 3 2 2 2 11 4 4" xfId="19556" xr:uid="{C04DB773-EF59-4C38-B1A0-A579CD2C3ABD}"/>
    <cellStyle name="Migliaia 3 2 2 2 11 5" xfId="2090" xr:uid="{8E2EFBF1-977B-461C-8888-943A0EF80224}"/>
    <cellStyle name="Migliaia 3 2 2 2 11 5 2" xfId="9587" xr:uid="{FCC2F3A5-728B-4B88-B224-1F922A6AD88D}"/>
    <cellStyle name="Migliaia 3 2 2 2 11 5 2 2" xfId="24765" xr:uid="{46BE908B-2AE6-4F8F-86BA-F3D268C46D84}"/>
    <cellStyle name="Migliaia 3 2 2 2 11 5 3" xfId="17305" xr:uid="{42723E29-CBBA-48FA-9691-F0372A59F42E}"/>
    <cellStyle name="Migliaia 3 2 2 2 11 6" xfId="9073" xr:uid="{797F29E4-8010-49B0-A1F6-E27696859EB1}"/>
    <cellStyle name="Migliaia 3 2 2 2 11 6 2" xfId="13246" xr:uid="{8D0B84E3-AC60-4078-8B9C-A14DB37BBA85}"/>
    <cellStyle name="Migliaia 3 2 2 2 11 6 2 2" xfId="28423" xr:uid="{848349B1-8567-40BA-9F7C-93BFD58CD0D5}"/>
    <cellStyle name="Migliaia 3 2 2 2 11 6 3" xfId="24251" xr:uid="{096A7FD1-3E58-4CF0-B62F-FCA640703A90}"/>
    <cellStyle name="Migliaia 3 2 2 2 11 7" xfId="5413" xr:uid="{133E316F-AE5F-49FA-9B71-0DF00774AF86}"/>
    <cellStyle name="Migliaia 3 2 2 2 11 7 2" xfId="20593" xr:uid="{CAF7528B-E8C3-457D-B31B-240A83E5F20A}"/>
    <cellStyle name="Migliaia 3 2 2 2 11 8" xfId="16791" xr:uid="{E6669AC6-C3AA-4821-93C9-90D1EFA8E23B}"/>
    <cellStyle name="Migliaia 3 2 2 2 12" xfId="1659" xr:uid="{7BEC651C-7936-40E9-94BC-86EEF51742D6}"/>
    <cellStyle name="Migliaia 3 2 2 2 12 2" xfId="3078" xr:uid="{DA48635D-56EE-4075-B7CA-D72BDC48C701}"/>
    <cellStyle name="Migliaia 3 2 2 2 12 2 2" xfId="10569" xr:uid="{624EF4AD-3538-46FB-8B56-51E5B295D34A}"/>
    <cellStyle name="Migliaia 3 2 2 2 12 2 2 2" xfId="14115" xr:uid="{81C496C9-211F-4EB9-B2A0-091C3AA5AB9A}"/>
    <cellStyle name="Migliaia 3 2 2 2 12 2 2 2 2" xfId="29292" xr:uid="{AF7490FA-C3C2-40F7-BB56-15D06C3905F4}"/>
    <cellStyle name="Migliaia 3 2 2 2 12 2 2 3" xfId="25747" xr:uid="{4A092B20-D522-4F6B-95B9-EAD171DF8D18}"/>
    <cellStyle name="Migliaia 3 2 2 2 12 2 3" xfId="6395" xr:uid="{1564F625-492E-4DF0-8BFC-8DEF925D79ED}"/>
    <cellStyle name="Migliaia 3 2 2 2 12 2 3 2" xfId="21575" xr:uid="{147F6F55-693F-4255-97E8-A43A945B0692}"/>
    <cellStyle name="Migliaia 3 2 2 2 12 2 4" xfId="18287" xr:uid="{DC9DD271-7B24-448C-92C7-F92923ACF4B3}"/>
    <cellStyle name="Migliaia 3 2 2 2 12 3" xfId="3965" xr:uid="{E4F4D300-5D34-443A-B453-0EE4FDF45D68}"/>
    <cellStyle name="Migliaia 3 2 2 2 12 3 2" xfId="11453" xr:uid="{069545AE-06B5-41C2-9974-AFEFEBF37926}"/>
    <cellStyle name="Migliaia 3 2 2 2 12 3 2 2" xfId="14999" xr:uid="{FBCDD782-BEF3-4C0C-8298-AEB67F32FDB3}"/>
    <cellStyle name="Migliaia 3 2 2 2 12 3 2 2 2" xfId="30176" xr:uid="{56CC4802-5FB4-4FE2-B7C5-4912A1729ECD}"/>
    <cellStyle name="Migliaia 3 2 2 2 12 3 2 3" xfId="26631" xr:uid="{929C0AE7-7B79-4196-AB25-391DF6894044}"/>
    <cellStyle name="Migliaia 3 2 2 2 12 3 3" xfId="7279" xr:uid="{7FC8CF09-AB2D-4DC2-B9A3-A009949F5323}"/>
    <cellStyle name="Migliaia 3 2 2 2 12 3 3 2" xfId="22459" xr:uid="{A7DAABC7-6E9A-4964-8FB1-F1FD4F5BF0B5}"/>
    <cellStyle name="Migliaia 3 2 2 2 12 3 4" xfId="19171" xr:uid="{31788522-7756-407D-BCB7-46909803EEF2}"/>
    <cellStyle name="Migliaia 3 2 2 2 12 4" xfId="4354" xr:uid="{3DF07E6B-E1E4-411F-A7A4-C6C338F51B29}"/>
    <cellStyle name="Migliaia 3 2 2 2 12 4 2" xfId="11839" xr:uid="{E8CB7FC6-411A-41EC-820F-89188CA09109}"/>
    <cellStyle name="Migliaia 3 2 2 2 12 4 2 2" xfId="15385" xr:uid="{D29E90F9-3D71-4D96-B277-7E242825212A}"/>
    <cellStyle name="Migliaia 3 2 2 2 12 4 2 2 2" xfId="30562" xr:uid="{B3EB33C5-EBBD-458A-8EA5-BCC94593BA65}"/>
    <cellStyle name="Migliaia 3 2 2 2 12 4 2 3" xfId="27017" xr:uid="{9B4F0DE5-D02A-4C76-BF31-87CC8C7BB165}"/>
    <cellStyle name="Migliaia 3 2 2 2 12 4 3" xfId="7665" xr:uid="{AEC7FC4F-71B6-48E4-AFE7-2A2A2C5203B4}"/>
    <cellStyle name="Migliaia 3 2 2 2 12 4 3 2" xfId="22845" xr:uid="{648C52D6-7536-49B5-8671-6A003BB6367F}"/>
    <cellStyle name="Migliaia 3 2 2 2 12 4 4" xfId="19557" xr:uid="{B9F6E1ED-3981-46D9-9362-CC21FAF909D2}"/>
    <cellStyle name="Migliaia 3 2 2 2 12 5" xfId="2188" xr:uid="{E0E42C08-7455-435B-9419-4CE2D007B161}"/>
    <cellStyle name="Migliaia 3 2 2 2 12 5 2" xfId="9685" xr:uid="{B2D5D8FF-EBE1-40CC-8FC9-72BF3D54597D}"/>
    <cellStyle name="Migliaia 3 2 2 2 12 5 2 2" xfId="24863" xr:uid="{FDDC0B06-4930-44DF-8D78-688967AEBA37}"/>
    <cellStyle name="Migliaia 3 2 2 2 12 5 3" xfId="17403" xr:uid="{E790647C-01AF-4C9A-8BB5-7261B37C758E}"/>
    <cellStyle name="Migliaia 3 2 2 2 12 6" xfId="9171" xr:uid="{B31AFCC1-4D25-449F-8837-C2AD6BEBD542}"/>
    <cellStyle name="Migliaia 3 2 2 2 12 6 2" xfId="13344" xr:uid="{981795EE-401D-4CB7-9F94-78108F392C14}"/>
    <cellStyle name="Migliaia 3 2 2 2 12 6 2 2" xfId="28521" xr:uid="{CBDBABFA-CDF5-42EA-96D5-D1B3D83A65FD}"/>
    <cellStyle name="Migliaia 3 2 2 2 12 6 3" xfId="24349" xr:uid="{8410AACA-3668-4446-A6C6-A0F7D4E80425}"/>
    <cellStyle name="Migliaia 3 2 2 2 12 7" xfId="5511" xr:uid="{D712EF44-ED33-4F34-998B-CCAB0C86E2F1}"/>
    <cellStyle name="Migliaia 3 2 2 2 12 7 2" xfId="20691" xr:uid="{2F642FC0-6966-4585-A481-DE9E458907AB}"/>
    <cellStyle name="Migliaia 3 2 2 2 12 8" xfId="16889" xr:uid="{D0BF1541-02D5-4E68-BE22-904BC9F687B4}"/>
    <cellStyle name="Migliaia 3 2 2 2 13" xfId="2288" xr:uid="{FBDC980B-6B6C-40DC-BC31-7BF95B4E6A87}"/>
    <cellStyle name="Migliaia 3 2 2 2 13 2" xfId="9783" xr:uid="{D2E6E8AC-8471-425E-87F8-A1E76CC03D1A}"/>
    <cellStyle name="Migliaia 3 2 2 2 13 2 2" xfId="13442" xr:uid="{614A6FF5-FA83-4F88-9468-D697E229E6C3}"/>
    <cellStyle name="Migliaia 3 2 2 2 13 2 2 2" xfId="28619" xr:uid="{C9DF3C9E-8FC1-4F8C-953B-E504E57FB70C}"/>
    <cellStyle name="Migliaia 3 2 2 2 13 2 3" xfId="24961" xr:uid="{9399A49E-801F-4A37-9F58-09C9E8474213}"/>
    <cellStyle name="Migliaia 3 2 2 2 13 3" xfId="5609" xr:uid="{6444A45D-DECD-400D-A44B-25F72BDD7161}"/>
    <cellStyle name="Migliaia 3 2 2 2 13 3 2" xfId="20789" xr:uid="{ED614EE5-3B28-47FB-BE99-675D80900051}"/>
    <cellStyle name="Migliaia 3 2 2 2 13 4" xfId="17501" xr:uid="{79770845-6858-490A-9120-5359FC57AF7D}"/>
    <cellStyle name="Migliaia 3 2 2 2 14" xfId="3178" xr:uid="{32D177ED-22EF-4FE1-B7DF-680A32C0F65C}"/>
    <cellStyle name="Migliaia 3 2 2 2 14 2" xfId="10667" xr:uid="{98533FD9-F79F-4797-AD20-4BC201998EFD}"/>
    <cellStyle name="Migliaia 3 2 2 2 14 2 2" xfId="14213" xr:uid="{562E14D4-D771-4FD1-9E6F-FEAED968A7D0}"/>
    <cellStyle name="Migliaia 3 2 2 2 14 2 2 2" xfId="29390" xr:uid="{D704E3A9-1436-4472-81B4-B53FFB833785}"/>
    <cellStyle name="Migliaia 3 2 2 2 14 2 3" xfId="25845" xr:uid="{00624BA6-B319-44AD-96DD-CEC29FC97560}"/>
    <cellStyle name="Migliaia 3 2 2 2 14 3" xfId="6493" xr:uid="{5815E3E2-559C-441E-8360-368301494CBB}"/>
    <cellStyle name="Migliaia 3 2 2 2 14 3 2" xfId="21673" xr:uid="{4F7DB91E-EDB1-4894-A4AE-E68FD8AD4270}"/>
    <cellStyle name="Migliaia 3 2 2 2 14 4" xfId="18385" xr:uid="{A555B828-6F1A-4EF9-A3BF-FD68C4C9BD44}"/>
    <cellStyle name="Migliaia 3 2 2 2 15" xfId="4355" xr:uid="{CEB0DF37-09D7-427C-835B-08B8FF5B1159}"/>
    <cellStyle name="Migliaia 3 2 2 2 15 2" xfId="11840" xr:uid="{DFA576DE-A290-4346-A5D4-75942CC88ADF}"/>
    <cellStyle name="Migliaia 3 2 2 2 15 2 2" xfId="15386" xr:uid="{987DFA57-5A2E-428C-BE02-C0BD5B2F2447}"/>
    <cellStyle name="Migliaia 3 2 2 2 15 2 2 2" xfId="30563" xr:uid="{A50808B7-E31E-425C-9EE6-E66D813A58B4}"/>
    <cellStyle name="Migliaia 3 2 2 2 15 2 3" xfId="27018" xr:uid="{A236EB56-D12B-4726-AE70-0CE9B0EAF0D1}"/>
    <cellStyle name="Migliaia 3 2 2 2 15 3" xfId="7666" xr:uid="{0CFC3436-C74A-4417-AE21-5A4C4B7C474E}"/>
    <cellStyle name="Migliaia 3 2 2 2 15 3 2" xfId="22846" xr:uid="{64AAE7CD-8703-4771-8A6E-5D1D9E5B3235}"/>
    <cellStyle name="Migliaia 3 2 2 2 15 4" xfId="19558" xr:uid="{884B2BD2-AB02-4B22-A589-E3A53E172BDA}"/>
    <cellStyle name="Migliaia 3 2 2 2 16" xfId="8384" xr:uid="{3547FF1A-7D03-4569-BC77-74A527153441}"/>
    <cellStyle name="Migliaia 3 2 2 2 16 2" xfId="12558" xr:uid="{EB3DC867-5C88-41C4-AE44-9E2342E2E340}"/>
    <cellStyle name="Migliaia 3 2 2 2 16 2 2" xfId="27735" xr:uid="{FAC59372-29AA-4207-97CE-C370BE92BF6D}"/>
    <cellStyle name="Migliaia 3 2 2 2 16 3" xfId="23563" xr:uid="{013BB91A-A523-4279-ADA5-54F3895058CD}"/>
    <cellStyle name="Migliaia 3 2 2 2 17" xfId="16103" xr:uid="{4DA26E1A-56D8-4C41-8B30-5B95CFF9EAE8}"/>
    <cellStyle name="Migliaia 3 2 2 2 18" xfId="31445" xr:uid="{97F12B65-BCBE-4A4B-8F36-5876CBC5D6E4}"/>
    <cellStyle name="Migliaia 3 2 2 2 19" xfId="705" xr:uid="{A71FA1F1-4B62-47B0-9FAC-55C2CED6EC19}"/>
    <cellStyle name="Migliaia 3 2 2 2 2" xfId="603" xr:uid="{3FD76CDC-AEAE-4BB8-989D-B8F67C113A97}"/>
    <cellStyle name="Migliaia 3 2 2 2 2 10" xfId="2313" xr:uid="{F7D5FA40-4A72-4316-A8A7-04DDD45E5660}"/>
    <cellStyle name="Migliaia 3 2 2 2 2 10 2" xfId="9808" xr:uid="{4B4A1952-BCA5-4AE3-9835-EDF12CB7EFF9}"/>
    <cellStyle name="Migliaia 3 2 2 2 2 10 2 2" xfId="13467" xr:uid="{711838DB-0C05-4709-ACB4-B7248251EBDE}"/>
    <cellStyle name="Migliaia 3 2 2 2 2 10 2 2 2" xfId="28644" xr:uid="{08F78FFC-B966-4BB9-87A2-0E661ABAB267}"/>
    <cellStyle name="Migliaia 3 2 2 2 2 10 2 3" xfId="24986" xr:uid="{8A3DBA06-7C3B-4E4D-8580-DE3A34B00BFF}"/>
    <cellStyle name="Migliaia 3 2 2 2 2 10 3" xfId="5634" xr:uid="{E2EDD554-7923-4E3A-BF40-BA2C05EEE17B}"/>
    <cellStyle name="Migliaia 3 2 2 2 2 10 3 2" xfId="20814" xr:uid="{1FD354F3-B90D-4028-8383-B95A93C73945}"/>
    <cellStyle name="Migliaia 3 2 2 2 2 10 4" xfId="17526" xr:uid="{36F7F047-CDF5-488A-B359-DCDAB92B0149}"/>
    <cellStyle name="Migliaia 3 2 2 2 2 11" xfId="3203" xr:uid="{55A9EBAB-B8FA-47D4-BB16-B0C65A6CF877}"/>
    <cellStyle name="Migliaia 3 2 2 2 2 11 2" xfId="10692" xr:uid="{10529EE1-E20A-4614-ADAE-75EC77BAADD0}"/>
    <cellStyle name="Migliaia 3 2 2 2 2 11 2 2" xfId="14238" xr:uid="{3678B885-FA3A-4449-A100-3CC067693D63}"/>
    <cellStyle name="Migliaia 3 2 2 2 2 11 2 2 2" xfId="29415" xr:uid="{AFAFD4D8-2F58-4C9F-A383-79A5E6C9EA18}"/>
    <cellStyle name="Migliaia 3 2 2 2 2 11 2 3" xfId="25870" xr:uid="{2A95D542-860F-4907-95E7-4D2176F615FA}"/>
    <cellStyle name="Migliaia 3 2 2 2 2 11 3" xfId="6518" xr:uid="{10510E63-1D6D-416E-A01C-74DC4EE98292}"/>
    <cellStyle name="Migliaia 3 2 2 2 2 11 3 2" xfId="21698" xr:uid="{F438ED22-2685-43DE-89BE-425467018B82}"/>
    <cellStyle name="Migliaia 3 2 2 2 2 11 4" xfId="18410" xr:uid="{5C35465C-FEBD-4C63-A04F-3560A59E77B2}"/>
    <cellStyle name="Migliaia 3 2 2 2 2 12" xfId="4356" xr:uid="{3CDFEDD8-9B65-431D-A14C-45A1688CF612}"/>
    <cellStyle name="Migliaia 3 2 2 2 2 12 2" xfId="11841" xr:uid="{D2987FEA-C117-40CF-AA30-449DBEB1F194}"/>
    <cellStyle name="Migliaia 3 2 2 2 2 12 2 2" xfId="15387" xr:uid="{09C9BFF7-FBDB-487B-9CA6-E92A4FDC00D7}"/>
    <cellStyle name="Migliaia 3 2 2 2 2 12 2 2 2" xfId="30564" xr:uid="{4ADA0E61-A943-4101-8780-74A5404284CA}"/>
    <cellStyle name="Migliaia 3 2 2 2 2 12 2 3" xfId="27019" xr:uid="{341EA995-C8B3-4E2E-AE9B-EA21335AD823}"/>
    <cellStyle name="Migliaia 3 2 2 2 2 12 3" xfId="7667" xr:uid="{2BA44595-6C54-4985-AA20-09AF221B9466}"/>
    <cellStyle name="Migliaia 3 2 2 2 2 12 3 2" xfId="22847" xr:uid="{E3C753AD-3138-4A69-A4E3-E63491142095}"/>
    <cellStyle name="Migliaia 3 2 2 2 2 12 4" xfId="19559" xr:uid="{79A2A02F-8B80-4ACD-A0B8-19863E5F1420}"/>
    <cellStyle name="Migliaia 3 2 2 2 2 13" xfId="8409" xr:uid="{4F1352DF-2CE2-4C5D-A70F-5B6905751747}"/>
    <cellStyle name="Migliaia 3 2 2 2 2 13 2" xfId="12583" xr:uid="{62823943-D3E7-4F20-9B88-2C752E5E06D4}"/>
    <cellStyle name="Migliaia 3 2 2 2 2 13 2 2" xfId="27760" xr:uid="{64F4B489-F0FE-456A-8515-A77D120E116C}"/>
    <cellStyle name="Migliaia 3 2 2 2 2 13 3" xfId="23588" xr:uid="{D0136FEE-693F-4EBC-A6D2-9BD46AABB1CD}"/>
    <cellStyle name="Migliaia 3 2 2 2 2 14" xfId="16128" xr:uid="{E6F15FD3-4125-4E32-BD74-CA00792C9E7B}"/>
    <cellStyle name="Migliaia 3 2 2 2 2 15" xfId="31470" xr:uid="{8F235128-BF2C-4A5C-BFA5-DCD7132F7E9C}"/>
    <cellStyle name="Migliaia 3 2 2 2 2 16" xfId="740" xr:uid="{79CD104A-C856-4053-8497-C7A3DCAA6EEC}"/>
    <cellStyle name="Migliaia 3 2 2 2 2 2" xfId="792" xr:uid="{13B46E14-EB39-47B6-A522-2E77AA5ADB8E}"/>
    <cellStyle name="Migliaia 3 2 2 2 2 2 10" xfId="8458" xr:uid="{0B7BBA6E-9069-431A-AC0A-3192FAEBB5F3}"/>
    <cellStyle name="Migliaia 3 2 2 2 2 2 10 2" xfId="12632" xr:uid="{CEB12DFC-0098-4DDB-86B8-499DAA1416E5}"/>
    <cellStyle name="Migliaia 3 2 2 2 2 2 10 2 2" xfId="27809" xr:uid="{33FAADFA-FE8E-4D6D-829B-8CBDB46D8FD3}"/>
    <cellStyle name="Migliaia 3 2 2 2 2 2 10 3" xfId="23637" xr:uid="{22668549-2084-408A-845C-AAC210D72825}"/>
    <cellStyle name="Migliaia 3 2 2 2 2 2 11" xfId="16177" xr:uid="{6FEA33AC-B9A0-4324-A9BE-B656E2DCC0D0}"/>
    <cellStyle name="Migliaia 3 2 2 2 2 2 12" xfId="31519" xr:uid="{B0322611-B330-4BD9-8EFA-31A7815A7FCF}"/>
    <cellStyle name="Migliaia 3 2 2 2 2 2 2" xfId="969" xr:uid="{701E9F55-EE84-46D8-B585-FD8AA80AAA6D}"/>
    <cellStyle name="Migliaia 3 2 2 2 2 2 2 10" xfId="16299" xr:uid="{645D6FAA-1821-4377-9DD0-BF2BB0E8699C}"/>
    <cellStyle name="Migliaia 3 2 2 2 2 2 2 11" xfId="31389" xr:uid="{05B4703C-81CB-4F37-BB71-037C4CD48F42}"/>
    <cellStyle name="Migliaia 3 2 2 2 2 2 2 12" xfId="31739" xr:uid="{57AA90A2-F1FA-469D-BF96-C77795128173}"/>
    <cellStyle name="Migliaia 3 2 2 2 2 2 2 2" xfId="1330" xr:uid="{AE2CB245-47A8-499E-875E-111A64FA20AD}"/>
    <cellStyle name="Migliaia 3 2 2 2 2 2 2 2 2" xfId="3647" xr:uid="{26EB16C7-C828-4CB5-8970-90EE0F3FB785}"/>
    <cellStyle name="Migliaia 3 2 2 2 2 2 2 2 2 2" xfId="11135" xr:uid="{1D1084B3-B3A5-4A91-ABF6-392922C1480E}"/>
    <cellStyle name="Migliaia 3 2 2 2 2 2 2 2 2 2 2" xfId="14681" xr:uid="{3157F7F3-DCB2-4242-B987-AE9F3AADD205}"/>
    <cellStyle name="Migliaia 3 2 2 2 2 2 2 2 2 2 2 2" xfId="29858" xr:uid="{41B172F5-F42B-4D32-9345-8367E55F6E0B}"/>
    <cellStyle name="Migliaia 3 2 2 2 2 2 2 2 2 2 3" xfId="26313" xr:uid="{0C313C2C-86FB-40C7-A2A1-EB6036B49DCD}"/>
    <cellStyle name="Migliaia 3 2 2 2 2 2 2 2 2 3" xfId="6961" xr:uid="{166B7889-E36E-4911-96ED-0F8BD3D14CE8}"/>
    <cellStyle name="Migliaia 3 2 2 2 2 2 2 2 2 3 2" xfId="22141" xr:uid="{EF34D2AB-7015-4C61-A3CB-B2EE8133D8C6}"/>
    <cellStyle name="Migliaia 3 2 2 2 2 2 2 2 2 4" xfId="18853" xr:uid="{C297A764-5C5A-4559-8C3A-D586FEE285BE}"/>
    <cellStyle name="Migliaia 3 2 2 2 2 2 2 2 3" xfId="4357" xr:uid="{8453FA86-6DF6-4BCF-8705-D8002EC907F6}"/>
    <cellStyle name="Migliaia 3 2 2 2 2 2 2 2 3 2" xfId="11842" xr:uid="{688F027B-E147-4458-A845-02BC8DEE8645}"/>
    <cellStyle name="Migliaia 3 2 2 2 2 2 2 2 3 2 2" xfId="15388" xr:uid="{305B2B8C-3FCE-4F7F-908A-7CBD8921229E}"/>
    <cellStyle name="Migliaia 3 2 2 2 2 2 2 2 3 2 2 2" xfId="30565" xr:uid="{08A8506B-95F8-4A7E-BAA3-1392BB42C203}"/>
    <cellStyle name="Migliaia 3 2 2 2 2 2 2 2 3 2 3" xfId="27020" xr:uid="{DB4C0B03-D5BC-45F6-8987-B88201577FC4}"/>
    <cellStyle name="Migliaia 3 2 2 2 2 2 2 2 3 3" xfId="7668" xr:uid="{E7E2BF08-BDC7-4843-825C-48F1225B0A2C}"/>
    <cellStyle name="Migliaia 3 2 2 2 2 2 2 2 3 3 2" xfId="22848" xr:uid="{C39561E9-08FF-4B62-AD46-D429B7E16047}"/>
    <cellStyle name="Migliaia 3 2 2 2 2 2 2 2 3 4" xfId="19560" xr:uid="{39F41772-A089-4F87-AA78-D900EE71E15E}"/>
    <cellStyle name="Migliaia 3 2 2 2 2 2 2 2 4" xfId="2760" xr:uid="{B9AF20D5-F240-47A8-A87E-3F476C4E4BAA}"/>
    <cellStyle name="Migliaia 3 2 2 2 2 2 2 2 4 2" xfId="10251" xr:uid="{19ACE809-3D24-4B8A-8D4C-2BDC9733DB9C}"/>
    <cellStyle name="Migliaia 3 2 2 2 2 2 2 2 4 2 2" xfId="25429" xr:uid="{B7A463B7-4F73-4B37-BAEF-C397F15DB140}"/>
    <cellStyle name="Migliaia 3 2 2 2 2 2 2 2 4 3" xfId="17969" xr:uid="{F5BBD055-A291-41FA-92C2-3FF30568B13B}"/>
    <cellStyle name="Migliaia 3 2 2 2 2 2 2 2 5" xfId="8853" xr:uid="{D2AFE205-79BE-44A4-B1FE-4166C68A307C}"/>
    <cellStyle name="Migliaia 3 2 2 2 2 2 2 2 5 2" xfId="13026" xr:uid="{CFD2C74B-DC36-40E0-99FE-BB58C8D002B2}"/>
    <cellStyle name="Migliaia 3 2 2 2 2 2 2 2 5 2 2" xfId="28203" xr:uid="{9A427315-7930-4A06-8F4B-3B7A200EB64E}"/>
    <cellStyle name="Migliaia 3 2 2 2 2 2 2 2 5 3" xfId="24031" xr:uid="{C2C844D7-B9AD-437F-80A5-1F3666899383}"/>
    <cellStyle name="Migliaia 3 2 2 2 2 2 2 2 6" xfId="6077" xr:uid="{5E9B7D45-F326-4929-AA9C-4C8B1B81055E}"/>
    <cellStyle name="Migliaia 3 2 2 2 2 2 2 2 6 2" xfId="21257" xr:uid="{70113DC9-9497-42C0-84A1-6729456C63D1}"/>
    <cellStyle name="Migliaia 3 2 2 2 2 2 2 2 7" xfId="16571" xr:uid="{22345594-33F5-4F44-9DF2-2FC83AF392F0}"/>
    <cellStyle name="Migliaia 3 2 2 2 2 2 2 3" xfId="2487" xr:uid="{222544B8-A81B-4D37-9E31-AF0070E89057}"/>
    <cellStyle name="Migliaia 3 2 2 2 2 2 2 3 2" xfId="9979" xr:uid="{4039849A-2965-4AF1-A7F5-55F0EF5E2067}"/>
    <cellStyle name="Migliaia 3 2 2 2 2 2 2 3 2 2" xfId="13638" xr:uid="{5F076E08-D5D1-45FF-BB0D-F2E5C5325F42}"/>
    <cellStyle name="Migliaia 3 2 2 2 2 2 2 3 2 2 2" xfId="28815" xr:uid="{0074B4A9-442B-4D03-B9E1-903FCBABBC43}"/>
    <cellStyle name="Migliaia 3 2 2 2 2 2 2 3 2 3" xfId="25157" xr:uid="{846050C2-064C-4751-A5FD-B72906EDC006}"/>
    <cellStyle name="Migliaia 3 2 2 2 2 2 2 3 3" xfId="5805" xr:uid="{D1B86628-ED24-45E4-B9A7-83DC8177FE7F}"/>
    <cellStyle name="Migliaia 3 2 2 2 2 2 2 3 3 2" xfId="20985" xr:uid="{67BC000D-E56E-40C5-85A1-C6F900EDBD21}"/>
    <cellStyle name="Migliaia 3 2 2 2 2 2 2 3 4" xfId="17697" xr:uid="{37337964-B5EF-4D41-98CB-1BB347709A6F}"/>
    <cellStyle name="Migliaia 3 2 2 2 2 2 2 4" xfId="3375" xr:uid="{457328B8-62C2-47EE-8E95-75C0CCAF9D41}"/>
    <cellStyle name="Migliaia 3 2 2 2 2 2 2 4 2" xfId="10863" xr:uid="{76286726-7EC2-4F35-9484-BA2F0716B773}"/>
    <cellStyle name="Migliaia 3 2 2 2 2 2 2 4 2 2" xfId="14409" xr:uid="{9E0509DA-9C2E-4DBB-A7AC-A3625FD6B776}"/>
    <cellStyle name="Migliaia 3 2 2 2 2 2 2 4 2 2 2" xfId="29586" xr:uid="{75374E90-6A70-4D9E-A4CC-E5C5D656606E}"/>
    <cellStyle name="Migliaia 3 2 2 2 2 2 2 4 2 3" xfId="26041" xr:uid="{9FB3CC27-4436-41A1-91F9-BE76F5D7B592}"/>
    <cellStyle name="Migliaia 3 2 2 2 2 2 2 4 3" xfId="6689" xr:uid="{3409BB17-6EB5-4930-8227-AF590E89D96D}"/>
    <cellStyle name="Migliaia 3 2 2 2 2 2 2 4 3 2" xfId="21869" xr:uid="{AB5DB924-125A-49E0-A7E4-FAD847E5522D}"/>
    <cellStyle name="Migliaia 3 2 2 2 2 2 2 4 4" xfId="18581" xr:uid="{911F1AE8-75CE-4FD2-AFD1-616B136A3951}"/>
    <cellStyle name="Migliaia 3 2 2 2 2 2 2 5" xfId="4358" xr:uid="{E7C787E3-76CF-4677-9F02-4B62E4176AB3}"/>
    <cellStyle name="Migliaia 3 2 2 2 2 2 2 5 2" xfId="11843" xr:uid="{A326DEC5-8B0F-4CCE-87F6-2DA6940BFA1D}"/>
    <cellStyle name="Migliaia 3 2 2 2 2 2 2 5 2 2" xfId="15389" xr:uid="{AE799A0B-B62A-4DFC-95DF-93ED7D96A8BD}"/>
    <cellStyle name="Migliaia 3 2 2 2 2 2 2 5 2 2 2" xfId="30566" xr:uid="{572DD6F1-378A-4C87-937E-FDBB5FEFACAC}"/>
    <cellStyle name="Migliaia 3 2 2 2 2 2 2 5 2 3" xfId="27021" xr:uid="{F683747B-111B-4C3F-A841-92FA1F731820}"/>
    <cellStyle name="Migliaia 3 2 2 2 2 2 2 5 3" xfId="7669" xr:uid="{F96C44FF-580B-46FE-8DE1-4DCC73634013}"/>
    <cellStyle name="Migliaia 3 2 2 2 2 2 2 5 3 2" xfId="22849" xr:uid="{E061FE96-C459-4DD1-A028-5619656E4632}"/>
    <cellStyle name="Migliaia 3 2 2 2 2 2 2 5 4" xfId="19561" xr:uid="{B014A597-AF03-4A6E-A6B6-2364CC8AFB6B}"/>
    <cellStyle name="Migliaia 3 2 2 2 2 2 2 6" xfId="5049" xr:uid="{53443723-05BE-4FEF-92C1-2253C2F137E3}"/>
    <cellStyle name="Migliaia 3 2 2 2 2 2 2 6 2" xfId="12533" xr:uid="{A0595419-B6C4-4963-BA0C-6AD5DFF9C4BB}"/>
    <cellStyle name="Migliaia 3 2 2 2 2 2 2 6 2 2" xfId="16079" xr:uid="{3012A158-AA02-4228-8D84-B3A131413705}"/>
    <cellStyle name="Migliaia 3 2 2 2 2 2 2 6 2 2 2" xfId="31256" xr:uid="{92A079DA-6919-4000-A22C-DA1ED516A369}"/>
    <cellStyle name="Migliaia 3 2 2 2 2 2 2 6 2 3" xfId="27711" xr:uid="{E15BC2F8-68A4-4B9F-81AA-B2FA27209026}"/>
    <cellStyle name="Migliaia 3 2 2 2 2 2 2 6 3" xfId="8359" xr:uid="{05FAC621-67E2-45EE-A106-6B10C256D638}"/>
    <cellStyle name="Migliaia 3 2 2 2 2 2 2 6 3 2" xfId="23539" xr:uid="{D9C5C061-3A41-4D43-8884-E1BFC73695A1}"/>
    <cellStyle name="Migliaia 3 2 2 2 2 2 2 6 4" xfId="20251" xr:uid="{1F450557-33B7-4415-A957-AC770F8E3EFF}"/>
    <cellStyle name="Migliaia 3 2 2 2 2 2 2 7" xfId="1870" xr:uid="{F1F88228-F301-442C-A7AB-300B606190CB}"/>
    <cellStyle name="Migliaia 3 2 2 2 2 2 2 7 2" xfId="9367" xr:uid="{6B4340BE-2F75-4294-A79F-C07426DCCAE2}"/>
    <cellStyle name="Migliaia 3 2 2 2 2 2 2 7 2 2" xfId="24545" xr:uid="{CBFDEA8A-2506-483B-B620-CBAA1CCF0772}"/>
    <cellStyle name="Migliaia 3 2 2 2 2 2 2 7 3" xfId="17085" xr:uid="{7DD8B31F-1107-4758-BD51-C5BB510E8645}"/>
    <cellStyle name="Migliaia 3 2 2 2 2 2 2 8" xfId="8581" xr:uid="{6355A156-0D2E-4AB1-9233-E3A3F6A32DFC}"/>
    <cellStyle name="Migliaia 3 2 2 2 2 2 2 8 2" xfId="12754" xr:uid="{89AA1622-2E6B-49E6-BC76-0B49E1F6B1A7}"/>
    <cellStyle name="Migliaia 3 2 2 2 2 2 2 8 2 2" xfId="27931" xr:uid="{BFB158AD-9BC6-48F4-88A3-8236129EC409}"/>
    <cellStyle name="Migliaia 3 2 2 2 2 2 2 8 3" xfId="23759" xr:uid="{78C9EE5D-B3B8-4805-BE46-76A7732B18A0}"/>
    <cellStyle name="Migliaia 3 2 2 2 2 2 2 9" xfId="5193" xr:uid="{4CB2E330-A93D-472F-806D-E1E2C7C77742}"/>
    <cellStyle name="Migliaia 3 2 2 2 2 2 2 9 2" xfId="20373" xr:uid="{3527C09A-DB00-45F7-906C-09BE2D8B34EC}"/>
    <cellStyle name="Migliaia 3 2 2 2 2 2 3" xfId="1072" xr:uid="{1988817E-3F66-4236-AFAD-DB31CD196AA4}"/>
    <cellStyle name="Migliaia 3 2 2 2 2 2 3 10" xfId="31617" xr:uid="{6D07C9A2-9C11-4B08-921C-06BB9C61F8FB}"/>
    <cellStyle name="Migliaia 3 2 2 2 2 2 3 2" xfId="1432" xr:uid="{849FADD3-0355-4072-970D-F44BB022B694}"/>
    <cellStyle name="Migliaia 3 2 2 2 2 2 3 2 2" xfId="3745" xr:uid="{785BF6D5-CF6B-456D-904F-6C3E548625AB}"/>
    <cellStyle name="Migliaia 3 2 2 2 2 2 3 2 2 2" xfId="11233" xr:uid="{91141524-5737-421A-B6D8-D32A7C9861ED}"/>
    <cellStyle name="Migliaia 3 2 2 2 2 2 3 2 2 2 2" xfId="14779" xr:uid="{E65D84AB-F2B1-47DF-9E6C-ABC40225F18C}"/>
    <cellStyle name="Migliaia 3 2 2 2 2 2 3 2 2 2 2 2" xfId="29956" xr:uid="{62E0F903-0BEB-4D65-8E7B-3DA9AD1B1D8B}"/>
    <cellStyle name="Migliaia 3 2 2 2 2 2 3 2 2 2 3" xfId="26411" xr:uid="{6E559915-304F-4BD5-AD89-42D4FF6006C1}"/>
    <cellStyle name="Migliaia 3 2 2 2 2 2 3 2 2 3" xfId="7059" xr:uid="{0432B2EB-5FC8-4108-9143-2E19733DD704}"/>
    <cellStyle name="Migliaia 3 2 2 2 2 2 3 2 2 3 2" xfId="22239" xr:uid="{E0083E14-7D40-4B44-B1F1-E9370E634E72}"/>
    <cellStyle name="Migliaia 3 2 2 2 2 2 3 2 2 4" xfId="18951" xr:uid="{B38047C5-D06A-4F5E-B4DB-300827B1AC65}"/>
    <cellStyle name="Migliaia 3 2 2 2 2 2 3 2 3" xfId="4359" xr:uid="{67B9DC0E-3A99-47BD-970B-3781114DAA0F}"/>
    <cellStyle name="Migliaia 3 2 2 2 2 2 3 2 3 2" xfId="11844" xr:uid="{548632AF-D41E-40EB-86C9-DFC990C1CE02}"/>
    <cellStyle name="Migliaia 3 2 2 2 2 2 3 2 3 2 2" xfId="15390" xr:uid="{6CA9D301-1370-4F2C-9576-7A8B693166CE}"/>
    <cellStyle name="Migliaia 3 2 2 2 2 2 3 2 3 2 2 2" xfId="30567" xr:uid="{B40744C9-B07F-42B1-9D46-B192649F42BE}"/>
    <cellStyle name="Migliaia 3 2 2 2 2 2 3 2 3 2 3" xfId="27022" xr:uid="{BF34920B-16C6-45C0-9334-7A53CF57C550}"/>
    <cellStyle name="Migliaia 3 2 2 2 2 2 3 2 3 3" xfId="7670" xr:uid="{10B318C1-082F-43E7-A4FC-1BCF95FF08B8}"/>
    <cellStyle name="Migliaia 3 2 2 2 2 2 3 2 3 3 2" xfId="22850" xr:uid="{1E8376EB-04A6-4C5E-9C82-98C29E4CD4FF}"/>
    <cellStyle name="Migliaia 3 2 2 2 2 2 3 2 3 4" xfId="19562" xr:uid="{ACD721AC-2964-4BD0-A583-F099741E017F}"/>
    <cellStyle name="Migliaia 3 2 2 2 2 2 3 2 4" xfId="2858" xr:uid="{7B36B107-5C94-407B-8D1E-9ECA4787E989}"/>
    <cellStyle name="Migliaia 3 2 2 2 2 2 3 2 4 2" xfId="10349" xr:uid="{5F1200F9-EFEF-43F3-9EEE-19FB11BFEE50}"/>
    <cellStyle name="Migliaia 3 2 2 2 2 2 3 2 4 2 2" xfId="25527" xr:uid="{6692900C-0789-4E38-94FB-A679CD2AD3A5}"/>
    <cellStyle name="Migliaia 3 2 2 2 2 2 3 2 4 3" xfId="18067" xr:uid="{3B2BDF3D-4AD3-4DBD-834A-D83B016188A6}"/>
    <cellStyle name="Migliaia 3 2 2 2 2 2 3 2 5" xfId="8951" xr:uid="{1A60AA7C-BFCB-49BA-AD9B-90026B0C7EF8}"/>
    <cellStyle name="Migliaia 3 2 2 2 2 2 3 2 5 2" xfId="13124" xr:uid="{8CCF679F-C3B1-42E1-AC59-78CEE8088C38}"/>
    <cellStyle name="Migliaia 3 2 2 2 2 2 3 2 5 2 2" xfId="28301" xr:uid="{24DB85B6-ECF3-4E81-B84E-677742B17580}"/>
    <cellStyle name="Migliaia 3 2 2 2 2 2 3 2 5 3" xfId="24129" xr:uid="{24805915-BF12-41E0-8CA4-DCCF8E5FAF30}"/>
    <cellStyle name="Migliaia 3 2 2 2 2 2 3 2 6" xfId="6175" xr:uid="{D11153B7-EA31-4B81-A7CB-EE2F34117430}"/>
    <cellStyle name="Migliaia 3 2 2 2 2 2 3 2 6 2" xfId="21355" xr:uid="{D34DA437-75C7-4336-A385-D7A8D8322AA8}"/>
    <cellStyle name="Migliaia 3 2 2 2 2 2 3 2 7" xfId="16669" xr:uid="{776C69DB-B5D5-452A-A638-AA124FA467D1}"/>
    <cellStyle name="Migliaia 3 2 2 2 2 2 3 3" xfId="2585" xr:uid="{33340CAF-EABD-48DE-BC57-BD982A1E2747}"/>
    <cellStyle name="Migliaia 3 2 2 2 2 2 3 3 2" xfId="10077" xr:uid="{EEE81F2D-937F-4B5B-A11A-7D8BBACAAA2C}"/>
    <cellStyle name="Migliaia 3 2 2 2 2 2 3 3 2 2" xfId="13736" xr:uid="{48D7E62F-CB68-48DF-A268-75CA228D30FC}"/>
    <cellStyle name="Migliaia 3 2 2 2 2 2 3 3 2 2 2" xfId="28913" xr:uid="{7BA95DCC-EC9F-4C99-BB86-D48FE5F4774F}"/>
    <cellStyle name="Migliaia 3 2 2 2 2 2 3 3 2 3" xfId="25255" xr:uid="{72CAD70E-A925-492D-BDB2-AB8BB810D441}"/>
    <cellStyle name="Migliaia 3 2 2 2 2 2 3 3 3" xfId="5903" xr:uid="{39AADE19-0E67-459C-829E-A672F5C3E8D8}"/>
    <cellStyle name="Migliaia 3 2 2 2 2 2 3 3 3 2" xfId="21083" xr:uid="{F9D66E14-AF57-4C56-B83A-461C29A3CCF4}"/>
    <cellStyle name="Migliaia 3 2 2 2 2 2 3 3 4" xfId="17795" xr:uid="{8EECEBF8-7564-48DE-B99B-EEC4715B7447}"/>
    <cellStyle name="Migliaia 3 2 2 2 2 2 3 4" xfId="3473" xr:uid="{DDF25542-1B2B-43AD-A486-199BCCBDBD3E}"/>
    <cellStyle name="Migliaia 3 2 2 2 2 2 3 4 2" xfId="10961" xr:uid="{5DB99465-FD78-43B4-AC7B-655D10DF0311}"/>
    <cellStyle name="Migliaia 3 2 2 2 2 2 3 4 2 2" xfId="14507" xr:uid="{3DBA2E9B-5642-4474-A107-8D017BA0868B}"/>
    <cellStyle name="Migliaia 3 2 2 2 2 2 3 4 2 2 2" xfId="29684" xr:uid="{FFDE71DD-B025-4273-B274-8EA2FD542FCA}"/>
    <cellStyle name="Migliaia 3 2 2 2 2 2 3 4 2 3" xfId="26139" xr:uid="{48C78707-FA1C-4398-A2CC-D172A7C44B46}"/>
    <cellStyle name="Migliaia 3 2 2 2 2 2 3 4 3" xfId="6787" xr:uid="{05E55890-5BAA-48B2-9588-FD27A6D46AD8}"/>
    <cellStyle name="Migliaia 3 2 2 2 2 2 3 4 3 2" xfId="21967" xr:uid="{ED14D538-FCD2-4191-96D9-964F4D8E5DBA}"/>
    <cellStyle name="Migliaia 3 2 2 2 2 2 3 4 4" xfId="18679" xr:uid="{0261BC57-69F4-4E02-BDDD-2741AD2649EE}"/>
    <cellStyle name="Migliaia 3 2 2 2 2 2 3 5" xfId="4360" xr:uid="{7C865AC9-595F-47E0-9CE7-640D792D17B6}"/>
    <cellStyle name="Migliaia 3 2 2 2 2 2 3 5 2" xfId="11845" xr:uid="{D2BE406E-1F03-4E69-A9BC-9F483BA9BC33}"/>
    <cellStyle name="Migliaia 3 2 2 2 2 2 3 5 2 2" xfId="15391" xr:uid="{97DD7C6B-9250-44D6-8C40-F6593B7212BD}"/>
    <cellStyle name="Migliaia 3 2 2 2 2 2 3 5 2 2 2" xfId="30568" xr:uid="{1279C34B-60BB-4F4D-9E56-744EE58126B1}"/>
    <cellStyle name="Migliaia 3 2 2 2 2 2 3 5 2 3" xfId="27023" xr:uid="{7CFAD0D4-3F77-444A-8C59-FE477CA12610}"/>
    <cellStyle name="Migliaia 3 2 2 2 2 2 3 5 3" xfId="7671" xr:uid="{64048965-28A1-4B10-8ACB-9B493E588E1D}"/>
    <cellStyle name="Migliaia 3 2 2 2 2 2 3 5 3 2" xfId="22851" xr:uid="{D49F3B3C-E6FE-4991-BAB6-9DA69BAE08D9}"/>
    <cellStyle name="Migliaia 3 2 2 2 2 2 3 5 4" xfId="19563" xr:uid="{A8A6FF78-58AA-4C4D-B695-07488522FAEF}"/>
    <cellStyle name="Migliaia 3 2 2 2 2 2 3 6" xfId="1968" xr:uid="{EB691B27-5B54-433A-A7EA-C6BC7FEDAEBA}"/>
    <cellStyle name="Migliaia 3 2 2 2 2 2 3 6 2" xfId="9465" xr:uid="{B9A0E2A2-FF07-45D6-AF74-D99FCAB9690A}"/>
    <cellStyle name="Migliaia 3 2 2 2 2 2 3 6 2 2" xfId="24643" xr:uid="{4D0AAA7E-C044-4C89-B02C-8131AD43910E}"/>
    <cellStyle name="Migliaia 3 2 2 2 2 2 3 6 3" xfId="17183" xr:uid="{36A01F8E-E0F1-495D-9402-4FCF1B391765}"/>
    <cellStyle name="Migliaia 3 2 2 2 2 2 3 7" xfId="8679" xr:uid="{C7211742-9375-44A1-8341-AB92E1B314A7}"/>
    <cellStyle name="Migliaia 3 2 2 2 2 2 3 7 2" xfId="12852" xr:uid="{F6A42B85-5AAF-44F9-8837-1B1E3C35449B}"/>
    <cellStyle name="Migliaia 3 2 2 2 2 2 3 7 2 2" xfId="28029" xr:uid="{C179EC15-369A-493F-A698-96A124914194}"/>
    <cellStyle name="Migliaia 3 2 2 2 2 2 3 7 3" xfId="23857" xr:uid="{381E384E-601C-4262-AD28-92ABFC758349}"/>
    <cellStyle name="Migliaia 3 2 2 2 2 2 3 8" xfId="5291" xr:uid="{FA413EDC-1268-4E41-93D2-98E7EB695698}"/>
    <cellStyle name="Migliaia 3 2 2 2 2 2 3 8 2" xfId="20471" xr:uid="{878DBC0A-105F-4BCF-84C9-1728DDABC472}"/>
    <cellStyle name="Migliaia 3 2 2 2 2 2 3 9" xfId="16397" xr:uid="{58F0E852-FA14-4C09-981D-BE7D1A85F5E1}"/>
    <cellStyle name="Migliaia 3 2 2 2 2 2 4" xfId="1531" xr:uid="{2C27BC51-582B-4DBC-B7C0-098B8575506E}"/>
    <cellStyle name="Migliaia 3 2 2 2 2 2 4 2" xfId="2956" xr:uid="{664656D6-F7DD-43B4-84CA-A774AC0860E7}"/>
    <cellStyle name="Migliaia 3 2 2 2 2 2 4 2 2" xfId="10447" xr:uid="{B5372AE8-0736-4195-A193-02EF064974C7}"/>
    <cellStyle name="Migliaia 3 2 2 2 2 2 4 2 2 2" xfId="13993" xr:uid="{BB069805-9FA7-4133-9600-F4998B5510E4}"/>
    <cellStyle name="Migliaia 3 2 2 2 2 2 4 2 2 2 2" xfId="29170" xr:uid="{69F20D99-0D3D-4287-9457-82ED4ACF7412}"/>
    <cellStyle name="Migliaia 3 2 2 2 2 2 4 2 2 3" xfId="25625" xr:uid="{92C64370-5A21-4906-BE40-FFF9AB01E3A2}"/>
    <cellStyle name="Migliaia 3 2 2 2 2 2 4 2 3" xfId="6273" xr:uid="{5F078341-CFB8-4F2D-A6E4-501DC1326727}"/>
    <cellStyle name="Migliaia 3 2 2 2 2 2 4 2 3 2" xfId="21453" xr:uid="{7F0FCA4D-F8B4-4B90-9215-9344BA9B6FC4}"/>
    <cellStyle name="Migliaia 3 2 2 2 2 2 4 2 4" xfId="18165" xr:uid="{B462EC70-1A24-4D41-8DB1-64984DB57BDA}"/>
    <cellStyle name="Migliaia 3 2 2 2 2 2 4 3" xfId="3843" xr:uid="{85198483-52B7-4117-B845-22DCD6D5E8F6}"/>
    <cellStyle name="Migliaia 3 2 2 2 2 2 4 3 2" xfId="11331" xr:uid="{038687A6-3009-448D-A5CE-2BBAEFF69227}"/>
    <cellStyle name="Migliaia 3 2 2 2 2 2 4 3 2 2" xfId="14877" xr:uid="{DC36D28F-974E-4D08-A3FD-257EEDFF7550}"/>
    <cellStyle name="Migliaia 3 2 2 2 2 2 4 3 2 2 2" xfId="30054" xr:uid="{9B28DE13-6BF9-4570-A2EA-CA81DE9F0150}"/>
    <cellStyle name="Migliaia 3 2 2 2 2 2 4 3 2 3" xfId="26509" xr:uid="{5742CA01-3A63-4983-9551-BF145A4E7A04}"/>
    <cellStyle name="Migliaia 3 2 2 2 2 2 4 3 3" xfId="7157" xr:uid="{C60237F9-2E50-4D63-A4D0-D43B50C1C4E3}"/>
    <cellStyle name="Migliaia 3 2 2 2 2 2 4 3 3 2" xfId="22337" xr:uid="{E5AD5418-1845-4E38-865C-CB6908AA7EA8}"/>
    <cellStyle name="Migliaia 3 2 2 2 2 2 4 3 4" xfId="19049" xr:uid="{C3EC4013-2AFA-4EA2-B7C5-D324A8422C08}"/>
    <cellStyle name="Migliaia 3 2 2 2 2 2 4 4" xfId="4361" xr:uid="{5FFFFA98-CC66-4C61-8427-CBF8D2FBB832}"/>
    <cellStyle name="Migliaia 3 2 2 2 2 2 4 4 2" xfId="11846" xr:uid="{E96E9BAB-5A90-43A4-89F2-B601FD9EBA41}"/>
    <cellStyle name="Migliaia 3 2 2 2 2 2 4 4 2 2" xfId="15392" xr:uid="{13B6E894-4F45-4AC7-A802-697608F6234F}"/>
    <cellStyle name="Migliaia 3 2 2 2 2 2 4 4 2 2 2" xfId="30569" xr:uid="{1373E58D-95B6-43F3-AF8B-51EF9723B736}"/>
    <cellStyle name="Migliaia 3 2 2 2 2 2 4 4 2 3" xfId="27024" xr:uid="{C05D1DD8-7BA6-4732-A4BB-7E00C6B8AB14}"/>
    <cellStyle name="Migliaia 3 2 2 2 2 2 4 4 3" xfId="7672" xr:uid="{BBDCADD9-FF06-4490-8027-32F7E1EAF736}"/>
    <cellStyle name="Migliaia 3 2 2 2 2 2 4 4 3 2" xfId="22852" xr:uid="{456D528E-7CE2-40A6-B02E-D15B67D021BF}"/>
    <cellStyle name="Migliaia 3 2 2 2 2 2 4 4 4" xfId="19564" xr:uid="{D76CAAB1-B080-47E4-971F-C3B64CCBE4C8}"/>
    <cellStyle name="Migliaia 3 2 2 2 2 2 4 5" xfId="2066" xr:uid="{85EDC15E-62AD-41FE-ABEC-A100F40BFA90}"/>
    <cellStyle name="Migliaia 3 2 2 2 2 2 4 5 2" xfId="9563" xr:uid="{A33FA0C5-FA64-4132-812F-B3A752EBE676}"/>
    <cellStyle name="Migliaia 3 2 2 2 2 2 4 5 2 2" xfId="24741" xr:uid="{3319ABF3-9E21-4186-B775-545BE879448E}"/>
    <cellStyle name="Migliaia 3 2 2 2 2 2 4 5 3" xfId="17281" xr:uid="{09D49FFF-EBF1-4B2F-9432-BCC47AB44A25}"/>
    <cellStyle name="Migliaia 3 2 2 2 2 2 4 6" xfId="9049" xr:uid="{61ED3A75-184F-4ABE-8A04-F9FFD689100E}"/>
    <cellStyle name="Migliaia 3 2 2 2 2 2 4 6 2" xfId="13222" xr:uid="{77ACCFE9-793D-4879-927A-6A4FA9B7DAB6}"/>
    <cellStyle name="Migliaia 3 2 2 2 2 2 4 6 2 2" xfId="28399" xr:uid="{7685D470-9E60-4A22-856E-FAB6EEB3D851}"/>
    <cellStyle name="Migliaia 3 2 2 2 2 2 4 6 3" xfId="24227" xr:uid="{85D04FDC-4BD7-4EFC-BB7A-3A5B41CE5ED2}"/>
    <cellStyle name="Migliaia 3 2 2 2 2 2 4 7" xfId="5389" xr:uid="{03B51A60-940C-44FD-A643-1E1541569006}"/>
    <cellStyle name="Migliaia 3 2 2 2 2 2 4 7 2" xfId="20569" xr:uid="{E20A8096-99D3-4937-868C-F83B01CC6B47}"/>
    <cellStyle name="Migliaia 3 2 2 2 2 2 4 8" xfId="16767" xr:uid="{A379A67D-1007-488C-A339-ADF351EF970C}"/>
    <cellStyle name="Migliaia 3 2 2 2 2 2 5" xfId="1634" xr:uid="{2CF61601-9187-4128-8FC9-59C0BC2EBDD3}"/>
    <cellStyle name="Migliaia 3 2 2 2 2 2 5 2" xfId="3054" xr:uid="{AB571374-9556-4992-9747-56BCF4C75A46}"/>
    <cellStyle name="Migliaia 3 2 2 2 2 2 5 2 2" xfId="10545" xr:uid="{7C58BE4A-74E6-4B2D-8E71-8BCEAB119F77}"/>
    <cellStyle name="Migliaia 3 2 2 2 2 2 5 2 2 2" xfId="14091" xr:uid="{0DD6C03F-A7AA-48D5-A542-56DF1806DE98}"/>
    <cellStyle name="Migliaia 3 2 2 2 2 2 5 2 2 2 2" xfId="29268" xr:uid="{D76D1904-3CDC-423D-AE51-25BBC9A2CB87}"/>
    <cellStyle name="Migliaia 3 2 2 2 2 2 5 2 2 3" xfId="25723" xr:uid="{0DD37B19-4682-486D-82C0-042C1C8DF2B5}"/>
    <cellStyle name="Migliaia 3 2 2 2 2 2 5 2 3" xfId="6371" xr:uid="{C26C2A84-895C-4D2C-877B-3AA392FCBFDA}"/>
    <cellStyle name="Migliaia 3 2 2 2 2 2 5 2 3 2" xfId="21551" xr:uid="{A31786AE-0B83-472F-852B-0C56989C299D}"/>
    <cellStyle name="Migliaia 3 2 2 2 2 2 5 2 4" xfId="18263" xr:uid="{2FE66C89-C494-4DAC-BCC9-4ADBDB2AAD32}"/>
    <cellStyle name="Migliaia 3 2 2 2 2 2 5 3" xfId="3941" xr:uid="{7865ADDB-17E2-4629-92A1-DE89A0757C58}"/>
    <cellStyle name="Migliaia 3 2 2 2 2 2 5 3 2" xfId="11429" xr:uid="{F3FF088A-25A2-4137-9645-FFC80140C806}"/>
    <cellStyle name="Migliaia 3 2 2 2 2 2 5 3 2 2" xfId="14975" xr:uid="{0CACE47A-F20C-4703-B3F3-44EF5926E850}"/>
    <cellStyle name="Migliaia 3 2 2 2 2 2 5 3 2 2 2" xfId="30152" xr:uid="{8F825742-8479-4F0C-A0D0-61310FD91CA6}"/>
    <cellStyle name="Migliaia 3 2 2 2 2 2 5 3 2 3" xfId="26607" xr:uid="{05B48376-CE7F-43EC-856E-15F33C8D03D2}"/>
    <cellStyle name="Migliaia 3 2 2 2 2 2 5 3 3" xfId="7255" xr:uid="{F537C446-92FE-473F-902F-4454857E3387}"/>
    <cellStyle name="Migliaia 3 2 2 2 2 2 5 3 3 2" xfId="22435" xr:uid="{B1886A2B-948E-42A7-A3B4-5D6E5009C310}"/>
    <cellStyle name="Migliaia 3 2 2 2 2 2 5 3 4" xfId="19147" xr:uid="{6C8BA7A4-8EF3-496E-AD56-2D6EFD357536}"/>
    <cellStyle name="Migliaia 3 2 2 2 2 2 5 4" xfId="4362" xr:uid="{57FCAD22-78F1-408A-8FC5-F3C196B8CF38}"/>
    <cellStyle name="Migliaia 3 2 2 2 2 2 5 4 2" xfId="11847" xr:uid="{227E66FE-AD69-40AB-BFBC-FC443EF3927F}"/>
    <cellStyle name="Migliaia 3 2 2 2 2 2 5 4 2 2" xfId="15393" xr:uid="{D5529D36-FD06-4542-9F24-1E418C15F26F}"/>
    <cellStyle name="Migliaia 3 2 2 2 2 2 5 4 2 2 2" xfId="30570" xr:uid="{19B5D72B-7D55-4A6F-868D-81FC778DC251}"/>
    <cellStyle name="Migliaia 3 2 2 2 2 2 5 4 2 3" xfId="27025" xr:uid="{0BF6AD23-21B9-4438-B22F-F106CD136627}"/>
    <cellStyle name="Migliaia 3 2 2 2 2 2 5 4 3" xfId="7673" xr:uid="{1DA4939E-04CD-43B2-A7E4-AE12209F6934}"/>
    <cellStyle name="Migliaia 3 2 2 2 2 2 5 4 3 2" xfId="22853" xr:uid="{06C06DB8-517C-4EFC-863A-588C81C439CF}"/>
    <cellStyle name="Migliaia 3 2 2 2 2 2 5 4 4" xfId="19565" xr:uid="{65956E79-0F70-4AB3-9395-94A638424EB1}"/>
    <cellStyle name="Migliaia 3 2 2 2 2 2 5 5" xfId="2164" xr:uid="{36254FC0-9146-4588-9A28-A062F52F3181}"/>
    <cellStyle name="Migliaia 3 2 2 2 2 2 5 5 2" xfId="9661" xr:uid="{43207C84-6F08-450D-9499-ED3BA6F6467E}"/>
    <cellStyle name="Migliaia 3 2 2 2 2 2 5 5 2 2" xfId="24839" xr:uid="{128ECFB0-2314-45B7-8CDC-285068E93840}"/>
    <cellStyle name="Migliaia 3 2 2 2 2 2 5 5 3" xfId="17379" xr:uid="{A3099B8C-5479-4825-8978-6CB5B19E851C}"/>
    <cellStyle name="Migliaia 3 2 2 2 2 2 5 6" xfId="9147" xr:uid="{9FA5029E-22E1-4200-B44A-87A240385DA4}"/>
    <cellStyle name="Migliaia 3 2 2 2 2 2 5 6 2" xfId="13320" xr:uid="{3551EE86-A23F-4404-ABE8-8C3487D9078A}"/>
    <cellStyle name="Migliaia 3 2 2 2 2 2 5 6 2 2" xfId="28497" xr:uid="{ECD00CB9-3CC9-46DE-95C9-B384E03D0ECF}"/>
    <cellStyle name="Migliaia 3 2 2 2 2 2 5 6 3" xfId="24325" xr:uid="{097719E7-87F9-4930-81ED-F0F9D42D1906}"/>
    <cellStyle name="Migliaia 3 2 2 2 2 2 5 7" xfId="5487" xr:uid="{F119DF23-8B87-49A6-8CF0-7C2968E09480}"/>
    <cellStyle name="Migliaia 3 2 2 2 2 2 5 7 2" xfId="20667" xr:uid="{B6C0D9AA-1F6E-4FEC-808F-EC5F53D67378}"/>
    <cellStyle name="Migliaia 3 2 2 2 2 2 5 8" xfId="16865" xr:uid="{BA5601F0-3F37-4CA9-8D57-610811CFD85B}"/>
    <cellStyle name="Migliaia 3 2 2 2 2 2 6" xfId="1733" xr:uid="{CA7EA2B0-03FE-4FDE-A429-27B7F028F4EF}"/>
    <cellStyle name="Migliaia 3 2 2 2 2 2 6 2" xfId="3152" xr:uid="{7E60BCFE-3EFA-443A-A94B-EBA834341792}"/>
    <cellStyle name="Migliaia 3 2 2 2 2 2 6 2 2" xfId="10643" xr:uid="{70EB77F2-F832-47D7-88AE-CED4AF080AC1}"/>
    <cellStyle name="Migliaia 3 2 2 2 2 2 6 2 2 2" xfId="14189" xr:uid="{9F999853-188F-4B78-BDFE-10B539712254}"/>
    <cellStyle name="Migliaia 3 2 2 2 2 2 6 2 2 2 2" xfId="29366" xr:uid="{4BD4F8AA-990E-407A-BA87-C347195C434E}"/>
    <cellStyle name="Migliaia 3 2 2 2 2 2 6 2 2 3" xfId="25821" xr:uid="{86DE541E-28C7-4519-90A8-EF5B7C061DDF}"/>
    <cellStyle name="Migliaia 3 2 2 2 2 2 6 2 3" xfId="6469" xr:uid="{95EA0A40-F986-46AF-BD31-21A32610D5AC}"/>
    <cellStyle name="Migliaia 3 2 2 2 2 2 6 2 3 2" xfId="21649" xr:uid="{293FB189-E8E8-42AE-96D2-DDE3CB40B1CD}"/>
    <cellStyle name="Migliaia 3 2 2 2 2 2 6 2 4" xfId="18361" xr:uid="{3986B71C-A45E-4B28-84D8-AD9593C8FC50}"/>
    <cellStyle name="Migliaia 3 2 2 2 2 2 6 3" xfId="4039" xr:uid="{1F9246F3-BC86-44EE-BAE6-5B517062B2E4}"/>
    <cellStyle name="Migliaia 3 2 2 2 2 2 6 3 2" xfId="11527" xr:uid="{2C536B05-0780-4697-9D28-E50F72A7A865}"/>
    <cellStyle name="Migliaia 3 2 2 2 2 2 6 3 2 2" xfId="15073" xr:uid="{8B97464B-56DE-4BEE-8B09-8534E500B5ED}"/>
    <cellStyle name="Migliaia 3 2 2 2 2 2 6 3 2 2 2" xfId="30250" xr:uid="{B3679C80-B876-4E38-AEAE-C3B275D9757C}"/>
    <cellStyle name="Migliaia 3 2 2 2 2 2 6 3 2 3" xfId="26705" xr:uid="{2282EC09-81F9-41F8-B65B-D3A4EE7F5A88}"/>
    <cellStyle name="Migliaia 3 2 2 2 2 2 6 3 3" xfId="7353" xr:uid="{53B9D3E2-1DA9-4F27-95DB-4967098F4161}"/>
    <cellStyle name="Migliaia 3 2 2 2 2 2 6 3 3 2" xfId="22533" xr:uid="{E1149BA3-CAED-46F3-85FC-E353FAE967DF}"/>
    <cellStyle name="Migliaia 3 2 2 2 2 2 6 3 4" xfId="19245" xr:uid="{9EFDF015-889D-4206-B754-0CAAC09E9832}"/>
    <cellStyle name="Migliaia 3 2 2 2 2 2 6 4" xfId="4363" xr:uid="{CB58259F-47A1-4877-84CA-4035772FE8DC}"/>
    <cellStyle name="Migliaia 3 2 2 2 2 2 6 4 2" xfId="11848" xr:uid="{8385CDB0-D7CD-491A-A875-5E5905E316BB}"/>
    <cellStyle name="Migliaia 3 2 2 2 2 2 6 4 2 2" xfId="15394" xr:uid="{87BB511D-EF17-4F17-A714-0A5C52CC4D48}"/>
    <cellStyle name="Migliaia 3 2 2 2 2 2 6 4 2 2 2" xfId="30571" xr:uid="{520591CB-0198-4DFB-8A7E-0990D7FE887E}"/>
    <cellStyle name="Migliaia 3 2 2 2 2 2 6 4 2 3" xfId="27026" xr:uid="{7CAEF717-15D2-4655-914B-EBF0974E10F4}"/>
    <cellStyle name="Migliaia 3 2 2 2 2 2 6 4 3" xfId="7674" xr:uid="{899CF40E-D466-4B75-B710-75AFA197B8F3}"/>
    <cellStyle name="Migliaia 3 2 2 2 2 2 6 4 3 2" xfId="22854" xr:uid="{D66B9101-9D5F-4E67-8571-A160A12FE023}"/>
    <cellStyle name="Migliaia 3 2 2 2 2 2 6 4 4" xfId="19566" xr:uid="{2842AE33-094E-4C64-8BA6-B87C8FA97266}"/>
    <cellStyle name="Migliaia 3 2 2 2 2 2 6 5" xfId="2262" xr:uid="{D3C9DFD8-1952-436C-85D8-CA87B15AB9BB}"/>
    <cellStyle name="Migliaia 3 2 2 2 2 2 6 5 2" xfId="9759" xr:uid="{649CD044-4E91-48E6-AD9F-B5CDFDC223E6}"/>
    <cellStyle name="Migliaia 3 2 2 2 2 2 6 5 2 2" xfId="24937" xr:uid="{E5420366-78A1-42E2-A1E3-B2401EA4FF0E}"/>
    <cellStyle name="Migliaia 3 2 2 2 2 2 6 5 3" xfId="17477" xr:uid="{D2608CFC-4567-49F3-8F91-FF854C1BA290}"/>
    <cellStyle name="Migliaia 3 2 2 2 2 2 6 6" xfId="9245" xr:uid="{9102CEA6-3458-40FD-8B81-D61A5F9A537D}"/>
    <cellStyle name="Migliaia 3 2 2 2 2 2 6 6 2" xfId="13418" xr:uid="{B2213C1F-9E5D-49CA-BF3D-E0025901BC82}"/>
    <cellStyle name="Migliaia 3 2 2 2 2 2 6 6 2 2" xfId="28595" xr:uid="{4B9AE765-1D9C-4F64-8227-596679014A32}"/>
    <cellStyle name="Migliaia 3 2 2 2 2 2 6 6 3" xfId="24423" xr:uid="{A7D6E513-16F9-44B6-8EC7-F0765706FD24}"/>
    <cellStyle name="Migliaia 3 2 2 2 2 2 6 7" xfId="5585" xr:uid="{513CFAB7-F913-4955-B174-E8B7766EC597}"/>
    <cellStyle name="Migliaia 3 2 2 2 2 2 6 7 2" xfId="20765" xr:uid="{3BC47624-E965-45D8-AADB-5D65CBD70200}"/>
    <cellStyle name="Migliaia 3 2 2 2 2 2 6 8" xfId="16963" xr:uid="{9987B860-D8E4-4492-86EE-09B74DD8476A}"/>
    <cellStyle name="Migliaia 3 2 2 2 2 2 7" xfId="2362" xr:uid="{46D11CA2-AFA8-4B30-BEF1-4BD08AF8CC17}"/>
    <cellStyle name="Migliaia 3 2 2 2 2 2 7 2" xfId="9857" xr:uid="{F753F546-E60A-4B01-B55E-F1A8E45D66E7}"/>
    <cellStyle name="Migliaia 3 2 2 2 2 2 7 2 2" xfId="13516" xr:uid="{25C8F7B2-A648-4521-B865-B210E84E47D1}"/>
    <cellStyle name="Migliaia 3 2 2 2 2 2 7 2 2 2" xfId="28693" xr:uid="{03274858-BA71-4D81-A913-8D194583A565}"/>
    <cellStyle name="Migliaia 3 2 2 2 2 2 7 2 3" xfId="25035" xr:uid="{52931105-6E32-4E28-A32D-E95B2694E58A}"/>
    <cellStyle name="Migliaia 3 2 2 2 2 2 7 3" xfId="5683" xr:uid="{E083B7FA-F7DC-4536-B5A5-F17244D7BA22}"/>
    <cellStyle name="Migliaia 3 2 2 2 2 2 7 3 2" xfId="20863" xr:uid="{0C2B754F-ED22-499F-B706-24E5D3273DA4}"/>
    <cellStyle name="Migliaia 3 2 2 2 2 2 7 4" xfId="17575" xr:uid="{03744D3D-56AB-4999-8187-ED42DEC00E6D}"/>
    <cellStyle name="Migliaia 3 2 2 2 2 2 8" xfId="3252" xr:uid="{27895906-FA8E-4DD1-80C9-86CB73FFC43F}"/>
    <cellStyle name="Migliaia 3 2 2 2 2 2 8 2" xfId="10741" xr:uid="{7941C5C4-C110-4496-A136-42A2BB69EACA}"/>
    <cellStyle name="Migliaia 3 2 2 2 2 2 8 2 2" xfId="14287" xr:uid="{28076D2D-A600-4550-9ED2-2EB80F12B8CB}"/>
    <cellStyle name="Migliaia 3 2 2 2 2 2 8 2 2 2" xfId="29464" xr:uid="{9498B2FE-516E-4182-ABDB-455A4674D922}"/>
    <cellStyle name="Migliaia 3 2 2 2 2 2 8 2 3" xfId="25919" xr:uid="{713A8C11-E7CC-4F17-A53A-898A1414A5F9}"/>
    <cellStyle name="Migliaia 3 2 2 2 2 2 8 3" xfId="6567" xr:uid="{9A339BF2-73C8-4D3F-ADC7-7C3CB27B9464}"/>
    <cellStyle name="Migliaia 3 2 2 2 2 2 8 3 2" xfId="21747" xr:uid="{874AFC5C-CD61-4C46-9756-1009903FDE82}"/>
    <cellStyle name="Migliaia 3 2 2 2 2 2 8 4" xfId="18459" xr:uid="{586BD2E9-AA0A-4314-A830-CE75C5DD1F58}"/>
    <cellStyle name="Migliaia 3 2 2 2 2 2 9" xfId="4364" xr:uid="{C5473447-C32D-4D6F-B4E6-3B140E2C253A}"/>
    <cellStyle name="Migliaia 3 2 2 2 2 2 9 2" xfId="11849" xr:uid="{7271C7EE-EE6D-49D8-A058-B38433CFCAA9}"/>
    <cellStyle name="Migliaia 3 2 2 2 2 2 9 2 2" xfId="15395" xr:uid="{462A50A5-ABC9-4B85-8191-BC9426C83233}"/>
    <cellStyle name="Migliaia 3 2 2 2 2 2 9 2 2 2" xfId="30572" xr:uid="{73BE4265-361B-44CF-AD51-F36D26A7AA4B}"/>
    <cellStyle name="Migliaia 3 2 2 2 2 2 9 2 3" xfId="27027" xr:uid="{EC170C1F-DC4F-49EA-9687-A6236351A9A4}"/>
    <cellStyle name="Migliaia 3 2 2 2 2 2 9 3" xfId="7675" xr:uid="{A0D2EB66-4C91-4C01-AF40-36D108FECADC}"/>
    <cellStyle name="Migliaia 3 2 2 2 2 2 9 3 2" xfId="22855" xr:uid="{4754DB4F-9655-4062-83A5-3413EC850709}"/>
    <cellStyle name="Migliaia 3 2 2 2 2 2 9 4" xfId="19567" xr:uid="{145449F7-4D33-426B-B029-357DD97BC3F5}"/>
    <cellStyle name="Migliaia 3 2 2 2 2 3" xfId="920" xr:uid="{7AFA0E9B-4047-4278-BF8C-6E9D2C39EEF9}"/>
    <cellStyle name="Migliaia 3 2 2 2 2 3 2" xfId="2438" xr:uid="{A7E8CC6C-F2F3-41F9-B799-250777704E6B}"/>
    <cellStyle name="Migliaia 3 2 2 2 2 3 2 2" xfId="9930" xr:uid="{7827CE07-AE39-4B32-8683-CAB591D37825}"/>
    <cellStyle name="Migliaia 3 2 2 2 2 3 2 2 2" xfId="13589" xr:uid="{00748C20-5B6A-468B-A4C2-5EDC03CEB3F8}"/>
    <cellStyle name="Migliaia 3 2 2 2 2 3 2 2 2 2" xfId="28766" xr:uid="{D48605D5-CAB6-4095-AAB8-1DF4E1B2B9B5}"/>
    <cellStyle name="Migliaia 3 2 2 2 2 3 2 2 3" xfId="25108" xr:uid="{1D656438-E15E-4622-8377-24D1A3E0C36F}"/>
    <cellStyle name="Migliaia 3 2 2 2 2 3 2 3" xfId="5756" xr:uid="{AAA75AAD-8831-444D-A458-C6BE2D136ED6}"/>
    <cellStyle name="Migliaia 3 2 2 2 2 3 2 3 2" xfId="20936" xr:uid="{F87E9429-0812-43CE-BA68-AE67B202E831}"/>
    <cellStyle name="Migliaia 3 2 2 2 2 3 2 4" xfId="17648" xr:uid="{8965F068-D147-4B20-A8A2-24104764596B}"/>
    <cellStyle name="Migliaia 3 2 2 2 2 3 3" xfId="3326" xr:uid="{810BB121-CB10-4216-A0E4-4B46290FD31B}"/>
    <cellStyle name="Migliaia 3 2 2 2 2 3 3 2" xfId="10814" xr:uid="{721AC180-7087-41A2-8B39-2919A8CBE418}"/>
    <cellStyle name="Migliaia 3 2 2 2 2 3 3 2 2" xfId="14360" xr:uid="{C0BEA6EB-C9BD-42EE-9387-7B0CC7C3B360}"/>
    <cellStyle name="Migliaia 3 2 2 2 2 3 3 2 2 2" xfId="29537" xr:uid="{DEB2B4E7-4E7E-418A-A4C8-FFD9C96528E9}"/>
    <cellStyle name="Migliaia 3 2 2 2 2 3 3 2 3" xfId="25992" xr:uid="{7047659B-F1C4-461E-A77C-5268321E1C45}"/>
    <cellStyle name="Migliaia 3 2 2 2 2 3 3 3" xfId="6640" xr:uid="{FE9A0E26-FE5B-4E6E-9FA6-FE3E938EB908}"/>
    <cellStyle name="Migliaia 3 2 2 2 2 3 3 3 2" xfId="21820" xr:uid="{07673FF9-AC89-4511-837E-5DFD00552140}"/>
    <cellStyle name="Migliaia 3 2 2 2 2 3 3 4" xfId="18532" xr:uid="{A862289E-8E12-4478-AF8B-9A7131E5CCB8}"/>
    <cellStyle name="Migliaia 3 2 2 2 2 3 4" xfId="4365" xr:uid="{5B779863-C86A-4DBB-90D3-8D42401C600D}"/>
    <cellStyle name="Migliaia 3 2 2 2 2 3 4 2" xfId="11850" xr:uid="{9F6B7613-0632-4BD3-9B13-33130612256F}"/>
    <cellStyle name="Migliaia 3 2 2 2 2 3 4 2 2" xfId="15396" xr:uid="{9EEF3C47-1CA4-4CF1-9CD2-68162016F2D5}"/>
    <cellStyle name="Migliaia 3 2 2 2 2 3 4 2 2 2" xfId="30573" xr:uid="{968E2A7A-6FB2-4C36-9118-88C7DE0A4D05}"/>
    <cellStyle name="Migliaia 3 2 2 2 2 3 4 2 3" xfId="27028" xr:uid="{C088DCAE-26A4-4E46-8F87-55B1E4C18116}"/>
    <cellStyle name="Migliaia 3 2 2 2 2 3 4 3" xfId="7676" xr:uid="{34F2E8D2-8190-42E4-9B8C-25B157493ABB}"/>
    <cellStyle name="Migliaia 3 2 2 2 2 3 4 3 2" xfId="22856" xr:uid="{C5EAEFCC-B1B8-4BB7-A688-859B9FDCDC31}"/>
    <cellStyle name="Migliaia 3 2 2 2 2 3 4 4" xfId="19568" xr:uid="{99018B52-7146-446B-AB16-F19BB3BD38F3}"/>
    <cellStyle name="Migliaia 3 2 2 2 2 3 5" xfId="8532" xr:uid="{DA91584B-325B-479C-A3B1-751AB88982B0}"/>
    <cellStyle name="Migliaia 3 2 2 2 2 3 5 2" xfId="12705" xr:uid="{2230B708-A2D9-408E-941C-747930CAC306}"/>
    <cellStyle name="Migliaia 3 2 2 2 2 3 5 2 2" xfId="27882" xr:uid="{1B1E004C-8AF1-47B6-94EB-0B9D88CD577B}"/>
    <cellStyle name="Migliaia 3 2 2 2 2 3 5 3" xfId="23710" xr:uid="{3BE4A6B1-D833-4784-B3D8-307B5EA0712B}"/>
    <cellStyle name="Migliaia 3 2 2 2 2 3 6" xfId="16250" xr:uid="{9559FCC0-7866-4873-929B-9FCC853326F0}"/>
    <cellStyle name="Migliaia 3 2 2 2 2 3 7" xfId="31690" xr:uid="{10FA06BE-B7A0-4E9C-8F99-FE63B3F3A5AB}"/>
    <cellStyle name="Migliaia 3 2 2 2 2 4" xfId="1023" xr:uid="{DD4CD953-E50E-45D7-A5C8-E8C74F274619}"/>
    <cellStyle name="Migliaia 3 2 2 2 2 4 2" xfId="2536" xr:uid="{76346267-97F3-4F3F-A937-D323148C4B88}"/>
    <cellStyle name="Migliaia 3 2 2 2 2 4 2 2" xfId="10028" xr:uid="{B5281AAC-561D-462B-9CA0-A6866405B370}"/>
    <cellStyle name="Migliaia 3 2 2 2 2 4 2 2 2" xfId="13687" xr:uid="{D7A17FCB-3CAC-4F43-B630-3234BE8636BD}"/>
    <cellStyle name="Migliaia 3 2 2 2 2 4 2 2 2 2" xfId="28864" xr:uid="{A6FAD275-0363-4DB6-9362-85274E41CBC2}"/>
    <cellStyle name="Migliaia 3 2 2 2 2 4 2 2 3" xfId="25206" xr:uid="{6A9849F1-D7E8-4BAF-BC1D-77A678C0DE9F}"/>
    <cellStyle name="Migliaia 3 2 2 2 2 4 2 3" xfId="5854" xr:uid="{43F47F52-8A51-4781-8EC8-EE60C152D98F}"/>
    <cellStyle name="Migliaia 3 2 2 2 2 4 2 3 2" xfId="21034" xr:uid="{1C719E3A-D407-4BAE-9AAC-296DACAF4510}"/>
    <cellStyle name="Migliaia 3 2 2 2 2 4 2 4" xfId="17746" xr:uid="{259E1B28-F599-49B8-ADCF-CC43DA7401C1}"/>
    <cellStyle name="Migliaia 3 2 2 2 2 4 3" xfId="3424" xr:uid="{F29C1FE6-F948-4F13-BC0C-ABBF872C81AC}"/>
    <cellStyle name="Migliaia 3 2 2 2 2 4 3 2" xfId="10912" xr:uid="{D01A47B6-CAB7-4ED8-B696-722DB046D51D}"/>
    <cellStyle name="Migliaia 3 2 2 2 2 4 3 2 2" xfId="14458" xr:uid="{88C97F6D-B35D-45EC-979E-A8D75707B9CA}"/>
    <cellStyle name="Migliaia 3 2 2 2 2 4 3 2 2 2" xfId="29635" xr:uid="{BAD881B8-629F-4A41-A76E-7F437A833D51}"/>
    <cellStyle name="Migliaia 3 2 2 2 2 4 3 2 3" xfId="26090" xr:uid="{5CCEAAA8-613D-4913-A583-8DA629F0A70C}"/>
    <cellStyle name="Migliaia 3 2 2 2 2 4 3 3" xfId="6738" xr:uid="{383DF166-74EF-4796-B318-2509A465FEF9}"/>
    <cellStyle name="Migliaia 3 2 2 2 2 4 3 3 2" xfId="21918" xr:uid="{FA0C28DE-B871-4372-BFEB-467909933DF9}"/>
    <cellStyle name="Migliaia 3 2 2 2 2 4 3 4" xfId="18630" xr:uid="{58A0B781-79F1-47C1-B09E-29CEA3951109}"/>
    <cellStyle name="Migliaia 3 2 2 2 2 4 4" xfId="4366" xr:uid="{8A7EBB9B-58A7-42DD-8683-9A3700A82C7C}"/>
    <cellStyle name="Migliaia 3 2 2 2 2 4 4 2" xfId="11851" xr:uid="{0CF17080-4FED-4E13-B2C2-711F145961EB}"/>
    <cellStyle name="Migliaia 3 2 2 2 2 4 4 2 2" xfId="15397" xr:uid="{5BA6453F-A7FF-4E16-AB6C-1DD6768AF861}"/>
    <cellStyle name="Migliaia 3 2 2 2 2 4 4 2 2 2" xfId="30574" xr:uid="{8C648681-2653-46EF-9996-79A628D68326}"/>
    <cellStyle name="Migliaia 3 2 2 2 2 4 4 2 3" xfId="27029" xr:uid="{A5B20A2F-2608-4606-AD03-C4DED7B7F374}"/>
    <cellStyle name="Migliaia 3 2 2 2 2 4 4 3" xfId="7677" xr:uid="{2B987BB4-EFFF-4AAC-84AF-84BBCDAF3C68}"/>
    <cellStyle name="Migliaia 3 2 2 2 2 4 4 3 2" xfId="22857" xr:uid="{E85A624E-A5FF-4F3F-9CC0-39C1A5AE32C2}"/>
    <cellStyle name="Migliaia 3 2 2 2 2 4 4 4" xfId="19569" xr:uid="{77661BB7-8AD7-4E46-AA3D-C906D755D064}"/>
    <cellStyle name="Migliaia 3 2 2 2 2 4 5" xfId="8630" xr:uid="{703F931F-C863-4286-9958-803F2A2DA15C}"/>
    <cellStyle name="Migliaia 3 2 2 2 2 4 5 2" xfId="12803" xr:uid="{48013A90-8CFB-4281-B7BF-08C9BE066F99}"/>
    <cellStyle name="Migliaia 3 2 2 2 2 4 5 2 2" xfId="27980" xr:uid="{A694F304-0C03-4A3C-A5DB-E4E0319A9559}"/>
    <cellStyle name="Migliaia 3 2 2 2 2 4 5 3" xfId="23808" xr:uid="{D2FC991B-35BB-41B4-9327-645C94A4E86D}"/>
    <cellStyle name="Migliaia 3 2 2 2 2 4 6" xfId="16348" xr:uid="{7801667F-DB39-4307-8E52-B155C4A90268}"/>
    <cellStyle name="Migliaia 3 2 2 2 2 4 7" xfId="31568" xr:uid="{FAA0CA8D-6275-4E0F-AB21-5839C8B6D522}"/>
    <cellStyle name="Migliaia 3 2 2 2 2 5" xfId="1281" xr:uid="{91456DC4-4FE5-44C0-951F-ABC02A28A764}"/>
    <cellStyle name="Migliaia 3 2 2 2 2 5 10" xfId="31340" xr:uid="{A13C6612-537B-4D92-A3FD-0E2924AA3C5C}"/>
    <cellStyle name="Migliaia 3 2 2 2 2 5 2" xfId="2711" xr:uid="{7B2F5D07-019D-4C0D-A0F5-4FB92676D802}"/>
    <cellStyle name="Migliaia 3 2 2 2 2 5 2 2" xfId="10202" xr:uid="{2CDAFCDE-E439-4197-A6AE-FDA3305552ED}"/>
    <cellStyle name="Migliaia 3 2 2 2 2 5 2 2 2" xfId="13846" xr:uid="{E40548AB-7744-4CF5-84FE-71B92652EA48}"/>
    <cellStyle name="Migliaia 3 2 2 2 2 5 2 2 2 2" xfId="29023" xr:uid="{E11F0E8D-08B8-46B2-AD4D-55BFFE0728A6}"/>
    <cellStyle name="Migliaia 3 2 2 2 2 5 2 2 3" xfId="25380" xr:uid="{B4323297-C2BA-4C44-BDBB-920E813C4C0A}"/>
    <cellStyle name="Migliaia 3 2 2 2 2 5 2 3" xfId="6028" xr:uid="{8DB244F7-FC56-4AC8-B144-43AE0B69A51A}"/>
    <cellStyle name="Migliaia 3 2 2 2 2 5 2 3 2" xfId="21208" xr:uid="{7146801F-6ED0-4CF7-90FE-6F0462BEEE16}"/>
    <cellStyle name="Migliaia 3 2 2 2 2 5 2 4" xfId="17920" xr:uid="{642D182A-7759-496A-B13F-4206D5ABA7C7}"/>
    <cellStyle name="Migliaia 3 2 2 2 2 5 3" xfId="3598" xr:uid="{FFA53BFC-DFB7-458C-9C41-71BF6FEBA34D}"/>
    <cellStyle name="Migliaia 3 2 2 2 2 5 3 2" xfId="11086" xr:uid="{828C8E29-BE52-4D75-9335-DDC386DF8358}"/>
    <cellStyle name="Migliaia 3 2 2 2 2 5 3 2 2" xfId="14632" xr:uid="{F8231B70-F689-4740-BAA2-0120E284CE74}"/>
    <cellStyle name="Migliaia 3 2 2 2 2 5 3 2 2 2" xfId="29809" xr:uid="{18E98967-E64D-4341-BDEF-4D742BE2788C}"/>
    <cellStyle name="Migliaia 3 2 2 2 2 5 3 2 3" xfId="26264" xr:uid="{811250C8-5594-44E2-B848-7460620E5298}"/>
    <cellStyle name="Migliaia 3 2 2 2 2 5 3 3" xfId="6912" xr:uid="{59B43D56-3B1C-4092-99C1-44938FD777A2}"/>
    <cellStyle name="Migliaia 3 2 2 2 2 5 3 3 2" xfId="22092" xr:uid="{72E0A3DF-BC32-4519-A310-1193340749FA}"/>
    <cellStyle name="Migliaia 3 2 2 2 2 5 3 4" xfId="18804" xr:uid="{A20ADF60-325C-4C95-A386-EE7E61EBE9AF}"/>
    <cellStyle name="Migliaia 3 2 2 2 2 5 4" xfId="4367" xr:uid="{343CBB8E-75F7-4614-9C3A-82526F18051A}"/>
    <cellStyle name="Migliaia 3 2 2 2 2 5 4 2" xfId="11852" xr:uid="{2B8E6FB7-27D0-47BE-8814-F9BF8832E23F}"/>
    <cellStyle name="Migliaia 3 2 2 2 2 5 4 2 2" xfId="15398" xr:uid="{29E54080-2DE2-43B9-BB03-41CFF1D4B5F9}"/>
    <cellStyle name="Migliaia 3 2 2 2 2 5 4 2 2 2" xfId="30575" xr:uid="{7301AD1F-6F27-44FC-A808-A27B704A7349}"/>
    <cellStyle name="Migliaia 3 2 2 2 2 5 4 2 3" xfId="27030" xr:uid="{FC94886B-3394-40CF-89C0-91DA8CF92824}"/>
    <cellStyle name="Migliaia 3 2 2 2 2 5 4 3" xfId="7678" xr:uid="{44515521-E1E3-4BBC-9354-083989A83FF3}"/>
    <cellStyle name="Migliaia 3 2 2 2 2 5 4 3 2" xfId="22858" xr:uid="{2C04CBFC-AED6-40C3-8C42-CAFC0309846D}"/>
    <cellStyle name="Migliaia 3 2 2 2 2 5 4 4" xfId="19570" xr:uid="{53F59C8F-E35C-4FFF-BF77-646396949E56}"/>
    <cellStyle name="Migliaia 3 2 2 2 2 5 5" xfId="5000" xr:uid="{2F4E5CE0-03DE-4F59-9C41-AFCC5366C117}"/>
    <cellStyle name="Migliaia 3 2 2 2 2 5 5 2" xfId="12484" xr:uid="{4F2FDC62-B82B-4B99-8A4F-2DC462EAA154}"/>
    <cellStyle name="Migliaia 3 2 2 2 2 5 5 2 2" xfId="16030" xr:uid="{B46FC113-4187-4BB2-BB94-2B5AFF548583}"/>
    <cellStyle name="Migliaia 3 2 2 2 2 5 5 2 2 2" xfId="31207" xr:uid="{4A9C78D1-6C6A-4D4F-ADA7-82E25AFD4195}"/>
    <cellStyle name="Migliaia 3 2 2 2 2 5 5 2 3" xfId="27662" xr:uid="{630DA1D2-AF32-447B-90AA-7CE6CA962092}"/>
    <cellStyle name="Migliaia 3 2 2 2 2 5 5 3" xfId="8310" xr:uid="{2F9CDBF9-9E1F-4C7E-842C-480DA2BDBD1B}"/>
    <cellStyle name="Migliaia 3 2 2 2 2 5 5 3 2" xfId="23490" xr:uid="{820F102B-1DE7-40FF-9C4C-51E35FBDDC58}"/>
    <cellStyle name="Migliaia 3 2 2 2 2 5 5 4" xfId="20202" xr:uid="{49584547-0C33-496F-9F8F-CABE3D994E0A}"/>
    <cellStyle name="Migliaia 3 2 2 2 2 5 6" xfId="1821" xr:uid="{39DD62F4-2DB1-4CC3-A463-C862A1C7152D}"/>
    <cellStyle name="Migliaia 3 2 2 2 2 5 6 2" xfId="9318" xr:uid="{34658655-3865-4DD3-AF32-3A06707A0E49}"/>
    <cellStyle name="Migliaia 3 2 2 2 2 5 6 2 2" xfId="24496" xr:uid="{8457C879-D963-47B8-B81B-968987B65A14}"/>
    <cellStyle name="Migliaia 3 2 2 2 2 5 6 3" xfId="17036" xr:uid="{42532307-F134-4042-B769-FD42F866959B}"/>
    <cellStyle name="Migliaia 3 2 2 2 2 5 7" xfId="8804" xr:uid="{259F3CF7-390A-4091-BB02-3A76B2B700C9}"/>
    <cellStyle name="Migliaia 3 2 2 2 2 5 7 2" xfId="12977" xr:uid="{49E0D741-9B64-4976-A74C-61D3398C3EC7}"/>
    <cellStyle name="Migliaia 3 2 2 2 2 5 7 2 2" xfId="28154" xr:uid="{81F3D95F-CAD4-4944-8AB9-6C0577D14209}"/>
    <cellStyle name="Migliaia 3 2 2 2 2 5 7 3" xfId="23982" xr:uid="{B6116FFE-5160-4C7B-A506-5D957DDBD8B6}"/>
    <cellStyle name="Migliaia 3 2 2 2 2 5 8" xfId="5144" xr:uid="{8F3F3521-9BE4-46A9-8AB0-F138186CEE94}"/>
    <cellStyle name="Migliaia 3 2 2 2 2 5 8 2" xfId="20324" xr:uid="{A61FB31C-6572-4245-87F8-382C53D1C7F6}"/>
    <cellStyle name="Migliaia 3 2 2 2 2 5 9" xfId="16522" xr:uid="{F932F732-D5EF-4936-9078-A505F9AAE2A3}"/>
    <cellStyle name="Migliaia 3 2 2 2 2 6" xfId="1383" xr:uid="{3B248B79-D641-48CD-AD20-882D9684D311}"/>
    <cellStyle name="Migliaia 3 2 2 2 2 6 2" xfId="2809" xr:uid="{18A17384-F90A-47AE-97F4-DE0EADBDDDD4}"/>
    <cellStyle name="Migliaia 3 2 2 2 2 6 2 2" xfId="10300" xr:uid="{A590FC23-D8EA-4044-8501-85F1948BF32C}"/>
    <cellStyle name="Migliaia 3 2 2 2 2 6 2 2 2" xfId="13895" xr:uid="{BBEBD471-B611-4EF9-B5DA-DFCAED273146}"/>
    <cellStyle name="Migliaia 3 2 2 2 2 6 2 2 2 2" xfId="29072" xr:uid="{CAB2F2C5-34D3-4814-856A-803CFF73389B}"/>
    <cellStyle name="Migliaia 3 2 2 2 2 6 2 2 3" xfId="25478" xr:uid="{389947E5-743E-4B27-9752-592E46E1A410}"/>
    <cellStyle name="Migliaia 3 2 2 2 2 6 2 3" xfId="6126" xr:uid="{9593B86D-D19D-4FA5-8FFD-DD61595A2D63}"/>
    <cellStyle name="Migliaia 3 2 2 2 2 6 2 3 2" xfId="21306" xr:uid="{874EA641-447B-45D5-BE62-6AEDE85787CB}"/>
    <cellStyle name="Migliaia 3 2 2 2 2 6 2 4" xfId="18018" xr:uid="{AD195F81-C934-414B-9243-8A316CF50B42}"/>
    <cellStyle name="Migliaia 3 2 2 2 2 6 3" xfId="3696" xr:uid="{47B075B5-ABC1-4A20-A915-4F536F401F4C}"/>
    <cellStyle name="Migliaia 3 2 2 2 2 6 3 2" xfId="11184" xr:uid="{37D51E50-B580-4D41-AADD-2983F02239E7}"/>
    <cellStyle name="Migliaia 3 2 2 2 2 6 3 2 2" xfId="14730" xr:uid="{8276C353-C07A-4325-895A-12B7F87894AC}"/>
    <cellStyle name="Migliaia 3 2 2 2 2 6 3 2 2 2" xfId="29907" xr:uid="{87405093-2811-4AEE-BA9D-54B9BFCD07B4}"/>
    <cellStyle name="Migliaia 3 2 2 2 2 6 3 2 3" xfId="26362" xr:uid="{D23BDECA-D99F-4A58-A97F-DDFD7D7D3D2B}"/>
    <cellStyle name="Migliaia 3 2 2 2 2 6 3 3" xfId="7010" xr:uid="{37B68C5B-8769-4FE4-BBA1-8CBBAAD79B40}"/>
    <cellStyle name="Migliaia 3 2 2 2 2 6 3 3 2" xfId="22190" xr:uid="{2C6EDC60-1280-4B7A-AE70-3C2ECC10A39C}"/>
    <cellStyle name="Migliaia 3 2 2 2 2 6 3 4" xfId="18902" xr:uid="{A703B31B-5270-4AE6-AAAA-9DBBE738F30E}"/>
    <cellStyle name="Migliaia 3 2 2 2 2 6 4" xfId="4368" xr:uid="{C5646496-99F3-48BD-B996-AD3E2C19CEDD}"/>
    <cellStyle name="Migliaia 3 2 2 2 2 6 4 2" xfId="11853" xr:uid="{2704D784-5332-46AD-8AF2-919A3EB98999}"/>
    <cellStyle name="Migliaia 3 2 2 2 2 6 4 2 2" xfId="15399" xr:uid="{2811D832-F9C2-42E9-9009-2A710CEB5541}"/>
    <cellStyle name="Migliaia 3 2 2 2 2 6 4 2 2 2" xfId="30576" xr:uid="{ED41A105-2B36-490D-87A5-A6090F124162}"/>
    <cellStyle name="Migliaia 3 2 2 2 2 6 4 2 3" xfId="27031" xr:uid="{B4D3B237-203F-4E8F-8A77-685E447BE8F2}"/>
    <cellStyle name="Migliaia 3 2 2 2 2 6 4 3" xfId="7679" xr:uid="{779124A4-F140-4EFC-9265-DE03AE12504F}"/>
    <cellStyle name="Migliaia 3 2 2 2 2 6 4 3 2" xfId="22859" xr:uid="{36247B0D-1DC2-4F74-93E7-1A08DA0FFA8C}"/>
    <cellStyle name="Migliaia 3 2 2 2 2 6 4 4" xfId="19571" xr:uid="{A91EF0C5-77A9-4532-A54B-169B9C7F48B8}"/>
    <cellStyle name="Migliaia 3 2 2 2 2 6 5" xfId="1919" xr:uid="{751A3050-B994-401A-8414-48232B064F0B}"/>
    <cellStyle name="Migliaia 3 2 2 2 2 6 5 2" xfId="9416" xr:uid="{5E1FC7EE-34CD-4D64-8C45-2E302F2B760F}"/>
    <cellStyle name="Migliaia 3 2 2 2 2 6 5 2 2" xfId="24594" xr:uid="{ED2FEFFA-5BD8-4C78-A093-D06993E25E9F}"/>
    <cellStyle name="Migliaia 3 2 2 2 2 6 5 3" xfId="17134" xr:uid="{8899E216-9E80-40D5-B523-34D1ABCD3B1D}"/>
    <cellStyle name="Migliaia 3 2 2 2 2 6 6" xfId="8902" xr:uid="{431B1EDC-8585-48DC-84FC-55805848F93A}"/>
    <cellStyle name="Migliaia 3 2 2 2 2 6 6 2" xfId="13075" xr:uid="{72474CCF-4A53-4B0F-A7E7-EF7881E4E4A2}"/>
    <cellStyle name="Migliaia 3 2 2 2 2 6 6 2 2" xfId="28252" xr:uid="{DCF9C6D3-C108-4B73-858D-660C15C86425}"/>
    <cellStyle name="Migliaia 3 2 2 2 2 6 6 3" xfId="24080" xr:uid="{406F68F6-D669-4ADF-9E19-165238D396BE}"/>
    <cellStyle name="Migliaia 3 2 2 2 2 6 7" xfId="5242" xr:uid="{3C3890A0-C4F2-4A2C-A55F-ACF2EEF08EF7}"/>
    <cellStyle name="Migliaia 3 2 2 2 2 6 7 2" xfId="20422" xr:uid="{04086DE7-FE0B-4D24-A6ED-5CF99A098B56}"/>
    <cellStyle name="Migliaia 3 2 2 2 2 6 8" xfId="16620" xr:uid="{B46E7A81-A328-4DB7-AFAE-03A63899D70E}"/>
    <cellStyle name="Migliaia 3 2 2 2 2 7" xfId="1482" xr:uid="{7F1F0EF9-AA37-4AD9-942C-CD390017C3F3}"/>
    <cellStyle name="Migliaia 3 2 2 2 2 7 2" xfId="2907" xr:uid="{A3B11663-C33C-4897-8C7F-24B381A024B7}"/>
    <cellStyle name="Migliaia 3 2 2 2 2 7 2 2" xfId="10398" xr:uid="{FABF575C-CFB0-4D21-A14E-6391CE4E5170}"/>
    <cellStyle name="Migliaia 3 2 2 2 2 7 2 2 2" xfId="13944" xr:uid="{A6FC0EA9-6884-4826-8947-32CF7057114D}"/>
    <cellStyle name="Migliaia 3 2 2 2 2 7 2 2 2 2" xfId="29121" xr:uid="{AC5CA051-7EE0-4245-A0AC-D68DE463BEBF}"/>
    <cellStyle name="Migliaia 3 2 2 2 2 7 2 2 3" xfId="25576" xr:uid="{C3C70D8C-955F-41EB-BDE3-80BC0B3BB0CF}"/>
    <cellStyle name="Migliaia 3 2 2 2 2 7 2 3" xfId="6224" xr:uid="{C5A0FC62-2EE9-4EE1-83E7-69C85A434D59}"/>
    <cellStyle name="Migliaia 3 2 2 2 2 7 2 3 2" xfId="21404" xr:uid="{D760BC12-D0FD-4D6B-8EC8-235029CF09D9}"/>
    <cellStyle name="Migliaia 3 2 2 2 2 7 2 4" xfId="18116" xr:uid="{3126C124-EBF8-48F7-A5F5-AD71D802A16E}"/>
    <cellStyle name="Migliaia 3 2 2 2 2 7 3" xfId="3794" xr:uid="{D0DF5EED-3888-4091-B56C-50B5B4B270FF}"/>
    <cellStyle name="Migliaia 3 2 2 2 2 7 3 2" xfId="11282" xr:uid="{503C6690-E953-4999-B846-0638C76F7E80}"/>
    <cellStyle name="Migliaia 3 2 2 2 2 7 3 2 2" xfId="14828" xr:uid="{ABBFC697-D9A3-439A-8CE2-78817D1D89AF}"/>
    <cellStyle name="Migliaia 3 2 2 2 2 7 3 2 2 2" xfId="30005" xr:uid="{DC26B040-9F1A-4CFC-B735-758F6D329C3E}"/>
    <cellStyle name="Migliaia 3 2 2 2 2 7 3 2 3" xfId="26460" xr:uid="{6D91DA1F-6210-45BE-A804-2A4BC874B2B3}"/>
    <cellStyle name="Migliaia 3 2 2 2 2 7 3 3" xfId="7108" xr:uid="{C11D7C3A-97DB-4510-B444-36B034F9F720}"/>
    <cellStyle name="Migliaia 3 2 2 2 2 7 3 3 2" xfId="22288" xr:uid="{094A1959-89B9-4B5F-99A2-67A75B6AE1C5}"/>
    <cellStyle name="Migliaia 3 2 2 2 2 7 3 4" xfId="19000" xr:uid="{C7C6A5B7-02B7-4488-AEB2-01D6EA546922}"/>
    <cellStyle name="Migliaia 3 2 2 2 2 7 4" xfId="4369" xr:uid="{E966599B-C1EF-49A3-BE06-7B356C8BF186}"/>
    <cellStyle name="Migliaia 3 2 2 2 2 7 4 2" xfId="11854" xr:uid="{0233B3EE-C182-4231-A897-DB81B8119B3F}"/>
    <cellStyle name="Migliaia 3 2 2 2 2 7 4 2 2" xfId="15400" xr:uid="{6E235144-E3F9-4D2D-B561-6EE335334BEE}"/>
    <cellStyle name="Migliaia 3 2 2 2 2 7 4 2 2 2" xfId="30577" xr:uid="{372F00B9-3524-47AB-9AE8-BCA2014E7D49}"/>
    <cellStyle name="Migliaia 3 2 2 2 2 7 4 2 3" xfId="27032" xr:uid="{FD5DA0F0-6A50-405E-AB51-05803F03A076}"/>
    <cellStyle name="Migliaia 3 2 2 2 2 7 4 3" xfId="7680" xr:uid="{0E16EABC-2063-4674-B476-523B71BEE989}"/>
    <cellStyle name="Migliaia 3 2 2 2 2 7 4 3 2" xfId="22860" xr:uid="{9333D9ED-86D0-45D1-9912-D9B9BB369756}"/>
    <cellStyle name="Migliaia 3 2 2 2 2 7 4 4" xfId="19572" xr:uid="{71D71EC8-37F3-499D-BC15-7D1CD7C8C1B5}"/>
    <cellStyle name="Migliaia 3 2 2 2 2 7 5" xfId="2017" xr:uid="{68B71693-817D-485E-8DB4-827BFFFC23AE}"/>
    <cellStyle name="Migliaia 3 2 2 2 2 7 5 2" xfId="9514" xr:uid="{48AAF0A3-2793-4699-AFDD-61A066B92AB0}"/>
    <cellStyle name="Migliaia 3 2 2 2 2 7 5 2 2" xfId="24692" xr:uid="{56D8096B-436B-42B4-8F00-194191415B90}"/>
    <cellStyle name="Migliaia 3 2 2 2 2 7 5 3" xfId="17232" xr:uid="{9D589410-E7C5-4DE9-9FBA-97A75C8084ED}"/>
    <cellStyle name="Migliaia 3 2 2 2 2 7 6" xfId="9000" xr:uid="{18B7085D-13A3-44FA-AE3B-CCD955FD19DA}"/>
    <cellStyle name="Migliaia 3 2 2 2 2 7 6 2" xfId="13173" xr:uid="{268DA18D-E5B3-4A68-86F3-4614599A95F4}"/>
    <cellStyle name="Migliaia 3 2 2 2 2 7 6 2 2" xfId="28350" xr:uid="{EA810D35-5F9E-4188-BB1B-7813D42D41E2}"/>
    <cellStyle name="Migliaia 3 2 2 2 2 7 6 3" xfId="24178" xr:uid="{961A36A0-8D20-41ED-9780-AE6234E0B537}"/>
    <cellStyle name="Migliaia 3 2 2 2 2 7 7" xfId="5340" xr:uid="{143EA099-EA63-4C9E-993B-DCCC58BE3753}"/>
    <cellStyle name="Migliaia 3 2 2 2 2 7 7 2" xfId="20520" xr:uid="{B1B5F472-C875-4CC7-9A38-6AEAFFE88C1D}"/>
    <cellStyle name="Migliaia 3 2 2 2 2 7 8" xfId="16718" xr:uid="{0433E1D2-E727-45F3-B694-A41AB6ABBE87}"/>
    <cellStyle name="Migliaia 3 2 2 2 2 8" xfId="1585" xr:uid="{908B616E-E7D8-48E8-B16A-FA6956C44B69}"/>
    <cellStyle name="Migliaia 3 2 2 2 2 8 2" xfId="3005" xr:uid="{6A0D016B-80FC-4272-8DAA-CC2EB253EF79}"/>
    <cellStyle name="Migliaia 3 2 2 2 2 8 2 2" xfId="10496" xr:uid="{EE32C973-F651-4C96-B1D8-25B14D69834D}"/>
    <cellStyle name="Migliaia 3 2 2 2 2 8 2 2 2" xfId="14042" xr:uid="{06D47838-337F-452F-A806-9347E7E1F350}"/>
    <cellStyle name="Migliaia 3 2 2 2 2 8 2 2 2 2" xfId="29219" xr:uid="{4481E962-1621-4F00-86DA-DC19BBCC4D4C}"/>
    <cellStyle name="Migliaia 3 2 2 2 2 8 2 2 3" xfId="25674" xr:uid="{6B711C76-4089-4EAA-B7D5-B4C8D550B324}"/>
    <cellStyle name="Migliaia 3 2 2 2 2 8 2 3" xfId="6322" xr:uid="{BE0E1725-3408-41D6-9238-72969D6D6D4C}"/>
    <cellStyle name="Migliaia 3 2 2 2 2 8 2 3 2" xfId="21502" xr:uid="{822205BC-6560-4D93-BA76-93A80B4A88A5}"/>
    <cellStyle name="Migliaia 3 2 2 2 2 8 2 4" xfId="18214" xr:uid="{68CBF597-6CE6-4583-B715-7518F5F32A82}"/>
    <cellStyle name="Migliaia 3 2 2 2 2 8 3" xfId="3892" xr:uid="{6C52F778-5532-415E-AF65-F425FCBE3096}"/>
    <cellStyle name="Migliaia 3 2 2 2 2 8 3 2" xfId="11380" xr:uid="{8BF0A4EB-7246-4F5F-842F-2720083DF0C2}"/>
    <cellStyle name="Migliaia 3 2 2 2 2 8 3 2 2" xfId="14926" xr:uid="{42787FE8-01B2-40BD-9600-C984C83A9DCD}"/>
    <cellStyle name="Migliaia 3 2 2 2 2 8 3 2 2 2" xfId="30103" xr:uid="{7A973271-9B4E-4F06-AFD2-27E658EC5D71}"/>
    <cellStyle name="Migliaia 3 2 2 2 2 8 3 2 3" xfId="26558" xr:uid="{670D077D-FC7E-4F3B-8FFB-7EEFF56EF499}"/>
    <cellStyle name="Migliaia 3 2 2 2 2 8 3 3" xfId="7206" xr:uid="{5CF4FC71-BF8F-4718-B0F7-B789475F867B}"/>
    <cellStyle name="Migliaia 3 2 2 2 2 8 3 3 2" xfId="22386" xr:uid="{1178F8BF-59B9-40D6-B040-DC7CE46296BE}"/>
    <cellStyle name="Migliaia 3 2 2 2 2 8 3 4" xfId="19098" xr:uid="{785B8E51-EFB3-4317-902F-A0709007C60D}"/>
    <cellStyle name="Migliaia 3 2 2 2 2 8 4" xfId="4370" xr:uid="{C4E29832-9E1B-41A7-B2FB-1AB5EEA3D603}"/>
    <cellStyle name="Migliaia 3 2 2 2 2 8 4 2" xfId="11855" xr:uid="{7C84EC7A-5C53-48C9-A785-1294E2AA327B}"/>
    <cellStyle name="Migliaia 3 2 2 2 2 8 4 2 2" xfId="15401" xr:uid="{FC9C82F6-FDD7-45FB-8E0B-475D4A84AE1C}"/>
    <cellStyle name="Migliaia 3 2 2 2 2 8 4 2 2 2" xfId="30578" xr:uid="{150B4166-E77F-47A9-B2A9-AD5314658B4C}"/>
    <cellStyle name="Migliaia 3 2 2 2 2 8 4 2 3" xfId="27033" xr:uid="{69D3976A-F921-4F37-8EEF-C981540149E4}"/>
    <cellStyle name="Migliaia 3 2 2 2 2 8 4 3" xfId="7681" xr:uid="{6E7F1AE5-9D6D-4996-B16F-2E8988E0FC0B}"/>
    <cellStyle name="Migliaia 3 2 2 2 2 8 4 3 2" xfId="22861" xr:uid="{49A3C3AA-9E90-4960-97BB-2C7BCAC32DAE}"/>
    <cellStyle name="Migliaia 3 2 2 2 2 8 4 4" xfId="19573" xr:uid="{1C44C1C2-2F56-42E6-A2A9-FE1F38DFC845}"/>
    <cellStyle name="Migliaia 3 2 2 2 2 8 5" xfId="2115" xr:uid="{E0262427-1C5A-400D-A17E-25B3EC11A2B3}"/>
    <cellStyle name="Migliaia 3 2 2 2 2 8 5 2" xfId="9612" xr:uid="{2CB7210D-02BB-496E-8622-471B617351FB}"/>
    <cellStyle name="Migliaia 3 2 2 2 2 8 5 2 2" xfId="24790" xr:uid="{B3136DB8-03F0-4710-A563-ADF5ECC36696}"/>
    <cellStyle name="Migliaia 3 2 2 2 2 8 5 3" xfId="17330" xr:uid="{A2C199CA-C726-432E-82F3-EFFE688AE8A6}"/>
    <cellStyle name="Migliaia 3 2 2 2 2 8 6" xfId="9098" xr:uid="{BFC0B210-8D8A-43E4-B052-30130DCD78FE}"/>
    <cellStyle name="Migliaia 3 2 2 2 2 8 6 2" xfId="13271" xr:uid="{C73FC953-8B1B-4633-9432-10F74CC6CA27}"/>
    <cellStyle name="Migliaia 3 2 2 2 2 8 6 2 2" xfId="28448" xr:uid="{8479FF0A-E48F-418E-9CB3-2116BBAACEAB}"/>
    <cellStyle name="Migliaia 3 2 2 2 2 8 6 3" xfId="24276" xr:uid="{883454A3-864A-451F-BBF8-577D5C33A6AC}"/>
    <cellStyle name="Migliaia 3 2 2 2 2 8 7" xfId="5438" xr:uid="{B8155E2C-D4CE-4785-8BA9-7A03D4FA7746}"/>
    <cellStyle name="Migliaia 3 2 2 2 2 8 7 2" xfId="20618" xr:uid="{711EDD19-8F10-47C6-8F64-76DB070C92F8}"/>
    <cellStyle name="Migliaia 3 2 2 2 2 8 8" xfId="16816" xr:uid="{AE94CCE6-4353-436F-B4D6-70A08F5666E2}"/>
    <cellStyle name="Migliaia 3 2 2 2 2 9" xfId="1684" xr:uid="{C4368266-179C-4931-8E5C-79D51EDB7AD0}"/>
    <cellStyle name="Migliaia 3 2 2 2 2 9 2" xfId="3103" xr:uid="{6B6B29AC-40AC-460F-8793-7E43D324C636}"/>
    <cellStyle name="Migliaia 3 2 2 2 2 9 2 2" xfId="10594" xr:uid="{E209F65B-31E1-4219-A9B8-0D26AD354F7D}"/>
    <cellStyle name="Migliaia 3 2 2 2 2 9 2 2 2" xfId="14140" xr:uid="{A4379F55-8F71-4A18-9B26-651B8E8D62B6}"/>
    <cellStyle name="Migliaia 3 2 2 2 2 9 2 2 2 2" xfId="29317" xr:uid="{ADFC6188-9026-4FF6-856F-BAF84327C5D6}"/>
    <cellStyle name="Migliaia 3 2 2 2 2 9 2 2 3" xfId="25772" xr:uid="{9AA0A713-174F-4AD5-837D-7D19DA0F5A6D}"/>
    <cellStyle name="Migliaia 3 2 2 2 2 9 2 3" xfId="6420" xr:uid="{AD4587F3-4916-46FF-A7E4-BB665AC9E238}"/>
    <cellStyle name="Migliaia 3 2 2 2 2 9 2 3 2" xfId="21600" xr:uid="{8A2CEDEF-3CC0-4B9D-8071-82B6047D56B2}"/>
    <cellStyle name="Migliaia 3 2 2 2 2 9 2 4" xfId="18312" xr:uid="{E55F0F3B-2D63-43A0-B436-2C77B68B9892}"/>
    <cellStyle name="Migliaia 3 2 2 2 2 9 3" xfId="3990" xr:uid="{62E2BAAD-D95C-428A-9DEC-D2B6282C29BA}"/>
    <cellStyle name="Migliaia 3 2 2 2 2 9 3 2" xfId="11478" xr:uid="{C9E3CE28-CFBD-4D1F-A17B-0745D7E4D919}"/>
    <cellStyle name="Migliaia 3 2 2 2 2 9 3 2 2" xfId="15024" xr:uid="{2B6DA2F9-C4C2-49D2-B387-DA37124240B8}"/>
    <cellStyle name="Migliaia 3 2 2 2 2 9 3 2 2 2" xfId="30201" xr:uid="{6DECF276-D913-46F0-A1EB-E7BE8ED72163}"/>
    <cellStyle name="Migliaia 3 2 2 2 2 9 3 2 3" xfId="26656" xr:uid="{3C0595A2-0304-4997-913F-F88B31B3F684}"/>
    <cellStyle name="Migliaia 3 2 2 2 2 9 3 3" xfId="7304" xr:uid="{DD8BD875-CCF1-46C2-838F-A0F368CBC135}"/>
    <cellStyle name="Migliaia 3 2 2 2 2 9 3 3 2" xfId="22484" xr:uid="{A56103B7-F394-4817-B76D-76A9292044DA}"/>
    <cellStyle name="Migliaia 3 2 2 2 2 9 3 4" xfId="19196" xr:uid="{5621B7CD-A32A-4E64-916A-D33832B1CDEE}"/>
    <cellStyle name="Migliaia 3 2 2 2 2 9 4" xfId="4371" xr:uid="{0D347C47-A3E6-499A-8AA4-9018196F3B2A}"/>
    <cellStyle name="Migliaia 3 2 2 2 2 9 4 2" xfId="11856" xr:uid="{08336ACC-C2BC-40D3-994E-B187103B8572}"/>
    <cellStyle name="Migliaia 3 2 2 2 2 9 4 2 2" xfId="15402" xr:uid="{D2BA7B76-0009-40CF-8EF1-C4A204A41983}"/>
    <cellStyle name="Migliaia 3 2 2 2 2 9 4 2 2 2" xfId="30579" xr:uid="{65ACBF8F-D74D-4655-807F-53E42CC12825}"/>
    <cellStyle name="Migliaia 3 2 2 2 2 9 4 2 3" xfId="27034" xr:uid="{E077E9E3-663E-400E-98F5-53878651287D}"/>
    <cellStyle name="Migliaia 3 2 2 2 2 9 4 3" xfId="7682" xr:uid="{218B20EE-AD62-4663-9CBF-A43EAD3BF984}"/>
    <cellStyle name="Migliaia 3 2 2 2 2 9 4 3 2" xfId="22862" xr:uid="{94A8D378-1412-49D6-B7E3-35E8A5447242}"/>
    <cellStyle name="Migliaia 3 2 2 2 2 9 4 4" xfId="19574" xr:uid="{96DC597B-03F4-4FA5-B5FF-1F7FE1B6191C}"/>
    <cellStyle name="Migliaia 3 2 2 2 2 9 5" xfId="2213" xr:uid="{F7068A11-E184-451C-9447-2C04CEA1E008}"/>
    <cellStyle name="Migliaia 3 2 2 2 2 9 5 2" xfId="9710" xr:uid="{60771FEF-3241-4FB4-9A31-40A34332778A}"/>
    <cellStyle name="Migliaia 3 2 2 2 2 9 5 2 2" xfId="24888" xr:uid="{014124AE-5710-4621-B838-C9C9D9C754D3}"/>
    <cellStyle name="Migliaia 3 2 2 2 2 9 5 3" xfId="17428" xr:uid="{3E096EC6-8298-4EAF-AB50-6CC6B9980DB9}"/>
    <cellStyle name="Migliaia 3 2 2 2 2 9 6" xfId="9196" xr:uid="{F39B1AEF-A204-4B35-B263-BD223D21421F}"/>
    <cellStyle name="Migliaia 3 2 2 2 2 9 6 2" xfId="13369" xr:uid="{9DE8C0E1-2D7F-48FE-8E0F-79479F0E269E}"/>
    <cellStyle name="Migliaia 3 2 2 2 2 9 6 2 2" xfId="28546" xr:uid="{228FC6EE-CFB0-40C7-9A9A-E29342524BFC}"/>
    <cellStyle name="Migliaia 3 2 2 2 2 9 6 3" xfId="24374" xr:uid="{D47A2619-D479-4CDC-827D-37522CC20593}"/>
    <cellStyle name="Migliaia 3 2 2 2 2 9 7" xfId="5536" xr:uid="{9761E2C4-7825-479E-93B8-4AE30732DDB8}"/>
    <cellStyle name="Migliaia 3 2 2 2 2 9 7 2" xfId="20716" xr:uid="{05833C89-76C7-4A7D-8E68-9D287BD65C8E}"/>
    <cellStyle name="Migliaia 3 2 2 2 2 9 8" xfId="16914" xr:uid="{726523CC-8800-41FC-ACC6-535F9757F8CB}"/>
    <cellStyle name="Migliaia 3 2 2 2 3" xfId="767" xr:uid="{03E67D0B-EDB1-4028-84E2-6CF5B4FBC007}"/>
    <cellStyle name="Migliaia 3 2 2 2 3 10" xfId="8433" xr:uid="{2D9CDC19-38FC-4E44-A42E-F51C33949A00}"/>
    <cellStyle name="Migliaia 3 2 2 2 3 10 2" xfId="12607" xr:uid="{74250E01-ED6F-4C84-BBD0-BF2B9EEA79D5}"/>
    <cellStyle name="Migliaia 3 2 2 2 3 10 2 2" xfId="27784" xr:uid="{0B3FA799-E4C3-4A67-A3E9-AC1E20F18B0B}"/>
    <cellStyle name="Migliaia 3 2 2 2 3 10 3" xfId="23612" xr:uid="{82F875EF-F70A-4B8D-BE70-8A9E154EBD0C}"/>
    <cellStyle name="Migliaia 3 2 2 2 3 11" xfId="16152" xr:uid="{A85FB07B-B2C4-432F-B542-3B3CE377DC75}"/>
    <cellStyle name="Migliaia 3 2 2 2 3 12" xfId="31494" xr:uid="{8517E457-A98B-4217-B59E-C30621B65CD2}"/>
    <cellStyle name="Migliaia 3 2 2 2 3 2" xfId="944" xr:uid="{8B9322D7-062F-4DBF-91EB-019BE51566C7}"/>
    <cellStyle name="Migliaia 3 2 2 2 3 2 10" xfId="16274" xr:uid="{3205B171-1B76-463E-BA7E-077B48703303}"/>
    <cellStyle name="Migliaia 3 2 2 2 3 2 11" xfId="31364" xr:uid="{442DA794-D5E3-46F9-9E2B-CE668B486846}"/>
    <cellStyle name="Migliaia 3 2 2 2 3 2 12" xfId="31714" xr:uid="{0FD390FA-3EAE-4AC6-BA11-78620F7C5754}"/>
    <cellStyle name="Migliaia 3 2 2 2 3 2 2" xfId="1305" xr:uid="{97337269-704D-490D-AA7D-C140201C3412}"/>
    <cellStyle name="Migliaia 3 2 2 2 3 2 2 2" xfId="3622" xr:uid="{D27C38C7-408A-40F7-8721-17016FEEEC26}"/>
    <cellStyle name="Migliaia 3 2 2 2 3 2 2 2 2" xfId="11110" xr:uid="{D803FDCF-3788-4D1C-9C29-FAF14B681728}"/>
    <cellStyle name="Migliaia 3 2 2 2 3 2 2 2 2 2" xfId="14656" xr:uid="{D49BAABB-A50E-45D0-BDF7-64DAC185C732}"/>
    <cellStyle name="Migliaia 3 2 2 2 3 2 2 2 2 2 2" xfId="29833" xr:uid="{67EDBA3E-2985-4B6B-BE65-4DF1B99862B4}"/>
    <cellStyle name="Migliaia 3 2 2 2 3 2 2 2 2 3" xfId="26288" xr:uid="{9FFE552E-8A23-4269-A0B0-025B36B263CA}"/>
    <cellStyle name="Migliaia 3 2 2 2 3 2 2 2 3" xfId="6936" xr:uid="{400A97A4-91D9-4789-A227-BB25175D21D6}"/>
    <cellStyle name="Migliaia 3 2 2 2 3 2 2 2 3 2" xfId="22116" xr:uid="{9623E062-B370-4622-B21D-3FC4880BFA8F}"/>
    <cellStyle name="Migliaia 3 2 2 2 3 2 2 2 4" xfId="18828" xr:uid="{1E43F760-55E2-423E-B168-AE4374E3C6D0}"/>
    <cellStyle name="Migliaia 3 2 2 2 3 2 2 3" xfId="4372" xr:uid="{9393ACE0-B92D-42BB-8838-E59CA987C79E}"/>
    <cellStyle name="Migliaia 3 2 2 2 3 2 2 3 2" xfId="11857" xr:uid="{CA67742B-7C4B-49DB-8B13-ADA8B1E5AC4B}"/>
    <cellStyle name="Migliaia 3 2 2 2 3 2 2 3 2 2" xfId="15403" xr:uid="{84EF74A2-DA20-4710-A011-C6AC2416AAC5}"/>
    <cellStyle name="Migliaia 3 2 2 2 3 2 2 3 2 2 2" xfId="30580" xr:uid="{61D7664A-07D3-491D-BC14-9401BBD03038}"/>
    <cellStyle name="Migliaia 3 2 2 2 3 2 2 3 2 3" xfId="27035" xr:uid="{CB2598AB-CC56-4E5C-8EA9-1F013E745F35}"/>
    <cellStyle name="Migliaia 3 2 2 2 3 2 2 3 3" xfId="7683" xr:uid="{1CE1AC69-BA11-4B96-88D1-627E0618BB42}"/>
    <cellStyle name="Migliaia 3 2 2 2 3 2 2 3 3 2" xfId="22863" xr:uid="{FC6AA56E-CE5F-4317-BA58-1D5DF4071E80}"/>
    <cellStyle name="Migliaia 3 2 2 2 3 2 2 3 4" xfId="19575" xr:uid="{291D0A62-1AC4-46FD-8819-7F0E83D3AB40}"/>
    <cellStyle name="Migliaia 3 2 2 2 3 2 2 4" xfId="2735" xr:uid="{555DDADA-B647-4279-9B69-BDFF7E94B655}"/>
    <cellStyle name="Migliaia 3 2 2 2 3 2 2 4 2" xfId="10226" xr:uid="{05DA6E34-A9C2-4F1F-82FF-E4BA0B214CCD}"/>
    <cellStyle name="Migliaia 3 2 2 2 3 2 2 4 2 2" xfId="25404" xr:uid="{BC37E484-492E-4BFB-8515-CB9E3188D625}"/>
    <cellStyle name="Migliaia 3 2 2 2 3 2 2 4 3" xfId="17944" xr:uid="{51369AEB-271F-4183-8541-8D81C6B7C417}"/>
    <cellStyle name="Migliaia 3 2 2 2 3 2 2 5" xfId="8828" xr:uid="{77E2C216-36ED-468D-8CD4-8A12FA333028}"/>
    <cellStyle name="Migliaia 3 2 2 2 3 2 2 5 2" xfId="13001" xr:uid="{3084F419-E50F-4826-9DC1-6830C2E9ACE5}"/>
    <cellStyle name="Migliaia 3 2 2 2 3 2 2 5 2 2" xfId="28178" xr:uid="{001B7F48-C1C9-4CF5-8FCF-0120E7398B04}"/>
    <cellStyle name="Migliaia 3 2 2 2 3 2 2 5 3" xfId="24006" xr:uid="{59C65472-FA73-4873-870F-6E114D1D03F0}"/>
    <cellStyle name="Migliaia 3 2 2 2 3 2 2 6" xfId="6052" xr:uid="{C35D6C73-9221-428F-9D2A-717E1EA56A56}"/>
    <cellStyle name="Migliaia 3 2 2 2 3 2 2 6 2" xfId="21232" xr:uid="{15FB0DCA-4AB1-4E63-B9B6-4D7F876272F8}"/>
    <cellStyle name="Migliaia 3 2 2 2 3 2 2 7" xfId="16546" xr:uid="{68F622B2-E293-4F1A-AF1C-BEB0A5987DC7}"/>
    <cellStyle name="Migliaia 3 2 2 2 3 2 3" xfId="2462" xr:uid="{4DF7F322-2A0C-4432-8AA6-B3E51D8E86A1}"/>
    <cellStyle name="Migliaia 3 2 2 2 3 2 3 2" xfId="9954" xr:uid="{36F0626F-7127-4DAC-AABA-28B8655A4FC7}"/>
    <cellStyle name="Migliaia 3 2 2 2 3 2 3 2 2" xfId="13613" xr:uid="{F1B25CD2-5D49-4965-AEAC-46409C8B8493}"/>
    <cellStyle name="Migliaia 3 2 2 2 3 2 3 2 2 2" xfId="28790" xr:uid="{2D29D2F4-A2B2-475E-9646-364772AC80E7}"/>
    <cellStyle name="Migliaia 3 2 2 2 3 2 3 2 3" xfId="25132" xr:uid="{9D8015F5-C8A1-4ECB-AD29-37BFE56A964E}"/>
    <cellStyle name="Migliaia 3 2 2 2 3 2 3 3" xfId="5780" xr:uid="{8DF96629-BE4E-4E0F-9B15-5E1C798E1586}"/>
    <cellStyle name="Migliaia 3 2 2 2 3 2 3 3 2" xfId="20960" xr:uid="{F41EF1F9-22B5-4BD0-9E72-B33AA7FF11C0}"/>
    <cellStyle name="Migliaia 3 2 2 2 3 2 3 4" xfId="17672" xr:uid="{7A0520D0-0DD5-443C-A378-B5A1E62EBD75}"/>
    <cellStyle name="Migliaia 3 2 2 2 3 2 4" xfId="3350" xr:uid="{3994319B-BF62-4AEC-9B6C-A6BAF7C9584B}"/>
    <cellStyle name="Migliaia 3 2 2 2 3 2 4 2" xfId="10838" xr:uid="{B5206001-6CDD-4020-9EEA-04916A7C2E2E}"/>
    <cellStyle name="Migliaia 3 2 2 2 3 2 4 2 2" xfId="14384" xr:uid="{8F851C51-DFF2-4590-8E84-A0604796AE3F}"/>
    <cellStyle name="Migliaia 3 2 2 2 3 2 4 2 2 2" xfId="29561" xr:uid="{E053216C-1A7C-425C-BD3B-9F04F2AA62E7}"/>
    <cellStyle name="Migliaia 3 2 2 2 3 2 4 2 3" xfId="26016" xr:uid="{CECAA263-06BB-4F3B-84F9-3BCF11E60AD4}"/>
    <cellStyle name="Migliaia 3 2 2 2 3 2 4 3" xfId="6664" xr:uid="{B8B58CA4-0FD0-4C14-813F-A5B327204808}"/>
    <cellStyle name="Migliaia 3 2 2 2 3 2 4 3 2" xfId="21844" xr:uid="{867DE049-B934-438E-9891-0F039BD52AE8}"/>
    <cellStyle name="Migliaia 3 2 2 2 3 2 4 4" xfId="18556" xr:uid="{8B5E737F-3CA4-492C-BB97-1B05BA4AA8EB}"/>
    <cellStyle name="Migliaia 3 2 2 2 3 2 5" xfId="4373" xr:uid="{12EC06A8-C156-4725-835C-18F13FA55312}"/>
    <cellStyle name="Migliaia 3 2 2 2 3 2 5 2" xfId="11858" xr:uid="{BBFBB09B-0B4C-44B7-80C4-2453D25AB99D}"/>
    <cellStyle name="Migliaia 3 2 2 2 3 2 5 2 2" xfId="15404" xr:uid="{E44438A6-4181-4A21-BBE2-1E95205FBB94}"/>
    <cellStyle name="Migliaia 3 2 2 2 3 2 5 2 2 2" xfId="30581" xr:uid="{9392220D-2E4E-4103-9F35-1A4066119ADE}"/>
    <cellStyle name="Migliaia 3 2 2 2 3 2 5 2 3" xfId="27036" xr:uid="{E4AE0C2E-3EA6-42DC-93F1-F56AE51310AE}"/>
    <cellStyle name="Migliaia 3 2 2 2 3 2 5 3" xfId="7684" xr:uid="{12CFFDB3-CD6C-49FE-881B-2C71F62E5365}"/>
    <cellStyle name="Migliaia 3 2 2 2 3 2 5 3 2" xfId="22864" xr:uid="{FF000955-2762-4391-862F-BF2EBFA14FAB}"/>
    <cellStyle name="Migliaia 3 2 2 2 3 2 5 4" xfId="19576" xr:uid="{6E6BC83F-5848-4CA8-BBD9-9CB4C80B9BB0}"/>
    <cellStyle name="Migliaia 3 2 2 2 3 2 6" xfId="5024" xr:uid="{E95AD56B-1294-4766-B724-F19990D48468}"/>
    <cellStyle name="Migliaia 3 2 2 2 3 2 6 2" xfId="12508" xr:uid="{79F96368-AF6D-4252-96CF-F16A484D7DA2}"/>
    <cellStyle name="Migliaia 3 2 2 2 3 2 6 2 2" xfId="16054" xr:uid="{602BBE6F-3776-41A9-AFAB-779EE87F64E0}"/>
    <cellStyle name="Migliaia 3 2 2 2 3 2 6 2 2 2" xfId="31231" xr:uid="{C11123B7-7D93-4A22-8D5F-DA29ED789D52}"/>
    <cellStyle name="Migliaia 3 2 2 2 3 2 6 2 3" xfId="27686" xr:uid="{762485CA-449C-4DF1-8541-17985764DC57}"/>
    <cellStyle name="Migliaia 3 2 2 2 3 2 6 3" xfId="8334" xr:uid="{75465F5D-8A90-4C44-AD33-D3033797EB79}"/>
    <cellStyle name="Migliaia 3 2 2 2 3 2 6 3 2" xfId="23514" xr:uid="{EF8F5ADF-D8F1-41FA-8E9C-92C8DA237462}"/>
    <cellStyle name="Migliaia 3 2 2 2 3 2 6 4" xfId="20226" xr:uid="{FBE9F76F-8898-4901-916E-E4D4F4F737C2}"/>
    <cellStyle name="Migliaia 3 2 2 2 3 2 7" xfId="1845" xr:uid="{4CBBE57A-44E1-4057-A643-C4C215E6ABE2}"/>
    <cellStyle name="Migliaia 3 2 2 2 3 2 7 2" xfId="9342" xr:uid="{F1B283C2-EE92-4997-ADBA-CA001610BF46}"/>
    <cellStyle name="Migliaia 3 2 2 2 3 2 7 2 2" xfId="24520" xr:uid="{BDF7A0E8-F729-4D64-991A-66C3D188EECC}"/>
    <cellStyle name="Migliaia 3 2 2 2 3 2 7 3" xfId="17060" xr:uid="{2560D91E-40A8-4B6F-8AFD-EAEE99956086}"/>
    <cellStyle name="Migliaia 3 2 2 2 3 2 8" xfId="8556" xr:uid="{86ED5DE6-DFE2-4387-9E51-2AF26C2D505F}"/>
    <cellStyle name="Migliaia 3 2 2 2 3 2 8 2" xfId="12729" xr:uid="{20D0F67F-C594-4C15-983D-2E1C03CACE9C}"/>
    <cellStyle name="Migliaia 3 2 2 2 3 2 8 2 2" xfId="27906" xr:uid="{E9152BF0-73B0-4F23-8A59-B1E15EB28B8F}"/>
    <cellStyle name="Migliaia 3 2 2 2 3 2 8 3" xfId="23734" xr:uid="{03158B24-3386-4C3C-B8C0-E9E722C4D8E1}"/>
    <cellStyle name="Migliaia 3 2 2 2 3 2 9" xfId="5168" xr:uid="{04FB80EF-708A-4799-B565-D6B65B1FEF84}"/>
    <cellStyle name="Migliaia 3 2 2 2 3 2 9 2" xfId="20348" xr:uid="{8F1782DD-DE6E-469E-BE04-DF7AB52E431D}"/>
    <cellStyle name="Migliaia 3 2 2 2 3 3" xfId="1047" xr:uid="{9679A5B2-4478-4F6D-8CE8-04BF54F4D701}"/>
    <cellStyle name="Migliaia 3 2 2 2 3 3 10" xfId="31592" xr:uid="{12002AAD-E0C8-4E5B-9763-605649F76347}"/>
    <cellStyle name="Migliaia 3 2 2 2 3 3 2" xfId="1407" xr:uid="{99A8032A-D819-4F20-B46E-F1F1242BD190}"/>
    <cellStyle name="Migliaia 3 2 2 2 3 3 2 2" xfId="3720" xr:uid="{04A19881-2031-4815-BAA0-82AA77D20D5C}"/>
    <cellStyle name="Migliaia 3 2 2 2 3 3 2 2 2" xfId="11208" xr:uid="{055226B8-4844-496F-B3AC-0942190323F6}"/>
    <cellStyle name="Migliaia 3 2 2 2 3 3 2 2 2 2" xfId="14754" xr:uid="{E4ECAE19-A593-439F-9FCE-FB11A65C9EB4}"/>
    <cellStyle name="Migliaia 3 2 2 2 3 3 2 2 2 2 2" xfId="29931" xr:uid="{EF3AD601-2EE9-4000-BAF4-F5DDBA4ED9F3}"/>
    <cellStyle name="Migliaia 3 2 2 2 3 3 2 2 2 3" xfId="26386" xr:uid="{01C1CEE7-6136-410B-A508-9AF472229006}"/>
    <cellStyle name="Migliaia 3 2 2 2 3 3 2 2 3" xfId="7034" xr:uid="{42CB8336-0D2C-4EDA-A4B5-40D66160CB5A}"/>
    <cellStyle name="Migliaia 3 2 2 2 3 3 2 2 3 2" xfId="22214" xr:uid="{019F122A-97E5-48E1-994C-6A0D099E85DC}"/>
    <cellStyle name="Migliaia 3 2 2 2 3 3 2 2 4" xfId="18926" xr:uid="{30074407-3D3E-4EFA-8446-33EA4D23406A}"/>
    <cellStyle name="Migliaia 3 2 2 2 3 3 2 3" xfId="4374" xr:uid="{61263784-44EE-4728-A30A-6397CE17039A}"/>
    <cellStyle name="Migliaia 3 2 2 2 3 3 2 3 2" xfId="11859" xr:uid="{0E4CEE13-ADA9-4703-AB61-B3B83F4989D1}"/>
    <cellStyle name="Migliaia 3 2 2 2 3 3 2 3 2 2" xfId="15405" xr:uid="{2530B275-BC5D-4DE0-9145-687F0236C312}"/>
    <cellStyle name="Migliaia 3 2 2 2 3 3 2 3 2 2 2" xfId="30582" xr:uid="{CFD85ED7-43D6-4E46-8BF5-124F142A6CB6}"/>
    <cellStyle name="Migliaia 3 2 2 2 3 3 2 3 2 3" xfId="27037" xr:uid="{FE5FA4F1-0E31-40AD-8B8F-FBC241D035C9}"/>
    <cellStyle name="Migliaia 3 2 2 2 3 3 2 3 3" xfId="7685" xr:uid="{57669D82-13FA-4B89-B941-54D8F7D8E117}"/>
    <cellStyle name="Migliaia 3 2 2 2 3 3 2 3 3 2" xfId="22865" xr:uid="{15AACEF7-1165-412E-8187-609B292E5201}"/>
    <cellStyle name="Migliaia 3 2 2 2 3 3 2 3 4" xfId="19577" xr:uid="{3F477D47-B90A-4161-AD1D-7FBD2462B226}"/>
    <cellStyle name="Migliaia 3 2 2 2 3 3 2 4" xfId="2833" xr:uid="{1B42B6B1-6C84-463C-9F18-16DF9EC47664}"/>
    <cellStyle name="Migliaia 3 2 2 2 3 3 2 4 2" xfId="10324" xr:uid="{188F7A79-F12E-4052-A185-CF03B71CD682}"/>
    <cellStyle name="Migliaia 3 2 2 2 3 3 2 4 2 2" xfId="25502" xr:uid="{B1929D10-38CF-49EB-A15F-4DF4F758D685}"/>
    <cellStyle name="Migliaia 3 2 2 2 3 3 2 4 3" xfId="18042" xr:uid="{9502938B-80C3-44FC-B828-40AB73E94B40}"/>
    <cellStyle name="Migliaia 3 2 2 2 3 3 2 5" xfId="8926" xr:uid="{C01FE83A-9DB7-4728-9F29-95CE877E66EB}"/>
    <cellStyle name="Migliaia 3 2 2 2 3 3 2 5 2" xfId="13099" xr:uid="{3E6B648B-C3A6-4BA5-9A23-2DA03F3A35A8}"/>
    <cellStyle name="Migliaia 3 2 2 2 3 3 2 5 2 2" xfId="28276" xr:uid="{3E184979-6BB3-4F99-8A9C-979AFA678FCE}"/>
    <cellStyle name="Migliaia 3 2 2 2 3 3 2 5 3" xfId="24104" xr:uid="{A3A7B31C-2A3F-4FE9-A78A-0E62848E586B}"/>
    <cellStyle name="Migliaia 3 2 2 2 3 3 2 6" xfId="6150" xr:uid="{EB3C8998-E327-44D2-A584-946F077665BB}"/>
    <cellStyle name="Migliaia 3 2 2 2 3 3 2 6 2" xfId="21330" xr:uid="{1D398413-C9FD-4EBA-9EED-59DDB870894F}"/>
    <cellStyle name="Migliaia 3 2 2 2 3 3 2 7" xfId="16644" xr:uid="{8A012E5D-39B9-4316-A887-4A6A737D3FC8}"/>
    <cellStyle name="Migliaia 3 2 2 2 3 3 3" xfId="2560" xr:uid="{6E30DB40-CD42-49DF-9786-20E7F16E2F7D}"/>
    <cellStyle name="Migliaia 3 2 2 2 3 3 3 2" xfId="10052" xr:uid="{ED7F9210-25CC-4D60-B224-5345D66E57C5}"/>
    <cellStyle name="Migliaia 3 2 2 2 3 3 3 2 2" xfId="13711" xr:uid="{3E71EAA2-D81C-431E-81B6-8CC95AB607D2}"/>
    <cellStyle name="Migliaia 3 2 2 2 3 3 3 2 2 2" xfId="28888" xr:uid="{A477A64F-6946-44D9-9861-010074E87719}"/>
    <cellStyle name="Migliaia 3 2 2 2 3 3 3 2 3" xfId="25230" xr:uid="{67CB3535-AE3A-40C8-A13C-904A156181D6}"/>
    <cellStyle name="Migliaia 3 2 2 2 3 3 3 3" xfId="5878" xr:uid="{EAC68B56-8A84-4F4E-9357-0FB5AB7F6CEB}"/>
    <cellStyle name="Migliaia 3 2 2 2 3 3 3 3 2" xfId="21058" xr:uid="{1F70E3D6-4C65-4862-BA1F-6520D3594E56}"/>
    <cellStyle name="Migliaia 3 2 2 2 3 3 3 4" xfId="17770" xr:uid="{C3005373-28A6-4025-B3BF-587EE8D90494}"/>
    <cellStyle name="Migliaia 3 2 2 2 3 3 4" xfId="3448" xr:uid="{56C03E41-92D5-4DBA-B9C4-AB864C3533AD}"/>
    <cellStyle name="Migliaia 3 2 2 2 3 3 4 2" xfId="10936" xr:uid="{60D03DA7-94EF-4E65-9960-3A921FBDB98B}"/>
    <cellStyle name="Migliaia 3 2 2 2 3 3 4 2 2" xfId="14482" xr:uid="{622BAB42-3FC6-47F1-A5DB-0235C2BF9A2C}"/>
    <cellStyle name="Migliaia 3 2 2 2 3 3 4 2 2 2" xfId="29659" xr:uid="{5F47C065-5FBD-468C-B363-4E778C4ED3A0}"/>
    <cellStyle name="Migliaia 3 2 2 2 3 3 4 2 3" xfId="26114" xr:uid="{888CDC0C-3843-4E62-BBC7-2850711F7792}"/>
    <cellStyle name="Migliaia 3 2 2 2 3 3 4 3" xfId="6762" xr:uid="{991E24AE-B5D8-49F6-881E-179C97823F0D}"/>
    <cellStyle name="Migliaia 3 2 2 2 3 3 4 3 2" xfId="21942" xr:uid="{B571525C-D45D-4528-A3DF-1F1514B9FE9A}"/>
    <cellStyle name="Migliaia 3 2 2 2 3 3 4 4" xfId="18654" xr:uid="{63911F68-53C0-45E2-B69D-71DA34886C8B}"/>
    <cellStyle name="Migliaia 3 2 2 2 3 3 5" xfId="4375" xr:uid="{88549FAA-4C49-4724-927C-7CEB20B2B7A4}"/>
    <cellStyle name="Migliaia 3 2 2 2 3 3 5 2" xfId="11860" xr:uid="{99AA2312-5B3C-487C-8ACE-055847B5431B}"/>
    <cellStyle name="Migliaia 3 2 2 2 3 3 5 2 2" xfId="15406" xr:uid="{F45F525F-69DD-4E04-B6CB-4F217FC01750}"/>
    <cellStyle name="Migliaia 3 2 2 2 3 3 5 2 2 2" xfId="30583" xr:uid="{E3EDB54D-CB90-4050-9730-AF035BF017DE}"/>
    <cellStyle name="Migliaia 3 2 2 2 3 3 5 2 3" xfId="27038" xr:uid="{2FED07F2-A1CF-4122-B834-8ABE975CF751}"/>
    <cellStyle name="Migliaia 3 2 2 2 3 3 5 3" xfId="7686" xr:uid="{FB3B685A-1F32-4202-AAE8-11F118A1E924}"/>
    <cellStyle name="Migliaia 3 2 2 2 3 3 5 3 2" xfId="22866" xr:uid="{820359BE-EA3B-4373-A82A-2DCAD46C088F}"/>
    <cellStyle name="Migliaia 3 2 2 2 3 3 5 4" xfId="19578" xr:uid="{28AB0C70-9B40-452A-AE4D-747939258ECA}"/>
    <cellStyle name="Migliaia 3 2 2 2 3 3 6" xfId="1943" xr:uid="{D664192E-579F-4B87-95E7-E1F484866247}"/>
    <cellStyle name="Migliaia 3 2 2 2 3 3 6 2" xfId="9440" xr:uid="{91EF8882-3BFF-45F1-B241-1717C86C8891}"/>
    <cellStyle name="Migliaia 3 2 2 2 3 3 6 2 2" xfId="24618" xr:uid="{D3BFD83C-9643-41FA-B884-48EA602C06B9}"/>
    <cellStyle name="Migliaia 3 2 2 2 3 3 6 3" xfId="17158" xr:uid="{BE8CFD83-376A-4F67-86FA-19D22A09A457}"/>
    <cellStyle name="Migliaia 3 2 2 2 3 3 7" xfId="8654" xr:uid="{7DD73F94-82B1-422A-AE44-97B9BD4331CD}"/>
    <cellStyle name="Migliaia 3 2 2 2 3 3 7 2" xfId="12827" xr:uid="{9FDCD6A4-6601-4201-9091-B88597C145C2}"/>
    <cellStyle name="Migliaia 3 2 2 2 3 3 7 2 2" xfId="28004" xr:uid="{33256ABC-A141-436B-9431-0E646166CD76}"/>
    <cellStyle name="Migliaia 3 2 2 2 3 3 7 3" xfId="23832" xr:uid="{93D7675D-3DC6-4800-8F0A-2158DD537368}"/>
    <cellStyle name="Migliaia 3 2 2 2 3 3 8" xfId="5266" xr:uid="{5C97B4F4-94E9-493D-B8CD-0B21433829B8}"/>
    <cellStyle name="Migliaia 3 2 2 2 3 3 8 2" xfId="20446" xr:uid="{17976A3C-31FA-4DFC-AEAC-1A190A5D7A2F}"/>
    <cellStyle name="Migliaia 3 2 2 2 3 3 9" xfId="16372" xr:uid="{5CA8C186-9A5A-4489-9570-D234D7D1B554}"/>
    <cellStyle name="Migliaia 3 2 2 2 3 4" xfId="1506" xr:uid="{1ECF3608-DF66-4727-9F35-9F360C892452}"/>
    <cellStyle name="Migliaia 3 2 2 2 3 4 2" xfId="2931" xr:uid="{ADBB0322-53C4-48BE-8072-B3B07A0CBD05}"/>
    <cellStyle name="Migliaia 3 2 2 2 3 4 2 2" xfId="10422" xr:uid="{671120CA-5734-4F35-8D84-B1F8966D5DA1}"/>
    <cellStyle name="Migliaia 3 2 2 2 3 4 2 2 2" xfId="13968" xr:uid="{7FFD4A31-82B7-4F3D-94C4-28D8062C8119}"/>
    <cellStyle name="Migliaia 3 2 2 2 3 4 2 2 2 2" xfId="29145" xr:uid="{0F4BE3E7-95C1-4F78-82BD-FB5F033F27EC}"/>
    <cellStyle name="Migliaia 3 2 2 2 3 4 2 2 3" xfId="25600" xr:uid="{B8F5EF7D-91DC-405D-BBBC-3578016616A9}"/>
    <cellStyle name="Migliaia 3 2 2 2 3 4 2 3" xfId="6248" xr:uid="{542D6979-6E3C-46E7-9DCD-8272E96769F6}"/>
    <cellStyle name="Migliaia 3 2 2 2 3 4 2 3 2" xfId="21428" xr:uid="{42F149D1-DB36-4E27-B02E-B0833E02E1B8}"/>
    <cellStyle name="Migliaia 3 2 2 2 3 4 2 4" xfId="18140" xr:uid="{09158957-278A-4480-9E85-321BA4C2B076}"/>
    <cellStyle name="Migliaia 3 2 2 2 3 4 3" xfId="3818" xr:uid="{83DA0DCD-D9A9-4F85-9C4C-43557BA97ACC}"/>
    <cellStyle name="Migliaia 3 2 2 2 3 4 3 2" xfId="11306" xr:uid="{F28A81FC-D259-4821-8F2D-8F6EEE6A372C}"/>
    <cellStyle name="Migliaia 3 2 2 2 3 4 3 2 2" xfId="14852" xr:uid="{9645B5EB-0A6C-41CC-86BA-DD5638FFCDD7}"/>
    <cellStyle name="Migliaia 3 2 2 2 3 4 3 2 2 2" xfId="30029" xr:uid="{D2539879-04F7-4007-960B-9D541B5519F5}"/>
    <cellStyle name="Migliaia 3 2 2 2 3 4 3 2 3" xfId="26484" xr:uid="{152BE444-35C8-43AB-BCAA-CAB6B0E2160B}"/>
    <cellStyle name="Migliaia 3 2 2 2 3 4 3 3" xfId="7132" xr:uid="{95B8F744-95C4-4DBE-B247-F5DC66D00540}"/>
    <cellStyle name="Migliaia 3 2 2 2 3 4 3 3 2" xfId="22312" xr:uid="{191007EF-DA55-4610-803B-11A9C9733F2C}"/>
    <cellStyle name="Migliaia 3 2 2 2 3 4 3 4" xfId="19024" xr:uid="{6707354E-895E-4822-94BD-785597E07F43}"/>
    <cellStyle name="Migliaia 3 2 2 2 3 4 4" xfId="4376" xr:uid="{0ECB0191-EAC8-4FCF-8CF2-FA622F2E43D3}"/>
    <cellStyle name="Migliaia 3 2 2 2 3 4 4 2" xfId="11861" xr:uid="{087C755F-435A-4172-86AF-4423711C6DE1}"/>
    <cellStyle name="Migliaia 3 2 2 2 3 4 4 2 2" xfId="15407" xr:uid="{E4E310D7-971C-46BA-B513-68F95B451CB8}"/>
    <cellStyle name="Migliaia 3 2 2 2 3 4 4 2 2 2" xfId="30584" xr:uid="{E6D54602-3B60-4A9A-8D72-352BF3FD592A}"/>
    <cellStyle name="Migliaia 3 2 2 2 3 4 4 2 3" xfId="27039" xr:uid="{B06492D1-0854-4D53-A425-B79D45210288}"/>
    <cellStyle name="Migliaia 3 2 2 2 3 4 4 3" xfId="7687" xr:uid="{A3033766-E37B-4C5F-B6BB-EB53473AF0A9}"/>
    <cellStyle name="Migliaia 3 2 2 2 3 4 4 3 2" xfId="22867" xr:uid="{E6719479-016C-4AE5-B98D-277EDA4CBE7E}"/>
    <cellStyle name="Migliaia 3 2 2 2 3 4 4 4" xfId="19579" xr:uid="{04CBC8B2-828D-43E9-9AFD-5FA58A0F5435}"/>
    <cellStyle name="Migliaia 3 2 2 2 3 4 5" xfId="2041" xr:uid="{7CC6D6EF-ED43-48C7-B117-33FEF13C4A93}"/>
    <cellStyle name="Migliaia 3 2 2 2 3 4 5 2" xfId="9538" xr:uid="{57F9598F-2028-45EA-97E5-C7286975617C}"/>
    <cellStyle name="Migliaia 3 2 2 2 3 4 5 2 2" xfId="24716" xr:uid="{FB87A83B-2C0B-4E9E-8EE2-0F46B159BB6B}"/>
    <cellStyle name="Migliaia 3 2 2 2 3 4 5 3" xfId="17256" xr:uid="{72524F7E-87E4-496A-998E-DD5A525A4CD1}"/>
    <cellStyle name="Migliaia 3 2 2 2 3 4 6" xfId="9024" xr:uid="{74AAA65F-E0EE-4B6D-A3A2-02775CC76352}"/>
    <cellStyle name="Migliaia 3 2 2 2 3 4 6 2" xfId="13197" xr:uid="{4CD45922-A7A6-4AA5-A424-FCC5F81FF81D}"/>
    <cellStyle name="Migliaia 3 2 2 2 3 4 6 2 2" xfId="28374" xr:uid="{FCD99615-4B74-42F2-8363-29D937A54F19}"/>
    <cellStyle name="Migliaia 3 2 2 2 3 4 6 3" xfId="24202" xr:uid="{F5622E99-ACA3-4807-92F6-BDE7133A2C8E}"/>
    <cellStyle name="Migliaia 3 2 2 2 3 4 7" xfId="5364" xr:uid="{9227F6BA-1DCD-48DB-BC95-0B12D0661F90}"/>
    <cellStyle name="Migliaia 3 2 2 2 3 4 7 2" xfId="20544" xr:uid="{3DF12525-D564-4B05-A8BD-D5B3C01D0B23}"/>
    <cellStyle name="Migliaia 3 2 2 2 3 4 8" xfId="16742" xr:uid="{6538692E-75A4-4B2F-AF96-7A927B8ACA1F}"/>
    <cellStyle name="Migliaia 3 2 2 2 3 5" xfId="1609" xr:uid="{A02DA2A8-964B-48E3-8306-8FCD8F9C73E0}"/>
    <cellStyle name="Migliaia 3 2 2 2 3 5 2" xfId="3029" xr:uid="{B1DEEDC2-546C-4909-8FA8-E599C9259BAC}"/>
    <cellStyle name="Migliaia 3 2 2 2 3 5 2 2" xfId="10520" xr:uid="{E9A1CEF3-1329-4874-B7E2-544A4335676C}"/>
    <cellStyle name="Migliaia 3 2 2 2 3 5 2 2 2" xfId="14066" xr:uid="{FA6D9AA5-2694-4C1C-AC20-F5D6D066B910}"/>
    <cellStyle name="Migliaia 3 2 2 2 3 5 2 2 2 2" xfId="29243" xr:uid="{2546977B-3919-438F-BAC3-26E707AFD930}"/>
    <cellStyle name="Migliaia 3 2 2 2 3 5 2 2 3" xfId="25698" xr:uid="{24A96BE7-8A7A-4A20-98FA-F299C6E3DCA7}"/>
    <cellStyle name="Migliaia 3 2 2 2 3 5 2 3" xfId="6346" xr:uid="{FB161B0A-5A51-4941-B6D8-AAB9B0485FD6}"/>
    <cellStyle name="Migliaia 3 2 2 2 3 5 2 3 2" xfId="21526" xr:uid="{60902549-39D6-41BC-9AFA-1F6548EE9014}"/>
    <cellStyle name="Migliaia 3 2 2 2 3 5 2 4" xfId="18238" xr:uid="{BA2BCE1A-59A9-4183-A97F-0D1E8C6C603A}"/>
    <cellStyle name="Migliaia 3 2 2 2 3 5 3" xfId="3916" xr:uid="{19B7D8BD-0C42-4EAD-93B9-0015D7FD8159}"/>
    <cellStyle name="Migliaia 3 2 2 2 3 5 3 2" xfId="11404" xr:uid="{6FAE7C69-21E7-46B2-A1F3-BBDBC9E72204}"/>
    <cellStyle name="Migliaia 3 2 2 2 3 5 3 2 2" xfId="14950" xr:uid="{C6709F80-A33D-46B9-A552-E60141832C1C}"/>
    <cellStyle name="Migliaia 3 2 2 2 3 5 3 2 2 2" xfId="30127" xr:uid="{14299B67-C8A1-42F2-93F7-ADFF897FF200}"/>
    <cellStyle name="Migliaia 3 2 2 2 3 5 3 2 3" xfId="26582" xr:uid="{EF3D6509-E631-4E11-B55C-3E08A17C0D3B}"/>
    <cellStyle name="Migliaia 3 2 2 2 3 5 3 3" xfId="7230" xr:uid="{E78C5F52-6280-42FA-8292-CD37B8C1C827}"/>
    <cellStyle name="Migliaia 3 2 2 2 3 5 3 3 2" xfId="22410" xr:uid="{B828850C-BB6C-475B-9EC1-3E3359CEDFD1}"/>
    <cellStyle name="Migliaia 3 2 2 2 3 5 3 4" xfId="19122" xr:uid="{24440CCE-F418-4B02-9711-3A9CA9BB517C}"/>
    <cellStyle name="Migliaia 3 2 2 2 3 5 4" xfId="4377" xr:uid="{E21EA870-141F-4294-9CEE-D64935ECC1A4}"/>
    <cellStyle name="Migliaia 3 2 2 2 3 5 4 2" xfId="11862" xr:uid="{7DFF95DE-62C1-4BCE-B1E3-2D8D0964E596}"/>
    <cellStyle name="Migliaia 3 2 2 2 3 5 4 2 2" xfId="15408" xr:uid="{BE2BBF90-959B-4469-84C9-2035E5EFCAA6}"/>
    <cellStyle name="Migliaia 3 2 2 2 3 5 4 2 2 2" xfId="30585" xr:uid="{0344CB43-46F4-486E-A11D-B15C445493F8}"/>
    <cellStyle name="Migliaia 3 2 2 2 3 5 4 2 3" xfId="27040" xr:uid="{ACB2E82C-F440-4C25-AEE5-08C735F03E2C}"/>
    <cellStyle name="Migliaia 3 2 2 2 3 5 4 3" xfId="7688" xr:uid="{CEFB1406-32C6-4E02-A61F-7AAA6A52AC50}"/>
    <cellStyle name="Migliaia 3 2 2 2 3 5 4 3 2" xfId="22868" xr:uid="{A3D07B2E-10B5-4AE0-9CE2-C5F7F8EFDF24}"/>
    <cellStyle name="Migliaia 3 2 2 2 3 5 4 4" xfId="19580" xr:uid="{61165015-6D24-4DAF-99B3-B3B9082F3092}"/>
    <cellStyle name="Migliaia 3 2 2 2 3 5 5" xfId="2139" xr:uid="{4390A4E1-8C89-4141-9987-3F3BEDAB95A7}"/>
    <cellStyle name="Migliaia 3 2 2 2 3 5 5 2" xfId="9636" xr:uid="{42B04F06-31E5-4F58-866C-6BEE887EF859}"/>
    <cellStyle name="Migliaia 3 2 2 2 3 5 5 2 2" xfId="24814" xr:uid="{460CBBDE-DB68-44E1-8400-4E83D9074930}"/>
    <cellStyle name="Migliaia 3 2 2 2 3 5 5 3" xfId="17354" xr:uid="{65E8AA8E-F466-40C4-ABA6-BB4012E9D05F}"/>
    <cellStyle name="Migliaia 3 2 2 2 3 5 6" xfId="9122" xr:uid="{47BB4C4E-7306-4839-A26E-356AA772E52B}"/>
    <cellStyle name="Migliaia 3 2 2 2 3 5 6 2" xfId="13295" xr:uid="{4E19AA98-4469-46FA-B636-3D495F266A88}"/>
    <cellStyle name="Migliaia 3 2 2 2 3 5 6 2 2" xfId="28472" xr:uid="{D9FA4B70-D23B-4DD9-9133-564F2F610F49}"/>
    <cellStyle name="Migliaia 3 2 2 2 3 5 6 3" xfId="24300" xr:uid="{E9A8AB6D-972C-4F90-9251-8B39AAB247C9}"/>
    <cellStyle name="Migliaia 3 2 2 2 3 5 7" xfId="5462" xr:uid="{1FD94B52-C7E2-42EB-B615-249DBE1EFD76}"/>
    <cellStyle name="Migliaia 3 2 2 2 3 5 7 2" xfId="20642" xr:uid="{85C02F38-4E9A-44B5-832B-94040F200A70}"/>
    <cellStyle name="Migliaia 3 2 2 2 3 5 8" xfId="16840" xr:uid="{5F3CEBC5-8BE7-45B9-99E8-E8C7840C198F}"/>
    <cellStyle name="Migliaia 3 2 2 2 3 6" xfId="1708" xr:uid="{360DD5AA-0442-4107-B522-9FD26C1553C8}"/>
    <cellStyle name="Migliaia 3 2 2 2 3 6 2" xfId="3127" xr:uid="{58479A44-32DB-4476-ABCF-426D1F572B09}"/>
    <cellStyle name="Migliaia 3 2 2 2 3 6 2 2" xfId="10618" xr:uid="{A8702713-BACC-409A-B5ED-CE1E4B507F91}"/>
    <cellStyle name="Migliaia 3 2 2 2 3 6 2 2 2" xfId="14164" xr:uid="{7C3ED26C-D161-415E-B135-AA13BD0E6E1C}"/>
    <cellStyle name="Migliaia 3 2 2 2 3 6 2 2 2 2" xfId="29341" xr:uid="{2D30A9BE-D6F7-4B23-B39D-E47FF187120B}"/>
    <cellStyle name="Migliaia 3 2 2 2 3 6 2 2 3" xfId="25796" xr:uid="{4D3792BE-D8B7-4CE5-891C-B2792E0F2CAB}"/>
    <cellStyle name="Migliaia 3 2 2 2 3 6 2 3" xfId="6444" xr:uid="{7AF2B6D4-3EB2-4D43-9995-4D243249072D}"/>
    <cellStyle name="Migliaia 3 2 2 2 3 6 2 3 2" xfId="21624" xr:uid="{21F335D0-DF9F-4884-9867-75DFE3A29E47}"/>
    <cellStyle name="Migliaia 3 2 2 2 3 6 2 4" xfId="18336" xr:uid="{D3CA91A6-29ED-40E9-8957-5FA36D262EC2}"/>
    <cellStyle name="Migliaia 3 2 2 2 3 6 3" xfId="4014" xr:uid="{9DBB8741-8869-4EFB-9620-68B11754DB9F}"/>
    <cellStyle name="Migliaia 3 2 2 2 3 6 3 2" xfId="11502" xr:uid="{C28E7712-113A-4128-9C3F-CB3207285F74}"/>
    <cellStyle name="Migliaia 3 2 2 2 3 6 3 2 2" xfId="15048" xr:uid="{FDD43662-D26C-452D-BB6D-345526505F48}"/>
    <cellStyle name="Migliaia 3 2 2 2 3 6 3 2 2 2" xfId="30225" xr:uid="{F5D4B3F0-E029-4A40-BF2F-4D274F72985A}"/>
    <cellStyle name="Migliaia 3 2 2 2 3 6 3 2 3" xfId="26680" xr:uid="{93780A10-78DD-4E9B-8548-435CA49E5C96}"/>
    <cellStyle name="Migliaia 3 2 2 2 3 6 3 3" xfId="7328" xr:uid="{8E971945-F46E-4D56-8070-279D3B6A26FB}"/>
    <cellStyle name="Migliaia 3 2 2 2 3 6 3 3 2" xfId="22508" xr:uid="{294812D5-9865-4695-8A66-E48F34EC212A}"/>
    <cellStyle name="Migliaia 3 2 2 2 3 6 3 4" xfId="19220" xr:uid="{A426F7FF-CBFC-4F2D-BB54-E1CC02FCF11D}"/>
    <cellStyle name="Migliaia 3 2 2 2 3 6 4" xfId="4378" xr:uid="{74A018BE-C57D-4DD5-8B7A-5B1E59F1A5D9}"/>
    <cellStyle name="Migliaia 3 2 2 2 3 6 4 2" xfId="11863" xr:uid="{77C41759-42A6-40BB-9237-94C089006DC3}"/>
    <cellStyle name="Migliaia 3 2 2 2 3 6 4 2 2" xfId="15409" xr:uid="{017144E9-2EE6-4666-9117-32880AA5B5B2}"/>
    <cellStyle name="Migliaia 3 2 2 2 3 6 4 2 2 2" xfId="30586" xr:uid="{136297A2-073D-46D7-8B80-953E5584247E}"/>
    <cellStyle name="Migliaia 3 2 2 2 3 6 4 2 3" xfId="27041" xr:uid="{F1F61A87-41E0-4B3E-8CD8-4C5B1D3F51A1}"/>
    <cellStyle name="Migliaia 3 2 2 2 3 6 4 3" xfId="7689" xr:uid="{5F3F1BBE-A901-48DF-BAE3-C36277DA7F90}"/>
    <cellStyle name="Migliaia 3 2 2 2 3 6 4 3 2" xfId="22869" xr:uid="{A7B7ECB0-2903-437C-AE22-6AAF2815D5C3}"/>
    <cellStyle name="Migliaia 3 2 2 2 3 6 4 4" xfId="19581" xr:uid="{F07DCE1B-3701-420C-BD83-B664DCAA93F1}"/>
    <cellStyle name="Migliaia 3 2 2 2 3 6 5" xfId="2237" xr:uid="{56E4B18C-6EC7-48A2-869C-65F8DC53FD33}"/>
    <cellStyle name="Migliaia 3 2 2 2 3 6 5 2" xfId="9734" xr:uid="{067E5168-7771-4D50-9CC4-3EAE844091EB}"/>
    <cellStyle name="Migliaia 3 2 2 2 3 6 5 2 2" xfId="24912" xr:uid="{79873A18-3448-4A8A-8137-344DB8993AA9}"/>
    <cellStyle name="Migliaia 3 2 2 2 3 6 5 3" xfId="17452" xr:uid="{F6E3B3D8-59E5-45A9-B2B2-BD3AD399F621}"/>
    <cellStyle name="Migliaia 3 2 2 2 3 6 6" xfId="9220" xr:uid="{74B9F5AE-A93C-43DB-8B73-C082ECB373EE}"/>
    <cellStyle name="Migliaia 3 2 2 2 3 6 6 2" xfId="13393" xr:uid="{C13126A1-EC39-4917-9E2E-B09C4A3986ED}"/>
    <cellStyle name="Migliaia 3 2 2 2 3 6 6 2 2" xfId="28570" xr:uid="{DC83B0D4-7775-4575-A615-F5125FE4CB9B}"/>
    <cellStyle name="Migliaia 3 2 2 2 3 6 6 3" xfId="24398" xr:uid="{9971BE2A-8BBB-450F-8F02-D7C3FF2E1891}"/>
    <cellStyle name="Migliaia 3 2 2 2 3 6 7" xfId="5560" xr:uid="{A3136E05-B69D-4348-BFA7-47608C8ADA70}"/>
    <cellStyle name="Migliaia 3 2 2 2 3 6 7 2" xfId="20740" xr:uid="{E0C3640F-F930-47BE-B493-CAD1666C0E46}"/>
    <cellStyle name="Migliaia 3 2 2 2 3 6 8" xfId="16938" xr:uid="{5317146E-D844-4BCB-8132-CF6693F72EA8}"/>
    <cellStyle name="Migliaia 3 2 2 2 3 7" xfId="2337" xr:uid="{271B210D-C66B-4662-9B67-CF771ABE4CA8}"/>
    <cellStyle name="Migliaia 3 2 2 2 3 7 2" xfId="9832" xr:uid="{95698862-019A-4B77-AB2F-1B97BFFB40C0}"/>
    <cellStyle name="Migliaia 3 2 2 2 3 7 2 2" xfId="13491" xr:uid="{1C6F2E7B-4639-48B1-ABD6-BE8763CF4EDA}"/>
    <cellStyle name="Migliaia 3 2 2 2 3 7 2 2 2" xfId="28668" xr:uid="{4A59A3AF-C3D2-45D0-9E77-161C6B659CCF}"/>
    <cellStyle name="Migliaia 3 2 2 2 3 7 2 3" xfId="25010" xr:uid="{38DBDD2E-EF09-41CB-A7D8-8A5B1DF5A798}"/>
    <cellStyle name="Migliaia 3 2 2 2 3 7 3" xfId="5658" xr:uid="{47A43CD7-7E8C-4E56-AC39-5C49E0D1C49B}"/>
    <cellStyle name="Migliaia 3 2 2 2 3 7 3 2" xfId="20838" xr:uid="{A3FFD564-ED6D-40D9-8F6C-E1D5C29FADC5}"/>
    <cellStyle name="Migliaia 3 2 2 2 3 7 4" xfId="17550" xr:uid="{19A8015F-51BD-4E47-BA6E-EE178616369F}"/>
    <cellStyle name="Migliaia 3 2 2 2 3 8" xfId="3227" xr:uid="{B5E8A497-946A-4C4D-A689-81F7D6F0DB50}"/>
    <cellStyle name="Migliaia 3 2 2 2 3 8 2" xfId="10716" xr:uid="{8923A56F-7349-451F-AEBC-10FD3D77240C}"/>
    <cellStyle name="Migliaia 3 2 2 2 3 8 2 2" xfId="14262" xr:uid="{781337F8-FB52-4484-896A-FB340BD30DF5}"/>
    <cellStyle name="Migliaia 3 2 2 2 3 8 2 2 2" xfId="29439" xr:uid="{F3686692-D453-48FB-998A-4A80DC95CC4E}"/>
    <cellStyle name="Migliaia 3 2 2 2 3 8 2 3" xfId="25894" xr:uid="{972DF33D-64F7-489E-8FB0-FA1ADFE63C9C}"/>
    <cellStyle name="Migliaia 3 2 2 2 3 8 3" xfId="6542" xr:uid="{21EF0AB2-345B-4D14-941B-D36F5908044F}"/>
    <cellStyle name="Migliaia 3 2 2 2 3 8 3 2" xfId="21722" xr:uid="{CF3580A0-F436-4767-B8C9-476F1D80ED8C}"/>
    <cellStyle name="Migliaia 3 2 2 2 3 8 4" xfId="18434" xr:uid="{24AE14C9-5FF2-4FC5-BCFA-5B96FDD69BA0}"/>
    <cellStyle name="Migliaia 3 2 2 2 3 9" xfId="4379" xr:uid="{740468B1-34CE-44EB-9BC2-F768E4EDAE0E}"/>
    <cellStyle name="Migliaia 3 2 2 2 3 9 2" xfId="11864" xr:uid="{9E5886A6-0E25-44C7-843B-95E46BC64E02}"/>
    <cellStyle name="Migliaia 3 2 2 2 3 9 2 2" xfId="15410" xr:uid="{266ED5CE-5A03-4040-B789-EDCC65411CC5}"/>
    <cellStyle name="Migliaia 3 2 2 2 3 9 2 2 2" xfId="30587" xr:uid="{EB87E4CE-DDEA-4A8B-8C13-FF9DD6D13A5E}"/>
    <cellStyle name="Migliaia 3 2 2 2 3 9 2 3" xfId="27042" xr:uid="{6552AE26-3AA2-4786-AA2F-49ECF51CB6FC}"/>
    <cellStyle name="Migliaia 3 2 2 2 3 9 3" xfId="7690" xr:uid="{2F81F168-D254-4C87-AD91-7AAF07DC8733}"/>
    <cellStyle name="Migliaia 3 2 2 2 3 9 3 2" xfId="22870" xr:uid="{60C73EA9-1ECE-4A4C-B2FA-36A01B5709CD}"/>
    <cellStyle name="Migliaia 3 2 2 2 3 9 4" xfId="19582" xr:uid="{21CCE1AF-7D31-452D-A502-28A32B273E16}"/>
    <cellStyle name="Migliaia 3 2 2 2 4" xfId="895" xr:uid="{E59B3336-E352-4780-8F74-3BAD14AB57BC}"/>
    <cellStyle name="Migliaia 3 2 2 2 4 2" xfId="2413" xr:uid="{66F4AD2A-B874-428E-858A-D14612600B42}"/>
    <cellStyle name="Migliaia 3 2 2 2 4 2 2" xfId="9905" xr:uid="{22C112D0-F050-4BB5-A5F6-74B8CEFBC504}"/>
    <cellStyle name="Migliaia 3 2 2 2 4 2 2 2" xfId="13564" xr:uid="{BC355602-DBAD-41B1-B417-DB106C59709E}"/>
    <cellStyle name="Migliaia 3 2 2 2 4 2 2 2 2" xfId="28741" xr:uid="{A96B9BD7-AAE6-42AE-8067-0FA7F07C5233}"/>
    <cellStyle name="Migliaia 3 2 2 2 4 2 2 3" xfId="25083" xr:uid="{1664676F-1F99-41A7-98BD-BBB87BAC6E26}"/>
    <cellStyle name="Migliaia 3 2 2 2 4 2 3" xfId="5731" xr:uid="{EAFB7FB7-6641-4351-8BBD-BA6F6A7C377C}"/>
    <cellStyle name="Migliaia 3 2 2 2 4 2 3 2" xfId="20911" xr:uid="{FB45959B-877C-4124-86EB-C679A9D5F959}"/>
    <cellStyle name="Migliaia 3 2 2 2 4 2 4" xfId="17623" xr:uid="{8FA08A38-D678-4D13-BEEC-E1A8114B2DE6}"/>
    <cellStyle name="Migliaia 3 2 2 2 4 3" xfId="3301" xr:uid="{883EE85A-BB79-49B7-9372-7696340EE7F7}"/>
    <cellStyle name="Migliaia 3 2 2 2 4 3 2" xfId="10789" xr:uid="{CB4CA829-F472-4149-B12E-1C7FB5DECFEE}"/>
    <cellStyle name="Migliaia 3 2 2 2 4 3 2 2" xfId="14335" xr:uid="{A2A6FDEF-A6DB-45D7-B893-3BAED6601021}"/>
    <cellStyle name="Migliaia 3 2 2 2 4 3 2 2 2" xfId="29512" xr:uid="{27DE7CDA-1385-425A-BA22-613AC13C32F5}"/>
    <cellStyle name="Migliaia 3 2 2 2 4 3 2 3" xfId="25967" xr:uid="{5FD7C908-2E8D-4891-900A-43BA09955DE5}"/>
    <cellStyle name="Migliaia 3 2 2 2 4 3 3" xfId="6615" xr:uid="{7C1E557B-80BA-44E1-9D3A-6F2D0DADAC2B}"/>
    <cellStyle name="Migliaia 3 2 2 2 4 3 3 2" xfId="21795" xr:uid="{CAECEFED-E0A8-4057-9232-D6273F4070A9}"/>
    <cellStyle name="Migliaia 3 2 2 2 4 3 4" xfId="18507" xr:uid="{E8B127B6-B6D0-4CAC-92FF-EC9BFB1505CA}"/>
    <cellStyle name="Migliaia 3 2 2 2 4 4" xfId="4380" xr:uid="{E9632DB9-6B3D-4F14-9C2B-ADAFCF98E10E}"/>
    <cellStyle name="Migliaia 3 2 2 2 4 4 2" xfId="11865" xr:uid="{BF875967-A252-417C-BD91-EFF3A78EA7D0}"/>
    <cellStyle name="Migliaia 3 2 2 2 4 4 2 2" xfId="15411" xr:uid="{1D5C5F02-AFBA-4B12-82EA-7939D0DC2B09}"/>
    <cellStyle name="Migliaia 3 2 2 2 4 4 2 2 2" xfId="30588" xr:uid="{7B9ED29B-F0E3-4F7A-BB11-A8A480967FE7}"/>
    <cellStyle name="Migliaia 3 2 2 2 4 4 2 3" xfId="27043" xr:uid="{59FC1F75-D4A3-4DAA-9B50-3EC04BD769DD}"/>
    <cellStyle name="Migliaia 3 2 2 2 4 4 3" xfId="7691" xr:uid="{44101520-ADE4-41AB-B03C-655A10EB31F2}"/>
    <cellStyle name="Migliaia 3 2 2 2 4 4 3 2" xfId="22871" xr:uid="{962AAC43-E1EE-4E33-85DE-14A000D92315}"/>
    <cellStyle name="Migliaia 3 2 2 2 4 4 4" xfId="19583" xr:uid="{68AC0DFD-DB6E-4CD6-BCD0-15238ACDC0A6}"/>
    <cellStyle name="Migliaia 3 2 2 2 4 5" xfId="8507" xr:uid="{80E491D9-765D-4D37-A7AB-406301043017}"/>
    <cellStyle name="Migliaia 3 2 2 2 4 5 2" xfId="12680" xr:uid="{E9B2F7EA-1F9B-468A-8A86-267877A22866}"/>
    <cellStyle name="Migliaia 3 2 2 2 4 5 2 2" xfId="27857" xr:uid="{01C17E9A-4A5B-48D7-8A5D-685DA7B87958}"/>
    <cellStyle name="Migliaia 3 2 2 2 4 5 3" xfId="23685" xr:uid="{CDFE446E-C134-412C-AFD7-08CF3CB0FEEF}"/>
    <cellStyle name="Migliaia 3 2 2 2 4 6" xfId="16225" xr:uid="{37F12579-FE4C-4954-9D9F-A94724C0FC19}"/>
    <cellStyle name="Migliaia 3 2 2 2 4 7" xfId="31665" xr:uid="{89CFCA35-466E-4E68-8D68-C46852375CF2}"/>
    <cellStyle name="Migliaia 3 2 2 2 5" xfId="998" xr:uid="{727EAAD7-A107-4076-A6FD-47814E2BA63C}"/>
    <cellStyle name="Migliaia 3 2 2 2 5 2" xfId="2511" xr:uid="{7D08F86B-55C1-4C79-8A00-F7B380E3DB9D}"/>
    <cellStyle name="Migliaia 3 2 2 2 5 2 2" xfId="10003" xr:uid="{6AF369A3-D055-401C-B0CB-666EE10361C2}"/>
    <cellStyle name="Migliaia 3 2 2 2 5 2 2 2" xfId="13662" xr:uid="{5E3F1E8F-2FE1-48CE-96AE-0DFE921391B0}"/>
    <cellStyle name="Migliaia 3 2 2 2 5 2 2 2 2" xfId="28839" xr:uid="{E85E0D77-6DDB-4C20-A2D3-435537096744}"/>
    <cellStyle name="Migliaia 3 2 2 2 5 2 2 3" xfId="25181" xr:uid="{822D91CD-C7FB-4A39-B16D-232897CB56D5}"/>
    <cellStyle name="Migliaia 3 2 2 2 5 2 3" xfId="5829" xr:uid="{20FCBA9E-2064-4CA8-8DA9-E8A508EB7347}"/>
    <cellStyle name="Migliaia 3 2 2 2 5 2 3 2" xfId="21009" xr:uid="{2A5AC2B6-D5AD-4C62-A7AD-04D17CF0FD91}"/>
    <cellStyle name="Migliaia 3 2 2 2 5 2 4" xfId="17721" xr:uid="{39888D44-4358-43B2-AC5E-8B697D59001A}"/>
    <cellStyle name="Migliaia 3 2 2 2 5 3" xfId="3399" xr:uid="{A1DF8C0A-3F7C-41D7-814B-37466FAA20D3}"/>
    <cellStyle name="Migliaia 3 2 2 2 5 3 2" xfId="10887" xr:uid="{DE3C381E-2D4C-4E68-97C5-0EA69BC6D14E}"/>
    <cellStyle name="Migliaia 3 2 2 2 5 3 2 2" xfId="14433" xr:uid="{CC326211-8D5B-4173-ADCF-BC2E1E0A165A}"/>
    <cellStyle name="Migliaia 3 2 2 2 5 3 2 2 2" xfId="29610" xr:uid="{CD92CB14-A942-4DEF-97ED-931AAF907A66}"/>
    <cellStyle name="Migliaia 3 2 2 2 5 3 2 3" xfId="26065" xr:uid="{A4E8AA4B-607B-40ED-9662-8F7153387EBF}"/>
    <cellStyle name="Migliaia 3 2 2 2 5 3 3" xfId="6713" xr:uid="{64A1A915-1E7F-498C-95E0-2D5FA31C53A5}"/>
    <cellStyle name="Migliaia 3 2 2 2 5 3 3 2" xfId="21893" xr:uid="{6CFB5FB0-0502-42A2-B35D-338741201247}"/>
    <cellStyle name="Migliaia 3 2 2 2 5 3 4" xfId="18605" xr:uid="{BED4BB95-E581-4E8C-9844-FBE5396C02E7}"/>
    <cellStyle name="Migliaia 3 2 2 2 5 4" xfId="4381" xr:uid="{31F4A922-54C1-4D1E-A351-1FA1843D9F9F}"/>
    <cellStyle name="Migliaia 3 2 2 2 5 4 2" xfId="11866" xr:uid="{522ED6CC-CF38-4170-9DBA-1CB0B6E156CF}"/>
    <cellStyle name="Migliaia 3 2 2 2 5 4 2 2" xfId="15412" xr:uid="{9923998B-8613-4535-8D42-ED02E4383358}"/>
    <cellStyle name="Migliaia 3 2 2 2 5 4 2 2 2" xfId="30589" xr:uid="{8D6F895A-9391-4AA6-859C-585CCD5046AB}"/>
    <cellStyle name="Migliaia 3 2 2 2 5 4 2 3" xfId="27044" xr:uid="{FF5F1481-27BA-4851-8BF8-25C8DDC51FC2}"/>
    <cellStyle name="Migliaia 3 2 2 2 5 4 3" xfId="7692" xr:uid="{11934DAE-2D3E-4C64-86FE-883672D4267B}"/>
    <cellStyle name="Migliaia 3 2 2 2 5 4 3 2" xfId="22872" xr:uid="{1D5028B3-8B41-44A6-9767-94C7AA67B31D}"/>
    <cellStyle name="Migliaia 3 2 2 2 5 4 4" xfId="19584" xr:uid="{35779D61-022D-4E1D-90AC-421A5888D9A4}"/>
    <cellStyle name="Migliaia 3 2 2 2 5 5" xfId="8605" xr:uid="{ECF44B44-F414-4B1D-8CEE-7F8FD142A2F7}"/>
    <cellStyle name="Migliaia 3 2 2 2 5 5 2" xfId="12778" xr:uid="{C54C9BAA-1D39-4BD6-81F3-2AAE19C94BA5}"/>
    <cellStyle name="Migliaia 3 2 2 2 5 5 2 2" xfId="27955" xr:uid="{CA6681FD-41A9-4CDA-A898-A970742DE398}"/>
    <cellStyle name="Migliaia 3 2 2 2 5 5 3" xfId="23783" xr:uid="{DB4DDCAF-746E-48A0-AC86-395EEBC7931F}"/>
    <cellStyle name="Migliaia 3 2 2 2 5 6" xfId="16323" xr:uid="{2F972F78-39B5-4C06-8A55-EC85375A1C4B}"/>
    <cellStyle name="Migliaia 3 2 2 2 5 7" xfId="31543" xr:uid="{B0C90FBF-3C10-4482-B0E9-0543001DEA9E}"/>
    <cellStyle name="Migliaia 3 2 2 2 6" xfId="1181" xr:uid="{5F09EF0D-03B2-46A0-8771-55776E02CE3D}"/>
    <cellStyle name="Migliaia 3 2 2 2 6 2" xfId="2614" xr:uid="{5FBA76D2-AB3E-4B82-8510-F600C2D7DFB7}"/>
    <cellStyle name="Migliaia 3 2 2 2 6 2 2" xfId="10105" xr:uid="{F2C0F341-2001-49AF-BFFD-EAA9135A6718}"/>
    <cellStyle name="Migliaia 3 2 2 2 6 2 2 2" xfId="13763" xr:uid="{C084EF19-94F3-446A-80FB-8D549A4D7D75}"/>
    <cellStyle name="Migliaia 3 2 2 2 6 2 2 2 2" xfId="28940" xr:uid="{427DD3A1-DC00-4A41-8107-02A029299407}"/>
    <cellStyle name="Migliaia 3 2 2 2 6 2 2 3" xfId="25283" xr:uid="{9F5C2FDB-CC9E-4CE6-A6B7-16C8B18A39EA}"/>
    <cellStyle name="Migliaia 3 2 2 2 6 2 3" xfId="5931" xr:uid="{EFD06759-1578-4163-8323-7DE67050C548}"/>
    <cellStyle name="Migliaia 3 2 2 2 6 2 3 2" xfId="21111" xr:uid="{41BD9C17-A5D2-4FC7-B07D-C4E687C9FC04}"/>
    <cellStyle name="Migliaia 3 2 2 2 6 2 4" xfId="17823" xr:uid="{BD1C5E15-4573-4549-9E4C-CEA4634EC9FD}"/>
    <cellStyle name="Migliaia 3 2 2 2 6 3" xfId="3501" xr:uid="{18E788A8-4929-4A09-93A2-7E4F2B64038E}"/>
    <cellStyle name="Migliaia 3 2 2 2 6 3 2" xfId="10989" xr:uid="{FE7D4974-9244-498A-9A61-53B0DE2E631F}"/>
    <cellStyle name="Migliaia 3 2 2 2 6 3 2 2" xfId="14535" xr:uid="{E164E4FA-9060-4DD7-8FD0-1AC244A4E826}"/>
    <cellStyle name="Migliaia 3 2 2 2 6 3 2 2 2" xfId="29712" xr:uid="{39B1AE8D-363D-4117-93E7-074AB87D0755}"/>
    <cellStyle name="Migliaia 3 2 2 2 6 3 2 3" xfId="26167" xr:uid="{7D53392F-4D87-4B5C-897C-EED96BC60350}"/>
    <cellStyle name="Migliaia 3 2 2 2 6 3 3" xfId="6815" xr:uid="{4246FE19-29F4-4E29-A7D0-0887B97DE0E6}"/>
    <cellStyle name="Migliaia 3 2 2 2 6 3 3 2" xfId="21995" xr:uid="{64D06ED1-D7F0-48E9-A6F3-E84E1D48A276}"/>
    <cellStyle name="Migliaia 3 2 2 2 6 3 4" xfId="18707" xr:uid="{D4B0AD9F-BBA5-4DB8-8CD3-4294E907D3E3}"/>
    <cellStyle name="Migliaia 3 2 2 2 6 4" xfId="4382" xr:uid="{5A2D0F4D-B569-4AC3-BF0B-E1F84551D32C}"/>
    <cellStyle name="Migliaia 3 2 2 2 6 4 2" xfId="11867" xr:uid="{EDD5AB9A-B6BC-4856-A55E-872B6BB9A6E7}"/>
    <cellStyle name="Migliaia 3 2 2 2 6 4 2 2" xfId="15413" xr:uid="{5283C1C1-9E22-45A5-8B4A-F5C53AF135B8}"/>
    <cellStyle name="Migliaia 3 2 2 2 6 4 2 2 2" xfId="30590" xr:uid="{69096E4A-9768-4719-8F02-803D731B2C53}"/>
    <cellStyle name="Migliaia 3 2 2 2 6 4 2 3" xfId="27045" xr:uid="{EB92FAF0-32B7-41BB-99FB-8F43057EBC8F}"/>
    <cellStyle name="Migliaia 3 2 2 2 6 4 3" xfId="7693" xr:uid="{7367AE4E-582E-4E7A-AEC8-7FDCAF400BFE}"/>
    <cellStyle name="Migliaia 3 2 2 2 6 4 3 2" xfId="22873" xr:uid="{C7FC336C-70F1-46D2-930D-539D72ABE480}"/>
    <cellStyle name="Migliaia 3 2 2 2 6 4 4" xfId="19585" xr:uid="{1774A42A-29DE-4CD4-9086-D53A3F88B16C}"/>
    <cellStyle name="Migliaia 3 2 2 2 6 5" xfId="8707" xr:uid="{640A2056-6498-40DD-8B79-034D8CC1918D}"/>
    <cellStyle name="Migliaia 3 2 2 2 6 5 2" xfId="12880" xr:uid="{8ECA5D67-C666-47D4-8881-0A9852ED70DD}"/>
    <cellStyle name="Migliaia 3 2 2 2 6 5 2 2" xfId="28057" xr:uid="{7F0D2419-8516-4DDB-AE27-F5279EE94688}"/>
    <cellStyle name="Migliaia 3 2 2 2 6 5 3" xfId="23885" xr:uid="{98D115B4-3009-415E-8777-9A89B9435FAE}"/>
    <cellStyle name="Migliaia 3 2 2 2 6 6" xfId="16425" xr:uid="{79F3D7AB-BAF2-4694-9055-7555EC53D04D}"/>
    <cellStyle name="Migliaia 3 2 2 2 7" xfId="1207" xr:uid="{F403588C-EAA1-4FE4-BFCD-594AE96D3F78}"/>
    <cellStyle name="Migliaia 3 2 2 2 7 2" xfId="2638" xr:uid="{2303DFEC-2781-44CA-B0FB-BE30D2391287}"/>
    <cellStyle name="Migliaia 3 2 2 2 7 2 2" xfId="10129" xr:uid="{D487479E-5B89-4B99-99A8-3E6FA3C08522}"/>
    <cellStyle name="Migliaia 3 2 2 2 7 2 2 2" xfId="13787" xr:uid="{D75038FD-4D01-495A-AE15-B2DFE13BF0E8}"/>
    <cellStyle name="Migliaia 3 2 2 2 7 2 2 2 2" xfId="28964" xr:uid="{049353AE-E367-46C1-A338-4964F1C39059}"/>
    <cellStyle name="Migliaia 3 2 2 2 7 2 2 3" xfId="25307" xr:uid="{7327385D-2A18-4E7F-8CA3-94A13524734F}"/>
    <cellStyle name="Migliaia 3 2 2 2 7 2 3" xfId="5955" xr:uid="{B0190692-5F20-4D79-8BBA-834300BF2F75}"/>
    <cellStyle name="Migliaia 3 2 2 2 7 2 3 2" xfId="21135" xr:uid="{4772B7F3-3F26-41A3-84F6-2DA1DF25152D}"/>
    <cellStyle name="Migliaia 3 2 2 2 7 2 4" xfId="17847" xr:uid="{F1993A9F-A5EB-4CDC-9C99-A757AEC485D9}"/>
    <cellStyle name="Migliaia 3 2 2 2 7 3" xfId="3525" xr:uid="{06A8FA93-B953-4077-8134-01C2949B6324}"/>
    <cellStyle name="Migliaia 3 2 2 2 7 3 2" xfId="11013" xr:uid="{20A4DE1D-9B5F-46ED-8E7A-2594347405F0}"/>
    <cellStyle name="Migliaia 3 2 2 2 7 3 2 2" xfId="14559" xr:uid="{FE0800F5-F187-4890-A00B-1FFAF841484C}"/>
    <cellStyle name="Migliaia 3 2 2 2 7 3 2 2 2" xfId="29736" xr:uid="{472A019A-79E2-43B1-8763-B93E2CECED9D}"/>
    <cellStyle name="Migliaia 3 2 2 2 7 3 2 3" xfId="26191" xr:uid="{9D170E89-29D3-4C4D-99ED-08DCB11A4DAE}"/>
    <cellStyle name="Migliaia 3 2 2 2 7 3 3" xfId="6839" xr:uid="{A795CC3E-DF55-4D65-B774-45C16649F55C}"/>
    <cellStyle name="Migliaia 3 2 2 2 7 3 3 2" xfId="22019" xr:uid="{A193746F-CAC5-4B44-98A4-94EFE1112D77}"/>
    <cellStyle name="Migliaia 3 2 2 2 7 3 4" xfId="18731" xr:uid="{CD5EB9BD-33A1-4BC3-B4B0-4556574DD73C}"/>
    <cellStyle name="Migliaia 3 2 2 2 7 4" xfId="4383" xr:uid="{261149D8-F059-4DE4-A635-C85C0C4126C8}"/>
    <cellStyle name="Migliaia 3 2 2 2 7 4 2" xfId="11868" xr:uid="{0F88EAFE-2D71-4A7F-B9A2-88C4BEF04E79}"/>
    <cellStyle name="Migliaia 3 2 2 2 7 4 2 2" xfId="15414" xr:uid="{ACAFD191-BE87-48C4-A4F4-DCBAA01C948F}"/>
    <cellStyle name="Migliaia 3 2 2 2 7 4 2 2 2" xfId="30591" xr:uid="{11473243-307A-4F20-81AD-A3E0B23C497D}"/>
    <cellStyle name="Migliaia 3 2 2 2 7 4 2 3" xfId="27046" xr:uid="{94D36885-6884-4525-91CC-F8D51D91C04E}"/>
    <cellStyle name="Migliaia 3 2 2 2 7 4 3" xfId="7694" xr:uid="{6A349EE5-3629-41BF-9762-E7AB27F9C32C}"/>
    <cellStyle name="Migliaia 3 2 2 2 7 4 3 2" xfId="22874" xr:uid="{61C06EA4-EBA2-466A-B950-0BC2DE9B0F74}"/>
    <cellStyle name="Migliaia 3 2 2 2 7 4 4" xfId="19586" xr:uid="{71B8900C-695D-4309-8A34-1BA0D598E9A7}"/>
    <cellStyle name="Migliaia 3 2 2 2 7 5" xfId="8731" xr:uid="{3DF7FFBA-C800-4514-8207-79D7B0A1ED6C}"/>
    <cellStyle name="Migliaia 3 2 2 2 7 5 2" xfId="12904" xr:uid="{07280769-A140-4908-AA1E-F84A7CDA16D5}"/>
    <cellStyle name="Migliaia 3 2 2 2 7 5 2 2" xfId="28081" xr:uid="{7B8382AF-5645-4C78-BEED-3D892CE77E27}"/>
    <cellStyle name="Migliaia 3 2 2 2 7 5 3" xfId="23909" xr:uid="{314A06F1-F41C-46BD-B381-01943D80C6A6}"/>
    <cellStyle name="Migliaia 3 2 2 2 7 6" xfId="16449" xr:uid="{A8DE827B-9337-469F-8927-4AD1D02E62BC}"/>
    <cellStyle name="Migliaia 3 2 2 2 8" xfId="1256" xr:uid="{47BA4A71-FBD3-4B24-8C4E-26CCA077D9F4}"/>
    <cellStyle name="Migliaia 3 2 2 2 8 10" xfId="31315" xr:uid="{54848B36-F545-4735-9A74-6B5732E3C4E5}"/>
    <cellStyle name="Migliaia 3 2 2 2 8 2" xfId="2686" xr:uid="{C3AAE6F3-3C76-44ED-B9D7-086046CFA1B0}"/>
    <cellStyle name="Migliaia 3 2 2 2 8 2 2" xfId="10177" xr:uid="{C6013066-66EF-4681-818B-1550EE215861}"/>
    <cellStyle name="Migliaia 3 2 2 2 8 2 2 2" xfId="13821" xr:uid="{90C3A81D-C98B-4452-B6F1-31D36F48A3FF}"/>
    <cellStyle name="Migliaia 3 2 2 2 8 2 2 2 2" xfId="28998" xr:uid="{4B9B8143-1DAB-49B0-A04C-DAF352977E7C}"/>
    <cellStyle name="Migliaia 3 2 2 2 8 2 2 3" xfId="25355" xr:uid="{8C32C2D7-AD63-4175-A038-E05EBD1C95BA}"/>
    <cellStyle name="Migliaia 3 2 2 2 8 2 3" xfId="6003" xr:uid="{BBC4CFFB-2341-46E0-A471-9562672F67AA}"/>
    <cellStyle name="Migliaia 3 2 2 2 8 2 3 2" xfId="21183" xr:uid="{9DFF5D63-FD91-454A-B2F3-BE6E505DEA7B}"/>
    <cellStyle name="Migliaia 3 2 2 2 8 2 4" xfId="17895" xr:uid="{75B34BC9-3D6E-4D91-800B-F99E7816FACE}"/>
    <cellStyle name="Migliaia 3 2 2 2 8 3" xfId="3573" xr:uid="{D11ED4B6-D78A-4121-8478-7F77BF223610}"/>
    <cellStyle name="Migliaia 3 2 2 2 8 3 2" xfId="11061" xr:uid="{19D4B2B4-9787-4D80-80D9-E6B6697A2097}"/>
    <cellStyle name="Migliaia 3 2 2 2 8 3 2 2" xfId="14607" xr:uid="{BC9E1382-D05F-4497-B7BB-37C9677CB444}"/>
    <cellStyle name="Migliaia 3 2 2 2 8 3 2 2 2" xfId="29784" xr:uid="{912570F1-C344-48F4-9176-84B650AC9F95}"/>
    <cellStyle name="Migliaia 3 2 2 2 8 3 2 3" xfId="26239" xr:uid="{1E123BD6-62CD-4482-BE0E-BBFCEC06259E}"/>
    <cellStyle name="Migliaia 3 2 2 2 8 3 3" xfId="6887" xr:uid="{16ABFBD1-E3B7-4FE0-8A48-C8F4287679E3}"/>
    <cellStyle name="Migliaia 3 2 2 2 8 3 3 2" xfId="22067" xr:uid="{3965E73D-089B-43CE-B083-18A123C25659}"/>
    <cellStyle name="Migliaia 3 2 2 2 8 3 4" xfId="18779" xr:uid="{74678043-E471-425B-803F-19DB886916A8}"/>
    <cellStyle name="Migliaia 3 2 2 2 8 4" xfId="4384" xr:uid="{2213ED73-6895-4A64-906B-E68039DCF445}"/>
    <cellStyle name="Migliaia 3 2 2 2 8 4 2" xfId="11869" xr:uid="{22CBFCC8-618E-4554-8E6C-199CB1EAB74B}"/>
    <cellStyle name="Migliaia 3 2 2 2 8 4 2 2" xfId="15415" xr:uid="{F1C3F685-39E7-4741-A120-95B7F7DE27BB}"/>
    <cellStyle name="Migliaia 3 2 2 2 8 4 2 2 2" xfId="30592" xr:uid="{6E9B1CA0-EA04-4F5A-8E10-F991E47E7BF9}"/>
    <cellStyle name="Migliaia 3 2 2 2 8 4 2 3" xfId="27047" xr:uid="{A77E8679-190C-4F90-AB74-8F5707F1E3C9}"/>
    <cellStyle name="Migliaia 3 2 2 2 8 4 3" xfId="7695" xr:uid="{7392086B-064D-4060-973B-24E90B1D121D}"/>
    <cellStyle name="Migliaia 3 2 2 2 8 4 3 2" xfId="22875" xr:uid="{6F0597C8-A08A-4D89-91B4-9FDFD94EA614}"/>
    <cellStyle name="Migliaia 3 2 2 2 8 4 4" xfId="19587" xr:uid="{7F213B4E-0EC6-40BF-8C89-DEFE04B21768}"/>
    <cellStyle name="Migliaia 3 2 2 2 8 5" xfId="4975" xr:uid="{E70064CA-7B35-4EF0-84D4-D743160491C3}"/>
    <cellStyle name="Migliaia 3 2 2 2 8 5 2" xfId="12459" xr:uid="{CB004692-FAB1-4F79-9DF0-F06549470BF3}"/>
    <cellStyle name="Migliaia 3 2 2 2 8 5 2 2" xfId="16005" xr:uid="{328D7313-3683-421C-A6AC-2A4FF6763309}"/>
    <cellStyle name="Migliaia 3 2 2 2 8 5 2 2 2" xfId="31182" xr:uid="{C780F307-FB15-4921-974A-5907E0862383}"/>
    <cellStyle name="Migliaia 3 2 2 2 8 5 2 3" xfId="27637" xr:uid="{496DAF4D-3EA7-470B-9E13-EE89FCFAB8F1}"/>
    <cellStyle name="Migliaia 3 2 2 2 8 5 3" xfId="8285" xr:uid="{BA3BF62A-E71F-479F-A9AE-2B1DBE2BE5CB}"/>
    <cellStyle name="Migliaia 3 2 2 2 8 5 3 2" xfId="23465" xr:uid="{9B46D4DE-66B5-44FF-9B22-1BBC5138D40A}"/>
    <cellStyle name="Migliaia 3 2 2 2 8 5 4" xfId="20177" xr:uid="{EAEAF529-CB80-41AA-9A90-C7B24EB5EF67}"/>
    <cellStyle name="Migliaia 3 2 2 2 8 6" xfId="1796" xr:uid="{FD4A3862-0D69-4B23-8237-1FE6B8813695}"/>
    <cellStyle name="Migliaia 3 2 2 2 8 6 2" xfId="9293" xr:uid="{39FD13FC-72C5-47B8-88BF-EC4700321AA9}"/>
    <cellStyle name="Migliaia 3 2 2 2 8 6 2 2" xfId="24471" xr:uid="{910C931A-7E28-4303-A32D-2370F7D64874}"/>
    <cellStyle name="Migliaia 3 2 2 2 8 6 3" xfId="17011" xr:uid="{B8656114-4C91-4FFA-8A19-7A3E4D027E07}"/>
    <cellStyle name="Migliaia 3 2 2 2 8 7" xfId="8779" xr:uid="{19211EE2-6AAA-4C42-8B09-28C6B2FFEE60}"/>
    <cellStyle name="Migliaia 3 2 2 2 8 7 2" xfId="12952" xr:uid="{E98FE916-949C-4EA2-9710-A079B177AD23}"/>
    <cellStyle name="Migliaia 3 2 2 2 8 7 2 2" xfId="28129" xr:uid="{96BD915B-FD25-4FA4-9180-77D723155090}"/>
    <cellStyle name="Migliaia 3 2 2 2 8 7 3" xfId="23957" xr:uid="{1CBB7FB1-6FAE-459C-B580-1CC39EB1E304}"/>
    <cellStyle name="Migliaia 3 2 2 2 8 8" xfId="5119" xr:uid="{FFA2B92C-9651-4A49-9E95-1B5CC0551612}"/>
    <cellStyle name="Migliaia 3 2 2 2 8 8 2" xfId="20299" xr:uid="{9144EBBB-37F1-464E-9C98-1EA673A63FEB}"/>
    <cellStyle name="Migliaia 3 2 2 2 8 9" xfId="16497" xr:uid="{59B1A7A6-A6E1-4301-9F51-9DC61EE8665A}"/>
    <cellStyle name="Migliaia 3 2 2 2 9" xfId="1358" xr:uid="{123C1531-B925-4954-9654-39B5682D331F}"/>
    <cellStyle name="Migliaia 3 2 2 2 9 2" xfId="2784" xr:uid="{092B583F-50D7-466F-99D8-33A746567D24}"/>
    <cellStyle name="Migliaia 3 2 2 2 9 2 2" xfId="10275" xr:uid="{BA1FB2C6-168C-4B30-8491-DFA7025FB8C0}"/>
    <cellStyle name="Migliaia 3 2 2 2 9 2 2 2" xfId="13870" xr:uid="{554B3159-DA35-4366-BE19-53EFEE5B49DE}"/>
    <cellStyle name="Migliaia 3 2 2 2 9 2 2 2 2" xfId="29047" xr:uid="{45D5E5BD-5FE4-4A38-BF74-3BAE80E31144}"/>
    <cellStyle name="Migliaia 3 2 2 2 9 2 2 3" xfId="25453" xr:uid="{681797D1-660A-4D0A-BDEA-CAD0AEAAA1BF}"/>
    <cellStyle name="Migliaia 3 2 2 2 9 2 3" xfId="6101" xr:uid="{FA893E21-2C89-4FC8-AAF0-4AAA7F365C93}"/>
    <cellStyle name="Migliaia 3 2 2 2 9 2 3 2" xfId="21281" xr:uid="{E2797856-3FB2-465B-A171-74E0D9FF93E8}"/>
    <cellStyle name="Migliaia 3 2 2 2 9 2 4" xfId="17993" xr:uid="{9551B05B-1671-44F3-810D-A5F73F026D7C}"/>
    <cellStyle name="Migliaia 3 2 2 2 9 3" xfId="3671" xr:uid="{93A2A3A0-0175-4059-9519-38D02E0D36D9}"/>
    <cellStyle name="Migliaia 3 2 2 2 9 3 2" xfId="11159" xr:uid="{60CA23C9-E2EE-4EEE-A0EE-9CC7A9E72656}"/>
    <cellStyle name="Migliaia 3 2 2 2 9 3 2 2" xfId="14705" xr:uid="{D0B3F487-2366-49AC-974E-FCCC4F7765E1}"/>
    <cellStyle name="Migliaia 3 2 2 2 9 3 2 2 2" xfId="29882" xr:uid="{CDB48C2F-D868-45A6-819F-7AF457F13E75}"/>
    <cellStyle name="Migliaia 3 2 2 2 9 3 2 3" xfId="26337" xr:uid="{09FDDA5D-AEB4-4CDB-8B11-AC6CD2F16542}"/>
    <cellStyle name="Migliaia 3 2 2 2 9 3 3" xfId="6985" xr:uid="{40608EB5-EE82-4A41-9361-B617CAB1B580}"/>
    <cellStyle name="Migliaia 3 2 2 2 9 3 3 2" xfId="22165" xr:uid="{A9716FA3-10DE-4E26-9CB4-B81282DECA7C}"/>
    <cellStyle name="Migliaia 3 2 2 2 9 3 4" xfId="18877" xr:uid="{97398781-BFE9-4106-BDBA-FB6A4D16A35A}"/>
    <cellStyle name="Migliaia 3 2 2 2 9 4" xfId="4385" xr:uid="{5FC23AA0-CB49-43E6-A085-86A7E2928A7B}"/>
    <cellStyle name="Migliaia 3 2 2 2 9 4 2" xfId="11870" xr:uid="{9BA66D37-53A4-41DB-96C8-92DCE631882B}"/>
    <cellStyle name="Migliaia 3 2 2 2 9 4 2 2" xfId="15416" xr:uid="{899CE450-96CB-436C-996F-4EB85BB9B7EE}"/>
    <cellStyle name="Migliaia 3 2 2 2 9 4 2 2 2" xfId="30593" xr:uid="{EE215EA7-2154-45C1-9165-84515F9F16EE}"/>
    <cellStyle name="Migliaia 3 2 2 2 9 4 2 3" xfId="27048" xr:uid="{10C9C5BB-1774-4996-ABD8-1F09D0D950C0}"/>
    <cellStyle name="Migliaia 3 2 2 2 9 4 3" xfId="7696" xr:uid="{36813B94-FC2D-404B-9D1A-551D752F4918}"/>
    <cellStyle name="Migliaia 3 2 2 2 9 4 3 2" xfId="22876" xr:uid="{D64EFBD7-CE7C-49F0-855E-8D517ABE9B49}"/>
    <cellStyle name="Migliaia 3 2 2 2 9 4 4" xfId="19588" xr:uid="{A56BD448-4C81-4C3C-81F4-646260E6D554}"/>
    <cellStyle name="Migliaia 3 2 2 2 9 5" xfId="1894" xr:uid="{95A7AB26-56E9-4596-A3C6-EBD20C1404BF}"/>
    <cellStyle name="Migliaia 3 2 2 2 9 5 2" xfId="9391" xr:uid="{5C48A86A-072B-4585-8638-4EF33E9F67D9}"/>
    <cellStyle name="Migliaia 3 2 2 2 9 5 2 2" xfId="24569" xr:uid="{44ADED08-1BC0-4250-82E7-5440B1711D4A}"/>
    <cellStyle name="Migliaia 3 2 2 2 9 5 3" xfId="17109" xr:uid="{CB68546A-F778-41A0-BC89-FD60797AEA09}"/>
    <cellStyle name="Migliaia 3 2 2 2 9 6" xfId="8877" xr:uid="{A6A6AD1D-CAA4-45BB-AFB0-CF59B266D42D}"/>
    <cellStyle name="Migliaia 3 2 2 2 9 6 2" xfId="13050" xr:uid="{65F633C3-29E2-4F7A-A84F-E7A89A4CD17F}"/>
    <cellStyle name="Migliaia 3 2 2 2 9 6 2 2" xfId="28227" xr:uid="{591191A1-7334-473F-A2D6-6831C850C3A3}"/>
    <cellStyle name="Migliaia 3 2 2 2 9 6 3" xfId="24055" xr:uid="{00E8AF99-5A4D-4F0F-8BC2-803197CCCFD5}"/>
    <cellStyle name="Migliaia 3 2 2 2 9 7" xfId="5217" xr:uid="{CFD04E94-771A-4905-AFBF-3B75347AAEAB}"/>
    <cellStyle name="Migliaia 3 2 2 2 9 7 2" xfId="20397" xr:uid="{A56EE108-B575-4307-9C28-81FAA702D74F}"/>
    <cellStyle name="Migliaia 3 2 2 2 9 8" xfId="16595" xr:uid="{937E7726-E5E6-40D9-8EE9-F1D4DB380943}"/>
    <cellStyle name="Migliaia 3 2 2 3" xfId="578" xr:uid="{89360585-2EE8-4F0D-A1CC-90BBD91C3B87}"/>
    <cellStyle name="Migliaia 3 2 2 3 10" xfId="16201" xr:uid="{CF798F26-00E2-4AAA-840E-F96E640FE84A}"/>
    <cellStyle name="Migliaia 3 2 2 3 11" xfId="31291" xr:uid="{7B5908B7-A362-43BD-B89B-C81FD5EC8D31}"/>
    <cellStyle name="Migliaia 3 2 2 3 12" xfId="31641" xr:uid="{D8788A30-A93E-41BA-A517-FD9FF5739924}"/>
    <cellStyle name="Migliaia 3 2 2 3 13" xfId="869" xr:uid="{2B92753B-141D-4A41-BE77-3100A3C1D404}"/>
    <cellStyle name="Migliaia 3 2 2 3 2" xfId="1232" xr:uid="{1C20202D-6063-4B3A-BD65-8F6A950D52E4}"/>
    <cellStyle name="Migliaia 3 2 2 3 2 2" xfId="3549" xr:uid="{D1312E91-4A7E-4723-9382-6210109367F6}"/>
    <cellStyle name="Migliaia 3 2 2 3 2 2 2" xfId="11037" xr:uid="{1EF591CB-49F7-436D-AFAF-0B83975D9A4F}"/>
    <cellStyle name="Migliaia 3 2 2 3 2 2 2 2" xfId="14583" xr:uid="{ED266623-E400-44D7-8E0F-B365C6521C5E}"/>
    <cellStyle name="Migliaia 3 2 2 3 2 2 2 2 2" xfId="29760" xr:uid="{226DA526-1E2B-4819-8D38-5D531737252A}"/>
    <cellStyle name="Migliaia 3 2 2 3 2 2 2 3" xfId="26215" xr:uid="{EF4FD2F1-0103-4823-A3FB-1C78CE2D9F19}"/>
    <cellStyle name="Migliaia 3 2 2 3 2 2 3" xfId="6863" xr:uid="{50BCCA6D-743E-41B7-AFDD-BE6FBDA989E2}"/>
    <cellStyle name="Migliaia 3 2 2 3 2 2 3 2" xfId="22043" xr:uid="{88C831D5-E0AA-4C64-B499-02FDEE1E7B16}"/>
    <cellStyle name="Migliaia 3 2 2 3 2 2 4" xfId="18755" xr:uid="{3BBFB601-2ABF-4ED8-B341-48B57F928BA4}"/>
    <cellStyle name="Migliaia 3 2 2 3 2 3" xfId="4386" xr:uid="{8F9A01AE-4BC4-4972-820C-11D9D276E027}"/>
    <cellStyle name="Migliaia 3 2 2 3 2 3 2" xfId="11871" xr:uid="{D88C2AC5-B214-4ABE-A21E-396C2CD41127}"/>
    <cellStyle name="Migliaia 3 2 2 3 2 3 2 2" xfId="15417" xr:uid="{EEA63848-2C4D-4D38-A0AE-142F0D022C29}"/>
    <cellStyle name="Migliaia 3 2 2 3 2 3 2 2 2" xfId="30594" xr:uid="{6D5A7357-681B-4F98-A87D-FB361CAD8F99}"/>
    <cellStyle name="Migliaia 3 2 2 3 2 3 2 3" xfId="27049" xr:uid="{D033F3AE-07DA-456B-9043-021B88966BCC}"/>
    <cellStyle name="Migliaia 3 2 2 3 2 3 3" xfId="7697" xr:uid="{54738FD6-99A5-4913-8A8D-FBD9FFCCDBE5}"/>
    <cellStyle name="Migliaia 3 2 2 3 2 3 3 2" xfId="22877" xr:uid="{212EB378-7DC7-4E41-BCA3-7F508497C92E}"/>
    <cellStyle name="Migliaia 3 2 2 3 2 3 4" xfId="19589" xr:uid="{289EB72F-2449-45AA-8D69-167CAC2C5E6E}"/>
    <cellStyle name="Migliaia 3 2 2 3 2 4" xfId="2662" xr:uid="{87E5067A-EF94-49AD-A898-868D226449C2}"/>
    <cellStyle name="Migliaia 3 2 2 3 2 4 2" xfId="10153" xr:uid="{AE6DE7DF-C1EC-4974-8560-D784533136D0}"/>
    <cellStyle name="Migliaia 3 2 2 3 2 4 2 2" xfId="25331" xr:uid="{63274830-39E3-4EC8-9466-137263B3BE28}"/>
    <cellStyle name="Migliaia 3 2 2 3 2 4 3" xfId="17871" xr:uid="{9839636A-252F-4583-A9C4-7401E0CC613E}"/>
    <cellStyle name="Migliaia 3 2 2 3 2 5" xfId="8755" xr:uid="{618974B0-68D9-469A-A5DD-13A1975610AB}"/>
    <cellStyle name="Migliaia 3 2 2 3 2 5 2" xfId="12928" xr:uid="{B8CAC6E3-B1A9-494E-A491-F50FC38130B0}"/>
    <cellStyle name="Migliaia 3 2 2 3 2 5 2 2" xfId="28105" xr:uid="{086387E6-1B13-45C1-B38E-B629CA75A299}"/>
    <cellStyle name="Migliaia 3 2 2 3 2 5 3" xfId="23933" xr:uid="{9B272AC1-5AD5-4030-B898-C78837B2F805}"/>
    <cellStyle name="Migliaia 3 2 2 3 2 6" xfId="5979" xr:uid="{4DABD477-5957-49C7-9264-F93ED7FC87C6}"/>
    <cellStyle name="Migliaia 3 2 2 3 2 6 2" xfId="21159" xr:uid="{52C3EC7D-D9D4-41EC-82C2-B4F43673DC12}"/>
    <cellStyle name="Migliaia 3 2 2 3 2 7" xfId="16473" xr:uid="{CDFB4C82-694E-4C0F-9566-560842F0DDF0}"/>
    <cellStyle name="Migliaia 3 2 2 3 3" xfId="2387" xr:uid="{6836A686-CA54-453B-A871-4AFE11EB3B65}"/>
    <cellStyle name="Migliaia 3 2 2 3 3 2" xfId="9881" xr:uid="{278564BE-6D06-4F49-B632-8228BD99F50B}"/>
    <cellStyle name="Migliaia 3 2 2 3 3 2 2" xfId="13540" xr:uid="{B8A489A7-8F80-4C45-898D-9D7A86304067}"/>
    <cellStyle name="Migliaia 3 2 2 3 3 2 2 2" xfId="28717" xr:uid="{998F01F1-7EE2-4E02-9961-8B6806BDE8DF}"/>
    <cellStyle name="Migliaia 3 2 2 3 3 2 3" xfId="25059" xr:uid="{79D3D5C6-5180-4EEF-90F9-D9B2E19DF4B7}"/>
    <cellStyle name="Migliaia 3 2 2 3 3 3" xfId="5707" xr:uid="{D8276F73-4D04-4981-A567-28A811AB8591}"/>
    <cellStyle name="Migliaia 3 2 2 3 3 3 2" xfId="20887" xr:uid="{FE40AA8A-A99F-4210-A743-CB6E95711EB7}"/>
    <cellStyle name="Migliaia 3 2 2 3 3 4" xfId="17599" xr:uid="{C837D7B2-8044-4767-A39B-9FA8310B4A9E}"/>
    <cellStyle name="Migliaia 3 2 2 3 4" xfId="3277" xr:uid="{C5945CC3-96A8-4ED3-AD01-EDAD8770597E}"/>
    <cellStyle name="Migliaia 3 2 2 3 4 2" xfId="10765" xr:uid="{8D9D938B-9B7C-4ABB-B985-5A06CA27C854}"/>
    <cellStyle name="Migliaia 3 2 2 3 4 2 2" xfId="14311" xr:uid="{77A08927-D3FB-4BE7-AA34-5615F77DA4E7}"/>
    <cellStyle name="Migliaia 3 2 2 3 4 2 2 2" xfId="29488" xr:uid="{2FAEBA3C-8D5B-4AEA-85EA-9326C612E774}"/>
    <cellStyle name="Migliaia 3 2 2 3 4 2 3" xfId="25943" xr:uid="{E6CF0B9B-84AC-4AFF-8EC1-254E4AD271CF}"/>
    <cellStyle name="Migliaia 3 2 2 3 4 3" xfId="6591" xr:uid="{07A20E71-4EBD-4195-9237-85346294ABCC}"/>
    <cellStyle name="Migliaia 3 2 2 3 4 3 2" xfId="21771" xr:uid="{73470C80-9CC2-4026-AE1F-D7B5542D1375}"/>
    <cellStyle name="Migliaia 3 2 2 3 4 4" xfId="18483" xr:uid="{34864C08-EFFC-4771-B26E-758E0657B99B}"/>
    <cellStyle name="Migliaia 3 2 2 3 5" xfId="4387" xr:uid="{799C5AC8-6E63-4FDD-B473-B78F390D4A42}"/>
    <cellStyle name="Migliaia 3 2 2 3 5 2" xfId="11872" xr:uid="{9AC1C51C-2A04-4BE4-8D92-0A93109D4481}"/>
    <cellStyle name="Migliaia 3 2 2 3 5 2 2" xfId="15418" xr:uid="{778B906F-B777-4643-B74A-04DAF7F6C990}"/>
    <cellStyle name="Migliaia 3 2 2 3 5 2 2 2" xfId="30595" xr:uid="{1DD42C19-DD76-43AA-B6D9-D5BB6EDFEF52}"/>
    <cellStyle name="Migliaia 3 2 2 3 5 2 3" xfId="27050" xr:uid="{BBA3FCD7-E46A-4194-9508-8B75A2A0564F}"/>
    <cellStyle name="Migliaia 3 2 2 3 5 3" xfId="7698" xr:uid="{5EB4E5DD-07B5-4D1B-ADF2-E6D79CD98BF5}"/>
    <cellStyle name="Migliaia 3 2 2 3 5 3 2" xfId="22878" xr:uid="{8496803F-C527-48CF-BFEF-D2A8BECBDE76}"/>
    <cellStyle name="Migliaia 3 2 2 3 5 4" xfId="19590" xr:uid="{D995559F-E7BF-4AD7-A8E6-232A826574D5}"/>
    <cellStyle name="Migliaia 3 2 2 3 6" xfId="4951" xr:uid="{369AA047-EE81-4E79-BB07-B698A9465AE8}"/>
    <cellStyle name="Migliaia 3 2 2 3 6 2" xfId="12435" xr:uid="{F785B4A6-0424-4C5F-BB9C-675728441F4E}"/>
    <cellStyle name="Migliaia 3 2 2 3 6 2 2" xfId="15981" xr:uid="{19205D3A-D4F3-4038-B1A0-1B88D2E06DD6}"/>
    <cellStyle name="Migliaia 3 2 2 3 6 2 2 2" xfId="31158" xr:uid="{195033BA-37D6-405C-B151-2B6191BBC712}"/>
    <cellStyle name="Migliaia 3 2 2 3 6 2 3" xfId="27613" xr:uid="{815B65C7-B969-477C-A9D5-98E5E19A210B}"/>
    <cellStyle name="Migliaia 3 2 2 3 6 3" xfId="8261" xr:uid="{3E68F2F6-0395-4805-8670-FFDEDC474793}"/>
    <cellStyle name="Migliaia 3 2 2 3 6 3 2" xfId="23441" xr:uid="{D58FA5DF-3BE6-490D-BF83-8319BEF4C957}"/>
    <cellStyle name="Migliaia 3 2 2 3 6 4" xfId="20153" xr:uid="{C903D35D-60FA-4B83-907D-647F2E9B3596}"/>
    <cellStyle name="Migliaia 3 2 2 3 7" xfId="1772" xr:uid="{E21C1E63-8320-4796-A978-7DDDBE308D93}"/>
    <cellStyle name="Migliaia 3 2 2 3 7 2" xfId="9269" xr:uid="{B731C85B-B08F-4977-A2AB-FCD22B4FE817}"/>
    <cellStyle name="Migliaia 3 2 2 3 7 2 2" xfId="24447" xr:uid="{0A0E1DF5-2979-436D-B0E1-A876EA4D8A94}"/>
    <cellStyle name="Migliaia 3 2 2 3 7 3" xfId="16987" xr:uid="{14332F86-F8CA-488B-B3ED-1691E0E4823B}"/>
    <cellStyle name="Migliaia 3 2 2 3 8" xfId="8483" xr:uid="{587AF017-2093-4934-ABD6-4EAF43E88630}"/>
    <cellStyle name="Migliaia 3 2 2 3 8 2" xfId="12656" xr:uid="{E98D1FA9-ACCF-4E2A-9DB9-E1D3300E6F0A}"/>
    <cellStyle name="Migliaia 3 2 2 3 8 2 2" xfId="27833" xr:uid="{5BD1C163-A66A-49BC-9A1B-A1B20C6E391C}"/>
    <cellStyle name="Migliaia 3 2 2 3 8 3" xfId="23661" xr:uid="{5EFF52D0-22F4-4F47-B34E-979091EF1DEE}"/>
    <cellStyle name="Migliaia 3 2 2 3 9" xfId="5095" xr:uid="{0CC51DF8-55F0-4182-9CB8-D66FDCDB18CA}"/>
    <cellStyle name="Migliaia 3 2 2 3 9 2" xfId="20275" xr:uid="{D2FA09F1-E99F-4764-8824-7D1CD33B88DF}"/>
    <cellStyle name="Migliaia 3 2 2 4" xfId="31421" xr:uid="{20D81935-BEEF-473C-B1D5-EA671DD1FBD4}"/>
    <cellStyle name="Migliaia 3 2 2 5" xfId="629" xr:uid="{14C111AE-4211-44BB-98C1-BDC4E7C6DED0}"/>
    <cellStyle name="Migliaia 3 2 3" xfId="280" xr:uid="{586119C8-8F5F-4A11-81CC-E84E98C4BC2D}"/>
    <cellStyle name="Migliaia 3 2 3 10" xfId="1444" xr:uid="{BDF7C85C-E63C-405E-AA41-381AF3A8EA2C}"/>
    <cellStyle name="Migliaia 3 2 3 10 2" xfId="2869" xr:uid="{2F2D38A8-3F73-4722-B71A-58BA33EB3E96}"/>
    <cellStyle name="Migliaia 3 2 3 10 2 2" xfId="10360" xr:uid="{E69BEB25-C92B-47F9-BAA6-FEA602C3C8B3}"/>
    <cellStyle name="Migliaia 3 2 3 10 2 2 2" xfId="13906" xr:uid="{13BC55BD-E9E1-4C03-800C-8DB1454EFE53}"/>
    <cellStyle name="Migliaia 3 2 3 10 2 2 2 2" xfId="29083" xr:uid="{210FF763-799B-437A-9168-FBCE87181533}"/>
    <cellStyle name="Migliaia 3 2 3 10 2 2 3" xfId="25538" xr:uid="{CFB4C338-AA4B-4A61-A42F-C706E5DCC08E}"/>
    <cellStyle name="Migliaia 3 2 3 10 2 3" xfId="6186" xr:uid="{2A4CFA0E-B1BA-4D27-BC4D-0E68F64E8CE3}"/>
    <cellStyle name="Migliaia 3 2 3 10 2 3 2" xfId="21366" xr:uid="{124FE137-1C59-4FE5-AEC7-AD12ED357169}"/>
    <cellStyle name="Migliaia 3 2 3 10 2 4" xfId="18078" xr:uid="{D6018C67-17D0-4A6B-9776-B675ED2FECBD}"/>
    <cellStyle name="Migliaia 3 2 3 10 3" xfId="3756" xr:uid="{6C1B4CA0-0DB4-4B9D-9A6A-0586DBDDBA0C}"/>
    <cellStyle name="Migliaia 3 2 3 10 3 2" xfId="11244" xr:uid="{B317490D-7559-4E47-ACE2-9B5984761C64}"/>
    <cellStyle name="Migliaia 3 2 3 10 3 2 2" xfId="14790" xr:uid="{A1360ED1-21B4-4811-9B17-27454E99AE79}"/>
    <cellStyle name="Migliaia 3 2 3 10 3 2 2 2" xfId="29967" xr:uid="{C643C6A2-2449-45DC-8245-B488193E771C}"/>
    <cellStyle name="Migliaia 3 2 3 10 3 2 3" xfId="26422" xr:uid="{00CF7369-E731-4F8A-BFFA-86B3EE99BF1A}"/>
    <cellStyle name="Migliaia 3 2 3 10 3 3" xfId="7070" xr:uid="{64188FAE-957F-4952-AC38-F380ACDBA1AC}"/>
    <cellStyle name="Migliaia 3 2 3 10 3 3 2" xfId="22250" xr:uid="{F3729585-22AC-4E2C-AC8B-DB137D214BB4}"/>
    <cellStyle name="Migliaia 3 2 3 10 3 4" xfId="18962" xr:uid="{3DDBDD1E-5129-4412-911E-EB3A4ED8DFB6}"/>
    <cellStyle name="Migliaia 3 2 3 10 4" xfId="4388" xr:uid="{E6D79E1F-054F-4714-B501-42EBF62FEB26}"/>
    <cellStyle name="Migliaia 3 2 3 10 4 2" xfId="11873" xr:uid="{BA1F0536-D811-49B8-9C68-6EF7D9DE96D1}"/>
    <cellStyle name="Migliaia 3 2 3 10 4 2 2" xfId="15419" xr:uid="{B62E7585-9742-4921-BBF9-4720E568173D}"/>
    <cellStyle name="Migliaia 3 2 3 10 4 2 2 2" xfId="30596" xr:uid="{0DAD89AC-F8C9-466A-B286-EC35D243202C}"/>
    <cellStyle name="Migliaia 3 2 3 10 4 2 3" xfId="27051" xr:uid="{3D88F26E-AF2D-445A-91B4-D24304629923}"/>
    <cellStyle name="Migliaia 3 2 3 10 4 3" xfId="7699" xr:uid="{008AA153-76F5-4017-8603-403854AB63DB}"/>
    <cellStyle name="Migliaia 3 2 3 10 4 3 2" xfId="22879" xr:uid="{C850622B-6E5B-4396-AF52-B3FAFB4F034C}"/>
    <cellStyle name="Migliaia 3 2 3 10 4 4" xfId="19591" xr:uid="{4926056B-DB3B-47B3-A801-F432A82613A9}"/>
    <cellStyle name="Migliaia 3 2 3 10 5" xfId="1979" xr:uid="{E13F7955-D0E8-4424-90EF-991B62D8D254}"/>
    <cellStyle name="Migliaia 3 2 3 10 5 2" xfId="9476" xr:uid="{AB256AA7-A23E-4A4F-971F-1F5D6C97B276}"/>
    <cellStyle name="Migliaia 3 2 3 10 5 2 2" xfId="24654" xr:uid="{E5132FFC-A4AF-4054-99F4-0FCD6EF52E00}"/>
    <cellStyle name="Migliaia 3 2 3 10 5 3" xfId="17194" xr:uid="{A631DD69-9EBF-4878-84B8-93B6E986D7F7}"/>
    <cellStyle name="Migliaia 3 2 3 10 6" xfId="8962" xr:uid="{3511B361-C4CA-468C-AB56-19A77C8D373B}"/>
    <cellStyle name="Migliaia 3 2 3 10 6 2" xfId="13135" xr:uid="{0EB6A173-898F-4703-8E06-DD75A83B232D}"/>
    <cellStyle name="Migliaia 3 2 3 10 6 2 2" xfId="28312" xr:uid="{3D15B2C2-C157-4F7C-943E-2F15438B67B0}"/>
    <cellStyle name="Migliaia 3 2 3 10 6 3" xfId="24140" xr:uid="{C139429E-071F-4BDE-B424-5F264EAE697A}"/>
    <cellStyle name="Migliaia 3 2 3 10 7" xfId="5302" xr:uid="{4ECB0342-929A-40F0-A349-1C827A67785D}"/>
    <cellStyle name="Migliaia 3 2 3 10 7 2" xfId="20482" xr:uid="{8602D8C1-5968-4BE8-A663-1DBA8937481F}"/>
    <cellStyle name="Migliaia 3 2 3 10 8" xfId="16680" xr:uid="{FC369B13-4440-4101-A9DC-96354C0F692C}"/>
    <cellStyle name="Migliaia 3 2 3 11" xfId="1547" xr:uid="{8A2E5A97-2771-4996-9F44-227C531418C7}"/>
    <cellStyle name="Migliaia 3 2 3 11 2" xfId="2967" xr:uid="{9737BACD-6BFD-46D7-AFF4-156ECF4AB7B6}"/>
    <cellStyle name="Migliaia 3 2 3 11 2 2" xfId="10458" xr:uid="{E85958D2-F842-4EE4-8C72-18A41036549C}"/>
    <cellStyle name="Migliaia 3 2 3 11 2 2 2" xfId="14004" xr:uid="{53A346E4-9E63-4E3A-AA8D-7E30CBC67CF7}"/>
    <cellStyle name="Migliaia 3 2 3 11 2 2 2 2" xfId="29181" xr:uid="{45EE209D-AA7A-4D71-BD44-586F76C0A532}"/>
    <cellStyle name="Migliaia 3 2 3 11 2 2 3" xfId="25636" xr:uid="{447C625B-D371-4676-AFAE-49B9CB2A4F47}"/>
    <cellStyle name="Migliaia 3 2 3 11 2 3" xfId="6284" xr:uid="{6C78C3ED-2C62-492F-B386-C4B2BE2F81F9}"/>
    <cellStyle name="Migliaia 3 2 3 11 2 3 2" xfId="21464" xr:uid="{D16EAE5F-A42C-4A94-9C16-9DBA727B4F34}"/>
    <cellStyle name="Migliaia 3 2 3 11 2 4" xfId="18176" xr:uid="{36A6986D-B56F-43C0-B8EC-AD69FC7DA258}"/>
    <cellStyle name="Migliaia 3 2 3 11 3" xfId="3854" xr:uid="{FAC99470-F8AF-4859-9905-38878F79B8ED}"/>
    <cellStyle name="Migliaia 3 2 3 11 3 2" xfId="11342" xr:uid="{E0254E86-9402-468F-8F99-EB771BFF002F}"/>
    <cellStyle name="Migliaia 3 2 3 11 3 2 2" xfId="14888" xr:uid="{EE5B9C8E-E59C-46B8-A51B-EA6FF92C2071}"/>
    <cellStyle name="Migliaia 3 2 3 11 3 2 2 2" xfId="30065" xr:uid="{A71A20FD-A8F7-404B-A4E1-F99BC6D8F6C8}"/>
    <cellStyle name="Migliaia 3 2 3 11 3 2 3" xfId="26520" xr:uid="{726E9F5B-A0E8-43F4-9013-BD20329FFD6A}"/>
    <cellStyle name="Migliaia 3 2 3 11 3 3" xfId="7168" xr:uid="{EE1E0BB8-36F9-43D0-AC8E-4C5B8E8CEB9D}"/>
    <cellStyle name="Migliaia 3 2 3 11 3 3 2" xfId="22348" xr:uid="{B9CBB7CA-C946-48B1-8296-EF72F3A95C69}"/>
    <cellStyle name="Migliaia 3 2 3 11 3 4" xfId="19060" xr:uid="{F462EB7C-1844-41F1-A4C6-003B72C30841}"/>
    <cellStyle name="Migliaia 3 2 3 11 4" xfId="4389" xr:uid="{E7B24EEC-0EC6-4386-8952-C505B9819E28}"/>
    <cellStyle name="Migliaia 3 2 3 11 4 2" xfId="11874" xr:uid="{B40B4E21-A06D-40A9-9BE2-9DDFD66FF878}"/>
    <cellStyle name="Migliaia 3 2 3 11 4 2 2" xfId="15420" xr:uid="{C6E2986A-67B1-4880-AD84-A795C9A6E705}"/>
    <cellStyle name="Migliaia 3 2 3 11 4 2 2 2" xfId="30597" xr:uid="{A2399F13-3118-4648-924F-18AB41600227}"/>
    <cellStyle name="Migliaia 3 2 3 11 4 2 3" xfId="27052" xr:uid="{6D2184AC-316E-4DD6-B970-B9E70831FB24}"/>
    <cellStyle name="Migliaia 3 2 3 11 4 3" xfId="7700" xr:uid="{5D1298E3-A32F-4430-896E-2A87AE93058C}"/>
    <cellStyle name="Migliaia 3 2 3 11 4 3 2" xfId="22880" xr:uid="{6E60E5D5-3D2F-4C8C-AB45-27CEFC99B230}"/>
    <cellStyle name="Migliaia 3 2 3 11 4 4" xfId="19592" xr:uid="{9222A0E0-0672-4CAF-A57C-EEDD1548A25D}"/>
    <cellStyle name="Migliaia 3 2 3 11 5" xfId="2077" xr:uid="{E978A747-8C0A-4A1D-B528-2524FAD04985}"/>
    <cellStyle name="Migliaia 3 2 3 11 5 2" xfId="9574" xr:uid="{20D00964-4736-4DD5-8A9D-2ED26776E512}"/>
    <cellStyle name="Migliaia 3 2 3 11 5 2 2" xfId="24752" xr:uid="{7431E485-3CB8-410B-AF22-4275733C8267}"/>
    <cellStyle name="Migliaia 3 2 3 11 5 3" xfId="17292" xr:uid="{8A4277A8-C4D8-4A52-8125-367A53C28004}"/>
    <cellStyle name="Migliaia 3 2 3 11 6" xfId="9060" xr:uid="{1478F06C-7655-4A98-BAE2-2F6B7C9E62A4}"/>
    <cellStyle name="Migliaia 3 2 3 11 6 2" xfId="13233" xr:uid="{77E3BA33-F289-4A76-9702-45667970E595}"/>
    <cellStyle name="Migliaia 3 2 3 11 6 2 2" xfId="28410" xr:uid="{7106046D-46D1-461A-8E67-FD17BAEE6EA5}"/>
    <cellStyle name="Migliaia 3 2 3 11 6 3" xfId="24238" xr:uid="{013096EE-45DD-4A7B-A08A-08752BB43D26}"/>
    <cellStyle name="Migliaia 3 2 3 11 7" xfId="5400" xr:uid="{3C23E8AC-4B49-4650-BBC2-5D38F4F85BC7}"/>
    <cellStyle name="Migliaia 3 2 3 11 7 2" xfId="20580" xr:uid="{3B367EBB-8544-4B86-B0D6-E3B8FD44AB44}"/>
    <cellStyle name="Migliaia 3 2 3 11 8" xfId="16778" xr:uid="{813B0C29-8F87-400C-8C84-8768DD133516}"/>
    <cellStyle name="Migliaia 3 2 3 12" xfId="1646" xr:uid="{7F1A99E8-4A59-47B2-88CF-B5F250CFEAEF}"/>
    <cellStyle name="Migliaia 3 2 3 12 2" xfId="3065" xr:uid="{F969E4A5-7279-44DA-8B67-1380AD46B5CF}"/>
    <cellStyle name="Migliaia 3 2 3 12 2 2" xfId="10556" xr:uid="{A4EED7B3-1320-40B1-8749-F9717C712644}"/>
    <cellStyle name="Migliaia 3 2 3 12 2 2 2" xfId="14102" xr:uid="{D804300D-BE8B-48F3-BB4D-192C0635CBC4}"/>
    <cellStyle name="Migliaia 3 2 3 12 2 2 2 2" xfId="29279" xr:uid="{4AE47591-6C77-45AB-9F90-36725ABD0E14}"/>
    <cellStyle name="Migliaia 3 2 3 12 2 2 3" xfId="25734" xr:uid="{6DAFC793-ED7F-4665-8051-D545F8958B5F}"/>
    <cellStyle name="Migliaia 3 2 3 12 2 3" xfId="6382" xr:uid="{06AA05C3-B1A3-4FBF-8F0F-68B7D150518B}"/>
    <cellStyle name="Migliaia 3 2 3 12 2 3 2" xfId="21562" xr:uid="{75102303-0CE3-4978-BF0A-570E1F118B97}"/>
    <cellStyle name="Migliaia 3 2 3 12 2 4" xfId="18274" xr:uid="{609CF28E-A521-4E11-AAED-A9556EA271B2}"/>
    <cellStyle name="Migliaia 3 2 3 12 3" xfId="3952" xr:uid="{824731D1-52BC-48D1-A649-AE03B693A4B3}"/>
    <cellStyle name="Migliaia 3 2 3 12 3 2" xfId="11440" xr:uid="{4186F115-D009-4DD3-A99B-1BAD96A48002}"/>
    <cellStyle name="Migliaia 3 2 3 12 3 2 2" xfId="14986" xr:uid="{0FC15873-0AAA-4E68-8DCE-6C813DA086CF}"/>
    <cellStyle name="Migliaia 3 2 3 12 3 2 2 2" xfId="30163" xr:uid="{DF9D027C-8787-4FF0-B015-74C79BF319E1}"/>
    <cellStyle name="Migliaia 3 2 3 12 3 2 3" xfId="26618" xr:uid="{0238908C-08E3-4B92-A7E7-2AE719D840FF}"/>
    <cellStyle name="Migliaia 3 2 3 12 3 3" xfId="7266" xr:uid="{0B70CB30-DCFA-4E98-A62A-8C8B1A80E58A}"/>
    <cellStyle name="Migliaia 3 2 3 12 3 3 2" xfId="22446" xr:uid="{96CBC983-E120-4FD9-95A5-B765787F6648}"/>
    <cellStyle name="Migliaia 3 2 3 12 3 4" xfId="19158" xr:uid="{F247A024-BC89-437D-B5BE-7A6F8F628BFF}"/>
    <cellStyle name="Migliaia 3 2 3 12 4" xfId="4390" xr:uid="{0AFC62A7-4BA2-49C3-BC37-5BDFF93E3322}"/>
    <cellStyle name="Migliaia 3 2 3 12 4 2" xfId="11875" xr:uid="{54045444-033E-4520-A77D-5BD783CFB79E}"/>
    <cellStyle name="Migliaia 3 2 3 12 4 2 2" xfId="15421" xr:uid="{85A6DA9A-7FE3-4D03-B120-56F5E4340FE7}"/>
    <cellStyle name="Migliaia 3 2 3 12 4 2 2 2" xfId="30598" xr:uid="{457EACD4-5471-48B5-BD0C-47AFC7F52E5B}"/>
    <cellStyle name="Migliaia 3 2 3 12 4 2 3" xfId="27053" xr:uid="{F8B240A9-1987-418D-911A-DB854BCE2684}"/>
    <cellStyle name="Migliaia 3 2 3 12 4 3" xfId="7701" xr:uid="{A2BFE2E3-5076-4332-9432-C87F8EABA683}"/>
    <cellStyle name="Migliaia 3 2 3 12 4 3 2" xfId="22881" xr:uid="{857A4497-6650-412E-865A-02A4A569A721}"/>
    <cellStyle name="Migliaia 3 2 3 12 4 4" xfId="19593" xr:uid="{14A441D5-6823-4C13-B840-69A26DB02C76}"/>
    <cellStyle name="Migliaia 3 2 3 12 5" xfId="2175" xr:uid="{0B9F505C-661D-49CA-958E-7A97E568664C}"/>
    <cellStyle name="Migliaia 3 2 3 12 5 2" xfId="9672" xr:uid="{35AC20CA-E5EF-45D4-AC2B-20B116C93B2E}"/>
    <cellStyle name="Migliaia 3 2 3 12 5 2 2" xfId="24850" xr:uid="{1B1A1EAA-3B82-4015-BFE7-F77077B39B8A}"/>
    <cellStyle name="Migliaia 3 2 3 12 5 3" xfId="17390" xr:uid="{12F20DD5-4E9A-44F6-B7DD-F2A123272E03}"/>
    <cellStyle name="Migliaia 3 2 3 12 6" xfId="9158" xr:uid="{992DDFAF-DE7D-44B4-A38B-D0FA5A98DF1A}"/>
    <cellStyle name="Migliaia 3 2 3 12 6 2" xfId="13331" xr:uid="{AB0AC019-4DE8-4C59-B7E7-0BBADB347B30}"/>
    <cellStyle name="Migliaia 3 2 3 12 6 2 2" xfId="28508" xr:uid="{64E4B750-6CD0-4C2C-8EF9-3BF1B5B1EAC6}"/>
    <cellStyle name="Migliaia 3 2 3 12 6 3" xfId="24336" xr:uid="{B82F7094-D695-43E8-B34A-670D2C4DB64D}"/>
    <cellStyle name="Migliaia 3 2 3 12 7" xfId="5498" xr:uid="{AD47A710-D0E0-4460-869C-C960C0DA6F6E}"/>
    <cellStyle name="Migliaia 3 2 3 12 7 2" xfId="20678" xr:uid="{06D52D40-8906-4877-9DD7-FB5588351712}"/>
    <cellStyle name="Migliaia 3 2 3 12 8" xfId="16876" xr:uid="{2CE80478-781D-48F6-9C98-283E12F0C6FD}"/>
    <cellStyle name="Migliaia 3 2 3 13" xfId="2275" xr:uid="{F4DC0036-A0D6-49BC-9F7D-80B30CDC9463}"/>
    <cellStyle name="Migliaia 3 2 3 13 2" xfId="9770" xr:uid="{96243FDC-5565-4C34-9F98-047B6162C404}"/>
    <cellStyle name="Migliaia 3 2 3 13 2 2" xfId="13429" xr:uid="{CB244AA6-3A34-44E8-8480-C0A8B76903AE}"/>
    <cellStyle name="Migliaia 3 2 3 13 2 2 2" xfId="28606" xr:uid="{F4137837-EC75-44ED-8382-7406DB5F97BE}"/>
    <cellStyle name="Migliaia 3 2 3 13 2 3" xfId="24948" xr:uid="{30581DE9-5ABC-4C89-AC09-3226AC426AC1}"/>
    <cellStyle name="Migliaia 3 2 3 13 3" xfId="5596" xr:uid="{60260178-E5DF-4F09-99DD-B231485C74E4}"/>
    <cellStyle name="Migliaia 3 2 3 13 3 2" xfId="20776" xr:uid="{5D1DC42B-5C41-4DEF-A22E-049845E4DFEE}"/>
    <cellStyle name="Migliaia 3 2 3 13 4" xfId="17488" xr:uid="{81D0262B-3AFC-4E97-B3AB-C786B46CC5EC}"/>
    <cellStyle name="Migliaia 3 2 3 14" xfId="3165" xr:uid="{12668DF5-0FA5-4D1C-805D-42D7F3B1DCAD}"/>
    <cellStyle name="Migliaia 3 2 3 14 2" xfId="10654" xr:uid="{97457104-FD68-4E3C-A7D3-B9F9DAD4BF44}"/>
    <cellStyle name="Migliaia 3 2 3 14 2 2" xfId="14200" xr:uid="{52E57861-C872-4E77-922C-2115FD282B81}"/>
    <cellStyle name="Migliaia 3 2 3 14 2 2 2" xfId="29377" xr:uid="{38AF9B4B-1E51-4BB8-B9C3-C1B92DA9EEDD}"/>
    <cellStyle name="Migliaia 3 2 3 14 2 3" xfId="25832" xr:uid="{1376F92F-F861-4EF2-944C-ABA55C5D374D}"/>
    <cellStyle name="Migliaia 3 2 3 14 3" xfId="6480" xr:uid="{B8A52386-A537-4E2A-A202-03E81C65A3CA}"/>
    <cellStyle name="Migliaia 3 2 3 14 3 2" xfId="21660" xr:uid="{438101FC-0A64-46DC-A429-F14B7398800A}"/>
    <cellStyle name="Migliaia 3 2 3 14 4" xfId="18372" xr:uid="{02A606E0-28AE-4B89-9D20-0586150F22CB}"/>
    <cellStyle name="Migliaia 3 2 3 15" xfId="4391" xr:uid="{FDF9B316-2D8A-4EFE-A6CA-4DFBA96FFD52}"/>
    <cellStyle name="Migliaia 3 2 3 15 2" xfId="11876" xr:uid="{F571C3DE-94B5-4480-847D-3E61AA8DDB03}"/>
    <cellStyle name="Migliaia 3 2 3 15 2 2" xfId="15422" xr:uid="{D85AC976-7204-4F90-B223-D74CAD491AEB}"/>
    <cellStyle name="Migliaia 3 2 3 15 2 2 2" xfId="30599" xr:uid="{E7451D4F-075F-47AD-AEF3-EA160DC539B5}"/>
    <cellStyle name="Migliaia 3 2 3 15 2 3" xfId="27054" xr:uid="{25F775CF-9DAC-4FF2-BC99-B596241C40F9}"/>
    <cellStyle name="Migliaia 3 2 3 15 3" xfId="7702" xr:uid="{64726713-4486-444F-B4BF-8EDCC201747D}"/>
    <cellStyle name="Migliaia 3 2 3 15 3 2" xfId="22882" xr:uid="{BC342036-230C-412E-83F0-F0B6863F143B}"/>
    <cellStyle name="Migliaia 3 2 3 15 4" xfId="19594" xr:uid="{4E2B246C-B855-4971-BBC3-CA1C7F048FA9}"/>
    <cellStyle name="Migliaia 3 2 3 16" xfId="8371" xr:uid="{7E6CE1E7-9B5F-48F0-B9D6-A3B405EA76A4}"/>
    <cellStyle name="Migliaia 3 2 3 16 2" xfId="12545" xr:uid="{A05950DB-E8A6-4C60-93DF-B7B9C0A26E21}"/>
    <cellStyle name="Migliaia 3 2 3 16 2 2" xfId="27722" xr:uid="{25A8D2BA-6600-4B99-84BF-A3897977DB34}"/>
    <cellStyle name="Migliaia 3 2 3 16 3" xfId="23550" xr:uid="{B2EE3F9F-823B-43D6-90AC-9DF2B66D8454}"/>
    <cellStyle name="Migliaia 3 2 3 17" xfId="16090" xr:uid="{1F6DBA71-BB81-4EDB-9793-052A5950341D}"/>
    <cellStyle name="Migliaia 3 2 3 18" xfId="31432" xr:uid="{09CCC1C7-2FCE-4EC1-902A-BEA622AA2AF8}"/>
    <cellStyle name="Migliaia 3 2 3 19" xfId="692" xr:uid="{1D25277D-E8F5-41EB-9211-8130A3F7A9E9}"/>
    <cellStyle name="Migliaia 3 2 3 2" xfId="565" xr:uid="{DDBDACF6-2992-4301-B76C-32667B436735}"/>
    <cellStyle name="Migliaia 3 2 3 2 10" xfId="2300" xr:uid="{AC9451EE-FACC-4478-BAEA-CD23D5003334}"/>
    <cellStyle name="Migliaia 3 2 3 2 10 2" xfId="9795" xr:uid="{106CC5E5-028B-4E05-92F9-E589E8792600}"/>
    <cellStyle name="Migliaia 3 2 3 2 10 2 2" xfId="13454" xr:uid="{15253D06-51A5-400F-8B58-B7C03534AF02}"/>
    <cellStyle name="Migliaia 3 2 3 2 10 2 2 2" xfId="28631" xr:uid="{D8BD1372-3DBC-44CD-A064-C4E61B03474B}"/>
    <cellStyle name="Migliaia 3 2 3 2 10 2 3" xfId="24973" xr:uid="{F9F51F9D-3583-4123-8D65-E8008DC4AA56}"/>
    <cellStyle name="Migliaia 3 2 3 2 10 3" xfId="5621" xr:uid="{6492FAB8-AAC9-4D8F-A1E8-1AD900E606CF}"/>
    <cellStyle name="Migliaia 3 2 3 2 10 3 2" xfId="20801" xr:uid="{099699DE-5454-456D-9C08-23C05C7AC894}"/>
    <cellStyle name="Migliaia 3 2 3 2 10 4" xfId="17513" xr:uid="{8803BA62-511D-49C6-B216-5906D03EA64F}"/>
    <cellStyle name="Migliaia 3 2 3 2 11" xfId="3190" xr:uid="{D359B6D4-558C-4736-8F15-E66C4FBD835A}"/>
    <cellStyle name="Migliaia 3 2 3 2 11 2" xfId="10679" xr:uid="{5DBC24C5-9DD3-49C3-97C5-80DC095FCA29}"/>
    <cellStyle name="Migliaia 3 2 3 2 11 2 2" xfId="14225" xr:uid="{F3C81082-69A1-4E64-80F1-8134450EB429}"/>
    <cellStyle name="Migliaia 3 2 3 2 11 2 2 2" xfId="29402" xr:uid="{3FA129F0-2387-406F-B8CA-398CDADFA8F0}"/>
    <cellStyle name="Migliaia 3 2 3 2 11 2 3" xfId="25857" xr:uid="{4C4A8799-47BB-4E87-844D-45C540C76D2A}"/>
    <cellStyle name="Migliaia 3 2 3 2 11 3" xfId="6505" xr:uid="{F4B9DAD4-3F25-49AB-907A-547D65A38137}"/>
    <cellStyle name="Migliaia 3 2 3 2 11 3 2" xfId="21685" xr:uid="{C059EFE9-37E7-41C1-8826-CDC3E8CCCFE6}"/>
    <cellStyle name="Migliaia 3 2 3 2 11 4" xfId="18397" xr:uid="{A18594A0-5DAE-4597-9BFC-4FA0F44408D3}"/>
    <cellStyle name="Migliaia 3 2 3 2 12" xfId="4392" xr:uid="{D5440E34-87E2-4CE1-92C4-D59D2896D91F}"/>
    <cellStyle name="Migliaia 3 2 3 2 12 2" xfId="11877" xr:uid="{04910768-FF0B-45F0-A321-52362345D23D}"/>
    <cellStyle name="Migliaia 3 2 3 2 12 2 2" xfId="15423" xr:uid="{8E3D7C73-2E44-42E2-8BD8-9E459211E633}"/>
    <cellStyle name="Migliaia 3 2 3 2 12 2 2 2" xfId="30600" xr:uid="{5EA11915-5847-454C-89BC-7134AF86B3DD}"/>
    <cellStyle name="Migliaia 3 2 3 2 12 2 3" xfId="27055" xr:uid="{8E3296F1-8350-49BC-BDFC-E79E02FED454}"/>
    <cellStyle name="Migliaia 3 2 3 2 12 3" xfId="7703" xr:uid="{E53BF05E-85D6-469C-AD9F-65BD7BE2F904}"/>
    <cellStyle name="Migliaia 3 2 3 2 12 3 2" xfId="22883" xr:uid="{0B0AC670-394F-4E84-BCF1-0159A4766E9C}"/>
    <cellStyle name="Migliaia 3 2 3 2 12 4" xfId="19595" xr:uid="{C81E5D05-0148-46A9-AE71-A06B3DB17E9B}"/>
    <cellStyle name="Migliaia 3 2 3 2 13" xfId="8396" xr:uid="{E100C36C-2550-4717-9CB1-BD5AFEA84822}"/>
    <cellStyle name="Migliaia 3 2 3 2 13 2" xfId="12570" xr:uid="{0A86F0F4-338F-4C00-B45B-88D4C7C66B07}"/>
    <cellStyle name="Migliaia 3 2 3 2 13 2 2" xfId="27747" xr:uid="{E27A909E-63BC-45A2-9999-9785DEE9BC66}"/>
    <cellStyle name="Migliaia 3 2 3 2 13 3" xfId="23575" xr:uid="{2B91D7FD-5632-4D64-B0E0-D5F7872911F8}"/>
    <cellStyle name="Migliaia 3 2 3 2 14" xfId="16115" xr:uid="{9427FC00-8485-485E-B65A-4ACBD72FCF9A}"/>
    <cellStyle name="Migliaia 3 2 3 2 15" xfId="31457" xr:uid="{021FEA5F-5525-49B4-8486-A879A088CA1A}"/>
    <cellStyle name="Migliaia 3 2 3 2 16" xfId="727" xr:uid="{424E7EAF-377A-4D8A-AD54-FB5613089F9E}"/>
    <cellStyle name="Migliaia 3 2 3 2 2" xfId="779" xr:uid="{49D6B055-5542-43D3-867A-955B8E733DA3}"/>
    <cellStyle name="Migliaia 3 2 3 2 2 10" xfId="8445" xr:uid="{4CF250A5-57AC-4524-812D-B77FF9FCB832}"/>
    <cellStyle name="Migliaia 3 2 3 2 2 10 2" xfId="12619" xr:uid="{0B37D2D0-FEEF-4073-834E-CC9D3CB2653D}"/>
    <cellStyle name="Migliaia 3 2 3 2 2 10 2 2" xfId="27796" xr:uid="{FC2BD9FA-801C-483A-8551-32C2268066E6}"/>
    <cellStyle name="Migliaia 3 2 3 2 2 10 3" xfId="23624" xr:uid="{F2BE63FF-2705-44D7-B2D9-B2340878A308}"/>
    <cellStyle name="Migliaia 3 2 3 2 2 11" xfId="16164" xr:uid="{8DEB5539-AE06-4672-8F29-34A81DE87666}"/>
    <cellStyle name="Migliaia 3 2 3 2 2 12" xfId="31506" xr:uid="{52340ACE-3153-4CF5-AB8D-1A5D8AE3CD10}"/>
    <cellStyle name="Migliaia 3 2 3 2 2 2" xfId="956" xr:uid="{F6C5FB95-8675-4E89-9E6B-069C9D3583E7}"/>
    <cellStyle name="Migliaia 3 2 3 2 2 2 10" xfId="16286" xr:uid="{7316F2C9-EBD4-49F6-B717-C8903A1A77BE}"/>
    <cellStyle name="Migliaia 3 2 3 2 2 2 11" xfId="31376" xr:uid="{95F56478-1582-4CD0-A751-6244CF358801}"/>
    <cellStyle name="Migliaia 3 2 3 2 2 2 12" xfId="31726" xr:uid="{1206706A-0FEA-4871-8724-932044B8A4E4}"/>
    <cellStyle name="Migliaia 3 2 3 2 2 2 2" xfId="1317" xr:uid="{87B43C52-7FFE-4807-B4FD-A2292EE7EE5E}"/>
    <cellStyle name="Migliaia 3 2 3 2 2 2 2 2" xfId="3634" xr:uid="{9601CCDB-BE1F-4811-BC88-B22DA2918A10}"/>
    <cellStyle name="Migliaia 3 2 3 2 2 2 2 2 2" xfId="11122" xr:uid="{AE14E3BF-5CE2-4B5F-80FD-00B3673547A8}"/>
    <cellStyle name="Migliaia 3 2 3 2 2 2 2 2 2 2" xfId="14668" xr:uid="{11A752F2-A186-444A-9873-F6FDD4EAF1DB}"/>
    <cellStyle name="Migliaia 3 2 3 2 2 2 2 2 2 2 2" xfId="29845" xr:uid="{FDCBF886-8C67-43D1-B14E-4B81259AF8EB}"/>
    <cellStyle name="Migliaia 3 2 3 2 2 2 2 2 2 3" xfId="26300" xr:uid="{FB29AAD7-2E2C-42FB-AF7D-46F15B7E5CBD}"/>
    <cellStyle name="Migliaia 3 2 3 2 2 2 2 2 3" xfId="6948" xr:uid="{24F4F101-6CE8-4703-93C0-6D4DE49A4674}"/>
    <cellStyle name="Migliaia 3 2 3 2 2 2 2 2 3 2" xfId="22128" xr:uid="{AAA1E113-715D-4BAF-985F-7A863AB43DFD}"/>
    <cellStyle name="Migliaia 3 2 3 2 2 2 2 2 4" xfId="18840" xr:uid="{9D89B209-D41D-4374-A8F9-CB051F95BB2D}"/>
    <cellStyle name="Migliaia 3 2 3 2 2 2 2 3" xfId="4393" xr:uid="{7AC51D25-CA10-4AF5-9397-57E759910200}"/>
    <cellStyle name="Migliaia 3 2 3 2 2 2 2 3 2" xfId="11878" xr:uid="{D6922AC0-1EF5-44DF-B20A-5A626AF91388}"/>
    <cellStyle name="Migliaia 3 2 3 2 2 2 2 3 2 2" xfId="15424" xr:uid="{AF07840E-EF3A-478E-9C6F-F34002690E69}"/>
    <cellStyle name="Migliaia 3 2 3 2 2 2 2 3 2 2 2" xfId="30601" xr:uid="{2458C8FF-7E39-4D0E-B9AD-20452D893F4D}"/>
    <cellStyle name="Migliaia 3 2 3 2 2 2 2 3 2 3" xfId="27056" xr:uid="{98EAE733-3B38-4939-8BE3-4B27924E80B3}"/>
    <cellStyle name="Migliaia 3 2 3 2 2 2 2 3 3" xfId="7704" xr:uid="{6F7AB9DA-003A-4D27-902E-9416091A0D04}"/>
    <cellStyle name="Migliaia 3 2 3 2 2 2 2 3 3 2" xfId="22884" xr:uid="{B6542612-B4E6-4D97-973B-C7A48F3FC4AE}"/>
    <cellStyle name="Migliaia 3 2 3 2 2 2 2 3 4" xfId="19596" xr:uid="{FF3B3E39-E562-47F6-98E2-7926574C063D}"/>
    <cellStyle name="Migliaia 3 2 3 2 2 2 2 4" xfId="2747" xr:uid="{35483A8B-A747-4D0F-9856-6E5699C3742A}"/>
    <cellStyle name="Migliaia 3 2 3 2 2 2 2 4 2" xfId="10238" xr:uid="{C4C82E5E-E1D6-421A-80C6-9CE4DE1DE4CD}"/>
    <cellStyle name="Migliaia 3 2 3 2 2 2 2 4 2 2" xfId="25416" xr:uid="{E6A14E0D-4BDC-4225-8E98-F1908979836B}"/>
    <cellStyle name="Migliaia 3 2 3 2 2 2 2 4 3" xfId="17956" xr:uid="{F46181D0-9B0D-49D5-B553-0256F5CE60DE}"/>
    <cellStyle name="Migliaia 3 2 3 2 2 2 2 5" xfId="8840" xr:uid="{DFEA87BC-A194-405B-9427-0AF226F21F61}"/>
    <cellStyle name="Migliaia 3 2 3 2 2 2 2 5 2" xfId="13013" xr:uid="{1D187F3B-A220-4230-AC8D-2F1E8E961074}"/>
    <cellStyle name="Migliaia 3 2 3 2 2 2 2 5 2 2" xfId="28190" xr:uid="{414201E5-3F70-4FBB-8F70-700DD50E8F74}"/>
    <cellStyle name="Migliaia 3 2 3 2 2 2 2 5 3" xfId="24018" xr:uid="{1FEC712F-B282-41C1-BA21-978B85DD6188}"/>
    <cellStyle name="Migliaia 3 2 3 2 2 2 2 6" xfId="6064" xr:uid="{45939B82-4480-44EF-98BF-C161567EBDA3}"/>
    <cellStyle name="Migliaia 3 2 3 2 2 2 2 6 2" xfId="21244" xr:uid="{64839FE0-FA9C-4936-BD91-80DCAE2242CC}"/>
    <cellStyle name="Migliaia 3 2 3 2 2 2 2 7" xfId="16558" xr:uid="{2F684E60-7E34-452B-A5E7-C5998C8F28BA}"/>
    <cellStyle name="Migliaia 3 2 3 2 2 2 3" xfId="2474" xr:uid="{16DEEFB1-DCAD-4B55-8F28-B55E159BCE8C}"/>
    <cellStyle name="Migliaia 3 2 3 2 2 2 3 2" xfId="9966" xr:uid="{BDF8C689-EAD5-4F10-8CF1-35096F483C54}"/>
    <cellStyle name="Migliaia 3 2 3 2 2 2 3 2 2" xfId="13625" xr:uid="{C005555D-F020-4BAF-B319-63F82FC9DF36}"/>
    <cellStyle name="Migliaia 3 2 3 2 2 2 3 2 2 2" xfId="28802" xr:uid="{AAEDAAA1-6D9D-471F-B515-1F544EBAD9CD}"/>
    <cellStyle name="Migliaia 3 2 3 2 2 2 3 2 3" xfId="25144" xr:uid="{8A434104-68D3-451A-9B9D-4F8AD1924872}"/>
    <cellStyle name="Migliaia 3 2 3 2 2 2 3 3" xfId="5792" xr:uid="{7FAC7274-0089-4D95-963C-E88F565CB05C}"/>
    <cellStyle name="Migliaia 3 2 3 2 2 2 3 3 2" xfId="20972" xr:uid="{934C34A0-07D9-4ACE-BC89-6EECD0CFB424}"/>
    <cellStyle name="Migliaia 3 2 3 2 2 2 3 4" xfId="17684" xr:uid="{33F863BD-EBEE-4DFC-9BBD-9F8831CED0E7}"/>
    <cellStyle name="Migliaia 3 2 3 2 2 2 4" xfId="3362" xr:uid="{E132B832-F6F0-47DC-8556-35ED9C646750}"/>
    <cellStyle name="Migliaia 3 2 3 2 2 2 4 2" xfId="10850" xr:uid="{54F88E38-62CB-411A-B1CE-FA39E79A1706}"/>
    <cellStyle name="Migliaia 3 2 3 2 2 2 4 2 2" xfId="14396" xr:uid="{5E2AC14C-9294-4584-8787-3AAD3B850EF1}"/>
    <cellStyle name="Migliaia 3 2 3 2 2 2 4 2 2 2" xfId="29573" xr:uid="{D94E50FB-A8CF-424B-979B-9DE1A22D3E48}"/>
    <cellStyle name="Migliaia 3 2 3 2 2 2 4 2 3" xfId="26028" xr:uid="{8CA9F0A6-800D-4E2A-A579-80485E2BE00D}"/>
    <cellStyle name="Migliaia 3 2 3 2 2 2 4 3" xfId="6676" xr:uid="{8A6CC20A-670B-4B36-B243-E61E02FC3095}"/>
    <cellStyle name="Migliaia 3 2 3 2 2 2 4 3 2" xfId="21856" xr:uid="{5C90F33A-2C38-423D-8C5B-F4B44EDA9FA4}"/>
    <cellStyle name="Migliaia 3 2 3 2 2 2 4 4" xfId="18568" xr:uid="{D4E07B28-95B7-497A-BE1D-2C6D2AEFCDA2}"/>
    <cellStyle name="Migliaia 3 2 3 2 2 2 5" xfId="4394" xr:uid="{EBC0384E-01D0-4343-A810-C663CFBFD235}"/>
    <cellStyle name="Migliaia 3 2 3 2 2 2 5 2" xfId="11879" xr:uid="{AE9A9DA6-046A-40CD-8F39-2A9AF9075500}"/>
    <cellStyle name="Migliaia 3 2 3 2 2 2 5 2 2" xfId="15425" xr:uid="{B1404252-1F32-4A2D-9A59-F990E259C097}"/>
    <cellStyle name="Migliaia 3 2 3 2 2 2 5 2 2 2" xfId="30602" xr:uid="{6ED2FA5D-3E8F-4485-B8EA-21A778314744}"/>
    <cellStyle name="Migliaia 3 2 3 2 2 2 5 2 3" xfId="27057" xr:uid="{1604918C-B967-4902-B23F-5B120CF083DB}"/>
    <cellStyle name="Migliaia 3 2 3 2 2 2 5 3" xfId="7705" xr:uid="{1FAEA911-BA2D-4FC2-9086-3C43E77C1293}"/>
    <cellStyle name="Migliaia 3 2 3 2 2 2 5 3 2" xfId="22885" xr:uid="{AE123893-FBE8-4989-89F4-AADEE21994CB}"/>
    <cellStyle name="Migliaia 3 2 3 2 2 2 5 4" xfId="19597" xr:uid="{4605C3B4-ACC8-42D3-BF9B-8E217DC54C89}"/>
    <cellStyle name="Migliaia 3 2 3 2 2 2 6" xfId="5036" xr:uid="{1FDFBD48-1554-4482-A4D5-95E9997E0C44}"/>
    <cellStyle name="Migliaia 3 2 3 2 2 2 6 2" xfId="12520" xr:uid="{197C6052-130E-4FA6-BD50-D14BB74E13E0}"/>
    <cellStyle name="Migliaia 3 2 3 2 2 2 6 2 2" xfId="16066" xr:uid="{FDBA049D-AF0F-4D4D-9C49-9897FB8259D2}"/>
    <cellStyle name="Migliaia 3 2 3 2 2 2 6 2 2 2" xfId="31243" xr:uid="{7B55E71F-3145-49E7-852E-CB3CE6E38518}"/>
    <cellStyle name="Migliaia 3 2 3 2 2 2 6 2 3" xfId="27698" xr:uid="{50F974D7-378D-411E-9B2A-C24E3BAA14A2}"/>
    <cellStyle name="Migliaia 3 2 3 2 2 2 6 3" xfId="8346" xr:uid="{E65ED660-22AF-42F0-81A7-34F61331EC67}"/>
    <cellStyle name="Migliaia 3 2 3 2 2 2 6 3 2" xfId="23526" xr:uid="{C2BD2699-4EF3-43A0-8D5E-F49D95D9148B}"/>
    <cellStyle name="Migliaia 3 2 3 2 2 2 6 4" xfId="20238" xr:uid="{5A1040EA-9706-4561-B998-C6E55AEDEFF5}"/>
    <cellStyle name="Migliaia 3 2 3 2 2 2 7" xfId="1857" xr:uid="{591DBC60-1849-4511-B35D-5D4DA276AEE4}"/>
    <cellStyle name="Migliaia 3 2 3 2 2 2 7 2" xfId="9354" xr:uid="{E91CDA9C-8454-432C-9C2E-73AC09449AF6}"/>
    <cellStyle name="Migliaia 3 2 3 2 2 2 7 2 2" xfId="24532" xr:uid="{2FCAB875-56C5-4C71-AD15-3B29E36CD3A3}"/>
    <cellStyle name="Migliaia 3 2 3 2 2 2 7 3" xfId="17072" xr:uid="{553BF80C-712B-4B10-B5E9-9D2137F23B4B}"/>
    <cellStyle name="Migliaia 3 2 3 2 2 2 8" xfId="8568" xr:uid="{ECE7321F-8C18-4183-B465-192DC7DB1653}"/>
    <cellStyle name="Migliaia 3 2 3 2 2 2 8 2" xfId="12741" xr:uid="{FBE75922-7DD5-4A04-AEDA-BDDA830C79B9}"/>
    <cellStyle name="Migliaia 3 2 3 2 2 2 8 2 2" xfId="27918" xr:uid="{3EF31DA8-6422-4FA5-A732-1C733AE40D5E}"/>
    <cellStyle name="Migliaia 3 2 3 2 2 2 8 3" xfId="23746" xr:uid="{32B5FBAB-F0AF-4E3D-B009-A89F4A472415}"/>
    <cellStyle name="Migliaia 3 2 3 2 2 2 9" xfId="5180" xr:uid="{6171BFDB-4C2C-496E-8439-AAF6E8367B73}"/>
    <cellStyle name="Migliaia 3 2 3 2 2 2 9 2" xfId="20360" xr:uid="{A489F138-5DFB-4779-A686-B7B9A9F14F90}"/>
    <cellStyle name="Migliaia 3 2 3 2 2 3" xfId="1059" xr:uid="{533EEDA5-930B-4579-917F-FD1630A699C0}"/>
    <cellStyle name="Migliaia 3 2 3 2 2 3 10" xfId="31604" xr:uid="{AF0BA581-9857-4BA2-B8AA-B978A967296E}"/>
    <cellStyle name="Migliaia 3 2 3 2 2 3 2" xfId="1419" xr:uid="{AB4BB7EC-7C68-4B39-95FD-CA4526166B12}"/>
    <cellStyle name="Migliaia 3 2 3 2 2 3 2 2" xfId="3732" xr:uid="{C74F560A-8D95-4F5B-AC2E-6BAA51D02F0C}"/>
    <cellStyle name="Migliaia 3 2 3 2 2 3 2 2 2" xfId="11220" xr:uid="{F42B38B7-447E-4BB0-AAD7-3723EE6D58EB}"/>
    <cellStyle name="Migliaia 3 2 3 2 2 3 2 2 2 2" xfId="14766" xr:uid="{B934EB84-77C1-455D-933E-104130122A5A}"/>
    <cellStyle name="Migliaia 3 2 3 2 2 3 2 2 2 2 2" xfId="29943" xr:uid="{5E7CB6AE-3D34-4A83-9605-C4BA58D004FA}"/>
    <cellStyle name="Migliaia 3 2 3 2 2 3 2 2 2 3" xfId="26398" xr:uid="{EB9E8EAF-F263-4398-A0F5-E64647F09832}"/>
    <cellStyle name="Migliaia 3 2 3 2 2 3 2 2 3" xfId="7046" xr:uid="{1F4694E2-A824-4F42-8D7D-FD559FBEDD3E}"/>
    <cellStyle name="Migliaia 3 2 3 2 2 3 2 2 3 2" xfId="22226" xr:uid="{3849FF6E-B05B-47E3-98D0-1840B3349750}"/>
    <cellStyle name="Migliaia 3 2 3 2 2 3 2 2 4" xfId="18938" xr:uid="{4A8B74BD-F2EB-4D9E-96AD-CEE2655126CB}"/>
    <cellStyle name="Migliaia 3 2 3 2 2 3 2 3" xfId="4395" xr:uid="{6DB89F46-D056-4747-B31E-47DB0AACA8B9}"/>
    <cellStyle name="Migliaia 3 2 3 2 2 3 2 3 2" xfId="11880" xr:uid="{7A9D03C8-C17F-4786-94DF-1FAE4403C8BD}"/>
    <cellStyle name="Migliaia 3 2 3 2 2 3 2 3 2 2" xfId="15426" xr:uid="{E3ABC834-0159-45C6-8307-C253722F8E04}"/>
    <cellStyle name="Migliaia 3 2 3 2 2 3 2 3 2 2 2" xfId="30603" xr:uid="{4C0A4A14-D94E-44B0-A1F9-682344557540}"/>
    <cellStyle name="Migliaia 3 2 3 2 2 3 2 3 2 3" xfId="27058" xr:uid="{A0B3F566-3FD6-4E45-80B3-7DAB55F86917}"/>
    <cellStyle name="Migliaia 3 2 3 2 2 3 2 3 3" xfId="7706" xr:uid="{B7576838-6D61-4F02-9708-0613248FC684}"/>
    <cellStyle name="Migliaia 3 2 3 2 2 3 2 3 3 2" xfId="22886" xr:uid="{477844EE-3429-463F-AF71-703B878D7A1C}"/>
    <cellStyle name="Migliaia 3 2 3 2 2 3 2 3 4" xfId="19598" xr:uid="{AFAC61C0-0859-451C-A2D9-1B1A4F2E163E}"/>
    <cellStyle name="Migliaia 3 2 3 2 2 3 2 4" xfId="2845" xr:uid="{51E1FC27-5B82-44C8-807D-40B1F0E71770}"/>
    <cellStyle name="Migliaia 3 2 3 2 2 3 2 4 2" xfId="10336" xr:uid="{1FE0AC41-A788-4FB4-A176-752AE3C056A0}"/>
    <cellStyle name="Migliaia 3 2 3 2 2 3 2 4 2 2" xfId="25514" xr:uid="{8A8DC075-BC39-430D-B3EA-CE12F2F03A42}"/>
    <cellStyle name="Migliaia 3 2 3 2 2 3 2 4 3" xfId="18054" xr:uid="{E3EE417D-D3A5-4893-AF00-584F6E64B7A1}"/>
    <cellStyle name="Migliaia 3 2 3 2 2 3 2 5" xfId="8938" xr:uid="{E84F80B1-73FE-436E-9A8C-608089DFCA67}"/>
    <cellStyle name="Migliaia 3 2 3 2 2 3 2 5 2" xfId="13111" xr:uid="{07D53B2C-A62A-43C0-BA14-7DC38DBA1834}"/>
    <cellStyle name="Migliaia 3 2 3 2 2 3 2 5 2 2" xfId="28288" xr:uid="{EDB67C30-D494-4FB5-A124-01ADA464F30E}"/>
    <cellStyle name="Migliaia 3 2 3 2 2 3 2 5 3" xfId="24116" xr:uid="{B01295CD-830B-463D-95C5-605322D0A8F6}"/>
    <cellStyle name="Migliaia 3 2 3 2 2 3 2 6" xfId="6162" xr:uid="{51F18EF6-4ACA-4182-BC9D-C948B02A3A67}"/>
    <cellStyle name="Migliaia 3 2 3 2 2 3 2 6 2" xfId="21342" xr:uid="{5BB7A0E4-1D19-4192-94D2-2E198A0F8BFF}"/>
    <cellStyle name="Migliaia 3 2 3 2 2 3 2 7" xfId="16656" xr:uid="{D706B493-DE96-40D1-9506-EFE23587948A}"/>
    <cellStyle name="Migliaia 3 2 3 2 2 3 3" xfId="2572" xr:uid="{ABC89DDF-E59A-4F20-9034-BB3BA02FF84E}"/>
    <cellStyle name="Migliaia 3 2 3 2 2 3 3 2" xfId="10064" xr:uid="{D042AF4B-8A4D-45A9-B5F0-4BBB1E4B9590}"/>
    <cellStyle name="Migliaia 3 2 3 2 2 3 3 2 2" xfId="13723" xr:uid="{D48B5EE1-0EB7-4753-AEA8-424BE8512251}"/>
    <cellStyle name="Migliaia 3 2 3 2 2 3 3 2 2 2" xfId="28900" xr:uid="{EC9E72DD-D9DC-4CED-B303-45FF2AD729E6}"/>
    <cellStyle name="Migliaia 3 2 3 2 2 3 3 2 3" xfId="25242" xr:uid="{AECFCA7F-C082-470E-84FE-DB3238A6E5C9}"/>
    <cellStyle name="Migliaia 3 2 3 2 2 3 3 3" xfId="5890" xr:uid="{624F4150-F7E9-4C2D-A3D0-1395741DD099}"/>
    <cellStyle name="Migliaia 3 2 3 2 2 3 3 3 2" xfId="21070" xr:uid="{A749E37D-B3C9-4421-AAAA-1FB0FA783B2A}"/>
    <cellStyle name="Migliaia 3 2 3 2 2 3 3 4" xfId="17782" xr:uid="{A3FB7BC8-685A-4482-9B2D-0546929098B5}"/>
    <cellStyle name="Migliaia 3 2 3 2 2 3 4" xfId="3460" xr:uid="{1124B2A8-4C34-4B66-B776-35E73CCC2C20}"/>
    <cellStyle name="Migliaia 3 2 3 2 2 3 4 2" xfId="10948" xr:uid="{14FF22ED-9BD1-4402-A464-0AF6A57704F7}"/>
    <cellStyle name="Migliaia 3 2 3 2 2 3 4 2 2" xfId="14494" xr:uid="{1EC3EB9E-901B-4F4E-9428-9EEE527B8CD7}"/>
    <cellStyle name="Migliaia 3 2 3 2 2 3 4 2 2 2" xfId="29671" xr:uid="{05B06736-874A-40B4-A476-0C650F01D290}"/>
    <cellStyle name="Migliaia 3 2 3 2 2 3 4 2 3" xfId="26126" xr:uid="{59933A9A-FB75-44F1-AD85-0B3718297791}"/>
    <cellStyle name="Migliaia 3 2 3 2 2 3 4 3" xfId="6774" xr:uid="{110C1D18-9E00-4F80-8FD8-E40E0696E7C0}"/>
    <cellStyle name="Migliaia 3 2 3 2 2 3 4 3 2" xfId="21954" xr:uid="{E9CBFC66-490D-400C-AB3C-353B79089E26}"/>
    <cellStyle name="Migliaia 3 2 3 2 2 3 4 4" xfId="18666" xr:uid="{F913DC48-13FB-49BC-B24F-0A1F570D6007}"/>
    <cellStyle name="Migliaia 3 2 3 2 2 3 5" xfId="4396" xr:uid="{16913A0A-AB16-43FD-BCA9-D12FBE7AC67D}"/>
    <cellStyle name="Migliaia 3 2 3 2 2 3 5 2" xfId="11881" xr:uid="{E0477687-1BFF-4F59-8758-A60D29BB6679}"/>
    <cellStyle name="Migliaia 3 2 3 2 2 3 5 2 2" xfId="15427" xr:uid="{EC31D96E-0533-4C2F-B249-9A0ECDFFF7AB}"/>
    <cellStyle name="Migliaia 3 2 3 2 2 3 5 2 2 2" xfId="30604" xr:uid="{CDA00E12-BEBC-462F-8575-E9D4C0F421E5}"/>
    <cellStyle name="Migliaia 3 2 3 2 2 3 5 2 3" xfId="27059" xr:uid="{9D05545D-0D88-43E4-A0A8-1855FCA79A46}"/>
    <cellStyle name="Migliaia 3 2 3 2 2 3 5 3" xfId="7707" xr:uid="{74713F85-73BE-4E5F-93AE-E13D102423C1}"/>
    <cellStyle name="Migliaia 3 2 3 2 2 3 5 3 2" xfId="22887" xr:uid="{AD4BDEE5-A5E7-41DA-81D4-0CD7B9ACC1CE}"/>
    <cellStyle name="Migliaia 3 2 3 2 2 3 5 4" xfId="19599" xr:uid="{265A3AA7-E16F-4F8D-8C70-290609A9D520}"/>
    <cellStyle name="Migliaia 3 2 3 2 2 3 6" xfId="1955" xr:uid="{1A9252FC-6FBE-4AAC-96CF-0A391919881A}"/>
    <cellStyle name="Migliaia 3 2 3 2 2 3 6 2" xfId="9452" xr:uid="{6E227B1A-E5F1-4E96-9B54-46C645890DBF}"/>
    <cellStyle name="Migliaia 3 2 3 2 2 3 6 2 2" xfId="24630" xr:uid="{BE6063D7-FCAD-4981-86A2-0945FFEC2FEA}"/>
    <cellStyle name="Migliaia 3 2 3 2 2 3 6 3" xfId="17170" xr:uid="{CF417E8A-D62A-4112-AFD9-486C0603669E}"/>
    <cellStyle name="Migliaia 3 2 3 2 2 3 7" xfId="8666" xr:uid="{4746061C-8523-4F97-981A-7A0C2301A066}"/>
    <cellStyle name="Migliaia 3 2 3 2 2 3 7 2" xfId="12839" xr:uid="{D3B9EBC1-C01A-4A5C-9CF4-0E24CA2F00C9}"/>
    <cellStyle name="Migliaia 3 2 3 2 2 3 7 2 2" xfId="28016" xr:uid="{F3A105CC-F04D-47CB-BB74-10E2911AD971}"/>
    <cellStyle name="Migliaia 3 2 3 2 2 3 7 3" xfId="23844" xr:uid="{5D6072BF-7C83-460D-85CF-8CAA2B1036A9}"/>
    <cellStyle name="Migliaia 3 2 3 2 2 3 8" xfId="5278" xr:uid="{9F62D426-72C0-4EC9-9A44-5FD19703A065}"/>
    <cellStyle name="Migliaia 3 2 3 2 2 3 8 2" xfId="20458" xr:uid="{20C5A860-8EC6-471D-AC2F-648CBC3F6CCD}"/>
    <cellStyle name="Migliaia 3 2 3 2 2 3 9" xfId="16384" xr:uid="{E6246CAF-1A0D-4100-84EF-9F6EB3F49210}"/>
    <cellStyle name="Migliaia 3 2 3 2 2 4" xfId="1518" xr:uid="{D77AC825-758D-4D6F-A381-E56CD341EE27}"/>
    <cellStyle name="Migliaia 3 2 3 2 2 4 2" xfId="2943" xr:uid="{36B8652D-AC86-4CAC-BE55-EF68AF89E2F6}"/>
    <cellStyle name="Migliaia 3 2 3 2 2 4 2 2" xfId="10434" xr:uid="{E53230F1-1735-4466-BE5F-6051C6405273}"/>
    <cellStyle name="Migliaia 3 2 3 2 2 4 2 2 2" xfId="13980" xr:uid="{C3182359-5685-4DE2-9C6D-0483CA73DC6C}"/>
    <cellStyle name="Migliaia 3 2 3 2 2 4 2 2 2 2" xfId="29157" xr:uid="{27334666-AC99-4316-B96D-DF7967C54C83}"/>
    <cellStyle name="Migliaia 3 2 3 2 2 4 2 2 3" xfId="25612" xr:uid="{3B98A067-C77A-4367-8A9C-A60A7903A9F6}"/>
    <cellStyle name="Migliaia 3 2 3 2 2 4 2 3" xfId="6260" xr:uid="{5A2436D7-E8F4-4DCD-BB7E-AED277DC9ACE}"/>
    <cellStyle name="Migliaia 3 2 3 2 2 4 2 3 2" xfId="21440" xr:uid="{B13C464F-BBBB-4F1A-AC16-9F14CD290295}"/>
    <cellStyle name="Migliaia 3 2 3 2 2 4 2 4" xfId="18152" xr:uid="{8F78A81B-ED96-4978-ADE3-11020BC5469B}"/>
    <cellStyle name="Migliaia 3 2 3 2 2 4 3" xfId="3830" xr:uid="{308477F3-E6BB-4636-9292-B0CE8B320276}"/>
    <cellStyle name="Migliaia 3 2 3 2 2 4 3 2" xfId="11318" xr:uid="{CC4B710F-1B7C-44EC-9A7F-A74733082973}"/>
    <cellStyle name="Migliaia 3 2 3 2 2 4 3 2 2" xfId="14864" xr:uid="{EE49E4CF-7C40-4137-A76A-496A926C336A}"/>
    <cellStyle name="Migliaia 3 2 3 2 2 4 3 2 2 2" xfId="30041" xr:uid="{BC64A7BB-B575-42A9-9D0C-B858AC6C991F}"/>
    <cellStyle name="Migliaia 3 2 3 2 2 4 3 2 3" xfId="26496" xr:uid="{18222CC5-31D7-46E0-A3A3-F4448F7AB8CA}"/>
    <cellStyle name="Migliaia 3 2 3 2 2 4 3 3" xfId="7144" xr:uid="{3AAF8550-CB14-4E34-B54F-942F1090B13C}"/>
    <cellStyle name="Migliaia 3 2 3 2 2 4 3 3 2" xfId="22324" xr:uid="{2780A248-9B7C-4EBA-91BB-41E5BE8803AB}"/>
    <cellStyle name="Migliaia 3 2 3 2 2 4 3 4" xfId="19036" xr:uid="{DF3A8EAE-BDF9-4DEB-957B-5E5248CA4ACF}"/>
    <cellStyle name="Migliaia 3 2 3 2 2 4 4" xfId="4397" xr:uid="{7E0E7E70-5FC9-45E2-81FB-52D8CC550600}"/>
    <cellStyle name="Migliaia 3 2 3 2 2 4 4 2" xfId="11882" xr:uid="{EAB3A551-2A71-452C-B7C3-B8CFBA1153A9}"/>
    <cellStyle name="Migliaia 3 2 3 2 2 4 4 2 2" xfId="15428" xr:uid="{BF6E52F4-BFCE-4A76-B002-BCE6BED07855}"/>
    <cellStyle name="Migliaia 3 2 3 2 2 4 4 2 2 2" xfId="30605" xr:uid="{4C57C231-58BF-44B7-B6A9-A7B028F9CAB7}"/>
    <cellStyle name="Migliaia 3 2 3 2 2 4 4 2 3" xfId="27060" xr:uid="{9649B49E-F97B-4BFA-A0E7-4EBE2F248E46}"/>
    <cellStyle name="Migliaia 3 2 3 2 2 4 4 3" xfId="7708" xr:uid="{E7F33A90-E5BD-4460-A0D3-6D2805844415}"/>
    <cellStyle name="Migliaia 3 2 3 2 2 4 4 3 2" xfId="22888" xr:uid="{EDC7F392-DD7C-4628-897A-78E01480966E}"/>
    <cellStyle name="Migliaia 3 2 3 2 2 4 4 4" xfId="19600" xr:uid="{C9E34193-D0C0-471F-8B2B-E26002214F25}"/>
    <cellStyle name="Migliaia 3 2 3 2 2 4 5" xfId="2053" xr:uid="{C0379BB5-51F9-4839-8929-6FA8B71F261A}"/>
    <cellStyle name="Migliaia 3 2 3 2 2 4 5 2" xfId="9550" xr:uid="{CB8D566E-558E-411A-9666-2B90F5573821}"/>
    <cellStyle name="Migliaia 3 2 3 2 2 4 5 2 2" xfId="24728" xr:uid="{455F062D-BBB0-4162-A44F-4C1E951F15D0}"/>
    <cellStyle name="Migliaia 3 2 3 2 2 4 5 3" xfId="17268" xr:uid="{71EA6365-800D-4F88-A52B-980DF02C44C7}"/>
    <cellStyle name="Migliaia 3 2 3 2 2 4 6" xfId="9036" xr:uid="{AF8DDC9B-C1D2-411A-903F-2BFC07A16540}"/>
    <cellStyle name="Migliaia 3 2 3 2 2 4 6 2" xfId="13209" xr:uid="{CA95BDF1-F341-4B69-ADB5-6A63DBED071A}"/>
    <cellStyle name="Migliaia 3 2 3 2 2 4 6 2 2" xfId="28386" xr:uid="{36FE377C-CA9F-47FE-8B05-A60B51885C7A}"/>
    <cellStyle name="Migliaia 3 2 3 2 2 4 6 3" xfId="24214" xr:uid="{8D6AC8BB-703D-479F-A83F-4BA459359C5A}"/>
    <cellStyle name="Migliaia 3 2 3 2 2 4 7" xfId="5376" xr:uid="{7EDF3548-7E8E-498D-84D4-0D1B76575F24}"/>
    <cellStyle name="Migliaia 3 2 3 2 2 4 7 2" xfId="20556" xr:uid="{BD89DE0E-74EA-4E82-9819-C3E00EB33560}"/>
    <cellStyle name="Migliaia 3 2 3 2 2 4 8" xfId="16754" xr:uid="{C5A24BAB-22E7-4C02-9AA3-4CB3D06D1540}"/>
    <cellStyle name="Migliaia 3 2 3 2 2 5" xfId="1621" xr:uid="{DAB48B18-9804-43E4-9031-22A0FAB052F7}"/>
    <cellStyle name="Migliaia 3 2 3 2 2 5 2" xfId="3041" xr:uid="{8EFC5128-0DF7-4682-8A91-4A7C1440318D}"/>
    <cellStyle name="Migliaia 3 2 3 2 2 5 2 2" xfId="10532" xr:uid="{146BC9AC-5489-4745-861A-3C2778120A38}"/>
    <cellStyle name="Migliaia 3 2 3 2 2 5 2 2 2" xfId="14078" xr:uid="{5824D1F7-D941-4C4B-9A81-7352FDF04E3B}"/>
    <cellStyle name="Migliaia 3 2 3 2 2 5 2 2 2 2" xfId="29255" xr:uid="{72AA7C90-61B2-4851-929C-089A754CE24A}"/>
    <cellStyle name="Migliaia 3 2 3 2 2 5 2 2 3" xfId="25710" xr:uid="{9AAB81EF-E915-4915-9A52-B5B910F16C2C}"/>
    <cellStyle name="Migliaia 3 2 3 2 2 5 2 3" xfId="6358" xr:uid="{19FD415D-51E6-49FE-95F7-60E256440588}"/>
    <cellStyle name="Migliaia 3 2 3 2 2 5 2 3 2" xfId="21538" xr:uid="{A3C0A86D-5DB6-4D38-A6FA-9CB511E87339}"/>
    <cellStyle name="Migliaia 3 2 3 2 2 5 2 4" xfId="18250" xr:uid="{73552F68-9A9F-4360-B39A-3DDFC1145489}"/>
    <cellStyle name="Migliaia 3 2 3 2 2 5 3" xfId="3928" xr:uid="{0122AFC5-A70E-49A4-B41B-6EC006E5E9E9}"/>
    <cellStyle name="Migliaia 3 2 3 2 2 5 3 2" xfId="11416" xr:uid="{92933654-8734-4B28-A7A5-99EF54AAF937}"/>
    <cellStyle name="Migliaia 3 2 3 2 2 5 3 2 2" xfId="14962" xr:uid="{A0037E87-29EC-4A75-9425-7387641D0D14}"/>
    <cellStyle name="Migliaia 3 2 3 2 2 5 3 2 2 2" xfId="30139" xr:uid="{5B79410F-2181-448A-9826-2E3EC1D22436}"/>
    <cellStyle name="Migliaia 3 2 3 2 2 5 3 2 3" xfId="26594" xr:uid="{F66836BF-3F5E-4D46-9FBB-52561BC160F1}"/>
    <cellStyle name="Migliaia 3 2 3 2 2 5 3 3" xfId="7242" xr:uid="{FCD405A8-152B-41A9-9BCB-697B246DC8BD}"/>
    <cellStyle name="Migliaia 3 2 3 2 2 5 3 3 2" xfId="22422" xr:uid="{8603360D-8F23-43B3-9482-97E1824E2DCC}"/>
    <cellStyle name="Migliaia 3 2 3 2 2 5 3 4" xfId="19134" xr:uid="{890A08C2-B264-4B63-A8C2-0C612B1691DD}"/>
    <cellStyle name="Migliaia 3 2 3 2 2 5 4" xfId="4398" xr:uid="{C2B94F2B-2780-4978-9D54-7C8C2DDE6216}"/>
    <cellStyle name="Migliaia 3 2 3 2 2 5 4 2" xfId="11883" xr:uid="{347DD04F-FD1F-4BA0-B985-8EEE420EA524}"/>
    <cellStyle name="Migliaia 3 2 3 2 2 5 4 2 2" xfId="15429" xr:uid="{1152DC7B-FA2D-4AB0-AC6D-096EC98693D5}"/>
    <cellStyle name="Migliaia 3 2 3 2 2 5 4 2 2 2" xfId="30606" xr:uid="{59FA3560-F7B5-4178-987F-F6D9E3C0545A}"/>
    <cellStyle name="Migliaia 3 2 3 2 2 5 4 2 3" xfId="27061" xr:uid="{DFE186A1-CEE5-4DBD-8925-1DE61FAD95C5}"/>
    <cellStyle name="Migliaia 3 2 3 2 2 5 4 3" xfId="7709" xr:uid="{C39A6B8D-E503-41D4-A644-CE26B016AA16}"/>
    <cellStyle name="Migliaia 3 2 3 2 2 5 4 3 2" xfId="22889" xr:uid="{3BC7C168-36DA-4966-B912-1D16EA1CC1DA}"/>
    <cellStyle name="Migliaia 3 2 3 2 2 5 4 4" xfId="19601" xr:uid="{041AFFCD-A099-4061-8CB3-1E199A35F288}"/>
    <cellStyle name="Migliaia 3 2 3 2 2 5 5" xfId="2151" xr:uid="{7F66F278-ED03-42EA-AB9E-E46381D3EE9E}"/>
    <cellStyle name="Migliaia 3 2 3 2 2 5 5 2" xfId="9648" xr:uid="{5E52F523-CB7D-4ED2-8818-17F69831C39B}"/>
    <cellStyle name="Migliaia 3 2 3 2 2 5 5 2 2" xfId="24826" xr:uid="{68490CE4-CE45-4D85-9992-6B0B033BEB25}"/>
    <cellStyle name="Migliaia 3 2 3 2 2 5 5 3" xfId="17366" xr:uid="{512F75FC-28FA-4334-9B7B-92284D14ACE8}"/>
    <cellStyle name="Migliaia 3 2 3 2 2 5 6" xfId="9134" xr:uid="{D9CC70E8-A9B1-45D5-BB5F-3F078E6E2C47}"/>
    <cellStyle name="Migliaia 3 2 3 2 2 5 6 2" xfId="13307" xr:uid="{7323E3A9-4906-4293-A7FA-27BD53D4980A}"/>
    <cellStyle name="Migliaia 3 2 3 2 2 5 6 2 2" xfId="28484" xr:uid="{8C72E9C5-A736-4701-9565-295C2559F8B5}"/>
    <cellStyle name="Migliaia 3 2 3 2 2 5 6 3" xfId="24312" xr:uid="{0EDD0C88-8F82-4CBC-BFE3-60C0CCA773DD}"/>
    <cellStyle name="Migliaia 3 2 3 2 2 5 7" xfId="5474" xr:uid="{C0AEC16A-3B0A-4352-B2F8-D6F1087DD613}"/>
    <cellStyle name="Migliaia 3 2 3 2 2 5 7 2" xfId="20654" xr:uid="{7C60955B-CBB6-400D-8ED7-5331617DEFC6}"/>
    <cellStyle name="Migliaia 3 2 3 2 2 5 8" xfId="16852" xr:uid="{6548E4F9-8855-45D2-A38B-A42010906845}"/>
    <cellStyle name="Migliaia 3 2 3 2 2 6" xfId="1720" xr:uid="{11E65698-A8E5-4192-B8A4-A10F7422361F}"/>
    <cellStyle name="Migliaia 3 2 3 2 2 6 2" xfId="3139" xr:uid="{FC79B734-0739-4605-9D23-ED0F3F7A05B2}"/>
    <cellStyle name="Migliaia 3 2 3 2 2 6 2 2" xfId="10630" xr:uid="{91766DF8-69E5-4A2B-B898-824A76F1FD77}"/>
    <cellStyle name="Migliaia 3 2 3 2 2 6 2 2 2" xfId="14176" xr:uid="{DBD248FC-D9B4-491A-B0D3-35423311538C}"/>
    <cellStyle name="Migliaia 3 2 3 2 2 6 2 2 2 2" xfId="29353" xr:uid="{834DB39E-65E1-46D3-B6FA-A5E79E6DDE7A}"/>
    <cellStyle name="Migliaia 3 2 3 2 2 6 2 2 3" xfId="25808" xr:uid="{6B7B5297-8B2C-4A02-A436-A5D8BE1C55A5}"/>
    <cellStyle name="Migliaia 3 2 3 2 2 6 2 3" xfId="6456" xr:uid="{06114B36-07CB-4DAD-993F-CED6107DC130}"/>
    <cellStyle name="Migliaia 3 2 3 2 2 6 2 3 2" xfId="21636" xr:uid="{6A638F34-4DCE-4D54-BC14-A7D85BE07AD1}"/>
    <cellStyle name="Migliaia 3 2 3 2 2 6 2 4" xfId="18348" xr:uid="{A87DA413-5C22-4731-968E-36EA3D837B1C}"/>
    <cellStyle name="Migliaia 3 2 3 2 2 6 3" xfId="4026" xr:uid="{4588D91D-40D8-4112-89D9-7F4B8AB633F8}"/>
    <cellStyle name="Migliaia 3 2 3 2 2 6 3 2" xfId="11514" xr:uid="{B3C72C38-5CD4-47E7-B61B-B8B97C0FFAAF}"/>
    <cellStyle name="Migliaia 3 2 3 2 2 6 3 2 2" xfId="15060" xr:uid="{FD2159C8-ECB9-44B7-AFAC-5B396EAB938F}"/>
    <cellStyle name="Migliaia 3 2 3 2 2 6 3 2 2 2" xfId="30237" xr:uid="{87983F58-D82F-4354-8315-00660E6FDD01}"/>
    <cellStyle name="Migliaia 3 2 3 2 2 6 3 2 3" xfId="26692" xr:uid="{44B03F4F-2F39-40F8-BDCE-E5F9313C3268}"/>
    <cellStyle name="Migliaia 3 2 3 2 2 6 3 3" xfId="7340" xr:uid="{4F0D7436-1D81-4D42-9869-5C65534D1973}"/>
    <cellStyle name="Migliaia 3 2 3 2 2 6 3 3 2" xfId="22520" xr:uid="{7A699943-AFC6-401F-AAE3-F173855287A7}"/>
    <cellStyle name="Migliaia 3 2 3 2 2 6 3 4" xfId="19232" xr:uid="{9EEDC78F-FA34-469C-8365-61C4593C2374}"/>
    <cellStyle name="Migliaia 3 2 3 2 2 6 4" xfId="4399" xr:uid="{AD281E0D-5F29-4FD3-ACAD-25FFAABC3505}"/>
    <cellStyle name="Migliaia 3 2 3 2 2 6 4 2" xfId="11884" xr:uid="{753DD345-A6DC-4FAB-8109-11E420D2F1F3}"/>
    <cellStyle name="Migliaia 3 2 3 2 2 6 4 2 2" xfId="15430" xr:uid="{0946CC77-DF97-410D-B40F-D40B5C14213C}"/>
    <cellStyle name="Migliaia 3 2 3 2 2 6 4 2 2 2" xfId="30607" xr:uid="{A1AD3B53-8566-4D66-85C2-393F8152A9D7}"/>
    <cellStyle name="Migliaia 3 2 3 2 2 6 4 2 3" xfId="27062" xr:uid="{03CFAF09-B7FC-47EE-8759-E7022ADFD434}"/>
    <cellStyle name="Migliaia 3 2 3 2 2 6 4 3" xfId="7710" xr:uid="{04DF4082-42A5-4F1B-B3CF-42D1C2CAC67D}"/>
    <cellStyle name="Migliaia 3 2 3 2 2 6 4 3 2" xfId="22890" xr:uid="{4C069F7C-B34B-40E4-85D4-D5730FBB66AD}"/>
    <cellStyle name="Migliaia 3 2 3 2 2 6 4 4" xfId="19602" xr:uid="{3B48128D-ADFF-4378-9E9F-AE4465838B49}"/>
    <cellStyle name="Migliaia 3 2 3 2 2 6 5" xfId="2249" xr:uid="{069FF52A-1288-46D0-9394-68E08FE22207}"/>
    <cellStyle name="Migliaia 3 2 3 2 2 6 5 2" xfId="9746" xr:uid="{23F45393-8E61-426A-87D0-5786D3B597D4}"/>
    <cellStyle name="Migliaia 3 2 3 2 2 6 5 2 2" xfId="24924" xr:uid="{044193C9-98D3-4159-9A76-C87AC0043637}"/>
    <cellStyle name="Migliaia 3 2 3 2 2 6 5 3" xfId="17464" xr:uid="{B995DE62-AD25-4D5C-868D-01B195C3C28A}"/>
    <cellStyle name="Migliaia 3 2 3 2 2 6 6" xfId="9232" xr:uid="{93284287-AD61-4A55-AAB7-FEEF03D7F126}"/>
    <cellStyle name="Migliaia 3 2 3 2 2 6 6 2" xfId="13405" xr:uid="{F98C8BE1-A762-4173-A22E-206784CC152C}"/>
    <cellStyle name="Migliaia 3 2 3 2 2 6 6 2 2" xfId="28582" xr:uid="{7B7F9C20-F632-4640-81A3-7DD4F2AB0551}"/>
    <cellStyle name="Migliaia 3 2 3 2 2 6 6 3" xfId="24410" xr:uid="{55E64957-AEBB-43B0-9AD4-1CFFF7872B20}"/>
    <cellStyle name="Migliaia 3 2 3 2 2 6 7" xfId="5572" xr:uid="{0AE7821F-E683-49B0-AA71-28E17930B6F2}"/>
    <cellStyle name="Migliaia 3 2 3 2 2 6 7 2" xfId="20752" xr:uid="{0FF333F1-D535-41B4-A92F-DC1FB947159C}"/>
    <cellStyle name="Migliaia 3 2 3 2 2 6 8" xfId="16950" xr:uid="{7B8A03BD-11CC-4A15-884E-266B8A609E19}"/>
    <cellStyle name="Migliaia 3 2 3 2 2 7" xfId="2349" xr:uid="{8110760E-B8C4-41A6-8CDA-52547A859565}"/>
    <cellStyle name="Migliaia 3 2 3 2 2 7 2" xfId="9844" xr:uid="{427DBB93-4FD5-4E33-A138-C6AAE8A5542D}"/>
    <cellStyle name="Migliaia 3 2 3 2 2 7 2 2" xfId="13503" xr:uid="{663387C7-AD89-4D28-85B5-210B7AA67196}"/>
    <cellStyle name="Migliaia 3 2 3 2 2 7 2 2 2" xfId="28680" xr:uid="{431B2646-5748-4F10-876D-8A15FE03A220}"/>
    <cellStyle name="Migliaia 3 2 3 2 2 7 2 3" xfId="25022" xr:uid="{8DF6B5FE-D046-4598-9E02-091F410C3DC1}"/>
    <cellStyle name="Migliaia 3 2 3 2 2 7 3" xfId="5670" xr:uid="{E369421C-F4A8-4B6B-96BC-39A368D1531B}"/>
    <cellStyle name="Migliaia 3 2 3 2 2 7 3 2" xfId="20850" xr:uid="{8F5DC2FF-F90F-4853-A371-C4D45C60747C}"/>
    <cellStyle name="Migliaia 3 2 3 2 2 7 4" xfId="17562" xr:uid="{86A32F81-7E9B-4AE2-AD29-3FD7E52EDC48}"/>
    <cellStyle name="Migliaia 3 2 3 2 2 8" xfId="3239" xr:uid="{47F4F35F-04A7-4F63-8280-FA294EE84BA7}"/>
    <cellStyle name="Migliaia 3 2 3 2 2 8 2" xfId="10728" xr:uid="{2CB9387A-D434-4E6D-BB19-E68BC518A97A}"/>
    <cellStyle name="Migliaia 3 2 3 2 2 8 2 2" xfId="14274" xr:uid="{DF88B6C5-3B48-4A26-9393-DEC8D2CBF5AB}"/>
    <cellStyle name="Migliaia 3 2 3 2 2 8 2 2 2" xfId="29451" xr:uid="{BC216FB1-C651-4695-90BF-5293C457EA51}"/>
    <cellStyle name="Migliaia 3 2 3 2 2 8 2 3" xfId="25906" xr:uid="{E62B55BB-1E02-43A4-9C73-7611ABCD873C}"/>
    <cellStyle name="Migliaia 3 2 3 2 2 8 3" xfId="6554" xr:uid="{B0A3A2F7-C207-4651-B82E-16DA89BF3B20}"/>
    <cellStyle name="Migliaia 3 2 3 2 2 8 3 2" xfId="21734" xr:uid="{3780DC5E-1A66-43DC-BC9E-9A6737B5C50A}"/>
    <cellStyle name="Migliaia 3 2 3 2 2 8 4" xfId="18446" xr:uid="{6A27B81E-EFDF-4FB2-B598-E6F70D690632}"/>
    <cellStyle name="Migliaia 3 2 3 2 2 9" xfId="4400" xr:uid="{CF5BC079-0DB2-4ACE-8616-18F93B59DABE}"/>
    <cellStyle name="Migliaia 3 2 3 2 2 9 2" xfId="11885" xr:uid="{5A25E954-6556-4EBC-AB8E-D0556B032825}"/>
    <cellStyle name="Migliaia 3 2 3 2 2 9 2 2" xfId="15431" xr:uid="{B123C0BA-770B-4F7F-B404-8FB9B5078C7D}"/>
    <cellStyle name="Migliaia 3 2 3 2 2 9 2 2 2" xfId="30608" xr:uid="{02DA1DEF-D773-4C7D-8F05-F3AF958C88FF}"/>
    <cellStyle name="Migliaia 3 2 3 2 2 9 2 3" xfId="27063" xr:uid="{6C570D14-2820-471F-BF8D-42F25A381B8F}"/>
    <cellStyle name="Migliaia 3 2 3 2 2 9 3" xfId="7711" xr:uid="{81F6D892-91A1-4EB9-B1AC-53ED94EB0028}"/>
    <cellStyle name="Migliaia 3 2 3 2 2 9 3 2" xfId="22891" xr:uid="{0E4328AC-317A-4298-84DC-2447BF6E8A51}"/>
    <cellStyle name="Migliaia 3 2 3 2 2 9 4" xfId="19603" xr:uid="{14116AEF-785F-43C2-B0E3-A46E8388DB4C}"/>
    <cellStyle name="Migliaia 3 2 3 2 3" xfId="907" xr:uid="{FFD3F9F9-8054-4714-9385-FE2B5AEFA454}"/>
    <cellStyle name="Migliaia 3 2 3 2 3 2" xfId="2425" xr:uid="{EBE32142-EC11-445C-BFDF-A5A4D3C15F5D}"/>
    <cellStyle name="Migliaia 3 2 3 2 3 2 2" xfId="9917" xr:uid="{E14D73DD-9DE2-4192-9807-BB7770E567D1}"/>
    <cellStyle name="Migliaia 3 2 3 2 3 2 2 2" xfId="13576" xr:uid="{21265112-0B28-44B2-802C-AB399EA5A4A3}"/>
    <cellStyle name="Migliaia 3 2 3 2 3 2 2 2 2" xfId="28753" xr:uid="{221E4D2A-00FF-409F-B042-B322C8C61723}"/>
    <cellStyle name="Migliaia 3 2 3 2 3 2 2 3" xfId="25095" xr:uid="{DBE21003-53DD-4033-B993-FFF3A438746D}"/>
    <cellStyle name="Migliaia 3 2 3 2 3 2 3" xfId="5743" xr:uid="{9972EAF8-B7ED-4F93-BE96-0C547CA56E2B}"/>
    <cellStyle name="Migliaia 3 2 3 2 3 2 3 2" xfId="20923" xr:uid="{46DCC69C-8A53-42DB-BEF4-5595BEA65354}"/>
    <cellStyle name="Migliaia 3 2 3 2 3 2 4" xfId="17635" xr:uid="{BFF8714C-053E-4C65-8540-E17833FFAA40}"/>
    <cellStyle name="Migliaia 3 2 3 2 3 3" xfId="3313" xr:uid="{1F63402C-959F-4EE2-BE21-73F31D6C8389}"/>
    <cellStyle name="Migliaia 3 2 3 2 3 3 2" xfId="10801" xr:uid="{0FAB725A-484B-45ED-B40F-F20EDA35EF2E}"/>
    <cellStyle name="Migliaia 3 2 3 2 3 3 2 2" xfId="14347" xr:uid="{13123C3F-37DE-4AC7-B781-EC0B93636A1C}"/>
    <cellStyle name="Migliaia 3 2 3 2 3 3 2 2 2" xfId="29524" xr:uid="{FA0AB634-83E7-49E2-A528-8DF5D53BE747}"/>
    <cellStyle name="Migliaia 3 2 3 2 3 3 2 3" xfId="25979" xr:uid="{F94542CF-3987-4591-8C1B-ADC2E2C73E2E}"/>
    <cellStyle name="Migliaia 3 2 3 2 3 3 3" xfId="6627" xr:uid="{BFF6A9A3-142C-46BC-AD34-4940A71C1A74}"/>
    <cellStyle name="Migliaia 3 2 3 2 3 3 3 2" xfId="21807" xr:uid="{6A01673E-E858-4262-8835-8C09ABDEB048}"/>
    <cellStyle name="Migliaia 3 2 3 2 3 3 4" xfId="18519" xr:uid="{FE868957-B236-4298-BBD8-C9A186CC8DA6}"/>
    <cellStyle name="Migliaia 3 2 3 2 3 4" xfId="4401" xr:uid="{B6606C12-CE40-4C64-976B-5BD7CBD165BE}"/>
    <cellStyle name="Migliaia 3 2 3 2 3 4 2" xfId="11886" xr:uid="{41BCF0BC-8AD6-411A-B52F-1D60D30C7A77}"/>
    <cellStyle name="Migliaia 3 2 3 2 3 4 2 2" xfId="15432" xr:uid="{0A837B80-6EF6-4C1D-BE59-E64C4D0B3740}"/>
    <cellStyle name="Migliaia 3 2 3 2 3 4 2 2 2" xfId="30609" xr:uid="{891A395E-6637-4BC1-AA4F-78929CCF29C2}"/>
    <cellStyle name="Migliaia 3 2 3 2 3 4 2 3" xfId="27064" xr:uid="{EBE98E2F-9212-4210-9176-BAC6106F1C3F}"/>
    <cellStyle name="Migliaia 3 2 3 2 3 4 3" xfId="7712" xr:uid="{25F37819-662E-4B05-952F-7019C8A41BD4}"/>
    <cellStyle name="Migliaia 3 2 3 2 3 4 3 2" xfId="22892" xr:uid="{578A7277-72AD-4B61-9D96-77694F7B1BF8}"/>
    <cellStyle name="Migliaia 3 2 3 2 3 4 4" xfId="19604" xr:uid="{1EE67000-40D9-4CBC-BC25-2EAD026E37F4}"/>
    <cellStyle name="Migliaia 3 2 3 2 3 5" xfId="8519" xr:uid="{BD759C02-2800-4CE4-87B8-71F5E75D9100}"/>
    <cellStyle name="Migliaia 3 2 3 2 3 5 2" xfId="12692" xr:uid="{CA84F593-12DA-4C47-8A58-A0E2B0218BA4}"/>
    <cellStyle name="Migliaia 3 2 3 2 3 5 2 2" xfId="27869" xr:uid="{0AEE7B58-4E4B-412B-A001-C121F71445F5}"/>
    <cellStyle name="Migliaia 3 2 3 2 3 5 3" xfId="23697" xr:uid="{E8F01EC9-92D3-4722-B24E-BBAC6F805990}"/>
    <cellStyle name="Migliaia 3 2 3 2 3 6" xfId="16237" xr:uid="{5C37A0EB-CB7B-4CDA-ACEC-E466A6BB0531}"/>
    <cellStyle name="Migliaia 3 2 3 2 3 7" xfId="31677" xr:uid="{A92FCA14-9D26-430F-A508-A37E8A628497}"/>
    <cellStyle name="Migliaia 3 2 3 2 4" xfId="1010" xr:uid="{C953A506-AE03-407D-BC9B-1D37C198C93E}"/>
    <cellStyle name="Migliaia 3 2 3 2 4 2" xfId="2523" xr:uid="{01163FF4-F4CB-41F6-AEB3-DEA59170ABB2}"/>
    <cellStyle name="Migliaia 3 2 3 2 4 2 2" xfId="10015" xr:uid="{033575AE-7059-4A8F-A5BB-6E2627E12D93}"/>
    <cellStyle name="Migliaia 3 2 3 2 4 2 2 2" xfId="13674" xr:uid="{FC07F3FD-BF16-4E40-A727-5E88D5A3D259}"/>
    <cellStyle name="Migliaia 3 2 3 2 4 2 2 2 2" xfId="28851" xr:uid="{6204F056-C2E6-4AE8-8721-8E7D9C2D2A83}"/>
    <cellStyle name="Migliaia 3 2 3 2 4 2 2 3" xfId="25193" xr:uid="{948E5AA3-0AE7-4BC1-83DC-66D5B709F98B}"/>
    <cellStyle name="Migliaia 3 2 3 2 4 2 3" xfId="5841" xr:uid="{CCAA737E-9388-4A54-81C9-279EF759B7DB}"/>
    <cellStyle name="Migliaia 3 2 3 2 4 2 3 2" xfId="21021" xr:uid="{CDC860DA-4CDF-4F2D-8CDB-8D67D7A762AC}"/>
    <cellStyle name="Migliaia 3 2 3 2 4 2 4" xfId="17733" xr:uid="{797C7494-32E2-4C06-B4DE-14DBEB6AA333}"/>
    <cellStyle name="Migliaia 3 2 3 2 4 3" xfId="3411" xr:uid="{1D9B46C6-B7DF-4867-A072-DE8BD36EDCCD}"/>
    <cellStyle name="Migliaia 3 2 3 2 4 3 2" xfId="10899" xr:uid="{0440D2FB-F360-49FB-B158-DB8730B3EED1}"/>
    <cellStyle name="Migliaia 3 2 3 2 4 3 2 2" xfId="14445" xr:uid="{EE69B2CD-FEA1-417D-98A6-D4F15635122F}"/>
    <cellStyle name="Migliaia 3 2 3 2 4 3 2 2 2" xfId="29622" xr:uid="{66959018-8B58-4EC2-B9D9-668CE5B7812F}"/>
    <cellStyle name="Migliaia 3 2 3 2 4 3 2 3" xfId="26077" xr:uid="{2315D550-2E5D-4510-8021-19F6D3407DE2}"/>
    <cellStyle name="Migliaia 3 2 3 2 4 3 3" xfId="6725" xr:uid="{D20101B1-7238-4C79-B5A1-8CC2D4A05FA9}"/>
    <cellStyle name="Migliaia 3 2 3 2 4 3 3 2" xfId="21905" xr:uid="{C4F810B5-B802-4EBE-959D-8B9635A39981}"/>
    <cellStyle name="Migliaia 3 2 3 2 4 3 4" xfId="18617" xr:uid="{0E622672-D0C9-4FDC-B814-32B1DB7C4658}"/>
    <cellStyle name="Migliaia 3 2 3 2 4 4" xfId="4402" xr:uid="{E34A9E53-FC4E-4770-97A4-26D5589A03AB}"/>
    <cellStyle name="Migliaia 3 2 3 2 4 4 2" xfId="11887" xr:uid="{11AD75EC-E175-4109-A12E-2AABF5FAA03C}"/>
    <cellStyle name="Migliaia 3 2 3 2 4 4 2 2" xfId="15433" xr:uid="{010AD85D-5747-4BB0-A4B8-66DB5D46F790}"/>
    <cellStyle name="Migliaia 3 2 3 2 4 4 2 2 2" xfId="30610" xr:uid="{F0FC985C-ECB8-4CDC-831D-4BE73D1CC47C}"/>
    <cellStyle name="Migliaia 3 2 3 2 4 4 2 3" xfId="27065" xr:uid="{EE2D95F5-184B-4C1A-8744-D9F4E1244148}"/>
    <cellStyle name="Migliaia 3 2 3 2 4 4 3" xfId="7713" xr:uid="{AFDEEDDF-B5A9-47A3-BE6C-D3E4B708D925}"/>
    <cellStyle name="Migliaia 3 2 3 2 4 4 3 2" xfId="22893" xr:uid="{49266241-465A-43AF-BB41-10C0EDBB5B84}"/>
    <cellStyle name="Migliaia 3 2 3 2 4 4 4" xfId="19605" xr:uid="{25BFE2DD-7F9D-45DD-9745-1E62F78E98D9}"/>
    <cellStyle name="Migliaia 3 2 3 2 4 5" xfId="8617" xr:uid="{5F3B8089-3450-4B89-ACAD-12633D74FFCC}"/>
    <cellStyle name="Migliaia 3 2 3 2 4 5 2" xfId="12790" xr:uid="{FB4D6CC4-F03E-4385-9F45-84FDF4F34163}"/>
    <cellStyle name="Migliaia 3 2 3 2 4 5 2 2" xfId="27967" xr:uid="{AAB32ECF-88B8-4526-8E78-6C4DB23FC0E6}"/>
    <cellStyle name="Migliaia 3 2 3 2 4 5 3" xfId="23795" xr:uid="{2E280C79-58A8-422A-97CE-76E1B2E0CEFB}"/>
    <cellStyle name="Migliaia 3 2 3 2 4 6" xfId="16335" xr:uid="{32904D41-FB3B-4906-BECE-62DB327821E4}"/>
    <cellStyle name="Migliaia 3 2 3 2 4 7" xfId="31555" xr:uid="{3D1BC367-5A91-4E59-81BB-13FC360F1A89}"/>
    <cellStyle name="Migliaia 3 2 3 2 5" xfId="1268" xr:uid="{14B2D2BA-7301-4FC3-8D0F-6817AE64EB18}"/>
    <cellStyle name="Migliaia 3 2 3 2 5 10" xfId="31327" xr:uid="{9CDC0EC2-422A-4416-ACCC-6B5E7DB41BC8}"/>
    <cellStyle name="Migliaia 3 2 3 2 5 2" xfId="2698" xr:uid="{CC1DC1BF-1DF5-49D1-B4A1-BE4FE8920625}"/>
    <cellStyle name="Migliaia 3 2 3 2 5 2 2" xfId="10189" xr:uid="{98363337-436F-40AD-9B73-1ECAEC3C1891}"/>
    <cellStyle name="Migliaia 3 2 3 2 5 2 2 2" xfId="13833" xr:uid="{DE55CA57-6945-459F-B170-C69BFA627C07}"/>
    <cellStyle name="Migliaia 3 2 3 2 5 2 2 2 2" xfId="29010" xr:uid="{B1D54457-B3CF-4C0E-86FE-7EAF18E9554F}"/>
    <cellStyle name="Migliaia 3 2 3 2 5 2 2 3" xfId="25367" xr:uid="{F99F5C0F-DD94-4388-A7AA-DB712615FE81}"/>
    <cellStyle name="Migliaia 3 2 3 2 5 2 3" xfId="6015" xr:uid="{CFD61698-2F02-4960-83BD-F2B0BD926FCC}"/>
    <cellStyle name="Migliaia 3 2 3 2 5 2 3 2" xfId="21195" xr:uid="{5106A56E-76E5-48F2-A756-7E21BEE65F2E}"/>
    <cellStyle name="Migliaia 3 2 3 2 5 2 4" xfId="17907" xr:uid="{0A662924-1492-4BE0-A87D-8FF8EC6F7740}"/>
    <cellStyle name="Migliaia 3 2 3 2 5 3" xfId="3585" xr:uid="{E733CCBF-1F2D-41B4-8663-71AC85454666}"/>
    <cellStyle name="Migliaia 3 2 3 2 5 3 2" xfId="11073" xr:uid="{47A681DD-CA01-488F-A09D-FD01BE7AB406}"/>
    <cellStyle name="Migliaia 3 2 3 2 5 3 2 2" xfId="14619" xr:uid="{0D04D95C-E0AA-4FC4-B57C-2967062BF2DA}"/>
    <cellStyle name="Migliaia 3 2 3 2 5 3 2 2 2" xfId="29796" xr:uid="{6301C47A-F2CA-4759-BA1C-10704E8EC58E}"/>
    <cellStyle name="Migliaia 3 2 3 2 5 3 2 3" xfId="26251" xr:uid="{38518A13-0AA2-4B39-B7F0-0FA065A1453E}"/>
    <cellStyle name="Migliaia 3 2 3 2 5 3 3" xfId="6899" xr:uid="{F49FA182-4BC6-4DAB-A8CA-9D4B5381475C}"/>
    <cellStyle name="Migliaia 3 2 3 2 5 3 3 2" xfId="22079" xr:uid="{B103FAF8-9FF8-48D5-A210-28C38D6D990F}"/>
    <cellStyle name="Migliaia 3 2 3 2 5 3 4" xfId="18791" xr:uid="{B56C6351-99E5-4A23-BE1E-7A4847515873}"/>
    <cellStyle name="Migliaia 3 2 3 2 5 4" xfId="4403" xr:uid="{03757C88-9FFC-4AB0-A51D-5DA2AA0CD5D9}"/>
    <cellStyle name="Migliaia 3 2 3 2 5 4 2" xfId="11888" xr:uid="{54CF41CF-6D3D-43F7-9775-F54964A1E59C}"/>
    <cellStyle name="Migliaia 3 2 3 2 5 4 2 2" xfId="15434" xr:uid="{CB637CFA-2FFC-4569-85E9-DE52EFFDD1B1}"/>
    <cellStyle name="Migliaia 3 2 3 2 5 4 2 2 2" xfId="30611" xr:uid="{B8DA9997-4E4F-4DED-9A6A-11B66A03A561}"/>
    <cellStyle name="Migliaia 3 2 3 2 5 4 2 3" xfId="27066" xr:uid="{A70D9864-D65A-4FF4-9348-8775EFDD9020}"/>
    <cellStyle name="Migliaia 3 2 3 2 5 4 3" xfId="7714" xr:uid="{71519472-92E1-4EA0-841A-67A75B9F034C}"/>
    <cellStyle name="Migliaia 3 2 3 2 5 4 3 2" xfId="22894" xr:uid="{1BD55C6D-7E1E-41CA-93DA-C4871725BBB2}"/>
    <cellStyle name="Migliaia 3 2 3 2 5 4 4" xfId="19606" xr:uid="{9A1C853C-031F-4AE6-A935-F9AE06A6E792}"/>
    <cellStyle name="Migliaia 3 2 3 2 5 5" xfId="4987" xr:uid="{FC56DC29-D052-4713-954F-448EA33D1714}"/>
    <cellStyle name="Migliaia 3 2 3 2 5 5 2" xfId="12471" xr:uid="{62EC691C-6465-4597-ACB4-C7B2AC58BE13}"/>
    <cellStyle name="Migliaia 3 2 3 2 5 5 2 2" xfId="16017" xr:uid="{4735D1F6-2CE7-40CB-8CD8-CBE82D551249}"/>
    <cellStyle name="Migliaia 3 2 3 2 5 5 2 2 2" xfId="31194" xr:uid="{1792C5C3-305F-4612-BEA1-17CF8B39688E}"/>
    <cellStyle name="Migliaia 3 2 3 2 5 5 2 3" xfId="27649" xr:uid="{980F0FBC-F394-424D-86CD-3E8C2CA408DB}"/>
    <cellStyle name="Migliaia 3 2 3 2 5 5 3" xfId="8297" xr:uid="{97853AEF-8FCF-4A65-BFB3-10B20F9256F7}"/>
    <cellStyle name="Migliaia 3 2 3 2 5 5 3 2" xfId="23477" xr:uid="{5E512E8F-2FBB-4157-A0B7-13AD625F416B}"/>
    <cellStyle name="Migliaia 3 2 3 2 5 5 4" xfId="20189" xr:uid="{DA9B569B-99D6-4CAC-8B35-BC40A91364F9}"/>
    <cellStyle name="Migliaia 3 2 3 2 5 6" xfId="1808" xr:uid="{648B9138-98B2-4873-B6D8-EFEA832B307D}"/>
    <cellStyle name="Migliaia 3 2 3 2 5 6 2" xfId="9305" xr:uid="{7EFB2DF7-305D-4AA8-B25F-BA47DC7A86DD}"/>
    <cellStyle name="Migliaia 3 2 3 2 5 6 2 2" xfId="24483" xr:uid="{8CCCD08B-61CB-4B9E-BC63-5DFED6F714D0}"/>
    <cellStyle name="Migliaia 3 2 3 2 5 6 3" xfId="17023" xr:uid="{85A65CA0-7E3B-4517-9C01-AA703B0F1CC9}"/>
    <cellStyle name="Migliaia 3 2 3 2 5 7" xfId="8791" xr:uid="{020199FD-E3E5-4340-B111-0E67EF86AEA1}"/>
    <cellStyle name="Migliaia 3 2 3 2 5 7 2" xfId="12964" xr:uid="{F459978C-8280-48A6-A15A-B80661A13D95}"/>
    <cellStyle name="Migliaia 3 2 3 2 5 7 2 2" xfId="28141" xr:uid="{C4BDC80C-A287-4864-9439-7E344BFCE1E0}"/>
    <cellStyle name="Migliaia 3 2 3 2 5 7 3" xfId="23969" xr:uid="{1BFFB7AC-6848-4EF7-8C2B-6C2BEC9B0343}"/>
    <cellStyle name="Migliaia 3 2 3 2 5 8" xfId="5131" xr:uid="{BB77D91A-D668-49E1-A422-2DE5D9B31F3A}"/>
    <cellStyle name="Migliaia 3 2 3 2 5 8 2" xfId="20311" xr:uid="{5AEFA084-07B2-403D-9198-754EE2609B00}"/>
    <cellStyle name="Migliaia 3 2 3 2 5 9" xfId="16509" xr:uid="{7A1AC574-0854-4494-903D-797E7455A85E}"/>
    <cellStyle name="Migliaia 3 2 3 2 6" xfId="1370" xr:uid="{E982869A-2BCD-4D95-AB6D-D456B8221B75}"/>
    <cellStyle name="Migliaia 3 2 3 2 6 2" xfId="2796" xr:uid="{907C319B-4773-4962-A2F7-3CF0AE3E8F2F}"/>
    <cellStyle name="Migliaia 3 2 3 2 6 2 2" xfId="10287" xr:uid="{2C2DE607-FCD5-4615-82A7-2597A3219F71}"/>
    <cellStyle name="Migliaia 3 2 3 2 6 2 2 2" xfId="13882" xr:uid="{E9AE0A8D-2A46-4F95-AB8E-28E148EDDA02}"/>
    <cellStyle name="Migliaia 3 2 3 2 6 2 2 2 2" xfId="29059" xr:uid="{2E4A0F9D-D8CA-4717-B052-7BC1358C1C19}"/>
    <cellStyle name="Migliaia 3 2 3 2 6 2 2 3" xfId="25465" xr:uid="{9D0A4E13-097A-4650-ADE3-87649AB16436}"/>
    <cellStyle name="Migliaia 3 2 3 2 6 2 3" xfId="6113" xr:uid="{5D154B04-3071-4BD5-881B-1FBB392C1AA7}"/>
    <cellStyle name="Migliaia 3 2 3 2 6 2 3 2" xfId="21293" xr:uid="{2205FFAC-3D7F-4B7F-98D7-5F110D4CC361}"/>
    <cellStyle name="Migliaia 3 2 3 2 6 2 4" xfId="18005" xr:uid="{231BA16B-6DA8-4ADD-8E64-455E6E03450C}"/>
    <cellStyle name="Migliaia 3 2 3 2 6 3" xfId="3683" xr:uid="{B3226C05-AE56-48D4-BFA0-3A11C50A351F}"/>
    <cellStyle name="Migliaia 3 2 3 2 6 3 2" xfId="11171" xr:uid="{87BBD14B-0ABA-4131-9E1D-5911C1BD5BB4}"/>
    <cellStyle name="Migliaia 3 2 3 2 6 3 2 2" xfId="14717" xr:uid="{DFC98033-C149-4D60-9751-26192B765021}"/>
    <cellStyle name="Migliaia 3 2 3 2 6 3 2 2 2" xfId="29894" xr:uid="{65D9F69D-2F63-4651-AFF9-CF6B501ADB80}"/>
    <cellStyle name="Migliaia 3 2 3 2 6 3 2 3" xfId="26349" xr:uid="{9AF83024-12E4-4519-BDC6-786908A19237}"/>
    <cellStyle name="Migliaia 3 2 3 2 6 3 3" xfId="6997" xr:uid="{8A1D0ACD-6D3B-42A3-8663-ACA51BABADB9}"/>
    <cellStyle name="Migliaia 3 2 3 2 6 3 3 2" xfId="22177" xr:uid="{807F73ED-CDEF-42C0-9192-71173596964A}"/>
    <cellStyle name="Migliaia 3 2 3 2 6 3 4" xfId="18889" xr:uid="{EA087A2B-DB34-4520-AAD4-7AAF75CF7F9A}"/>
    <cellStyle name="Migliaia 3 2 3 2 6 4" xfId="4404" xr:uid="{6234F3C9-FF07-4C85-8215-9AC970300271}"/>
    <cellStyle name="Migliaia 3 2 3 2 6 4 2" xfId="11889" xr:uid="{1B75E98C-5F46-4196-B1F6-30ED24E47957}"/>
    <cellStyle name="Migliaia 3 2 3 2 6 4 2 2" xfId="15435" xr:uid="{C09E2219-AF5F-47DC-9014-0C6C6E38EC1A}"/>
    <cellStyle name="Migliaia 3 2 3 2 6 4 2 2 2" xfId="30612" xr:uid="{BC74F8EC-FD12-4901-91EF-3F26B6A3CDB6}"/>
    <cellStyle name="Migliaia 3 2 3 2 6 4 2 3" xfId="27067" xr:uid="{1AFEF64E-EB9A-428A-9C0B-425F67C903F0}"/>
    <cellStyle name="Migliaia 3 2 3 2 6 4 3" xfId="7715" xr:uid="{B54672EC-BAF6-4174-BBA3-AE6F58CD4C7E}"/>
    <cellStyle name="Migliaia 3 2 3 2 6 4 3 2" xfId="22895" xr:uid="{ACA0BB4D-1DA7-4974-B98B-F0E29962930D}"/>
    <cellStyle name="Migliaia 3 2 3 2 6 4 4" xfId="19607" xr:uid="{0C244C1B-7115-4692-8EFE-2579CC03AA03}"/>
    <cellStyle name="Migliaia 3 2 3 2 6 5" xfId="1906" xr:uid="{392BABBF-85B8-4D25-9E67-4B4ED3B364F6}"/>
    <cellStyle name="Migliaia 3 2 3 2 6 5 2" xfId="9403" xr:uid="{424A3C82-6676-448A-9A59-6E84A76416D1}"/>
    <cellStyle name="Migliaia 3 2 3 2 6 5 2 2" xfId="24581" xr:uid="{69FADA5F-6762-4894-8188-0E791005CA77}"/>
    <cellStyle name="Migliaia 3 2 3 2 6 5 3" xfId="17121" xr:uid="{BA10B630-5D96-4BDC-A559-89B370E3CC5C}"/>
    <cellStyle name="Migliaia 3 2 3 2 6 6" xfId="8889" xr:uid="{7B8B8CB2-8EF5-4874-BB4D-BF2A4D2AD071}"/>
    <cellStyle name="Migliaia 3 2 3 2 6 6 2" xfId="13062" xr:uid="{A9DB24B3-7FBA-49C4-9D90-B53ED279D10D}"/>
    <cellStyle name="Migliaia 3 2 3 2 6 6 2 2" xfId="28239" xr:uid="{8A54C6E7-4082-4597-A90C-E91173187024}"/>
    <cellStyle name="Migliaia 3 2 3 2 6 6 3" xfId="24067" xr:uid="{112747C4-9777-4E08-A76E-C60BE7E4EB1F}"/>
    <cellStyle name="Migliaia 3 2 3 2 6 7" xfId="5229" xr:uid="{49E04F1F-E568-4C47-8AEB-1F6FC1DC94DA}"/>
    <cellStyle name="Migliaia 3 2 3 2 6 7 2" xfId="20409" xr:uid="{541D5BAD-79E1-4F17-A926-0F5B12A21B44}"/>
    <cellStyle name="Migliaia 3 2 3 2 6 8" xfId="16607" xr:uid="{41C16701-C59B-483F-8CDA-5C87E176D229}"/>
    <cellStyle name="Migliaia 3 2 3 2 7" xfId="1469" xr:uid="{94F2F80E-C434-4A36-AD49-16EC74E05537}"/>
    <cellStyle name="Migliaia 3 2 3 2 7 2" xfId="2894" xr:uid="{9579ED2D-97F9-40C1-ADDE-FDC01D089F8F}"/>
    <cellStyle name="Migliaia 3 2 3 2 7 2 2" xfId="10385" xr:uid="{B32B8C2F-82E8-403A-B1E3-A1686DBD0FAD}"/>
    <cellStyle name="Migliaia 3 2 3 2 7 2 2 2" xfId="13931" xr:uid="{C32880CA-315F-44C0-B910-FC54E5635903}"/>
    <cellStyle name="Migliaia 3 2 3 2 7 2 2 2 2" xfId="29108" xr:uid="{3CB749B7-4081-4D0D-A36F-024BB326F4F2}"/>
    <cellStyle name="Migliaia 3 2 3 2 7 2 2 3" xfId="25563" xr:uid="{E1214708-0250-4C10-A035-0CFC041D6CB6}"/>
    <cellStyle name="Migliaia 3 2 3 2 7 2 3" xfId="6211" xr:uid="{71B1775B-2583-495F-8A63-0179E48C3787}"/>
    <cellStyle name="Migliaia 3 2 3 2 7 2 3 2" xfId="21391" xr:uid="{0059161C-F2B2-4A91-AD76-861814AC3152}"/>
    <cellStyle name="Migliaia 3 2 3 2 7 2 4" xfId="18103" xr:uid="{FDA1593C-3FAA-4803-A1C0-3DFE4B27B180}"/>
    <cellStyle name="Migliaia 3 2 3 2 7 3" xfId="3781" xr:uid="{5036B94E-9581-4A0F-BF00-3733D166E7C0}"/>
    <cellStyle name="Migliaia 3 2 3 2 7 3 2" xfId="11269" xr:uid="{93BF9700-EFDC-41F5-8D11-D9DF87C09FB6}"/>
    <cellStyle name="Migliaia 3 2 3 2 7 3 2 2" xfId="14815" xr:uid="{7E223C89-493B-4680-BC3E-9E1F6AEA14FD}"/>
    <cellStyle name="Migliaia 3 2 3 2 7 3 2 2 2" xfId="29992" xr:uid="{7CA0F91B-870F-48A6-80F5-B8A410BFDE99}"/>
    <cellStyle name="Migliaia 3 2 3 2 7 3 2 3" xfId="26447" xr:uid="{ADE0B235-917B-400B-9F43-5D294A7CA87C}"/>
    <cellStyle name="Migliaia 3 2 3 2 7 3 3" xfId="7095" xr:uid="{F08F85D5-EBCA-4FC1-B66E-58E1D5A33C7B}"/>
    <cellStyle name="Migliaia 3 2 3 2 7 3 3 2" xfId="22275" xr:uid="{CA49E23F-2DA0-47D4-ACF4-FF7227B834ED}"/>
    <cellStyle name="Migliaia 3 2 3 2 7 3 4" xfId="18987" xr:uid="{46B368C7-6E7A-444E-884C-896A7FBE6B43}"/>
    <cellStyle name="Migliaia 3 2 3 2 7 4" xfId="4405" xr:uid="{41B08C23-4A58-48C2-84C6-E028C3764D2C}"/>
    <cellStyle name="Migliaia 3 2 3 2 7 4 2" xfId="11890" xr:uid="{2B7F1D16-9AB6-42D9-97C8-8B897D876E07}"/>
    <cellStyle name="Migliaia 3 2 3 2 7 4 2 2" xfId="15436" xr:uid="{5C363260-B2F7-4565-9024-B8B7AE4F1B4E}"/>
    <cellStyle name="Migliaia 3 2 3 2 7 4 2 2 2" xfId="30613" xr:uid="{40AFB6FC-F175-4F58-9290-54B9461D7D36}"/>
    <cellStyle name="Migliaia 3 2 3 2 7 4 2 3" xfId="27068" xr:uid="{14C33C4B-EA40-406B-B239-227C46137679}"/>
    <cellStyle name="Migliaia 3 2 3 2 7 4 3" xfId="7716" xr:uid="{02FE27BB-90EA-431F-8D5E-0C6B8A92531D}"/>
    <cellStyle name="Migliaia 3 2 3 2 7 4 3 2" xfId="22896" xr:uid="{37814CC6-3F67-460D-B541-97A4C2B574F4}"/>
    <cellStyle name="Migliaia 3 2 3 2 7 4 4" xfId="19608" xr:uid="{5272699E-DD2B-4DAA-908B-778EB3FA6AE0}"/>
    <cellStyle name="Migliaia 3 2 3 2 7 5" xfId="2004" xr:uid="{64126CEB-696E-47DA-865C-10488836C0A9}"/>
    <cellStyle name="Migliaia 3 2 3 2 7 5 2" xfId="9501" xr:uid="{4C4DA410-53F5-4162-85C5-30CAEAC92EAB}"/>
    <cellStyle name="Migliaia 3 2 3 2 7 5 2 2" xfId="24679" xr:uid="{B7A4A4D0-BE47-44CA-AC45-CD06A588826F}"/>
    <cellStyle name="Migliaia 3 2 3 2 7 5 3" xfId="17219" xr:uid="{414096B2-6BA6-4827-A96F-6DA534B340C6}"/>
    <cellStyle name="Migliaia 3 2 3 2 7 6" xfId="8987" xr:uid="{7D266637-F035-4017-97F4-B2D54BFCA764}"/>
    <cellStyle name="Migliaia 3 2 3 2 7 6 2" xfId="13160" xr:uid="{60F12E8C-28E3-43FE-92FE-812464BA7D63}"/>
    <cellStyle name="Migliaia 3 2 3 2 7 6 2 2" xfId="28337" xr:uid="{2FD9FDBE-C5A4-4AD1-AF4A-BCD0EC6DB3B3}"/>
    <cellStyle name="Migliaia 3 2 3 2 7 6 3" xfId="24165" xr:uid="{3C16BE5D-83E3-4C4E-AB49-5B4C0520E9B4}"/>
    <cellStyle name="Migliaia 3 2 3 2 7 7" xfId="5327" xr:uid="{40CF0E19-5ADE-45BC-9656-AB5ABF93A7E5}"/>
    <cellStyle name="Migliaia 3 2 3 2 7 7 2" xfId="20507" xr:uid="{2713B3DF-20FB-4D99-BA55-CDDB8C36F287}"/>
    <cellStyle name="Migliaia 3 2 3 2 7 8" xfId="16705" xr:uid="{D7CAC145-AB13-49F0-A32D-51D77D39C6A6}"/>
    <cellStyle name="Migliaia 3 2 3 2 8" xfId="1572" xr:uid="{B03D800E-09DF-438F-88CC-5D6C30BDE7BC}"/>
    <cellStyle name="Migliaia 3 2 3 2 8 2" xfId="2992" xr:uid="{56C3F45C-AB62-404B-A4E0-2B1740EBD700}"/>
    <cellStyle name="Migliaia 3 2 3 2 8 2 2" xfId="10483" xr:uid="{68A52157-BEF2-42E8-A534-D1F1A9E0B3AB}"/>
    <cellStyle name="Migliaia 3 2 3 2 8 2 2 2" xfId="14029" xr:uid="{A1F6321C-0D3A-47F8-9850-D69C3653BACD}"/>
    <cellStyle name="Migliaia 3 2 3 2 8 2 2 2 2" xfId="29206" xr:uid="{0B654DDE-812C-40D6-B7B6-AE6AB4776BD4}"/>
    <cellStyle name="Migliaia 3 2 3 2 8 2 2 3" xfId="25661" xr:uid="{3EBE4CB3-3E69-4A4E-8B59-9E1B624FFD90}"/>
    <cellStyle name="Migliaia 3 2 3 2 8 2 3" xfId="6309" xr:uid="{AB87407A-F70B-489D-BE12-D07DAA958699}"/>
    <cellStyle name="Migliaia 3 2 3 2 8 2 3 2" xfId="21489" xr:uid="{5FA5509F-FFB0-4249-84AC-9B6287D5CEEF}"/>
    <cellStyle name="Migliaia 3 2 3 2 8 2 4" xfId="18201" xr:uid="{E7E59B5C-D640-4F12-9C7C-A77028EB7579}"/>
    <cellStyle name="Migliaia 3 2 3 2 8 3" xfId="3879" xr:uid="{E59A3DE4-E070-4649-957C-01AA1751E996}"/>
    <cellStyle name="Migliaia 3 2 3 2 8 3 2" xfId="11367" xr:uid="{7886D31A-766A-4417-9E35-3604E18E012F}"/>
    <cellStyle name="Migliaia 3 2 3 2 8 3 2 2" xfId="14913" xr:uid="{1A9DD48A-5A8C-4976-8B85-FC4DBA59A815}"/>
    <cellStyle name="Migliaia 3 2 3 2 8 3 2 2 2" xfId="30090" xr:uid="{01A8402A-4FB2-41C9-9808-A8A38B660F55}"/>
    <cellStyle name="Migliaia 3 2 3 2 8 3 2 3" xfId="26545" xr:uid="{ABA3189F-9A4C-4BCD-B343-26DCF6E3E313}"/>
    <cellStyle name="Migliaia 3 2 3 2 8 3 3" xfId="7193" xr:uid="{DC6C3457-71A7-4018-93E9-2DC75C832C39}"/>
    <cellStyle name="Migliaia 3 2 3 2 8 3 3 2" xfId="22373" xr:uid="{4C7550C6-C163-4FFC-80C9-5B8564B00271}"/>
    <cellStyle name="Migliaia 3 2 3 2 8 3 4" xfId="19085" xr:uid="{832130E5-A4B2-4261-B338-41C08C9342F3}"/>
    <cellStyle name="Migliaia 3 2 3 2 8 4" xfId="4406" xr:uid="{2099ADD2-277E-4740-B8CA-F222F5C6594B}"/>
    <cellStyle name="Migliaia 3 2 3 2 8 4 2" xfId="11891" xr:uid="{1CEAA332-D4C4-4ACF-94CB-C83BE3454D65}"/>
    <cellStyle name="Migliaia 3 2 3 2 8 4 2 2" xfId="15437" xr:uid="{5A281A73-5961-4548-8115-3A31F99A8433}"/>
    <cellStyle name="Migliaia 3 2 3 2 8 4 2 2 2" xfId="30614" xr:uid="{793595FD-4378-42B1-963F-D126783AF7F8}"/>
    <cellStyle name="Migliaia 3 2 3 2 8 4 2 3" xfId="27069" xr:uid="{7ADF9660-4ADD-46D5-AC19-AB7EED2140BD}"/>
    <cellStyle name="Migliaia 3 2 3 2 8 4 3" xfId="7717" xr:uid="{F2754D04-115C-43AA-8087-7AD351CC3AC4}"/>
    <cellStyle name="Migliaia 3 2 3 2 8 4 3 2" xfId="22897" xr:uid="{2606D842-E8AB-4E95-B85E-39E9DA6C07C1}"/>
    <cellStyle name="Migliaia 3 2 3 2 8 4 4" xfId="19609" xr:uid="{7AFFFE7F-5574-4AC5-AC99-69B5328F64F5}"/>
    <cellStyle name="Migliaia 3 2 3 2 8 5" xfId="2102" xr:uid="{4A779E2D-B4E4-4495-935D-821C97CB9A51}"/>
    <cellStyle name="Migliaia 3 2 3 2 8 5 2" xfId="9599" xr:uid="{FE03AD9B-A9AD-44FB-B285-6FE71D835608}"/>
    <cellStyle name="Migliaia 3 2 3 2 8 5 2 2" xfId="24777" xr:uid="{1E4EFEAB-F4B6-40DC-B2C7-7AD477348D31}"/>
    <cellStyle name="Migliaia 3 2 3 2 8 5 3" xfId="17317" xr:uid="{C5A9B85C-0AAE-44AE-B1D6-2A7621D2C983}"/>
    <cellStyle name="Migliaia 3 2 3 2 8 6" xfId="9085" xr:uid="{B2D96C9D-10FB-4169-B657-AE4F46B88DCF}"/>
    <cellStyle name="Migliaia 3 2 3 2 8 6 2" xfId="13258" xr:uid="{AAB107F1-62E7-4C66-82DC-6E5FE99F2BAE}"/>
    <cellStyle name="Migliaia 3 2 3 2 8 6 2 2" xfId="28435" xr:uid="{B1EEF2CB-2FF7-4BB1-B01D-F851514994F6}"/>
    <cellStyle name="Migliaia 3 2 3 2 8 6 3" xfId="24263" xr:uid="{6C95785D-AE45-4BEC-8768-2D1FDA9B8B2A}"/>
    <cellStyle name="Migliaia 3 2 3 2 8 7" xfId="5425" xr:uid="{844B2DB8-3B3B-4AB4-AD67-E4D3E0C6BE7C}"/>
    <cellStyle name="Migliaia 3 2 3 2 8 7 2" xfId="20605" xr:uid="{DD904E7A-7140-48E2-8943-A4DD2DB14C72}"/>
    <cellStyle name="Migliaia 3 2 3 2 8 8" xfId="16803" xr:uid="{9CE5CFE7-2097-450E-8AE5-1A2C1AA73C87}"/>
    <cellStyle name="Migliaia 3 2 3 2 9" xfId="1671" xr:uid="{2F33646C-2D9E-4502-AA7F-DE46386C4201}"/>
    <cellStyle name="Migliaia 3 2 3 2 9 2" xfId="3090" xr:uid="{D33BF5FB-C5EB-48FE-92CD-DE96265BA8D0}"/>
    <cellStyle name="Migliaia 3 2 3 2 9 2 2" xfId="10581" xr:uid="{C0608668-700D-4DFA-A42C-7840DF1CCD0F}"/>
    <cellStyle name="Migliaia 3 2 3 2 9 2 2 2" xfId="14127" xr:uid="{6BF80D1A-ADFB-4FB3-97FD-DDF718C15EB1}"/>
    <cellStyle name="Migliaia 3 2 3 2 9 2 2 2 2" xfId="29304" xr:uid="{7EA31DB3-965E-4406-88AA-D41BDCA0FC0E}"/>
    <cellStyle name="Migliaia 3 2 3 2 9 2 2 3" xfId="25759" xr:uid="{5D7C7A53-65E1-4420-9332-527BD3B2740C}"/>
    <cellStyle name="Migliaia 3 2 3 2 9 2 3" xfId="6407" xr:uid="{7D046B9F-1A65-4022-93F7-A3C4A54016FA}"/>
    <cellStyle name="Migliaia 3 2 3 2 9 2 3 2" xfId="21587" xr:uid="{61491A9C-F051-406B-A7C1-1A6486FA2174}"/>
    <cellStyle name="Migliaia 3 2 3 2 9 2 4" xfId="18299" xr:uid="{F2A5B347-D3CA-4E0B-8981-148EABAD9A95}"/>
    <cellStyle name="Migliaia 3 2 3 2 9 3" xfId="3977" xr:uid="{E4838A00-7EC0-41F4-BEEA-A573528F9C46}"/>
    <cellStyle name="Migliaia 3 2 3 2 9 3 2" xfId="11465" xr:uid="{ED269875-5CA3-448D-9D05-5D2B97C7AF94}"/>
    <cellStyle name="Migliaia 3 2 3 2 9 3 2 2" xfId="15011" xr:uid="{A8864BB4-C1E3-4A5D-920E-1DA0C3FA304B}"/>
    <cellStyle name="Migliaia 3 2 3 2 9 3 2 2 2" xfId="30188" xr:uid="{DB9B4DB1-A5EF-4C5E-BCF5-B8A203F1044C}"/>
    <cellStyle name="Migliaia 3 2 3 2 9 3 2 3" xfId="26643" xr:uid="{00A6CBFF-E673-41AF-A63F-16A43D617450}"/>
    <cellStyle name="Migliaia 3 2 3 2 9 3 3" xfId="7291" xr:uid="{F58B947D-5AAF-4D9B-B281-05D7E899D695}"/>
    <cellStyle name="Migliaia 3 2 3 2 9 3 3 2" xfId="22471" xr:uid="{9F7BFB76-B212-4882-87E9-26083DED15D7}"/>
    <cellStyle name="Migliaia 3 2 3 2 9 3 4" xfId="19183" xr:uid="{57D299C3-1374-4CE1-825C-439F576FA74E}"/>
    <cellStyle name="Migliaia 3 2 3 2 9 4" xfId="4407" xr:uid="{4371E64A-958A-4094-A60D-65CF5E5148EE}"/>
    <cellStyle name="Migliaia 3 2 3 2 9 4 2" xfId="11892" xr:uid="{B47C9F48-D9AC-4749-A122-95417572E0B5}"/>
    <cellStyle name="Migliaia 3 2 3 2 9 4 2 2" xfId="15438" xr:uid="{894165A7-438E-4413-A726-05C2587541FC}"/>
    <cellStyle name="Migliaia 3 2 3 2 9 4 2 2 2" xfId="30615" xr:uid="{764153CD-A460-45A7-B9A1-C4EA771DB413}"/>
    <cellStyle name="Migliaia 3 2 3 2 9 4 2 3" xfId="27070" xr:uid="{D715D2E8-A726-43F6-8DB8-7ED84538984B}"/>
    <cellStyle name="Migliaia 3 2 3 2 9 4 3" xfId="7718" xr:uid="{4FCAF82C-D62C-486B-BAA5-CD55450EF822}"/>
    <cellStyle name="Migliaia 3 2 3 2 9 4 3 2" xfId="22898" xr:uid="{2243B4C1-3FF3-410D-AAAE-826DF922FCB8}"/>
    <cellStyle name="Migliaia 3 2 3 2 9 4 4" xfId="19610" xr:uid="{066BBAA8-F729-464C-ADEA-34FFBF250BB9}"/>
    <cellStyle name="Migliaia 3 2 3 2 9 5" xfId="2200" xr:uid="{1D1A7DE3-8BDF-4916-8182-CC7AFCF08AF9}"/>
    <cellStyle name="Migliaia 3 2 3 2 9 5 2" xfId="9697" xr:uid="{DDB83BB8-653C-44D0-89AD-F9BDCD3FB29F}"/>
    <cellStyle name="Migliaia 3 2 3 2 9 5 2 2" xfId="24875" xr:uid="{D1254C52-1BEC-47D5-8250-B3D8E277356E}"/>
    <cellStyle name="Migliaia 3 2 3 2 9 5 3" xfId="17415" xr:uid="{FE424F2E-E940-4157-9C1C-A5DD756B9799}"/>
    <cellStyle name="Migliaia 3 2 3 2 9 6" xfId="9183" xr:uid="{3AE781C5-ED34-492D-B80E-1A8D1ECA3801}"/>
    <cellStyle name="Migliaia 3 2 3 2 9 6 2" xfId="13356" xr:uid="{DF02BE3A-12F3-4D09-8329-5ABCD1A71232}"/>
    <cellStyle name="Migliaia 3 2 3 2 9 6 2 2" xfId="28533" xr:uid="{4C75E536-43A1-4E7E-AEC5-58FE9813FF7E}"/>
    <cellStyle name="Migliaia 3 2 3 2 9 6 3" xfId="24361" xr:uid="{2A91B636-7B71-4969-9F0C-774E4E296145}"/>
    <cellStyle name="Migliaia 3 2 3 2 9 7" xfId="5523" xr:uid="{D693CE26-4CEA-4D75-B5E3-D0DBCD036381}"/>
    <cellStyle name="Migliaia 3 2 3 2 9 7 2" xfId="20703" xr:uid="{DD18485A-6D24-4451-AC69-819F3C64EE13}"/>
    <cellStyle name="Migliaia 3 2 3 2 9 8" xfId="16901" xr:uid="{666FBB64-5D34-434A-817F-D3727DA59557}"/>
    <cellStyle name="Migliaia 3 2 3 3" xfId="754" xr:uid="{0C73903F-4EA3-4587-8C42-2989CE5B3E11}"/>
    <cellStyle name="Migliaia 3 2 3 3 10" xfId="8420" xr:uid="{93D5730A-ACA5-4715-8E0D-3AEE04A475FD}"/>
    <cellStyle name="Migliaia 3 2 3 3 10 2" xfId="12594" xr:uid="{552659DD-ADD2-40D3-AA93-91BD2D9A00A7}"/>
    <cellStyle name="Migliaia 3 2 3 3 10 2 2" xfId="27771" xr:uid="{362C4D52-726F-4422-88D7-088436AC209E}"/>
    <cellStyle name="Migliaia 3 2 3 3 10 3" xfId="23599" xr:uid="{6BEEA921-206A-4BCF-93DE-178B0A07A41C}"/>
    <cellStyle name="Migliaia 3 2 3 3 11" xfId="16139" xr:uid="{7A689CD3-8362-4E47-ACA8-0B667D3606D9}"/>
    <cellStyle name="Migliaia 3 2 3 3 12" xfId="31481" xr:uid="{B7EC01C0-6798-4D43-99DC-5C17C25E5F5A}"/>
    <cellStyle name="Migliaia 3 2 3 3 2" xfId="931" xr:uid="{D1C7DDC2-9145-4B25-A2BA-4EF2DD3C4E07}"/>
    <cellStyle name="Migliaia 3 2 3 3 2 10" xfId="16261" xr:uid="{AC7E3058-479B-4632-8849-2E577AC556D6}"/>
    <cellStyle name="Migliaia 3 2 3 3 2 11" xfId="31351" xr:uid="{093EBC82-5B17-459C-8986-8FE31DD4E9F5}"/>
    <cellStyle name="Migliaia 3 2 3 3 2 12" xfId="31701" xr:uid="{ECDB686B-A916-4041-B3AA-EEFF27310B78}"/>
    <cellStyle name="Migliaia 3 2 3 3 2 2" xfId="1292" xr:uid="{B2E1BB2A-EA08-40BF-AD60-8CEE27FD9166}"/>
    <cellStyle name="Migliaia 3 2 3 3 2 2 2" xfId="3609" xr:uid="{8D1DC1CD-432D-4B48-8E53-05D7EDF7B4AF}"/>
    <cellStyle name="Migliaia 3 2 3 3 2 2 2 2" xfId="11097" xr:uid="{026BA2F9-552E-45C8-8B1C-53C9EFA1E2FE}"/>
    <cellStyle name="Migliaia 3 2 3 3 2 2 2 2 2" xfId="14643" xr:uid="{68194857-E231-4AAE-990B-EFF02324CABF}"/>
    <cellStyle name="Migliaia 3 2 3 3 2 2 2 2 2 2" xfId="29820" xr:uid="{05E18A8C-C5BD-4395-B4A9-3B36A1E8918B}"/>
    <cellStyle name="Migliaia 3 2 3 3 2 2 2 2 3" xfId="26275" xr:uid="{1B56129F-DB19-4972-A1C9-2366338592C6}"/>
    <cellStyle name="Migliaia 3 2 3 3 2 2 2 3" xfId="6923" xr:uid="{90EFB90C-436D-4DF8-8850-C81BB66D35E8}"/>
    <cellStyle name="Migliaia 3 2 3 3 2 2 2 3 2" xfId="22103" xr:uid="{8BEFA760-BF52-4E6E-B376-CC0836C9BA42}"/>
    <cellStyle name="Migliaia 3 2 3 3 2 2 2 4" xfId="18815" xr:uid="{AC5E5757-9EB9-4E42-8139-ABC101B4B934}"/>
    <cellStyle name="Migliaia 3 2 3 3 2 2 3" xfId="4408" xr:uid="{8EDB34D9-C61B-4A52-81FB-B79FD835D470}"/>
    <cellStyle name="Migliaia 3 2 3 3 2 2 3 2" xfId="11893" xr:uid="{9936F894-B6E9-4FB4-89BB-26B66C8B977F}"/>
    <cellStyle name="Migliaia 3 2 3 3 2 2 3 2 2" xfId="15439" xr:uid="{490B9556-7654-435A-B087-163BDAAF83AC}"/>
    <cellStyle name="Migliaia 3 2 3 3 2 2 3 2 2 2" xfId="30616" xr:uid="{2B71DC4D-0EA0-4001-BC93-05628F867F57}"/>
    <cellStyle name="Migliaia 3 2 3 3 2 2 3 2 3" xfId="27071" xr:uid="{9718DA9A-066E-4AC7-A990-DABDB7B43D21}"/>
    <cellStyle name="Migliaia 3 2 3 3 2 2 3 3" xfId="7719" xr:uid="{4EA246C5-D9DF-416C-8580-60E0591CEF25}"/>
    <cellStyle name="Migliaia 3 2 3 3 2 2 3 3 2" xfId="22899" xr:uid="{CF6AA128-364B-49C0-8886-4FD7DE49E567}"/>
    <cellStyle name="Migliaia 3 2 3 3 2 2 3 4" xfId="19611" xr:uid="{97AD4C6F-A0C0-463C-8F02-ACF4B7A149AE}"/>
    <cellStyle name="Migliaia 3 2 3 3 2 2 4" xfId="2722" xr:uid="{7DD53FCF-0C2D-4F86-BAD8-7BF40589FE60}"/>
    <cellStyle name="Migliaia 3 2 3 3 2 2 4 2" xfId="10213" xr:uid="{D29F0474-5A09-43B9-A340-E4D0FD8D18C9}"/>
    <cellStyle name="Migliaia 3 2 3 3 2 2 4 2 2" xfId="25391" xr:uid="{9AE822A1-6ACD-4A4F-AB88-57175BE5B02C}"/>
    <cellStyle name="Migliaia 3 2 3 3 2 2 4 3" xfId="17931" xr:uid="{6469D00A-3FCA-4E33-B40B-E070418F113D}"/>
    <cellStyle name="Migliaia 3 2 3 3 2 2 5" xfId="8815" xr:uid="{7806DA3A-BAA3-4AA2-A7FE-2D8375EA5CBD}"/>
    <cellStyle name="Migliaia 3 2 3 3 2 2 5 2" xfId="12988" xr:uid="{DAE0C4D3-D7E3-4810-82A3-F6092B6FF2DF}"/>
    <cellStyle name="Migliaia 3 2 3 3 2 2 5 2 2" xfId="28165" xr:uid="{1E1AFC6B-60E4-40BF-AFAF-107D1785C176}"/>
    <cellStyle name="Migliaia 3 2 3 3 2 2 5 3" xfId="23993" xr:uid="{B07A7158-46FA-4E61-9CB0-57EF7CC60692}"/>
    <cellStyle name="Migliaia 3 2 3 3 2 2 6" xfId="6039" xr:uid="{A4E17BA2-21EE-44B9-AA8C-F635043B513E}"/>
    <cellStyle name="Migliaia 3 2 3 3 2 2 6 2" xfId="21219" xr:uid="{A703E013-2756-4A7C-9546-1C84F01DB072}"/>
    <cellStyle name="Migliaia 3 2 3 3 2 2 7" xfId="16533" xr:uid="{61CD57A5-7CAB-46D6-96B7-62A1C02CEC0D}"/>
    <cellStyle name="Migliaia 3 2 3 3 2 3" xfId="2449" xr:uid="{CE7C1143-C00C-46E3-9762-95FBA9CE8B6E}"/>
    <cellStyle name="Migliaia 3 2 3 3 2 3 2" xfId="9941" xr:uid="{C7FBA2D6-7633-48AF-8B67-8BFCB0875ABD}"/>
    <cellStyle name="Migliaia 3 2 3 3 2 3 2 2" xfId="13600" xr:uid="{B232F6C7-3325-4D30-8829-FAA9807F6078}"/>
    <cellStyle name="Migliaia 3 2 3 3 2 3 2 2 2" xfId="28777" xr:uid="{4C47D92A-7F0E-4D3D-A586-EAC624619C1E}"/>
    <cellStyle name="Migliaia 3 2 3 3 2 3 2 3" xfId="25119" xr:uid="{9402CA56-C336-42C2-860D-2D725B07F9D1}"/>
    <cellStyle name="Migliaia 3 2 3 3 2 3 3" xfId="5767" xr:uid="{31C0C54A-51B8-438D-A571-342E484239C5}"/>
    <cellStyle name="Migliaia 3 2 3 3 2 3 3 2" xfId="20947" xr:uid="{AFE005B1-4856-49C6-89CB-E020C36C4CF9}"/>
    <cellStyle name="Migliaia 3 2 3 3 2 3 4" xfId="17659" xr:uid="{37F72579-F4A7-4D68-836E-9EAF914C603D}"/>
    <cellStyle name="Migliaia 3 2 3 3 2 4" xfId="3337" xr:uid="{63A00D39-A6AB-4956-9181-DD46D5C3B8C7}"/>
    <cellStyle name="Migliaia 3 2 3 3 2 4 2" xfId="10825" xr:uid="{A4B6384A-AE3B-4659-BA6C-F855DD2F0A1F}"/>
    <cellStyle name="Migliaia 3 2 3 3 2 4 2 2" xfId="14371" xr:uid="{43B6D663-136B-4EC5-8AE8-070D5D04E9C0}"/>
    <cellStyle name="Migliaia 3 2 3 3 2 4 2 2 2" xfId="29548" xr:uid="{1D7417C8-5ABF-4BEB-BA50-63E012A65210}"/>
    <cellStyle name="Migliaia 3 2 3 3 2 4 2 3" xfId="26003" xr:uid="{53D320BB-DF46-4A37-993F-3F9AA5703533}"/>
    <cellStyle name="Migliaia 3 2 3 3 2 4 3" xfId="6651" xr:uid="{0B758B95-5919-43B9-9BDB-4DA49B29B0E0}"/>
    <cellStyle name="Migliaia 3 2 3 3 2 4 3 2" xfId="21831" xr:uid="{E7E25DC4-F32D-4AEC-8790-EDEFD5FEF5F3}"/>
    <cellStyle name="Migliaia 3 2 3 3 2 4 4" xfId="18543" xr:uid="{5573E14C-B7F2-4044-B99F-6574B04F6FBF}"/>
    <cellStyle name="Migliaia 3 2 3 3 2 5" xfId="4409" xr:uid="{72C37D5F-94A4-4416-958E-1DE8E64EA5D2}"/>
    <cellStyle name="Migliaia 3 2 3 3 2 5 2" xfId="11894" xr:uid="{6CA62EE8-75BB-447D-8904-464974031737}"/>
    <cellStyle name="Migliaia 3 2 3 3 2 5 2 2" xfId="15440" xr:uid="{0A945D29-B86D-4195-8019-7D543205957D}"/>
    <cellStyle name="Migliaia 3 2 3 3 2 5 2 2 2" xfId="30617" xr:uid="{19AF6F91-A947-4D01-A8FB-A518F9C5AE5C}"/>
    <cellStyle name="Migliaia 3 2 3 3 2 5 2 3" xfId="27072" xr:uid="{1DDC263B-40AE-4715-B2B6-57F52BD82B61}"/>
    <cellStyle name="Migliaia 3 2 3 3 2 5 3" xfId="7720" xr:uid="{B0112F2D-8211-486C-BA09-7AF9E3B72EAA}"/>
    <cellStyle name="Migliaia 3 2 3 3 2 5 3 2" xfId="22900" xr:uid="{5063F2AB-D215-402A-972A-E3EF97941598}"/>
    <cellStyle name="Migliaia 3 2 3 3 2 5 4" xfId="19612" xr:uid="{A759AA4D-C0EA-4404-97F3-648AC2FCE20F}"/>
    <cellStyle name="Migliaia 3 2 3 3 2 6" xfId="5011" xr:uid="{0F83967B-6BED-4875-A746-E60D258C1DAF}"/>
    <cellStyle name="Migliaia 3 2 3 3 2 6 2" xfId="12495" xr:uid="{8E9F774F-7C17-40C2-AD42-F0F194DC82E7}"/>
    <cellStyle name="Migliaia 3 2 3 3 2 6 2 2" xfId="16041" xr:uid="{C24D91BC-4ABD-4DBF-AA5F-415921B7801D}"/>
    <cellStyle name="Migliaia 3 2 3 3 2 6 2 2 2" xfId="31218" xr:uid="{AAE2BCCE-1604-4A17-A871-3D32973A6237}"/>
    <cellStyle name="Migliaia 3 2 3 3 2 6 2 3" xfId="27673" xr:uid="{20F2B558-109E-48E2-AAAE-FEFC552E096F}"/>
    <cellStyle name="Migliaia 3 2 3 3 2 6 3" xfId="8321" xr:uid="{0A1F4299-90A6-4D02-9C1A-201A15E0EBB1}"/>
    <cellStyle name="Migliaia 3 2 3 3 2 6 3 2" xfId="23501" xr:uid="{DF464DD4-C2EB-497F-84E5-2186AAC2FC05}"/>
    <cellStyle name="Migliaia 3 2 3 3 2 6 4" xfId="20213" xr:uid="{B6C652A1-ABF8-4CCD-8442-9E65469A2577}"/>
    <cellStyle name="Migliaia 3 2 3 3 2 7" xfId="1832" xr:uid="{1C31DA7A-AFEF-4169-800F-A13B66EABB59}"/>
    <cellStyle name="Migliaia 3 2 3 3 2 7 2" xfId="9329" xr:uid="{A41C3CC5-A8DE-4E19-AD6D-45E6F76DEA6B}"/>
    <cellStyle name="Migliaia 3 2 3 3 2 7 2 2" xfId="24507" xr:uid="{D957B521-5E8B-45B0-87F3-1AF9479BEC0C}"/>
    <cellStyle name="Migliaia 3 2 3 3 2 7 3" xfId="17047" xr:uid="{D1915C10-93E8-4F32-871D-C1A9C5B03340}"/>
    <cellStyle name="Migliaia 3 2 3 3 2 8" xfId="8543" xr:uid="{A3BF5A2C-E974-45ED-9C12-82DFD3ABB8E2}"/>
    <cellStyle name="Migliaia 3 2 3 3 2 8 2" xfId="12716" xr:uid="{7E0C0A15-A3DE-4DEA-89A3-B639E1B944DD}"/>
    <cellStyle name="Migliaia 3 2 3 3 2 8 2 2" xfId="27893" xr:uid="{61C5AC46-C781-4B66-98A8-FF0C5798DDF0}"/>
    <cellStyle name="Migliaia 3 2 3 3 2 8 3" xfId="23721" xr:uid="{9938D39B-F9CB-4DE2-A219-FF837A07E376}"/>
    <cellStyle name="Migliaia 3 2 3 3 2 9" xfId="5155" xr:uid="{E1E6B71C-24C6-45A1-8567-4180F790AB33}"/>
    <cellStyle name="Migliaia 3 2 3 3 2 9 2" xfId="20335" xr:uid="{A4880FCE-993A-4414-B27C-B57216A2A340}"/>
    <cellStyle name="Migliaia 3 2 3 3 3" xfId="1034" xr:uid="{8491CECA-BB1B-430E-AFB9-FCC62173D2C3}"/>
    <cellStyle name="Migliaia 3 2 3 3 3 10" xfId="31579" xr:uid="{EF3AC704-FC80-4FA6-BB79-D5984ED685BE}"/>
    <cellStyle name="Migliaia 3 2 3 3 3 2" xfId="1394" xr:uid="{EB6525D6-E77C-4936-BBEF-9B2968024C79}"/>
    <cellStyle name="Migliaia 3 2 3 3 3 2 2" xfId="3707" xr:uid="{BA8F51BD-FD2A-44D0-9B61-D888D0FEEDD4}"/>
    <cellStyle name="Migliaia 3 2 3 3 3 2 2 2" xfId="11195" xr:uid="{C242E46E-BA57-4DB7-9F1E-3A2DD6D24C4A}"/>
    <cellStyle name="Migliaia 3 2 3 3 3 2 2 2 2" xfId="14741" xr:uid="{F9C11CCF-820D-44AC-99E1-ABB2F97A4483}"/>
    <cellStyle name="Migliaia 3 2 3 3 3 2 2 2 2 2" xfId="29918" xr:uid="{8F987E08-3957-417B-9A92-7471883032A8}"/>
    <cellStyle name="Migliaia 3 2 3 3 3 2 2 2 3" xfId="26373" xr:uid="{DF06DC81-5ADA-4E0F-A38D-735F338FF6B0}"/>
    <cellStyle name="Migliaia 3 2 3 3 3 2 2 3" xfId="7021" xr:uid="{811D2C87-F74E-4189-9EB4-5506F4C1D298}"/>
    <cellStyle name="Migliaia 3 2 3 3 3 2 2 3 2" xfId="22201" xr:uid="{1D0A11DD-6B6F-4D27-B8FC-8CF1FE20B467}"/>
    <cellStyle name="Migliaia 3 2 3 3 3 2 2 4" xfId="18913" xr:uid="{1973DC3C-3245-4A60-B2DF-6F188FE7530B}"/>
    <cellStyle name="Migliaia 3 2 3 3 3 2 3" xfId="4410" xr:uid="{973578AD-8C66-497C-9457-57276A8B3E12}"/>
    <cellStyle name="Migliaia 3 2 3 3 3 2 3 2" xfId="11895" xr:uid="{8A2C6ACD-70FD-42A9-B083-B22D533C5B7B}"/>
    <cellStyle name="Migliaia 3 2 3 3 3 2 3 2 2" xfId="15441" xr:uid="{67408929-99FB-4EBD-B0DD-A500914E04B6}"/>
    <cellStyle name="Migliaia 3 2 3 3 3 2 3 2 2 2" xfId="30618" xr:uid="{4E3CF4F3-8694-4F0A-9977-871D6C1D0927}"/>
    <cellStyle name="Migliaia 3 2 3 3 3 2 3 2 3" xfId="27073" xr:uid="{7813AF88-1C9C-47DE-A46B-4D49F918CC75}"/>
    <cellStyle name="Migliaia 3 2 3 3 3 2 3 3" xfId="7721" xr:uid="{0661541F-60EB-487B-B421-4AAE8E8B22CE}"/>
    <cellStyle name="Migliaia 3 2 3 3 3 2 3 3 2" xfId="22901" xr:uid="{9E736C09-9710-409C-AAB5-4F34578C4F4B}"/>
    <cellStyle name="Migliaia 3 2 3 3 3 2 3 4" xfId="19613" xr:uid="{D57C6F79-CD10-4AB2-A46D-2CA4FF1EAA95}"/>
    <cellStyle name="Migliaia 3 2 3 3 3 2 4" xfId="2820" xr:uid="{7A99639D-C26E-4FD1-9F11-05668277CD42}"/>
    <cellStyle name="Migliaia 3 2 3 3 3 2 4 2" xfId="10311" xr:uid="{855BC9B0-1833-4595-B991-CC59FF63B136}"/>
    <cellStyle name="Migliaia 3 2 3 3 3 2 4 2 2" xfId="25489" xr:uid="{0C1E41C7-EF82-4294-A042-98A3951BE499}"/>
    <cellStyle name="Migliaia 3 2 3 3 3 2 4 3" xfId="18029" xr:uid="{8C91B055-EB71-4724-AEF1-24711C14AB9E}"/>
    <cellStyle name="Migliaia 3 2 3 3 3 2 5" xfId="8913" xr:uid="{0D1D3848-615B-4F5C-AEA2-F033D8ED6421}"/>
    <cellStyle name="Migliaia 3 2 3 3 3 2 5 2" xfId="13086" xr:uid="{5F046F45-604A-450D-B056-B1D8619A83AB}"/>
    <cellStyle name="Migliaia 3 2 3 3 3 2 5 2 2" xfId="28263" xr:uid="{A4D01AEF-D611-4AAA-A5C0-DBBE62CAA42B}"/>
    <cellStyle name="Migliaia 3 2 3 3 3 2 5 3" xfId="24091" xr:uid="{290BEB3A-1229-4038-8008-CA0FE41F0DE7}"/>
    <cellStyle name="Migliaia 3 2 3 3 3 2 6" xfId="6137" xr:uid="{3EBDDE3C-09A8-422F-A3C7-AA37738687CC}"/>
    <cellStyle name="Migliaia 3 2 3 3 3 2 6 2" xfId="21317" xr:uid="{CABF52DC-C1DD-465B-A96E-159563F465E6}"/>
    <cellStyle name="Migliaia 3 2 3 3 3 2 7" xfId="16631" xr:uid="{202ED083-168A-4377-9202-65F7740B050F}"/>
    <cellStyle name="Migliaia 3 2 3 3 3 3" xfId="2547" xr:uid="{9B164612-5418-4444-9CE8-E06B1467B19A}"/>
    <cellStyle name="Migliaia 3 2 3 3 3 3 2" xfId="10039" xr:uid="{AB63A3AB-B24F-4E54-B06D-5A16161133B6}"/>
    <cellStyle name="Migliaia 3 2 3 3 3 3 2 2" xfId="13698" xr:uid="{B837E6C3-DDB6-4744-B567-A4AEBC6C04C2}"/>
    <cellStyle name="Migliaia 3 2 3 3 3 3 2 2 2" xfId="28875" xr:uid="{7BD16718-832F-4C25-ACFB-64A74767C4FB}"/>
    <cellStyle name="Migliaia 3 2 3 3 3 3 2 3" xfId="25217" xr:uid="{6DD09795-E46B-4031-876E-4859FAFDB05D}"/>
    <cellStyle name="Migliaia 3 2 3 3 3 3 3" xfId="5865" xr:uid="{331CB025-E9CC-4627-8A0A-45944636B151}"/>
    <cellStyle name="Migliaia 3 2 3 3 3 3 3 2" xfId="21045" xr:uid="{7578DB8D-B1F1-4B7B-9649-93307A33D7ED}"/>
    <cellStyle name="Migliaia 3 2 3 3 3 3 4" xfId="17757" xr:uid="{1FC45AFD-7CD7-4AB3-8916-177CC3B09D79}"/>
    <cellStyle name="Migliaia 3 2 3 3 3 4" xfId="3435" xr:uid="{B87A95F1-6840-47DC-B799-75DC8FACF6F5}"/>
    <cellStyle name="Migliaia 3 2 3 3 3 4 2" xfId="10923" xr:uid="{5FB5A5E4-E184-447A-A017-9FFCC17C8B1F}"/>
    <cellStyle name="Migliaia 3 2 3 3 3 4 2 2" xfId="14469" xr:uid="{9D4B405E-5ADC-4C3C-82D0-EA62DD96DF90}"/>
    <cellStyle name="Migliaia 3 2 3 3 3 4 2 2 2" xfId="29646" xr:uid="{BD3F337F-04C1-47E2-A993-B3D94E777750}"/>
    <cellStyle name="Migliaia 3 2 3 3 3 4 2 3" xfId="26101" xr:uid="{6BD002FC-AF16-40A4-A279-99B05C3DD4F1}"/>
    <cellStyle name="Migliaia 3 2 3 3 3 4 3" xfId="6749" xr:uid="{1DAFFDC2-319E-4A02-9252-30670E978087}"/>
    <cellStyle name="Migliaia 3 2 3 3 3 4 3 2" xfId="21929" xr:uid="{8F4C1098-DA72-4377-97CD-2C1BE06829AA}"/>
    <cellStyle name="Migliaia 3 2 3 3 3 4 4" xfId="18641" xr:uid="{386862CC-D56F-4C3C-A35F-FAA210D1F45F}"/>
    <cellStyle name="Migliaia 3 2 3 3 3 5" xfId="4411" xr:uid="{4C4A4CFB-C13F-464B-8476-4BD747B6B438}"/>
    <cellStyle name="Migliaia 3 2 3 3 3 5 2" xfId="11896" xr:uid="{19957917-459E-4128-8618-9BCA30863C34}"/>
    <cellStyle name="Migliaia 3 2 3 3 3 5 2 2" xfId="15442" xr:uid="{05E67573-95A4-487B-BCA1-D9EF6A383F69}"/>
    <cellStyle name="Migliaia 3 2 3 3 3 5 2 2 2" xfId="30619" xr:uid="{29EE96C2-D879-4F2D-A0C8-6BEB89B09452}"/>
    <cellStyle name="Migliaia 3 2 3 3 3 5 2 3" xfId="27074" xr:uid="{5D39573F-CB75-4F7D-9AF8-8AB4044C45F9}"/>
    <cellStyle name="Migliaia 3 2 3 3 3 5 3" xfId="7722" xr:uid="{17728042-8305-4AFE-BC21-F3E6405DA50A}"/>
    <cellStyle name="Migliaia 3 2 3 3 3 5 3 2" xfId="22902" xr:uid="{FC9D5E61-6648-4E72-B3E9-0430CCB8BAD9}"/>
    <cellStyle name="Migliaia 3 2 3 3 3 5 4" xfId="19614" xr:uid="{3F638FBE-8879-4162-9A54-7EEE9D2D3DC5}"/>
    <cellStyle name="Migliaia 3 2 3 3 3 6" xfId="1930" xr:uid="{22B85997-AF38-4AB9-9CE4-2E14DB4BAB7C}"/>
    <cellStyle name="Migliaia 3 2 3 3 3 6 2" xfId="9427" xr:uid="{2CE8DB3F-5C14-40CF-9C4C-7026E4B51550}"/>
    <cellStyle name="Migliaia 3 2 3 3 3 6 2 2" xfId="24605" xr:uid="{469FF28E-84C7-4969-AFA0-B8F17AC711D2}"/>
    <cellStyle name="Migliaia 3 2 3 3 3 6 3" xfId="17145" xr:uid="{478472BF-F06B-4776-9BE5-F8A3A7688592}"/>
    <cellStyle name="Migliaia 3 2 3 3 3 7" xfId="8641" xr:uid="{5948716E-936C-4400-B376-2409B0E1B126}"/>
    <cellStyle name="Migliaia 3 2 3 3 3 7 2" xfId="12814" xr:uid="{19AB8094-FC9A-4133-8292-5E34D816BBEF}"/>
    <cellStyle name="Migliaia 3 2 3 3 3 7 2 2" xfId="27991" xr:uid="{8EB79C9F-1C7E-4E04-B18F-F882764D55E4}"/>
    <cellStyle name="Migliaia 3 2 3 3 3 7 3" xfId="23819" xr:uid="{E367B487-0536-4658-A750-D23142696AA2}"/>
    <cellStyle name="Migliaia 3 2 3 3 3 8" xfId="5253" xr:uid="{2DE03DB1-BD17-46EA-A5D5-1BE58E2F178A}"/>
    <cellStyle name="Migliaia 3 2 3 3 3 8 2" xfId="20433" xr:uid="{C8195222-F63D-40F6-8E10-98DA91FDD87B}"/>
    <cellStyle name="Migliaia 3 2 3 3 3 9" xfId="16359" xr:uid="{6816711F-FF87-4AC5-95D5-74EA56226643}"/>
    <cellStyle name="Migliaia 3 2 3 3 4" xfId="1493" xr:uid="{30F86BE4-685A-4FC0-9720-8FCE59CC1D2D}"/>
    <cellStyle name="Migliaia 3 2 3 3 4 2" xfId="2918" xr:uid="{3D5A31E5-B1C5-4EC4-B2C7-C938DC5DD93B}"/>
    <cellStyle name="Migliaia 3 2 3 3 4 2 2" xfId="10409" xr:uid="{5C962628-2018-4E08-9CA5-0005CE37D637}"/>
    <cellStyle name="Migliaia 3 2 3 3 4 2 2 2" xfId="13955" xr:uid="{A9033534-13D6-46DF-9903-8DBBE504716A}"/>
    <cellStyle name="Migliaia 3 2 3 3 4 2 2 2 2" xfId="29132" xr:uid="{6CE38F8B-C424-4801-950C-C718FFF75A17}"/>
    <cellStyle name="Migliaia 3 2 3 3 4 2 2 3" xfId="25587" xr:uid="{0C555BEA-43E6-4681-B13F-2EAD506F304F}"/>
    <cellStyle name="Migliaia 3 2 3 3 4 2 3" xfId="6235" xr:uid="{D585725D-A165-47DF-9FBA-E4E2CA4FFE39}"/>
    <cellStyle name="Migliaia 3 2 3 3 4 2 3 2" xfId="21415" xr:uid="{7E241FD7-3F87-49E2-800F-1ECA5E7E97DD}"/>
    <cellStyle name="Migliaia 3 2 3 3 4 2 4" xfId="18127" xr:uid="{3D39552A-398A-4B7E-B381-991D1863DFE1}"/>
    <cellStyle name="Migliaia 3 2 3 3 4 3" xfId="3805" xr:uid="{4B9BDEA2-6FC6-4808-9475-17A0B9145046}"/>
    <cellStyle name="Migliaia 3 2 3 3 4 3 2" xfId="11293" xr:uid="{48F34873-FB66-46B5-A5F2-7362378D5A7F}"/>
    <cellStyle name="Migliaia 3 2 3 3 4 3 2 2" xfId="14839" xr:uid="{BE2B994D-3064-482C-9ABE-EFAD62ED13F9}"/>
    <cellStyle name="Migliaia 3 2 3 3 4 3 2 2 2" xfId="30016" xr:uid="{0B22554F-7C56-4227-A28A-62C5D0D57C9C}"/>
    <cellStyle name="Migliaia 3 2 3 3 4 3 2 3" xfId="26471" xr:uid="{AC417C80-1E5E-4540-ACE5-42BCB3711A4D}"/>
    <cellStyle name="Migliaia 3 2 3 3 4 3 3" xfId="7119" xr:uid="{4D4EE015-66F6-47C0-BAA6-02FB0F59F6D8}"/>
    <cellStyle name="Migliaia 3 2 3 3 4 3 3 2" xfId="22299" xr:uid="{96C26E42-984C-451A-9D06-7AEC127FA5E4}"/>
    <cellStyle name="Migliaia 3 2 3 3 4 3 4" xfId="19011" xr:uid="{DB95D2F3-9F44-45F6-809C-37E30D0A533B}"/>
    <cellStyle name="Migliaia 3 2 3 3 4 4" xfId="4412" xr:uid="{AB8CBA10-D0E7-4910-8F68-F578BC44CA9D}"/>
    <cellStyle name="Migliaia 3 2 3 3 4 4 2" xfId="11897" xr:uid="{6D6068B9-9913-4C52-B14A-C9492C23C4F9}"/>
    <cellStyle name="Migliaia 3 2 3 3 4 4 2 2" xfId="15443" xr:uid="{D89A7A09-FEFC-4BDB-8BBF-964880A2808D}"/>
    <cellStyle name="Migliaia 3 2 3 3 4 4 2 2 2" xfId="30620" xr:uid="{5349B7D9-E3CE-47C9-BEB8-EB34DCA820B1}"/>
    <cellStyle name="Migliaia 3 2 3 3 4 4 2 3" xfId="27075" xr:uid="{A5C26F0E-BE17-434D-BA73-C7EC1FB63105}"/>
    <cellStyle name="Migliaia 3 2 3 3 4 4 3" xfId="7723" xr:uid="{07FAA025-D0BE-4490-925D-EAF13B7217C4}"/>
    <cellStyle name="Migliaia 3 2 3 3 4 4 3 2" xfId="22903" xr:uid="{A35529BE-779F-44CC-B301-D7E4D91291F8}"/>
    <cellStyle name="Migliaia 3 2 3 3 4 4 4" xfId="19615" xr:uid="{218F3B05-BD64-47EE-8DE4-842381A9FCF5}"/>
    <cellStyle name="Migliaia 3 2 3 3 4 5" xfId="2028" xr:uid="{82B9F861-A0C4-44B2-A2A7-F3E8051FF8F2}"/>
    <cellStyle name="Migliaia 3 2 3 3 4 5 2" xfId="9525" xr:uid="{9E3E4A83-F79D-477B-AF29-073B74095C02}"/>
    <cellStyle name="Migliaia 3 2 3 3 4 5 2 2" xfId="24703" xr:uid="{D50C508D-0AD4-44F2-8AA6-D071CC3184AC}"/>
    <cellStyle name="Migliaia 3 2 3 3 4 5 3" xfId="17243" xr:uid="{D8EBBC3A-8EC9-48E0-9ED2-01BAC1F64D7F}"/>
    <cellStyle name="Migliaia 3 2 3 3 4 6" xfId="9011" xr:uid="{C8AC703E-3881-474B-A55E-9D06BB69EB09}"/>
    <cellStyle name="Migliaia 3 2 3 3 4 6 2" xfId="13184" xr:uid="{3ACE9734-74D9-44EF-A15F-B91C696AE9BE}"/>
    <cellStyle name="Migliaia 3 2 3 3 4 6 2 2" xfId="28361" xr:uid="{F9D6E3E0-3CF1-42E2-A0B9-2C6B629E0D1D}"/>
    <cellStyle name="Migliaia 3 2 3 3 4 6 3" xfId="24189" xr:uid="{4CA3086A-A1A8-44D1-A7C6-67C5F8F9E15F}"/>
    <cellStyle name="Migliaia 3 2 3 3 4 7" xfId="5351" xr:uid="{953BEE2F-E6A8-4D81-8CDB-45961A2F1C07}"/>
    <cellStyle name="Migliaia 3 2 3 3 4 7 2" xfId="20531" xr:uid="{A48187D7-49C8-456C-9D27-AC9EDE3BDF18}"/>
    <cellStyle name="Migliaia 3 2 3 3 4 8" xfId="16729" xr:uid="{5CF61FCB-BBDF-450D-84C8-935B3C628BBB}"/>
    <cellStyle name="Migliaia 3 2 3 3 5" xfId="1596" xr:uid="{F86CEEDD-7FD7-4D82-9DBA-35A8DA679864}"/>
    <cellStyle name="Migliaia 3 2 3 3 5 2" xfId="3016" xr:uid="{4E753D59-8325-43BA-8DDC-492D03FDDF72}"/>
    <cellStyle name="Migliaia 3 2 3 3 5 2 2" xfId="10507" xr:uid="{A29E61B2-975F-459D-8431-A07AEFFF99D1}"/>
    <cellStyle name="Migliaia 3 2 3 3 5 2 2 2" xfId="14053" xr:uid="{66DE81BC-A330-47C7-8BB7-2BC88116D718}"/>
    <cellStyle name="Migliaia 3 2 3 3 5 2 2 2 2" xfId="29230" xr:uid="{0B2A3C86-52A5-4CB6-9212-BBE6D20A7117}"/>
    <cellStyle name="Migliaia 3 2 3 3 5 2 2 3" xfId="25685" xr:uid="{A6B3D867-C32B-4D24-B7D6-42475711AFC6}"/>
    <cellStyle name="Migliaia 3 2 3 3 5 2 3" xfId="6333" xr:uid="{1BF4757D-68B7-48EF-8B53-7D298BD4D96E}"/>
    <cellStyle name="Migliaia 3 2 3 3 5 2 3 2" xfId="21513" xr:uid="{4294AA13-9676-48E4-AC55-1C0B6557EA08}"/>
    <cellStyle name="Migliaia 3 2 3 3 5 2 4" xfId="18225" xr:uid="{8C5D0A9E-E47D-4B82-9E06-7461BED1AD72}"/>
    <cellStyle name="Migliaia 3 2 3 3 5 3" xfId="3903" xr:uid="{936268C0-8CB3-44C2-B570-A58FF0A34899}"/>
    <cellStyle name="Migliaia 3 2 3 3 5 3 2" xfId="11391" xr:uid="{24B64C1A-AF5E-42CC-B23E-89E52D258AB1}"/>
    <cellStyle name="Migliaia 3 2 3 3 5 3 2 2" xfId="14937" xr:uid="{CDA645C4-2334-45D5-BEB4-79FEBF09772B}"/>
    <cellStyle name="Migliaia 3 2 3 3 5 3 2 2 2" xfId="30114" xr:uid="{19B03F24-F0F1-41B7-87DF-B636E8A79113}"/>
    <cellStyle name="Migliaia 3 2 3 3 5 3 2 3" xfId="26569" xr:uid="{D540FDD4-D310-43C8-9826-83EB1E96B510}"/>
    <cellStyle name="Migliaia 3 2 3 3 5 3 3" xfId="7217" xr:uid="{E0D7BA2A-D09B-4DA3-A3E9-441BEDBB41B5}"/>
    <cellStyle name="Migliaia 3 2 3 3 5 3 3 2" xfId="22397" xr:uid="{34098046-57C5-4F3A-ABFD-285ABD82C59B}"/>
    <cellStyle name="Migliaia 3 2 3 3 5 3 4" xfId="19109" xr:uid="{B23FBE36-0141-4CF4-B8F1-C6B53C1A4193}"/>
    <cellStyle name="Migliaia 3 2 3 3 5 4" xfId="4413" xr:uid="{C9136185-3AAA-47FD-B61A-1EABD6E454AC}"/>
    <cellStyle name="Migliaia 3 2 3 3 5 4 2" xfId="11898" xr:uid="{E2B38C0C-48BB-4462-84B8-FA61B46CAB54}"/>
    <cellStyle name="Migliaia 3 2 3 3 5 4 2 2" xfId="15444" xr:uid="{D3697AFD-DC3C-4729-9931-424EFE030D9C}"/>
    <cellStyle name="Migliaia 3 2 3 3 5 4 2 2 2" xfId="30621" xr:uid="{F64C36E5-CB4E-47DF-8583-D926E61115AE}"/>
    <cellStyle name="Migliaia 3 2 3 3 5 4 2 3" xfId="27076" xr:uid="{1C1E8438-49EC-489C-A709-E9FD8BC4307E}"/>
    <cellStyle name="Migliaia 3 2 3 3 5 4 3" xfId="7724" xr:uid="{A78C7B0D-16D4-410E-AFE5-3759D471B8C2}"/>
    <cellStyle name="Migliaia 3 2 3 3 5 4 3 2" xfId="22904" xr:uid="{A373F99A-3AA9-41E1-99A0-508E08EBA63E}"/>
    <cellStyle name="Migliaia 3 2 3 3 5 4 4" xfId="19616" xr:uid="{E8DDF386-380F-4850-B5B4-823FD8EB3667}"/>
    <cellStyle name="Migliaia 3 2 3 3 5 5" xfId="2126" xr:uid="{6814B4D8-F55C-4595-BA69-2703D7C12D2D}"/>
    <cellStyle name="Migliaia 3 2 3 3 5 5 2" xfId="9623" xr:uid="{8B395E9D-74B4-417F-85EF-5E2724F6CEC9}"/>
    <cellStyle name="Migliaia 3 2 3 3 5 5 2 2" xfId="24801" xr:uid="{C8047F49-DC6B-4A97-9477-94082D9ECB7A}"/>
    <cellStyle name="Migliaia 3 2 3 3 5 5 3" xfId="17341" xr:uid="{241B42C6-E00B-417E-A50A-931C00D1D44B}"/>
    <cellStyle name="Migliaia 3 2 3 3 5 6" xfId="9109" xr:uid="{B7359BFA-540E-4DD1-AE8C-251FB402142C}"/>
    <cellStyle name="Migliaia 3 2 3 3 5 6 2" xfId="13282" xr:uid="{5645C252-B373-4A74-A7EB-40500D2B68BA}"/>
    <cellStyle name="Migliaia 3 2 3 3 5 6 2 2" xfId="28459" xr:uid="{65F5A25F-4CA3-45FE-9EC6-70B9EEC229B9}"/>
    <cellStyle name="Migliaia 3 2 3 3 5 6 3" xfId="24287" xr:uid="{EFBA6BA4-A25B-4103-A97B-314535A995C9}"/>
    <cellStyle name="Migliaia 3 2 3 3 5 7" xfId="5449" xr:uid="{7DD049E1-93D9-4D4A-92DE-91A6F971B7E3}"/>
    <cellStyle name="Migliaia 3 2 3 3 5 7 2" xfId="20629" xr:uid="{6BF98658-8205-4A1F-8EA9-2A8C9EF0C172}"/>
    <cellStyle name="Migliaia 3 2 3 3 5 8" xfId="16827" xr:uid="{95AF33C0-EC15-481D-9B31-6238C1EC8384}"/>
    <cellStyle name="Migliaia 3 2 3 3 6" xfId="1695" xr:uid="{509D9A21-5153-4DCC-84C0-B007E27D5D4F}"/>
    <cellStyle name="Migliaia 3 2 3 3 6 2" xfId="3114" xr:uid="{DACFC5A9-6CB8-40E9-8DE6-0770665E0DF8}"/>
    <cellStyle name="Migliaia 3 2 3 3 6 2 2" xfId="10605" xr:uid="{238623A7-6E09-45C8-B934-62FFC20AC4FC}"/>
    <cellStyle name="Migliaia 3 2 3 3 6 2 2 2" xfId="14151" xr:uid="{F9091718-5BDF-4444-9F6C-7F68A2CB4D84}"/>
    <cellStyle name="Migliaia 3 2 3 3 6 2 2 2 2" xfId="29328" xr:uid="{A540CBB5-754C-4826-9619-3DC243AAC401}"/>
    <cellStyle name="Migliaia 3 2 3 3 6 2 2 3" xfId="25783" xr:uid="{2DB85EC7-C3E9-4556-AEA2-9CC800B4CDBA}"/>
    <cellStyle name="Migliaia 3 2 3 3 6 2 3" xfId="6431" xr:uid="{A7575A94-A451-424C-AC7C-61FA252DC6AF}"/>
    <cellStyle name="Migliaia 3 2 3 3 6 2 3 2" xfId="21611" xr:uid="{0C028597-C7F7-4B44-AA09-E17A24123CD8}"/>
    <cellStyle name="Migliaia 3 2 3 3 6 2 4" xfId="18323" xr:uid="{113AF0EF-4DD3-4F1F-9159-2D772DD3421A}"/>
    <cellStyle name="Migliaia 3 2 3 3 6 3" xfId="4001" xr:uid="{3C6BBC6E-1679-4FE4-933B-2E2CD57956BC}"/>
    <cellStyle name="Migliaia 3 2 3 3 6 3 2" xfId="11489" xr:uid="{3423698E-4DCB-4793-8118-05519EF9D963}"/>
    <cellStyle name="Migliaia 3 2 3 3 6 3 2 2" xfId="15035" xr:uid="{235744E2-6F7D-409F-90FE-56EF5837F5AC}"/>
    <cellStyle name="Migliaia 3 2 3 3 6 3 2 2 2" xfId="30212" xr:uid="{0DE85DA2-8F6C-4947-B50F-D74A2EE5B16D}"/>
    <cellStyle name="Migliaia 3 2 3 3 6 3 2 3" xfId="26667" xr:uid="{F4A12CEC-6115-427D-B106-81440034A049}"/>
    <cellStyle name="Migliaia 3 2 3 3 6 3 3" xfId="7315" xr:uid="{275129E5-069A-4B43-83B5-772650E1B0D0}"/>
    <cellStyle name="Migliaia 3 2 3 3 6 3 3 2" xfId="22495" xr:uid="{C1360EFE-4381-43F0-A332-EAF87445D1AD}"/>
    <cellStyle name="Migliaia 3 2 3 3 6 3 4" xfId="19207" xr:uid="{0A3618E2-46F2-4A3D-8D36-C03FA537D3E5}"/>
    <cellStyle name="Migliaia 3 2 3 3 6 4" xfId="4414" xr:uid="{96AF4851-E4FD-4C2D-989E-3CD54C3541C5}"/>
    <cellStyle name="Migliaia 3 2 3 3 6 4 2" xfId="11899" xr:uid="{59E03E52-0A72-4C44-9B70-B0176E6A76F3}"/>
    <cellStyle name="Migliaia 3 2 3 3 6 4 2 2" xfId="15445" xr:uid="{E0F155A7-C0AB-4C76-B805-FD7A96A15A5E}"/>
    <cellStyle name="Migliaia 3 2 3 3 6 4 2 2 2" xfId="30622" xr:uid="{FC5D2CFF-4E93-4ADA-A49A-F597CB9A9D99}"/>
    <cellStyle name="Migliaia 3 2 3 3 6 4 2 3" xfId="27077" xr:uid="{550A9912-5D06-45B6-9F71-BB394974C58C}"/>
    <cellStyle name="Migliaia 3 2 3 3 6 4 3" xfId="7725" xr:uid="{FD2E2A3E-D94E-4C52-AEC9-15A6DACDEF68}"/>
    <cellStyle name="Migliaia 3 2 3 3 6 4 3 2" xfId="22905" xr:uid="{79509355-01CB-4294-9A07-DA9B4A8ED129}"/>
    <cellStyle name="Migliaia 3 2 3 3 6 4 4" xfId="19617" xr:uid="{794EF0A8-ACF3-4F26-8E87-1C39933171EA}"/>
    <cellStyle name="Migliaia 3 2 3 3 6 5" xfId="2224" xr:uid="{E31046E6-2B8F-4C06-BCEA-5E64A2348E23}"/>
    <cellStyle name="Migliaia 3 2 3 3 6 5 2" xfId="9721" xr:uid="{D34575B5-EACB-4B57-B3FA-A87B0DA51001}"/>
    <cellStyle name="Migliaia 3 2 3 3 6 5 2 2" xfId="24899" xr:uid="{A2B00891-AD13-4463-B77F-A9D84C56F1E3}"/>
    <cellStyle name="Migliaia 3 2 3 3 6 5 3" xfId="17439" xr:uid="{108B023A-FF9A-40DD-8002-DB45DCE6AD48}"/>
    <cellStyle name="Migliaia 3 2 3 3 6 6" xfId="9207" xr:uid="{12A7B145-DEED-410D-8B19-38D1301B67EC}"/>
    <cellStyle name="Migliaia 3 2 3 3 6 6 2" xfId="13380" xr:uid="{0C681FDB-7B12-4F44-B043-FCB2ADB5E7FD}"/>
    <cellStyle name="Migliaia 3 2 3 3 6 6 2 2" xfId="28557" xr:uid="{023E4587-D8BE-4F8F-A962-925E5246178A}"/>
    <cellStyle name="Migliaia 3 2 3 3 6 6 3" xfId="24385" xr:uid="{F450102F-B20A-435F-AD7C-D732BD2B9FAD}"/>
    <cellStyle name="Migliaia 3 2 3 3 6 7" xfId="5547" xr:uid="{7B71632F-0934-4266-8777-E65FE7FDEA0F}"/>
    <cellStyle name="Migliaia 3 2 3 3 6 7 2" xfId="20727" xr:uid="{4C5CC517-500E-405C-B7D9-C339DCA6C6E4}"/>
    <cellStyle name="Migliaia 3 2 3 3 6 8" xfId="16925" xr:uid="{8AFD6235-DCF4-4303-82A1-63F05BBBF9D5}"/>
    <cellStyle name="Migliaia 3 2 3 3 7" xfId="2324" xr:uid="{89482A7E-E1C6-4673-926F-90598D533D85}"/>
    <cellStyle name="Migliaia 3 2 3 3 7 2" xfId="9819" xr:uid="{4FF63807-B9AD-45EF-91A1-46E4906543CB}"/>
    <cellStyle name="Migliaia 3 2 3 3 7 2 2" xfId="13478" xr:uid="{EA0758DD-5ADF-4C58-B35C-022B87B33939}"/>
    <cellStyle name="Migliaia 3 2 3 3 7 2 2 2" xfId="28655" xr:uid="{F6C4D851-132F-4E86-95FA-7B988D7C4C46}"/>
    <cellStyle name="Migliaia 3 2 3 3 7 2 3" xfId="24997" xr:uid="{5B8B143C-E7A4-4620-BB32-F794632A4B91}"/>
    <cellStyle name="Migliaia 3 2 3 3 7 3" xfId="5645" xr:uid="{CC4E9414-0162-4C61-BBE5-CF80AA4A93AF}"/>
    <cellStyle name="Migliaia 3 2 3 3 7 3 2" xfId="20825" xr:uid="{94EBD097-3084-4344-850B-943727FCE2BF}"/>
    <cellStyle name="Migliaia 3 2 3 3 7 4" xfId="17537" xr:uid="{7BCDDF23-FD08-4A7D-978B-DEB9DD238FBB}"/>
    <cellStyle name="Migliaia 3 2 3 3 8" xfId="3214" xr:uid="{D9CD6721-7083-44E0-8CF3-59F3C55D71B3}"/>
    <cellStyle name="Migliaia 3 2 3 3 8 2" xfId="10703" xr:uid="{6549B257-A94B-4DBF-BAFC-52653E84552A}"/>
    <cellStyle name="Migliaia 3 2 3 3 8 2 2" xfId="14249" xr:uid="{FE4BEA6D-C3CB-4B6A-95A2-3656CE929783}"/>
    <cellStyle name="Migliaia 3 2 3 3 8 2 2 2" xfId="29426" xr:uid="{A7DD096A-D290-44BD-AE5A-6998223C899F}"/>
    <cellStyle name="Migliaia 3 2 3 3 8 2 3" xfId="25881" xr:uid="{70EE79D7-2479-4CE7-B4E3-530E622E12C7}"/>
    <cellStyle name="Migliaia 3 2 3 3 8 3" xfId="6529" xr:uid="{0DF23E1B-F02C-4195-AE46-B38154E1DD25}"/>
    <cellStyle name="Migliaia 3 2 3 3 8 3 2" xfId="21709" xr:uid="{9702AB9B-E296-432D-919C-AA85AF8D4FDA}"/>
    <cellStyle name="Migliaia 3 2 3 3 8 4" xfId="18421" xr:uid="{EEAFCB26-09FF-4A92-AA6C-51B194F40EDA}"/>
    <cellStyle name="Migliaia 3 2 3 3 9" xfId="4415" xr:uid="{D4127BA0-E7F5-4585-95A7-9CD7C2D9FE93}"/>
    <cellStyle name="Migliaia 3 2 3 3 9 2" xfId="11900" xr:uid="{99E00973-F494-4FBB-A579-3743C829BD7B}"/>
    <cellStyle name="Migliaia 3 2 3 3 9 2 2" xfId="15446" xr:uid="{096ABB15-75C3-4CD4-9B6A-1053211759CA}"/>
    <cellStyle name="Migliaia 3 2 3 3 9 2 2 2" xfId="30623" xr:uid="{094E813F-08B1-486B-B9F6-70E9049F8B73}"/>
    <cellStyle name="Migliaia 3 2 3 3 9 2 3" xfId="27078" xr:uid="{AF10C894-6E7C-4AB1-A536-4D32F1422C39}"/>
    <cellStyle name="Migliaia 3 2 3 3 9 3" xfId="7726" xr:uid="{5E365A67-F262-4966-B9CB-3AFA4BFAFBCA}"/>
    <cellStyle name="Migliaia 3 2 3 3 9 3 2" xfId="22906" xr:uid="{38A0176A-656C-4482-A861-D4636EEA27A7}"/>
    <cellStyle name="Migliaia 3 2 3 3 9 4" xfId="19618" xr:uid="{0602B3EC-D75A-411D-A87C-160B2BEE8C47}"/>
    <cellStyle name="Migliaia 3 2 3 4" xfId="882" xr:uid="{E0ADA0EE-4CDB-4E8B-9914-26C01232E6AC}"/>
    <cellStyle name="Migliaia 3 2 3 4 2" xfId="2400" xr:uid="{043C8497-5BF1-4011-958B-37B312CE2BEE}"/>
    <cellStyle name="Migliaia 3 2 3 4 2 2" xfId="9892" xr:uid="{ED05674B-F311-466A-A75B-5557D73F4F1F}"/>
    <cellStyle name="Migliaia 3 2 3 4 2 2 2" xfId="13551" xr:uid="{96C39375-A600-42FA-8370-A8FCA75AE229}"/>
    <cellStyle name="Migliaia 3 2 3 4 2 2 2 2" xfId="28728" xr:uid="{CAEBA04A-CD61-4737-93DF-6304FFB1F507}"/>
    <cellStyle name="Migliaia 3 2 3 4 2 2 3" xfId="25070" xr:uid="{C2B4977A-A4E9-4EFA-9A26-89571F6D5AC6}"/>
    <cellStyle name="Migliaia 3 2 3 4 2 3" xfId="5718" xr:uid="{3F6345A3-DE33-430A-AE2A-87DBBC168DB2}"/>
    <cellStyle name="Migliaia 3 2 3 4 2 3 2" xfId="20898" xr:uid="{E65E9732-5BAD-4D1D-BF97-B151C168DEC8}"/>
    <cellStyle name="Migliaia 3 2 3 4 2 4" xfId="17610" xr:uid="{66766AE6-91BD-4AE2-828F-0F70B15AF837}"/>
    <cellStyle name="Migliaia 3 2 3 4 3" xfId="3288" xr:uid="{B73E7DF6-F9E8-461A-AC16-0392EA7B3FCE}"/>
    <cellStyle name="Migliaia 3 2 3 4 3 2" xfId="10776" xr:uid="{B84D952B-DFF5-4A78-959A-A44EDE97B9A3}"/>
    <cellStyle name="Migliaia 3 2 3 4 3 2 2" xfId="14322" xr:uid="{D4BE73DD-327B-4C51-BD34-C1710F49B3DB}"/>
    <cellStyle name="Migliaia 3 2 3 4 3 2 2 2" xfId="29499" xr:uid="{27B3EF56-1970-4156-AECF-F65567BA02A5}"/>
    <cellStyle name="Migliaia 3 2 3 4 3 2 3" xfId="25954" xr:uid="{39235EEF-B81E-4E27-A36C-8359F97EEAD7}"/>
    <cellStyle name="Migliaia 3 2 3 4 3 3" xfId="6602" xr:uid="{7DF1B1CB-E5D7-4D88-9190-86AE13AC553A}"/>
    <cellStyle name="Migliaia 3 2 3 4 3 3 2" xfId="21782" xr:uid="{B1420B7C-2D79-462A-9363-DD237420E028}"/>
    <cellStyle name="Migliaia 3 2 3 4 3 4" xfId="18494" xr:uid="{7C81FFD9-E24F-444A-B54C-2726D396E406}"/>
    <cellStyle name="Migliaia 3 2 3 4 4" xfId="4416" xr:uid="{195E8398-3006-4E97-88CB-313AF6E2EB95}"/>
    <cellStyle name="Migliaia 3 2 3 4 4 2" xfId="11901" xr:uid="{E6258C66-9A8D-498B-B644-07539352E5ED}"/>
    <cellStyle name="Migliaia 3 2 3 4 4 2 2" xfId="15447" xr:uid="{5EDC3E00-7F8D-4D85-AAA7-75B3932BC579}"/>
    <cellStyle name="Migliaia 3 2 3 4 4 2 2 2" xfId="30624" xr:uid="{EDD655B7-4BD5-4B32-8149-DE63364E6AAA}"/>
    <cellStyle name="Migliaia 3 2 3 4 4 2 3" xfId="27079" xr:uid="{614802A1-B93C-4A5B-89E3-1DFDBBDD79CE}"/>
    <cellStyle name="Migliaia 3 2 3 4 4 3" xfId="7727" xr:uid="{821987EB-1BB2-4868-984F-C36FD5C6E1EC}"/>
    <cellStyle name="Migliaia 3 2 3 4 4 3 2" xfId="22907" xr:uid="{8CB89BA7-6119-4C9E-81F7-7F0F974D6982}"/>
    <cellStyle name="Migliaia 3 2 3 4 4 4" xfId="19619" xr:uid="{1453D2C2-F541-4327-A0CC-D4919563DB43}"/>
    <cellStyle name="Migliaia 3 2 3 4 5" xfId="8494" xr:uid="{C6385E10-96B0-4A66-98D1-C05428690C2E}"/>
    <cellStyle name="Migliaia 3 2 3 4 5 2" xfId="12667" xr:uid="{DE589366-ED5E-4A27-8A3A-3EF43DDABCD2}"/>
    <cellStyle name="Migliaia 3 2 3 4 5 2 2" xfId="27844" xr:uid="{FCB73919-580C-4E1A-BC91-2AC8C2F54145}"/>
    <cellStyle name="Migliaia 3 2 3 4 5 3" xfId="23672" xr:uid="{0B473AE9-330C-488C-940E-423CF5EDAA96}"/>
    <cellStyle name="Migliaia 3 2 3 4 6" xfId="16212" xr:uid="{AE0F8794-6EFD-431E-B419-41CB65D0EFA9}"/>
    <cellStyle name="Migliaia 3 2 3 4 7" xfId="31652" xr:uid="{6F7D87E4-1848-4431-8CEC-23D09CD71224}"/>
    <cellStyle name="Migliaia 3 2 3 5" xfId="985" xr:uid="{8C0C96A5-5492-45B0-8DD2-FC535D321517}"/>
    <cellStyle name="Migliaia 3 2 3 5 2" xfId="2498" xr:uid="{E2EEE2C9-1D05-48B3-B769-9D60DEC6FF04}"/>
    <cellStyle name="Migliaia 3 2 3 5 2 2" xfId="9990" xr:uid="{BAD9DD3B-0AEF-415B-9DBA-9B38D4B0F30B}"/>
    <cellStyle name="Migliaia 3 2 3 5 2 2 2" xfId="13649" xr:uid="{5A2ED2B3-ADDC-4133-8926-2B3A307561BD}"/>
    <cellStyle name="Migliaia 3 2 3 5 2 2 2 2" xfId="28826" xr:uid="{7409ED9C-2F2C-4012-B0E8-952E7D3CAD43}"/>
    <cellStyle name="Migliaia 3 2 3 5 2 2 3" xfId="25168" xr:uid="{DC03E4D4-6B04-4A87-B820-5FD8C1578098}"/>
    <cellStyle name="Migliaia 3 2 3 5 2 3" xfId="5816" xr:uid="{4787DFA7-063C-4F1E-B22E-EFDAB39BA352}"/>
    <cellStyle name="Migliaia 3 2 3 5 2 3 2" xfId="20996" xr:uid="{6F7C8133-57CC-4260-A996-776DCD2E6969}"/>
    <cellStyle name="Migliaia 3 2 3 5 2 4" xfId="17708" xr:uid="{922201F7-5F98-4376-BC66-5776CFEFCEB2}"/>
    <cellStyle name="Migliaia 3 2 3 5 3" xfId="3386" xr:uid="{CA05AC9B-5943-45DD-B292-6D10D2CB82F3}"/>
    <cellStyle name="Migliaia 3 2 3 5 3 2" xfId="10874" xr:uid="{F4051B1A-435A-4482-8E87-BF3DCCC18476}"/>
    <cellStyle name="Migliaia 3 2 3 5 3 2 2" xfId="14420" xr:uid="{06BD8AD8-1E46-4FE1-9095-3F1C752DDD9D}"/>
    <cellStyle name="Migliaia 3 2 3 5 3 2 2 2" xfId="29597" xr:uid="{006ADB32-73D6-46BC-A781-ADF4303186AB}"/>
    <cellStyle name="Migliaia 3 2 3 5 3 2 3" xfId="26052" xr:uid="{66A9A2EE-8729-4E30-B003-6E3942A791A2}"/>
    <cellStyle name="Migliaia 3 2 3 5 3 3" xfId="6700" xr:uid="{A9AA0843-388B-41E5-94D7-E3D79DF058E7}"/>
    <cellStyle name="Migliaia 3 2 3 5 3 3 2" xfId="21880" xr:uid="{12F45B80-AF14-44B7-9223-122B3F58FEF0}"/>
    <cellStyle name="Migliaia 3 2 3 5 3 4" xfId="18592" xr:uid="{2E1E9334-D66C-4033-897E-269C420FDB6E}"/>
    <cellStyle name="Migliaia 3 2 3 5 4" xfId="4417" xr:uid="{1A3F998E-8EF4-4A6D-8AC0-9F5139CF8CCA}"/>
    <cellStyle name="Migliaia 3 2 3 5 4 2" xfId="11902" xr:uid="{43C22E27-647D-4260-8891-FE80FCF62A1F}"/>
    <cellStyle name="Migliaia 3 2 3 5 4 2 2" xfId="15448" xr:uid="{D35C4B1F-EA6C-4408-93D7-9C2F4321D70D}"/>
    <cellStyle name="Migliaia 3 2 3 5 4 2 2 2" xfId="30625" xr:uid="{A6DFC06F-1D4D-4BE5-9D63-AD32EB2DCAA5}"/>
    <cellStyle name="Migliaia 3 2 3 5 4 2 3" xfId="27080" xr:uid="{883266B6-D141-4CB9-8EC9-450EF77E9F5F}"/>
    <cellStyle name="Migliaia 3 2 3 5 4 3" xfId="7728" xr:uid="{9FAE712B-3A47-43F8-806B-F9F8A8A6CF59}"/>
    <cellStyle name="Migliaia 3 2 3 5 4 3 2" xfId="22908" xr:uid="{F2BE76B0-0A09-45F4-B08E-68271AC9FA24}"/>
    <cellStyle name="Migliaia 3 2 3 5 4 4" xfId="19620" xr:uid="{A14F5E14-26EC-422A-8E58-234F7AFE2732}"/>
    <cellStyle name="Migliaia 3 2 3 5 5" xfId="8592" xr:uid="{D6C3FFD3-0561-4C6F-824C-33B2EE84D0AE}"/>
    <cellStyle name="Migliaia 3 2 3 5 5 2" xfId="12765" xr:uid="{5BCBCE09-4DB0-487F-84F2-EA6F58E00A8C}"/>
    <cellStyle name="Migliaia 3 2 3 5 5 2 2" xfId="27942" xr:uid="{0A23EF73-FAD1-44E2-8424-F3AF1ED1A061}"/>
    <cellStyle name="Migliaia 3 2 3 5 5 3" xfId="23770" xr:uid="{4AD15AC9-F607-44E9-8CD7-A51B1CA58F42}"/>
    <cellStyle name="Migliaia 3 2 3 5 6" xfId="16310" xr:uid="{CB1AE8DC-EEDC-423C-94C8-66914773B11F}"/>
    <cellStyle name="Migliaia 3 2 3 5 7" xfId="31530" xr:uid="{5A624114-8A5F-4131-84B6-81C5B5797CF4}"/>
    <cellStyle name="Migliaia 3 2 3 6" xfId="1168" xr:uid="{D9175110-6285-4088-9721-9C172AA81371}"/>
    <cellStyle name="Migliaia 3 2 3 6 2" xfId="2601" xr:uid="{B036B322-56A9-467F-9AAB-D1AF72E8F111}"/>
    <cellStyle name="Migliaia 3 2 3 6 2 2" xfId="10092" xr:uid="{DA9FC7E0-B1C3-4414-8DFC-C3D8FABEDCD6}"/>
    <cellStyle name="Migliaia 3 2 3 6 2 2 2" xfId="13750" xr:uid="{8F9D0489-9323-478D-8066-31DE192052FA}"/>
    <cellStyle name="Migliaia 3 2 3 6 2 2 2 2" xfId="28927" xr:uid="{B201A6CF-DED5-435D-8244-CA9BA21427DD}"/>
    <cellStyle name="Migliaia 3 2 3 6 2 2 3" xfId="25270" xr:uid="{DD9BA9B6-FECF-4516-B5A6-EB3CE3BAC4BA}"/>
    <cellStyle name="Migliaia 3 2 3 6 2 3" xfId="5918" xr:uid="{531D23D5-C9E7-4026-AE1A-E8DA1563E25A}"/>
    <cellStyle name="Migliaia 3 2 3 6 2 3 2" xfId="21098" xr:uid="{B3C32FB6-329D-4D18-BE4F-B1260B430127}"/>
    <cellStyle name="Migliaia 3 2 3 6 2 4" xfId="17810" xr:uid="{135C7AFD-4C80-4E84-91C1-D8846496B629}"/>
    <cellStyle name="Migliaia 3 2 3 6 3" xfId="3488" xr:uid="{3E62834F-6063-43F4-A6F0-3F42444684F5}"/>
    <cellStyle name="Migliaia 3 2 3 6 3 2" xfId="10976" xr:uid="{2555E71F-44F5-41DE-A2FB-E0C437F2850E}"/>
    <cellStyle name="Migliaia 3 2 3 6 3 2 2" xfId="14522" xr:uid="{CBD3A457-CF8D-4E2A-AADA-3714484F1930}"/>
    <cellStyle name="Migliaia 3 2 3 6 3 2 2 2" xfId="29699" xr:uid="{5D748BF2-7A2E-402B-B9AB-7AF960253CCF}"/>
    <cellStyle name="Migliaia 3 2 3 6 3 2 3" xfId="26154" xr:uid="{631EC9C1-B9BA-4EA1-A6B1-BF43971F4599}"/>
    <cellStyle name="Migliaia 3 2 3 6 3 3" xfId="6802" xr:uid="{F06574A4-317F-4C76-9FEA-82B1F885B80D}"/>
    <cellStyle name="Migliaia 3 2 3 6 3 3 2" xfId="21982" xr:uid="{6CBC3864-7797-411C-AB31-5C1E5F65633B}"/>
    <cellStyle name="Migliaia 3 2 3 6 3 4" xfId="18694" xr:uid="{BE3A2321-96C0-4AAF-B58C-BC0E4864C17A}"/>
    <cellStyle name="Migliaia 3 2 3 6 4" xfId="4418" xr:uid="{2B514AD0-EB81-4D24-9714-D64907DCAFCC}"/>
    <cellStyle name="Migliaia 3 2 3 6 4 2" xfId="11903" xr:uid="{BB5E2CAC-8DB6-4500-A68F-54F2D85131E6}"/>
    <cellStyle name="Migliaia 3 2 3 6 4 2 2" xfId="15449" xr:uid="{2DF0DD86-BA71-4437-A4CF-4118ED8696AD}"/>
    <cellStyle name="Migliaia 3 2 3 6 4 2 2 2" xfId="30626" xr:uid="{9C0E7EC3-11FE-45B8-A4C6-7EAAD24C08CC}"/>
    <cellStyle name="Migliaia 3 2 3 6 4 2 3" xfId="27081" xr:uid="{6BECE7CA-2D51-4F47-9C2F-8875B77816CC}"/>
    <cellStyle name="Migliaia 3 2 3 6 4 3" xfId="7729" xr:uid="{80038439-F539-48AE-B31F-75410D10EE81}"/>
    <cellStyle name="Migliaia 3 2 3 6 4 3 2" xfId="22909" xr:uid="{03AD3285-1828-4EA7-825A-CAEC4214343F}"/>
    <cellStyle name="Migliaia 3 2 3 6 4 4" xfId="19621" xr:uid="{1A422B09-9D79-497D-B743-FA0FEC53C439}"/>
    <cellStyle name="Migliaia 3 2 3 6 5" xfId="8694" xr:uid="{58ED6053-91F0-4C56-8EF2-1FD599BC0443}"/>
    <cellStyle name="Migliaia 3 2 3 6 5 2" xfId="12867" xr:uid="{3A3B8109-2C96-4834-9682-0F313E1C01C5}"/>
    <cellStyle name="Migliaia 3 2 3 6 5 2 2" xfId="28044" xr:uid="{618A7586-DB32-4CB8-B121-51B0E820710C}"/>
    <cellStyle name="Migliaia 3 2 3 6 5 3" xfId="23872" xr:uid="{85866053-80B8-4D9E-8053-64E83567F1C5}"/>
    <cellStyle name="Migliaia 3 2 3 6 6" xfId="16412" xr:uid="{EAB7A09E-7336-4EC4-8B6C-D0DAD9D839E3}"/>
    <cellStyle name="Migliaia 3 2 3 7" xfId="1194" xr:uid="{E42887F1-85DD-4624-A9BB-8CDC5EEA214B}"/>
    <cellStyle name="Migliaia 3 2 3 7 2" xfId="2625" xr:uid="{84E64603-B49B-43BB-B142-C10F07487C78}"/>
    <cellStyle name="Migliaia 3 2 3 7 2 2" xfId="10116" xr:uid="{C2A80E14-17A4-471F-B023-0A4BF72F4B01}"/>
    <cellStyle name="Migliaia 3 2 3 7 2 2 2" xfId="13774" xr:uid="{53A30BE1-B70E-43F4-92A6-47F379E8C090}"/>
    <cellStyle name="Migliaia 3 2 3 7 2 2 2 2" xfId="28951" xr:uid="{6293B93D-2541-403C-85BB-D3814F232673}"/>
    <cellStyle name="Migliaia 3 2 3 7 2 2 3" xfId="25294" xr:uid="{E7FEC66F-AA65-4E71-915C-417E6F9EFBF6}"/>
    <cellStyle name="Migliaia 3 2 3 7 2 3" xfId="5942" xr:uid="{7C524F44-A65E-4CB2-AFD5-F8FDF9F32CAE}"/>
    <cellStyle name="Migliaia 3 2 3 7 2 3 2" xfId="21122" xr:uid="{95BF03B8-B412-49BB-AB99-B921E5967FA7}"/>
    <cellStyle name="Migliaia 3 2 3 7 2 4" xfId="17834" xr:uid="{1DF5D767-4826-4DEC-AA14-51C95F15BAF7}"/>
    <cellStyle name="Migliaia 3 2 3 7 3" xfId="3512" xr:uid="{00B2A5DA-760A-40A2-9DCA-68949FDAA6BB}"/>
    <cellStyle name="Migliaia 3 2 3 7 3 2" xfId="11000" xr:uid="{0224D049-40B1-4020-A53C-2C5BCF79EA5A}"/>
    <cellStyle name="Migliaia 3 2 3 7 3 2 2" xfId="14546" xr:uid="{0E4DE170-B670-48E0-8E02-757CDDE5A7E5}"/>
    <cellStyle name="Migliaia 3 2 3 7 3 2 2 2" xfId="29723" xr:uid="{D9EEC66F-1DB0-4568-A4D9-35DB18BF7DEE}"/>
    <cellStyle name="Migliaia 3 2 3 7 3 2 3" xfId="26178" xr:uid="{34B897E3-09E4-43E6-9B1E-D4A81028FDC8}"/>
    <cellStyle name="Migliaia 3 2 3 7 3 3" xfId="6826" xr:uid="{A1BEFBCF-00EC-42EE-AE68-216A925B68D0}"/>
    <cellStyle name="Migliaia 3 2 3 7 3 3 2" xfId="22006" xr:uid="{E8F4B348-0788-4D88-8951-5102211F1487}"/>
    <cellStyle name="Migliaia 3 2 3 7 3 4" xfId="18718" xr:uid="{687EDF44-BA12-4BBE-8F34-9275B4114127}"/>
    <cellStyle name="Migliaia 3 2 3 7 4" xfId="4419" xr:uid="{8E43880A-5C3D-45E3-B413-CAE2CDADEA0D}"/>
    <cellStyle name="Migliaia 3 2 3 7 4 2" xfId="11904" xr:uid="{BFD40732-2B3E-43B9-819A-362B7CC3E429}"/>
    <cellStyle name="Migliaia 3 2 3 7 4 2 2" xfId="15450" xr:uid="{16821D03-DCEE-4368-B0BD-CB2CA08B980B}"/>
    <cellStyle name="Migliaia 3 2 3 7 4 2 2 2" xfId="30627" xr:uid="{E5400516-9F46-4912-AFBF-0F4EB23245BD}"/>
    <cellStyle name="Migliaia 3 2 3 7 4 2 3" xfId="27082" xr:uid="{2EE15B57-D04A-409B-94C3-831F2EDB4DAA}"/>
    <cellStyle name="Migliaia 3 2 3 7 4 3" xfId="7730" xr:uid="{5D15C08A-F73C-429C-B132-DE1A02B72B94}"/>
    <cellStyle name="Migliaia 3 2 3 7 4 3 2" xfId="22910" xr:uid="{E00D32FA-8444-4E9E-B431-DDD256AB70D5}"/>
    <cellStyle name="Migliaia 3 2 3 7 4 4" xfId="19622" xr:uid="{80B36C95-B935-4CBE-8FF1-CBA93CCA5D56}"/>
    <cellStyle name="Migliaia 3 2 3 7 5" xfId="8718" xr:uid="{8A02265D-7B3B-4797-84B8-1939A74F58C1}"/>
    <cellStyle name="Migliaia 3 2 3 7 5 2" xfId="12891" xr:uid="{14E0E452-B92C-4EC7-8CAA-5D512E624D64}"/>
    <cellStyle name="Migliaia 3 2 3 7 5 2 2" xfId="28068" xr:uid="{E9FBFB07-2902-4303-85EE-82CBF974F9F3}"/>
    <cellStyle name="Migliaia 3 2 3 7 5 3" xfId="23896" xr:uid="{7E79B1E0-8611-4BF9-AB95-20627A92A14B}"/>
    <cellStyle name="Migliaia 3 2 3 7 6" xfId="16436" xr:uid="{528EAC25-7C8D-4E11-BC36-25050AEC202C}"/>
    <cellStyle name="Migliaia 3 2 3 8" xfId="1243" xr:uid="{A2D87289-45F0-4398-86A0-3E703BBDACA7}"/>
    <cellStyle name="Migliaia 3 2 3 8 10" xfId="31302" xr:uid="{4800A9CA-D018-41ED-A95C-4639584B2760}"/>
    <cellStyle name="Migliaia 3 2 3 8 2" xfId="2673" xr:uid="{09787C4F-0FE2-436A-AAC7-090DBA773D48}"/>
    <cellStyle name="Migliaia 3 2 3 8 2 2" xfId="10164" xr:uid="{8C56DAD0-AD83-4DA7-BA95-32D0A59BCA3C}"/>
    <cellStyle name="Migliaia 3 2 3 8 2 2 2" xfId="13808" xr:uid="{6634CFC0-4948-4894-86BA-D14FBF0CEEAD}"/>
    <cellStyle name="Migliaia 3 2 3 8 2 2 2 2" xfId="28985" xr:uid="{6FDA7DF3-296B-484E-9693-21C60116A4EC}"/>
    <cellStyle name="Migliaia 3 2 3 8 2 2 3" xfId="25342" xr:uid="{5A23146E-D866-4C0D-890A-A81AD3C5AAE0}"/>
    <cellStyle name="Migliaia 3 2 3 8 2 3" xfId="5990" xr:uid="{C4D7FA7A-3EE7-4B44-AF76-AB8773569066}"/>
    <cellStyle name="Migliaia 3 2 3 8 2 3 2" xfId="21170" xr:uid="{BD429C5A-2A40-4F9E-92DF-5EBB158C9749}"/>
    <cellStyle name="Migliaia 3 2 3 8 2 4" xfId="17882" xr:uid="{0B51121F-4A2A-420D-B1DB-0580526803AD}"/>
    <cellStyle name="Migliaia 3 2 3 8 3" xfId="3560" xr:uid="{317C5FB8-EF64-4110-BB9A-6A94B544110C}"/>
    <cellStyle name="Migliaia 3 2 3 8 3 2" xfId="11048" xr:uid="{C41A55A7-A6C5-43FE-BB72-E953E934E4FB}"/>
    <cellStyle name="Migliaia 3 2 3 8 3 2 2" xfId="14594" xr:uid="{222EB457-34A6-457B-B2B0-61471A4B24FC}"/>
    <cellStyle name="Migliaia 3 2 3 8 3 2 2 2" xfId="29771" xr:uid="{E1CD4D23-DFBB-40BB-9386-A3BE62328277}"/>
    <cellStyle name="Migliaia 3 2 3 8 3 2 3" xfId="26226" xr:uid="{01E2ABF2-FC2A-407B-803B-22A3F5AAE935}"/>
    <cellStyle name="Migliaia 3 2 3 8 3 3" xfId="6874" xr:uid="{53EDA6A3-F616-4A7D-9AE8-40B191BF7D44}"/>
    <cellStyle name="Migliaia 3 2 3 8 3 3 2" xfId="22054" xr:uid="{86750401-ED91-4C3D-94ED-AE9530D5EEDD}"/>
    <cellStyle name="Migliaia 3 2 3 8 3 4" xfId="18766" xr:uid="{3DC5A35C-85B3-4481-B360-8954BB50254D}"/>
    <cellStyle name="Migliaia 3 2 3 8 4" xfId="4420" xr:uid="{2343D0B9-9C60-4FBC-9761-32B9B69E3AD9}"/>
    <cellStyle name="Migliaia 3 2 3 8 4 2" xfId="11905" xr:uid="{64271CB4-C5B5-4A33-92F1-E17EE7AF026C}"/>
    <cellStyle name="Migliaia 3 2 3 8 4 2 2" xfId="15451" xr:uid="{D5224F5F-6494-4030-8A0E-734929DD6E71}"/>
    <cellStyle name="Migliaia 3 2 3 8 4 2 2 2" xfId="30628" xr:uid="{467E44CC-738E-418C-842D-8CB90ECDA50C}"/>
    <cellStyle name="Migliaia 3 2 3 8 4 2 3" xfId="27083" xr:uid="{072F97B9-8669-4F36-BE8D-D91EF49C63F7}"/>
    <cellStyle name="Migliaia 3 2 3 8 4 3" xfId="7731" xr:uid="{97D8818A-8A76-4B77-91BA-45A3C507F394}"/>
    <cellStyle name="Migliaia 3 2 3 8 4 3 2" xfId="22911" xr:uid="{87B86234-4603-47BD-B3A3-CB0FF2C2D94D}"/>
    <cellStyle name="Migliaia 3 2 3 8 4 4" xfId="19623" xr:uid="{D3341F05-1F74-4E6A-B111-FB67770AB175}"/>
    <cellStyle name="Migliaia 3 2 3 8 5" xfId="4962" xr:uid="{64626021-9C3D-41CE-A4BB-E579B1BE8E4F}"/>
    <cellStyle name="Migliaia 3 2 3 8 5 2" xfId="12446" xr:uid="{16E5579A-9508-48AA-972D-B2783C77F2C9}"/>
    <cellStyle name="Migliaia 3 2 3 8 5 2 2" xfId="15992" xr:uid="{9E660661-9988-46F5-A486-EE05B8109026}"/>
    <cellStyle name="Migliaia 3 2 3 8 5 2 2 2" xfId="31169" xr:uid="{E0C9BE1B-75A2-4440-8DE6-DD16A700EEF1}"/>
    <cellStyle name="Migliaia 3 2 3 8 5 2 3" xfId="27624" xr:uid="{AEE66B01-F738-4315-8621-9FC6B3D81E0A}"/>
    <cellStyle name="Migliaia 3 2 3 8 5 3" xfId="8272" xr:uid="{80FF3A15-02B0-4F82-84B2-73AC523AB832}"/>
    <cellStyle name="Migliaia 3 2 3 8 5 3 2" xfId="23452" xr:uid="{4ACBDB48-03F2-461D-BDBC-34921B699EBF}"/>
    <cellStyle name="Migliaia 3 2 3 8 5 4" xfId="20164" xr:uid="{658E4171-1611-4137-A810-5A834BEC04A0}"/>
    <cellStyle name="Migliaia 3 2 3 8 6" xfId="1783" xr:uid="{BC318A5F-CF8B-4CF1-A3DD-1DEE516D44A9}"/>
    <cellStyle name="Migliaia 3 2 3 8 6 2" xfId="9280" xr:uid="{8ACFABF4-1EB2-48BE-9A4A-4F94AFF1AD6D}"/>
    <cellStyle name="Migliaia 3 2 3 8 6 2 2" xfId="24458" xr:uid="{14766330-5AE0-40A7-BD6C-E1CFE63EBA32}"/>
    <cellStyle name="Migliaia 3 2 3 8 6 3" xfId="16998" xr:uid="{AC0A7667-C474-4EFB-8CBB-5E5A734130FE}"/>
    <cellStyle name="Migliaia 3 2 3 8 7" xfId="8766" xr:uid="{AA0AB6E1-26C9-4B2F-9810-BDFACDCCA7D1}"/>
    <cellStyle name="Migliaia 3 2 3 8 7 2" xfId="12939" xr:uid="{8B28BB8D-F833-4D58-AAC3-0F72CD5957B3}"/>
    <cellStyle name="Migliaia 3 2 3 8 7 2 2" xfId="28116" xr:uid="{E6B8CCA7-BA2F-45B4-9E8F-287F30B7E5A1}"/>
    <cellStyle name="Migliaia 3 2 3 8 7 3" xfId="23944" xr:uid="{501FE6AB-CC50-41D3-9FB1-FC0F4D649D3C}"/>
    <cellStyle name="Migliaia 3 2 3 8 8" xfId="5106" xr:uid="{05B50D4B-A7E8-4724-9060-9B40DBFEAECA}"/>
    <cellStyle name="Migliaia 3 2 3 8 8 2" xfId="20286" xr:uid="{F521AA0D-4622-4DF7-8F8E-A547F43546B7}"/>
    <cellStyle name="Migliaia 3 2 3 8 9" xfId="16484" xr:uid="{0F86B7AD-1E7D-491F-838C-A4601221829F}"/>
    <cellStyle name="Migliaia 3 2 3 9" xfId="1345" xr:uid="{A8506B98-7CCB-4864-9317-A08F1847F13E}"/>
    <cellStyle name="Migliaia 3 2 3 9 2" xfId="2771" xr:uid="{8A5B1A0A-BF2C-41FF-829A-D24C416AAC4A}"/>
    <cellStyle name="Migliaia 3 2 3 9 2 2" xfId="10262" xr:uid="{17205183-435D-4A40-BEFB-6FDF3ADE778B}"/>
    <cellStyle name="Migliaia 3 2 3 9 2 2 2" xfId="13857" xr:uid="{F4A1644C-ECE9-4F27-A0C2-77D352D4FF1C}"/>
    <cellStyle name="Migliaia 3 2 3 9 2 2 2 2" xfId="29034" xr:uid="{4B766122-4FA6-4B32-B3A9-E84F93C2DE95}"/>
    <cellStyle name="Migliaia 3 2 3 9 2 2 3" xfId="25440" xr:uid="{84CBA24E-F369-40E9-AA35-1689E3B89D60}"/>
    <cellStyle name="Migliaia 3 2 3 9 2 3" xfId="6088" xr:uid="{6324989B-236E-4496-AE17-78B6FB1B1FC6}"/>
    <cellStyle name="Migliaia 3 2 3 9 2 3 2" xfId="21268" xr:uid="{4909BA29-515B-41B0-886C-5C066E1D842F}"/>
    <cellStyle name="Migliaia 3 2 3 9 2 4" xfId="17980" xr:uid="{23FB9D36-D97B-4EB3-BC3A-A03480CEF4AE}"/>
    <cellStyle name="Migliaia 3 2 3 9 3" xfId="3658" xr:uid="{C6BBAEDA-35E6-446A-96F3-F88B367643A8}"/>
    <cellStyle name="Migliaia 3 2 3 9 3 2" xfId="11146" xr:uid="{5B9742D4-A202-413C-9F7A-9228CD3CA32C}"/>
    <cellStyle name="Migliaia 3 2 3 9 3 2 2" xfId="14692" xr:uid="{2CCFCB14-9E31-4836-8A61-687F4FBFC66A}"/>
    <cellStyle name="Migliaia 3 2 3 9 3 2 2 2" xfId="29869" xr:uid="{21246763-EC2D-42B4-9AE0-1F7AC725BF68}"/>
    <cellStyle name="Migliaia 3 2 3 9 3 2 3" xfId="26324" xr:uid="{2E63E94D-4E86-4167-B8A4-EEF55CDA0F1A}"/>
    <cellStyle name="Migliaia 3 2 3 9 3 3" xfId="6972" xr:uid="{3F965108-01C9-4347-AD8D-670D13DC1600}"/>
    <cellStyle name="Migliaia 3 2 3 9 3 3 2" xfId="22152" xr:uid="{280E0513-530A-4BFB-AB66-17248B51718E}"/>
    <cellStyle name="Migliaia 3 2 3 9 3 4" xfId="18864" xr:uid="{7747B198-BF86-4F7D-A23D-F70A8353D552}"/>
    <cellStyle name="Migliaia 3 2 3 9 4" xfId="4421" xr:uid="{2B23AD19-6ADB-4A00-A672-CDA2CD7B5AB5}"/>
    <cellStyle name="Migliaia 3 2 3 9 4 2" xfId="11906" xr:uid="{D6812CC4-B74F-40C9-A051-6BC434653356}"/>
    <cellStyle name="Migliaia 3 2 3 9 4 2 2" xfId="15452" xr:uid="{A451BA10-A53C-48CD-B877-154BB8AF4397}"/>
    <cellStyle name="Migliaia 3 2 3 9 4 2 2 2" xfId="30629" xr:uid="{576BBE59-8C4F-4DED-91D5-DC703F5E727A}"/>
    <cellStyle name="Migliaia 3 2 3 9 4 2 3" xfId="27084" xr:uid="{A09CFD76-FB4E-4ED7-8116-990A8AD98FC4}"/>
    <cellStyle name="Migliaia 3 2 3 9 4 3" xfId="7732" xr:uid="{452FA825-5D03-463A-9E05-7FAD2C4AAC2E}"/>
    <cellStyle name="Migliaia 3 2 3 9 4 3 2" xfId="22912" xr:uid="{7425AFDC-0A8C-44E6-9336-9CDFC0C7A0AF}"/>
    <cellStyle name="Migliaia 3 2 3 9 4 4" xfId="19624" xr:uid="{BA6236B6-FB02-4F9F-AC93-8B163BD4C2DB}"/>
    <cellStyle name="Migliaia 3 2 3 9 5" xfId="1881" xr:uid="{8A901B85-5593-4312-94D8-E0D2AD8B75C3}"/>
    <cellStyle name="Migliaia 3 2 3 9 5 2" xfId="9378" xr:uid="{3F20A01F-D227-4F9A-9489-3FE84649F0F8}"/>
    <cellStyle name="Migliaia 3 2 3 9 5 2 2" xfId="24556" xr:uid="{E9401F5C-830D-45D9-A0DE-5A6C469A1896}"/>
    <cellStyle name="Migliaia 3 2 3 9 5 3" xfId="17096" xr:uid="{E2C6309E-9867-457B-AAE9-90FB66780ABC}"/>
    <cellStyle name="Migliaia 3 2 3 9 6" xfId="8864" xr:uid="{AE573378-1927-48A3-840F-3F93504B496C}"/>
    <cellStyle name="Migliaia 3 2 3 9 6 2" xfId="13037" xr:uid="{0EB2680F-9516-4435-AFBD-7702D9DDABD6}"/>
    <cellStyle name="Migliaia 3 2 3 9 6 2 2" xfId="28214" xr:uid="{25E92B86-BB23-4B82-8E5A-DCC61B67A108}"/>
    <cellStyle name="Migliaia 3 2 3 9 6 3" xfId="24042" xr:uid="{299A16D3-6BD9-44F7-B1B4-48B5CF81F489}"/>
    <cellStyle name="Migliaia 3 2 3 9 7" xfId="5204" xr:uid="{C2C37C57-7200-4FC1-BBB6-810F6724C6E6}"/>
    <cellStyle name="Migliaia 3 2 3 9 7 2" xfId="20384" xr:uid="{2F573FB8-7672-47F3-A954-009214AF19FE}"/>
    <cellStyle name="Migliaia 3 2 3 9 8" xfId="16582" xr:uid="{D45FF5B5-635A-493A-BC5C-B4B71C73239C}"/>
    <cellStyle name="Migliaia 3 2 4" xfId="477" xr:uid="{22B72AD9-74B9-4BF2-82C2-5CF45DA72FAD}"/>
    <cellStyle name="Migliaia 3 2 4 2" xfId="590" xr:uid="{75D5C040-B012-49F1-8C2D-47EC90B1ADA8}"/>
    <cellStyle name="Migliaia 3 2 4 2 2" xfId="9868" xr:uid="{984F8E32-6F74-445D-B54B-673D57CFADF1}"/>
    <cellStyle name="Migliaia 3 2 4 2 2 2" xfId="13527" xr:uid="{F88321F8-BF29-4300-9EC4-C8C92A46E677}"/>
    <cellStyle name="Migliaia 3 2 4 2 2 2 2" xfId="28704" xr:uid="{3EDA0207-84BB-4497-9ED4-601309F8AB78}"/>
    <cellStyle name="Migliaia 3 2 4 2 2 3" xfId="25046" xr:uid="{0CEEAD53-AFD5-41D3-8581-3A2D00D6EB35}"/>
    <cellStyle name="Migliaia 3 2 4 2 3" xfId="5694" xr:uid="{CCA56CC1-C396-4DFD-ADB1-6090CF3FE8B0}"/>
    <cellStyle name="Migliaia 3 2 4 2 3 2" xfId="20874" xr:uid="{DF5F3B66-F9BB-4C4D-B555-69B25218E1BC}"/>
    <cellStyle name="Migliaia 3 2 4 2 4" xfId="17586" xr:uid="{6A39610B-FF82-49AC-A6E3-30968DFBA92A}"/>
    <cellStyle name="Migliaia 3 2 4 2 5" xfId="2374" xr:uid="{4C5B37FB-CEB2-45DA-BFA7-24DE8D71E3FE}"/>
    <cellStyle name="Migliaia 3 2 4 3" xfId="3264" xr:uid="{B21F4F7A-B7D0-4676-935E-3E3199C2A526}"/>
    <cellStyle name="Migliaia 3 2 4 3 2" xfId="10752" xr:uid="{0C0B9D70-B60E-4686-A6A3-47ABB150E95B}"/>
    <cellStyle name="Migliaia 3 2 4 3 2 2" xfId="14298" xr:uid="{0FF94574-171C-4531-98B7-91D1D5F44679}"/>
    <cellStyle name="Migliaia 3 2 4 3 2 2 2" xfId="29475" xr:uid="{31C7359B-1662-4A10-B87A-9E4EDFE47688}"/>
    <cellStyle name="Migliaia 3 2 4 3 2 3" xfId="25930" xr:uid="{17048798-6F1A-4F51-8CAD-16A881CDE179}"/>
    <cellStyle name="Migliaia 3 2 4 3 3" xfId="6578" xr:uid="{80A638E9-3B84-4102-837C-F855F1773DB0}"/>
    <cellStyle name="Migliaia 3 2 4 3 3 2" xfId="21758" xr:uid="{0C7EDEFF-5985-4B17-AC01-AA30D7D89036}"/>
    <cellStyle name="Migliaia 3 2 4 3 4" xfId="18470" xr:uid="{BE10F14C-CEAB-427D-9D59-941995FF78FB}"/>
    <cellStyle name="Migliaia 3 2 4 4" xfId="4422" xr:uid="{1B887E0F-4410-4674-B24D-1E65E54A0D4C}"/>
    <cellStyle name="Migliaia 3 2 4 4 2" xfId="11907" xr:uid="{92A30422-5502-4EFD-BE83-7FA2CB4DAF6F}"/>
    <cellStyle name="Migliaia 3 2 4 4 2 2" xfId="15453" xr:uid="{A742738B-5995-4DC6-BF39-8093345F6030}"/>
    <cellStyle name="Migliaia 3 2 4 4 2 2 2" xfId="30630" xr:uid="{A0E776A1-27F2-47D5-99D7-977C175FA200}"/>
    <cellStyle name="Migliaia 3 2 4 4 2 3" xfId="27085" xr:uid="{3B7D38D4-8CE5-4C7F-AA85-0D872E6E91B0}"/>
    <cellStyle name="Migliaia 3 2 4 4 3" xfId="7733" xr:uid="{125B6433-1DFE-4783-83B0-910F66C9B8E4}"/>
    <cellStyle name="Migliaia 3 2 4 4 3 2" xfId="22913" xr:uid="{D9C4D8C6-617C-48D1-B93B-02071D51DA8E}"/>
    <cellStyle name="Migliaia 3 2 4 4 4" xfId="19625" xr:uid="{2B7AC764-9409-4357-A284-1DBB5209D5A3}"/>
    <cellStyle name="Migliaia 3 2 4 5" xfId="8470" xr:uid="{0CD857BD-3417-409A-9F1F-C8DC32CE9F2E}"/>
    <cellStyle name="Migliaia 3 2 4 5 2" xfId="12643" xr:uid="{A0A27E04-67D8-4A4C-800D-3A2CDB91F8E9}"/>
    <cellStyle name="Migliaia 3 2 4 5 2 2" xfId="27820" xr:uid="{EE09191A-2017-4315-9E02-4080CA4AD7AF}"/>
    <cellStyle name="Migliaia 3 2 4 5 3" xfId="23648" xr:uid="{ED98F98C-A592-4AD9-82AB-80839865A6FF}"/>
    <cellStyle name="Migliaia 3 2 4 6" xfId="16188" xr:uid="{25F006F3-8F58-48E7-986B-2C8B404A3DCC}"/>
    <cellStyle name="Migliaia 3 2 4 7" xfId="31628" xr:uid="{29CCBA6B-D5E7-47E7-AF63-EA9CE5DE5CB2}"/>
    <cellStyle name="Migliaia 3 2 4 8" xfId="856" xr:uid="{56008B09-FA0D-41F2-A118-C13547DB7EB5}"/>
    <cellStyle name="Migliaia 3 2 5" xfId="553" xr:uid="{5731E8CF-6F95-47EF-A4B9-55381A650553}"/>
    <cellStyle name="Migliaia 3 2 5 10" xfId="31278" xr:uid="{AF5C6B6D-D43A-44ED-8635-3E4317B9F8C5}"/>
    <cellStyle name="Migliaia 3 2 5 11" xfId="1219" xr:uid="{C9B8BB89-BFB5-41E2-8EE6-1646A99BCACC}"/>
    <cellStyle name="Migliaia 3 2 5 2" xfId="2649" xr:uid="{56DAB149-4FF3-48A2-A683-B5CE80DC7B72}"/>
    <cellStyle name="Migliaia 3 2 5 2 2" xfId="10140" xr:uid="{DAE8108F-1340-4969-901A-62BB64CC9FF3}"/>
    <cellStyle name="Migliaia 3 2 5 2 2 2" xfId="13797" xr:uid="{3DD86234-4BB6-4C18-9D9A-B5CAEB8D95D4}"/>
    <cellStyle name="Migliaia 3 2 5 2 2 2 2" xfId="28974" xr:uid="{4E1C3589-A3A2-4D8F-88CC-F934212E8EA7}"/>
    <cellStyle name="Migliaia 3 2 5 2 2 3" xfId="25318" xr:uid="{E08D83D9-9CC4-4582-A772-B77E514CE48D}"/>
    <cellStyle name="Migliaia 3 2 5 2 3" xfId="5966" xr:uid="{7ED33204-49D5-44A3-B64A-BD28CD7424EF}"/>
    <cellStyle name="Migliaia 3 2 5 2 3 2" xfId="21146" xr:uid="{018AEE3D-D286-401D-8292-E29C754F57C0}"/>
    <cellStyle name="Migliaia 3 2 5 2 4" xfId="17858" xr:uid="{474153A6-54E5-44FC-AAA9-554C94EB2A86}"/>
    <cellStyle name="Migliaia 3 2 5 3" xfId="3536" xr:uid="{C03A5D02-5204-4BEB-A2E2-82C815154890}"/>
    <cellStyle name="Migliaia 3 2 5 3 2" xfId="11024" xr:uid="{F5833AD4-26B1-4051-A7B8-18B53F55BC71}"/>
    <cellStyle name="Migliaia 3 2 5 3 2 2" xfId="14570" xr:uid="{E3077B2B-77CC-4019-98B9-BBA8C467994A}"/>
    <cellStyle name="Migliaia 3 2 5 3 2 2 2" xfId="29747" xr:uid="{9DFC0187-137C-4446-A804-46CDC41D3F15}"/>
    <cellStyle name="Migliaia 3 2 5 3 2 3" xfId="26202" xr:uid="{4BCE6BE2-B3DF-45BE-A113-6D130429EC18}"/>
    <cellStyle name="Migliaia 3 2 5 3 3" xfId="6850" xr:uid="{2ECC97B3-4A72-463C-8001-6A9754607A55}"/>
    <cellStyle name="Migliaia 3 2 5 3 3 2" xfId="22030" xr:uid="{368532F8-9B57-4E34-BD5B-8CF9244E426C}"/>
    <cellStyle name="Migliaia 3 2 5 3 4" xfId="18742" xr:uid="{5E1435C1-9ECD-4DAC-9E39-71D0EB5D9F61}"/>
    <cellStyle name="Migliaia 3 2 5 4" xfId="4423" xr:uid="{4E366543-F493-4396-8E6F-167B935560E8}"/>
    <cellStyle name="Migliaia 3 2 5 4 2" xfId="11908" xr:uid="{C8FA8AE7-F267-41CB-8C93-B0AE295E8BC9}"/>
    <cellStyle name="Migliaia 3 2 5 4 2 2" xfId="15454" xr:uid="{E32BB33B-C877-4164-802F-656A6AB14A7E}"/>
    <cellStyle name="Migliaia 3 2 5 4 2 2 2" xfId="30631" xr:uid="{0E9F252F-6D40-4DAD-927F-8E99844BA61D}"/>
    <cellStyle name="Migliaia 3 2 5 4 2 3" xfId="27086" xr:uid="{CE5A6900-BE05-42D6-9453-7CD4D8A62E1C}"/>
    <cellStyle name="Migliaia 3 2 5 4 3" xfId="7734" xr:uid="{B809CE33-60DB-48F4-8DCE-47499B4290CE}"/>
    <cellStyle name="Migliaia 3 2 5 4 3 2" xfId="22914" xr:uid="{0E2355F3-E84B-4156-9D78-885E1BEB098F}"/>
    <cellStyle name="Migliaia 3 2 5 4 4" xfId="19626" xr:uid="{C7EC95A4-8760-467F-AA58-9A91C4BC7EA3}"/>
    <cellStyle name="Migliaia 3 2 5 5" xfId="4938" xr:uid="{8EB2F2DD-1210-457F-A93B-95535B19FDC7}"/>
    <cellStyle name="Migliaia 3 2 5 5 2" xfId="12422" xr:uid="{79746AC5-3710-4D7E-828E-FD3B7425BA85}"/>
    <cellStyle name="Migliaia 3 2 5 5 2 2" xfId="15968" xr:uid="{3802CFE5-9D8F-483E-A0BF-89EBF913E3D2}"/>
    <cellStyle name="Migliaia 3 2 5 5 2 2 2" xfId="31145" xr:uid="{2140BFE2-CC13-4828-AF84-700B216BE908}"/>
    <cellStyle name="Migliaia 3 2 5 5 2 3" xfId="27600" xr:uid="{E1D89C6F-F7CB-4780-8042-664D918FFF9F}"/>
    <cellStyle name="Migliaia 3 2 5 5 3" xfId="8248" xr:uid="{974370F3-52A4-436B-BB65-944F51A8B3C9}"/>
    <cellStyle name="Migliaia 3 2 5 5 3 2" xfId="23428" xr:uid="{FD90D82A-CBA4-4E31-86EB-2B2617DBF32C}"/>
    <cellStyle name="Migliaia 3 2 5 5 4" xfId="20140" xr:uid="{2680FA7C-476A-4E6D-9B2F-4B7B4FA66603}"/>
    <cellStyle name="Migliaia 3 2 5 6" xfId="1759" xr:uid="{5FE80FD4-022E-4B14-9393-D029C8AF84D8}"/>
    <cellStyle name="Migliaia 3 2 5 6 2" xfId="9256" xr:uid="{2DC1CCDA-E3EB-40D6-BC11-089D1BA35FF4}"/>
    <cellStyle name="Migliaia 3 2 5 6 2 2" xfId="24434" xr:uid="{072FAA3B-3912-4B76-A049-52A15815C4D3}"/>
    <cellStyle name="Migliaia 3 2 5 6 3" xfId="16974" xr:uid="{39AEA69E-14FC-4E47-AA26-32B5407909FF}"/>
    <cellStyle name="Migliaia 3 2 5 7" xfId="8742" xr:uid="{FB9C3CFE-9321-4FAB-ABC1-496A2E81129F}"/>
    <cellStyle name="Migliaia 3 2 5 7 2" xfId="12915" xr:uid="{1B1FA768-289B-45B1-9E66-926B3CAF3EC6}"/>
    <cellStyle name="Migliaia 3 2 5 7 2 2" xfId="28092" xr:uid="{AAA2AFE7-6EFC-42FF-B17E-A0813F745FC4}"/>
    <cellStyle name="Migliaia 3 2 5 7 3" xfId="23920" xr:uid="{E86CA1F6-0663-4C25-B80F-FCB64B17FD86}"/>
    <cellStyle name="Migliaia 3 2 5 8" xfId="5082" xr:uid="{5C98C5E5-342C-4C22-9F37-CEA39C324D7F}"/>
    <cellStyle name="Migliaia 3 2 5 8 2" xfId="20262" xr:uid="{D0C05EE6-9FF5-42DA-A409-577E835BD168}"/>
    <cellStyle name="Migliaia 3 2 5 9" xfId="16460" xr:uid="{05332AB4-3CAD-4863-BF5B-5D5BE0BAEBD3}"/>
    <cellStyle name="Migliaia 3 2 6" xfId="31408" xr:uid="{44435B86-5562-422D-BA0E-B6C1AE33416D}"/>
    <cellStyle name="Migliaia 3 2 7" xfId="616" xr:uid="{AB71CC55-ABFE-46ED-95A8-F03BA1780E56}"/>
    <cellStyle name="Migliaia 3 3" xfId="340" xr:uid="{D7B6BDB6-A1EF-4F29-9503-EEB42E04659B}"/>
    <cellStyle name="Migliaia 3 3 2" xfId="485" xr:uid="{E6FC7FC9-F501-49BC-BCA3-4A99AA4C86B1}"/>
    <cellStyle name="Migliaia 3 3 2 10" xfId="1451" xr:uid="{700A5E53-3C71-4826-9E5F-1679665ECA77}"/>
    <cellStyle name="Migliaia 3 3 2 10 2" xfId="2876" xr:uid="{6FE64B8A-47E7-497C-B6DE-90FE794C3D78}"/>
    <cellStyle name="Migliaia 3 3 2 10 2 2" xfId="10367" xr:uid="{13B1A167-AF90-4A43-8EDF-66C11B8172DB}"/>
    <cellStyle name="Migliaia 3 3 2 10 2 2 2" xfId="13913" xr:uid="{877BFC3E-3C9B-4727-B9BC-A6D99D241E3C}"/>
    <cellStyle name="Migliaia 3 3 2 10 2 2 2 2" xfId="29090" xr:uid="{6F811FD8-5097-485D-9662-1F86206D59A9}"/>
    <cellStyle name="Migliaia 3 3 2 10 2 2 3" xfId="25545" xr:uid="{AB344FAD-D5F6-4753-B454-D76D01E08D20}"/>
    <cellStyle name="Migliaia 3 3 2 10 2 3" xfId="6193" xr:uid="{7DF226AE-73DD-4BEC-8C23-0932841A80C6}"/>
    <cellStyle name="Migliaia 3 3 2 10 2 3 2" xfId="21373" xr:uid="{0545E6D5-B14C-477A-8E0D-12101E9746A6}"/>
    <cellStyle name="Migliaia 3 3 2 10 2 4" xfId="18085" xr:uid="{17E93B4B-9970-4F09-9CA0-4CBD2A872FF9}"/>
    <cellStyle name="Migliaia 3 3 2 10 3" xfId="3763" xr:uid="{486AA869-BB09-41FA-BF9C-8CBA02CABFF2}"/>
    <cellStyle name="Migliaia 3 3 2 10 3 2" xfId="11251" xr:uid="{5CD73192-7F23-4AF0-A352-4DB0C3612888}"/>
    <cellStyle name="Migliaia 3 3 2 10 3 2 2" xfId="14797" xr:uid="{017DF9E4-151D-4DCC-B61E-8B53DEB865D3}"/>
    <cellStyle name="Migliaia 3 3 2 10 3 2 2 2" xfId="29974" xr:uid="{86DD20FD-DE2A-4D0A-989A-92A49AE4D3A8}"/>
    <cellStyle name="Migliaia 3 3 2 10 3 2 3" xfId="26429" xr:uid="{192C6CC3-3274-4D44-9ECB-5D129DCA9EFA}"/>
    <cellStyle name="Migliaia 3 3 2 10 3 3" xfId="7077" xr:uid="{5A5B16D5-1702-4BD6-8D9E-7C50B8695E78}"/>
    <cellStyle name="Migliaia 3 3 2 10 3 3 2" xfId="22257" xr:uid="{2563111A-C14B-4F74-89FA-6423243327E7}"/>
    <cellStyle name="Migliaia 3 3 2 10 3 4" xfId="18969" xr:uid="{A0C7576D-BFCA-4FF1-B26C-6DB6CC5C8044}"/>
    <cellStyle name="Migliaia 3 3 2 10 4" xfId="4424" xr:uid="{02AFEFCF-3E16-4377-941B-F1D7E0DC2EFF}"/>
    <cellStyle name="Migliaia 3 3 2 10 4 2" xfId="11909" xr:uid="{C7F83075-4BE6-4BBE-AE41-02A5DB638650}"/>
    <cellStyle name="Migliaia 3 3 2 10 4 2 2" xfId="15455" xr:uid="{D44A24E4-9C51-4394-918B-672FFFDE825D}"/>
    <cellStyle name="Migliaia 3 3 2 10 4 2 2 2" xfId="30632" xr:uid="{37A65A3C-8FF9-420F-B9B0-FD3DCE7B0B44}"/>
    <cellStyle name="Migliaia 3 3 2 10 4 2 3" xfId="27087" xr:uid="{749501DE-4F92-4E36-9160-CF78B4872C96}"/>
    <cellStyle name="Migliaia 3 3 2 10 4 3" xfId="7735" xr:uid="{D72AFD5D-80B6-4868-9756-91E131223A37}"/>
    <cellStyle name="Migliaia 3 3 2 10 4 3 2" xfId="22915" xr:uid="{0E36BB57-4C4C-45CD-B9E2-E9BDAF63EAB4}"/>
    <cellStyle name="Migliaia 3 3 2 10 4 4" xfId="19627" xr:uid="{0148B77E-3775-4CD5-9F0C-155C63F3B235}"/>
    <cellStyle name="Migliaia 3 3 2 10 5" xfId="1986" xr:uid="{8F4A5526-2D3A-4BAF-ADD8-2B757695FABF}"/>
    <cellStyle name="Migliaia 3 3 2 10 5 2" xfId="9483" xr:uid="{B0ABFCB6-A4A0-4DCF-9892-BB7E4DF3CD0D}"/>
    <cellStyle name="Migliaia 3 3 2 10 5 2 2" xfId="24661" xr:uid="{1CFE3DE5-6C5A-4426-9A65-1F764D62E74E}"/>
    <cellStyle name="Migliaia 3 3 2 10 5 3" xfId="17201" xr:uid="{32CB52E0-8278-40D1-9C51-78B164381DE6}"/>
    <cellStyle name="Migliaia 3 3 2 10 6" xfId="8969" xr:uid="{178B6EEB-D44F-47F3-9EF4-65009248F676}"/>
    <cellStyle name="Migliaia 3 3 2 10 6 2" xfId="13142" xr:uid="{6EF47CC5-5912-4C8E-AD20-3A0BEC4FE2DD}"/>
    <cellStyle name="Migliaia 3 3 2 10 6 2 2" xfId="28319" xr:uid="{B40D1FC7-6F68-4427-B8D3-BEC75B2113F5}"/>
    <cellStyle name="Migliaia 3 3 2 10 6 3" xfId="24147" xr:uid="{D1CCC2ED-1CD7-4644-8C1A-DA630DF98A48}"/>
    <cellStyle name="Migliaia 3 3 2 10 7" xfId="5309" xr:uid="{663AA15E-5E5F-406E-8698-F81B23CF4E1D}"/>
    <cellStyle name="Migliaia 3 3 2 10 7 2" xfId="20489" xr:uid="{0466A3D9-056D-4154-B03C-20C873CF5457}"/>
    <cellStyle name="Migliaia 3 3 2 10 8" xfId="16687" xr:uid="{E034532A-97F7-43B3-B7E8-81ED4E4E067D}"/>
    <cellStyle name="Migliaia 3 3 2 11" xfId="1554" xr:uid="{DA731D6C-49CA-4EBC-A588-98D17D8B811D}"/>
    <cellStyle name="Migliaia 3 3 2 11 2" xfId="2974" xr:uid="{50BC5777-CF6B-42CD-938D-889351F6DB62}"/>
    <cellStyle name="Migliaia 3 3 2 11 2 2" xfId="10465" xr:uid="{03E1D784-C5AB-49B8-8DC4-04AC9A84DE6F}"/>
    <cellStyle name="Migliaia 3 3 2 11 2 2 2" xfId="14011" xr:uid="{76B5155B-2C93-4DC6-83CA-E8203AD90C71}"/>
    <cellStyle name="Migliaia 3 3 2 11 2 2 2 2" xfId="29188" xr:uid="{C1ACC0C1-4E75-4E31-98CC-065A0749E929}"/>
    <cellStyle name="Migliaia 3 3 2 11 2 2 3" xfId="25643" xr:uid="{655C170B-22FC-4D93-AC4A-F0AABBE1C95A}"/>
    <cellStyle name="Migliaia 3 3 2 11 2 3" xfId="6291" xr:uid="{8D41A551-A4DA-45C4-83D4-C043F73AFAAE}"/>
    <cellStyle name="Migliaia 3 3 2 11 2 3 2" xfId="21471" xr:uid="{18B1ADC3-667F-47C7-8269-A13C9B5BF36D}"/>
    <cellStyle name="Migliaia 3 3 2 11 2 4" xfId="18183" xr:uid="{6DF7120B-C852-4B5A-A0D8-48367765342B}"/>
    <cellStyle name="Migliaia 3 3 2 11 3" xfId="3861" xr:uid="{F3FAE90F-EBC7-429E-85D7-4D0E6D350FE1}"/>
    <cellStyle name="Migliaia 3 3 2 11 3 2" xfId="11349" xr:uid="{CD893899-A7DA-4445-AA7E-A695B40672A7}"/>
    <cellStyle name="Migliaia 3 3 2 11 3 2 2" xfId="14895" xr:uid="{D7E177E3-BA33-4672-B9C8-382442E81B86}"/>
    <cellStyle name="Migliaia 3 3 2 11 3 2 2 2" xfId="30072" xr:uid="{578E3F6E-3FB1-422F-A2CA-59EDF49651CE}"/>
    <cellStyle name="Migliaia 3 3 2 11 3 2 3" xfId="26527" xr:uid="{EC6654FB-C0A4-45B6-9407-E736C6B11909}"/>
    <cellStyle name="Migliaia 3 3 2 11 3 3" xfId="7175" xr:uid="{923ECDFD-3743-43B2-B0CE-AAC6219A69BA}"/>
    <cellStyle name="Migliaia 3 3 2 11 3 3 2" xfId="22355" xr:uid="{147A70A9-3AF9-46EE-956A-0BBACBA7BCDD}"/>
    <cellStyle name="Migliaia 3 3 2 11 3 4" xfId="19067" xr:uid="{E160B9C8-B925-45FB-8FD8-047CFB04B6C7}"/>
    <cellStyle name="Migliaia 3 3 2 11 4" xfId="4425" xr:uid="{A951C835-9145-48D0-8F60-DE74C9333DBA}"/>
    <cellStyle name="Migliaia 3 3 2 11 4 2" xfId="11910" xr:uid="{4F4422D5-6023-44E2-8CA2-1607A0DA93FA}"/>
    <cellStyle name="Migliaia 3 3 2 11 4 2 2" xfId="15456" xr:uid="{33409502-9982-4695-AED9-DB0BBADEC4CE}"/>
    <cellStyle name="Migliaia 3 3 2 11 4 2 2 2" xfId="30633" xr:uid="{608EBBA3-F668-4CE9-98E9-2098AD7CC4E2}"/>
    <cellStyle name="Migliaia 3 3 2 11 4 2 3" xfId="27088" xr:uid="{6CD0E31F-D005-403E-8110-4928A9CFAD4E}"/>
    <cellStyle name="Migliaia 3 3 2 11 4 3" xfId="7736" xr:uid="{B7449DF2-297C-4530-B13D-4BFCC55CF638}"/>
    <cellStyle name="Migliaia 3 3 2 11 4 3 2" xfId="22916" xr:uid="{08DC3A7B-4B90-41F2-B5DA-11A98BF73BA5}"/>
    <cellStyle name="Migliaia 3 3 2 11 4 4" xfId="19628" xr:uid="{001E3C53-B827-4AED-8D7A-92B20CB162EB}"/>
    <cellStyle name="Migliaia 3 3 2 11 5" xfId="2084" xr:uid="{195F0FFC-D652-4B86-AD75-BAEC95C29527}"/>
    <cellStyle name="Migliaia 3 3 2 11 5 2" xfId="9581" xr:uid="{8E0F4FAD-784E-4D02-93C3-65DB9C317E8D}"/>
    <cellStyle name="Migliaia 3 3 2 11 5 2 2" xfId="24759" xr:uid="{01EF3C76-C8AE-4A17-A3E7-3C026F9F8995}"/>
    <cellStyle name="Migliaia 3 3 2 11 5 3" xfId="17299" xr:uid="{B4E04408-90D7-4DC7-A82E-322CC14C375D}"/>
    <cellStyle name="Migliaia 3 3 2 11 6" xfId="9067" xr:uid="{ABA1E578-13EE-4852-AEB2-B7A3435F19E1}"/>
    <cellStyle name="Migliaia 3 3 2 11 6 2" xfId="13240" xr:uid="{526E456D-FFED-4FF0-9B4D-4B524B55ACBC}"/>
    <cellStyle name="Migliaia 3 3 2 11 6 2 2" xfId="28417" xr:uid="{6AC072AF-B5D1-4720-98E6-7AE8960166C0}"/>
    <cellStyle name="Migliaia 3 3 2 11 6 3" xfId="24245" xr:uid="{9F9089D2-D2DD-4796-870F-37D578E1283A}"/>
    <cellStyle name="Migliaia 3 3 2 11 7" xfId="5407" xr:uid="{7A751D50-7C47-4E4C-86F9-57460ABFFEAA}"/>
    <cellStyle name="Migliaia 3 3 2 11 7 2" xfId="20587" xr:uid="{67652B8A-B649-4664-9249-8823FBE18E8D}"/>
    <cellStyle name="Migliaia 3 3 2 11 8" xfId="16785" xr:uid="{C84976B7-E3D0-4AEE-A7D1-AA7E2C1DEB9C}"/>
    <cellStyle name="Migliaia 3 3 2 12" xfId="1653" xr:uid="{C37C5FE2-B749-4448-B4B6-B4009AD99240}"/>
    <cellStyle name="Migliaia 3 3 2 12 2" xfId="3072" xr:uid="{74F6FFD7-D039-4EE4-A684-0DB2C487AB0C}"/>
    <cellStyle name="Migliaia 3 3 2 12 2 2" xfId="10563" xr:uid="{D1F686AB-8018-43B9-98A9-31A8E120FE29}"/>
    <cellStyle name="Migliaia 3 3 2 12 2 2 2" xfId="14109" xr:uid="{BFF340F5-763D-4F5F-81D0-25DFD011D59E}"/>
    <cellStyle name="Migliaia 3 3 2 12 2 2 2 2" xfId="29286" xr:uid="{6A838D2F-7512-45E2-B961-B67FC5C5225F}"/>
    <cellStyle name="Migliaia 3 3 2 12 2 2 3" xfId="25741" xr:uid="{F0573AA7-7157-45F4-9CB5-BEB4B92862A3}"/>
    <cellStyle name="Migliaia 3 3 2 12 2 3" xfId="6389" xr:uid="{FB122D1D-D14B-4DF8-8B61-9D1592E05378}"/>
    <cellStyle name="Migliaia 3 3 2 12 2 3 2" xfId="21569" xr:uid="{7B32D759-A6D0-447B-B447-94DF27F853C2}"/>
    <cellStyle name="Migliaia 3 3 2 12 2 4" xfId="18281" xr:uid="{D89BBFFD-3E71-48DD-B51C-515D04A37916}"/>
    <cellStyle name="Migliaia 3 3 2 12 3" xfId="3959" xr:uid="{7CFB5BA2-8B6C-490D-93B2-E7EC3570AAFF}"/>
    <cellStyle name="Migliaia 3 3 2 12 3 2" xfId="11447" xr:uid="{032C62DD-AF0C-4DA3-8CDB-1BDF7E2D8677}"/>
    <cellStyle name="Migliaia 3 3 2 12 3 2 2" xfId="14993" xr:uid="{13F806B1-DEE3-433D-BDE9-AC1117C3730E}"/>
    <cellStyle name="Migliaia 3 3 2 12 3 2 2 2" xfId="30170" xr:uid="{90542E34-F23D-4292-B424-1F0842A2CFBD}"/>
    <cellStyle name="Migliaia 3 3 2 12 3 2 3" xfId="26625" xr:uid="{94755335-CB0F-4F11-B690-FD5BC6F945CD}"/>
    <cellStyle name="Migliaia 3 3 2 12 3 3" xfId="7273" xr:uid="{8991DCF3-20DE-4C4C-8856-926FD06726E7}"/>
    <cellStyle name="Migliaia 3 3 2 12 3 3 2" xfId="22453" xr:uid="{DE450A36-669E-435F-A586-D15F01992260}"/>
    <cellStyle name="Migliaia 3 3 2 12 3 4" xfId="19165" xr:uid="{6AD5D6E1-CDDF-49D2-A78D-7180401C97D1}"/>
    <cellStyle name="Migliaia 3 3 2 12 4" xfId="4426" xr:uid="{6DB7FE16-7F60-416A-A4B4-FE3BEA1295FF}"/>
    <cellStyle name="Migliaia 3 3 2 12 4 2" xfId="11911" xr:uid="{33FD0C84-1C53-4208-978A-3FAFE9F4F5D4}"/>
    <cellStyle name="Migliaia 3 3 2 12 4 2 2" xfId="15457" xr:uid="{29D53A95-CC3A-47A1-B47A-B6C3A4E62591}"/>
    <cellStyle name="Migliaia 3 3 2 12 4 2 2 2" xfId="30634" xr:uid="{ADACA2B5-D013-48BA-A546-C3C5811C3B61}"/>
    <cellStyle name="Migliaia 3 3 2 12 4 2 3" xfId="27089" xr:uid="{96063879-320A-44DF-84AA-445094E607E2}"/>
    <cellStyle name="Migliaia 3 3 2 12 4 3" xfId="7737" xr:uid="{1CF4C693-A87F-4AEC-B6F8-5D631DCD7FB3}"/>
    <cellStyle name="Migliaia 3 3 2 12 4 3 2" xfId="22917" xr:uid="{49C980D8-5A9C-42BF-83B6-97A3393B78FA}"/>
    <cellStyle name="Migliaia 3 3 2 12 4 4" xfId="19629" xr:uid="{C69E623B-DD5D-4E5A-86AC-9F1BCCE7779C}"/>
    <cellStyle name="Migliaia 3 3 2 12 5" xfId="2182" xr:uid="{44FB6E32-5C02-48AD-9E56-F9ADF7359C92}"/>
    <cellStyle name="Migliaia 3 3 2 12 5 2" xfId="9679" xr:uid="{3AEB0E38-CA38-432A-8B1C-F3F2CD6469E0}"/>
    <cellStyle name="Migliaia 3 3 2 12 5 2 2" xfId="24857" xr:uid="{26ECDDE7-6A54-4A24-B6EF-16A8926BFBB0}"/>
    <cellStyle name="Migliaia 3 3 2 12 5 3" xfId="17397" xr:uid="{BB84E274-6D4A-4957-8F4E-A03DAA2292A3}"/>
    <cellStyle name="Migliaia 3 3 2 12 6" xfId="9165" xr:uid="{F87E913C-D375-48BE-BF19-A60EC3F1770D}"/>
    <cellStyle name="Migliaia 3 3 2 12 6 2" xfId="13338" xr:uid="{52458A70-8D0A-4916-8A56-762C98D8A85A}"/>
    <cellStyle name="Migliaia 3 3 2 12 6 2 2" xfId="28515" xr:uid="{A7A9BA8A-FBE7-4F7C-9CEF-D1A17F48FE34}"/>
    <cellStyle name="Migliaia 3 3 2 12 6 3" xfId="24343" xr:uid="{E31BBA94-E616-47ED-95CC-BC8E39E6DC6D}"/>
    <cellStyle name="Migliaia 3 3 2 12 7" xfId="5505" xr:uid="{BC5DCB1C-A1E1-44D1-976F-F9017CCAF010}"/>
    <cellStyle name="Migliaia 3 3 2 12 7 2" xfId="20685" xr:uid="{B40EACEF-FE67-4365-BDEC-0ACBD79FD187}"/>
    <cellStyle name="Migliaia 3 3 2 12 8" xfId="16883" xr:uid="{D6005861-C761-4E04-8CAC-72D2BAC77EDE}"/>
    <cellStyle name="Migliaia 3 3 2 13" xfId="2282" xr:uid="{5BEECDFF-1DC4-4490-83BB-DBFD9879C138}"/>
    <cellStyle name="Migliaia 3 3 2 13 2" xfId="9777" xr:uid="{F5DAF581-0649-4000-9493-FEAD452C4B6F}"/>
    <cellStyle name="Migliaia 3 3 2 13 2 2" xfId="13436" xr:uid="{F71904D7-64BE-4A70-B2E7-6F0E81EDDD53}"/>
    <cellStyle name="Migliaia 3 3 2 13 2 2 2" xfId="28613" xr:uid="{34A8E4A2-A3BA-465B-ACF2-E65C2811A5A2}"/>
    <cellStyle name="Migliaia 3 3 2 13 2 3" xfId="24955" xr:uid="{B7062209-889C-4758-990B-386AF415B929}"/>
    <cellStyle name="Migliaia 3 3 2 13 3" xfId="5603" xr:uid="{0FC89EF6-D820-4522-AF39-A5CE79CBA926}"/>
    <cellStyle name="Migliaia 3 3 2 13 3 2" xfId="20783" xr:uid="{BC7EF838-C5B4-4D00-ADFF-55806F204693}"/>
    <cellStyle name="Migliaia 3 3 2 13 4" xfId="17495" xr:uid="{2DAD710E-DD42-4728-9647-4476F725CBE8}"/>
    <cellStyle name="Migliaia 3 3 2 14" xfId="3172" xr:uid="{D02AE65D-1FC4-40CF-99CA-A1211E20AE9D}"/>
    <cellStyle name="Migliaia 3 3 2 14 2" xfId="10661" xr:uid="{7D78A0D0-58A2-4BCF-B206-968AB28CAB87}"/>
    <cellStyle name="Migliaia 3 3 2 14 2 2" xfId="14207" xr:uid="{1457CBFD-F67C-4D1E-8C8E-E079BEE7E849}"/>
    <cellStyle name="Migliaia 3 3 2 14 2 2 2" xfId="29384" xr:uid="{0233E1F6-E9DF-40AC-9A30-8440198D6944}"/>
    <cellStyle name="Migliaia 3 3 2 14 2 3" xfId="25839" xr:uid="{A5B6118F-1C79-4C9D-B73C-D20FBE831581}"/>
    <cellStyle name="Migliaia 3 3 2 14 3" xfId="6487" xr:uid="{D4AC45C5-2D6B-4191-BB20-8FAD2CAC1B12}"/>
    <cellStyle name="Migliaia 3 3 2 14 3 2" xfId="21667" xr:uid="{90FFA0F4-1627-40F2-88EB-6E8796C3AF30}"/>
    <cellStyle name="Migliaia 3 3 2 14 4" xfId="18379" xr:uid="{1C8E501B-E60F-4EFD-9A00-11E1358F6DE9}"/>
    <cellStyle name="Migliaia 3 3 2 15" xfId="4427" xr:uid="{A950C706-BD43-45D2-A3E3-07B3CCCB51A4}"/>
    <cellStyle name="Migliaia 3 3 2 15 2" xfId="11912" xr:uid="{393C806C-A105-4B9C-9B99-F01D4479319B}"/>
    <cellStyle name="Migliaia 3 3 2 15 2 2" xfId="15458" xr:uid="{5194121B-1B0B-4B02-9CC5-A5B59F03CCA3}"/>
    <cellStyle name="Migliaia 3 3 2 15 2 2 2" xfId="30635" xr:uid="{FDC38377-2D06-45DD-99E7-701BF6CC8C08}"/>
    <cellStyle name="Migliaia 3 3 2 15 2 3" xfId="27090" xr:uid="{35D2012A-697F-48EC-A040-41BE82BA5E0F}"/>
    <cellStyle name="Migliaia 3 3 2 15 3" xfId="7738" xr:uid="{59045144-E96B-42FB-A6B1-D5D232A55BB4}"/>
    <cellStyle name="Migliaia 3 3 2 15 3 2" xfId="22918" xr:uid="{B81EDDE9-8D1E-43DA-BA5B-10C484AD14DF}"/>
    <cellStyle name="Migliaia 3 3 2 15 4" xfId="19630" xr:uid="{0C5062E7-546E-4748-BC3C-AA7FDDC053E9}"/>
    <cellStyle name="Migliaia 3 3 2 16" xfId="8378" xr:uid="{7D21A460-6DF3-4FD1-A324-CE3CEFF29494}"/>
    <cellStyle name="Migliaia 3 3 2 16 2" xfId="12552" xr:uid="{EE892A3B-FB96-4639-9551-C7506225559B}"/>
    <cellStyle name="Migliaia 3 3 2 16 2 2" xfId="27729" xr:uid="{F0857C86-DA7E-492E-8FD6-AF831BF45F47}"/>
    <cellStyle name="Migliaia 3 3 2 16 3" xfId="23557" xr:uid="{716366C5-A053-42F4-9E95-42E74013252B}"/>
    <cellStyle name="Migliaia 3 3 2 17" xfId="16097" xr:uid="{173001AB-E78D-45E1-B617-A5AA4ECB7D44}"/>
    <cellStyle name="Migliaia 3 3 2 18" xfId="31439" xr:uid="{75F8575F-B301-4B9D-8C57-D887C9D3D739}"/>
    <cellStyle name="Migliaia 3 3 2 19" xfId="699" xr:uid="{E7C3874D-8BD1-44C7-B246-8A002750BD0F}"/>
    <cellStyle name="Migliaia 3 3 2 2" xfId="597" xr:uid="{EED202C3-5F8E-4847-8069-DC2580EB7466}"/>
    <cellStyle name="Migliaia 3 3 2 2 10" xfId="2307" xr:uid="{2B3DB832-A867-40BB-BF72-9D8EF3E96820}"/>
    <cellStyle name="Migliaia 3 3 2 2 10 2" xfId="9802" xr:uid="{E4E38803-9AC4-4525-AE48-6004A7D4BC22}"/>
    <cellStyle name="Migliaia 3 3 2 2 10 2 2" xfId="13461" xr:uid="{E96C7130-2E14-41E2-B0C0-5663FD7F19E4}"/>
    <cellStyle name="Migliaia 3 3 2 2 10 2 2 2" xfId="28638" xr:uid="{FDC2B319-3E74-4266-85E1-73CFA8939814}"/>
    <cellStyle name="Migliaia 3 3 2 2 10 2 3" xfId="24980" xr:uid="{50CE02A3-F881-46DE-AA0E-C96D2FF573A5}"/>
    <cellStyle name="Migliaia 3 3 2 2 10 3" xfId="5628" xr:uid="{7AD9ED83-D7C7-477F-B4EF-3FD2386D7237}"/>
    <cellStyle name="Migliaia 3 3 2 2 10 3 2" xfId="20808" xr:uid="{4AB70745-481A-4379-A905-7661B25E7541}"/>
    <cellStyle name="Migliaia 3 3 2 2 10 4" xfId="17520" xr:uid="{5A2DA0B1-7A44-47F4-83B6-E0AB92F32BB5}"/>
    <cellStyle name="Migliaia 3 3 2 2 11" xfId="3197" xr:uid="{13ADD65A-31B5-43B3-AF54-34A95C28E332}"/>
    <cellStyle name="Migliaia 3 3 2 2 11 2" xfId="10686" xr:uid="{D8D15668-811D-497D-AC66-C2610AD483CA}"/>
    <cellStyle name="Migliaia 3 3 2 2 11 2 2" xfId="14232" xr:uid="{87160298-744E-41AE-905D-311C7205BF0B}"/>
    <cellStyle name="Migliaia 3 3 2 2 11 2 2 2" xfId="29409" xr:uid="{889F1AED-A0E3-4D86-9E21-65A6056EA784}"/>
    <cellStyle name="Migliaia 3 3 2 2 11 2 3" xfId="25864" xr:uid="{8C37E7B2-5F55-4D19-B0D4-16FFCEDFEFA1}"/>
    <cellStyle name="Migliaia 3 3 2 2 11 3" xfId="6512" xr:uid="{24F9D618-B928-489C-A9DF-F4313235D10D}"/>
    <cellStyle name="Migliaia 3 3 2 2 11 3 2" xfId="21692" xr:uid="{D2CF0ABC-A280-4087-A8F2-541F57757C32}"/>
    <cellStyle name="Migliaia 3 3 2 2 11 4" xfId="18404" xr:uid="{CB8D09C3-CAA0-47A3-816B-5E17A68E4B21}"/>
    <cellStyle name="Migliaia 3 3 2 2 12" xfId="4428" xr:uid="{91D75213-E3DC-4779-8173-B827BC198A72}"/>
    <cellStyle name="Migliaia 3 3 2 2 12 2" xfId="11913" xr:uid="{E1E31747-5C19-4D30-9574-919ACED772A3}"/>
    <cellStyle name="Migliaia 3 3 2 2 12 2 2" xfId="15459" xr:uid="{0D25F2FB-72DA-45EF-A4E9-6D4462CF9D68}"/>
    <cellStyle name="Migliaia 3 3 2 2 12 2 2 2" xfId="30636" xr:uid="{EEFC43C8-26A9-43A1-B934-F06D5B915032}"/>
    <cellStyle name="Migliaia 3 3 2 2 12 2 3" xfId="27091" xr:uid="{582A934E-52A0-4E4C-85AD-C2F989AF9A63}"/>
    <cellStyle name="Migliaia 3 3 2 2 12 3" xfId="7739" xr:uid="{7B761EA3-81DD-48E9-AC33-54BEF6FE87A8}"/>
    <cellStyle name="Migliaia 3 3 2 2 12 3 2" xfId="22919" xr:uid="{A754E6E9-E5E5-4A8B-BD98-432246384649}"/>
    <cellStyle name="Migliaia 3 3 2 2 12 4" xfId="19631" xr:uid="{BC571E1A-3C5F-47ED-8441-8E92C734AA12}"/>
    <cellStyle name="Migliaia 3 3 2 2 13" xfId="8403" xr:uid="{2D10D11B-FB85-42C6-8A11-E8C367D49F23}"/>
    <cellStyle name="Migliaia 3 3 2 2 13 2" xfId="12577" xr:uid="{72095F96-BD50-40E8-B689-516043A7A30E}"/>
    <cellStyle name="Migliaia 3 3 2 2 13 2 2" xfId="27754" xr:uid="{B20FE28E-14AC-4989-A220-EB1D6C74549A}"/>
    <cellStyle name="Migliaia 3 3 2 2 13 3" xfId="23582" xr:uid="{90EEECD7-5CA5-4F04-BAC2-E2BC4582831D}"/>
    <cellStyle name="Migliaia 3 3 2 2 14" xfId="16122" xr:uid="{684E8FD6-4CAE-431A-9F63-E96F22393A7D}"/>
    <cellStyle name="Migliaia 3 3 2 2 15" xfId="31464" xr:uid="{33E4C20D-C6B3-4308-9811-2EA82C075DE4}"/>
    <cellStyle name="Migliaia 3 3 2 2 16" xfId="734" xr:uid="{0F0AB923-2996-475F-A24E-FFC1F7013879}"/>
    <cellStyle name="Migliaia 3 3 2 2 2" xfId="786" xr:uid="{3672B222-6516-4AF4-8EB4-A914D2153599}"/>
    <cellStyle name="Migliaia 3 3 2 2 2 10" xfId="8452" xr:uid="{A6E074C6-311C-4B2E-8970-4EE09F299FF0}"/>
    <cellStyle name="Migliaia 3 3 2 2 2 10 2" xfId="12626" xr:uid="{DC6E74C9-E397-4CD7-9942-C896FA7CE621}"/>
    <cellStyle name="Migliaia 3 3 2 2 2 10 2 2" xfId="27803" xr:uid="{F20E8835-BCDC-46A1-AB3E-43E7349EAE39}"/>
    <cellStyle name="Migliaia 3 3 2 2 2 10 3" xfId="23631" xr:uid="{32E3CAB2-3E61-48AA-A479-70238075AE23}"/>
    <cellStyle name="Migliaia 3 3 2 2 2 11" xfId="16171" xr:uid="{AFC3F409-E9B2-4B6F-8EE0-EAA2654F7EE2}"/>
    <cellStyle name="Migliaia 3 3 2 2 2 12" xfId="31513" xr:uid="{1B935EB0-1C44-4268-9C6D-0B6EEE84CF80}"/>
    <cellStyle name="Migliaia 3 3 2 2 2 2" xfId="963" xr:uid="{C874C082-5D93-4131-9231-F9ED19F4C1F9}"/>
    <cellStyle name="Migliaia 3 3 2 2 2 2 10" xfId="16293" xr:uid="{448ACEFD-F2F2-41ED-859F-5D5892470E4D}"/>
    <cellStyle name="Migliaia 3 3 2 2 2 2 11" xfId="31383" xr:uid="{9447C53D-ECEC-4B78-9EF6-F52C9515E07E}"/>
    <cellStyle name="Migliaia 3 3 2 2 2 2 12" xfId="31733" xr:uid="{52E94BE6-8A87-47C9-BDE2-64FB417BBECA}"/>
    <cellStyle name="Migliaia 3 3 2 2 2 2 2" xfId="1324" xr:uid="{973BAE3B-2E58-486B-99B3-63652B47224D}"/>
    <cellStyle name="Migliaia 3 3 2 2 2 2 2 2" xfId="3641" xr:uid="{56C5841B-B319-4F26-ADA0-05303462396A}"/>
    <cellStyle name="Migliaia 3 3 2 2 2 2 2 2 2" xfId="11129" xr:uid="{D3209643-7769-4224-951B-DD50C8BFDAFD}"/>
    <cellStyle name="Migliaia 3 3 2 2 2 2 2 2 2 2" xfId="14675" xr:uid="{41EDE86B-26DE-45F1-8636-B2A27049ABC5}"/>
    <cellStyle name="Migliaia 3 3 2 2 2 2 2 2 2 2 2" xfId="29852" xr:uid="{F11DECDD-B1F9-42CB-8F8F-9DC5B0D3E922}"/>
    <cellStyle name="Migliaia 3 3 2 2 2 2 2 2 2 3" xfId="26307" xr:uid="{A1C18D66-89BE-44B1-8695-1E8EB9AF13B2}"/>
    <cellStyle name="Migliaia 3 3 2 2 2 2 2 2 3" xfId="6955" xr:uid="{A1EE8234-157D-438B-A2E6-CF4834768DE9}"/>
    <cellStyle name="Migliaia 3 3 2 2 2 2 2 2 3 2" xfId="22135" xr:uid="{4E04D293-B474-4C3A-8068-D4D733AC5FF8}"/>
    <cellStyle name="Migliaia 3 3 2 2 2 2 2 2 4" xfId="18847" xr:uid="{617FF4A8-D5BB-4768-9266-450674487AAB}"/>
    <cellStyle name="Migliaia 3 3 2 2 2 2 2 3" xfId="4429" xr:uid="{49DB4CDA-309A-4B2D-ABF8-8BECFC4ECF26}"/>
    <cellStyle name="Migliaia 3 3 2 2 2 2 2 3 2" xfId="11914" xr:uid="{2D51E899-2246-4EDC-9A0A-60F2547D5263}"/>
    <cellStyle name="Migliaia 3 3 2 2 2 2 2 3 2 2" xfId="15460" xr:uid="{87B2836B-B00C-47D1-9529-4BF18CDC3311}"/>
    <cellStyle name="Migliaia 3 3 2 2 2 2 2 3 2 2 2" xfId="30637" xr:uid="{D89D93B7-29D5-4D34-994F-416326881B48}"/>
    <cellStyle name="Migliaia 3 3 2 2 2 2 2 3 2 3" xfId="27092" xr:uid="{F3711A2C-6354-419A-9FAD-0930357236F5}"/>
    <cellStyle name="Migliaia 3 3 2 2 2 2 2 3 3" xfId="7740" xr:uid="{073F3148-EF10-480A-9713-AA85AFB0E606}"/>
    <cellStyle name="Migliaia 3 3 2 2 2 2 2 3 3 2" xfId="22920" xr:uid="{6D8C885B-969F-45A0-8BBE-F0F5B410D7B0}"/>
    <cellStyle name="Migliaia 3 3 2 2 2 2 2 3 4" xfId="19632" xr:uid="{70904896-E90B-4D52-A22A-AB151552DADE}"/>
    <cellStyle name="Migliaia 3 3 2 2 2 2 2 4" xfId="2754" xr:uid="{16C9CB23-0961-41A0-957D-17A658F44DD6}"/>
    <cellStyle name="Migliaia 3 3 2 2 2 2 2 4 2" xfId="10245" xr:uid="{6B21AB01-069E-4D26-9260-33A85647F0D7}"/>
    <cellStyle name="Migliaia 3 3 2 2 2 2 2 4 2 2" xfId="25423" xr:uid="{487BA5DA-7DFA-4366-BD53-8460B5D3E920}"/>
    <cellStyle name="Migliaia 3 3 2 2 2 2 2 4 3" xfId="17963" xr:uid="{F7240421-E684-4439-94CB-DDC8496EDE03}"/>
    <cellStyle name="Migliaia 3 3 2 2 2 2 2 5" xfId="8847" xr:uid="{B656225F-0CE9-4259-B562-6B1F7AD8A31F}"/>
    <cellStyle name="Migliaia 3 3 2 2 2 2 2 5 2" xfId="13020" xr:uid="{126FB2A2-7170-4BDD-9C8D-1433F72F4DA5}"/>
    <cellStyle name="Migliaia 3 3 2 2 2 2 2 5 2 2" xfId="28197" xr:uid="{B0530925-E5A5-4EE5-99CC-B8FAB8F1CEB9}"/>
    <cellStyle name="Migliaia 3 3 2 2 2 2 2 5 3" xfId="24025" xr:uid="{96B73418-9302-4E63-B482-EFD6E333FE03}"/>
    <cellStyle name="Migliaia 3 3 2 2 2 2 2 6" xfId="6071" xr:uid="{5C7082D2-F7D6-4D6A-972D-743B75C2D09B}"/>
    <cellStyle name="Migliaia 3 3 2 2 2 2 2 6 2" xfId="21251" xr:uid="{D151881B-8970-44E6-AD4A-3A5F2DDC93FF}"/>
    <cellStyle name="Migliaia 3 3 2 2 2 2 2 7" xfId="16565" xr:uid="{F94766CD-7E5B-4330-894B-FFE1DEE4A144}"/>
    <cellStyle name="Migliaia 3 3 2 2 2 2 3" xfId="2481" xr:uid="{CA619CAB-509B-42B6-BCE2-BF179AD32E1E}"/>
    <cellStyle name="Migliaia 3 3 2 2 2 2 3 2" xfId="9973" xr:uid="{5C1B59CD-4C8C-426C-81F2-F921412F4659}"/>
    <cellStyle name="Migliaia 3 3 2 2 2 2 3 2 2" xfId="13632" xr:uid="{65B8BCBE-0DE0-4AAC-8033-008EE594F847}"/>
    <cellStyle name="Migliaia 3 3 2 2 2 2 3 2 2 2" xfId="28809" xr:uid="{23D33065-0961-4C72-81C7-9C50508CED37}"/>
    <cellStyle name="Migliaia 3 3 2 2 2 2 3 2 3" xfId="25151" xr:uid="{1857601F-9A39-4E09-933C-3F6BE925DA6E}"/>
    <cellStyle name="Migliaia 3 3 2 2 2 2 3 3" xfId="5799" xr:uid="{5644C74D-4871-4537-9B5D-3C074BB5869C}"/>
    <cellStyle name="Migliaia 3 3 2 2 2 2 3 3 2" xfId="20979" xr:uid="{6105B55A-454D-4C5B-8262-DCE4DF20650F}"/>
    <cellStyle name="Migliaia 3 3 2 2 2 2 3 4" xfId="17691" xr:uid="{BBCA41B8-6765-4A58-8AB6-F09A5E5E76E7}"/>
    <cellStyle name="Migliaia 3 3 2 2 2 2 4" xfId="3369" xr:uid="{32DAAB5A-F139-4D32-878D-95E82AFBD262}"/>
    <cellStyle name="Migliaia 3 3 2 2 2 2 4 2" xfId="10857" xr:uid="{AA17F03A-71C5-4A46-ABB8-769DA3B5AB03}"/>
    <cellStyle name="Migliaia 3 3 2 2 2 2 4 2 2" xfId="14403" xr:uid="{9E942466-2BAD-4E44-A2CA-0C9E3325FB62}"/>
    <cellStyle name="Migliaia 3 3 2 2 2 2 4 2 2 2" xfId="29580" xr:uid="{D064B36F-EBBB-46E9-BF5E-AA460169E935}"/>
    <cellStyle name="Migliaia 3 3 2 2 2 2 4 2 3" xfId="26035" xr:uid="{121E706F-D805-4074-8033-2030EB95B5FB}"/>
    <cellStyle name="Migliaia 3 3 2 2 2 2 4 3" xfId="6683" xr:uid="{18C483B7-E944-45AC-A174-4D84619FE54E}"/>
    <cellStyle name="Migliaia 3 3 2 2 2 2 4 3 2" xfId="21863" xr:uid="{B0ECE590-B8BB-42CA-98BC-27373D7A89A2}"/>
    <cellStyle name="Migliaia 3 3 2 2 2 2 4 4" xfId="18575" xr:uid="{81F18924-6923-4672-8090-54CDF0785148}"/>
    <cellStyle name="Migliaia 3 3 2 2 2 2 5" xfId="4430" xr:uid="{32C3DAA1-9BDD-4FDC-A0DB-272E3C8A08DA}"/>
    <cellStyle name="Migliaia 3 3 2 2 2 2 5 2" xfId="11915" xr:uid="{2255892B-DCDD-4D2A-B1E5-71F974453EC1}"/>
    <cellStyle name="Migliaia 3 3 2 2 2 2 5 2 2" xfId="15461" xr:uid="{44D6DFDA-93B3-4111-92C7-7249B6F83105}"/>
    <cellStyle name="Migliaia 3 3 2 2 2 2 5 2 2 2" xfId="30638" xr:uid="{3987B75A-5113-472C-BA08-4FE8C694D59A}"/>
    <cellStyle name="Migliaia 3 3 2 2 2 2 5 2 3" xfId="27093" xr:uid="{3E7BEF03-8C0E-48BC-A8C0-64C775C776A4}"/>
    <cellStyle name="Migliaia 3 3 2 2 2 2 5 3" xfId="7741" xr:uid="{A79AC13D-FF6C-41D4-93CF-7FDA38064CEA}"/>
    <cellStyle name="Migliaia 3 3 2 2 2 2 5 3 2" xfId="22921" xr:uid="{3814B02E-3649-4351-885E-7C40263C1205}"/>
    <cellStyle name="Migliaia 3 3 2 2 2 2 5 4" xfId="19633" xr:uid="{9AFDA780-D659-49C8-B99A-6663673DBB5D}"/>
    <cellStyle name="Migliaia 3 3 2 2 2 2 6" xfId="5043" xr:uid="{651FF838-05C2-4116-B58E-E5B6F0461112}"/>
    <cellStyle name="Migliaia 3 3 2 2 2 2 6 2" xfId="12527" xr:uid="{B81AC26E-98C7-4D91-9346-413B35D5A0D2}"/>
    <cellStyle name="Migliaia 3 3 2 2 2 2 6 2 2" xfId="16073" xr:uid="{00EC3301-D467-4A9A-AFBC-0F60F3F532A9}"/>
    <cellStyle name="Migliaia 3 3 2 2 2 2 6 2 2 2" xfId="31250" xr:uid="{109F0930-57F5-40AA-ADFD-AC260F850D38}"/>
    <cellStyle name="Migliaia 3 3 2 2 2 2 6 2 3" xfId="27705" xr:uid="{A0DA81B9-D126-4715-85DF-1CFA038ABBD0}"/>
    <cellStyle name="Migliaia 3 3 2 2 2 2 6 3" xfId="8353" xr:uid="{3F6CA3E2-1E3D-4971-B6D6-7B37FAE59091}"/>
    <cellStyle name="Migliaia 3 3 2 2 2 2 6 3 2" xfId="23533" xr:uid="{23830BEA-368C-4B67-8FC6-764FDE9277EF}"/>
    <cellStyle name="Migliaia 3 3 2 2 2 2 6 4" xfId="20245" xr:uid="{F5685C86-84C9-4295-946C-18EC3C237EF0}"/>
    <cellStyle name="Migliaia 3 3 2 2 2 2 7" xfId="1864" xr:uid="{F690CEEF-6240-4189-AD28-9203E4B2D028}"/>
    <cellStyle name="Migliaia 3 3 2 2 2 2 7 2" xfId="9361" xr:uid="{42FE07E1-2621-45D5-90E1-7F0256116A55}"/>
    <cellStyle name="Migliaia 3 3 2 2 2 2 7 2 2" xfId="24539" xr:uid="{15BF791F-5D51-45B4-9518-ACA83B4D25B6}"/>
    <cellStyle name="Migliaia 3 3 2 2 2 2 7 3" xfId="17079" xr:uid="{348B8BDB-F4DA-47FE-B82C-1CE214AA3D52}"/>
    <cellStyle name="Migliaia 3 3 2 2 2 2 8" xfId="8575" xr:uid="{E0FDF709-50D3-444D-851D-1A2017B7B093}"/>
    <cellStyle name="Migliaia 3 3 2 2 2 2 8 2" xfId="12748" xr:uid="{AD89B9A2-412E-41D9-9F0C-13F72646B95D}"/>
    <cellStyle name="Migliaia 3 3 2 2 2 2 8 2 2" xfId="27925" xr:uid="{DFA59FD1-227C-40E6-B6CE-467F5C5C1115}"/>
    <cellStyle name="Migliaia 3 3 2 2 2 2 8 3" xfId="23753" xr:uid="{AC47CCBE-FCAB-4A98-8E9D-C9ED08879405}"/>
    <cellStyle name="Migliaia 3 3 2 2 2 2 9" xfId="5187" xr:uid="{D3D9CB6B-1CD1-472E-B616-4E91E1B67A38}"/>
    <cellStyle name="Migliaia 3 3 2 2 2 2 9 2" xfId="20367" xr:uid="{D80AFD47-4328-486E-B791-E5AD06718A1F}"/>
    <cellStyle name="Migliaia 3 3 2 2 2 3" xfId="1066" xr:uid="{35E63974-BB11-491B-A83D-DEE8C32C7EE1}"/>
    <cellStyle name="Migliaia 3 3 2 2 2 3 10" xfId="31611" xr:uid="{556240F3-3484-49BB-BE84-C4CC6696AA45}"/>
    <cellStyle name="Migliaia 3 3 2 2 2 3 2" xfId="1426" xr:uid="{79CB4D2A-AC74-48CB-9CD1-E955562346BE}"/>
    <cellStyle name="Migliaia 3 3 2 2 2 3 2 2" xfId="3739" xr:uid="{DA473830-737E-42FE-98F6-2DF373C4AFD5}"/>
    <cellStyle name="Migliaia 3 3 2 2 2 3 2 2 2" xfId="11227" xr:uid="{C032E706-C728-4CBF-AD5B-7CD0DB78D143}"/>
    <cellStyle name="Migliaia 3 3 2 2 2 3 2 2 2 2" xfId="14773" xr:uid="{7323357C-6A6E-4E91-BFA3-3389A2905B7C}"/>
    <cellStyle name="Migliaia 3 3 2 2 2 3 2 2 2 2 2" xfId="29950" xr:uid="{DD7777BF-5AFB-415F-9BC0-E51868285B58}"/>
    <cellStyle name="Migliaia 3 3 2 2 2 3 2 2 2 3" xfId="26405" xr:uid="{2D1AF60A-F376-46A3-AEF4-56B3E858EFBE}"/>
    <cellStyle name="Migliaia 3 3 2 2 2 3 2 2 3" xfId="7053" xr:uid="{C802A845-EAA0-4FB8-8511-C50849A10431}"/>
    <cellStyle name="Migliaia 3 3 2 2 2 3 2 2 3 2" xfId="22233" xr:uid="{90D03F03-5C75-4999-BE76-C95D1AB36351}"/>
    <cellStyle name="Migliaia 3 3 2 2 2 3 2 2 4" xfId="18945" xr:uid="{6B04115B-5160-47DC-98FA-80D7B0272BF8}"/>
    <cellStyle name="Migliaia 3 3 2 2 2 3 2 3" xfId="4431" xr:uid="{20C98A84-5CDC-49DD-867A-8B514CD2A804}"/>
    <cellStyle name="Migliaia 3 3 2 2 2 3 2 3 2" xfId="11916" xr:uid="{BAE3AAC3-FEEF-422A-8ECE-C31F77979A3D}"/>
    <cellStyle name="Migliaia 3 3 2 2 2 3 2 3 2 2" xfId="15462" xr:uid="{EF5F47AC-4EDD-4439-BFED-DE15512BF86D}"/>
    <cellStyle name="Migliaia 3 3 2 2 2 3 2 3 2 2 2" xfId="30639" xr:uid="{BBFA4ED8-EAB6-4016-9D55-B26EB94D6B34}"/>
    <cellStyle name="Migliaia 3 3 2 2 2 3 2 3 2 3" xfId="27094" xr:uid="{EAAE5C60-C5C9-492F-B92C-75B53167A7D9}"/>
    <cellStyle name="Migliaia 3 3 2 2 2 3 2 3 3" xfId="7742" xr:uid="{6530A023-72C8-444C-9A99-2DAEC3E83ED5}"/>
    <cellStyle name="Migliaia 3 3 2 2 2 3 2 3 3 2" xfId="22922" xr:uid="{58BC4CA6-7E23-46C4-A443-84EDEE763A19}"/>
    <cellStyle name="Migliaia 3 3 2 2 2 3 2 3 4" xfId="19634" xr:uid="{BCD51516-F3F7-43E1-B7E6-A1150160F74F}"/>
    <cellStyle name="Migliaia 3 3 2 2 2 3 2 4" xfId="2852" xr:uid="{4C1FC584-545C-4876-B4E0-2FAF8933045A}"/>
    <cellStyle name="Migliaia 3 3 2 2 2 3 2 4 2" xfId="10343" xr:uid="{B317C419-E6C7-4BAB-B75B-8E6A52B0721B}"/>
    <cellStyle name="Migliaia 3 3 2 2 2 3 2 4 2 2" xfId="25521" xr:uid="{A21DA55C-5569-4070-B269-08830D458DEB}"/>
    <cellStyle name="Migliaia 3 3 2 2 2 3 2 4 3" xfId="18061" xr:uid="{9C2FA308-30E7-4479-9CD2-18B203BE2E08}"/>
    <cellStyle name="Migliaia 3 3 2 2 2 3 2 5" xfId="8945" xr:uid="{95FB9613-4DFB-4046-A199-B273087DC0C7}"/>
    <cellStyle name="Migliaia 3 3 2 2 2 3 2 5 2" xfId="13118" xr:uid="{05141D6F-9ADE-41C9-812B-06680A8E4F5C}"/>
    <cellStyle name="Migliaia 3 3 2 2 2 3 2 5 2 2" xfId="28295" xr:uid="{4700E40D-726F-4699-85EE-35AC2DEF80C3}"/>
    <cellStyle name="Migliaia 3 3 2 2 2 3 2 5 3" xfId="24123" xr:uid="{9C532ACF-A201-471B-AFC7-AFF0ACEB86A4}"/>
    <cellStyle name="Migliaia 3 3 2 2 2 3 2 6" xfId="6169" xr:uid="{4E9F19FD-D61A-49F1-ABE4-22BBDBD40293}"/>
    <cellStyle name="Migliaia 3 3 2 2 2 3 2 6 2" xfId="21349" xr:uid="{A863B036-5D2F-43D0-A55D-BFA0BB853357}"/>
    <cellStyle name="Migliaia 3 3 2 2 2 3 2 7" xfId="16663" xr:uid="{978BACB5-7B07-4FE9-878D-7ACCA2C5E92B}"/>
    <cellStyle name="Migliaia 3 3 2 2 2 3 3" xfId="2579" xr:uid="{268DBD12-C6A3-4BD1-AD62-39D68CE02456}"/>
    <cellStyle name="Migliaia 3 3 2 2 2 3 3 2" xfId="10071" xr:uid="{9412A189-6C1E-4401-9991-103400B0CA04}"/>
    <cellStyle name="Migliaia 3 3 2 2 2 3 3 2 2" xfId="13730" xr:uid="{31264839-37CB-4F8D-A435-DB70E031202A}"/>
    <cellStyle name="Migliaia 3 3 2 2 2 3 3 2 2 2" xfId="28907" xr:uid="{AEF7CC21-F277-4426-BBCE-F8748B7B1D75}"/>
    <cellStyle name="Migliaia 3 3 2 2 2 3 3 2 3" xfId="25249" xr:uid="{83EEA8E1-CC0D-4B1C-AB52-161420B5C298}"/>
    <cellStyle name="Migliaia 3 3 2 2 2 3 3 3" xfId="5897" xr:uid="{A2CA43F9-B39E-4307-8E8F-12BD5818FCBC}"/>
    <cellStyle name="Migliaia 3 3 2 2 2 3 3 3 2" xfId="21077" xr:uid="{0AFF8ABA-E1A8-4D0E-BA93-CBF6E170AABA}"/>
    <cellStyle name="Migliaia 3 3 2 2 2 3 3 4" xfId="17789" xr:uid="{0842776E-C84B-4745-A5FC-3830330E5AF9}"/>
    <cellStyle name="Migliaia 3 3 2 2 2 3 4" xfId="3467" xr:uid="{D1E76324-5CDC-41DA-94E7-EA2E94261004}"/>
    <cellStyle name="Migliaia 3 3 2 2 2 3 4 2" xfId="10955" xr:uid="{AD8823D3-81E5-44F3-A3E0-40C2921BAC9F}"/>
    <cellStyle name="Migliaia 3 3 2 2 2 3 4 2 2" xfId="14501" xr:uid="{98C113A2-C385-48C1-8A4F-F55999EA78DE}"/>
    <cellStyle name="Migliaia 3 3 2 2 2 3 4 2 2 2" xfId="29678" xr:uid="{04395F74-811D-41F9-A29B-DE331DCB6D6E}"/>
    <cellStyle name="Migliaia 3 3 2 2 2 3 4 2 3" xfId="26133" xr:uid="{244A4B30-35D7-4224-A56F-0B721127A0FA}"/>
    <cellStyle name="Migliaia 3 3 2 2 2 3 4 3" xfId="6781" xr:uid="{87E9B553-89D9-4BC2-97B9-6455BCD8EFB4}"/>
    <cellStyle name="Migliaia 3 3 2 2 2 3 4 3 2" xfId="21961" xr:uid="{65D06542-E38A-468E-BE27-3C2A7F9C87A1}"/>
    <cellStyle name="Migliaia 3 3 2 2 2 3 4 4" xfId="18673" xr:uid="{691930A2-4EE4-4527-99BB-8F71209EA954}"/>
    <cellStyle name="Migliaia 3 3 2 2 2 3 5" xfId="4432" xr:uid="{916304F4-FC9C-45B4-8295-820206EF7E99}"/>
    <cellStyle name="Migliaia 3 3 2 2 2 3 5 2" xfId="11917" xr:uid="{0042F8B6-659F-47AB-A7B6-E588CB76DB42}"/>
    <cellStyle name="Migliaia 3 3 2 2 2 3 5 2 2" xfId="15463" xr:uid="{512FE83C-37D5-42D7-B15A-151E7950E3F3}"/>
    <cellStyle name="Migliaia 3 3 2 2 2 3 5 2 2 2" xfId="30640" xr:uid="{368D10D4-66AB-4F90-A003-93E6948B0C1F}"/>
    <cellStyle name="Migliaia 3 3 2 2 2 3 5 2 3" xfId="27095" xr:uid="{29561820-DFD3-49B2-A9D5-ECF9B9C13A8D}"/>
    <cellStyle name="Migliaia 3 3 2 2 2 3 5 3" xfId="7743" xr:uid="{4590F2E3-F0D0-4284-A14E-EC36B48F6DB2}"/>
    <cellStyle name="Migliaia 3 3 2 2 2 3 5 3 2" xfId="22923" xr:uid="{5AC3FC4B-C4A8-4994-A6A5-0E83AA2A2A62}"/>
    <cellStyle name="Migliaia 3 3 2 2 2 3 5 4" xfId="19635" xr:uid="{34BD8A92-8F21-4026-9D99-415143FA1ABD}"/>
    <cellStyle name="Migliaia 3 3 2 2 2 3 6" xfId="1962" xr:uid="{2474B24C-9EB0-4135-BC12-E025A5864AFA}"/>
    <cellStyle name="Migliaia 3 3 2 2 2 3 6 2" xfId="9459" xr:uid="{E933FAE8-15F2-4605-AF1E-0B83999D9847}"/>
    <cellStyle name="Migliaia 3 3 2 2 2 3 6 2 2" xfId="24637" xr:uid="{7D3FEEFD-70E7-465B-8BE9-61AA91B3109D}"/>
    <cellStyle name="Migliaia 3 3 2 2 2 3 6 3" xfId="17177" xr:uid="{67257D32-EFFF-4ACB-8492-ABB43F2E0B01}"/>
    <cellStyle name="Migliaia 3 3 2 2 2 3 7" xfId="8673" xr:uid="{D9BC76AD-AA41-403E-A77F-1D124DC6EA67}"/>
    <cellStyle name="Migliaia 3 3 2 2 2 3 7 2" xfId="12846" xr:uid="{52A40095-116B-4969-96DA-C0E271959A57}"/>
    <cellStyle name="Migliaia 3 3 2 2 2 3 7 2 2" xfId="28023" xr:uid="{870280C8-58C2-4CC9-8AB3-DB31820A6DE8}"/>
    <cellStyle name="Migliaia 3 3 2 2 2 3 7 3" xfId="23851" xr:uid="{6AE36B01-D0E9-4374-8DBE-57912D64331C}"/>
    <cellStyle name="Migliaia 3 3 2 2 2 3 8" xfId="5285" xr:uid="{0D8FA4BD-1CA0-4220-9DF9-AB114F2F1603}"/>
    <cellStyle name="Migliaia 3 3 2 2 2 3 8 2" xfId="20465" xr:uid="{C06F337F-122A-42E1-AF0C-AF29EEEED799}"/>
    <cellStyle name="Migliaia 3 3 2 2 2 3 9" xfId="16391" xr:uid="{E61206DA-F861-4CE2-AAA7-0BA5BBC1CC99}"/>
    <cellStyle name="Migliaia 3 3 2 2 2 4" xfId="1525" xr:uid="{09A0C801-6F06-4061-B54F-1E31DEEC8491}"/>
    <cellStyle name="Migliaia 3 3 2 2 2 4 2" xfId="2950" xr:uid="{3603E615-6B31-466C-B70A-A00D474FFB11}"/>
    <cellStyle name="Migliaia 3 3 2 2 2 4 2 2" xfId="10441" xr:uid="{0C03B652-5D88-490D-9F04-527E5DFB9BB7}"/>
    <cellStyle name="Migliaia 3 3 2 2 2 4 2 2 2" xfId="13987" xr:uid="{5D31EA88-5432-455A-81FC-F6C47C778DE2}"/>
    <cellStyle name="Migliaia 3 3 2 2 2 4 2 2 2 2" xfId="29164" xr:uid="{2C682D0A-BB8B-413F-89EB-BF205830DFC5}"/>
    <cellStyle name="Migliaia 3 3 2 2 2 4 2 2 3" xfId="25619" xr:uid="{B991CA3C-B323-4727-A6C3-CE3C85431848}"/>
    <cellStyle name="Migliaia 3 3 2 2 2 4 2 3" xfId="6267" xr:uid="{D933B9E3-012C-4178-9E8E-7F91ADF532A4}"/>
    <cellStyle name="Migliaia 3 3 2 2 2 4 2 3 2" xfId="21447" xr:uid="{BF9E6146-C5E0-46FE-BB7C-2894D01E7F37}"/>
    <cellStyle name="Migliaia 3 3 2 2 2 4 2 4" xfId="18159" xr:uid="{BE2DFDC1-2F20-45CC-81AD-E25006D18E0B}"/>
    <cellStyle name="Migliaia 3 3 2 2 2 4 3" xfId="3837" xr:uid="{F2DDA4D0-427E-4BA7-B19E-0B384FCB974E}"/>
    <cellStyle name="Migliaia 3 3 2 2 2 4 3 2" xfId="11325" xr:uid="{9D699948-7752-431B-8520-3F17C5D26CB6}"/>
    <cellStyle name="Migliaia 3 3 2 2 2 4 3 2 2" xfId="14871" xr:uid="{990DCDEE-3D68-4E5D-9D44-436616284048}"/>
    <cellStyle name="Migliaia 3 3 2 2 2 4 3 2 2 2" xfId="30048" xr:uid="{08D6A856-5393-478C-B16C-EAB8FA9A1224}"/>
    <cellStyle name="Migliaia 3 3 2 2 2 4 3 2 3" xfId="26503" xr:uid="{060BE3CA-7C10-48E6-B422-D7095496ED24}"/>
    <cellStyle name="Migliaia 3 3 2 2 2 4 3 3" xfId="7151" xr:uid="{35746278-5CDF-4729-B751-42EEF34853F3}"/>
    <cellStyle name="Migliaia 3 3 2 2 2 4 3 3 2" xfId="22331" xr:uid="{FC7BB1BC-80BF-4CDE-8EB6-B2C033C583A1}"/>
    <cellStyle name="Migliaia 3 3 2 2 2 4 3 4" xfId="19043" xr:uid="{118A2431-EBBF-4DB4-B7F3-45BA4B53FEC1}"/>
    <cellStyle name="Migliaia 3 3 2 2 2 4 4" xfId="4433" xr:uid="{A605D1EA-ED2F-4371-817B-3F5669F630FD}"/>
    <cellStyle name="Migliaia 3 3 2 2 2 4 4 2" xfId="11918" xr:uid="{5759FE53-D74C-4CB3-B4F1-92E4380A79FA}"/>
    <cellStyle name="Migliaia 3 3 2 2 2 4 4 2 2" xfId="15464" xr:uid="{EB9B15B3-C0CE-41D1-AED7-7245648C2E9E}"/>
    <cellStyle name="Migliaia 3 3 2 2 2 4 4 2 2 2" xfId="30641" xr:uid="{2DF0416F-6DA8-4A57-A45B-5138A454022E}"/>
    <cellStyle name="Migliaia 3 3 2 2 2 4 4 2 3" xfId="27096" xr:uid="{2F65093E-7F38-4023-91ED-615365C8AF54}"/>
    <cellStyle name="Migliaia 3 3 2 2 2 4 4 3" xfId="7744" xr:uid="{72AD0437-E337-4D15-827D-69A0AE5BF93A}"/>
    <cellStyle name="Migliaia 3 3 2 2 2 4 4 3 2" xfId="22924" xr:uid="{11625F5D-5805-49FC-8EFE-B7A2A5953590}"/>
    <cellStyle name="Migliaia 3 3 2 2 2 4 4 4" xfId="19636" xr:uid="{2A47570A-55DF-4E08-93E1-D1CADF587F04}"/>
    <cellStyle name="Migliaia 3 3 2 2 2 4 5" xfId="2060" xr:uid="{52BC046C-1C72-4673-A352-41325D63B003}"/>
    <cellStyle name="Migliaia 3 3 2 2 2 4 5 2" xfId="9557" xr:uid="{032891FA-A27A-4F08-83BE-23A3705D9C6A}"/>
    <cellStyle name="Migliaia 3 3 2 2 2 4 5 2 2" xfId="24735" xr:uid="{71B4F59D-A70C-4ED5-B06B-62B518A43BCD}"/>
    <cellStyle name="Migliaia 3 3 2 2 2 4 5 3" xfId="17275" xr:uid="{E38BE72C-EB35-4EA7-8BA5-5F58EB5DFD2B}"/>
    <cellStyle name="Migliaia 3 3 2 2 2 4 6" xfId="9043" xr:uid="{349A39E3-67BC-42DA-8016-776C32FAF8C9}"/>
    <cellStyle name="Migliaia 3 3 2 2 2 4 6 2" xfId="13216" xr:uid="{4E20E267-5C8F-4156-B548-9B69DA16C3E7}"/>
    <cellStyle name="Migliaia 3 3 2 2 2 4 6 2 2" xfId="28393" xr:uid="{B82D50D7-92F5-4ECE-BFD9-3B402D64ED1D}"/>
    <cellStyle name="Migliaia 3 3 2 2 2 4 6 3" xfId="24221" xr:uid="{F5271305-DC13-4CA2-8D94-00E3B3548820}"/>
    <cellStyle name="Migliaia 3 3 2 2 2 4 7" xfId="5383" xr:uid="{E282D1BE-05F1-473C-9E32-053BAFCDC0D3}"/>
    <cellStyle name="Migliaia 3 3 2 2 2 4 7 2" xfId="20563" xr:uid="{1EE96AD1-0FD6-4164-8843-F50170480605}"/>
    <cellStyle name="Migliaia 3 3 2 2 2 4 8" xfId="16761" xr:uid="{4EA1E151-A125-4B06-8998-3CB7B3D46D39}"/>
    <cellStyle name="Migliaia 3 3 2 2 2 5" xfId="1628" xr:uid="{24D66287-CD62-4312-B9C6-0DD64861AE06}"/>
    <cellStyle name="Migliaia 3 3 2 2 2 5 2" xfId="3048" xr:uid="{42F227E7-F8D8-4D5A-ACE4-3CC1B14CE71D}"/>
    <cellStyle name="Migliaia 3 3 2 2 2 5 2 2" xfId="10539" xr:uid="{26353023-CBF9-46F3-A299-E184913AB442}"/>
    <cellStyle name="Migliaia 3 3 2 2 2 5 2 2 2" xfId="14085" xr:uid="{AA1C5F57-F39D-4433-83AA-1F8AFDF8CC35}"/>
    <cellStyle name="Migliaia 3 3 2 2 2 5 2 2 2 2" xfId="29262" xr:uid="{AA5C609A-C1D9-4DE2-AE6A-FDE1BEE8E6A8}"/>
    <cellStyle name="Migliaia 3 3 2 2 2 5 2 2 3" xfId="25717" xr:uid="{0F1A097A-69EC-4F08-8B28-05795097BC75}"/>
    <cellStyle name="Migliaia 3 3 2 2 2 5 2 3" xfId="6365" xr:uid="{70D09AE0-6807-4BA1-BFB6-AB86961896F6}"/>
    <cellStyle name="Migliaia 3 3 2 2 2 5 2 3 2" xfId="21545" xr:uid="{57A6E1B2-37BE-4591-A0A1-520AE9C42054}"/>
    <cellStyle name="Migliaia 3 3 2 2 2 5 2 4" xfId="18257" xr:uid="{DE695AC0-732A-4A57-B786-789856FF141E}"/>
    <cellStyle name="Migliaia 3 3 2 2 2 5 3" xfId="3935" xr:uid="{85453614-F30F-4CAD-9E17-8E28C48C4F53}"/>
    <cellStyle name="Migliaia 3 3 2 2 2 5 3 2" xfId="11423" xr:uid="{858DB80C-6625-4D8D-A266-9C5CAA7F3583}"/>
    <cellStyle name="Migliaia 3 3 2 2 2 5 3 2 2" xfId="14969" xr:uid="{4DAD70EF-A7A6-4994-A36C-DDF538843128}"/>
    <cellStyle name="Migliaia 3 3 2 2 2 5 3 2 2 2" xfId="30146" xr:uid="{1C8EA723-9AD4-45F2-B6E9-1F126087253A}"/>
    <cellStyle name="Migliaia 3 3 2 2 2 5 3 2 3" xfId="26601" xr:uid="{8ED33E1C-AE21-4091-B369-37B791CF3F3F}"/>
    <cellStyle name="Migliaia 3 3 2 2 2 5 3 3" xfId="7249" xr:uid="{9DF3CDFC-3D08-4111-B94D-93C23DF4F88B}"/>
    <cellStyle name="Migliaia 3 3 2 2 2 5 3 3 2" xfId="22429" xr:uid="{876AFEF2-3C93-417B-97E1-A24F85C545FF}"/>
    <cellStyle name="Migliaia 3 3 2 2 2 5 3 4" xfId="19141" xr:uid="{3D5263B3-F6F0-49EB-B0F6-AB2D46B9DE54}"/>
    <cellStyle name="Migliaia 3 3 2 2 2 5 4" xfId="4434" xr:uid="{48FBECED-39A0-486E-95CE-C4CE494FD8EC}"/>
    <cellStyle name="Migliaia 3 3 2 2 2 5 4 2" xfId="11919" xr:uid="{7C095AD6-4BBA-4FF5-9493-DCD5AD68CB40}"/>
    <cellStyle name="Migliaia 3 3 2 2 2 5 4 2 2" xfId="15465" xr:uid="{2A435EB9-6C4F-4E14-A815-6C6FEAD7E8D2}"/>
    <cellStyle name="Migliaia 3 3 2 2 2 5 4 2 2 2" xfId="30642" xr:uid="{EC253A27-11DD-4355-A2B1-681172FEF807}"/>
    <cellStyle name="Migliaia 3 3 2 2 2 5 4 2 3" xfId="27097" xr:uid="{9CC2C080-5CE5-41B0-89A1-96E1B8D53408}"/>
    <cellStyle name="Migliaia 3 3 2 2 2 5 4 3" xfId="7745" xr:uid="{3926B2F6-3E1E-4CCB-89D6-7B6FBD8FC9FA}"/>
    <cellStyle name="Migliaia 3 3 2 2 2 5 4 3 2" xfId="22925" xr:uid="{3E809C7C-512E-414E-A644-F10C69A4C1E5}"/>
    <cellStyle name="Migliaia 3 3 2 2 2 5 4 4" xfId="19637" xr:uid="{9D8DEEAE-9391-4DB3-9FEE-DAFE85D2D53F}"/>
    <cellStyle name="Migliaia 3 3 2 2 2 5 5" xfId="2158" xr:uid="{DB2268EA-F1CE-4B2C-B2E0-1341942246FF}"/>
    <cellStyle name="Migliaia 3 3 2 2 2 5 5 2" xfId="9655" xr:uid="{B0D4BE5A-D44C-49CD-9C2C-6B24BA6A3C44}"/>
    <cellStyle name="Migliaia 3 3 2 2 2 5 5 2 2" xfId="24833" xr:uid="{E92A0B6C-BD0F-4477-AAD9-B2ADBE868796}"/>
    <cellStyle name="Migliaia 3 3 2 2 2 5 5 3" xfId="17373" xr:uid="{1319C68E-ED1E-4A08-921C-67181AD85F47}"/>
    <cellStyle name="Migliaia 3 3 2 2 2 5 6" xfId="9141" xr:uid="{FCC4EAB5-D36E-4B66-889F-5DD82C568132}"/>
    <cellStyle name="Migliaia 3 3 2 2 2 5 6 2" xfId="13314" xr:uid="{18223DFD-1435-441D-BB25-AA6B95D67BE3}"/>
    <cellStyle name="Migliaia 3 3 2 2 2 5 6 2 2" xfId="28491" xr:uid="{5061428C-1E40-40F9-A095-00795618D6A2}"/>
    <cellStyle name="Migliaia 3 3 2 2 2 5 6 3" xfId="24319" xr:uid="{48270CA8-04EA-4BFF-B7BD-A722DFA85FC5}"/>
    <cellStyle name="Migliaia 3 3 2 2 2 5 7" xfId="5481" xr:uid="{4F1D038C-79B6-4D6E-8CF6-848A30EE8CB2}"/>
    <cellStyle name="Migliaia 3 3 2 2 2 5 7 2" xfId="20661" xr:uid="{971AE543-D4A0-4B4F-879C-67D14AC34AD6}"/>
    <cellStyle name="Migliaia 3 3 2 2 2 5 8" xfId="16859" xr:uid="{CA381E59-AA32-4FDC-AEC8-56907B6889B1}"/>
    <cellStyle name="Migliaia 3 3 2 2 2 6" xfId="1727" xr:uid="{332BAD7C-5732-424F-A431-0EBD4510B9BE}"/>
    <cellStyle name="Migliaia 3 3 2 2 2 6 2" xfId="3146" xr:uid="{E50D27A2-92D3-4CD7-9C52-05F56B850492}"/>
    <cellStyle name="Migliaia 3 3 2 2 2 6 2 2" xfId="10637" xr:uid="{46285328-D21A-43DC-B1B4-538D9FB667F8}"/>
    <cellStyle name="Migliaia 3 3 2 2 2 6 2 2 2" xfId="14183" xr:uid="{6BEEF1E0-0621-4C0C-8058-EAFE0B7351D0}"/>
    <cellStyle name="Migliaia 3 3 2 2 2 6 2 2 2 2" xfId="29360" xr:uid="{54D5B9E1-947E-4DCD-BEDE-8A7318BC396E}"/>
    <cellStyle name="Migliaia 3 3 2 2 2 6 2 2 3" xfId="25815" xr:uid="{1B68C1B9-8F60-4E27-9EAD-431799D10263}"/>
    <cellStyle name="Migliaia 3 3 2 2 2 6 2 3" xfId="6463" xr:uid="{BADF1B34-0F95-4428-B8FB-FE6C059E00D4}"/>
    <cellStyle name="Migliaia 3 3 2 2 2 6 2 3 2" xfId="21643" xr:uid="{9F96BA62-1B8D-47D9-9643-CBA07CDD7325}"/>
    <cellStyle name="Migliaia 3 3 2 2 2 6 2 4" xfId="18355" xr:uid="{EBFD7B5F-1B8B-4E79-8769-4CEA064FBFB5}"/>
    <cellStyle name="Migliaia 3 3 2 2 2 6 3" xfId="4033" xr:uid="{9FC8B1F8-21F9-4BEB-8EF5-48765AD19839}"/>
    <cellStyle name="Migliaia 3 3 2 2 2 6 3 2" xfId="11521" xr:uid="{540483C2-9275-4E20-BBCE-BF6DAAF80321}"/>
    <cellStyle name="Migliaia 3 3 2 2 2 6 3 2 2" xfId="15067" xr:uid="{BD0DB780-5C6A-43D6-9C31-00E5FAA1E703}"/>
    <cellStyle name="Migliaia 3 3 2 2 2 6 3 2 2 2" xfId="30244" xr:uid="{BB0EA567-AF0F-4362-8CB5-67E2E3B40CC1}"/>
    <cellStyle name="Migliaia 3 3 2 2 2 6 3 2 3" xfId="26699" xr:uid="{80122671-9CA3-481F-A0F2-927952512B42}"/>
    <cellStyle name="Migliaia 3 3 2 2 2 6 3 3" xfId="7347" xr:uid="{02788575-1223-4A36-BD04-C06AD3F4CBE4}"/>
    <cellStyle name="Migliaia 3 3 2 2 2 6 3 3 2" xfId="22527" xr:uid="{127BCC7E-2D6E-4B61-BFB3-7F810E1FC3F5}"/>
    <cellStyle name="Migliaia 3 3 2 2 2 6 3 4" xfId="19239" xr:uid="{D15C271B-3118-45D5-A220-DB6ABCDF6715}"/>
    <cellStyle name="Migliaia 3 3 2 2 2 6 4" xfId="4435" xr:uid="{98F02007-E19D-4B91-8C19-20D0EEF7D758}"/>
    <cellStyle name="Migliaia 3 3 2 2 2 6 4 2" xfId="11920" xr:uid="{54DD8AEA-F440-48D8-AA6F-ED08BF683445}"/>
    <cellStyle name="Migliaia 3 3 2 2 2 6 4 2 2" xfId="15466" xr:uid="{656EA4B7-CB2A-4212-816B-1229C7D198FA}"/>
    <cellStyle name="Migliaia 3 3 2 2 2 6 4 2 2 2" xfId="30643" xr:uid="{A5B4D6C5-333A-4E7F-9157-35DD925CF58F}"/>
    <cellStyle name="Migliaia 3 3 2 2 2 6 4 2 3" xfId="27098" xr:uid="{049E3024-47B2-45A7-BDD6-E135F88541EF}"/>
    <cellStyle name="Migliaia 3 3 2 2 2 6 4 3" xfId="7746" xr:uid="{17DFA5C0-BDEA-4F93-A27D-B91A1DFD53C0}"/>
    <cellStyle name="Migliaia 3 3 2 2 2 6 4 3 2" xfId="22926" xr:uid="{EA7CAF07-2DE0-4264-A1D9-E956FC710D68}"/>
    <cellStyle name="Migliaia 3 3 2 2 2 6 4 4" xfId="19638" xr:uid="{92B265CF-3308-49B2-B168-C1B9F4FA55E7}"/>
    <cellStyle name="Migliaia 3 3 2 2 2 6 5" xfId="2256" xr:uid="{CF35C85C-0585-4B35-A677-EA37CFB35ABB}"/>
    <cellStyle name="Migliaia 3 3 2 2 2 6 5 2" xfId="9753" xr:uid="{F5411DE3-792A-4231-A1AD-5ECFC0A820CE}"/>
    <cellStyle name="Migliaia 3 3 2 2 2 6 5 2 2" xfId="24931" xr:uid="{8D1C9A8B-8F2D-4976-BC08-45F74E02476F}"/>
    <cellStyle name="Migliaia 3 3 2 2 2 6 5 3" xfId="17471" xr:uid="{BB0DB0B4-5975-4BC0-AB3B-3EB7205C0402}"/>
    <cellStyle name="Migliaia 3 3 2 2 2 6 6" xfId="9239" xr:uid="{AF409241-B210-4713-8CCD-384242712A7B}"/>
    <cellStyle name="Migliaia 3 3 2 2 2 6 6 2" xfId="13412" xr:uid="{DDB47109-CFA7-4EB1-8F91-DD61F5A96FA3}"/>
    <cellStyle name="Migliaia 3 3 2 2 2 6 6 2 2" xfId="28589" xr:uid="{3246F54D-1298-4750-AA66-07F32106B563}"/>
    <cellStyle name="Migliaia 3 3 2 2 2 6 6 3" xfId="24417" xr:uid="{33A07ACF-166D-4824-BA90-65ED72F27FAB}"/>
    <cellStyle name="Migliaia 3 3 2 2 2 6 7" xfId="5579" xr:uid="{C3373069-7F2A-4768-B358-9C0B1FE34DB2}"/>
    <cellStyle name="Migliaia 3 3 2 2 2 6 7 2" xfId="20759" xr:uid="{ED6D2D92-EBD9-4691-9138-7911A5FF1A99}"/>
    <cellStyle name="Migliaia 3 3 2 2 2 6 8" xfId="16957" xr:uid="{50A9DB07-AAF3-4B1E-AA2F-9331CD02E339}"/>
    <cellStyle name="Migliaia 3 3 2 2 2 7" xfId="2356" xr:uid="{DFBD8717-B01B-4F36-80B5-3F2F5DA99F9C}"/>
    <cellStyle name="Migliaia 3 3 2 2 2 7 2" xfId="9851" xr:uid="{5BAE9DB4-747E-4108-A57A-CDCE617B2F1F}"/>
    <cellStyle name="Migliaia 3 3 2 2 2 7 2 2" xfId="13510" xr:uid="{8744F90D-98D0-4E87-B535-0B5E3CE32056}"/>
    <cellStyle name="Migliaia 3 3 2 2 2 7 2 2 2" xfId="28687" xr:uid="{526A7678-4470-4E9D-8D6A-BDC3A21F39C2}"/>
    <cellStyle name="Migliaia 3 3 2 2 2 7 2 3" xfId="25029" xr:uid="{9AF349DC-DEB9-4BEE-A4A4-C2D15EC4AA42}"/>
    <cellStyle name="Migliaia 3 3 2 2 2 7 3" xfId="5677" xr:uid="{FC53BF49-01C9-4330-9623-52A7BC9F699C}"/>
    <cellStyle name="Migliaia 3 3 2 2 2 7 3 2" xfId="20857" xr:uid="{36A0ACB8-E31A-495A-8BC5-FC3C324171AD}"/>
    <cellStyle name="Migliaia 3 3 2 2 2 7 4" xfId="17569" xr:uid="{28012FA0-067C-42C0-9413-51CF1271E5B7}"/>
    <cellStyle name="Migliaia 3 3 2 2 2 8" xfId="3246" xr:uid="{EA99B6B8-346E-4C7B-A04B-7C789B5436F3}"/>
    <cellStyle name="Migliaia 3 3 2 2 2 8 2" xfId="10735" xr:uid="{69274FD0-C45D-418A-8A8F-AEEDE045BE29}"/>
    <cellStyle name="Migliaia 3 3 2 2 2 8 2 2" xfId="14281" xr:uid="{D53103A2-171E-4422-9BF1-C16B5095AAB3}"/>
    <cellStyle name="Migliaia 3 3 2 2 2 8 2 2 2" xfId="29458" xr:uid="{4FE2D4CD-97F4-4F6F-934F-13A455340F5A}"/>
    <cellStyle name="Migliaia 3 3 2 2 2 8 2 3" xfId="25913" xr:uid="{4FB39320-E77F-466C-AC17-C1CCB30ECF2A}"/>
    <cellStyle name="Migliaia 3 3 2 2 2 8 3" xfId="6561" xr:uid="{10F4B96B-46E2-4FA6-99BD-738247796277}"/>
    <cellStyle name="Migliaia 3 3 2 2 2 8 3 2" xfId="21741" xr:uid="{1E5FBDEB-5CB0-4768-8BBF-584C3E241ADF}"/>
    <cellStyle name="Migliaia 3 3 2 2 2 8 4" xfId="18453" xr:uid="{DCFE9BFC-5A92-4430-A6D9-548482397697}"/>
    <cellStyle name="Migliaia 3 3 2 2 2 9" xfId="4436" xr:uid="{7D1B2674-AF1D-46A0-BACE-C6975DF703D3}"/>
    <cellStyle name="Migliaia 3 3 2 2 2 9 2" xfId="11921" xr:uid="{648991A1-2DCA-444A-830B-017F3E1BBD67}"/>
    <cellStyle name="Migliaia 3 3 2 2 2 9 2 2" xfId="15467" xr:uid="{0AB9DD3C-C70D-4C9E-815F-DCED12C2B29C}"/>
    <cellStyle name="Migliaia 3 3 2 2 2 9 2 2 2" xfId="30644" xr:uid="{865F42C3-28D9-414A-BE68-70F69BD4D83B}"/>
    <cellStyle name="Migliaia 3 3 2 2 2 9 2 3" xfId="27099" xr:uid="{21917DF8-D9B1-4A0E-A932-FDEB85A465B4}"/>
    <cellStyle name="Migliaia 3 3 2 2 2 9 3" xfId="7747" xr:uid="{766411F9-1279-48AD-9AF5-76A51B9DBEDC}"/>
    <cellStyle name="Migliaia 3 3 2 2 2 9 3 2" xfId="22927" xr:uid="{00A68532-B753-4AA3-83F0-DA70A035A527}"/>
    <cellStyle name="Migliaia 3 3 2 2 2 9 4" xfId="19639" xr:uid="{AB70B321-4AC4-4701-8581-43CB05399307}"/>
    <cellStyle name="Migliaia 3 3 2 2 3" xfId="914" xr:uid="{529862D8-5F70-4CC6-AB8F-D4CF2426EE70}"/>
    <cellStyle name="Migliaia 3 3 2 2 3 2" xfId="2432" xr:uid="{0C6496D8-DF94-4A12-ACE5-07000B48E8C8}"/>
    <cellStyle name="Migliaia 3 3 2 2 3 2 2" xfId="9924" xr:uid="{ACC2C016-6DF0-4C0F-B501-8AC359CB5A9C}"/>
    <cellStyle name="Migliaia 3 3 2 2 3 2 2 2" xfId="13583" xr:uid="{8E66F163-6D2C-47B7-9855-413408CF7DAB}"/>
    <cellStyle name="Migliaia 3 3 2 2 3 2 2 2 2" xfId="28760" xr:uid="{BF1D4E17-259B-4801-BDFE-DB9A413741BA}"/>
    <cellStyle name="Migliaia 3 3 2 2 3 2 2 3" xfId="25102" xr:uid="{FE028E36-35B9-4B0D-A21A-0DCF94DBDA67}"/>
    <cellStyle name="Migliaia 3 3 2 2 3 2 3" xfId="5750" xr:uid="{703F54F3-1643-4ACF-831A-37F2F8345C45}"/>
    <cellStyle name="Migliaia 3 3 2 2 3 2 3 2" xfId="20930" xr:uid="{3C165F8B-0F8D-44F1-BAF0-76B6501461A1}"/>
    <cellStyle name="Migliaia 3 3 2 2 3 2 4" xfId="17642" xr:uid="{FEF4A6D7-F6C3-4BEE-B14B-3C5E6651904F}"/>
    <cellStyle name="Migliaia 3 3 2 2 3 3" xfId="3320" xr:uid="{1863A653-87DE-4D9E-BEB3-1E9516A0C0B5}"/>
    <cellStyle name="Migliaia 3 3 2 2 3 3 2" xfId="10808" xr:uid="{E8E20437-30D0-4108-A56D-449FB2793414}"/>
    <cellStyle name="Migliaia 3 3 2 2 3 3 2 2" xfId="14354" xr:uid="{11483E19-322E-4AEA-855E-C5E3510DEC94}"/>
    <cellStyle name="Migliaia 3 3 2 2 3 3 2 2 2" xfId="29531" xr:uid="{D4039905-E4D8-4BEF-90B8-4377AA93CE32}"/>
    <cellStyle name="Migliaia 3 3 2 2 3 3 2 3" xfId="25986" xr:uid="{4DB3D0AB-F725-4255-8221-5DD28C66C557}"/>
    <cellStyle name="Migliaia 3 3 2 2 3 3 3" xfId="6634" xr:uid="{F7C1BB3C-6D49-4998-BE27-64CD663D5CF3}"/>
    <cellStyle name="Migliaia 3 3 2 2 3 3 3 2" xfId="21814" xr:uid="{CBEAB38D-4779-4854-80DB-6B9AA6C9E742}"/>
    <cellStyle name="Migliaia 3 3 2 2 3 3 4" xfId="18526" xr:uid="{BF5BCF08-99F5-49DE-9794-1F84B36C4C7E}"/>
    <cellStyle name="Migliaia 3 3 2 2 3 4" xfId="4437" xr:uid="{4179AB06-3582-40A7-A810-2CF6728F4BA1}"/>
    <cellStyle name="Migliaia 3 3 2 2 3 4 2" xfId="11922" xr:uid="{AB8ACAC8-0DEC-4C19-AB30-86490AC84527}"/>
    <cellStyle name="Migliaia 3 3 2 2 3 4 2 2" xfId="15468" xr:uid="{027D5978-1A79-4E18-93C9-3A0E0BF03BC7}"/>
    <cellStyle name="Migliaia 3 3 2 2 3 4 2 2 2" xfId="30645" xr:uid="{18363C34-2036-4A5E-AF63-B6BF0D236A67}"/>
    <cellStyle name="Migliaia 3 3 2 2 3 4 2 3" xfId="27100" xr:uid="{3F53264A-6A43-4A43-9A20-E96B2745BBE1}"/>
    <cellStyle name="Migliaia 3 3 2 2 3 4 3" xfId="7748" xr:uid="{6A5ABC01-0311-4AEF-AD79-2AAF97DC11D2}"/>
    <cellStyle name="Migliaia 3 3 2 2 3 4 3 2" xfId="22928" xr:uid="{480ACE1D-C714-4213-81BF-E897E5C23F01}"/>
    <cellStyle name="Migliaia 3 3 2 2 3 4 4" xfId="19640" xr:uid="{362E3B3B-88C5-4283-83FE-9E7319C5EE81}"/>
    <cellStyle name="Migliaia 3 3 2 2 3 5" xfId="8526" xr:uid="{C85249D8-FC05-44DE-BA59-0FF1FC13319D}"/>
    <cellStyle name="Migliaia 3 3 2 2 3 5 2" xfId="12699" xr:uid="{4003F7DA-AD95-4035-877F-B9AE08C9FE6A}"/>
    <cellStyle name="Migliaia 3 3 2 2 3 5 2 2" xfId="27876" xr:uid="{034CAA2A-FC16-41CB-908C-5EBBFA2F2ADC}"/>
    <cellStyle name="Migliaia 3 3 2 2 3 5 3" xfId="23704" xr:uid="{2A14BB96-2011-4532-903C-AACDB836717F}"/>
    <cellStyle name="Migliaia 3 3 2 2 3 6" xfId="16244" xr:uid="{00ACBBCB-C660-4503-A441-04074CF99FA9}"/>
    <cellStyle name="Migliaia 3 3 2 2 3 7" xfId="31684" xr:uid="{2F0220B8-CA91-4CE2-8622-26678D11CC62}"/>
    <cellStyle name="Migliaia 3 3 2 2 4" xfId="1017" xr:uid="{EDA8B55D-5B5E-4332-8E00-D3B49EF77681}"/>
    <cellStyle name="Migliaia 3 3 2 2 4 2" xfId="2530" xr:uid="{EBA74C5B-805E-4F77-801D-11274E1F849A}"/>
    <cellStyle name="Migliaia 3 3 2 2 4 2 2" xfId="10022" xr:uid="{4976D112-5C34-4971-ACFB-DB5173838047}"/>
    <cellStyle name="Migliaia 3 3 2 2 4 2 2 2" xfId="13681" xr:uid="{487B4C7D-47C8-4C71-A048-B97E8C001F2D}"/>
    <cellStyle name="Migliaia 3 3 2 2 4 2 2 2 2" xfId="28858" xr:uid="{9E443CF3-6586-4220-94AC-6886A778B79D}"/>
    <cellStyle name="Migliaia 3 3 2 2 4 2 2 3" xfId="25200" xr:uid="{801E69C2-359A-4966-A87A-6C15EAD7129F}"/>
    <cellStyle name="Migliaia 3 3 2 2 4 2 3" xfId="5848" xr:uid="{98F3644F-7549-4914-8624-4D4CE1730EDA}"/>
    <cellStyle name="Migliaia 3 3 2 2 4 2 3 2" xfId="21028" xr:uid="{BF8EB693-6622-402E-80B1-252DC25652CB}"/>
    <cellStyle name="Migliaia 3 3 2 2 4 2 4" xfId="17740" xr:uid="{500DD713-785A-4BD6-9E3E-5B3B8CBA29F6}"/>
    <cellStyle name="Migliaia 3 3 2 2 4 3" xfId="3418" xr:uid="{4000C743-1EF7-4F28-B9BD-CAA7A00F21BB}"/>
    <cellStyle name="Migliaia 3 3 2 2 4 3 2" xfId="10906" xr:uid="{4EBA1FD2-BDA5-421E-A414-FB449DAD3917}"/>
    <cellStyle name="Migliaia 3 3 2 2 4 3 2 2" xfId="14452" xr:uid="{F781AEC2-EE5C-4FD1-ABB0-11740FA67608}"/>
    <cellStyle name="Migliaia 3 3 2 2 4 3 2 2 2" xfId="29629" xr:uid="{52EDDFB3-3B19-47CF-887B-885B82792AA9}"/>
    <cellStyle name="Migliaia 3 3 2 2 4 3 2 3" xfId="26084" xr:uid="{B307F324-69F7-4A46-B5A5-EBB520AA3E2C}"/>
    <cellStyle name="Migliaia 3 3 2 2 4 3 3" xfId="6732" xr:uid="{E47B06EF-6B8D-450F-8CEC-BE70A65FADB4}"/>
    <cellStyle name="Migliaia 3 3 2 2 4 3 3 2" xfId="21912" xr:uid="{4776D88A-F0C1-4EA4-9959-EA22D479909B}"/>
    <cellStyle name="Migliaia 3 3 2 2 4 3 4" xfId="18624" xr:uid="{622EBD9A-42D8-472D-B45B-C23ACCA33DD3}"/>
    <cellStyle name="Migliaia 3 3 2 2 4 4" xfId="4438" xr:uid="{A78C128C-3814-48DA-B31F-997DA4E81B75}"/>
    <cellStyle name="Migliaia 3 3 2 2 4 4 2" xfId="11923" xr:uid="{7077E291-0D24-41E2-BC55-1F41E9650BC7}"/>
    <cellStyle name="Migliaia 3 3 2 2 4 4 2 2" xfId="15469" xr:uid="{9EE1F8C0-C1F1-4DE0-8055-CF499817A467}"/>
    <cellStyle name="Migliaia 3 3 2 2 4 4 2 2 2" xfId="30646" xr:uid="{BF7A2D5C-E0EF-47F4-9B60-E371ED7B0484}"/>
    <cellStyle name="Migliaia 3 3 2 2 4 4 2 3" xfId="27101" xr:uid="{0EB20F50-9496-4305-91B1-E091E2061B2B}"/>
    <cellStyle name="Migliaia 3 3 2 2 4 4 3" xfId="7749" xr:uid="{9C26BFB8-E285-41C2-8B79-80570744EDE0}"/>
    <cellStyle name="Migliaia 3 3 2 2 4 4 3 2" xfId="22929" xr:uid="{476711EF-3289-40BF-ABB8-70CDF6BF968D}"/>
    <cellStyle name="Migliaia 3 3 2 2 4 4 4" xfId="19641" xr:uid="{52C7AFBE-191F-4BF7-AF8D-DCE149934596}"/>
    <cellStyle name="Migliaia 3 3 2 2 4 5" xfId="8624" xr:uid="{9CB9FA9C-D226-417E-B09E-6C65EE383761}"/>
    <cellStyle name="Migliaia 3 3 2 2 4 5 2" xfId="12797" xr:uid="{DA11405C-31C4-4144-8FB8-9FCF8B04118C}"/>
    <cellStyle name="Migliaia 3 3 2 2 4 5 2 2" xfId="27974" xr:uid="{8C61EE2E-D2D8-4931-98DE-3914A62239B4}"/>
    <cellStyle name="Migliaia 3 3 2 2 4 5 3" xfId="23802" xr:uid="{368D9A67-E6BD-4599-86A3-4D371221BBEA}"/>
    <cellStyle name="Migliaia 3 3 2 2 4 6" xfId="16342" xr:uid="{37F580EB-EEE6-4D3B-A6B3-1843A8A9662A}"/>
    <cellStyle name="Migliaia 3 3 2 2 4 7" xfId="31562" xr:uid="{94A8A92E-9372-4D26-8DF5-7682DE32B3D6}"/>
    <cellStyle name="Migliaia 3 3 2 2 5" xfId="1275" xr:uid="{BE4C77F7-D480-42BD-BD76-EF10469BB91A}"/>
    <cellStyle name="Migliaia 3 3 2 2 5 10" xfId="31334" xr:uid="{93C091C7-1254-4B91-8FAA-21BD58498B2E}"/>
    <cellStyle name="Migliaia 3 3 2 2 5 2" xfId="2705" xr:uid="{FFEA23D5-E63D-4ABC-B907-82EC97A30396}"/>
    <cellStyle name="Migliaia 3 3 2 2 5 2 2" xfId="10196" xr:uid="{FADC20D6-65B4-437F-9EAC-AFBBBC11DA0E}"/>
    <cellStyle name="Migliaia 3 3 2 2 5 2 2 2" xfId="13840" xr:uid="{D01B8B5B-2EC4-4AC9-8224-C64C3DDE518A}"/>
    <cellStyle name="Migliaia 3 3 2 2 5 2 2 2 2" xfId="29017" xr:uid="{45498DE5-4447-4F42-9D26-84DAF32AE82A}"/>
    <cellStyle name="Migliaia 3 3 2 2 5 2 2 3" xfId="25374" xr:uid="{DB4FCBBA-DEBA-423E-944D-4229E3DAA72C}"/>
    <cellStyle name="Migliaia 3 3 2 2 5 2 3" xfId="6022" xr:uid="{86DE7563-A104-4580-9A83-E909FE54DF91}"/>
    <cellStyle name="Migliaia 3 3 2 2 5 2 3 2" xfId="21202" xr:uid="{6F0B9F7F-69CC-4F42-B27D-62A2624E1EAD}"/>
    <cellStyle name="Migliaia 3 3 2 2 5 2 4" xfId="17914" xr:uid="{FA8F99BB-1362-4AA0-AF2D-D85F7C58DD4B}"/>
    <cellStyle name="Migliaia 3 3 2 2 5 3" xfId="3592" xr:uid="{EF65E005-B809-41D8-A439-920AC583599C}"/>
    <cellStyle name="Migliaia 3 3 2 2 5 3 2" xfId="11080" xr:uid="{14374B48-47A4-46CF-8498-48921D062900}"/>
    <cellStyle name="Migliaia 3 3 2 2 5 3 2 2" xfId="14626" xr:uid="{24C39B42-33D8-453C-BB69-0BE31D8530DB}"/>
    <cellStyle name="Migliaia 3 3 2 2 5 3 2 2 2" xfId="29803" xr:uid="{166254E2-3F7A-4BAE-9E0B-0DC7E8E86D8E}"/>
    <cellStyle name="Migliaia 3 3 2 2 5 3 2 3" xfId="26258" xr:uid="{EB2DF0A0-9258-498E-AF1B-6C68116B053F}"/>
    <cellStyle name="Migliaia 3 3 2 2 5 3 3" xfId="6906" xr:uid="{A8B1DC63-152F-48F6-87FF-A183C39AD6CC}"/>
    <cellStyle name="Migliaia 3 3 2 2 5 3 3 2" xfId="22086" xr:uid="{2EA17251-5073-4CAD-B0C5-FBF271B97792}"/>
    <cellStyle name="Migliaia 3 3 2 2 5 3 4" xfId="18798" xr:uid="{CC1AD81F-71D9-4EDB-858D-F27AF5CA73A8}"/>
    <cellStyle name="Migliaia 3 3 2 2 5 4" xfId="4439" xr:uid="{C6FF93A5-83E8-4514-ACDD-103A315F0278}"/>
    <cellStyle name="Migliaia 3 3 2 2 5 4 2" xfId="11924" xr:uid="{8B2CC28D-1074-4D2B-A93D-5B65289C0C47}"/>
    <cellStyle name="Migliaia 3 3 2 2 5 4 2 2" xfId="15470" xr:uid="{5B813CF6-1A05-4FBF-9AEA-FEF4E0B80A0F}"/>
    <cellStyle name="Migliaia 3 3 2 2 5 4 2 2 2" xfId="30647" xr:uid="{86B86106-C01D-41F5-B73E-476647EB0100}"/>
    <cellStyle name="Migliaia 3 3 2 2 5 4 2 3" xfId="27102" xr:uid="{BE25DCE3-D137-4044-8C73-8E70740DA192}"/>
    <cellStyle name="Migliaia 3 3 2 2 5 4 3" xfId="7750" xr:uid="{C7363197-8A9F-4941-8B5B-DE997CBD52A7}"/>
    <cellStyle name="Migliaia 3 3 2 2 5 4 3 2" xfId="22930" xr:uid="{BCF7CB4E-EE26-4195-8F45-12EA118B8717}"/>
    <cellStyle name="Migliaia 3 3 2 2 5 4 4" xfId="19642" xr:uid="{E9159823-C49F-4D6D-835F-1D0A84E98DD2}"/>
    <cellStyle name="Migliaia 3 3 2 2 5 5" xfId="4994" xr:uid="{4C9499D1-4427-4303-A06C-0C49588EFD55}"/>
    <cellStyle name="Migliaia 3 3 2 2 5 5 2" xfId="12478" xr:uid="{C9EA8A64-D29E-49B1-A7A3-B89576F7A257}"/>
    <cellStyle name="Migliaia 3 3 2 2 5 5 2 2" xfId="16024" xr:uid="{AD297C5D-5B1E-4382-9E1B-CE48F55E6B34}"/>
    <cellStyle name="Migliaia 3 3 2 2 5 5 2 2 2" xfId="31201" xr:uid="{DB65DE5F-048B-4081-944B-B343F30F23A3}"/>
    <cellStyle name="Migliaia 3 3 2 2 5 5 2 3" xfId="27656" xr:uid="{E8B8FB6C-2074-4992-A48E-D4CEB7BE6BE1}"/>
    <cellStyle name="Migliaia 3 3 2 2 5 5 3" xfId="8304" xr:uid="{3D9AC6E8-908C-46CA-AB49-F2BD528AF240}"/>
    <cellStyle name="Migliaia 3 3 2 2 5 5 3 2" xfId="23484" xr:uid="{1A45C559-D64A-402D-843E-4491D3EEF6BC}"/>
    <cellStyle name="Migliaia 3 3 2 2 5 5 4" xfId="20196" xr:uid="{5EE724AD-4751-437A-A277-72DFCFCF70A1}"/>
    <cellStyle name="Migliaia 3 3 2 2 5 6" xfId="1815" xr:uid="{CE88222F-A9A3-4E4F-9773-FB4F709AD23F}"/>
    <cellStyle name="Migliaia 3 3 2 2 5 6 2" xfId="9312" xr:uid="{DE4D1495-67AD-4787-B029-AB365F3164C5}"/>
    <cellStyle name="Migliaia 3 3 2 2 5 6 2 2" xfId="24490" xr:uid="{30E6F372-80CE-44FD-BE84-E17581FE17B2}"/>
    <cellStyle name="Migliaia 3 3 2 2 5 6 3" xfId="17030" xr:uid="{538BB920-183D-408B-8D34-6B4166F747BD}"/>
    <cellStyle name="Migliaia 3 3 2 2 5 7" xfId="8798" xr:uid="{3972D259-184F-4282-9192-DFBAB2867982}"/>
    <cellStyle name="Migliaia 3 3 2 2 5 7 2" xfId="12971" xr:uid="{FEBE4C48-1316-4868-8C73-3F06402AFE3E}"/>
    <cellStyle name="Migliaia 3 3 2 2 5 7 2 2" xfId="28148" xr:uid="{E57A07A9-A88E-4D39-B51A-B25B96DE9C2B}"/>
    <cellStyle name="Migliaia 3 3 2 2 5 7 3" xfId="23976" xr:uid="{BF3B0702-EABF-4A96-B470-C647DCEFE4D0}"/>
    <cellStyle name="Migliaia 3 3 2 2 5 8" xfId="5138" xr:uid="{DCB25C17-6020-4CD3-8E35-446B3BFBA680}"/>
    <cellStyle name="Migliaia 3 3 2 2 5 8 2" xfId="20318" xr:uid="{05EDE6DF-B750-43ED-8B36-F037DAC9B12B}"/>
    <cellStyle name="Migliaia 3 3 2 2 5 9" xfId="16516" xr:uid="{40C495BA-360F-4A94-B977-60B54394A1D8}"/>
    <cellStyle name="Migliaia 3 3 2 2 6" xfId="1377" xr:uid="{0E661CAF-E684-43D2-A340-22AB353D4D89}"/>
    <cellStyle name="Migliaia 3 3 2 2 6 2" xfId="2803" xr:uid="{B7796E8B-4438-4DE1-B54C-81A798583E16}"/>
    <cellStyle name="Migliaia 3 3 2 2 6 2 2" xfId="10294" xr:uid="{46FDBE27-181B-499B-8409-59E54BB79E32}"/>
    <cellStyle name="Migliaia 3 3 2 2 6 2 2 2" xfId="13889" xr:uid="{C9AE619E-D95A-4310-8C02-D5E839B7BC3A}"/>
    <cellStyle name="Migliaia 3 3 2 2 6 2 2 2 2" xfId="29066" xr:uid="{26448916-C1EF-46EE-8A53-EFF20EA91C86}"/>
    <cellStyle name="Migliaia 3 3 2 2 6 2 2 3" xfId="25472" xr:uid="{DAD8B47C-8D3E-4295-90B0-DBEB656E2A0E}"/>
    <cellStyle name="Migliaia 3 3 2 2 6 2 3" xfId="6120" xr:uid="{7402EA52-D107-4278-AF73-50F5D61F4D5E}"/>
    <cellStyle name="Migliaia 3 3 2 2 6 2 3 2" xfId="21300" xr:uid="{77F957F2-CA59-4135-8A91-0CC8067E1D95}"/>
    <cellStyle name="Migliaia 3 3 2 2 6 2 4" xfId="18012" xr:uid="{464461BD-AA76-401D-9788-F8C9FC79454F}"/>
    <cellStyle name="Migliaia 3 3 2 2 6 3" xfId="3690" xr:uid="{DF6C2B84-04F3-4BD1-BAB9-339D6E85315B}"/>
    <cellStyle name="Migliaia 3 3 2 2 6 3 2" xfId="11178" xr:uid="{C1481112-704A-4E8D-9ED3-F7D01E0589DF}"/>
    <cellStyle name="Migliaia 3 3 2 2 6 3 2 2" xfId="14724" xr:uid="{EC4C2DB5-DA1B-4F3E-9B1E-2B652868AE10}"/>
    <cellStyle name="Migliaia 3 3 2 2 6 3 2 2 2" xfId="29901" xr:uid="{F04DD233-4D8A-4FCC-94C0-2441CD48FBBF}"/>
    <cellStyle name="Migliaia 3 3 2 2 6 3 2 3" xfId="26356" xr:uid="{5D70F4DB-ED86-4C87-A16F-C92B686264D7}"/>
    <cellStyle name="Migliaia 3 3 2 2 6 3 3" xfId="7004" xr:uid="{37FCCB7D-5DBD-4024-AB09-ABA40BE400A5}"/>
    <cellStyle name="Migliaia 3 3 2 2 6 3 3 2" xfId="22184" xr:uid="{3608315C-E5CA-48CA-808D-2B2B89140D7E}"/>
    <cellStyle name="Migliaia 3 3 2 2 6 3 4" xfId="18896" xr:uid="{7555615B-05D8-4779-9E85-C6D7EF895C6D}"/>
    <cellStyle name="Migliaia 3 3 2 2 6 4" xfId="4440" xr:uid="{F71998E1-B18E-4A0D-A76A-C5E6FE9A2E36}"/>
    <cellStyle name="Migliaia 3 3 2 2 6 4 2" xfId="11925" xr:uid="{287F68D9-DED4-4308-AC81-3D6FF1C99ED5}"/>
    <cellStyle name="Migliaia 3 3 2 2 6 4 2 2" xfId="15471" xr:uid="{278D821F-7369-49AD-B13F-E46C33F532DF}"/>
    <cellStyle name="Migliaia 3 3 2 2 6 4 2 2 2" xfId="30648" xr:uid="{4B54AD1F-F74F-40E6-A93D-FC4E9CEDEAAD}"/>
    <cellStyle name="Migliaia 3 3 2 2 6 4 2 3" xfId="27103" xr:uid="{073F0424-B49B-43FE-BEF7-516721038270}"/>
    <cellStyle name="Migliaia 3 3 2 2 6 4 3" xfId="7751" xr:uid="{DC4B04A5-C5F8-4143-813E-F3C6DE0831F1}"/>
    <cellStyle name="Migliaia 3 3 2 2 6 4 3 2" xfId="22931" xr:uid="{4EF58B6B-4692-4FEF-A589-B37E8C7BA162}"/>
    <cellStyle name="Migliaia 3 3 2 2 6 4 4" xfId="19643" xr:uid="{4A11571D-DFAA-4B35-A995-F0BF758BEF75}"/>
    <cellStyle name="Migliaia 3 3 2 2 6 5" xfId="1913" xr:uid="{E6151E1D-0E89-472D-B3AA-BD4474403A88}"/>
    <cellStyle name="Migliaia 3 3 2 2 6 5 2" xfId="9410" xr:uid="{C6A86608-9582-42DC-AB3D-88A1E1424909}"/>
    <cellStyle name="Migliaia 3 3 2 2 6 5 2 2" xfId="24588" xr:uid="{850AFA97-87EF-4617-839A-ED6AE1967134}"/>
    <cellStyle name="Migliaia 3 3 2 2 6 5 3" xfId="17128" xr:uid="{6C2A76F8-E9FB-4782-B67D-BAB3713ECFE9}"/>
    <cellStyle name="Migliaia 3 3 2 2 6 6" xfId="8896" xr:uid="{362ECD44-E01F-4664-A3CD-4B8C83585647}"/>
    <cellStyle name="Migliaia 3 3 2 2 6 6 2" xfId="13069" xr:uid="{DFB0D6D4-0234-49DC-ACF9-A12546C3637B}"/>
    <cellStyle name="Migliaia 3 3 2 2 6 6 2 2" xfId="28246" xr:uid="{3F551545-E6AC-4987-B20C-BD057327205D}"/>
    <cellStyle name="Migliaia 3 3 2 2 6 6 3" xfId="24074" xr:uid="{EAF4F2CC-18A4-47A1-BD59-611BC220A625}"/>
    <cellStyle name="Migliaia 3 3 2 2 6 7" xfId="5236" xr:uid="{067007B4-FC0B-42AF-9F72-A988DFB25DF0}"/>
    <cellStyle name="Migliaia 3 3 2 2 6 7 2" xfId="20416" xr:uid="{8266A613-24C2-4568-A448-50EA194D6062}"/>
    <cellStyle name="Migliaia 3 3 2 2 6 8" xfId="16614" xr:uid="{17FE47BF-43E8-4C81-8845-19110B69485A}"/>
    <cellStyle name="Migliaia 3 3 2 2 7" xfId="1476" xr:uid="{774C29FD-4669-4271-B28A-1D29411E0DD8}"/>
    <cellStyle name="Migliaia 3 3 2 2 7 2" xfId="2901" xr:uid="{B5CAB0C0-1889-41E8-B1D5-EACF545B2113}"/>
    <cellStyle name="Migliaia 3 3 2 2 7 2 2" xfId="10392" xr:uid="{7C1D07D0-0B61-4AA6-A60B-2B0178630CDE}"/>
    <cellStyle name="Migliaia 3 3 2 2 7 2 2 2" xfId="13938" xr:uid="{D58ABCC8-BBEC-4D65-A4B0-22788DDF0D56}"/>
    <cellStyle name="Migliaia 3 3 2 2 7 2 2 2 2" xfId="29115" xr:uid="{61CAB0A2-AFEE-4895-B06B-03AF646EF587}"/>
    <cellStyle name="Migliaia 3 3 2 2 7 2 2 3" xfId="25570" xr:uid="{71EDC2DA-0A29-4111-BECF-2FEAD650849D}"/>
    <cellStyle name="Migliaia 3 3 2 2 7 2 3" xfId="6218" xr:uid="{61BD7B1E-0A44-42A3-952A-D187C11BEE28}"/>
    <cellStyle name="Migliaia 3 3 2 2 7 2 3 2" xfId="21398" xr:uid="{7EE2BE71-DB09-4C9C-ACF3-878855F2E517}"/>
    <cellStyle name="Migliaia 3 3 2 2 7 2 4" xfId="18110" xr:uid="{295ED1DA-FEEA-4936-84D3-11296FF3DD38}"/>
    <cellStyle name="Migliaia 3 3 2 2 7 3" xfId="3788" xr:uid="{FF4D0EBE-CD02-4C27-AAD3-8A94403B6959}"/>
    <cellStyle name="Migliaia 3 3 2 2 7 3 2" xfId="11276" xr:uid="{BAAECF93-B21C-41FB-9CEA-093BB2141EE8}"/>
    <cellStyle name="Migliaia 3 3 2 2 7 3 2 2" xfId="14822" xr:uid="{4AE91500-D504-44FD-A073-73ECFE3D72FF}"/>
    <cellStyle name="Migliaia 3 3 2 2 7 3 2 2 2" xfId="29999" xr:uid="{502FCA51-D0D7-42ED-8D55-97A4890FB493}"/>
    <cellStyle name="Migliaia 3 3 2 2 7 3 2 3" xfId="26454" xr:uid="{DFE827F9-D74B-4AAC-8BE6-AD65D1A02FD4}"/>
    <cellStyle name="Migliaia 3 3 2 2 7 3 3" xfId="7102" xr:uid="{F61FF863-4286-4718-9CA0-0B1BCA33B00F}"/>
    <cellStyle name="Migliaia 3 3 2 2 7 3 3 2" xfId="22282" xr:uid="{EB919640-2394-4EE5-BF99-6D9A6B7D4CEB}"/>
    <cellStyle name="Migliaia 3 3 2 2 7 3 4" xfId="18994" xr:uid="{8B40AB65-6A92-48C9-8BB5-EDF0B20E0876}"/>
    <cellStyle name="Migliaia 3 3 2 2 7 4" xfId="4441" xr:uid="{0BBC1E58-E8C0-4C89-A82D-E75B11C0D306}"/>
    <cellStyle name="Migliaia 3 3 2 2 7 4 2" xfId="11926" xr:uid="{28288748-4B90-435F-A7F4-311799D052B7}"/>
    <cellStyle name="Migliaia 3 3 2 2 7 4 2 2" xfId="15472" xr:uid="{86694A16-2C7B-4C07-9123-3EAE48AF1E70}"/>
    <cellStyle name="Migliaia 3 3 2 2 7 4 2 2 2" xfId="30649" xr:uid="{1BA2A37F-F425-4ABF-817F-396B9D2ED5F5}"/>
    <cellStyle name="Migliaia 3 3 2 2 7 4 2 3" xfId="27104" xr:uid="{B76A2E63-88D6-490C-8F58-5831C0C60473}"/>
    <cellStyle name="Migliaia 3 3 2 2 7 4 3" xfId="7752" xr:uid="{8DDCDC54-177E-497F-9C69-85D97A4D7672}"/>
    <cellStyle name="Migliaia 3 3 2 2 7 4 3 2" xfId="22932" xr:uid="{058893EB-8598-4EC4-A21B-B4053EB06C5E}"/>
    <cellStyle name="Migliaia 3 3 2 2 7 4 4" xfId="19644" xr:uid="{5D9F0077-BB8F-4ACC-BDD8-9BD66FADD206}"/>
    <cellStyle name="Migliaia 3 3 2 2 7 5" xfId="2011" xr:uid="{35E45399-5AE8-406F-8826-EF34ADCD744F}"/>
    <cellStyle name="Migliaia 3 3 2 2 7 5 2" xfId="9508" xr:uid="{E9291181-15FC-43F9-BB0E-425064D6F93B}"/>
    <cellStyle name="Migliaia 3 3 2 2 7 5 2 2" xfId="24686" xr:uid="{4FA3083B-4DA8-4A7A-827D-41F7862D6FB3}"/>
    <cellStyle name="Migliaia 3 3 2 2 7 5 3" xfId="17226" xr:uid="{EF849C7F-B9D2-4676-ABC2-E75D9AA42628}"/>
    <cellStyle name="Migliaia 3 3 2 2 7 6" xfId="8994" xr:uid="{9C324F5C-8F8C-4A0B-B26F-AF7A0C14FD14}"/>
    <cellStyle name="Migliaia 3 3 2 2 7 6 2" xfId="13167" xr:uid="{982FC6BA-4E15-4745-BDCF-F3056466289C}"/>
    <cellStyle name="Migliaia 3 3 2 2 7 6 2 2" xfId="28344" xr:uid="{7F64EDE1-FBDC-41E3-9615-FC9143F5F97A}"/>
    <cellStyle name="Migliaia 3 3 2 2 7 6 3" xfId="24172" xr:uid="{7442A14F-3469-42F4-A547-864499988695}"/>
    <cellStyle name="Migliaia 3 3 2 2 7 7" xfId="5334" xr:uid="{A4A28EEB-5C2B-4CCB-A115-CCAA81E8C733}"/>
    <cellStyle name="Migliaia 3 3 2 2 7 7 2" xfId="20514" xr:uid="{A4EE29E8-A5AF-4AD8-90F4-ABD64F9D6C19}"/>
    <cellStyle name="Migliaia 3 3 2 2 7 8" xfId="16712" xr:uid="{80A651FB-A766-46F8-8A03-B85CE1CDAF45}"/>
    <cellStyle name="Migliaia 3 3 2 2 8" xfId="1579" xr:uid="{8F385DF6-7F94-4E21-B142-7614BE30E8E3}"/>
    <cellStyle name="Migliaia 3 3 2 2 8 2" xfId="2999" xr:uid="{76C0F593-C82D-44E9-91C5-258E15F25AF1}"/>
    <cellStyle name="Migliaia 3 3 2 2 8 2 2" xfId="10490" xr:uid="{FFE782BD-DDCC-48C8-9C0B-D3ABAC88AB4C}"/>
    <cellStyle name="Migliaia 3 3 2 2 8 2 2 2" xfId="14036" xr:uid="{8E4456F1-AC06-43B7-B4E1-705880F2AA54}"/>
    <cellStyle name="Migliaia 3 3 2 2 8 2 2 2 2" xfId="29213" xr:uid="{10B4C0A6-011A-4382-BB78-0390AAFA2E9C}"/>
    <cellStyle name="Migliaia 3 3 2 2 8 2 2 3" xfId="25668" xr:uid="{32B64015-82D0-4D24-90A5-AB2BAB450EF8}"/>
    <cellStyle name="Migliaia 3 3 2 2 8 2 3" xfId="6316" xr:uid="{1EE3C9A4-82FB-4B9A-8F3B-6AF3AB71A84F}"/>
    <cellStyle name="Migliaia 3 3 2 2 8 2 3 2" xfId="21496" xr:uid="{77AC8EEE-6346-4EE0-94D1-AF61B55FBE2B}"/>
    <cellStyle name="Migliaia 3 3 2 2 8 2 4" xfId="18208" xr:uid="{4BD3F995-7DC7-420C-A19E-220F2D2FF0EA}"/>
    <cellStyle name="Migliaia 3 3 2 2 8 3" xfId="3886" xr:uid="{F81FB292-4F65-4EDE-8A6F-F62979FE80BF}"/>
    <cellStyle name="Migliaia 3 3 2 2 8 3 2" xfId="11374" xr:uid="{E22C7FCE-B231-4014-B006-8BA8571FE6B2}"/>
    <cellStyle name="Migliaia 3 3 2 2 8 3 2 2" xfId="14920" xr:uid="{A67EA506-2105-4967-A1CD-61BBCB199AB7}"/>
    <cellStyle name="Migliaia 3 3 2 2 8 3 2 2 2" xfId="30097" xr:uid="{42E2C265-9139-4296-A8CE-EB64859AAD22}"/>
    <cellStyle name="Migliaia 3 3 2 2 8 3 2 3" xfId="26552" xr:uid="{4DA6C5DA-FA67-44C1-A82A-1A0BCB3B1ADD}"/>
    <cellStyle name="Migliaia 3 3 2 2 8 3 3" xfId="7200" xr:uid="{239121BA-04C4-4DD1-83BF-4CD6DED57E8C}"/>
    <cellStyle name="Migliaia 3 3 2 2 8 3 3 2" xfId="22380" xr:uid="{F7B915AE-A702-4695-83AE-95A8D4D15F4A}"/>
    <cellStyle name="Migliaia 3 3 2 2 8 3 4" xfId="19092" xr:uid="{B9588B52-1F0C-4A7B-8962-9F379913CF32}"/>
    <cellStyle name="Migliaia 3 3 2 2 8 4" xfId="4442" xr:uid="{A9F91717-970B-4BB8-99BD-13D4BE566DEB}"/>
    <cellStyle name="Migliaia 3 3 2 2 8 4 2" xfId="11927" xr:uid="{9DE4AD04-E8DC-4F14-B49D-8C01CEEF2B97}"/>
    <cellStyle name="Migliaia 3 3 2 2 8 4 2 2" xfId="15473" xr:uid="{ED644BCC-AE9D-460F-BAF1-DA8B279E4667}"/>
    <cellStyle name="Migliaia 3 3 2 2 8 4 2 2 2" xfId="30650" xr:uid="{AA44C37C-A78C-4DC5-924A-816B8FEEE512}"/>
    <cellStyle name="Migliaia 3 3 2 2 8 4 2 3" xfId="27105" xr:uid="{778DDD20-70D2-42B6-880A-96E91CA297B4}"/>
    <cellStyle name="Migliaia 3 3 2 2 8 4 3" xfId="7753" xr:uid="{10F8F3A3-CDE7-4B65-8C74-F2457FE44268}"/>
    <cellStyle name="Migliaia 3 3 2 2 8 4 3 2" xfId="22933" xr:uid="{08860353-47EA-4D41-B4A5-9ABD9DCA4889}"/>
    <cellStyle name="Migliaia 3 3 2 2 8 4 4" xfId="19645" xr:uid="{FC5FAB8F-829D-4D08-8551-276E995AD141}"/>
    <cellStyle name="Migliaia 3 3 2 2 8 5" xfId="2109" xr:uid="{AFD79765-8141-45E0-BDC0-C48F62549AF4}"/>
    <cellStyle name="Migliaia 3 3 2 2 8 5 2" xfId="9606" xr:uid="{7658227C-A4DB-4DCB-8F8B-0A67575F7557}"/>
    <cellStyle name="Migliaia 3 3 2 2 8 5 2 2" xfId="24784" xr:uid="{70864F21-9E71-4909-8D44-ABF2C986EF90}"/>
    <cellStyle name="Migliaia 3 3 2 2 8 5 3" xfId="17324" xr:uid="{D5C3AF14-CEBD-41A2-B439-41F03D2E30EC}"/>
    <cellStyle name="Migliaia 3 3 2 2 8 6" xfId="9092" xr:uid="{D8AF0C5C-BC93-458C-A490-58944E0F222E}"/>
    <cellStyle name="Migliaia 3 3 2 2 8 6 2" xfId="13265" xr:uid="{B24524A5-82DA-4C7C-A931-82F3733576B4}"/>
    <cellStyle name="Migliaia 3 3 2 2 8 6 2 2" xfId="28442" xr:uid="{F0DE85A2-D08F-4FBE-A74A-2F762A4C41FC}"/>
    <cellStyle name="Migliaia 3 3 2 2 8 6 3" xfId="24270" xr:uid="{4019F1BA-18FE-4F8B-8673-2D96DD235D7B}"/>
    <cellStyle name="Migliaia 3 3 2 2 8 7" xfId="5432" xr:uid="{C4327C28-156A-4809-BE17-A744E90F82D4}"/>
    <cellStyle name="Migliaia 3 3 2 2 8 7 2" xfId="20612" xr:uid="{30CAA4E9-E239-4EDD-8037-4E36979F49DA}"/>
    <cellStyle name="Migliaia 3 3 2 2 8 8" xfId="16810" xr:uid="{ED21C0D3-5931-4710-B2F3-C972B12F0761}"/>
    <cellStyle name="Migliaia 3 3 2 2 9" xfId="1678" xr:uid="{C5B08402-E1C4-4307-BE16-3987280C3F62}"/>
    <cellStyle name="Migliaia 3 3 2 2 9 2" xfId="3097" xr:uid="{1EFA8807-EA60-41CC-9A56-047975DF9D07}"/>
    <cellStyle name="Migliaia 3 3 2 2 9 2 2" xfId="10588" xr:uid="{2491CDF7-64DB-497D-A263-FD6E4C18CEC8}"/>
    <cellStyle name="Migliaia 3 3 2 2 9 2 2 2" xfId="14134" xr:uid="{0C566002-D9C1-4F40-9C91-87DA0A4CB9B1}"/>
    <cellStyle name="Migliaia 3 3 2 2 9 2 2 2 2" xfId="29311" xr:uid="{996D9EA8-4D6D-42EE-A5C1-4BCB95D19C7D}"/>
    <cellStyle name="Migliaia 3 3 2 2 9 2 2 3" xfId="25766" xr:uid="{2ED2511B-6DF3-41E7-8FB2-28E6DD6AB6E3}"/>
    <cellStyle name="Migliaia 3 3 2 2 9 2 3" xfId="6414" xr:uid="{5B1EFDFD-57C5-493C-B88C-2ED4583872EB}"/>
    <cellStyle name="Migliaia 3 3 2 2 9 2 3 2" xfId="21594" xr:uid="{21650D5E-3E90-4EC5-AEB9-D4B7AE096E17}"/>
    <cellStyle name="Migliaia 3 3 2 2 9 2 4" xfId="18306" xr:uid="{60E55656-4BD1-4C43-8215-5AD983D00C75}"/>
    <cellStyle name="Migliaia 3 3 2 2 9 3" xfId="3984" xr:uid="{1FB3AAC8-5C32-45D9-B499-19474BF3D8AD}"/>
    <cellStyle name="Migliaia 3 3 2 2 9 3 2" xfId="11472" xr:uid="{34E4372A-81A5-4254-A0D3-8DBF2D51A317}"/>
    <cellStyle name="Migliaia 3 3 2 2 9 3 2 2" xfId="15018" xr:uid="{324641E6-65B7-4A6C-B1B4-33811381170B}"/>
    <cellStyle name="Migliaia 3 3 2 2 9 3 2 2 2" xfId="30195" xr:uid="{3BC55B3F-BBF9-441F-B45D-75813D4D806B}"/>
    <cellStyle name="Migliaia 3 3 2 2 9 3 2 3" xfId="26650" xr:uid="{670CD9A7-5471-45DF-8388-A6D81AF315A1}"/>
    <cellStyle name="Migliaia 3 3 2 2 9 3 3" xfId="7298" xr:uid="{6D8304CF-B34F-4F24-B140-7DF6261B5FED}"/>
    <cellStyle name="Migliaia 3 3 2 2 9 3 3 2" xfId="22478" xr:uid="{3F315910-3716-4928-870E-3DE3DF9C7EE4}"/>
    <cellStyle name="Migliaia 3 3 2 2 9 3 4" xfId="19190" xr:uid="{7F936E2F-D425-43B7-8BA6-0F16477EC291}"/>
    <cellStyle name="Migliaia 3 3 2 2 9 4" xfId="4443" xr:uid="{F0F20129-0F43-4CB2-B700-F8CEE5C91330}"/>
    <cellStyle name="Migliaia 3 3 2 2 9 4 2" xfId="11928" xr:uid="{B6284E40-BC43-4000-8A0D-DDD8F5284D11}"/>
    <cellStyle name="Migliaia 3 3 2 2 9 4 2 2" xfId="15474" xr:uid="{CF07E7BC-325F-491C-992A-702C52A7F806}"/>
    <cellStyle name="Migliaia 3 3 2 2 9 4 2 2 2" xfId="30651" xr:uid="{7EE5A437-C3C6-4596-9DED-B408F1193DF0}"/>
    <cellStyle name="Migliaia 3 3 2 2 9 4 2 3" xfId="27106" xr:uid="{D7710200-1825-44A5-8769-F52A7B44B9D7}"/>
    <cellStyle name="Migliaia 3 3 2 2 9 4 3" xfId="7754" xr:uid="{F79E2C3B-6C18-4AE9-B60C-E9ADC00F6D36}"/>
    <cellStyle name="Migliaia 3 3 2 2 9 4 3 2" xfId="22934" xr:uid="{026EB5F6-588C-4F3D-9A22-2B269E08883A}"/>
    <cellStyle name="Migliaia 3 3 2 2 9 4 4" xfId="19646" xr:uid="{24F05BF1-C0F9-4226-B608-2B82D334FFFF}"/>
    <cellStyle name="Migliaia 3 3 2 2 9 5" xfId="2207" xr:uid="{0E8C865E-1D65-401F-B66F-823A19F592B3}"/>
    <cellStyle name="Migliaia 3 3 2 2 9 5 2" xfId="9704" xr:uid="{44BD6062-38A6-4DA2-8043-6EEF78064022}"/>
    <cellStyle name="Migliaia 3 3 2 2 9 5 2 2" xfId="24882" xr:uid="{B5B86D79-B9C8-4D8F-B495-BDC0C71734EB}"/>
    <cellStyle name="Migliaia 3 3 2 2 9 5 3" xfId="17422" xr:uid="{261524E8-D8FB-44FA-85C3-0B24925B0C9F}"/>
    <cellStyle name="Migliaia 3 3 2 2 9 6" xfId="9190" xr:uid="{B7F2CA42-1D9D-47C9-AB21-CE8DDB7AF0D9}"/>
    <cellStyle name="Migliaia 3 3 2 2 9 6 2" xfId="13363" xr:uid="{E349BE9C-D080-4DE5-B15D-7B70C1C7B37A}"/>
    <cellStyle name="Migliaia 3 3 2 2 9 6 2 2" xfId="28540" xr:uid="{37AFAEF8-C536-4394-AA85-F9E737B0A39B}"/>
    <cellStyle name="Migliaia 3 3 2 2 9 6 3" xfId="24368" xr:uid="{848C06BB-883D-4139-BAEE-51179C5B1475}"/>
    <cellStyle name="Migliaia 3 3 2 2 9 7" xfId="5530" xr:uid="{C40D047A-2050-4972-8E6F-217D301DF656}"/>
    <cellStyle name="Migliaia 3 3 2 2 9 7 2" xfId="20710" xr:uid="{27AA962A-4E40-4BD1-B16C-FA7E0F44DF2B}"/>
    <cellStyle name="Migliaia 3 3 2 2 9 8" xfId="16908" xr:uid="{3628B410-BEA7-4D2B-9748-A040BAC5B27D}"/>
    <cellStyle name="Migliaia 3 3 2 3" xfId="761" xr:uid="{06989310-E529-4A39-900A-9B62D8E78605}"/>
    <cellStyle name="Migliaia 3 3 2 3 10" xfId="8427" xr:uid="{56F87ED5-6722-41EA-8DDB-B1D2DA6CB2CC}"/>
    <cellStyle name="Migliaia 3 3 2 3 10 2" xfId="12601" xr:uid="{23C7B927-881B-4797-9A05-ED7452B52642}"/>
    <cellStyle name="Migliaia 3 3 2 3 10 2 2" xfId="27778" xr:uid="{E10B4216-B152-4746-9991-45D9DCEBA725}"/>
    <cellStyle name="Migliaia 3 3 2 3 10 3" xfId="23606" xr:uid="{70BE26F1-734F-44EF-8E16-0819C808EE49}"/>
    <cellStyle name="Migliaia 3 3 2 3 11" xfId="16146" xr:uid="{CCF98A0B-7F7D-4413-AECC-9DCE03B85CFE}"/>
    <cellStyle name="Migliaia 3 3 2 3 12" xfId="31488" xr:uid="{D8762A54-71DF-4E27-A9EC-3E0057F7C432}"/>
    <cellStyle name="Migliaia 3 3 2 3 2" xfId="938" xr:uid="{AE9D3AAF-7E16-463C-A12A-A71269487233}"/>
    <cellStyle name="Migliaia 3 3 2 3 2 10" xfId="16268" xr:uid="{859EAB2E-6533-47A9-A66A-9EE03E97AF96}"/>
    <cellStyle name="Migliaia 3 3 2 3 2 11" xfId="31358" xr:uid="{E72435BF-FD9D-4581-82BB-EB707733D0C9}"/>
    <cellStyle name="Migliaia 3 3 2 3 2 12" xfId="31708" xr:uid="{F169A090-2C55-4ABC-951E-6523C7F46905}"/>
    <cellStyle name="Migliaia 3 3 2 3 2 2" xfId="1299" xr:uid="{07AAC98F-6F5D-4F71-9773-CDD072BA2BC3}"/>
    <cellStyle name="Migliaia 3 3 2 3 2 2 2" xfId="3616" xr:uid="{E68B8D68-9D13-48C3-AF2A-1F0EC6D5BF52}"/>
    <cellStyle name="Migliaia 3 3 2 3 2 2 2 2" xfId="11104" xr:uid="{B370558B-1F54-4071-A9B1-A7B55EFD015D}"/>
    <cellStyle name="Migliaia 3 3 2 3 2 2 2 2 2" xfId="14650" xr:uid="{06959E72-8073-4899-9CBF-1C606CD34D2C}"/>
    <cellStyle name="Migliaia 3 3 2 3 2 2 2 2 2 2" xfId="29827" xr:uid="{F92EE79C-3C3D-4847-91C6-0599D6C3E1F4}"/>
    <cellStyle name="Migliaia 3 3 2 3 2 2 2 2 3" xfId="26282" xr:uid="{A00CBC2D-98DA-4B28-93D7-BE5803E1D497}"/>
    <cellStyle name="Migliaia 3 3 2 3 2 2 2 3" xfId="6930" xr:uid="{98E6D8A3-C07A-4BAF-AA5C-CD6502D7CA01}"/>
    <cellStyle name="Migliaia 3 3 2 3 2 2 2 3 2" xfId="22110" xr:uid="{D47E0578-D2BB-4EC5-86B2-DFDA4FF15574}"/>
    <cellStyle name="Migliaia 3 3 2 3 2 2 2 4" xfId="18822" xr:uid="{CCCB92CA-7437-4FF1-B84B-3DBFCF9D9A38}"/>
    <cellStyle name="Migliaia 3 3 2 3 2 2 3" xfId="4444" xr:uid="{62E4C9A6-90B4-4D2B-9D41-BD201A9BCA8E}"/>
    <cellStyle name="Migliaia 3 3 2 3 2 2 3 2" xfId="11929" xr:uid="{F19B4FE7-78C4-45FE-8902-C4813A558D39}"/>
    <cellStyle name="Migliaia 3 3 2 3 2 2 3 2 2" xfId="15475" xr:uid="{F95CBE98-B692-42E5-AC44-A4D7C3478B44}"/>
    <cellStyle name="Migliaia 3 3 2 3 2 2 3 2 2 2" xfId="30652" xr:uid="{592F1734-67DB-4A87-9AE5-BF0D285B738D}"/>
    <cellStyle name="Migliaia 3 3 2 3 2 2 3 2 3" xfId="27107" xr:uid="{B75D4DEF-3C06-488F-A569-CD034FCC3F80}"/>
    <cellStyle name="Migliaia 3 3 2 3 2 2 3 3" xfId="7755" xr:uid="{77F80178-B6C9-4F4F-8578-BD0B8FAB040D}"/>
    <cellStyle name="Migliaia 3 3 2 3 2 2 3 3 2" xfId="22935" xr:uid="{53CB0628-060E-42C4-8097-CD1BB04F624C}"/>
    <cellStyle name="Migliaia 3 3 2 3 2 2 3 4" xfId="19647" xr:uid="{A168A48A-B15A-4C6D-991D-4693442241FD}"/>
    <cellStyle name="Migliaia 3 3 2 3 2 2 4" xfId="2729" xr:uid="{4E8B6E99-91DF-4458-9FD6-4EB96DA367EF}"/>
    <cellStyle name="Migliaia 3 3 2 3 2 2 4 2" xfId="10220" xr:uid="{7B18C11A-E20B-45AA-A793-AB9FAA366E56}"/>
    <cellStyle name="Migliaia 3 3 2 3 2 2 4 2 2" xfId="25398" xr:uid="{FCAA0595-B4D4-41D5-93D4-D57DB76E9BBD}"/>
    <cellStyle name="Migliaia 3 3 2 3 2 2 4 3" xfId="17938" xr:uid="{6122BC01-26A8-4D8B-97F1-610C522B9C04}"/>
    <cellStyle name="Migliaia 3 3 2 3 2 2 5" xfId="8822" xr:uid="{A216DFFD-72B7-4E7A-83B6-862178170CA0}"/>
    <cellStyle name="Migliaia 3 3 2 3 2 2 5 2" xfId="12995" xr:uid="{60E69C5C-B02E-4A76-BF41-55D7147CDA3C}"/>
    <cellStyle name="Migliaia 3 3 2 3 2 2 5 2 2" xfId="28172" xr:uid="{05881E0C-7AB0-4487-877F-044B9DD58FAD}"/>
    <cellStyle name="Migliaia 3 3 2 3 2 2 5 3" xfId="24000" xr:uid="{599EBFDD-730B-47F6-944B-8957F3CCC405}"/>
    <cellStyle name="Migliaia 3 3 2 3 2 2 6" xfId="6046" xr:uid="{30D314CF-FFC8-4010-9ECB-87786A498A0E}"/>
    <cellStyle name="Migliaia 3 3 2 3 2 2 6 2" xfId="21226" xr:uid="{A460E86B-DF73-437E-BA20-2D6A876DB411}"/>
    <cellStyle name="Migliaia 3 3 2 3 2 2 7" xfId="16540" xr:uid="{DAB96B95-E271-4F5C-9970-B7B72C735E44}"/>
    <cellStyle name="Migliaia 3 3 2 3 2 3" xfId="2456" xr:uid="{33C065C2-DCBC-4A6E-9121-8B68CC1AABDF}"/>
    <cellStyle name="Migliaia 3 3 2 3 2 3 2" xfId="9948" xr:uid="{A3085033-916A-42DD-8266-3EEA4F419C45}"/>
    <cellStyle name="Migliaia 3 3 2 3 2 3 2 2" xfId="13607" xr:uid="{2F80B8F0-34B3-46B0-8361-A3DD16EF3588}"/>
    <cellStyle name="Migliaia 3 3 2 3 2 3 2 2 2" xfId="28784" xr:uid="{33445F3C-5D6F-4FFD-94C6-7831DC0ED48E}"/>
    <cellStyle name="Migliaia 3 3 2 3 2 3 2 3" xfId="25126" xr:uid="{7B9EFA3F-EEC2-4990-B60D-84044E2D51C6}"/>
    <cellStyle name="Migliaia 3 3 2 3 2 3 3" xfId="5774" xr:uid="{D95506C4-57A2-4B88-B215-6C198096AA29}"/>
    <cellStyle name="Migliaia 3 3 2 3 2 3 3 2" xfId="20954" xr:uid="{E20BC5A3-253B-4A20-8309-36EB7A5DDF6C}"/>
    <cellStyle name="Migliaia 3 3 2 3 2 3 4" xfId="17666" xr:uid="{839D1B5E-1348-4C01-A746-0E884242FC86}"/>
    <cellStyle name="Migliaia 3 3 2 3 2 4" xfId="3344" xr:uid="{02A46CD6-B552-4640-8CE1-1EA2227CDE83}"/>
    <cellStyle name="Migliaia 3 3 2 3 2 4 2" xfId="10832" xr:uid="{DD08111A-ACFD-4BFF-A2FF-8EE6171CB734}"/>
    <cellStyle name="Migliaia 3 3 2 3 2 4 2 2" xfId="14378" xr:uid="{0940F9A5-A7C7-488B-81A2-95F6FB0DCF91}"/>
    <cellStyle name="Migliaia 3 3 2 3 2 4 2 2 2" xfId="29555" xr:uid="{CE0B8A50-1075-413D-BC36-3251666B4417}"/>
    <cellStyle name="Migliaia 3 3 2 3 2 4 2 3" xfId="26010" xr:uid="{082261D8-612A-4E74-A53F-21BCF19D2609}"/>
    <cellStyle name="Migliaia 3 3 2 3 2 4 3" xfId="6658" xr:uid="{963BCD8F-66BD-4BAB-A352-F7A27607EE4D}"/>
    <cellStyle name="Migliaia 3 3 2 3 2 4 3 2" xfId="21838" xr:uid="{60C84C57-ADD2-4EBF-8803-1510C3307099}"/>
    <cellStyle name="Migliaia 3 3 2 3 2 4 4" xfId="18550" xr:uid="{A494F09B-D8D8-495F-8304-AE6DC6479666}"/>
    <cellStyle name="Migliaia 3 3 2 3 2 5" xfId="4445" xr:uid="{BB9C1567-AA43-4E74-BBB2-00D43D5A9751}"/>
    <cellStyle name="Migliaia 3 3 2 3 2 5 2" xfId="11930" xr:uid="{0D8DB44E-01CA-4EF8-934F-3E3FA3BF8912}"/>
    <cellStyle name="Migliaia 3 3 2 3 2 5 2 2" xfId="15476" xr:uid="{114FDEA1-8DAE-46BC-AF9B-93FCDDDDC923}"/>
    <cellStyle name="Migliaia 3 3 2 3 2 5 2 2 2" xfId="30653" xr:uid="{3D3864D1-98F3-4D96-B2AC-22E7320B9FDE}"/>
    <cellStyle name="Migliaia 3 3 2 3 2 5 2 3" xfId="27108" xr:uid="{3E689C14-9472-4913-ACDE-1AC2B8707C6A}"/>
    <cellStyle name="Migliaia 3 3 2 3 2 5 3" xfId="7756" xr:uid="{9949D8FC-0A7C-4408-8216-35F65DA79518}"/>
    <cellStyle name="Migliaia 3 3 2 3 2 5 3 2" xfId="22936" xr:uid="{4B16C307-8701-443C-BFCE-FBE89FD58936}"/>
    <cellStyle name="Migliaia 3 3 2 3 2 5 4" xfId="19648" xr:uid="{614BA5C4-10B9-4D08-A6F0-C482753BAD7A}"/>
    <cellStyle name="Migliaia 3 3 2 3 2 6" xfId="5018" xr:uid="{ECD4B937-D0E2-4D78-9FD3-F90D58AD684C}"/>
    <cellStyle name="Migliaia 3 3 2 3 2 6 2" xfId="12502" xr:uid="{92C4E76A-DDBA-40FF-AED4-35EE248536ED}"/>
    <cellStyle name="Migliaia 3 3 2 3 2 6 2 2" xfId="16048" xr:uid="{FD07CA09-D925-4107-8158-EF69A35C0222}"/>
    <cellStyle name="Migliaia 3 3 2 3 2 6 2 2 2" xfId="31225" xr:uid="{5F295039-2274-49AE-8F0A-9363DF0915CA}"/>
    <cellStyle name="Migliaia 3 3 2 3 2 6 2 3" xfId="27680" xr:uid="{113A8560-1AED-49A0-AA70-AD6FD2BEA4EE}"/>
    <cellStyle name="Migliaia 3 3 2 3 2 6 3" xfId="8328" xr:uid="{48E611F8-98E5-48F4-8FAC-F7F1E2F00320}"/>
    <cellStyle name="Migliaia 3 3 2 3 2 6 3 2" xfId="23508" xr:uid="{673BB0EB-DB85-4954-A1AD-909F9BA594DF}"/>
    <cellStyle name="Migliaia 3 3 2 3 2 6 4" xfId="20220" xr:uid="{B9A63EA6-EEAB-47E5-BE25-D277538A11EA}"/>
    <cellStyle name="Migliaia 3 3 2 3 2 7" xfId="1839" xr:uid="{C0119816-3903-41FC-812A-23EC80922E80}"/>
    <cellStyle name="Migliaia 3 3 2 3 2 7 2" xfId="9336" xr:uid="{702DBF6C-F031-4229-B3B8-127706D5E5E9}"/>
    <cellStyle name="Migliaia 3 3 2 3 2 7 2 2" xfId="24514" xr:uid="{29686D9F-AF2B-4B08-8770-14867F0969D3}"/>
    <cellStyle name="Migliaia 3 3 2 3 2 7 3" xfId="17054" xr:uid="{E5747D04-8FFA-48D0-ADD1-518D0473A4C6}"/>
    <cellStyle name="Migliaia 3 3 2 3 2 8" xfId="8550" xr:uid="{B50A31E5-1AB6-4848-9BFA-A66BF33862B3}"/>
    <cellStyle name="Migliaia 3 3 2 3 2 8 2" xfId="12723" xr:uid="{A4FB0469-77F0-4041-96D9-A9C6BAB98510}"/>
    <cellStyle name="Migliaia 3 3 2 3 2 8 2 2" xfId="27900" xr:uid="{B658B536-9304-40E0-B819-ADC0B0E3C047}"/>
    <cellStyle name="Migliaia 3 3 2 3 2 8 3" xfId="23728" xr:uid="{C00488F7-0161-4BFA-9549-59717428603E}"/>
    <cellStyle name="Migliaia 3 3 2 3 2 9" xfId="5162" xr:uid="{FEDBBDE4-DA9D-4AE6-B2A3-B329699199C5}"/>
    <cellStyle name="Migliaia 3 3 2 3 2 9 2" xfId="20342" xr:uid="{F4447749-4FB3-4643-8814-7D28E6CABACD}"/>
    <cellStyle name="Migliaia 3 3 2 3 3" xfId="1041" xr:uid="{CA70B77E-7766-4B15-A14D-AE26A64B8BF6}"/>
    <cellStyle name="Migliaia 3 3 2 3 3 10" xfId="31586" xr:uid="{C98AB586-BA5F-4B06-8607-428BFA2D1F17}"/>
    <cellStyle name="Migliaia 3 3 2 3 3 2" xfId="1401" xr:uid="{5EF4525E-70B3-4BE6-8188-0E6795855C34}"/>
    <cellStyle name="Migliaia 3 3 2 3 3 2 2" xfId="3714" xr:uid="{1F4927EF-BB1B-4CF3-A841-87D1846C0A9A}"/>
    <cellStyle name="Migliaia 3 3 2 3 3 2 2 2" xfId="11202" xr:uid="{3ED29DC6-7F00-42E1-9F1A-075DF9C26D9B}"/>
    <cellStyle name="Migliaia 3 3 2 3 3 2 2 2 2" xfId="14748" xr:uid="{009D8D3F-4A27-43DC-B84A-ED63AA80CB24}"/>
    <cellStyle name="Migliaia 3 3 2 3 3 2 2 2 2 2" xfId="29925" xr:uid="{CC22B882-CA0C-40AD-97F0-BED701F69902}"/>
    <cellStyle name="Migliaia 3 3 2 3 3 2 2 2 3" xfId="26380" xr:uid="{EF9399FC-0D99-4045-8B29-160A48EBBD12}"/>
    <cellStyle name="Migliaia 3 3 2 3 3 2 2 3" xfId="7028" xr:uid="{82B4A774-0334-4D97-B840-52E1B5C1A3E8}"/>
    <cellStyle name="Migliaia 3 3 2 3 3 2 2 3 2" xfId="22208" xr:uid="{CFF74B3E-64FB-4E8B-A0B7-9A0D4D54E394}"/>
    <cellStyle name="Migliaia 3 3 2 3 3 2 2 4" xfId="18920" xr:uid="{17D2D940-F8F2-47A7-8EBB-146EB37041AD}"/>
    <cellStyle name="Migliaia 3 3 2 3 3 2 3" xfId="4446" xr:uid="{B668A1EF-DFFB-4A13-AB5E-883DD96EA343}"/>
    <cellStyle name="Migliaia 3 3 2 3 3 2 3 2" xfId="11931" xr:uid="{9FA61818-A1B2-4454-BB99-6A8B13B15190}"/>
    <cellStyle name="Migliaia 3 3 2 3 3 2 3 2 2" xfId="15477" xr:uid="{2ED1F6F2-888E-4F6D-9D97-DA5E01E68F6C}"/>
    <cellStyle name="Migliaia 3 3 2 3 3 2 3 2 2 2" xfId="30654" xr:uid="{BBF9BFF8-5709-4576-A931-9954133C11C4}"/>
    <cellStyle name="Migliaia 3 3 2 3 3 2 3 2 3" xfId="27109" xr:uid="{369C271A-F77D-4F1A-B508-1974C666D894}"/>
    <cellStyle name="Migliaia 3 3 2 3 3 2 3 3" xfId="7757" xr:uid="{60D4E43B-5891-4A3A-8643-8FCD7D2C0979}"/>
    <cellStyle name="Migliaia 3 3 2 3 3 2 3 3 2" xfId="22937" xr:uid="{A4180449-CB9A-4AB3-9577-DBF803E1BEA4}"/>
    <cellStyle name="Migliaia 3 3 2 3 3 2 3 4" xfId="19649" xr:uid="{CAC4C994-939D-40E8-A35F-778FF85D39B6}"/>
    <cellStyle name="Migliaia 3 3 2 3 3 2 4" xfId="2827" xr:uid="{885C398A-CBBA-49BA-B0A0-3103FC288A59}"/>
    <cellStyle name="Migliaia 3 3 2 3 3 2 4 2" xfId="10318" xr:uid="{AA8A7F7F-0D4D-4193-92BD-2606987D03AF}"/>
    <cellStyle name="Migliaia 3 3 2 3 3 2 4 2 2" xfId="25496" xr:uid="{C0777968-90E3-4671-94C8-FB0937451DE9}"/>
    <cellStyle name="Migliaia 3 3 2 3 3 2 4 3" xfId="18036" xr:uid="{091C0403-6681-46CE-895D-DAF3BE2031A3}"/>
    <cellStyle name="Migliaia 3 3 2 3 3 2 5" xfId="8920" xr:uid="{8CF7752B-F15B-463C-9E27-EE5E669BAFED}"/>
    <cellStyle name="Migliaia 3 3 2 3 3 2 5 2" xfId="13093" xr:uid="{39A0242C-04CD-43DB-B5BE-D6750D3CF408}"/>
    <cellStyle name="Migliaia 3 3 2 3 3 2 5 2 2" xfId="28270" xr:uid="{28AB3A8C-90B5-481E-AD62-5C5CDF9F8A80}"/>
    <cellStyle name="Migliaia 3 3 2 3 3 2 5 3" xfId="24098" xr:uid="{4A8C7E90-98E5-4313-95B2-205E5D1CC93C}"/>
    <cellStyle name="Migliaia 3 3 2 3 3 2 6" xfId="6144" xr:uid="{C46EFAA7-B2E0-45A3-A91F-E313FEA72598}"/>
    <cellStyle name="Migliaia 3 3 2 3 3 2 6 2" xfId="21324" xr:uid="{CB9DA3D4-02A0-438A-985F-C056E3F120B6}"/>
    <cellStyle name="Migliaia 3 3 2 3 3 2 7" xfId="16638" xr:uid="{130B4CDB-70C3-47C5-BD04-3CEE60556FB2}"/>
    <cellStyle name="Migliaia 3 3 2 3 3 3" xfId="2554" xr:uid="{C82531C9-56A9-4103-B24D-349EC9CB418E}"/>
    <cellStyle name="Migliaia 3 3 2 3 3 3 2" xfId="10046" xr:uid="{E0BFC503-BD0C-498F-85D6-03263DD1FC6C}"/>
    <cellStyle name="Migliaia 3 3 2 3 3 3 2 2" xfId="13705" xr:uid="{9E41405A-DE51-4F81-8C25-F5F64E643A56}"/>
    <cellStyle name="Migliaia 3 3 2 3 3 3 2 2 2" xfId="28882" xr:uid="{9A70F77A-C793-4E73-B6AF-EE41B91B8E25}"/>
    <cellStyle name="Migliaia 3 3 2 3 3 3 2 3" xfId="25224" xr:uid="{76294F90-1811-445C-9C3B-EF8652B8880D}"/>
    <cellStyle name="Migliaia 3 3 2 3 3 3 3" xfId="5872" xr:uid="{381D8F0D-AF3B-4A4F-A885-452D9C0EB60C}"/>
    <cellStyle name="Migliaia 3 3 2 3 3 3 3 2" xfId="21052" xr:uid="{26ADB5D8-7C88-42B0-B7C6-2D685CA33D8E}"/>
    <cellStyle name="Migliaia 3 3 2 3 3 3 4" xfId="17764" xr:uid="{49B48B7D-FCA6-4392-A8F1-934930A9CAAE}"/>
    <cellStyle name="Migliaia 3 3 2 3 3 4" xfId="3442" xr:uid="{91C22456-2A72-4A3D-BE73-274A812F9391}"/>
    <cellStyle name="Migliaia 3 3 2 3 3 4 2" xfId="10930" xr:uid="{3372B9E5-2874-4153-AE2D-083A0A6257C0}"/>
    <cellStyle name="Migliaia 3 3 2 3 3 4 2 2" xfId="14476" xr:uid="{E8EA5934-00A5-4308-AD36-B5F9B12A0C8E}"/>
    <cellStyle name="Migliaia 3 3 2 3 3 4 2 2 2" xfId="29653" xr:uid="{0BBD8205-D5A0-42FD-A94C-3C8B9BF4FF95}"/>
    <cellStyle name="Migliaia 3 3 2 3 3 4 2 3" xfId="26108" xr:uid="{033C3B3D-6E4A-45A9-8DD0-E33A3F4CD2A4}"/>
    <cellStyle name="Migliaia 3 3 2 3 3 4 3" xfId="6756" xr:uid="{CB66CB40-144B-4B7E-AE34-D3457206CFDB}"/>
    <cellStyle name="Migliaia 3 3 2 3 3 4 3 2" xfId="21936" xr:uid="{1CEF0872-10D0-4116-8451-2DD4CD2D1698}"/>
    <cellStyle name="Migliaia 3 3 2 3 3 4 4" xfId="18648" xr:uid="{03C48DDC-317A-4F44-ADF1-0EC1FBB352CE}"/>
    <cellStyle name="Migliaia 3 3 2 3 3 5" xfId="4447" xr:uid="{AE363426-648E-47FB-80F1-D7AABE587CF1}"/>
    <cellStyle name="Migliaia 3 3 2 3 3 5 2" xfId="11932" xr:uid="{05253F9A-A977-4454-8AE1-7F6222AA14BD}"/>
    <cellStyle name="Migliaia 3 3 2 3 3 5 2 2" xfId="15478" xr:uid="{4B803569-969F-4148-82CC-1B2343B63221}"/>
    <cellStyle name="Migliaia 3 3 2 3 3 5 2 2 2" xfId="30655" xr:uid="{D64B4491-4127-431C-B58F-FA2CA081A990}"/>
    <cellStyle name="Migliaia 3 3 2 3 3 5 2 3" xfId="27110" xr:uid="{6BDBC03F-94F0-4E90-A82C-480E832C38A7}"/>
    <cellStyle name="Migliaia 3 3 2 3 3 5 3" xfId="7758" xr:uid="{4BE102AF-602E-4035-958D-71D09436983B}"/>
    <cellStyle name="Migliaia 3 3 2 3 3 5 3 2" xfId="22938" xr:uid="{264B42CD-FA53-4A47-BC20-948DC38B4E14}"/>
    <cellStyle name="Migliaia 3 3 2 3 3 5 4" xfId="19650" xr:uid="{669DEF5D-3609-40D3-A727-FE138ECC974C}"/>
    <cellStyle name="Migliaia 3 3 2 3 3 6" xfId="1937" xr:uid="{96B04BDF-C46F-48E3-A00A-63B3E178C002}"/>
    <cellStyle name="Migliaia 3 3 2 3 3 6 2" xfId="9434" xr:uid="{F3B4D6F0-00A7-4997-BDBF-F80C2209B765}"/>
    <cellStyle name="Migliaia 3 3 2 3 3 6 2 2" xfId="24612" xr:uid="{E939BA07-0730-403E-9ECB-4E5472F02A09}"/>
    <cellStyle name="Migliaia 3 3 2 3 3 6 3" xfId="17152" xr:uid="{967F6FFA-826D-48C8-9A17-CD3CA6C3492F}"/>
    <cellStyle name="Migliaia 3 3 2 3 3 7" xfId="8648" xr:uid="{0852D251-064D-426B-8E17-83790117D122}"/>
    <cellStyle name="Migliaia 3 3 2 3 3 7 2" xfId="12821" xr:uid="{472803AB-109A-4B0D-88A7-85679DF5B137}"/>
    <cellStyle name="Migliaia 3 3 2 3 3 7 2 2" xfId="27998" xr:uid="{65E243A1-6FAE-420F-9FA4-78A4AD2F0E55}"/>
    <cellStyle name="Migliaia 3 3 2 3 3 7 3" xfId="23826" xr:uid="{95E529F1-4F1F-4F79-B6AC-14FAD943055E}"/>
    <cellStyle name="Migliaia 3 3 2 3 3 8" xfId="5260" xr:uid="{6D9289D2-3DF5-41EE-B3A6-1071A8B3D8E8}"/>
    <cellStyle name="Migliaia 3 3 2 3 3 8 2" xfId="20440" xr:uid="{A3B0621A-C23A-4E6D-8909-CCEFD3951CA9}"/>
    <cellStyle name="Migliaia 3 3 2 3 3 9" xfId="16366" xr:uid="{AD438034-44CD-4BB3-A4B7-17B466233F6D}"/>
    <cellStyle name="Migliaia 3 3 2 3 4" xfId="1500" xr:uid="{6BC4C6B4-B2F0-436D-87A2-7F73B5E31013}"/>
    <cellStyle name="Migliaia 3 3 2 3 4 2" xfId="2925" xr:uid="{245A661F-79D8-48D2-88FF-50A6E6E6E463}"/>
    <cellStyle name="Migliaia 3 3 2 3 4 2 2" xfId="10416" xr:uid="{E999A23E-3A3F-49AD-8F4B-53D06778BD42}"/>
    <cellStyle name="Migliaia 3 3 2 3 4 2 2 2" xfId="13962" xr:uid="{FD14959B-59D0-48DC-8F09-23947DF1E2F6}"/>
    <cellStyle name="Migliaia 3 3 2 3 4 2 2 2 2" xfId="29139" xr:uid="{905B2B35-9BA0-47F6-8CDA-9CFF42ECF6B1}"/>
    <cellStyle name="Migliaia 3 3 2 3 4 2 2 3" xfId="25594" xr:uid="{CD9247B9-6C26-4608-872D-491650746F7F}"/>
    <cellStyle name="Migliaia 3 3 2 3 4 2 3" xfId="6242" xr:uid="{E4686F7E-E454-49C9-B7A7-3B38F164F4F2}"/>
    <cellStyle name="Migliaia 3 3 2 3 4 2 3 2" xfId="21422" xr:uid="{C60B4C8D-C653-45AC-9492-1CA5F98014F7}"/>
    <cellStyle name="Migliaia 3 3 2 3 4 2 4" xfId="18134" xr:uid="{CD8F79E8-D6B0-4AF2-A7D3-E5B2B8B3E0CC}"/>
    <cellStyle name="Migliaia 3 3 2 3 4 3" xfId="3812" xr:uid="{15C406D6-A5BA-4334-9502-EC8837CF4A66}"/>
    <cellStyle name="Migliaia 3 3 2 3 4 3 2" xfId="11300" xr:uid="{7EEFDDD1-7DE5-408D-97CD-9C76806DAB07}"/>
    <cellStyle name="Migliaia 3 3 2 3 4 3 2 2" xfId="14846" xr:uid="{335DCB95-9BB5-424B-AA34-CC966EF15E17}"/>
    <cellStyle name="Migliaia 3 3 2 3 4 3 2 2 2" xfId="30023" xr:uid="{4E4C0314-AAA3-4082-9174-5B69C57A32A1}"/>
    <cellStyle name="Migliaia 3 3 2 3 4 3 2 3" xfId="26478" xr:uid="{5B4EC710-F175-426C-BE42-8ED8B5CFDED8}"/>
    <cellStyle name="Migliaia 3 3 2 3 4 3 3" xfId="7126" xr:uid="{8E0A26A0-B2CF-4AF0-888F-C0640BF957D0}"/>
    <cellStyle name="Migliaia 3 3 2 3 4 3 3 2" xfId="22306" xr:uid="{DE65CD3F-874A-4CE3-8DF6-9F851FBB31EC}"/>
    <cellStyle name="Migliaia 3 3 2 3 4 3 4" xfId="19018" xr:uid="{5F94449F-78A1-4143-8E92-9565C66A50DC}"/>
    <cellStyle name="Migliaia 3 3 2 3 4 4" xfId="4448" xr:uid="{2CF769FE-316D-4C42-BA1A-C5F0D87F2F25}"/>
    <cellStyle name="Migliaia 3 3 2 3 4 4 2" xfId="11933" xr:uid="{A84F4F93-BC9F-4952-889F-100479A1965B}"/>
    <cellStyle name="Migliaia 3 3 2 3 4 4 2 2" xfId="15479" xr:uid="{8483AD6F-9E27-45D9-9AEC-DE201469E594}"/>
    <cellStyle name="Migliaia 3 3 2 3 4 4 2 2 2" xfId="30656" xr:uid="{07E954CA-A6C1-403A-8C79-12CBEB1B1082}"/>
    <cellStyle name="Migliaia 3 3 2 3 4 4 2 3" xfId="27111" xr:uid="{11E75E5A-61BE-44F5-8997-670D654B9717}"/>
    <cellStyle name="Migliaia 3 3 2 3 4 4 3" xfId="7759" xr:uid="{ADDF6457-2CE3-4BD6-976E-BF46491B6C55}"/>
    <cellStyle name="Migliaia 3 3 2 3 4 4 3 2" xfId="22939" xr:uid="{2696A288-6549-47A4-A513-15CBBC6ABAD5}"/>
    <cellStyle name="Migliaia 3 3 2 3 4 4 4" xfId="19651" xr:uid="{9C60B5CA-37D5-4F44-A08F-240968C8E98A}"/>
    <cellStyle name="Migliaia 3 3 2 3 4 5" xfId="2035" xr:uid="{FAB6BBBF-1D1D-4349-8BE8-43CBDEC2E24F}"/>
    <cellStyle name="Migliaia 3 3 2 3 4 5 2" xfId="9532" xr:uid="{5E75D2FB-E43C-4670-A55A-AC5885EE3F26}"/>
    <cellStyle name="Migliaia 3 3 2 3 4 5 2 2" xfId="24710" xr:uid="{B4402125-D30B-4345-9005-A55CACBA5B29}"/>
    <cellStyle name="Migliaia 3 3 2 3 4 5 3" xfId="17250" xr:uid="{785CE7CA-F775-42BE-8C19-D6FA4B0FF733}"/>
    <cellStyle name="Migliaia 3 3 2 3 4 6" xfId="9018" xr:uid="{47A8DC84-3F8E-41DF-84CC-91EF77E6BB86}"/>
    <cellStyle name="Migliaia 3 3 2 3 4 6 2" xfId="13191" xr:uid="{69041B2F-FD47-481D-9511-0F6708777AC1}"/>
    <cellStyle name="Migliaia 3 3 2 3 4 6 2 2" xfId="28368" xr:uid="{A91F15EF-90D9-4982-B000-D9FFBB2480F7}"/>
    <cellStyle name="Migliaia 3 3 2 3 4 6 3" xfId="24196" xr:uid="{7BDF551D-A92A-42D4-98B5-ED49A56BB33B}"/>
    <cellStyle name="Migliaia 3 3 2 3 4 7" xfId="5358" xr:uid="{CCFF94F4-8DE8-456F-9665-85004687164C}"/>
    <cellStyle name="Migliaia 3 3 2 3 4 7 2" xfId="20538" xr:uid="{B4BDE81B-41A5-4DE2-8DF2-B7E98BF430D1}"/>
    <cellStyle name="Migliaia 3 3 2 3 4 8" xfId="16736" xr:uid="{11245A86-2315-41CC-8ED9-7DFB86ED33FF}"/>
    <cellStyle name="Migliaia 3 3 2 3 5" xfId="1603" xr:uid="{280372F7-68E4-42BF-ADE8-994EFC87CBE9}"/>
    <cellStyle name="Migliaia 3 3 2 3 5 2" xfId="3023" xr:uid="{054BA612-A498-4405-984A-36FF7A6979EE}"/>
    <cellStyle name="Migliaia 3 3 2 3 5 2 2" xfId="10514" xr:uid="{5A63EB2C-D895-4AE6-A559-94315DF9E2B3}"/>
    <cellStyle name="Migliaia 3 3 2 3 5 2 2 2" xfId="14060" xr:uid="{5FA0FE4C-AD1B-40C5-A74A-435EB77A63FD}"/>
    <cellStyle name="Migliaia 3 3 2 3 5 2 2 2 2" xfId="29237" xr:uid="{5CD23D60-049F-480B-962F-3F89D65CEA8C}"/>
    <cellStyle name="Migliaia 3 3 2 3 5 2 2 3" xfId="25692" xr:uid="{D4583A0E-917D-4D3C-867C-E52CED406D0A}"/>
    <cellStyle name="Migliaia 3 3 2 3 5 2 3" xfId="6340" xr:uid="{60680755-1857-42B0-8E4A-86ACCEED7C3E}"/>
    <cellStyle name="Migliaia 3 3 2 3 5 2 3 2" xfId="21520" xr:uid="{9ED6324B-6291-4B05-9F5A-C0118D5BC3E1}"/>
    <cellStyle name="Migliaia 3 3 2 3 5 2 4" xfId="18232" xr:uid="{0199C5D4-E313-4072-B7FE-30ED8EA7B0B3}"/>
    <cellStyle name="Migliaia 3 3 2 3 5 3" xfId="3910" xr:uid="{009A6BD6-A10D-4499-AE87-9D62F93E981C}"/>
    <cellStyle name="Migliaia 3 3 2 3 5 3 2" xfId="11398" xr:uid="{16BADE90-A871-4818-B432-7066198685CA}"/>
    <cellStyle name="Migliaia 3 3 2 3 5 3 2 2" xfId="14944" xr:uid="{5569ED5D-4949-483B-8DCB-049AF0BCCC82}"/>
    <cellStyle name="Migliaia 3 3 2 3 5 3 2 2 2" xfId="30121" xr:uid="{BA1614D8-5C2C-4F00-9768-EE5C65726A0E}"/>
    <cellStyle name="Migliaia 3 3 2 3 5 3 2 3" xfId="26576" xr:uid="{BE91235B-E788-41A8-93E8-AE8B95DAF7EF}"/>
    <cellStyle name="Migliaia 3 3 2 3 5 3 3" xfId="7224" xr:uid="{13D313E1-7EE2-4FD9-A879-52F80CD39FE9}"/>
    <cellStyle name="Migliaia 3 3 2 3 5 3 3 2" xfId="22404" xr:uid="{CD316EF0-5268-42B9-B61C-82CAC8152B59}"/>
    <cellStyle name="Migliaia 3 3 2 3 5 3 4" xfId="19116" xr:uid="{C64E6A62-731F-4112-AAE5-9F0CEFB2AD8B}"/>
    <cellStyle name="Migliaia 3 3 2 3 5 4" xfId="4449" xr:uid="{26FC40CA-F597-4A86-82A4-89EEA73CE991}"/>
    <cellStyle name="Migliaia 3 3 2 3 5 4 2" xfId="11934" xr:uid="{253438DD-F6B1-4201-8C16-9C0C5135853C}"/>
    <cellStyle name="Migliaia 3 3 2 3 5 4 2 2" xfId="15480" xr:uid="{C5154DB3-73CE-4BEF-B85B-9C10BD62E343}"/>
    <cellStyle name="Migliaia 3 3 2 3 5 4 2 2 2" xfId="30657" xr:uid="{B8239762-816F-4C85-A6BE-65844FA02637}"/>
    <cellStyle name="Migliaia 3 3 2 3 5 4 2 3" xfId="27112" xr:uid="{B323371A-0BD4-4BEA-904C-79276F421DE2}"/>
    <cellStyle name="Migliaia 3 3 2 3 5 4 3" xfId="7760" xr:uid="{49FB8AF6-507A-444C-947C-E189854F6C68}"/>
    <cellStyle name="Migliaia 3 3 2 3 5 4 3 2" xfId="22940" xr:uid="{58C72500-B09A-41B8-B7C7-11EFD1979F24}"/>
    <cellStyle name="Migliaia 3 3 2 3 5 4 4" xfId="19652" xr:uid="{B922B286-0A17-4DDC-82EA-D1928221D9E7}"/>
    <cellStyle name="Migliaia 3 3 2 3 5 5" xfId="2133" xr:uid="{A343A3A8-6179-4A00-8961-BD8A8DF9068F}"/>
    <cellStyle name="Migliaia 3 3 2 3 5 5 2" xfId="9630" xr:uid="{AA500844-2589-478C-B713-67E0D0DEDA49}"/>
    <cellStyle name="Migliaia 3 3 2 3 5 5 2 2" xfId="24808" xr:uid="{1B0B0E72-C0CA-4E48-AECA-B4AF5788E96A}"/>
    <cellStyle name="Migliaia 3 3 2 3 5 5 3" xfId="17348" xr:uid="{2DB95ED9-CF9D-42BF-9228-0A6B96909F01}"/>
    <cellStyle name="Migliaia 3 3 2 3 5 6" xfId="9116" xr:uid="{AB7294F7-CB21-414F-B27B-BA98C977109E}"/>
    <cellStyle name="Migliaia 3 3 2 3 5 6 2" xfId="13289" xr:uid="{C42538F2-FF2D-405C-8245-086EA57B4A86}"/>
    <cellStyle name="Migliaia 3 3 2 3 5 6 2 2" xfId="28466" xr:uid="{101FF793-9E46-4CFE-93D3-03D00BB64FF7}"/>
    <cellStyle name="Migliaia 3 3 2 3 5 6 3" xfId="24294" xr:uid="{331F9FDB-E69D-44CE-95CB-0C1E1E0EF2CA}"/>
    <cellStyle name="Migliaia 3 3 2 3 5 7" xfId="5456" xr:uid="{4B59A1AE-742A-472B-9A10-FC99DFF0C223}"/>
    <cellStyle name="Migliaia 3 3 2 3 5 7 2" xfId="20636" xr:uid="{D7E3300A-B26C-4BC0-A62D-4F6ACC7CEE1D}"/>
    <cellStyle name="Migliaia 3 3 2 3 5 8" xfId="16834" xr:uid="{2AF1CD66-7602-42CD-BE8F-AADD7AA5EC02}"/>
    <cellStyle name="Migliaia 3 3 2 3 6" xfId="1702" xr:uid="{2CDBBF48-1480-4BD1-BD8E-2F7F86729CC4}"/>
    <cellStyle name="Migliaia 3 3 2 3 6 2" xfId="3121" xr:uid="{2B0D5C0D-0CC5-4625-AFD7-7A4C47BCB4A3}"/>
    <cellStyle name="Migliaia 3 3 2 3 6 2 2" xfId="10612" xr:uid="{1DB52611-8A58-431D-AFF2-5810918B79F3}"/>
    <cellStyle name="Migliaia 3 3 2 3 6 2 2 2" xfId="14158" xr:uid="{B9347722-75F8-4773-86F8-C453000D1D99}"/>
    <cellStyle name="Migliaia 3 3 2 3 6 2 2 2 2" xfId="29335" xr:uid="{80F99526-C90C-41A1-A9F3-11257231CF41}"/>
    <cellStyle name="Migliaia 3 3 2 3 6 2 2 3" xfId="25790" xr:uid="{A4DAE892-7D20-48A2-815A-E355CA0248A5}"/>
    <cellStyle name="Migliaia 3 3 2 3 6 2 3" xfId="6438" xr:uid="{3EF01BBC-8230-4A91-AEF5-A5042539E1C4}"/>
    <cellStyle name="Migliaia 3 3 2 3 6 2 3 2" xfId="21618" xr:uid="{0B9E35ED-8E37-45E1-BD76-7753043571A3}"/>
    <cellStyle name="Migliaia 3 3 2 3 6 2 4" xfId="18330" xr:uid="{1CCAE115-A797-41E8-BDD5-07F1586EF5D6}"/>
    <cellStyle name="Migliaia 3 3 2 3 6 3" xfId="4008" xr:uid="{2320833D-2087-47AD-BF31-EDE652081298}"/>
    <cellStyle name="Migliaia 3 3 2 3 6 3 2" xfId="11496" xr:uid="{0839496A-19B6-4529-916A-76234122FE8C}"/>
    <cellStyle name="Migliaia 3 3 2 3 6 3 2 2" xfId="15042" xr:uid="{EE5365B3-5C65-4F1A-B2DD-828732EEC6CE}"/>
    <cellStyle name="Migliaia 3 3 2 3 6 3 2 2 2" xfId="30219" xr:uid="{C1F298B3-78B8-4F4F-80C9-338BD39EB4B9}"/>
    <cellStyle name="Migliaia 3 3 2 3 6 3 2 3" xfId="26674" xr:uid="{229F55B2-C33A-4623-AC99-DB8F597D6D25}"/>
    <cellStyle name="Migliaia 3 3 2 3 6 3 3" xfId="7322" xr:uid="{AB2974C9-1C80-492A-8F32-AFF243C1906B}"/>
    <cellStyle name="Migliaia 3 3 2 3 6 3 3 2" xfId="22502" xr:uid="{C4E0A9EB-501C-41EE-A603-A13B3FFCB9FD}"/>
    <cellStyle name="Migliaia 3 3 2 3 6 3 4" xfId="19214" xr:uid="{0F109711-36F2-426B-91A8-1DEE8540373C}"/>
    <cellStyle name="Migliaia 3 3 2 3 6 4" xfId="4450" xr:uid="{5C7834C3-8983-4100-A851-D6870C9CFAEF}"/>
    <cellStyle name="Migliaia 3 3 2 3 6 4 2" xfId="11935" xr:uid="{C20E3A2C-D751-47D4-BBF3-A64FD0D5788E}"/>
    <cellStyle name="Migliaia 3 3 2 3 6 4 2 2" xfId="15481" xr:uid="{168C62BC-9402-4FD8-8860-217487EE96B4}"/>
    <cellStyle name="Migliaia 3 3 2 3 6 4 2 2 2" xfId="30658" xr:uid="{E4704606-D9F9-443A-B1BE-02D54EA40560}"/>
    <cellStyle name="Migliaia 3 3 2 3 6 4 2 3" xfId="27113" xr:uid="{1ABDAD10-3DA6-466D-BD77-F2638CBF845E}"/>
    <cellStyle name="Migliaia 3 3 2 3 6 4 3" xfId="7761" xr:uid="{D745FF42-0F0A-4278-A8DA-386CC9DE0964}"/>
    <cellStyle name="Migliaia 3 3 2 3 6 4 3 2" xfId="22941" xr:uid="{3753A335-325A-4886-92F7-CCFDE45B9F8E}"/>
    <cellStyle name="Migliaia 3 3 2 3 6 4 4" xfId="19653" xr:uid="{98E0A80A-0DB7-4831-8768-FED2068A8D09}"/>
    <cellStyle name="Migliaia 3 3 2 3 6 5" xfId="2231" xr:uid="{0381738E-688B-469D-840B-8129EF18F811}"/>
    <cellStyle name="Migliaia 3 3 2 3 6 5 2" xfId="9728" xr:uid="{4388613E-C7B8-43EE-A3A6-74545EAA14AA}"/>
    <cellStyle name="Migliaia 3 3 2 3 6 5 2 2" xfId="24906" xr:uid="{609FBCB1-8B53-47D1-B7CF-2A9C4453AFA8}"/>
    <cellStyle name="Migliaia 3 3 2 3 6 5 3" xfId="17446" xr:uid="{88450F77-9563-4D6A-A114-24561212595D}"/>
    <cellStyle name="Migliaia 3 3 2 3 6 6" xfId="9214" xr:uid="{32BFC278-8E81-48AD-97D8-96CA04B59810}"/>
    <cellStyle name="Migliaia 3 3 2 3 6 6 2" xfId="13387" xr:uid="{5C9AB876-82C1-427D-B5E6-8033435F9987}"/>
    <cellStyle name="Migliaia 3 3 2 3 6 6 2 2" xfId="28564" xr:uid="{11AD0983-AAFA-4E1C-9B9A-EE252060F1DC}"/>
    <cellStyle name="Migliaia 3 3 2 3 6 6 3" xfId="24392" xr:uid="{390F6832-9199-4B5F-A7CC-E3D81F9C8B72}"/>
    <cellStyle name="Migliaia 3 3 2 3 6 7" xfId="5554" xr:uid="{5780276F-9B03-4347-97A7-6EC8C96ACED3}"/>
    <cellStyle name="Migliaia 3 3 2 3 6 7 2" xfId="20734" xr:uid="{0098A577-36D2-4201-9AF3-F08DB2EA211A}"/>
    <cellStyle name="Migliaia 3 3 2 3 6 8" xfId="16932" xr:uid="{134DF7F4-B3DF-40A8-BDC5-D2C5949BBD5E}"/>
    <cellStyle name="Migliaia 3 3 2 3 7" xfId="2331" xr:uid="{A79D1ADB-17D8-4C77-B6DD-E74227DFA8C5}"/>
    <cellStyle name="Migliaia 3 3 2 3 7 2" xfId="9826" xr:uid="{C93972EE-E5EA-4D88-A904-C138639AC3AA}"/>
    <cellStyle name="Migliaia 3 3 2 3 7 2 2" xfId="13485" xr:uid="{907C19D5-5E01-4718-BE11-9B01F49ED5AD}"/>
    <cellStyle name="Migliaia 3 3 2 3 7 2 2 2" xfId="28662" xr:uid="{E8EC25DF-1598-4ABE-8B19-1DF6B9EE2B4F}"/>
    <cellStyle name="Migliaia 3 3 2 3 7 2 3" xfId="25004" xr:uid="{6EB3877D-297E-4353-BE53-8B2FC523D879}"/>
    <cellStyle name="Migliaia 3 3 2 3 7 3" xfId="5652" xr:uid="{1EE43A97-4B73-4B27-80CB-32A8B915D6FA}"/>
    <cellStyle name="Migliaia 3 3 2 3 7 3 2" xfId="20832" xr:uid="{2D641D30-F13D-478A-B2A2-59A1FF3585D2}"/>
    <cellStyle name="Migliaia 3 3 2 3 7 4" xfId="17544" xr:uid="{28821244-8821-4AB2-89BB-3A4C2B06587E}"/>
    <cellStyle name="Migliaia 3 3 2 3 8" xfId="3221" xr:uid="{54D62AEC-713F-40B4-97B8-B3E123EDF2E4}"/>
    <cellStyle name="Migliaia 3 3 2 3 8 2" xfId="10710" xr:uid="{EA80940B-4C8E-4EAE-AA59-51F9A15B5F47}"/>
    <cellStyle name="Migliaia 3 3 2 3 8 2 2" xfId="14256" xr:uid="{D5860F85-7659-4830-9412-41F2374BC124}"/>
    <cellStyle name="Migliaia 3 3 2 3 8 2 2 2" xfId="29433" xr:uid="{DCACC190-7E5A-44AC-85A0-B14B2BB5882B}"/>
    <cellStyle name="Migliaia 3 3 2 3 8 2 3" xfId="25888" xr:uid="{F7675949-EB62-4D98-BB81-7EEFDDF64732}"/>
    <cellStyle name="Migliaia 3 3 2 3 8 3" xfId="6536" xr:uid="{E649C1D9-DCE9-47AF-810A-0F24E01DAEA7}"/>
    <cellStyle name="Migliaia 3 3 2 3 8 3 2" xfId="21716" xr:uid="{99A01BF5-D6FA-4835-8C0D-FF4E5135806B}"/>
    <cellStyle name="Migliaia 3 3 2 3 8 4" xfId="18428" xr:uid="{03266918-67F1-48BB-88DB-32D1F0F3C4C6}"/>
    <cellStyle name="Migliaia 3 3 2 3 9" xfId="4451" xr:uid="{D39C29D9-881E-4368-8D7C-C56EE0716AF8}"/>
    <cellStyle name="Migliaia 3 3 2 3 9 2" xfId="11936" xr:uid="{81BDDFAF-751A-423B-992E-0A0E489BEC4A}"/>
    <cellStyle name="Migliaia 3 3 2 3 9 2 2" xfId="15482" xr:uid="{31004711-8F6D-4A85-9C9A-E3CA3AA888C9}"/>
    <cellStyle name="Migliaia 3 3 2 3 9 2 2 2" xfId="30659" xr:uid="{63CA6156-26AC-4014-BA53-0F59EB36EBCC}"/>
    <cellStyle name="Migliaia 3 3 2 3 9 2 3" xfId="27114" xr:uid="{185D1E08-62AA-40D0-B65E-4703E1FBA9DA}"/>
    <cellStyle name="Migliaia 3 3 2 3 9 3" xfId="7762" xr:uid="{0D7E30E6-C766-4BAE-BCED-58D64E65073D}"/>
    <cellStyle name="Migliaia 3 3 2 3 9 3 2" xfId="22942" xr:uid="{FE585CE2-228E-4FD1-BB6F-DCB46589E00E}"/>
    <cellStyle name="Migliaia 3 3 2 3 9 4" xfId="19654" xr:uid="{4147EFF2-BA95-4F24-8E6B-420A05AB3AAD}"/>
    <cellStyle name="Migliaia 3 3 2 4" xfId="889" xr:uid="{3E222062-0723-489C-82ED-C18555C3902A}"/>
    <cellStyle name="Migliaia 3 3 2 4 2" xfId="2407" xr:uid="{D1F6F80C-0696-4F62-8550-1EBE896767B4}"/>
    <cellStyle name="Migliaia 3 3 2 4 2 2" xfId="9899" xr:uid="{56EC3588-ABF9-46AD-8A33-317BA5B96037}"/>
    <cellStyle name="Migliaia 3 3 2 4 2 2 2" xfId="13558" xr:uid="{5276D22F-3186-405B-8BDC-C023F40D21EC}"/>
    <cellStyle name="Migliaia 3 3 2 4 2 2 2 2" xfId="28735" xr:uid="{C678033C-139B-45AF-B6D9-A06FA69F1749}"/>
    <cellStyle name="Migliaia 3 3 2 4 2 2 3" xfId="25077" xr:uid="{F2854AAD-FA7E-4FA5-8E79-69DEE799A60D}"/>
    <cellStyle name="Migliaia 3 3 2 4 2 3" xfId="5725" xr:uid="{FD7AA97C-1427-49A7-A534-828A88C27FFB}"/>
    <cellStyle name="Migliaia 3 3 2 4 2 3 2" xfId="20905" xr:uid="{13F84EDA-7B05-418E-820D-F414678B2DF3}"/>
    <cellStyle name="Migliaia 3 3 2 4 2 4" xfId="17617" xr:uid="{458E3BA2-EECF-4C1C-8994-13AAEAE63D7B}"/>
    <cellStyle name="Migliaia 3 3 2 4 3" xfId="3295" xr:uid="{2161D2EF-E9A3-48AC-B30A-2E51AF6DA4DA}"/>
    <cellStyle name="Migliaia 3 3 2 4 3 2" xfId="10783" xr:uid="{6455792B-553A-4CE8-B7AF-FB7A3B295F69}"/>
    <cellStyle name="Migliaia 3 3 2 4 3 2 2" xfId="14329" xr:uid="{93FC291A-364E-4D3A-A3EB-DDCB8AA32285}"/>
    <cellStyle name="Migliaia 3 3 2 4 3 2 2 2" xfId="29506" xr:uid="{AF3D1FE4-9D76-43D0-A1F7-07DA3C137577}"/>
    <cellStyle name="Migliaia 3 3 2 4 3 2 3" xfId="25961" xr:uid="{2E0215C3-800E-4A61-90EA-76C2E26B8F4E}"/>
    <cellStyle name="Migliaia 3 3 2 4 3 3" xfId="6609" xr:uid="{1534C768-6846-43C3-BC2E-ABF0A718D5EA}"/>
    <cellStyle name="Migliaia 3 3 2 4 3 3 2" xfId="21789" xr:uid="{C2FEE9A3-FBFC-444A-9048-D1D12BF1CE5F}"/>
    <cellStyle name="Migliaia 3 3 2 4 3 4" xfId="18501" xr:uid="{5049BB9E-FF00-485F-A5FC-5A8D7EA42045}"/>
    <cellStyle name="Migliaia 3 3 2 4 4" xfId="4452" xr:uid="{05A61517-E0B3-4682-B5BA-84869892BF61}"/>
    <cellStyle name="Migliaia 3 3 2 4 4 2" xfId="11937" xr:uid="{564E0C3C-3F0C-4DD1-B53F-E1EA67C1BF8E}"/>
    <cellStyle name="Migliaia 3 3 2 4 4 2 2" xfId="15483" xr:uid="{AFD9FF56-C544-424C-9AB2-F6452368EE71}"/>
    <cellStyle name="Migliaia 3 3 2 4 4 2 2 2" xfId="30660" xr:uid="{3F842318-1DDD-4419-A55C-875D90A154C0}"/>
    <cellStyle name="Migliaia 3 3 2 4 4 2 3" xfId="27115" xr:uid="{8E5BB6B6-6493-4094-96B2-8A15F73F86BB}"/>
    <cellStyle name="Migliaia 3 3 2 4 4 3" xfId="7763" xr:uid="{B01AF1AD-D73B-4E23-BFB5-4FD05E7737B7}"/>
    <cellStyle name="Migliaia 3 3 2 4 4 3 2" xfId="22943" xr:uid="{E543F1B7-E374-409E-A6FD-1F07BFDF2CA5}"/>
    <cellStyle name="Migliaia 3 3 2 4 4 4" xfId="19655" xr:uid="{EE8D19A0-3CFC-4254-AF9B-1F3E680709FE}"/>
    <cellStyle name="Migliaia 3 3 2 4 5" xfId="8501" xr:uid="{59BA6BF6-1FF5-4AF8-92B8-0B9B2730773D}"/>
    <cellStyle name="Migliaia 3 3 2 4 5 2" xfId="12674" xr:uid="{4FF57452-EC5A-406E-BC47-3DA53318D91B}"/>
    <cellStyle name="Migliaia 3 3 2 4 5 2 2" xfId="27851" xr:uid="{4269153F-42D5-446E-B95E-2E75BEFD3820}"/>
    <cellStyle name="Migliaia 3 3 2 4 5 3" xfId="23679" xr:uid="{2D65A17D-1D9F-40FA-ADBF-B5FC7144D53A}"/>
    <cellStyle name="Migliaia 3 3 2 4 6" xfId="16219" xr:uid="{856AF002-4DDC-42A4-96D3-23720B86FF54}"/>
    <cellStyle name="Migliaia 3 3 2 4 7" xfId="31659" xr:uid="{509B8A5B-5EAC-4681-A2A3-2CB27C84599F}"/>
    <cellStyle name="Migliaia 3 3 2 5" xfId="992" xr:uid="{00FC6492-BA2E-423F-9AA1-76DB05F216FE}"/>
    <cellStyle name="Migliaia 3 3 2 5 2" xfId="2505" xr:uid="{AA5319AB-6A60-457B-8FDA-E56F84EA5A6E}"/>
    <cellStyle name="Migliaia 3 3 2 5 2 2" xfId="9997" xr:uid="{F194A20F-2FD4-4BDA-A38D-DC2CA783B067}"/>
    <cellStyle name="Migliaia 3 3 2 5 2 2 2" xfId="13656" xr:uid="{66AC2AE8-01B4-4EDF-9707-FE8122BAA7BC}"/>
    <cellStyle name="Migliaia 3 3 2 5 2 2 2 2" xfId="28833" xr:uid="{3C424480-6A8C-4287-A7B1-CA941855EDB8}"/>
    <cellStyle name="Migliaia 3 3 2 5 2 2 3" xfId="25175" xr:uid="{3A580157-FDE8-48D9-92D9-DA768CC2B490}"/>
    <cellStyle name="Migliaia 3 3 2 5 2 3" xfId="5823" xr:uid="{9B9AAF63-3BDE-4729-BB01-56661FD1D89D}"/>
    <cellStyle name="Migliaia 3 3 2 5 2 3 2" xfId="21003" xr:uid="{B47C018F-EB7D-4FA2-9A26-0E8DEA4C5670}"/>
    <cellStyle name="Migliaia 3 3 2 5 2 4" xfId="17715" xr:uid="{EA807769-9652-4196-8B1C-78111F48ED75}"/>
    <cellStyle name="Migliaia 3 3 2 5 3" xfId="3393" xr:uid="{BFCD1CBE-7437-4045-802C-02467FE087B0}"/>
    <cellStyle name="Migliaia 3 3 2 5 3 2" xfId="10881" xr:uid="{64C1EAB1-0E10-4A5D-AF9A-7AC83AE4CD65}"/>
    <cellStyle name="Migliaia 3 3 2 5 3 2 2" xfId="14427" xr:uid="{54B90834-8F8C-4546-9903-B374B1C5D359}"/>
    <cellStyle name="Migliaia 3 3 2 5 3 2 2 2" xfId="29604" xr:uid="{342EF031-E16A-4689-AFE6-E27F45ED3B63}"/>
    <cellStyle name="Migliaia 3 3 2 5 3 2 3" xfId="26059" xr:uid="{1920E577-07BC-4AE2-BB4B-D85C98097F94}"/>
    <cellStyle name="Migliaia 3 3 2 5 3 3" xfId="6707" xr:uid="{81EFDC11-420E-471B-8A11-69A9CD3CE0A2}"/>
    <cellStyle name="Migliaia 3 3 2 5 3 3 2" xfId="21887" xr:uid="{38383285-5E93-44F5-8EF0-7F5AE9CBBF72}"/>
    <cellStyle name="Migliaia 3 3 2 5 3 4" xfId="18599" xr:uid="{979B076F-B209-4800-9968-54DF2A42F73D}"/>
    <cellStyle name="Migliaia 3 3 2 5 4" xfId="4453" xr:uid="{DBEBF812-B93D-4810-B2C1-5A51540B809E}"/>
    <cellStyle name="Migliaia 3 3 2 5 4 2" xfId="11938" xr:uid="{6EF07DA3-B337-4913-99BE-2AD86736849B}"/>
    <cellStyle name="Migliaia 3 3 2 5 4 2 2" xfId="15484" xr:uid="{96DA014F-DE00-413C-A4B5-E27213BBDA3C}"/>
    <cellStyle name="Migliaia 3 3 2 5 4 2 2 2" xfId="30661" xr:uid="{B941E8BE-8929-4A7F-942E-C3CA36E704FD}"/>
    <cellStyle name="Migliaia 3 3 2 5 4 2 3" xfId="27116" xr:uid="{8388096A-7734-4498-B91B-B2C09F597BEB}"/>
    <cellStyle name="Migliaia 3 3 2 5 4 3" xfId="7764" xr:uid="{82F2F8A2-F46C-458D-BB95-6A268C0C6323}"/>
    <cellStyle name="Migliaia 3 3 2 5 4 3 2" xfId="22944" xr:uid="{5213C4A7-DF00-4098-A78A-63AD72624092}"/>
    <cellStyle name="Migliaia 3 3 2 5 4 4" xfId="19656" xr:uid="{2D70202C-ECED-4B6B-A414-BFD67B0C91C8}"/>
    <cellStyle name="Migliaia 3 3 2 5 5" xfId="8599" xr:uid="{F6A9E844-013E-4037-922B-17318A0453AA}"/>
    <cellStyle name="Migliaia 3 3 2 5 5 2" xfId="12772" xr:uid="{3CC4AFE5-F02E-4ACB-9B3F-ADFD0924659B}"/>
    <cellStyle name="Migliaia 3 3 2 5 5 2 2" xfId="27949" xr:uid="{73BA2AB6-F53A-48C4-95C2-B2CB0A2F7F2C}"/>
    <cellStyle name="Migliaia 3 3 2 5 5 3" xfId="23777" xr:uid="{AD88B723-C5EE-4B39-B1D2-C2C420C02321}"/>
    <cellStyle name="Migliaia 3 3 2 5 6" xfId="16317" xr:uid="{662A7247-B309-4BB7-A011-646298A272B4}"/>
    <cellStyle name="Migliaia 3 3 2 5 7" xfId="31537" xr:uid="{7599D987-0F04-4A9C-90EA-03FA0A6434AB}"/>
    <cellStyle name="Migliaia 3 3 2 6" xfId="1175" xr:uid="{3D3C0994-01D2-44B1-8AC3-A4BC99206908}"/>
    <cellStyle name="Migliaia 3 3 2 6 2" xfId="2608" xr:uid="{D6AB53F1-15C8-4E5E-883A-D5CB85302346}"/>
    <cellStyle name="Migliaia 3 3 2 6 2 2" xfId="10099" xr:uid="{EE5E733A-ABBD-4941-A6DD-5E081D3F2EB5}"/>
    <cellStyle name="Migliaia 3 3 2 6 2 2 2" xfId="13757" xr:uid="{C410B94B-2654-41D3-8EC1-CD7A71AE268A}"/>
    <cellStyle name="Migliaia 3 3 2 6 2 2 2 2" xfId="28934" xr:uid="{B9706266-4902-45B4-A7A2-11101F55FF68}"/>
    <cellStyle name="Migliaia 3 3 2 6 2 2 3" xfId="25277" xr:uid="{42FF8CC9-AB12-405D-B8E3-14B060EDA819}"/>
    <cellStyle name="Migliaia 3 3 2 6 2 3" xfId="5925" xr:uid="{86BD00EE-AA4E-4BF1-84B1-9EFF5A1AD367}"/>
    <cellStyle name="Migliaia 3 3 2 6 2 3 2" xfId="21105" xr:uid="{569AA3AE-52B3-4D83-90B2-8934798F6D78}"/>
    <cellStyle name="Migliaia 3 3 2 6 2 4" xfId="17817" xr:uid="{A25A2A39-1D2C-42B1-8934-1BE87F34E775}"/>
    <cellStyle name="Migliaia 3 3 2 6 3" xfId="3495" xr:uid="{BCCB5ED0-6379-48EA-A6AB-E97F8F81794F}"/>
    <cellStyle name="Migliaia 3 3 2 6 3 2" xfId="10983" xr:uid="{E3004BCC-2EE5-45F9-8CA8-7A44FBFD38EF}"/>
    <cellStyle name="Migliaia 3 3 2 6 3 2 2" xfId="14529" xr:uid="{5F8C69BD-1591-4B6C-A529-14D741B8D3F6}"/>
    <cellStyle name="Migliaia 3 3 2 6 3 2 2 2" xfId="29706" xr:uid="{2E724C16-4E3F-446F-828A-1B46F6460DF6}"/>
    <cellStyle name="Migliaia 3 3 2 6 3 2 3" xfId="26161" xr:uid="{8C40BA8A-2F04-4F29-A9EC-2A32A70DFFDD}"/>
    <cellStyle name="Migliaia 3 3 2 6 3 3" xfId="6809" xr:uid="{71BE3384-79A8-4958-914A-26CE720CECB3}"/>
    <cellStyle name="Migliaia 3 3 2 6 3 3 2" xfId="21989" xr:uid="{3590F3AA-5DFA-4B49-8422-A4533DEE61E5}"/>
    <cellStyle name="Migliaia 3 3 2 6 3 4" xfId="18701" xr:uid="{A195E0EA-92EF-49B9-BDB0-9D9B635A38AD}"/>
    <cellStyle name="Migliaia 3 3 2 6 4" xfId="4454" xr:uid="{47282891-190F-4E18-A073-10922B5E0CC0}"/>
    <cellStyle name="Migliaia 3 3 2 6 4 2" xfId="11939" xr:uid="{54F3670C-8013-4D8E-92F0-35E01AE13ACC}"/>
    <cellStyle name="Migliaia 3 3 2 6 4 2 2" xfId="15485" xr:uid="{5F8B51C5-1F3D-4D7E-BFAF-D5A96F506296}"/>
    <cellStyle name="Migliaia 3 3 2 6 4 2 2 2" xfId="30662" xr:uid="{CCDD01C0-3DB8-487A-A666-0307820EDCA7}"/>
    <cellStyle name="Migliaia 3 3 2 6 4 2 3" xfId="27117" xr:uid="{D0553A47-E13F-4102-AFA8-DFC81DE07F73}"/>
    <cellStyle name="Migliaia 3 3 2 6 4 3" xfId="7765" xr:uid="{4623811E-855C-48C0-8012-2B42F53C76BB}"/>
    <cellStyle name="Migliaia 3 3 2 6 4 3 2" xfId="22945" xr:uid="{0A106E45-9C1A-4B3A-BEDA-2B6C8A018CD9}"/>
    <cellStyle name="Migliaia 3 3 2 6 4 4" xfId="19657" xr:uid="{5ECCFBD1-396B-4B48-9572-FA1ABF5EB29B}"/>
    <cellStyle name="Migliaia 3 3 2 6 5" xfId="8701" xr:uid="{5721F2C1-B56D-4BB4-BB01-CE0A9D39DE92}"/>
    <cellStyle name="Migliaia 3 3 2 6 5 2" xfId="12874" xr:uid="{4C982ED8-A01F-4300-9D1F-E083882EB117}"/>
    <cellStyle name="Migliaia 3 3 2 6 5 2 2" xfId="28051" xr:uid="{071A4430-8EE4-405E-9BF0-211E745F964E}"/>
    <cellStyle name="Migliaia 3 3 2 6 5 3" xfId="23879" xr:uid="{592C6501-A5E2-4295-AD61-1D8FF7D0979A}"/>
    <cellStyle name="Migliaia 3 3 2 6 6" xfId="16419" xr:uid="{C1E9492F-68E5-4CEE-B7F6-0DFF33AFA936}"/>
    <cellStyle name="Migliaia 3 3 2 7" xfId="1201" xr:uid="{DCD80883-CCBA-479E-8170-6713283AF9A9}"/>
    <cellStyle name="Migliaia 3 3 2 7 2" xfId="2632" xr:uid="{B4D2ED7F-BCE6-4062-9CC8-8234DAF586D7}"/>
    <cellStyle name="Migliaia 3 3 2 7 2 2" xfId="10123" xr:uid="{D04C10BD-A7D4-45BD-A901-C36C2FCBE69D}"/>
    <cellStyle name="Migliaia 3 3 2 7 2 2 2" xfId="13781" xr:uid="{6F3BDCBD-F38E-4C98-AAE7-E44259A4ACE6}"/>
    <cellStyle name="Migliaia 3 3 2 7 2 2 2 2" xfId="28958" xr:uid="{3CD756C0-EBE1-4CE8-BC63-B94CD2BC959F}"/>
    <cellStyle name="Migliaia 3 3 2 7 2 2 3" xfId="25301" xr:uid="{2BF4F7D4-6DBF-4D98-A763-8354C33E0683}"/>
    <cellStyle name="Migliaia 3 3 2 7 2 3" xfId="5949" xr:uid="{94A924EA-5B39-454E-91DE-B0DE09761BB5}"/>
    <cellStyle name="Migliaia 3 3 2 7 2 3 2" xfId="21129" xr:uid="{3B982955-52F8-44E5-B517-39B545097181}"/>
    <cellStyle name="Migliaia 3 3 2 7 2 4" xfId="17841" xr:uid="{F2045325-4458-4291-8634-B69CE3A83693}"/>
    <cellStyle name="Migliaia 3 3 2 7 3" xfId="3519" xr:uid="{526430C1-8E1F-4A40-AF70-7F4F32DCC19A}"/>
    <cellStyle name="Migliaia 3 3 2 7 3 2" xfId="11007" xr:uid="{B16B4AD5-829E-4671-BD57-901B15EAB2B7}"/>
    <cellStyle name="Migliaia 3 3 2 7 3 2 2" xfId="14553" xr:uid="{463A0E9D-E94A-48E1-8132-D551A5326F56}"/>
    <cellStyle name="Migliaia 3 3 2 7 3 2 2 2" xfId="29730" xr:uid="{6C66A84E-3DA5-4B65-AA1F-86D2D2EE0F75}"/>
    <cellStyle name="Migliaia 3 3 2 7 3 2 3" xfId="26185" xr:uid="{D1010E0E-93EE-4A09-A184-E2D7F1F2EE69}"/>
    <cellStyle name="Migliaia 3 3 2 7 3 3" xfId="6833" xr:uid="{B9445B9C-D7E6-4E38-AF0F-18A588ED2FE4}"/>
    <cellStyle name="Migliaia 3 3 2 7 3 3 2" xfId="22013" xr:uid="{8CBA036E-89DE-484E-B7D5-4F33DE44AD07}"/>
    <cellStyle name="Migliaia 3 3 2 7 3 4" xfId="18725" xr:uid="{C10B85CB-C145-4722-9DC5-CC80FE8C6BE6}"/>
    <cellStyle name="Migliaia 3 3 2 7 4" xfId="4455" xr:uid="{D1E2C78D-C83B-4088-94C0-5F9000710AE4}"/>
    <cellStyle name="Migliaia 3 3 2 7 4 2" xfId="11940" xr:uid="{1CC73885-057F-4327-A244-10ABC1A2D810}"/>
    <cellStyle name="Migliaia 3 3 2 7 4 2 2" xfId="15486" xr:uid="{1C0B2D58-3F9D-4E79-A5D1-7D0D33653809}"/>
    <cellStyle name="Migliaia 3 3 2 7 4 2 2 2" xfId="30663" xr:uid="{B59B78C5-F84C-4BED-B563-FF8E87906EC0}"/>
    <cellStyle name="Migliaia 3 3 2 7 4 2 3" xfId="27118" xr:uid="{53FB3D8D-4C14-4CF6-BF76-B4D79B7C13B6}"/>
    <cellStyle name="Migliaia 3 3 2 7 4 3" xfId="7766" xr:uid="{37A44E5D-FD2D-4C63-B489-E6DDF8038CE6}"/>
    <cellStyle name="Migliaia 3 3 2 7 4 3 2" xfId="22946" xr:uid="{A17F2E84-C04E-4C8C-8CD1-E07085A5385C}"/>
    <cellStyle name="Migliaia 3 3 2 7 4 4" xfId="19658" xr:uid="{1B8881F5-A2FB-41CE-A852-BC4DFDBD3873}"/>
    <cellStyle name="Migliaia 3 3 2 7 5" xfId="8725" xr:uid="{57C1B809-339F-405D-82DF-602C008D5464}"/>
    <cellStyle name="Migliaia 3 3 2 7 5 2" xfId="12898" xr:uid="{841DA0AC-2F55-4CD0-99C9-66CB7C636994}"/>
    <cellStyle name="Migliaia 3 3 2 7 5 2 2" xfId="28075" xr:uid="{FEC51D8F-E110-42DB-8E7E-80BA0E631116}"/>
    <cellStyle name="Migliaia 3 3 2 7 5 3" xfId="23903" xr:uid="{56C61EE2-B692-402C-84C3-61187BA18B6D}"/>
    <cellStyle name="Migliaia 3 3 2 7 6" xfId="16443" xr:uid="{3DDE0235-16F7-4FC7-9EFF-7D2CEB0D9E33}"/>
    <cellStyle name="Migliaia 3 3 2 8" xfId="1250" xr:uid="{3CAE6BBD-79B7-4C8E-8486-1071D2D176EC}"/>
    <cellStyle name="Migliaia 3 3 2 8 10" xfId="31309" xr:uid="{EFD22C1C-8E2D-447E-AC8F-C34D3911AC8C}"/>
    <cellStyle name="Migliaia 3 3 2 8 2" xfId="2680" xr:uid="{010C601A-46DC-4C3C-B77A-13FFB21C1950}"/>
    <cellStyle name="Migliaia 3 3 2 8 2 2" xfId="10171" xr:uid="{5891F29A-DFE2-45A2-9085-EDD9065F2579}"/>
    <cellStyle name="Migliaia 3 3 2 8 2 2 2" xfId="13815" xr:uid="{6FAA8604-55F0-47EB-8563-B3CD6F8605A3}"/>
    <cellStyle name="Migliaia 3 3 2 8 2 2 2 2" xfId="28992" xr:uid="{26F4ADA9-A0CB-4AFD-B8FA-1AE880647471}"/>
    <cellStyle name="Migliaia 3 3 2 8 2 2 3" xfId="25349" xr:uid="{B6BE9940-0F8F-4882-82DD-70F138D394B4}"/>
    <cellStyle name="Migliaia 3 3 2 8 2 3" xfId="5997" xr:uid="{B54B8A47-F5DA-47FA-A6F0-A1F564CB5630}"/>
    <cellStyle name="Migliaia 3 3 2 8 2 3 2" xfId="21177" xr:uid="{6CD1D734-1529-49DA-9249-EEDC7BDDCB51}"/>
    <cellStyle name="Migliaia 3 3 2 8 2 4" xfId="17889" xr:uid="{B93EC9E7-2DE7-4046-B587-7E2FD2DDDCDF}"/>
    <cellStyle name="Migliaia 3 3 2 8 3" xfId="3567" xr:uid="{545A1F76-0E13-460E-931B-78AC09B0E95D}"/>
    <cellStyle name="Migliaia 3 3 2 8 3 2" xfId="11055" xr:uid="{045CA9B3-74F1-4D21-977C-167EAFD0B2AF}"/>
    <cellStyle name="Migliaia 3 3 2 8 3 2 2" xfId="14601" xr:uid="{40B80A63-16A2-43E3-9417-5EC57EBFD422}"/>
    <cellStyle name="Migliaia 3 3 2 8 3 2 2 2" xfId="29778" xr:uid="{BFB99FD5-2FF8-4A49-8D7B-3CE982662F06}"/>
    <cellStyle name="Migliaia 3 3 2 8 3 2 3" xfId="26233" xr:uid="{097E4532-7002-4426-86CE-3223700BCB96}"/>
    <cellStyle name="Migliaia 3 3 2 8 3 3" xfId="6881" xr:uid="{10A793A4-274A-4B1E-B59B-BA41CC4C569F}"/>
    <cellStyle name="Migliaia 3 3 2 8 3 3 2" xfId="22061" xr:uid="{4EE18CA6-D65D-42D5-954D-3D1E3C615281}"/>
    <cellStyle name="Migliaia 3 3 2 8 3 4" xfId="18773" xr:uid="{C33A81A5-22D4-45BE-8E27-8E9152FE1AE7}"/>
    <cellStyle name="Migliaia 3 3 2 8 4" xfId="4456" xr:uid="{FDD949F5-0E0B-4B62-8FA2-E7C409A8DA17}"/>
    <cellStyle name="Migliaia 3 3 2 8 4 2" xfId="11941" xr:uid="{FD3E27A7-A54F-4ED6-AADD-14F49422DD53}"/>
    <cellStyle name="Migliaia 3 3 2 8 4 2 2" xfId="15487" xr:uid="{3763BFA8-6ACA-47A0-91CA-D908AF09ECE9}"/>
    <cellStyle name="Migliaia 3 3 2 8 4 2 2 2" xfId="30664" xr:uid="{05869568-7B40-413B-B385-29D5CC0C7A7D}"/>
    <cellStyle name="Migliaia 3 3 2 8 4 2 3" xfId="27119" xr:uid="{4F2CBFA2-94A9-44DF-84EA-674CA33E2B44}"/>
    <cellStyle name="Migliaia 3 3 2 8 4 3" xfId="7767" xr:uid="{BBBDE2BA-EA70-4278-89D6-2FA6DE59EBAA}"/>
    <cellStyle name="Migliaia 3 3 2 8 4 3 2" xfId="22947" xr:uid="{38296898-B985-498B-86A0-06374A387D89}"/>
    <cellStyle name="Migliaia 3 3 2 8 4 4" xfId="19659" xr:uid="{F32818AB-FC85-4286-8AC1-4AAD3B655D57}"/>
    <cellStyle name="Migliaia 3 3 2 8 5" xfId="4969" xr:uid="{F72999E9-943C-4681-951C-B7D82E0D98E3}"/>
    <cellStyle name="Migliaia 3 3 2 8 5 2" xfId="12453" xr:uid="{D473CCBD-6E20-4DF4-A69E-6E1552E2E63C}"/>
    <cellStyle name="Migliaia 3 3 2 8 5 2 2" xfId="15999" xr:uid="{37EEAC7D-627C-453E-ABC4-E0FD37883223}"/>
    <cellStyle name="Migliaia 3 3 2 8 5 2 2 2" xfId="31176" xr:uid="{5AD14514-5ACC-417E-8029-E52A8FAC3EC0}"/>
    <cellStyle name="Migliaia 3 3 2 8 5 2 3" xfId="27631" xr:uid="{7D3DD6E0-75AF-40D3-AB49-A1E67418545D}"/>
    <cellStyle name="Migliaia 3 3 2 8 5 3" xfId="8279" xr:uid="{242CCEB0-F517-46DB-9999-C32AAECCC28D}"/>
    <cellStyle name="Migliaia 3 3 2 8 5 3 2" xfId="23459" xr:uid="{C498519F-6076-4304-BF20-8B2F6B243348}"/>
    <cellStyle name="Migliaia 3 3 2 8 5 4" xfId="20171" xr:uid="{42F0D641-5437-4E22-99FA-EFDEA5211EA0}"/>
    <cellStyle name="Migliaia 3 3 2 8 6" xfId="1790" xr:uid="{9581A248-A52A-482B-B459-B416F2BF3C76}"/>
    <cellStyle name="Migliaia 3 3 2 8 6 2" xfId="9287" xr:uid="{90EF3C94-9137-46C3-B67F-3F7E1FF2F44D}"/>
    <cellStyle name="Migliaia 3 3 2 8 6 2 2" xfId="24465" xr:uid="{D99D81C2-9987-41CA-BE26-A5EEB731A499}"/>
    <cellStyle name="Migliaia 3 3 2 8 6 3" xfId="17005" xr:uid="{0F3A4410-7A18-49FB-9118-AAA2104ED3DF}"/>
    <cellStyle name="Migliaia 3 3 2 8 7" xfId="8773" xr:uid="{AA4AD8F5-0DB9-430F-874F-83F07C89B6D5}"/>
    <cellStyle name="Migliaia 3 3 2 8 7 2" xfId="12946" xr:uid="{7C1DAE55-F5D7-4B81-98B9-A0CCF6A0EDBB}"/>
    <cellStyle name="Migliaia 3 3 2 8 7 2 2" xfId="28123" xr:uid="{DFEA4197-3D17-44B1-A923-5989C8800525}"/>
    <cellStyle name="Migliaia 3 3 2 8 7 3" xfId="23951" xr:uid="{09588027-21CD-4CF2-851F-192F888B33CB}"/>
    <cellStyle name="Migliaia 3 3 2 8 8" xfId="5113" xr:uid="{44144FAF-AAE9-4296-8AC2-1722AE1DF0B1}"/>
    <cellStyle name="Migliaia 3 3 2 8 8 2" xfId="20293" xr:uid="{BD7104C1-DE7F-4551-BB37-9DF4DCC575F5}"/>
    <cellStyle name="Migliaia 3 3 2 8 9" xfId="16491" xr:uid="{05DC532C-467B-4309-835D-BE2556ECA486}"/>
    <cellStyle name="Migliaia 3 3 2 9" xfId="1352" xr:uid="{6C01EC9F-65C7-4B71-AC65-D87C226B91CB}"/>
    <cellStyle name="Migliaia 3 3 2 9 2" xfId="2778" xr:uid="{403F28E0-EF3C-4455-9445-0448390694CC}"/>
    <cellStyle name="Migliaia 3 3 2 9 2 2" xfId="10269" xr:uid="{1E4303F0-E38C-475F-9682-9C30092AC2AB}"/>
    <cellStyle name="Migliaia 3 3 2 9 2 2 2" xfId="13864" xr:uid="{EE379FE3-9852-492C-AFA3-B938BA579730}"/>
    <cellStyle name="Migliaia 3 3 2 9 2 2 2 2" xfId="29041" xr:uid="{D6E1440E-8B4A-494A-9CA3-3E6DFADE0204}"/>
    <cellStyle name="Migliaia 3 3 2 9 2 2 3" xfId="25447" xr:uid="{DD1A2246-A0D7-408A-80E0-5FB7055042BC}"/>
    <cellStyle name="Migliaia 3 3 2 9 2 3" xfId="6095" xr:uid="{5E47D9CE-D5F2-497F-B1BD-85B826208C11}"/>
    <cellStyle name="Migliaia 3 3 2 9 2 3 2" xfId="21275" xr:uid="{1D2876B3-CCC8-48F7-BAC2-951BB5DC5190}"/>
    <cellStyle name="Migliaia 3 3 2 9 2 4" xfId="17987" xr:uid="{AA69D0FB-282D-4A79-BCA3-1442FDD84886}"/>
    <cellStyle name="Migliaia 3 3 2 9 3" xfId="3665" xr:uid="{C8E6E6FA-25EC-4DA7-9871-A1337F6CE236}"/>
    <cellStyle name="Migliaia 3 3 2 9 3 2" xfId="11153" xr:uid="{012F6C30-2DA1-40D7-8523-5EF9BF244230}"/>
    <cellStyle name="Migliaia 3 3 2 9 3 2 2" xfId="14699" xr:uid="{6E8AD842-EF5E-4235-BB98-BD5AB0F25A96}"/>
    <cellStyle name="Migliaia 3 3 2 9 3 2 2 2" xfId="29876" xr:uid="{BDBA90A8-511A-4FA7-904D-1B4F304BDD33}"/>
    <cellStyle name="Migliaia 3 3 2 9 3 2 3" xfId="26331" xr:uid="{11D49F7D-5DB3-4595-BA4B-721C1DD8FE14}"/>
    <cellStyle name="Migliaia 3 3 2 9 3 3" xfId="6979" xr:uid="{F5F0A66F-E7CD-4BCB-853B-3100FE83389E}"/>
    <cellStyle name="Migliaia 3 3 2 9 3 3 2" xfId="22159" xr:uid="{946925D2-D69D-4944-8F82-E18604E153B3}"/>
    <cellStyle name="Migliaia 3 3 2 9 3 4" xfId="18871" xr:uid="{86469BAC-A404-4CDA-BBEE-6907D69D1157}"/>
    <cellStyle name="Migliaia 3 3 2 9 4" xfId="4457" xr:uid="{904653F7-43C2-4CE3-8154-70BC63E2EDA3}"/>
    <cellStyle name="Migliaia 3 3 2 9 4 2" xfId="11942" xr:uid="{545CED30-DC31-4A14-9A5C-AD1664506AC2}"/>
    <cellStyle name="Migliaia 3 3 2 9 4 2 2" xfId="15488" xr:uid="{C09B8F65-64AF-4AFF-BE74-5659B8DF60B5}"/>
    <cellStyle name="Migliaia 3 3 2 9 4 2 2 2" xfId="30665" xr:uid="{73316CFD-7747-4D35-88F9-226EA93289A6}"/>
    <cellStyle name="Migliaia 3 3 2 9 4 2 3" xfId="27120" xr:uid="{7EA96359-D923-4F03-89AF-0CF260853BB9}"/>
    <cellStyle name="Migliaia 3 3 2 9 4 3" xfId="7768" xr:uid="{A32072C7-41DA-4E5C-B3EA-DA81BB837109}"/>
    <cellStyle name="Migliaia 3 3 2 9 4 3 2" xfId="22948" xr:uid="{DE0CE83F-D76B-476E-8BAE-718453303219}"/>
    <cellStyle name="Migliaia 3 3 2 9 4 4" xfId="19660" xr:uid="{59E3387E-8C62-43FC-994A-273D722091C5}"/>
    <cellStyle name="Migliaia 3 3 2 9 5" xfId="1888" xr:uid="{93B768EA-1E88-4989-BCF2-567C1548210B}"/>
    <cellStyle name="Migliaia 3 3 2 9 5 2" xfId="9385" xr:uid="{2908DB19-19B5-4EE9-8987-B342460B0C72}"/>
    <cellStyle name="Migliaia 3 3 2 9 5 2 2" xfId="24563" xr:uid="{9D3A17D8-3B56-447C-80ED-CEF26CB5CCF5}"/>
    <cellStyle name="Migliaia 3 3 2 9 5 3" xfId="17103" xr:uid="{2AC72C69-1569-4C1A-BA03-3A8A382459CE}"/>
    <cellStyle name="Migliaia 3 3 2 9 6" xfId="8871" xr:uid="{C5B0A81F-DFFA-4601-ACFD-1E8F31A85A11}"/>
    <cellStyle name="Migliaia 3 3 2 9 6 2" xfId="13044" xr:uid="{FE4F0051-7A1E-42EA-BD8A-E2505809773B}"/>
    <cellStyle name="Migliaia 3 3 2 9 6 2 2" xfId="28221" xr:uid="{EF9D73E8-ECF4-41D1-B37A-DAC5C0F4AD3B}"/>
    <cellStyle name="Migliaia 3 3 2 9 6 3" xfId="24049" xr:uid="{F7950A50-E04C-47D2-A952-6FE58A16AA87}"/>
    <cellStyle name="Migliaia 3 3 2 9 7" xfId="5211" xr:uid="{B74A944C-45CA-478E-B697-3E593707FCC3}"/>
    <cellStyle name="Migliaia 3 3 2 9 7 2" xfId="20391" xr:uid="{E7ADF2A5-E85E-493C-B920-10CD4BCE4055}"/>
    <cellStyle name="Migliaia 3 3 2 9 8" xfId="16589" xr:uid="{7354787C-5736-4E9F-B625-89C5F8258374}"/>
    <cellStyle name="Migliaia 3 3 3" xfId="572" xr:uid="{C1D6E206-8413-4209-88CA-E2797FAD911D}"/>
    <cellStyle name="Migliaia 3 3 3 10" xfId="16195" xr:uid="{B91B89B8-E4D3-4DDD-863A-A389C5EB0A2E}"/>
    <cellStyle name="Migliaia 3 3 3 11" xfId="31285" xr:uid="{0AB967D8-A40A-44DA-A46D-513BDD272360}"/>
    <cellStyle name="Migliaia 3 3 3 12" xfId="31635" xr:uid="{2CA8D9E9-AA9F-4668-9B26-50BCF309C02D}"/>
    <cellStyle name="Migliaia 3 3 3 13" xfId="863" xr:uid="{CB3EDE90-49A0-4F7F-8182-858BBE349C59}"/>
    <cellStyle name="Migliaia 3 3 3 2" xfId="1226" xr:uid="{ED04AB54-50CB-4817-AC00-7E4656F9E3EC}"/>
    <cellStyle name="Migliaia 3 3 3 2 2" xfId="3543" xr:uid="{AE1BC44D-20CB-44E1-B6CF-E18B9417E539}"/>
    <cellStyle name="Migliaia 3 3 3 2 2 2" xfId="11031" xr:uid="{107B501B-859E-48AF-A4B2-9F656056FDB0}"/>
    <cellStyle name="Migliaia 3 3 3 2 2 2 2" xfId="14577" xr:uid="{80077715-059A-4ADB-B848-CED3C5ADC8BF}"/>
    <cellStyle name="Migliaia 3 3 3 2 2 2 2 2" xfId="29754" xr:uid="{6191BB44-5FF2-414E-A0A1-2617BA215876}"/>
    <cellStyle name="Migliaia 3 3 3 2 2 2 3" xfId="26209" xr:uid="{31F1B5F2-006C-40CE-ABA9-AF026EB66AEC}"/>
    <cellStyle name="Migliaia 3 3 3 2 2 3" xfId="6857" xr:uid="{B8595EC1-57EF-46A0-8088-E4B66D77E555}"/>
    <cellStyle name="Migliaia 3 3 3 2 2 3 2" xfId="22037" xr:uid="{C6644A68-3443-4BB8-B0FA-CC9A08CC8AD7}"/>
    <cellStyle name="Migliaia 3 3 3 2 2 4" xfId="18749" xr:uid="{A35C9559-6907-4A53-A4F3-BC1AA6544D4A}"/>
    <cellStyle name="Migliaia 3 3 3 2 3" xfId="4458" xr:uid="{D4638D99-5B30-4178-911C-101BA75D91AB}"/>
    <cellStyle name="Migliaia 3 3 3 2 3 2" xfId="11943" xr:uid="{7B32C0BE-23D8-450F-A230-A4D0B472FFFB}"/>
    <cellStyle name="Migliaia 3 3 3 2 3 2 2" xfId="15489" xr:uid="{38CFA616-AA53-4CC0-A5EA-565D7CA91976}"/>
    <cellStyle name="Migliaia 3 3 3 2 3 2 2 2" xfId="30666" xr:uid="{0B579C55-0F28-43B6-85D5-064E5843E83B}"/>
    <cellStyle name="Migliaia 3 3 3 2 3 2 3" xfId="27121" xr:uid="{5585B0FD-0D5E-4E4C-A778-080BC79C4D06}"/>
    <cellStyle name="Migliaia 3 3 3 2 3 3" xfId="7769" xr:uid="{37A49DD7-222A-4737-9CCA-7D1E3B60CD82}"/>
    <cellStyle name="Migliaia 3 3 3 2 3 3 2" xfId="22949" xr:uid="{6B7D3AA6-5F97-4F6B-8BF2-D011BBE62209}"/>
    <cellStyle name="Migliaia 3 3 3 2 3 4" xfId="19661" xr:uid="{C0F7DE0F-59B7-45AB-868E-161C3D017003}"/>
    <cellStyle name="Migliaia 3 3 3 2 4" xfId="2656" xr:uid="{41FE4EA8-B744-4704-BA12-77E017D18C18}"/>
    <cellStyle name="Migliaia 3 3 3 2 4 2" xfId="10147" xr:uid="{66C20B5B-9A42-46B9-9D6E-466512A2E692}"/>
    <cellStyle name="Migliaia 3 3 3 2 4 2 2" xfId="25325" xr:uid="{E7D420F1-DBAD-4A8A-94A9-D3C86DB8C195}"/>
    <cellStyle name="Migliaia 3 3 3 2 4 3" xfId="17865" xr:uid="{468E5D54-932E-4DFC-923E-FA96E5C51D7D}"/>
    <cellStyle name="Migliaia 3 3 3 2 5" xfId="8749" xr:uid="{0708F07B-42AA-42B2-95B3-FCEE8CC3600F}"/>
    <cellStyle name="Migliaia 3 3 3 2 5 2" xfId="12922" xr:uid="{F3EC7095-22DC-4325-9395-324E62AB6838}"/>
    <cellStyle name="Migliaia 3 3 3 2 5 2 2" xfId="28099" xr:uid="{6B7C22C1-81B1-466D-95BC-359288CEE961}"/>
    <cellStyle name="Migliaia 3 3 3 2 5 3" xfId="23927" xr:uid="{94641B2D-617F-4376-AD40-8C343F26945C}"/>
    <cellStyle name="Migliaia 3 3 3 2 6" xfId="5973" xr:uid="{0A1F0E63-3117-4E80-AB06-9F95575C3D11}"/>
    <cellStyle name="Migliaia 3 3 3 2 6 2" xfId="21153" xr:uid="{857E5FCD-FE0C-4792-808E-230FBB2C3643}"/>
    <cellStyle name="Migliaia 3 3 3 2 7" xfId="16467" xr:uid="{03DF2F82-D871-4A23-B0D4-6141CE826C46}"/>
    <cellStyle name="Migliaia 3 3 3 3" xfId="2381" xr:uid="{D40720C3-D56F-4F48-9B50-A36F015FD7F4}"/>
    <cellStyle name="Migliaia 3 3 3 3 2" xfId="9875" xr:uid="{E02B45E6-F896-408B-A267-16398F433583}"/>
    <cellStyle name="Migliaia 3 3 3 3 2 2" xfId="13534" xr:uid="{9EC0F585-3E21-4CFE-B3D6-F7FBF093C706}"/>
    <cellStyle name="Migliaia 3 3 3 3 2 2 2" xfId="28711" xr:uid="{82A7F11A-4BC2-4BB0-B96F-D80AAB561D03}"/>
    <cellStyle name="Migliaia 3 3 3 3 2 3" xfId="25053" xr:uid="{E1CCB56B-3AA9-48A2-BAD0-AE84DE7C82E7}"/>
    <cellStyle name="Migliaia 3 3 3 3 3" xfId="5701" xr:uid="{3A2EBA7F-6516-4520-977B-2EE7109BCD96}"/>
    <cellStyle name="Migliaia 3 3 3 3 3 2" xfId="20881" xr:uid="{1E0166A9-1831-4FB1-A2F5-922E00F678F5}"/>
    <cellStyle name="Migliaia 3 3 3 3 4" xfId="17593" xr:uid="{0F29D2E1-1878-467F-9D1C-E6A08DBC2C52}"/>
    <cellStyle name="Migliaia 3 3 3 4" xfId="3271" xr:uid="{AEB5F498-8244-4291-B50A-7189118048FE}"/>
    <cellStyle name="Migliaia 3 3 3 4 2" xfId="10759" xr:uid="{17CFF332-863D-4C29-A5D9-A24BC7A1159E}"/>
    <cellStyle name="Migliaia 3 3 3 4 2 2" xfId="14305" xr:uid="{63D32600-4EB8-4636-9B49-6F218B8BCE4E}"/>
    <cellStyle name="Migliaia 3 3 3 4 2 2 2" xfId="29482" xr:uid="{03D34A30-6BC9-4B9B-9CDE-D0F4BF58E1F4}"/>
    <cellStyle name="Migliaia 3 3 3 4 2 3" xfId="25937" xr:uid="{253F9755-9DC1-410C-A917-69CE2FD75B70}"/>
    <cellStyle name="Migliaia 3 3 3 4 3" xfId="6585" xr:uid="{7A218886-B488-4ABB-B9D0-D193CDD2729D}"/>
    <cellStyle name="Migliaia 3 3 3 4 3 2" xfId="21765" xr:uid="{71D9D867-AD5A-4B11-96C1-6B3DE1C95F56}"/>
    <cellStyle name="Migliaia 3 3 3 4 4" xfId="18477" xr:uid="{87269A87-408F-4B8A-B183-0F58E1879207}"/>
    <cellStyle name="Migliaia 3 3 3 5" xfId="4459" xr:uid="{25741785-7FBB-49E9-8A6A-18B694676819}"/>
    <cellStyle name="Migliaia 3 3 3 5 2" xfId="11944" xr:uid="{40265680-D57D-4A5B-B6D5-ED01D36BD149}"/>
    <cellStyle name="Migliaia 3 3 3 5 2 2" xfId="15490" xr:uid="{5577CA18-A468-47AE-B43D-7431A5909FEC}"/>
    <cellStyle name="Migliaia 3 3 3 5 2 2 2" xfId="30667" xr:uid="{E2B57DFB-3585-4B46-89F3-784145E3342C}"/>
    <cellStyle name="Migliaia 3 3 3 5 2 3" xfId="27122" xr:uid="{3A2B9875-2449-4F9E-81A3-EA9D3030328C}"/>
    <cellStyle name="Migliaia 3 3 3 5 3" xfId="7770" xr:uid="{A450D932-A8DF-4888-8E7E-108CA6A681F9}"/>
    <cellStyle name="Migliaia 3 3 3 5 3 2" xfId="22950" xr:uid="{FE73BD3B-ED35-4E56-B258-F7BA8BEDA305}"/>
    <cellStyle name="Migliaia 3 3 3 5 4" xfId="19662" xr:uid="{D2A34696-706D-4260-9D9D-3E688811B497}"/>
    <cellStyle name="Migliaia 3 3 3 6" xfId="4945" xr:uid="{2D1E36D4-9C8A-42CC-9281-0A045863A10D}"/>
    <cellStyle name="Migliaia 3 3 3 6 2" xfId="12429" xr:uid="{4367198C-8350-4A07-8B2E-C6550CAD442F}"/>
    <cellStyle name="Migliaia 3 3 3 6 2 2" xfId="15975" xr:uid="{6F1B2542-046D-4D61-A068-20E3A7D23925}"/>
    <cellStyle name="Migliaia 3 3 3 6 2 2 2" xfId="31152" xr:uid="{EB387C76-A326-4A87-92AD-946CEC92A31D}"/>
    <cellStyle name="Migliaia 3 3 3 6 2 3" xfId="27607" xr:uid="{B5292C75-C6BA-4FEC-8168-D25BA0942474}"/>
    <cellStyle name="Migliaia 3 3 3 6 3" xfId="8255" xr:uid="{EC4C9BAE-D7E5-49DD-94B5-99D8A110F641}"/>
    <cellStyle name="Migliaia 3 3 3 6 3 2" xfId="23435" xr:uid="{5DD30C52-B21E-42AE-BD38-02CC2DB205EF}"/>
    <cellStyle name="Migliaia 3 3 3 6 4" xfId="20147" xr:uid="{C4681B78-A4AB-4041-87F4-56D008FBE08C}"/>
    <cellStyle name="Migliaia 3 3 3 7" xfId="1766" xr:uid="{88317ECA-1060-4DE4-ABCA-4D07F9BC1688}"/>
    <cellStyle name="Migliaia 3 3 3 7 2" xfId="9263" xr:uid="{1BEFAD1F-9646-472A-84DB-DC5606BF13B7}"/>
    <cellStyle name="Migliaia 3 3 3 7 2 2" xfId="24441" xr:uid="{E9B45C8D-84D4-4BBD-A859-58BA015D76FE}"/>
    <cellStyle name="Migliaia 3 3 3 7 3" xfId="16981" xr:uid="{E064DAD1-02AD-43A2-A2B1-BC9268FBF2A7}"/>
    <cellStyle name="Migliaia 3 3 3 8" xfId="8477" xr:uid="{5603692D-EEF8-439B-9338-DB1214AFA996}"/>
    <cellStyle name="Migliaia 3 3 3 8 2" xfId="12650" xr:uid="{02402793-4B66-4BEC-AEA7-A4FB384A57FA}"/>
    <cellStyle name="Migliaia 3 3 3 8 2 2" xfId="27827" xr:uid="{FB87B703-6AE5-41C3-85D7-FCCE809B6D7B}"/>
    <cellStyle name="Migliaia 3 3 3 8 3" xfId="23655" xr:uid="{E32BC02E-1995-4703-894A-70134A2168D3}"/>
    <cellStyle name="Migliaia 3 3 3 9" xfId="5089" xr:uid="{9B4DF43C-E13C-48EB-96B7-858202CBA1F8}"/>
    <cellStyle name="Migliaia 3 3 3 9 2" xfId="20269" xr:uid="{FE11B144-9746-4B3B-8461-7B8CB921598F}"/>
    <cellStyle name="Migliaia 3 3 4" xfId="31415" xr:uid="{C8B568EE-21E7-438A-985E-8F3CBFB60D19}"/>
    <cellStyle name="Migliaia 3 3 5" xfId="623" xr:uid="{209721B1-F492-4CF8-873B-C57C29AF9C8E}"/>
    <cellStyle name="Migliaia 3 4" xfId="269" xr:uid="{11CACEC7-B339-42FB-A95E-7F5E07F584EA}"/>
    <cellStyle name="Migliaia 3 4 10" xfId="1438" xr:uid="{443314EF-692E-47BF-A15D-DFC5D230AFCD}"/>
    <cellStyle name="Migliaia 3 4 10 2" xfId="2863" xr:uid="{BC38918D-C3F8-4CD9-98D5-EC475D0D867B}"/>
    <cellStyle name="Migliaia 3 4 10 2 2" xfId="10354" xr:uid="{5EAE519A-ADA2-46E8-AEC6-5E64B5EC9DDF}"/>
    <cellStyle name="Migliaia 3 4 10 2 2 2" xfId="13900" xr:uid="{96E3BE0C-3E39-4A27-9E62-0566753D5F1C}"/>
    <cellStyle name="Migliaia 3 4 10 2 2 2 2" xfId="29077" xr:uid="{2592C93C-5AFA-4357-9BC0-8EFFFDEBFC12}"/>
    <cellStyle name="Migliaia 3 4 10 2 2 3" xfId="25532" xr:uid="{A06E587B-8A68-40DA-9175-2A7696295825}"/>
    <cellStyle name="Migliaia 3 4 10 2 3" xfId="6180" xr:uid="{3BF5D716-91AA-4F7C-8282-B3B0095AF772}"/>
    <cellStyle name="Migliaia 3 4 10 2 3 2" xfId="21360" xr:uid="{7F71287F-CCF0-4BC1-BF3D-3382679784FD}"/>
    <cellStyle name="Migliaia 3 4 10 2 4" xfId="18072" xr:uid="{A42616B0-5787-4F1C-9501-19E7E64CC0F9}"/>
    <cellStyle name="Migliaia 3 4 10 3" xfId="3750" xr:uid="{792A7EA6-0C36-4E9A-AD54-B45505956AC8}"/>
    <cellStyle name="Migliaia 3 4 10 3 2" xfId="11238" xr:uid="{09798F27-9B1E-41C0-88D2-A8868A0782C7}"/>
    <cellStyle name="Migliaia 3 4 10 3 2 2" xfId="14784" xr:uid="{4714612C-A53E-4552-A1F6-1CAC0C9A421C}"/>
    <cellStyle name="Migliaia 3 4 10 3 2 2 2" xfId="29961" xr:uid="{3D040109-C45F-44B6-8886-68D374D2205E}"/>
    <cellStyle name="Migliaia 3 4 10 3 2 3" xfId="26416" xr:uid="{53B40D16-29FC-4AD8-AA0A-D0DFFB737BF7}"/>
    <cellStyle name="Migliaia 3 4 10 3 3" xfId="7064" xr:uid="{52E46C14-60C5-483B-81AE-58D882445CE7}"/>
    <cellStyle name="Migliaia 3 4 10 3 3 2" xfId="22244" xr:uid="{B1D499B3-8E88-40A6-9471-A0E84755420A}"/>
    <cellStyle name="Migliaia 3 4 10 3 4" xfId="18956" xr:uid="{E36D6D53-6FFD-4278-8FB5-1F3F04CFD2FB}"/>
    <cellStyle name="Migliaia 3 4 10 4" xfId="4460" xr:uid="{0AEFC0FE-9910-481A-90FE-4DBEDFE4C13A}"/>
    <cellStyle name="Migliaia 3 4 10 4 2" xfId="11945" xr:uid="{27B2FCAE-4D1A-42B1-9BD3-742A35057BCC}"/>
    <cellStyle name="Migliaia 3 4 10 4 2 2" xfId="15491" xr:uid="{088550F7-7AEA-4308-BF78-E0FAB9CFADD9}"/>
    <cellStyle name="Migliaia 3 4 10 4 2 2 2" xfId="30668" xr:uid="{22251B3B-7B21-4A5C-83EA-C1E101F4E634}"/>
    <cellStyle name="Migliaia 3 4 10 4 2 3" xfId="27123" xr:uid="{D08A01FB-168D-476B-9421-A82E6A2610EF}"/>
    <cellStyle name="Migliaia 3 4 10 4 3" xfId="7771" xr:uid="{0667984C-1FFB-432E-B9EA-741BF27B85C3}"/>
    <cellStyle name="Migliaia 3 4 10 4 3 2" xfId="22951" xr:uid="{AAA3D53A-BFC5-4FF5-A28B-DD267BBA65B1}"/>
    <cellStyle name="Migliaia 3 4 10 4 4" xfId="19663" xr:uid="{EB32D336-054E-480D-9AB4-E606A184B2E4}"/>
    <cellStyle name="Migliaia 3 4 10 5" xfId="1973" xr:uid="{60C180FE-530F-4446-9967-8C865F368C67}"/>
    <cellStyle name="Migliaia 3 4 10 5 2" xfId="9470" xr:uid="{AC98204E-F229-4040-A75D-A86F11A59825}"/>
    <cellStyle name="Migliaia 3 4 10 5 2 2" xfId="24648" xr:uid="{EBD77735-EC4B-4395-BF00-783EB853C0E8}"/>
    <cellStyle name="Migliaia 3 4 10 5 3" xfId="17188" xr:uid="{257ABEB4-D65C-4204-83F1-3BFACFFAE451}"/>
    <cellStyle name="Migliaia 3 4 10 6" xfId="8956" xr:uid="{76175DC8-0628-4851-B8AE-B7BE89308158}"/>
    <cellStyle name="Migliaia 3 4 10 6 2" xfId="13129" xr:uid="{C9F620B4-A210-4A11-8903-28A9BC902225}"/>
    <cellStyle name="Migliaia 3 4 10 6 2 2" xfId="28306" xr:uid="{888F95DC-97BC-49E7-9385-DA3113608ADC}"/>
    <cellStyle name="Migliaia 3 4 10 6 3" xfId="24134" xr:uid="{BA289DDB-C5BC-4E97-B2BA-3B26ABDCF138}"/>
    <cellStyle name="Migliaia 3 4 10 7" xfId="5296" xr:uid="{3C892300-E557-4B1A-85B7-7B972BC0A8A3}"/>
    <cellStyle name="Migliaia 3 4 10 7 2" xfId="20476" xr:uid="{60884B23-472A-4D02-AE43-5B4FE6C1C50F}"/>
    <cellStyle name="Migliaia 3 4 10 8" xfId="16674" xr:uid="{222B3776-C8FA-4243-93AF-0A76A002AE8C}"/>
    <cellStyle name="Migliaia 3 4 11" xfId="1541" xr:uid="{CB739F93-8AD5-4D93-8F99-E3F7DC56FE9D}"/>
    <cellStyle name="Migliaia 3 4 11 2" xfId="2961" xr:uid="{034261D7-7226-4E9E-AF8A-B92A0655FA9C}"/>
    <cellStyle name="Migliaia 3 4 11 2 2" xfId="10452" xr:uid="{BCDD8DFA-8002-45DD-996B-F296A4A9F3A1}"/>
    <cellStyle name="Migliaia 3 4 11 2 2 2" xfId="13998" xr:uid="{D81943EC-1EAF-4812-BD16-811FE3823A41}"/>
    <cellStyle name="Migliaia 3 4 11 2 2 2 2" xfId="29175" xr:uid="{DDBFCC57-EB94-4929-9DE1-1CAF14A65D04}"/>
    <cellStyle name="Migliaia 3 4 11 2 2 3" xfId="25630" xr:uid="{DD57DC04-BA7D-4FA2-B626-8D2C044B8E0D}"/>
    <cellStyle name="Migliaia 3 4 11 2 3" xfId="6278" xr:uid="{4DBE76A9-EC09-4DCC-AA0D-376513E0C3F3}"/>
    <cellStyle name="Migliaia 3 4 11 2 3 2" xfId="21458" xr:uid="{FCA1E3B7-4D1B-4790-BD9F-2390C067284C}"/>
    <cellStyle name="Migliaia 3 4 11 2 4" xfId="18170" xr:uid="{FF6B97B9-38D4-4E6B-8B2A-A35C91E9873D}"/>
    <cellStyle name="Migliaia 3 4 11 3" xfId="3848" xr:uid="{87DB135F-C03E-4014-8B0F-5B75ED09E1C4}"/>
    <cellStyle name="Migliaia 3 4 11 3 2" xfId="11336" xr:uid="{EABD6004-0F48-4353-9E66-B9F5EC4CB7A7}"/>
    <cellStyle name="Migliaia 3 4 11 3 2 2" xfId="14882" xr:uid="{75F8C2D8-6FB4-416D-9538-EF04C2A952FE}"/>
    <cellStyle name="Migliaia 3 4 11 3 2 2 2" xfId="30059" xr:uid="{9061E7DF-DEF0-4327-90BC-D5BF26684F76}"/>
    <cellStyle name="Migliaia 3 4 11 3 2 3" xfId="26514" xr:uid="{136019CD-02D5-465E-A496-751F2515EBB1}"/>
    <cellStyle name="Migliaia 3 4 11 3 3" xfId="7162" xr:uid="{E01C94DF-70F6-4C59-B62F-C63AFFAF06FE}"/>
    <cellStyle name="Migliaia 3 4 11 3 3 2" xfId="22342" xr:uid="{701F7922-BC35-4A91-A1BE-E066E86EFE03}"/>
    <cellStyle name="Migliaia 3 4 11 3 4" xfId="19054" xr:uid="{7309E6CD-D768-415B-B23B-DE9113BBFA68}"/>
    <cellStyle name="Migliaia 3 4 11 4" xfId="4461" xr:uid="{9DC15D88-FDA2-468E-A379-27E756A2CC82}"/>
    <cellStyle name="Migliaia 3 4 11 4 2" xfId="11946" xr:uid="{FFADD619-4D72-49C3-87B6-FCDFC2B1FE93}"/>
    <cellStyle name="Migliaia 3 4 11 4 2 2" xfId="15492" xr:uid="{7559FBCE-5977-4EB4-A234-EA28D115C368}"/>
    <cellStyle name="Migliaia 3 4 11 4 2 2 2" xfId="30669" xr:uid="{51E9703A-84FF-4192-B935-83D1B71BABA5}"/>
    <cellStyle name="Migliaia 3 4 11 4 2 3" xfId="27124" xr:uid="{E7763845-ABFB-463B-8A64-77EF984B004F}"/>
    <cellStyle name="Migliaia 3 4 11 4 3" xfId="7772" xr:uid="{DBEB56B7-FA1C-4B8D-B1FB-D209759860CD}"/>
    <cellStyle name="Migliaia 3 4 11 4 3 2" xfId="22952" xr:uid="{3399B89D-3E96-4AE8-851F-016F269809FB}"/>
    <cellStyle name="Migliaia 3 4 11 4 4" xfId="19664" xr:uid="{798332E1-31FD-4DF0-B18C-9EC2BBD6C767}"/>
    <cellStyle name="Migliaia 3 4 11 5" xfId="2071" xr:uid="{92AF90F3-AD6D-4C42-97FE-9B1C08220600}"/>
    <cellStyle name="Migliaia 3 4 11 5 2" xfId="9568" xr:uid="{25BD9049-DF4B-4CB9-BA24-0E1AC138EB3B}"/>
    <cellStyle name="Migliaia 3 4 11 5 2 2" xfId="24746" xr:uid="{40E8710B-9F28-43CE-86EA-5DA7B7EF5E3A}"/>
    <cellStyle name="Migliaia 3 4 11 5 3" xfId="17286" xr:uid="{D3626D57-B9C6-4951-9B01-0165434149D6}"/>
    <cellStyle name="Migliaia 3 4 11 6" xfId="9054" xr:uid="{69A8F39D-3285-4EC9-BF7C-569DAEAFD762}"/>
    <cellStyle name="Migliaia 3 4 11 6 2" xfId="13227" xr:uid="{10F6D508-5FE1-4FEF-A371-B56D06A884B7}"/>
    <cellStyle name="Migliaia 3 4 11 6 2 2" xfId="28404" xr:uid="{4475978F-C90D-4811-A86E-AB14A9DF2FD2}"/>
    <cellStyle name="Migliaia 3 4 11 6 3" xfId="24232" xr:uid="{17DDDF8A-D09C-4659-A1C2-F25C48E3DBDD}"/>
    <cellStyle name="Migliaia 3 4 11 7" xfId="5394" xr:uid="{4F9C2EED-31C7-42AF-A267-89D9E6A1E7B0}"/>
    <cellStyle name="Migliaia 3 4 11 7 2" xfId="20574" xr:uid="{8CAB7FB2-67E4-4F56-AAF3-FC4FA8A9E174}"/>
    <cellStyle name="Migliaia 3 4 11 8" xfId="16772" xr:uid="{B9B42808-6BD1-4BE4-8D00-243B4B3B35A0}"/>
    <cellStyle name="Migliaia 3 4 12" xfId="1640" xr:uid="{ED642CFC-A8CE-432F-994D-D3CF6D25D13B}"/>
    <cellStyle name="Migliaia 3 4 12 2" xfId="3059" xr:uid="{11BFE451-4613-42AC-967A-CAC28B58664F}"/>
    <cellStyle name="Migliaia 3 4 12 2 2" xfId="10550" xr:uid="{2E4384D9-823A-4918-A03D-7621481A1671}"/>
    <cellStyle name="Migliaia 3 4 12 2 2 2" xfId="14096" xr:uid="{5E6C1E19-218A-41A7-B16C-EE63C4CC680E}"/>
    <cellStyle name="Migliaia 3 4 12 2 2 2 2" xfId="29273" xr:uid="{D94D201F-239D-4C34-BD14-1DEDBD82048C}"/>
    <cellStyle name="Migliaia 3 4 12 2 2 3" xfId="25728" xr:uid="{8747AC8B-8FBD-4C64-B8B4-364DA70803C3}"/>
    <cellStyle name="Migliaia 3 4 12 2 3" xfId="6376" xr:uid="{247C526A-6568-4F34-968B-B732DFD57605}"/>
    <cellStyle name="Migliaia 3 4 12 2 3 2" xfId="21556" xr:uid="{4493C454-491A-49A5-8408-D5B52C467590}"/>
    <cellStyle name="Migliaia 3 4 12 2 4" xfId="18268" xr:uid="{B4D99F76-413A-41EB-B106-AF20A26DFCEE}"/>
    <cellStyle name="Migliaia 3 4 12 3" xfId="3946" xr:uid="{773D65E7-4B50-4412-ACFE-7A740BB22B61}"/>
    <cellStyle name="Migliaia 3 4 12 3 2" xfId="11434" xr:uid="{17E0878B-87F7-49F6-AF31-9AA3E0A11741}"/>
    <cellStyle name="Migliaia 3 4 12 3 2 2" xfId="14980" xr:uid="{EBDAAF1C-DA78-4C59-9DC6-057111667882}"/>
    <cellStyle name="Migliaia 3 4 12 3 2 2 2" xfId="30157" xr:uid="{A563777A-EF59-424E-980C-B18CCDD2D053}"/>
    <cellStyle name="Migliaia 3 4 12 3 2 3" xfId="26612" xr:uid="{DCAE2316-FD3A-49CF-934F-8D66E7D6C3BB}"/>
    <cellStyle name="Migliaia 3 4 12 3 3" xfId="7260" xr:uid="{0AABC5F5-13B6-4FD2-B0B7-63E7EB1B8DF7}"/>
    <cellStyle name="Migliaia 3 4 12 3 3 2" xfId="22440" xr:uid="{BD27B641-558A-4D22-98B2-EB50FEDC6AF3}"/>
    <cellStyle name="Migliaia 3 4 12 3 4" xfId="19152" xr:uid="{E1061A79-AEB4-4D55-9560-7D87D893C530}"/>
    <cellStyle name="Migliaia 3 4 12 4" xfId="4462" xr:uid="{4D2904D7-62D3-4DD6-9365-0CEFBA09F3F6}"/>
    <cellStyle name="Migliaia 3 4 12 4 2" xfId="11947" xr:uid="{25D6119B-DF32-41C3-8DAA-AD36082313C1}"/>
    <cellStyle name="Migliaia 3 4 12 4 2 2" xfId="15493" xr:uid="{113C4FC3-2127-4B34-B7B5-8D7B08789305}"/>
    <cellStyle name="Migliaia 3 4 12 4 2 2 2" xfId="30670" xr:uid="{AB762099-AC1A-4904-8679-0FC8D4D563C0}"/>
    <cellStyle name="Migliaia 3 4 12 4 2 3" xfId="27125" xr:uid="{E4776A6B-F2EE-4F7E-9D10-00E30641A51B}"/>
    <cellStyle name="Migliaia 3 4 12 4 3" xfId="7773" xr:uid="{3D92653F-013E-4178-A3CF-3D0B70F1B346}"/>
    <cellStyle name="Migliaia 3 4 12 4 3 2" xfId="22953" xr:uid="{DE9C96EE-72DD-4747-9BE5-6903ED7B38AB}"/>
    <cellStyle name="Migliaia 3 4 12 4 4" xfId="19665" xr:uid="{A10B4E7D-3BD6-45D4-87F8-15F8669440AD}"/>
    <cellStyle name="Migliaia 3 4 12 5" xfId="2169" xr:uid="{D4AF122D-5697-4384-86B6-612EB24B9F8C}"/>
    <cellStyle name="Migliaia 3 4 12 5 2" xfId="9666" xr:uid="{8A187FCC-276A-496A-B66F-FC76A6A6C402}"/>
    <cellStyle name="Migliaia 3 4 12 5 2 2" xfId="24844" xr:uid="{7E652DFF-C1D6-4CDB-939B-F0394026DA02}"/>
    <cellStyle name="Migliaia 3 4 12 5 3" xfId="17384" xr:uid="{ACECAC34-99DA-4CF2-911E-99C769A488E7}"/>
    <cellStyle name="Migliaia 3 4 12 6" xfId="9152" xr:uid="{36E4BA84-305B-41D8-9558-2526B0D0EC51}"/>
    <cellStyle name="Migliaia 3 4 12 6 2" xfId="13325" xr:uid="{EF9E7D91-FAD2-46E9-8B9E-F39A41B38DA8}"/>
    <cellStyle name="Migliaia 3 4 12 6 2 2" xfId="28502" xr:uid="{CBF9FF13-CF9B-4EBF-8DA4-DF3FFF34D260}"/>
    <cellStyle name="Migliaia 3 4 12 6 3" xfId="24330" xr:uid="{DC8D0DF7-2AEB-439D-8EB6-B0B4D6A465DD}"/>
    <cellStyle name="Migliaia 3 4 12 7" xfId="5492" xr:uid="{35210E03-5DB3-4A7A-92A3-0E8156C6AC30}"/>
    <cellStyle name="Migliaia 3 4 12 7 2" xfId="20672" xr:uid="{0B7C0C14-A1A9-4C34-B3F2-55FDDD44B832}"/>
    <cellStyle name="Migliaia 3 4 12 8" xfId="16870" xr:uid="{2A167839-C145-4D30-B57F-72CB0A7834DD}"/>
    <cellStyle name="Migliaia 3 4 13" xfId="2269" xr:uid="{34FADF18-AE72-4CEF-A192-4FC79A03C1EE}"/>
    <cellStyle name="Migliaia 3 4 13 2" xfId="9764" xr:uid="{B271BA54-6C58-4E36-AC4B-7BAE27AF47FA}"/>
    <cellStyle name="Migliaia 3 4 13 2 2" xfId="13423" xr:uid="{016E9BF8-6853-47A7-AA4E-83B877CA2737}"/>
    <cellStyle name="Migliaia 3 4 13 2 2 2" xfId="28600" xr:uid="{F3DC6A53-D39C-4065-8531-B70BC045A8F7}"/>
    <cellStyle name="Migliaia 3 4 13 2 3" xfId="24942" xr:uid="{9B82529E-F2A2-4C77-826B-55FECF3AA237}"/>
    <cellStyle name="Migliaia 3 4 13 3" xfId="5590" xr:uid="{A7EA5A2A-DFB8-4CEF-A0C3-B64354510D34}"/>
    <cellStyle name="Migliaia 3 4 13 3 2" xfId="20770" xr:uid="{F0DF546A-60CD-4D93-B03D-AA5406D3F992}"/>
    <cellStyle name="Migliaia 3 4 13 4" xfId="17482" xr:uid="{989CA8C3-0C85-4A1A-9DB7-C585C31AA1F1}"/>
    <cellStyle name="Migliaia 3 4 14" xfId="3159" xr:uid="{3AF82F23-4284-4C1C-89A9-87192D5A8F19}"/>
    <cellStyle name="Migliaia 3 4 14 2" xfId="10648" xr:uid="{7FBE7A83-876D-4C97-9610-FA02033D2247}"/>
    <cellStyle name="Migliaia 3 4 14 2 2" xfId="14194" xr:uid="{5BBB6F92-F08E-4799-B5A9-5FB00317B334}"/>
    <cellStyle name="Migliaia 3 4 14 2 2 2" xfId="29371" xr:uid="{09BFE081-C3DE-4EE9-AD36-6A547749ECE9}"/>
    <cellStyle name="Migliaia 3 4 14 2 3" xfId="25826" xr:uid="{ACD19F4B-B3F4-4D9E-B21F-BC7216D96228}"/>
    <cellStyle name="Migliaia 3 4 14 3" xfId="6474" xr:uid="{2894F403-E468-4A64-84E9-FAB0E846B417}"/>
    <cellStyle name="Migliaia 3 4 14 3 2" xfId="21654" xr:uid="{DC5D16BE-5395-4808-ACFF-E2A0D98CB4A8}"/>
    <cellStyle name="Migliaia 3 4 14 4" xfId="18366" xr:uid="{9AE549D4-04C4-4EDF-8D18-CAEDC86008B5}"/>
    <cellStyle name="Migliaia 3 4 15" xfId="4463" xr:uid="{D15E8289-3FCA-44EE-9FE0-2F58D1A4011D}"/>
    <cellStyle name="Migliaia 3 4 15 2" xfId="11948" xr:uid="{FA14BA38-4414-4CB9-BDD6-A31F7D96FFC2}"/>
    <cellStyle name="Migliaia 3 4 15 2 2" xfId="15494" xr:uid="{27D250DF-26CF-4E23-8CFF-BA4D0F6F7CFB}"/>
    <cellStyle name="Migliaia 3 4 15 2 2 2" xfId="30671" xr:uid="{633BCAC2-31C6-41F0-B13E-A65673D5F4B6}"/>
    <cellStyle name="Migliaia 3 4 15 2 3" xfId="27126" xr:uid="{D247AD4D-A895-4B77-9AAB-2F788A0DE87E}"/>
    <cellStyle name="Migliaia 3 4 15 3" xfId="7774" xr:uid="{22C37BAC-59CC-4F2D-84FF-16F51287C9EA}"/>
    <cellStyle name="Migliaia 3 4 15 3 2" xfId="22954" xr:uid="{49F80D9F-E772-4D6B-B48C-5015D9B1524A}"/>
    <cellStyle name="Migliaia 3 4 15 4" xfId="19666" xr:uid="{469ACF6E-A97C-41A2-BAE1-3F6729684131}"/>
    <cellStyle name="Migliaia 3 4 16" xfId="8365" xr:uid="{450CF2C7-78BE-443F-9C98-FF4E96A89AB2}"/>
    <cellStyle name="Migliaia 3 4 16 2" xfId="12539" xr:uid="{29353F4F-7F0B-499A-A80A-BD05012D3993}"/>
    <cellStyle name="Migliaia 3 4 16 2 2" xfId="27716" xr:uid="{66B4B5F9-72D2-456E-857F-F1CE77F1BF22}"/>
    <cellStyle name="Migliaia 3 4 16 3" xfId="23544" xr:uid="{7B691FDC-4351-410F-9FA3-8D7E2C8DE566}"/>
    <cellStyle name="Migliaia 3 4 17" xfId="16084" xr:uid="{2EAE9052-6832-4540-B4F4-F57062EFA409}"/>
    <cellStyle name="Migliaia 3 4 18" xfId="31426" xr:uid="{E9A4FC17-7E92-4D54-B61E-E4E58E2498FF}"/>
    <cellStyle name="Migliaia 3 4 19" xfId="686" xr:uid="{DAC7C991-F832-412B-8344-F2E712A6E443}"/>
    <cellStyle name="Migliaia 3 4 2" xfId="559" xr:uid="{F4A481E5-2382-481A-B75C-CC624E60BD28}"/>
    <cellStyle name="Migliaia 3 4 2 10" xfId="2294" xr:uid="{F6A056F4-B95C-4ECE-B747-2404B0B0A4D1}"/>
    <cellStyle name="Migliaia 3 4 2 10 2" xfId="9789" xr:uid="{E38B5279-ECC3-4897-93D0-0589C4872586}"/>
    <cellStyle name="Migliaia 3 4 2 10 2 2" xfId="13448" xr:uid="{302D3B65-4997-4207-ADF8-F35F95B4F6EF}"/>
    <cellStyle name="Migliaia 3 4 2 10 2 2 2" xfId="28625" xr:uid="{9482D146-0F42-42EB-803D-2BEF706AB7B0}"/>
    <cellStyle name="Migliaia 3 4 2 10 2 3" xfId="24967" xr:uid="{F405DB77-18BE-4865-89EB-8F9861FE773B}"/>
    <cellStyle name="Migliaia 3 4 2 10 3" xfId="5615" xr:uid="{C8D8ADAD-A585-4FA5-8094-E13D9443E5DA}"/>
    <cellStyle name="Migliaia 3 4 2 10 3 2" xfId="20795" xr:uid="{81AB96A2-AB6C-40F9-833D-95709B49576A}"/>
    <cellStyle name="Migliaia 3 4 2 10 4" xfId="17507" xr:uid="{3EAB45E8-04B6-4B31-9CE1-3D0F0D580301}"/>
    <cellStyle name="Migliaia 3 4 2 11" xfId="3184" xr:uid="{F3FD7DEB-9991-4775-8AFA-2F0592E2992B}"/>
    <cellStyle name="Migliaia 3 4 2 11 2" xfId="10673" xr:uid="{2E398E39-99C1-4876-B24A-50796E5C628F}"/>
    <cellStyle name="Migliaia 3 4 2 11 2 2" xfId="14219" xr:uid="{ECC79AAA-062F-47AD-AA27-D5914DEC2086}"/>
    <cellStyle name="Migliaia 3 4 2 11 2 2 2" xfId="29396" xr:uid="{E03AE0D3-B717-4EC2-B5FC-3161CB03FB64}"/>
    <cellStyle name="Migliaia 3 4 2 11 2 3" xfId="25851" xr:uid="{3F677E90-582F-472F-917F-62B5487DACF5}"/>
    <cellStyle name="Migliaia 3 4 2 11 3" xfId="6499" xr:uid="{781EC667-9DB5-40E7-A50F-5009D3E837CD}"/>
    <cellStyle name="Migliaia 3 4 2 11 3 2" xfId="21679" xr:uid="{EC6706C0-C7A6-456A-8008-076128B70EB0}"/>
    <cellStyle name="Migliaia 3 4 2 11 4" xfId="18391" xr:uid="{3211D6BD-5EF3-4138-AF2A-ACD4282C6AE1}"/>
    <cellStyle name="Migliaia 3 4 2 12" xfId="4464" xr:uid="{41709944-B296-401E-849D-AE836546634D}"/>
    <cellStyle name="Migliaia 3 4 2 12 2" xfId="11949" xr:uid="{BFAF7873-1D11-4A52-B316-19D9E1F1AA79}"/>
    <cellStyle name="Migliaia 3 4 2 12 2 2" xfId="15495" xr:uid="{D41A39D0-4C4F-4C07-A35C-7046C4FEBF8E}"/>
    <cellStyle name="Migliaia 3 4 2 12 2 2 2" xfId="30672" xr:uid="{669D696E-6D5C-4B08-B23D-F57173AAEFE8}"/>
    <cellStyle name="Migliaia 3 4 2 12 2 3" xfId="27127" xr:uid="{0AD025DC-1859-452D-8E2F-57C4D1CE080B}"/>
    <cellStyle name="Migliaia 3 4 2 12 3" xfId="7775" xr:uid="{C0CC238F-7CC3-4C4F-9E3F-DC06982CB810}"/>
    <cellStyle name="Migliaia 3 4 2 12 3 2" xfId="22955" xr:uid="{425A6DB6-B1B9-4E6D-B747-5F82ECA46CEA}"/>
    <cellStyle name="Migliaia 3 4 2 12 4" xfId="19667" xr:uid="{81B15E07-C16D-45E6-8B56-1DF398BCB229}"/>
    <cellStyle name="Migliaia 3 4 2 13" xfId="8390" xr:uid="{240AF8F8-5404-4F85-99D7-C46671F907C6}"/>
    <cellStyle name="Migliaia 3 4 2 13 2" xfId="12564" xr:uid="{80190B83-9FED-4855-9134-05988A8DF9AF}"/>
    <cellStyle name="Migliaia 3 4 2 13 2 2" xfId="27741" xr:uid="{E9BA234C-F19A-48E9-BFCB-A495064E1DC1}"/>
    <cellStyle name="Migliaia 3 4 2 13 3" xfId="23569" xr:uid="{7888C924-1A5C-4D14-9C35-2408F17FC040}"/>
    <cellStyle name="Migliaia 3 4 2 14" xfId="16109" xr:uid="{7A5054F9-527B-4816-99CD-51CC10F1C7F2}"/>
    <cellStyle name="Migliaia 3 4 2 15" xfId="31451" xr:uid="{223B6C57-B328-4783-973D-8935838905E7}"/>
    <cellStyle name="Migliaia 3 4 2 16" xfId="721" xr:uid="{5C90CC3D-12A4-4556-8C0C-EF56D5BD3CB6}"/>
    <cellStyle name="Migliaia 3 4 2 2" xfId="773" xr:uid="{578004C7-C2C7-45A9-B17C-58739D27153D}"/>
    <cellStyle name="Migliaia 3 4 2 2 10" xfId="8439" xr:uid="{FF4BC740-29EB-42AE-BDB5-D58B348C7140}"/>
    <cellStyle name="Migliaia 3 4 2 2 10 2" xfId="12613" xr:uid="{82848A20-E129-44A5-BFA5-DF11CF646BEE}"/>
    <cellStyle name="Migliaia 3 4 2 2 10 2 2" xfId="27790" xr:uid="{7AAC8B64-AB78-436A-AB56-E647C0947975}"/>
    <cellStyle name="Migliaia 3 4 2 2 10 3" xfId="23618" xr:uid="{F83C9F0E-654D-47E9-BA83-A2A564BE1B17}"/>
    <cellStyle name="Migliaia 3 4 2 2 11" xfId="16158" xr:uid="{A48D2734-565B-46A9-BDD2-BDEF63A657ED}"/>
    <cellStyle name="Migliaia 3 4 2 2 12" xfId="31500" xr:uid="{598E8E4C-7562-4EAF-A3E8-CE8A1488AB02}"/>
    <cellStyle name="Migliaia 3 4 2 2 2" xfId="950" xr:uid="{15B7F536-153C-4D93-ACC0-DA9D7DBCB395}"/>
    <cellStyle name="Migliaia 3 4 2 2 2 10" xfId="16280" xr:uid="{D1F21E29-EDB5-4DF2-BAFB-C6AAA6F3AA2C}"/>
    <cellStyle name="Migliaia 3 4 2 2 2 11" xfId="31370" xr:uid="{5EAD899A-646F-4ED7-8BC5-03600D1C399D}"/>
    <cellStyle name="Migliaia 3 4 2 2 2 12" xfId="31720" xr:uid="{5F319C2D-B10F-4E93-BE29-B32A4EE1EAA6}"/>
    <cellStyle name="Migliaia 3 4 2 2 2 2" xfId="1311" xr:uid="{AA3EEBED-7535-4736-A598-2FD719D73674}"/>
    <cellStyle name="Migliaia 3 4 2 2 2 2 2" xfId="3628" xr:uid="{4596FECA-344C-448A-BC0A-57AD194FFE6C}"/>
    <cellStyle name="Migliaia 3 4 2 2 2 2 2 2" xfId="11116" xr:uid="{B0F4BC6E-00F6-4141-967B-6D059F66AC9D}"/>
    <cellStyle name="Migliaia 3 4 2 2 2 2 2 2 2" xfId="14662" xr:uid="{6D00C0D3-FCCB-42E5-90B5-D0557A70AEAE}"/>
    <cellStyle name="Migliaia 3 4 2 2 2 2 2 2 2 2" xfId="29839" xr:uid="{8D60C654-B6C3-44EC-B28D-42240481B700}"/>
    <cellStyle name="Migliaia 3 4 2 2 2 2 2 2 3" xfId="26294" xr:uid="{132EE124-B23E-44A3-8FF3-3FCD86BA449C}"/>
    <cellStyle name="Migliaia 3 4 2 2 2 2 2 3" xfId="6942" xr:uid="{D0DBF517-6542-4039-92F2-B5706F812A02}"/>
    <cellStyle name="Migliaia 3 4 2 2 2 2 2 3 2" xfId="22122" xr:uid="{6D32E405-AB45-4C1D-83A5-68E99F822678}"/>
    <cellStyle name="Migliaia 3 4 2 2 2 2 2 4" xfId="18834" xr:uid="{14B57C43-54E6-4789-BDD0-0C3BA55F7819}"/>
    <cellStyle name="Migliaia 3 4 2 2 2 2 3" xfId="4465" xr:uid="{D77DEDD0-0A03-4092-BC20-C5CC6D0275D7}"/>
    <cellStyle name="Migliaia 3 4 2 2 2 2 3 2" xfId="11950" xr:uid="{E7ADF5E0-BCFD-477E-A61C-1EDAFDA76918}"/>
    <cellStyle name="Migliaia 3 4 2 2 2 2 3 2 2" xfId="15496" xr:uid="{EE962AED-A564-4306-8662-C28A42CBE28F}"/>
    <cellStyle name="Migliaia 3 4 2 2 2 2 3 2 2 2" xfId="30673" xr:uid="{EBFFA857-7CA7-4FA9-A9C6-7F353927346F}"/>
    <cellStyle name="Migliaia 3 4 2 2 2 2 3 2 3" xfId="27128" xr:uid="{6CDC9E98-321C-4B17-A403-3A5949DD8B66}"/>
    <cellStyle name="Migliaia 3 4 2 2 2 2 3 3" xfId="7776" xr:uid="{C64DB51B-3058-42CC-8316-DC2F5754EF23}"/>
    <cellStyle name="Migliaia 3 4 2 2 2 2 3 3 2" xfId="22956" xr:uid="{580D0BFE-63FD-449C-A55F-12F7985DD3CA}"/>
    <cellStyle name="Migliaia 3 4 2 2 2 2 3 4" xfId="19668" xr:uid="{CFEA0EDF-CE01-46FB-B406-574E746DA044}"/>
    <cellStyle name="Migliaia 3 4 2 2 2 2 4" xfId="2741" xr:uid="{EFB14E38-6699-42F6-BC33-2B16BA42CC8A}"/>
    <cellStyle name="Migliaia 3 4 2 2 2 2 4 2" xfId="10232" xr:uid="{3BA4C7E3-CFF9-4224-8C4A-2F854B5E37E8}"/>
    <cellStyle name="Migliaia 3 4 2 2 2 2 4 2 2" xfId="25410" xr:uid="{9D5A8819-A9A7-4F3C-BDB3-B618F1FED8F6}"/>
    <cellStyle name="Migliaia 3 4 2 2 2 2 4 3" xfId="17950" xr:uid="{733F91AF-4B18-425B-B9DA-270BEE34B607}"/>
    <cellStyle name="Migliaia 3 4 2 2 2 2 5" xfId="8834" xr:uid="{18625940-A7B9-4780-8EEB-2C287AA78B52}"/>
    <cellStyle name="Migliaia 3 4 2 2 2 2 5 2" xfId="13007" xr:uid="{A9827024-27A9-42F4-8B7C-8F4A7E957DF1}"/>
    <cellStyle name="Migliaia 3 4 2 2 2 2 5 2 2" xfId="28184" xr:uid="{BD6F6D0D-2423-4F07-BAB5-2B9516BD75DD}"/>
    <cellStyle name="Migliaia 3 4 2 2 2 2 5 3" xfId="24012" xr:uid="{9E511E9A-612B-4444-A4A8-E5E2181F0FFA}"/>
    <cellStyle name="Migliaia 3 4 2 2 2 2 6" xfId="6058" xr:uid="{05F16C62-F77D-4156-B4FB-763B26E4EBCA}"/>
    <cellStyle name="Migliaia 3 4 2 2 2 2 6 2" xfId="21238" xr:uid="{92E328E2-37D7-4ED5-830D-A589BD92961A}"/>
    <cellStyle name="Migliaia 3 4 2 2 2 2 7" xfId="16552" xr:uid="{D7AB6BA7-91AC-4359-AED0-6C9E5E3715E7}"/>
    <cellStyle name="Migliaia 3 4 2 2 2 3" xfId="2468" xr:uid="{DD0F8D17-1699-4E1C-AF06-FDBF0E2B6C4F}"/>
    <cellStyle name="Migliaia 3 4 2 2 2 3 2" xfId="9960" xr:uid="{AAECFC6E-BF4A-425C-A68A-BE44175246CA}"/>
    <cellStyle name="Migliaia 3 4 2 2 2 3 2 2" xfId="13619" xr:uid="{C7D0FBFD-204E-403D-A9D2-5B4B06BD7827}"/>
    <cellStyle name="Migliaia 3 4 2 2 2 3 2 2 2" xfId="28796" xr:uid="{3751B82D-4DDA-4F1E-8397-73F3BD5F2729}"/>
    <cellStyle name="Migliaia 3 4 2 2 2 3 2 3" xfId="25138" xr:uid="{92C24FDF-83CA-4CCE-B292-EC2405745427}"/>
    <cellStyle name="Migliaia 3 4 2 2 2 3 3" xfId="5786" xr:uid="{DAB66942-BA03-4467-A7F0-141D598A63D9}"/>
    <cellStyle name="Migliaia 3 4 2 2 2 3 3 2" xfId="20966" xr:uid="{4D364918-6DF6-403B-9827-142EE7B5FF01}"/>
    <cellStyle name="Migliaia 3 4 2 2 2 3 4" xfId="17678" xr:uid="{0D67E9A8-6F93-4A86-A1DB-7E12EC575F11}"/>
    <cellStyle name="Migliaia 3 4 2 2 2 4" xfId="3356" xr:uid="{98E7C997-67AD-4167-9E47-3E0EAB9C3656}"/>
    <cellStyle name="Migliaia 3 4 2 2 2 4 2" xfId="10844" xr:uid="{7CC155C9-7A54-4D93-B920-F90DCEB02155}"/>
    <cellStyle name="Migliaia 3 4 2 2 2 4 2 2" xfId="14390" xr:uid="{0E24E2C6-98B0-487D-84D9-774771001A19}"/>
    <cellStyle name="Migliaia 3 4 2 2 2 4 2 2 2" xfId="29567" xr:uid="{A74085B9-014B-4167-88D4-6233E756D003}"/>
    <cellStyle name="Migliaia 3 4 2 2 2 4 2 3" xfId="26022" xr:uid="{55E7095D-E3F1-48FE-927E-D5C78384E456}"/>
    <cellStyle name="Migliaia 3 4 2 2 2 4 3" xfId="6670" xr:uid="{23AA4F29-D1E0-4B9C-9A6C-C95FC1A914AA}"/>
    <cellStyle name="Migliaia 3 4 2 2 2 4 3 2" xfId="21850" xr:uid="{9C00CBCE-91D5-40D8-BA43-27F5E61C9E25}"/>
    <cellStyle name="Migliaia 3 4 2 2 2 4 4" xfId="18562" xr:uid="{0C11FC6C-31DD-4D52-83F3-78D71016C913}"/>
    <cellStyle name="Migliaia 3 4 2 2 2 5" xfId="4466" xr:uid="{8FB4735E-387B-46F6-AA4E-7736BC5E052A}"/>
    <cellStyle name="Migliaia 3 4 2 2 2 5 2" xfId="11951" xr:uid="{F0683A03-84D1-4D35-B0B8-F5D2A49958C6}"/>
    <cellStyle name="Migliaia 3 4 2 2 2 5 2 2" xfId="15497" xr:uid="{57156F90-ED26-4D16-B3D1-F3C5DFE95844}"/>
    <cellStyle name="Migliaia 3 4 2 2 2 5 2 2 2" xfId="30674" xr:uid="{31106A5D-4473-405E-A393-1FDADBCECBFB}"/>
    <cellStyle name="Migliaia 3 4 2 2 2 5 2 3" xfId="27129" xr:uid="{90BBE235-5DFA-455F-BAB1-F8B6BAF1DBF0}"/>
    <cellStyle name="Migliaia 3 4 2 2 2 5 3" xfId="7777" xr:uid="{73C10C1F-D0AE-4B12-9142-B79521991787}"/>
    <cellStyle name="Migliaia 3 4 2 2 2 5 3 2" xfId="22957" xr:uid="{3F2AD027-20C2-45A7-9359-524DEBD0EB17}"/>
    <cellStyle name="Migliaia 3 4 2 2 2 5 4" xfId="19669" xr:uid="{0DB2A7A6-DE2C-4EA4-A504-C107C10EB25F}"/>
    <cellStyle name="Migliaia 3 4 2 2 2 6" xfId="5030" xr:uid="{1ACB8A15-CB65-4A4E-BD10-6343C7BE3D1A}"/>
    <cellStyle name="Migliaia 3 4 2 2 2 6 2" xfId="12514" xr:uid="{62E878F6-B663-4CA6-8B8A-C9CA30A96233}"/>
    <cellStyle name="Migliaia 3 4 2 2 2 6 2 2" xfId="16060" xr:uid="{10E080A8-0A51-4342-B047-562B0628C04B}"/>
    <cellStyle name="Migliaia 3 4 2 2 2 6 2 2 2" xfId="31237" xr:uid="{87614EB3-8F36-401F-935A-5FA970290294}"/>
    <cellStyle name="Migliaia 3 4 2 2 2 6 2 3" xfId="27692" xr:uid="{DB269DCD-F2EE-4B87-BF83-E7E08BE46F92}"/>
    <cellStyle name="Migliaia 3 4 2 2 2 6 3" xfId="8340" xr:uid="{459D8CB6-FB26-4B2D-A92E-00B127655608}"/>
    <cellStyle name="Migliaia 3 4 2 2 2 6 3 2" xfId="23520" xr:uid="{E743C5B2-BBF3-4C87-B9ED-72CECF458A58}"/>
    <cellStyle name="Migliaia 3 4 2 2 2 6 4" xfId="20232" xr:uid="{1F0167D3-2753-408F-93A6-FBC4ABB42874}"/>
    <cellStyle name="Migliaia 3 4 2 2 2 7" xfId="1851" xr:uid="{0BC81615-9ABF-4AAA-B99B-C9E2AC4CDE5E}"/>
    <cellStyle name="Migliaia 3 4 2 2 2 7 2" xfId="9348" xr:uid="{F695CCB9-419A-4279-B221-C1DAE0FDF711}"/>
    <cellStyle name="Migliaia 3 4 2 2 2 7 2 2" xfId="24526" xr:uid="{9AFB4455-5D0F-4EDE-9F5F-27FE4D3D0756}"/>
    <cellStyle name="Migliaia 3 4 2 2 2 7 3" xfId="17066" xr:uid="{A395E75A-4DCB-496D-AC5C-5C8A8C5788E1}"/>
    <cellStyle name="Migliaia 3 4 2 2 2 8" xfId="8562" xr:uid="{0DB22FA2-0474-4F18-A06B-9CF34969B75F}"/>
    <cellStyle name="Migliaia 3 4 2 2 2 8 2" xfId="12735" xr:uid="{FAA5163F-71FA-4396-ABE6-C4DDB0147F02}"/>
    <cellStyle name="Migliaia 3 4 2 2 2 8 2 2" xfId="27912" xr:uid="{D4294339-9991-4607-863D-82D71FE6537C}"/>
    <cellStyle name="Migliaia 3 4 2 2 2 8 3" xfId="23740" xr:uid="{47FB6F9C-E13A-4468-9A83-0F94F57F8970}"/>
    <cellStyle name="Migliaia 3 4 2 2 2 9" xfId="5174" xr:uid="{E8A15F8C-A1C0-4620-A738-4597C7B4F1F0}"/>
    <cellStyle name="Migliaia 3 4 2 2 2 9 2" xfId="20354" xr:uid="{01A815E5-6BA3-4C13-B774-0DFD643E1BA1}"/>
    <cellStyle name="Migliaia 3 4 2 2 3" xfId="1053" xr:uid="{E4263E95-7094-45A2-9B88-65B6AAAD9C6E}"/>
    <cellStyle name="Migliaia 3 4 2 2 3 10" xfId="31598" xr:uid="{5A83EF07-F77B-4658-820E-C3D50116C8A7}"/>
    <cellStyle name="Migliaia 3 4 2 2 3 2" xfId="1413" xr:uid="{5990F21C-0C36-4428-AFBD-83A152A2E923}"/>
    <cellStyle name="Migliaia 3 4 2 2 3 2 2" xfId="3726" xr:uid="{B17C8422-72F1-4048-B479-B2CFA5660E68}"/>
    <cellStyle name="Migliaia 3 4 2 2 3 2 2 2" xfId="11214" xr:uid="{9D4BC771-C297-4527-A55E-C1420FF77464}"/>
    <cellStyle name="Migliaia 3 4 2 2 3 2 2 2 2" xfId="14760" xr:uid="{3DD6E71F-C5BA-482B-A136-8FDA707D7B51}"/>
    <cellStyle name="Migliaia 3 4 2 2 3 2 2 2 2 2" xfId="29937" xr:uid="{7BBF0978-A5F3-4510-B02E-62B13F62369E}"/>
    <cellStyle name="Migliaia 3 4 2 2 3 2 2 2 3" xfId="26392" xr:uid="{8C9664F0-7023-4160-A981-87A01A0A5EEF}"/>
    <cellStyle name="Migliaia 3 4 2 2 3 2 2 3" xfId="7040" xr:uid="{2E6BF27B-709F-4EB3-B4DD-CE7DC9A77D12}"/>
    <cellStyle name="Migliaia 3 4 2 2 3 2 2 3 2" xfId="22220" xr:uid="{01448229-0C8D-43C8-BA30-C91BB0D75FF7}"/>
    <cellStyle name="Migliaia 3 4 2 2 3 2 2 4" xfId="18932" xr:uid="{D9198F1B-6A69-46DC-9B05-BA1E98E7826A}"/>
    <cellStyle name="Migliaia 3 4 2 2 3 2 3" xfId="4467" xr:uid="{918D8438-308A-4C06-ADB5-2260D88B4632}"/>
    <cellStyle name="Migliaia 3 4 2 2 3 2 3 2" xfId="11952" xr:uid="{CBC1B7F6-970D-4522-A813-ADB4C34C6561}"/>
    <cellStyle name="Migliaia 3 4 2 2 3 2 3 2 2" xfId="15498" xr:uid="{F46A1F1E-8600-45FA-AF6E-B539BD982B4E}"/>
    <cellStyle name="Migliaia 3 4 2 2 3 2 3 2 2 2" xfId="30675" xr:uid="{D44D18E8-EF89-4BD0-A137-56A9762FFB6D}"/>
    <cellStyle name="Migliaia 3 4 2 2 3 2 3 2 3" xfId="27130" xr:uid="{27E5ECAC-CF2C-49AE-A3A7-2BCBD1ADF66B}"/>
    <cellStyle name="Migliaia 3 4 2 2 3 2 3 3" xfId="7778" xr:uid="{0F939823-8EC6-4336-BB48-6B7A5A7DE9D0}"/>
    <cellStyle name="Migliaia 3 4 2 2 3 2 3 3 2" xfId="22958" xr:uid="{0DA0FDEC-6453-4D34-8541-9AA81DEA0954}"/>
    <cellStyle name="Migliaia 3 4 2 2 3 2 3 4" xfId="19670" xr:uid="{1AC3CB99-E388-4020-A3EE-8E6CA48C99FB}"/>
    <cellStyle name="Migliaia 3 4 2 2 3 2 4" xfId="2839" xr:uid="{08CDCF97-41EE-4B6D-86AC-B404DCAA307F}"/>
    <cellStyle name="Migliaia 3 4 2 2 3 2 4 2" xfId="10330" xr:uid="{D430E531-5C26-4019-ABDD-471C925657BF}"/>
    <cellStyle name="Migliaia 3 4 2 2 3 2 4 2 2" xfId="25508" xr:uid="{F3AE77DA-E245-49A9-AF7F-CAAB6EDEBA85}"/>
    <cellStyle name="Migliaia 3 4 2 2 3 2 4 3" xfId="18048" xr:uid="{31703AB0-6354-4B59-B82D-A039E23895DA}"/>
    <cellStyle name="Migliaia 3 4 2 2 3 2 5" xfId="8932" xr:uid="{A242DDC1-389C-4070-93F7-AE8386CDBF4A}"/>
    <cellStyle name="Migliaia 3 4 2 2 3 2 5 2" xfId="13105" xr:uid="{E284206C-091C-4232-A61A-C8CC50492B15}"/>
    <cellStyle name="Migliaia 3 4 2 2 3 2 5 2 2" xfId="28282" xr:uid="{54136DD3-0D3D-429E-9D17-A66B8051E25F}"/>
    <cellStyle name="Migliaia 3 4 2 2 3 2 5 3" xfId="24110" xr:uid="{B4410328-636F-4E2A-AD37-83D9CE729FEB}"/>
    <cellStyle name="Migliaia 3 4 2 2 3 2 6" xfId="6156" xr:uid="{BF9E574D-1D20-47F2-BE7A-AB92C1FB7F28}"/>
    <cellStyle name="Migliaia 3 4 2 2 3 2 6 2" xfId="21336" xr:uid="{46FB6AE6-3093-4404-88BF-52BDB1E393F6}"/>
    <cellStyle name="Migliaia 3 4 2 2 3 2 7" xfId="16650" xr:uid="{407F7092-D1C3-4E45-A9FD-D6C472C06CAB}"/>
    <cellStyle name="Migliaia 3 4 2 2 3 3" xfId="2566" xr:uid="{938DDECB-927D-401F-BCD8-8AEDAC46D1ED}"/>
    <cellStyle name="Migliaia 3 4 2 2 3 3 2" xfId="10058" xr:uid="{34654378-14F3-4483-A93F-BC621778C3EF}"/>
    <cellStyle name="Migliaia 3 4 2 2 3 3 2 2" xfId="13717" xr:uid="{BB61C064-B863-45AE-86BD-02419788CAA8}"/>
    <cellStyle name="Migliaia 3 4 2 2 3 3 2 2 2" xfId="28894" xr:uid="{B7E02FEA-B7EC-43AE-BABB-01297CC53A9D}"/>
    <cellStyle name="Migliaia 3 4 2 2 3 3 2 3" xfId="25236" xr:uid="{1842E718-D8DD-454B-992E-A42536F2D4EC}"/>
    <cellStyle name="Migliaia 3 4 2 2 3 3 3" xfId="5884" xr:uid="{328443E3-2E9E-4A74-B5E7-D782E1A269D5}"/>
    <cellStyle name="Migliaia 3 4 2 2 3 3 3 2" xfId="21064" xr:uid="{95D08093-546E-4E9B-BAB6-AD64BF4FDB99}"/>
    <cellStyle name="Migliaia 3 4 2 2 3 3 4" xfId="17776" xr:uid="{27E078EA-DEE7-48A5-9ED0-B67F3A3752C5}"/>
    <cellStyle name="Migliaia 3 4 2 2 3 4" xfId="3454" xr:uid="{14A21344-7356-4B7E-B63C-20330C7CDF03}"/>
    <cellStyle name="Migliaia 3 4 2 2 3 4 2" xfId="10942" xr:uid="{CEBE9AAF-1E9C-48DD-BFEA-813E48DC87E8}"/>
    <cellStyle name="Migliaia 3 4 2 2 3 4 2 2" xfId="14488" xr:uid="{7A55E9C9-78F9-4E6C-ABD6-91BB270A7F6A}"/>
    <cellStyle name="Migliaia 3 4 2 2 3 4 2 2 2" xfId="29665" xr:uid="{3C375A9E-5112-4BF2-B50C-BF83AF199D8E}"/>
    <cellStyle name="Migliaia 3 4 2 2 3 4 2 3" xfId="26120" xr:uid="{609A6D51-89C8-4F4A-89F3-70344E4415C8}"/>
    <cellStyle name="Migliaia 3 4 2 2 3 4 3" xfId="6768" xr:uid="{9D855EF8-BB46-4F0B-AC3B-9F51AE25F356}"/>
    <cellStyle name="Migliaia 3 4 2 2 3 4 3 2" xfId="21948" xr:uid="{90E2E4CA-3F86-4CF9-B9FE-9755D1C952C7}"/>
    <cellStyle name="Migliaia 3 4 2 2 3 4 4" xfId="18660" xr:uid="{1EE70FC7-030C-47B6-BED0-AD298E87F5E1}"/>
    <cellStyle name="Migliaia 3 4 2 2 3 5" xfId="4468" xr:uid="{57254078-0636-44E2-9DD2-E335333A6BE9}"/>
    <cellStyle name="Migliaia 3 4 2 2 3 5 2" xfId="11953" xr:uid="{488CDCE9-CF6B-4BFF-A4D9-1CF59C1F4E5E}"/>
    <cellStyle name="Migliaia 3 4 2 2 3 5 2 2" xfId="15499" xr:uid="{026537E7-41A3-48C4-B525-94F4DABEBB15}"/>
    <cellStyle name="Migliaia 3 4 2 2 3 5 2 2 2" xfId="30676" xr:uid="{71B6A03B-0552-4350-A537-557251B4F581}"/>
    <cellStyle name="Migliaia 3 4 2 2 3 5 2 3" xfId="27131" xr:uid="{90D7F821-C558-4B28-95ED-3B7E377D7772}"/>
    <cellStyle name="Migliaia 3 4 2 2 3 5 3" xfId="7779" xr:uid="{BBFC5DC3-3629-42F6-92E4-06F34AC19381}"/>
    <cellStyle name="Migliaia 3 4 2 2 3 5 3 2" xfId="22959" xr:uid="{2397D603-98B1-4323-BBDE-5E394A021E16}"/>
    <cellStyle name="Migliaia 3 4 2 2 3 5 4" xfId="19671" xr:uid="{485B967B-9A16-44E7-904F-4F8A7DAB3865}"/>
    <cellStyle name="Migliaia 3 4 2 2 3 6" xfId="1949" xr:uid="{AA757DCB-3F4C-4EC6-8C9B-5D59F9BC2434}"/>
    <cellStyle name="Migliaia 3 4 2 2 3 6 2" xfId="9446" xr:uid="{8EEA9D58-BBE3-4D0B-9E70-3C6CE007A6F2}"/>
    <cellStyle name="Migliaia 3 4 2 2 3 6 2 2" xfId="24624" xr:uid="{0C26905B-4947-4447-B1C2-6709943CFC9F}"/>
    <cellStyle name="Migliaia 3 4 2 2 3 6 3" xfId="17164" xr:uid="{82E081BE-8B2E-4808-8A97-571942117738}"/>
    <cellStyle name="Migliaia 3 4 2 2 3 7" xfId="8660" xr:uid="{92C863ED-8CD1-4A92-B643-78E11622C1A4}"/>
    <cellStyle name="Migliaia 3 4 2 2 3 7 2" xfId="12833" xr:uid="{E03F3599-BEBC-4267-AF15-4207ECF15DE5}"/>
    <cellStyle name="Migliaia 3 4 2 2 3 7 2 2" xfId="28010" xr:uid="{0D023CC4-A6CA-4DF6-BA2A-A2785A446868}"/>
    <cellStyle name="Migliaia 3 4 2 2 3 7 3" xfId="23838" xr:uid="{23F164A3-9D17-4A14-A988-F761F731DC0E}"/>
    <cellStyle name="Migliaia 3 4 2 2 3 8" xfId="5272" xr:uid="{6BBD000F-04F5-47C2-AF14-3BDCEC922DF3}"/>
    <cellStyle name="Migliaia 3 4 2 2 3 8 2" xfId="20452" xr:uid="{1B4E8A97-841A-43F5-8EB4-369259CA5025}"/>
    <cellStyle name="Migliaia 3 4 2 2 3 9" xfId="16378" xr:uid="{B86983B7-CF90-4692-9A90-F150393B17D8}"/>
    <cellStyle name="Migliaia 3 4 2 2 4" xfId="1512" xr:uid="{3F24B9A5-16CF-4096-B42A-6EDF80A6FD8F}"/>
    <cellStyle name="Migliaia 3 4 2 2 4 2" xfId="2937" xr:uid="{5A3DD75E-5DCB-4AA6-898C-45569008F41E}"/>
    <cellStyle name="Migliaia 3 4 2 2 4 2 2" xfId="10428" xr:uid="{4E0D62F4-5B34-4E4D-A638-BEE73E2E252A}"/>
    <cellStyle name="Migliaia 3 4 2 2 4 2 2 2" xfId="13974" xr:uid="{2238A6E5-E2E4-4FC8-9CF4-8C2DA69C2CE4}"/>
    <cellStyle name="Migliaia 3 4 2 2 4 2 2 2 2" xfId="29151" xr:uid="{28C6E201-3727-406F-A9F4-7ADC92FAD0FB}"/>
    <cellStyle name="Migliaia 3 4 2 2 4 2 2 3" xfId="25606" xr:uid="{91E0696E-38D5-4C1B-9047-460AC67B9FB8}"/>
    <cellStyle name="Migliaia 3 4 2 2 4 2 3" xfId="6254" xr:uid="{2B1FB1BA-298F-48B2-A845-724B90BF0760}"/>
    <cellStyle name="Migliaia 3 4 2 2 4 2 3 2" xfId="21434" xr:uid="{BF7E177F-4433-4ADF-93DB-69EC9D148EF6}"/>
    <cellStyle name="Migliaia 3 4 2 2 4 2 4" xfId="18146" xr:uid="{4432B438-E149-4316-A0D2-EA65A7E66097}"/>
    <cellStyle name="Migliaia 3 4 2 2 4 3" xfId="3824" xr:uid="{CD95FB9E-C126-412E-A488-16A0D00DB4CB}"/>
    <cellStyle name="Migliaia 3 4 2 2 4 3 2" xfId="11312" xr:uid="{1B8B905F-E9A1-42B9-B8B7-9BD81CA1F78C}"/>
    <cellStyle name="Migliaia 3 4 2 2 4 3 2 2" xfId="14858" xr:uid="{FD8825D9-55FC-4E80-96FA-0372BE3A7567}"/>
    <cellStyle name="Migliaia 3 4 2 2 4 3 2 2 2" xfId="30035" xr:uid="{3FFE46D1-EDB8-4FE2-8EE3-64EBC78417ED}"/>
    <cellStyle name="Migliaia 3 4 2 2 4 3 2 3" xfId="26490" xr:uid="{FE6449FF-8E24-4617-9629-4702008F3207}"/>
    <cellStyle name="Migliaia 3 4 2 2 4 3 3" xfId="7138" xr:uid="{422F0418-0608-4F81-9B6A-9FA0FD5F0203}"/>
    <cellStyle name="Migliaia 3 4 2 2 4 3 3 2" xfId="22318" xr:uid="{EE47F5C5-0C2F-4783-8F65-CEC3CFC636AF}"/>
    <cellStyle name="Migliaia 3 4 2 2 4 3 4" xfId="19030" xr:uid="{DE689380-2F13-4142-A5B6-93D75136A253}"/>
    <cellStyle name="Migliaia 3 4 2 2 4 4" xfId="4469" xr:uid="{8F1440E0-8E8F-4690-BA76-80C18C5AD948}"/>
    <cellStyle name="Migliaia 3 4 2 2 4 4 2" xfId="11954" xr:uid="{C775F163-4D53-4E47-A49F-3E716ABE0027}"/>
    <cellStyle name="Migliaia 3 4 2 2 4 4 2 2" xfId="15500" xr:uid="{988DBFCD-31B9-4211-B2F9-F8F4E8AF1EC5}"/>
    <cellStyle name="Migliaia 3 4 2 2 4 4 2 2 2" xfId="30677" xr:uid="{8F95D428-558B-430A-91F9-B9B467052129}"/>
    <cellStyle name="Migliaia 3 4 2 2 4 4 2 3" xfId="27132" xr:uid="{A1BA67A6-2DF2-438C-84BE-931FC5E779B6}"/>
    <cellStyle name="Migliaia 3 4 2 2 4 4 3" xfId="7780" xr:uid="{CE27B2C7-8848-49EF-9769-DE06CAFC8C47}"/>
    <cellStyle name="Migliaia 3 4 2 2 4 4 3 2" xfId="22960" xr:uid="{654FF57B-5819-4ECB-8271-993DBF553101}"/>
    <cellStyle name="Migliaia 3 4 2 2 4 4 4" xfId="19672" xr:uid="{6A869133-2929-4726-9B08-5EF964BA9427}"/>
    <cellStyle name="Migliaia 3 4 2 2 4 5" xfId="2047" xr:uid="{C4368E0D-06C0-4F8A-B491-CA34BDD3AF2D}"/>
    <cellStyle name="Migliaia 3 4 2 2 4 5 2" xfId="9544" xr:uid="{38425D0A-D081-4D00-8196-2D7795D2BAFB}"/>
    <cellStyle name="Migliaia 3 4 2 2 4 5 2 2" xfId="24722" xr:uid="{F4D99019-8018-4853-ABDA-305E78096D20}"/>
    <cellStyle name="Migliaia 3 4 2 2 4 5 3" xfId="17262" xr:uid="{77411FB5-0DDD-4B4C-B919-FABDD1168252}"/>
    <cellStyle name="Migliaia 3 4 2 2 4 6" xfId="9030" xr:uid="{59A137B1-C40F-457D-8238-40C68A5C9B3B}"/>
    <cellStyle name="Migliaia 3 4 2 2 4 6 2" xfId="13203" xr:uid="{2C83187A-5F4C-4204-AD27-37D88AC98D75}"/>
    <cellStyle name="Migliaia 3 4 2 2 4 6 2 2" xfId="28380" xr:uid="{0AB6EE41-FD8E-4F86-BAC6-2827FA4BB6F4}"/>
    <cellStyle name="Migliaia 3 4 2 2 4 6 3" xfId="24208" xr:uid="{9FE3D0FC-5632-4BF3-8578-783E5ED5D9FB}"/>
    <cellStyle name="Migliaia 3 4 2 2 4 7" xfId="5370" xr:uid="{A5A3CBD2-CDE0-4AB3-B1F7-E02971EE30BE}"/>
    <cellStyle name="Migliaia 3 4 2 2 4 7 2" xfId="20550" xr:uid="{58D534FD-620D-4928-A0EF-5476BCF9DC44}"/>
    <cellStyle name="Migliaia 3 4 2 2 4 8" xfId="16748" xr:uid="{B4FBFAF6-5000-4C90-BD68-8BC0956DA167}"/>
    <cellStyle name="Migliaia 3 4 2 2 5" xfId="1615" xr:uid="{EBC62B12-4376-41C5-BC5B-B48015433447}"/>
    <cellStyle name="Migliaia 3 4 2 2 5 2" xfId="3035" xr:uid="{FE9C9210-003D-4FD0-8EAE-FE3E905E2150}"/>
    <cellStyle name="Migliaia 3 4 2 2 5 2 2" xfId="10526" xr:uid="{8FDCDEEE-0519-4D34-A1F4-BCF1B25C8593}"/>
    <cellStyle name="Migliaia 3 4 2 2 5 2 2 2" xfId="14072" xr:uid="{00C74C3D-A5FC-4E2F-9E9A-5FBAADB10B3A}"/>
    <cellStyle name="Migliaia 3 4 2 2 5 2 2 2 2" xfId="29249" xr:uid="{652E733C-86A3-4BFC-8DA0-334E3326EDEB}"/>
    <cellStyle name="Migliaia 3 4 2 2 5 2 2 3" xfId="25704" xr:uid="{133975DC-3CFE-4072-9517-4BB89FA24040}"/>
    <cellStyle name="Migliaia 3 4 2 2 5 2 3" xfId="6352" xr:uid="{F03BB15B-B273-4D93-A940-21459CEEB2A4}"/>
    <cellStyle name="Migliaia 3 4 2 2 5 2 3 2" xfId="21532" xr:uid="{0E0D64B3-97AF-4CDC-910B-3F5A3DEADD83}"/>
    <cellStyle name="Migliaia 3 4 2 2 5 2 4" xfId="18244" xr:uid="{2B3D81DB-3214-433C-8E68-4007C0B05312}"/>
    <cellStyle name="Migliaia 3 4 2 2 5 3" xfId="3922" xr:uid="{5F0D2BA4-CB83-4B0E-AD1F-54DC8E4911AB}"/>
    <cellStyle name="Migliaia 3 4 2 2 5 3 2" xfId="11410" xr:uid="{937D27DD-D72E-4346-B5CE-BE09965D3193}"/>
    <cellStyle name="Migliaia 3 4 2 2 5 3 2 2" xfId="14956" xr:uid="{28E7E452-A1B2-4E9D-8DB5-354BD179D454}"/>
    <cellStyle name="Migliaia 3 4 2 2 5 3 2 2 2" xfId="30133" xr:uid="{6F922A9F-A86D-4BEB-AB75-60667FD26A92}"/>
    <cellStyle name="Migliaia 3 4 2 2 5 3 2 3" xfId="26588" xr:uid="{9404E4E7-EFF6-458A-804E-28C7D5140EFD}"/>
    <cellStyle name="Migliaia 3 4 2 2 5 3 3" xfId="7236" xr:uid="{E6217849-FBBF-4DEB-814C-04FBCB6F9DBC}"/>
    <cellStyle name="Migliaia 3 4 2 2 5 3 3 2" xfId="22416" xr:uid="{722134C5-3F16-4D45-BB9C-D861AE39854F}"/>
    <cellStyle name="Migliaia 3 4 2 2 5 3 4" xfId="19128" xr:uid="{53D9F4CD-F5AB-4501-ADC1-09CBE9729E9D}"/>
    <cellStyle name="Migliaia 3 4 2 2 5 4" xfId="4470" xr:uid="{C8138875-DE55-4BED-ACF3-411C7B92A206}"/>
    <cellStyle name="Migliaia 3 4 2 2 5 4 2" xfId="11955" xr:uid="{184C1FFA-03C4-4B1B-98CF-8471A4BAC2BD}"/>
    <cellStyle name="Migliaia 3 4 2 2 5 4 2 2" xfId="15501" xr:uid="{E5151EE7-C1C4-45CD-8F9B-FAE7A87766B5}"/>
    <cellStyle name="Migliaia 3 4 2 2 5 4 2 2 2" xfId="30678" xr:uid="{4C95FA30-9A4D-45C6-A11B-B39C4CE33984}"/>
    <cellStyle name="Migliaia 3 4 2 2 5 4 2 3" xfId="27133" xr:uid="{7CB0E9AA-87D8-45BA-9B14-A5DF6A2D0460}"/>
    <cellStyle name="Migliaia 3 4 2 2 5 4 3" xfId="7781" xr:uid="{15A4F7D4-FF41-41B8-9356-8A974E82D540}"/>
    <cellStyle name="Migliaia 3 4 2 2 5 4 3 2" xfId="22961" xr:uid="{889C9325-95D8-4082-B1A0-3B2F0FE19011}"/>
    <cellStyle name="Migliaia 3 4 2 2 5 4 4" xfId="19673" xr:uid="{448B334C-D755-4FA8-8DC4-43C2FACC1133}"/>
    <cellStyle name="Migliaia 3 4 2 2 5 5" xfId="2145" xr:uid="{B9171C17-4C6A-41C9-8695-7104BEF58F05}"/>
    <cellStyle name="Migliaia 3 4 2 2 5 5 2" xfId="9642" xr:uid="{81056CF6-6B08-47D9-A311-E12FAB01C060}"/>
    <cellStyle name="Migliaia 3 4 2 2 5 5 2 2" xfId="24820" xr:uid="{C865178C-F8AD-40E5-A10C-668EBCAB4ECF}"/>
    <cellStyle name="Migliaia 3 4 2 2 5 5 3" xfId="17360" xr:uid="{BE91F240-26E7-4F27-889C-09AD5CFC64A7}"/>
    <cellStyle name="Migliaia 3 4 2 2 5 6" xfId="9128" xr:uid="{496826A1-049B-4A31-8B89-6AC49F7EA77B}"/>
    <cellStyle name="Migliaia 3 4 2 2 5 6 2" xfId="13301" xr:uid="{66D7A4AE-7CDE-4FB6-8F0A-9DA483A7AFC2}"/>
    <cellStyle name="Migliaia 3 4 2 2 5 6 2 2" xfId="28478" xr:uid="{C074CEA6-6F7C-4E73-9C62-69A9555E9BAD}"/>
    <cellStyle name="Migliaia 3 4 2 2 5 6 3" xfId="24306" xr:uid="{2166E58A-8778-4BA8-95F6-E0C89992D160}"/>
    <cellStyle name="Migliaia 3 4 2 2 5 7" xfId="5468" xr:uid="{D1A1A41E-0865-4B07-ADAD-5FDC41EB64C1}"/>
    <cellStyle name="Migliaia 3 4 2 2 5 7 2" xfId="20648" xr:uid="{B247393F-780B-43DC-B516-60553F7C1063}"/>
    <cellStyle name="Migliaia 3 4 2 2 5 8" xfId="16846" xr:uid="{A8DC578A-5B08-4FF9-9DED-AC26CC381EFD}"/>
    <cellStyle name="Migliaia 3 4 2 2 6" xfId="1714" xr:uid="{2D53414D-03CD-415A-BF5E-67CF3A4FE76F}"/>
    <cellStyle name="Migliaia 3 4 2 2 6 2" xfId="3133" xr:uid="{29473008-16FA-4EC6-8078-EC07B151D4EF}"/>
    <cellStyle name="Migliaia 3 4 2 2 6 2 2" xfId="10624" xr:uid="{637784BB-675B-41F0-9FDE-F29FB326CFEE}"/>
    <cellStyle name="Migliaia 3 4 2 2 6 2 2 2" xfId="14170" xr:uid="{6971F716-A363-403F-9469-EB83877221D4}"/>
    <cellStyle name="Migliaia 3 4 2 2 6 2 2 2 2" xfId="29347" xr:uid="{ED283B65-43E5-4F49-825E-CFAAADA7F46E}"/>
    <cellStyle name="Migliaia 3 4 2 2 6 2 2 3" xfId="25802" xr:uid="{ABF34B12-BE39-4BA5-945D-0F828CF06202}"/>
    <cellStyle name="Migliaia 3 4 2 2 6 2 3" xfId="6450" xr:uid="{5C1A1D9A-5845-4314-90A6-94591CAD37A5}"/>
    <cellStyle name="Migliaia 3 4 2 2 6 2 3 2" xfId="21630" xr:uid="{EB9EFDB4-E324-451F-A123-42899F5B3454}"/>
    <cellStyle name="Migliaia 3 4 2 2 6 2 4" xfId="18342" xr:uid="{5FEBE2A9-A6D3-45C5-B40D-74706936EC9B}"/>
    <cellStyle name="Migliaia 3 4 2 2 6 3" xfId="4020" xr:uid="{044D41C4-DA08-4FFA-B2E5-F94ADCA3080A}"/>
    <cellStyle name="Migliaia 3 4 2 2 6 3 2" xfId="11508" xr:uid="{6AAF56FC-F86E-4276-84CC-0F1D7C60FE88}"/>
    <cellStyle name="Migliaia 3 4 2 2 6 3 2 2" xfId="15054" xr:uid="{B960B2C9-C240-49A5-AB73-7EDB0BD2A387}"/>
    <cellStyle name="Migliaia 3 4 2 2 6 3 2 2 2" xfId="30231" xr:uid="{C621262B-6485-42DD-8D7E-1CC01D9A5776}"/>
    <cellStyle name="Migliaia 3 4 2 2 6 3 2 3" xfId="26686" xr:uid="{A403E987-DB89-4BFE-9250-CF987EBEDBE6}"/>
    <cellStyle name="Migliaia 3 4 2 2 6 3 3" xfId="7334" xr:uid="{F171EB1C-4B7D-491E-9A91-05E114C38152}"/>
    <cellStyle name="Migliaia 3 4 2 2 6 3 3 2" xfId="22514" xr:uid="{A383B0BF-EDE8-4B77-8577-D18E19BEA27B}"/>
    <cellStyle name="Migliaia 3 4 2 2 6 3 4" xfId="19226" xr:uid="{9E95870C-4FE1-4126-B9C7-9915EFC4B47F}"/>
    <cellStyle name="Migliaia 3 4 2 2 6 4" xfId="4471" xr:uid="{660E2F5A-5140-4CFB-A44B-49B28109F481}"/>
    <cellStyle name="Migliaia 3 4 2 2 6 4 2" xfId="11956" xr:uid="{49790369-A15E-4E31-8289-629F480E1E6D}"/>
    <cellStyle name="Migliaia 3 4 2 2 6 4 2 2" xfId="15502" xr:uid="{20E86FF7-46B6-46B3-B3D8-0DEAF1491274}"/>
    <cellStyle name="Migliaia 3 4 2 2 6 4 2 2 2" xfId="30679" xr:uid="{DC7B4733-E7ED-4345-A17D-1F6C202C644C}"/>
    <cellStyle name="Migliaia 3 4 2 2 6 4 2 3" xfId="27134" xr:uid="{6D54203B-4144-4492-9117-B17FB3C78AE1}"/>
    <cellStyle name="Migliaia 3 4 2 2 6 4 3" xfId="7782" xr:uid="{63BAF9F6-6D60-42C1-8228-295527F45D7D}"/>
    <cellStyle name="Migliaia 3 4 2 2 6 4 3 2" xfId="22962" xr:uid="{5728A51F-3737-4E27-B2DE-92AD9E298FA1}"/>
    <cellStyle name="Migliaia 3 4 2 2 6 4 4" xfId="19674" xr:uid="{C43DE697-701A-414A-9B68-3791F8713AEB}"/>
    <cellStyle name="Migliaia 3 4 2 2 6 5" xfId="2243" xr:uid="{0EFFB2DA-7A46-4187-A0E8-2D6ACCEAE179}"/>
    <cellStyle name="Migliaia 3 4 2 2 6 5 2" xfId="9740" xr:uid="{D4970888-F352-4552-BD2C-23BB202A629C}"/>
    <cellStyle name="Migliaia 3 4 2 2 6 5 2 2" xfId="24918" xr:uid="{6A508E3F-C195-46C0-B73B-DC473CA01CCF}"/>
    <cellStyle name="Migliaia 3 4 2 2 6 5 3" xfId="17458" xr:uid="{A9E92F1E-714B-45CC-A889-182B59100281}"/>
    <cellStyle name="Migliaia 3 4 2 2 6 6" xfId="9226" xr:uid="{FABD50A7-F996-4D49-A3CB-959BEFC26760}"/>
    <cellStyle name="Migliaia 3 4 2 2 6 6 2" xfId="13399" xr:uid="{0FE72613-8B4E-4A85-AB95-155D34F433E2}"/>
    <cellStyle name="Migliaia 3 4 2 2 6 6 2 2" xfId="28576" xr:uid="{BFC2089E-18C8-4741-8496-14D2C873E9BF}"/>
    <cellStyle name="Migliaia 3 4 2 2 6 6 3" xfId="24404" xr:uid="{655137EC-ECCD-4114-8498-422494BB2613}"/>
    <cellStyle name="Migliaia 3 4 2 2 6 7" xfId="5566" xr:uid="{3DAF1D50-C5C8-46EC-A812-D4353F527A9A}"/>
    <cellStyle name="Migliaia 3 4 2 2 6 7 2" xfId="20746" xr:uid="{413B0C7E-6DED-44A9-84EB-D86A6FABCD59}"/>
    <cellStyle name="Migliaia 3 4 2 2 6 8" xfId="16944" xr:uid="{E91DE480-9730-4E48-9DF7-9A8C3202CD7C}"/>
    <cellStyle name="Migliaia 3 4 2 2 7" xfId="2343" xr:uid="{EA9EC649-DEB2-4457-8093-571E37914429}"/>
    <cellStyle name="Migliaia 3 4 2 2 7 2" xfId="9838" xr:uid="{483CC459-5A1D-42F0-9A87-7B3FFE5EDE97}"/>
    <cellStyle name="Migliaia 3 4 2 2 7 2 2" xfId="13497" xr:uid="{46076C23-EB6D-410F-BBD7-453BCE1CF847}"/>
    <cellStyle name="Migliaia 3 4 2 2 7 2 2 2" xfId="28674" xr:uid="{DEDD9DC1-7650-4BD0-8316-F0BAEA1F535F}"/>
    <cellStyle name="Migliaia 3 4 2 2 7 2 3" xfId="25016" xr:uid="{E6A08183-838A-44EE-BACB-AE008A1FCE07}"/>
    <cellStyle name="Migliaia 3 4 2 2 7 3" xfId="5664" xr:uid="{74A9A377-865B-4DE6-971B-017C05C24DF4}"/>
    <cellStyle name="Migliaia 3 4 2 2 7 3 2" xfId="20844" xr:uid="{11A59128-65BE-420E-A86E-1D4441E3395B}"/>
    <cellStyle name="Migliaia 3 4 2 2 7 4" xfId="17556" xr:uid="{2CB45C8F-25A8-4656-90C5-06BC6E481DD9}"/>
    <cellStyle name="Migliaia 3 4 2 2 8" xfId="3233" xr:uid="{CF225CBD-3E44-4CBE-B3A0-5074500076CF}"/>
    <cellStyle name="Migliaia 3 4 2 2 8 2" xfId="10722" xr:uid="{42664DF0-72DA-4555-9940-41BC3149838C}"/>
    <cellStyle name="Migliaia 3 4 2 2 8 2 2" xfId="14268" xr:uid="{E498B336-7EE5-424C-9CE5-F0CC05B24F79}"/>
    <cellStyle name="Migliaia 3 4 2 2 8 2 2 2" xfId="29445" xr:uid="{41F5960C-ACEA-4C23-94D4-19BCB031659A}"/>
    <cellStyle name="Migliaia 3 4 2 2 8 2 3" xfId="25900" xr:uid="{FB31550E-FC67-4BBE-8816-A6897746A64A}"/>
    <cellStyle name="Migliaia 3 4 2 2 8 3" xfId="6548" xr:uid="{405A7495-1B93-426C-9C52-5A2972837F1B}"/>
    <cellStyle name="Migliaia 3 4 2 2 8 3 2" xfId="21728" xr:uid="{393EA58D-1144-4635-ACDE-1A0DAF5EFB90}"/>
    <cellStyle name="Migliaia 3 4 2 2 8 4" xfId="18440" xr:uid="{F173BEFF-7DEB-4449-BF35-F58F86D709CF}"/>
    <cellStyle name="Migliaia 3 4 2 2 9" xfId="4472" xr:uid="{6B33E282-29AD-46D0-9A8C-0DF048B356A2}"/>
    <cellStyle name="Migliaia 3 4 2 2 9 2" xfId="11957" xr:uid="{21689284-D23F-4540-9597-D8AF74A6E49E}"/>
    <cellStyle name="Migliaia 3 4 2 2 9 2 2" xfId="15503" xr:uid="{046CC1DA-BB59-49EC-A42F-CCD6F56DE5A4}"/>
    <cellStyle name="Migliaia 3 4 2 2 9 2 2 2" xfId="30680" xr:uid="{9DC7E683-C7ED-474F-BB7A-1CBACC0C5BED}"/>
    <cellStyle name="Migliaia 3 4 2 2 9 2 3" xfId="27135" xr:uid="{D2E35233-D295-4039-8B50-30CD508A21A3}"/>
    <cellStyle name="Migliaia 3 4 2 2 9 3" xfId="7783" xr:uid="{7C0AD45A-5D16-458E-BD37-47E4DBCEE6B7}"/>
    <cellStyle name="Migliaia 3 4 2 2 9 3 2" xfId="22963" xr:uid="{405451F1-E91B-4ADB-AD89-4FC1BDA94464}"/>
    <cellStyle name="Migliaia 3 4 2 2 9 4" xfId="19675" xr:uid="{F9C4F558-FD1D-419C-AA99-3373D6088A65}"/>
    <cellStyle name="Migliaia 3 4 2 3" xfId="901" xr:uid="{6F06410E-397B-4C72-9B0E-3D06894ED1B1}"/>
    <cellStyle name="Migliaia 3 4 2 3 2" xfId="2419" xr:uid="{CFD3E73A-4F65-4F08-8CFF-D164B9D250E6}"/>
    <cellStyle name="Migliaia 3 4 2 3 2 2" xfId="9911" xr:uid="{8DDCA868-5941-492A-B625-97593D24B60D}"/>
    <cellStyle name="Migliaia 3 4 2 3 2 2 2" xfId="13570" xr:uid="{9AC1CFD4-A655-4438-BE2F-05E3E38A786F}"/>
    <cellStyle name="Migliaia 3 4 2 3 2 2 2 2" xfId="28747" xr:uid="{E92EBD16-FCF4-4537-8279-C300B2452845}"/>
    <cellStyle name="Migliaia 3 4 2 3 2 2 3" xfId="25089" xr:uid="{3AF20716-6141-4645-9F89-47FA9782FA14}"/>
    <cellStyle name="Migliaia 3 4 2 3 2 3" xfId="5737" xr:uid="{1743E5E5-0395-4131-9AA1-0C7BF7FE1E4B}"/>
    <cellStyle name="Migliaia 3 4 2 3 2 3 2" xfId="20917" xr:uid="{28B15C4C-8D69-4243-8A0F-53786E342597}"/>
    <cellStyle name="Migliaia 3 4 2 3 2 4" xfId="17629" xr:uid="{B7C13D5D-5984-4D20-A07D-F1BFB185EB03}"/>
    <cellStyle name="Migliaia 3 4 2 3 3" xfId="3307" xr:uid="{02F412EF-201A-48EA-ACE9-B2BF49FB09AC}"/>
    <cellStyle name="Migliaia 3 4 2 3 3 2" xfId="10795" xr:uid="{D5F51B6C-5EB3-4A25-85F5-D1BC96940B60}"/>
    <cellStyle name="Migliaia 3 4 2 3 3 2 2" xfId="14341" xr:uid="{30F21E1C-4214-468B-A460-7BBA95C2CDA8}"/>
    <cellStyle name="Migliaia 3 4 2 3 3 2 2 2" xfId="29518" xr:uid="{5E3E723D-F1F1-4F5C-A2FB-EC0A830A6FE0}"/>
    <cellStyle name="Migliaia 3 4 2 3 3 2 3" xfId="25973" xr:uid="{DE22C5B4-8D97-4B2E-9B07-A0DA760597BF}"/>
    <cellStyle name="Migliaia 3 4 2 3 3 3" xfId="6621" xr:uid="{B6ACCF3C-F77F-4B8A-A84C-D87C14890D67}"/>
    <cellStyle name="Migliaia 3 4 2 3 3 3 2" xfId="21801" xr:uid="{4953B029-2623-46B6-9C68-B007465E2C3A}"/>
    <cellStyle name="Migliaia 3 4 2 3 3 4" xfId="18513" xr:uid="{30A07822-7B02-4E2E-BBFB-6690B2B84C85}"/>
    <cellStyle name="Migliaia 3 4 2 3 4" xfId="4473" xr:uid="{4422BE03-BFD0-48CD-B80A-E06783B11EC9}"/>
    <cellStyle name="Migliaia 3 4 2 3 4 2" xfId="11958" xr:uid="{60D619C3-39DA-47E1-84B5-73D70579BC03}"/>
    <cellStyle name="Migliaia 3 4 2 3 4 2 2" xfId="15504" xr:uid="{201B43B2-9691-4576-832C-D3FD56D3CBBF}"/>
    <cellStyle name="Migliaia 3 4 2 3 4 2 2 2" xfId="30681" xr:uid="{896AC857-6B54-4858-99C2-71272C064A25}"/>
    <cellStyle name="Migliaia 3 4 2 3 4 2 3" xfId="27136" xr:uid="{B1C5CE16-7B32-4F2D-B85B-DA68CC0EB005}"/>
    <cellStyle name="Migliaia 3 4 2 3 4 3" xfId="7784" xr:uid="{28A6B5F0-C0EF-42CA-97A4-3F16EFEFE62B}"/>
    <cellStyle name="Migliaia 3 4 2 3 4 3 2" xfId="22964" xr:uid="{4B460797-95FD-4B42-9CFD-AA2788A57CEE}"/>
    <cellStyle name="Migliaia 3 4 2 3 4 4" xfId="19676" xr:uid="{702F910F-B9EF-48F8-8FB7-D904CCFC0A4F}"/>
    <cellStyle name="Migliaia 3 4 2 3 5" xfId="8513" xr:uid="{F73D16C3-E49D-4932-A5EC-FFFC0F8E6FDC}"/>
    <cellStyle name="Migliaia 3 4 2 3 5 2" xfId="12686" xr:uid="{B3D6EE71-3926-4D0C-AE4F-5DE6C0A740AA}"/>
    <cellStyle name="Migliaia 3 4 2 3 5 2 2" xfId="27863" xr:uid="{0CD7F995-47F9-40F0-B5AF-3C6C3837FC11}"/>
    <cellStyle name="Migliaia 3 4 2 3 5 3" xfId="23691" xr:uid="{AE44EBFF-7817-4B58-B9CA-3F012684DAE3}"/>
    <cellStyle name="Migliaia 3 4 2 3 6" xfId="16231" xr:uid="{1D6F86CF-D32F-4CF5-BD9B-98D69A0852BB}"/>
    <cellStyle name="Migliaia 3 4 2 3 7" xfId="31671" xr:uid="{E4EB9BA5-F0A0-4D38-928C-E735C8B2C031}"/>
    <cellStyle name="Migliaia 3 4 2 4" xfId="1004" xr:uid="{B4E8AE06-EE2B-4430-BE18-AC57EF6ABF03}"/>
    <cellStyle name="Migliaia 3 4 2 4 2" xfId="2517" xr:uid="{130431A1-B847-4742-88C8-A865C501A30C}"/>
    <cellStyle name="Migliaia 3 4 2 4 2 2" xfId="10009" xr:uid="{C8390516-7897-470F-A824-8CCDB24AA3EC}"/>
    <cellStyle name="Migliaia 3 4 2 4 2 2 2" xfId="13668" xr:uid="{C7FA7F3E-1E12-4542-95A8-4A023AB5C7B6}"/>
    <cellStyle name="Migliaia 3 4 2 4 2 2 2 2" xfId="28845" xr:uid="{B138D58B-5D03-45E8-A79A-4B23E8E22DD8}"/>
    <cellStyle name="Migliaia 3 4 2 4 2 2 3" xfId="25187" xr:uid="{877B1D70-683A-4EDB-9707-B85D641A4EAC}"/>
    <cellStyle name="Migliaia 3 4 2 4 2 3" xfId="5835" xr:uid="{16EEB45B-8605-4CC2-95AE-E01813D5AABB}"/>
    <cellStyle name="Migliaia 3 4 2 4 2 3 2" xfId="21015" xr:uid="{E7F6F1B1-59B2-4E91-8D27-50ACD625BE0D}"/>
    <cellStyle name="Migliaia 3 4 2 4 2 4" xfId="17727" xr:uid="{288A8744-779C-4BEE-9A43-6575AF4DA644}"/>
    <cellStyle name="Migliaia 3 4 2 4 3" xfId="3405" xr:uid="{496F960D-FE66-4DE1-AE70-C81A11595D43}"/>
    <cellStyle name="Migliaia 3 4 2 4 3 2" xfId="10893" xr:uid="{0F7DCB87-4013-405B-AB9E-4055987F289A}"/>
    <cellStyle name="Migliaia 3 4 2 4 3 2 2" xfId="14439" xr:uid="{778574D8-3D79-4105-845D-A65B8CF6BC50}"/>
    <cellStyle name="Migliaia 3 4 2 4 3 2 2 2" xfId="29616" xr:uid="{49726F52-6D9F-4DE5-A6B4-766AB2BA40C7}"/>
    <cellStyle name="Migliaia 3 4 2 4 3 2 3" xfId="26071" xr:uid="{46025F12-D2B6-458C-8AD5-A8CF322214A6}"/>
    <cellStyle name="Migliaia 3 4 2 4 3 3" xfId="6719" xr:uid="{4D692876-C2CF-427D-82E1-A5270611F9D6}"/>
    <cellStyle name="Migliaia 3 4 2 4 3 3 2" xfId="21899" xr:uid="{42B8CC41-A5FB-42E2-8ACA-742E15FAD771}"/>
    <cellStyle name="Migliaia 3 4 2 4 3 4" xfId="18611" xr:uid="{83CF0454-5B82-401F-A66E-C1E990937FC1}"/>
    <cellStyle name="Migliaia 3 4 2 4 4" xfId="4474" xr:uid="{2A062577-296C-47D2-B85E-2DF98543F80A}"/>
    <cellStyle name="Migliaia 3 4 2 4 4 2" xfId="11959" xr:uid="{C7109654-CC87-4E46-9B7C-23AC9CD5FD98}"/>
    <cellStyle name="Migliaia 3 4 2 4 4 2 2" xfId="15505" xr:uid="{00F46634-8162-4A0E-B3C8-E766FA47D62F}"/>
    <cellStyle name="Migliaia 3 4 2 4 4 2 2 2" xfId="30682" xr:uid="{2B32431C-560D-475A-B605-973D57697960}"/>
    <cellStyle name="Migliaia 3 4 2 4 4 2 3" xfId="27137" xr:uid="{6A8123D3-26D9-46E4-AF12-C957A3D461F2}"/>
    <cellStyle name="Migliaia 3 4 2 4 4 3" xfId="7785" xr:uid="{CEC65094-75F9-4129-BCBA-81C860226D3B}"/>
    <cellStyle name="Migliaia 3 4 2 4 4 3 2" xfId="22965" xr:uid="{B6FB9C0F-B850-4F43-AFB5-579DC0079A43}"/>
    <cellStyle name="Migliaia 3 4 2 4 4 4" xfId="19677" xr:uid="{04B6C53A-0C12-41B3-998E-9B8B662540F3}"/>
    <cellStyle name="Migliaia 3 4 2 4 5" xfId="8611" xr:uid="{48E4DAAD-0C17-4EF0-8601-8321DF06DB2B}"/>
    <cellStyle name="Migliaia 3 4 2 4 5 2" xfId="12784" xr:uid="{CB6F518E-8B9D-44DA-B7CD-963A4C117CC2}"/>
    <cellStyle name="Migliaia 3 4 2 4 5 2 2" xfId="27961" xr:uid="{029D0E81-054D-4070-975F-769CCC6AF479}"/>
    <cellStyle name="Migliaia 3 4 2 4 5 3" xfId="23789" xr:uid="{FCC2F0C2-955F-4D44-9F27-8713287F55CD}"/>
    <cellStyle name="Migliaia 3 4 2 4 6" xfId="16329" xr:uid="{1052E342-7721-4F12-96CA-F2061D65ACC0}"/>
    <cellStyle name="Migliaia 3 4 2 4 7" xfId="31549" xr:uid="{C9FED68F-C2DF-4DFD-A4D9-EEE6D96AA905}"/>
    <cellStyle name="Migliaia 3 4 2 5" xfId="1262" xr:uid="{3B2A1841-0866-4AF5-857B-9F6D44A44F94}"/>
    <cellStyle name="Migliaia 3 4 2 5 10" xfId="31321" xr:uid="{69811AED-FA04-40A0-81BB-3525FBEE6AAC}"/>
    <cellStyle name="Migliaia 3 4 2 5 2" xfId="2692" xr:uid="{CE7D2049-545D-4816-ACDF-65B2FD49913F}"/>
    <cellStyle name="Migliaia 3 4 2 5 2 2" xfId="10183" xr:uid="{66217D08-FBB8-4C22-9ACE-610C7119439E}"/>
    <cellStyle name="Migliaia 3 4 2 5 2 2 2" xfId="13827" xr:uid="{D08180DC-C50A-42D7-8408-E395CAC5CE97}"/>
    <cellStyle name="Migliaia 3 4 2 5 2 2 2 2" xfId="29004" xr:uid="{9DAAFF84-7580-41D6-A9C9-FDA9A6338216}"/>
    <cellStyle name="Migliaia 3 4 2 5 2 2 3" xfId="25361" xr:uid="{51F998D4-694A-4106-819D-E13559655975}"/>
    <cellStyle name="Migliaia 3 4 2 5 2 3" xfId="6009" xr:uid="{CDD91F01-0FD3-4CAC-B0B9-2FDF3C4740FB}"/>
    <cellStyle name="Migliaia 3 4 2 5 2 3 2" xfId="21189" xr:uid="{F14CD912-3759-4B5C-B755-73E27CBDD2E6}"/>
    <cellStyle name="Migliaia 3 4 2 5 2 4" xfId="17901" xr:uid="{4024EC29-E4E5-4A61-98E4-6052A7F78A3A}"/>
    <cellStyle name="Migliaia 3 4 2 5 3" xfId="3579" xr:uid="{3D15B66D-98F2-4DD7-89F8-097A3AE05532}"/>
    <cellStyle name="Migliaia 3 4 2 5 3 2" xfId="11067" xr:uid="{79A89FCC-B47D-4467-AFE2-1E9A28E83BC4}"/>
    <cellStyle name="Migliaia 3 4 2 5 3 2 2" xfId="14613" xr:uid="{65762A28-FFBB-4277-BD8B-F6CB1C4AC0C9}"/>
    <cellStyle name="Migliaia 3 4 2 5 3 2 2 2" xfId="29790" xr:uid="{C6393BD3-D8A6-4D29-BB8E-D07E096A3A44}"/>
    <cellStyle name="Migliaia 3 4 2 5 3 2 3" xfId="26245" xr:uid="{56DE55A3-8930-4EFB-950B-1E821822B640}"/>
    <cellStyle name="Migliaia 3 4 2 5 3 3" xfId="6893" xr:uid="{AC53EEF6-7797-42D8-B655-D73FD10C25F7}"/>
    <cellStyle name="Migliaia 3 4 2 5 3 3 2" xfId="22073" xr:uid="{B3438966-8D13-4F17-9D02-D62CB404A768}"/>
    <cellStyle name="Migliaia 3 4 2 5 3 4" xfId="18785" xr:uid="{25321FAA-E698-4077-BDB3-C95DB647A220}"/>
    <cellStyle name="Migliaia 3 4 2 5 4" xfId="4475" xr:uid="{886A330D-99D8-4C01-B425-ED9E83530D4D}"/>
    <cellStyle name="Migliaia 3 4 2 5 4 2" xfId="11960" xr:uid="{5B734679-4C58-4C4D-9C3A-312719E243A2}"/>
    <cellStyle name="Migliaia 3 4 2 5 4 2 2" xfId="15506" xr:uid="{F0C9EA42-5C9D-43BE-A9D5-E9FA080312FB}"/>
    <cellStyle name="Migliaia 3 4 2 5 4 2 2 2" xfId="30683" xr:uid="{357AF903-05DD-4D8E-BF87-E94357A837C9}"/>
    <cellStyle name="Migliaia 3 4 2 5 4 2 3" xfId="27138" xr:uid="{6EA24B4C-AB6E-49C4-8CDD-DA07D378D15C}"/>
    <cellStyle name="Migliaia 3 4 2 5 4 3" xfId="7786" xr:uid="{FC3D008C-7F31-4EDA-96DB-E24C9D68C82C}"/>
    <cellStyle name="Migliaia 3 4 2 5 4 3 2" xfId="22966" xr:uid="{E09DE500-133F-4541-A6D5-D9008AF25166}"/>
    <cellStyle name="Migliaia 3 4 2 5 4 4" xfId="19678" xr:uid="{C436B9D0-2EC6-466F-BEA2-707E43D9D11F}"/>
    <cellStyle name="Migliaia 3 4 2 5 5" xfId="4981" xr:uid="{B7C0398B-A0C4-45D4-AE07-EC12586DE06D}"/>
    <cellStyle name="Migliaia 3 4 2 5 5 2" xfId="12465" xr:uid="{12C3FFFD-F934-4DCB-BE38-892892BADD90}"/>
    <cellStyle name="Migliaia 3 4 2 5 5 2 2" xfId="16011" xr:uid="{081F84BC-0563-4CA7-90FB-32366367987D}"/>
    <cellStyle name="Migliaia 3 4 2 5 5 2 2 2" xfId="31188" xr:uid="{D12AFA13-532E-4044-A656-56B981FFE881}"/>
    <cellStyle name="Migliaia 3 4 2 5 5 2 3" xfId="27643" xr:uid="{90AA8747-84A5-43BF-9EFB-EB4D54011BE1}"/>
    <cellStyle name="Migliaia 3 4 2 5 5 3" xfId="8291" xr:uid="{CE8CE531-A2CC-4854-88AD-286897C6EBB0}"/>
    <cellStyle name="Migliaia 3 4 2 5 5 3 2" xfId="23471" xr:uid="{ACAE66BB-6EAF-4559-A4C8-FA24F55D5FE6}"/>
    <cellStyle name="Migliaia 3 4 2 5 5 4" xfId="20183" xr:uid="{DBECCFDB-3095-448C-9310-0633D07AD6C5}"/>
    <cellStyle name="Migliaia 3 4 2 5 6" xfId="1802" xr:uid="{1FECF5EC-6E49-408C-BCAC-A56ADA0BC228}"/>
    <cellStyle name="Migliaia 3 4 2 5 6 2" xfId="9299" xr:uid="{FCFA6F2F-251D-4FF9-89D0-56C168B737C6}"/>
    <cellStyle name="Migliaia 3 4 2 5 6 2 2" xfId="24477" xr:uid="{49250FE0-CCF9-4376-957E-182E7BD31106}"/>
    <cellStyle name="Migliaia 3 4 2 5 6 3" xfId="17017" xr:uid="{4C917390-A0C9-41A3-AE55-EDA2616F23EC}"/>
    <cellStyle name="Migliaia 3 4 2 5 7" xfId="8785" xr:uid="{08B38E4B-E961-4808-AC03-C6DB5E9C492C}"/>
    <cellStyle name="Migliaia 3 4 2 5 7 2" xfId="12958" xr:uid="{A8CD7501-4765-44C8-9D6D-33C83582B2D7}"/>
    <cellStyle name="Migliaia 3 4 2 5 7 2 2" xfId="28135" xr:uid="{FB771C89-5AB9-49FC-94B3-6B104CB3D923}"/>
    <cellStyle name="Migliaia 3 4 2 5 7 3" xfId="23963" xr:uid="{F8AC94C3-26BC-4D2D-ABC7-64B126596EAF}"/>
    <cellStyle name="Migliaia 3 4 2 5 8" xfId="5125" xr:uid="{8604B445-C148-42E0-B40C-A240939186D6}"/>
    <cellStyle name="Migliaia 3 4 2 5 8 2" xfId="20305" xr:uid="{AB2CD9FD-330E-42FC-A371-B033B660D6B7}"/>
    <cellStyle name="Migliaia 3 4 2 5 9" xfId="16503" xr:uid="{9EB59A02-385E-4F46-979D-CBDBB2DD749C}"/>
    <cellStyle name="Migliaia 3 4 2 6" xfId="1364" xr:uid="{BA5B44C3-E103-47E1-9C49-7B2F0C4E6063}"/>
    <cellStyle name="Migliaia 3 4 2 6 2" xfId="2790" xr:uid="{400A2EE5-756B-4855-869F-5A4DF5488807}"/>
    <cellStyle name="Migliaia 3 4 2 6 2 2" xfId="10281" xr:uid="{6A85F473-2A78-48A3-B459-1B8BF6F139FD}"/>
    <cellStyle name="Migliaia 3 4 2 6 2 2 2" xfId="13876" xr:uid="{1AF594E5-9AB0-4F6E-B059-8076FCD755A3}"/>
    <cellStyle name="Migliaia 3 4 2 6 2 2 2 2" xfId="29053" xr:uid="{1832732C-1A49-41CB-8314-4C62F1080869}"/>
    <cellStyle name="Migliaia 3 4 2 6 2 2 3" xfId="25459" xr:uid="{B2062EFE-81B9-4779-B1E0-823B0C1F50D6}"/>
    <cellStyle name="Migliaia 3 4 2 6 2 3" xfId="6107" xr:uid="{CC95EFCD-2EC6-4B19-BBD6-DAE41D7011F4}"/>
    <cellStyle name="Migliaia 3 4 2 6 2 3 2" xfId="21287" xr:uid="{9D6E258E-7D25-49F5-A534-5FD4408D87A8}"/>
    <cellStyle name="Migliaia 3 4 2 6 2 4" xfId="17999" xr:uid="{807B1F42-E6F9-4479-917B-7A9010EF75B4}"/>
    <cellStyle name="Migliaia 3 4 2 6 3" xfId="3677" xr:uid="{5B25E419-AEF9-481C-8085-ED6D423235A0}"/>
    <cellStyle name="Migliaia 3 4 2 6 3 2" xfId="11165" xr:uid="{EC04582E-9A78-44D1-BE0A-53E424512691}"/>
    <cellStyle name="Migliaia 3 4 2 6 3 2 2" xfId="14711" xr:uid="{6F2671D6-45DB-4634-9A6A-AAEFCFBD4598}"/>
    <cellStyle name="Migliaia 3 4 2 6 3 2 2 2" xfId="29888" xr:uid="{8450EBC2-2F18-4107-99A3-933C360EA812}"/>
    <cellStyle name="Migliaia 3 4 2 6 3 2 3" xfId="26343" xr:uid="{9685C028-DCA2-4B3D-B92C-098766ABB634}"/>
    <cellStyle name="Migliaia 3 4 2 6 3 3" xfId="6991" xr:uid="{32EF8A37-7BE9-4FF8-AD14-E336068610F7}"/>
    <cellStyle name="Migliaia 3 4 2 6 3 3 2" xfId="22171" xr:uid="{FBF8579C-24EC-4043-A9F2-CFFC5C07B705}"/>
    <cellStyle name="Migliaia 3 4 2 6 3 4" xfId="18883" xr:uid="{B2343ED8-4948-474E-9E5D-2F508539E15D}"/>
    <cellStyle name="Migliaia 3 4 2 6 4" xfId="4476" xr:uid="{AF31A391-9B89-4008-B1BF-87227002A07A}"/>
    <cellStyle name="Migliaia 3 4 2 6 4 2" xfId="11961" xr:uid="{FAE8BDD1-E270-4793-8703-D972594992F0}"/>
    <cellStyle name="Migliaia 3 4 2 6 4 2 2" xfId="15507" xr:uid="{6650EADE-B4B3-4C79-86D8-8DF06B70CC6E}"/>
    <cellStyle name="Migliaia 3 4 2 6 4 2 2 2" xfId="30684" xr:uid="{7D7BE79D-B155-4B3A-AEBA-2771BB951ECB}"/>
    <cellStyle name="Migliaia 3 4 2 6 4 2 3" xfId="27139" xr:uid="{7B44FDD3-9ADB-4512-8780-09E4624B099C}"/>
    <cellStyle name="Migliaia 3 4 2 6 4 3" xfId="7787" xr:uid="{D5BB8021-6126-46FB-884F-82595C111FCC}"/>
    <cellStyle name="Migliaia 3 4 2 6 4 3 2" xfId="22967" xr:uid="{E42F1B5E-E835-4A57-AFA5-2DA2D80B5DD0}"/>
    <cellStyle name="Migliaia 3 4 2 6 4 4" xfId="19679" xr:uid="{4DECF3EB-DF4E-42BB-898E-10E79717BB2C}"/>
    <cellStyle name="Migliaia 3 4 2 6 5" xfId="1900" xr:uid="{E93D8D9F-B707-4E35-A03A-D901B33BBA57}"/>
    <cellStyle name="Migliaia 3 4 2 6 5 2" xfId="9397" xr:uid="{7FEC8EA0-B3BC-4647-B84D-C0F646342B43}"/>
    <cellStyle name="Migliaia 3 4 2 6 5 2 2" xfId="24575" xr:uid="{135F4B7D-947B-4EBE-A38D-45867F676F16}"/>
    <cellStyle name="Migliaia 3 4 2 6 5 3" xfId="17115" xr:uid="{2CEABA56-47F9-4012-9796-A50BEB754277}"/>
    <cellStyle name="Migliaia 3 4 2 6 6" xfId="8883" xr:uid="{A8EBD1A0-35FC-4A84-8180-1C09E9346EF0}"/>
    <cellStyle name="Migliaia 3 4 2 6 6 2" xfId="13056" xr:uid="{83E4C929-F376-463C-AD7E-D9A12F44A737}"/>
    <cellStyle name="Migliaia 3 4 2 6 6 2 2" xfId="28233" xr:uid="{D7DCABB1-0F0F-4C9F-8D4B-E0E521ED6B1B}"/>
    <cellStyle name="Migliaia 3 4 2 6 6 3" xfId="24061" xr:uid="{5AF91516-1427-45B5-B114-E0D8D0D59B27}"/>
    <cellStyle name="Migliaia 3 4 2 6 7" xfId="5223" xr:uid="{7F06D884-3BB0-4180-891A-192FC8154901}"/>
    <cellStyle name="Migliaia 3 4 2 6 7 2" xfId="20403" xr:uid="{13FA5764-7724-4D06-9877-B57980AE12B2}"/>
    <cellStyle name="Migliaia 3 4 2 6 8" xfId="16601" xr:uid="{ED1AF537-598C-4706-B8DB-6F58D6653ACC}"/>
    <cellStyle name="Migliaia 3 4 2 7" xfId="1463" xr:uid="{F8DE0F44-EC8C-482A-A692-80710E545BC8}"/>
    <cellStyle name="Migliaia 3 4 2 7 2" xfId="2888" xr:uid="{306683EF-52F9-4B70-AC35-4E58FFB16C40}"/>
    <cellStyle name="Migliaia 3 4 2 7 2 2" xfId="10379" xr:uid="{CDA86121-1E5B-4F6C-926B-81CD4B72A64B}"/>
    <cellStyle name="Migliaia 3 4 2 7 2 2 2" xfId="13925" xr:uid="{3FEE9CF5-226B-4B84-AD79-69F37D3FBFDD}"/>
    <cellStyle name="Migliaia 3 4 2 7 2 2 2 2" xfId="29102" xr:uid="{77D8572F-9B0E-4A06-B7DE-D5B9E4E843BD}"/>
    <cellStyle name="Migliaia 3 4 2 7 2 2 3" xfId="25557" xr:uid="{58F4E2A6-CA7C-4F81-AF18-9A59662A0C23}"/>
    <cellStyle name="Migliaia 3 4 2 7 2 3" xfId="6205" xr:uid="{6D04A1CE-E065-48F0-B6A8-5A9CE50EE983}"/>
    <cellStyle name="Migliaia 3 4 2 7 2 3 2" xfId="21385" xr:uid="{DD5CCA99-3838-4B5B-960A-5B5F4B8F0541}"/>
    <cellStyle name="Migliaia 3 4 2 7 2 4" xfId="18097" xr:uid="{C8500C4C-0FBA-4F29-9CAE-9917AAFEB89F}"/>
    <cellStyle name="Migliaia 3 4 2 7 3" xfId="3775" xr:uid="{6AFC15E3-C38E-4515-9B6B-9E2DB6767922}"/>
    <cellStyle name="Migliaia 3 4 2 7 3 2" xfId="11263" xr:uid="{01170CD7-6FF4-4C5A-B3BC-CDEA62441579}"/>
    <cellStyle name="Migliaia 3 4 2 7 3 2 2" xfId="14809" xr:uid="{5FEDE337-4804-4A3E-8B95-945E486CE036}"/>
    <cellStyle name="Migliaia 3 4 2 7 3 2 2 2" xfId="29986" xr:uid="{DF6C1EC4-5982-4B7E-993C-ACA125E7761C}"/>
    <cellStyle name="Migliaia 3 4 2 7 3 2 3" xfId="26441" xr:uid="{76FE30B5-3F04-45E7-8FC8-AC6DF6D16583}"/>
    <cellStyle name="Migliaia 3 4 2 7 3 3" xfId="7089" xr:uid="{6BEA87AF-8316-45C2-85D4-92A9415AC2C9}"/>
    <cellStyle name="Migliaia 3 4 2 7 3 3 2" xfId="22269" xr:uid="{688DFE4E-B4C2-4033-853C-12884D221FA1}"/>
    <cellStyle name="Migliaia 3 4 2 7 3 4" xfId="18981" xr:uid="{20D89F22-DA3C-4D57-9273-94DF45CDF664}"/>
    <cellStyle name="Migliaia 3 4 2 7 4" xfId="4477" xr:uid="{709E6389-6CFB-4036-8920-3F69F1934AED}"/>
    <cellStyle name="Migliaia 3 4 2 7 4 2" xfId="11962" xr:uid="{F7563263-5FA6-465D-87E7-E9696D079814}"/>
    <cellStyle name="Migliaia 3 4 2 7 4 2 2" xfId="15508" xr:uid="{FA0C2FDD-1D9E-4A7E-961D-8B82CA55F2A6}"/>
    <cellStyle name="Migliaia 3 4 2 7 4 2 2 2" xfId="30685" xr:uid="{F2CD1FDB-2DA0-45B6-BA29-D00A8B2C8000}"/>
    <cellStyle name="Migliaia 3 4 2 7 4 2 3" xfId="27140" xr:uid="{35A13CC0-BD76-4AD2-9269-E1AE65535A87}"/>
    <cellStyle name="Migliaia 3 4 2 7 4 3" xfId="7788" xr:uid="{C5DB44A8-2114-41B6-BC40-6A552F58FEF3}"/>
    <cellStyle name="Migliaia 3 4 2 7 4 3 2" xfId="22968" xr:uid="{A87C5CDD-71D6-4C37-9AF0-4C876C83615A}"/>
    <cellStyle name="Migliaia 3 4 2 7 4 4" xfId="19680" xr:uid="{0F8E9882-8828-4734-9A78-C5EBCC11D0E5}"/>
    <cellStyle name="Migliaia 3 4 2 7 5" xfId="1998" xr:uid="{3422B98C-158A-42D0-9C54-2EE7E441ABD7}"/>
    <cellStyle name="Migliaia 3 4 2 7 5 2" xfId="9495" xr:uid="{1D9B4B5A-F029-4198-BD2D-27698A3D986A}"/>
    <cellStyle name="Migliaia 3 4 2 7 5 2 2" xfId="24673" xr:uid="{EB8151C8-A320-41F3-B049-7EFCDA2E3E62}"/>
    <cellStyle name="Migliaia 3 4 2 7 5 3" xfId="17213" xr:uid="{F795986C-8E96-41D8-8B27-169A0DD26ADD}"/>
    <cellStyle name="Migliaia 3 4 2 7 6" xfId="8981" xr:uid="{88279913-B544-47DB-B1BB-16BE0CFE2EF1}"/>
    <cellStyle name="Migliaia 3 4 2 7 6 2" xfId="13154" xr:uid="{B8562689-6270-42CA-AEA3-D236C8613B4B}"/>
    <cellStyle name="Migliaia 3 4 2 7 6 2 2" xfId="28331" xr:uid="{D8AF2D5A-0D44-42DF-9201-68F4665ECA56}"/>
    <cellStyle name="Migliaia 3 4 2 7 6 3" xfId="24159" xr:uid="{4FE21976-EE0A-49E3-8A8B-63BE5FB469F8}"/>
    <cellStyle name="Migliaia 3 4 2 7 7" xfId="5321" xr:uid="{6A983AF1-FD60-4990-BC67-1CF2EB1714A5}"/>
    <cellStyle name="Migliaia 3 4 2 7 7 2" xfId="20501" xr:uid="{6C16841F-B503-4ED2-99D3-D49ECA3A1D06}"/>
    <cellStyle name="Migliaia 3 4 2 7 8" xfId="16699" xr:uid="{C14C8F6C-6DA0-4DF4-B989-F0006DDD1D19}"/>
    <cellStyle name="Migliaia 3 4 2 8" xfId="1566" xr:uid="{9E8A1F71-818C-4A1D-865F-E12A7C5FA99A}"/>
    <cellStyle name="Migliaia 3 4 2 8 2" xfId="2986" xr:uid="{A566E2ED-00FB-47C2-BBBE-626706C18F8E}"/>
    <cellStyle name="Migliaia 3 4 2 8 2 2" xfId="10477" xr:uid="{74C63488-B7BB-419D-9895-2E43968B092B}"/>
    <cellStyle name="Migliaia 3 4 2 8 2 2 2" xfId="14023" xr:uid="{AD36C2F0-B731-4F5F-AC93-EACA5166BEA7}"/>
    <cellStyle name="Migliaia 3 4 2 8 2 2 2 2" xfId="29200" xr:uid="{9A814B2E-FF57-4E92-9F95-AE936A8A439F}"/>
    <cellStyle name="Migliaia 3 4 2 8 2 2 3" xfId="25655" xr:uid="{E7805123-33E1-423D-974D-A80D0B8C45EB}"/>
    <cellStyle name="Migliaia 3 4 2 8 2 3" xfId="6303" xr:uid="{B7D9D2CD-06E7-483E-AEAA-BB06ABFA1F17}"/>
    <cellStyle name="Migliaia 3 4 2 8 2 3 2" xfId="21483" xr:uid="{B44D0528-BC1A-4E8C-9054-247D8D949776}"/>
    <cellStyle name="Migliaia 3 4 2 8 2 4" xfId="18195" xr:uid="{4A91B10F-3F7B-4845-9793-E9E5FCEAABAE}"/>
    <cellStyle name="Migliaia 3 4 2 8 3" xfId="3873" xr:uid="{33099680-25A1-4119-A046-E839E04804F9}"/>
    <cellStyle name="Migliaia 3 4 2 8 3 2" xfId="11361" xr:uid="{4D8995BA-F4A6-4D16-96FA-ADAB51DA5F7D}"/>
    <cellStyle name="Migliaia 3 4 2 8 3 2 2" xfId="14907" xr:uid="{622B174C-AA5B-4CB8-BDF4-AF4B410CFCB9}"/>
    <cellStyle name="Migliaia 3 4 2 8 3 2 2 2" xfId="30084" xr:uid="{A009DFEE-BCF6-4E0A-937F-3FA66554609C}"/>
    <cellStyle name="Migliaia 3 4 2 8 3 2 3" xfId="26539" xr:uid="{9DA00F5C-5BD4-4699-9F83-AAEDD0DDB839}"/>
    <cellStyle name="Migliaia 3 4 2 8 3 3" xfId="7187" xr:uid="{5BD8D67D-AABE-4F7C-BBFF-5A365F6A75ED}"/>
    <cellStyle name="Migliaia 3 4 2 8 3 3 2" xfId="22367" xr:uid="{C3760D19-E6A4-4E94-AA54-3C06BFE35C6D}"/>
    <cellStyle name="Migliaia 3 4 2 8 3 4" xfId="19079" xr:uid="{2FC845D0-DDB7-4F00-A3F1-98FE0D930781}"/>
    <cellStyle name="Migliaia 3 4 2 8 4" xfId="4478" xr:uid="{60214EA0-EBC4-4EBB-A5DE-F551EAD01062}"/>
    <cellStyle name="Migliaia 3 4 2 8 4 2" xfId="11963" xr:uid="{59658F43-41A0-44D2-90E3-A5946772AECD}"/>
    <cellStyle name="Migliaia 3 4 2 8 4 2 2" xfId="15509" xr:uid="{284D1E13-EA86-428B-999A-A4010DA99C31}"/>
    <cellStyle name="Migliaia 3 4 2 8 4 2 2 2" xfId="30686" xr:uid="{76413CFA-E97E-4934-844F-3058BD73055C}"/>
    <cellStyle name="Migliaia 3 4 2 8 4 2 3" xfId="27141" xr:uid="{7D57B381-5183-4480-8224-6CC5BED8EF5A}"/>
    <cellStyle name="Migliaia 3 4 2 8 4 3" xfId="7789" xr:uid="{44040D43-F678-4954-B4C0-14026B0E6D65}"/>
    <cellStyle name="Migliaia 3 4 2 8 4 3 2" xfId="22969" xr:uid="{3882F1C6-D6F6-498A-B522-28C15FCC6BB3}"/>
    <cellStyle name="Migliaia 3 4 2 8 4 4" xfId="19681" xr:uid="{0350F511-FDC4-42EC-ADB2-601A7FDB5C9F}"/>
    <cellStyle name="Migliaia 3 4 2 8 5" xfId="2096" xr:uid="{E9C79D5C-78CC-433C-8F93-C2A998062570}"/>
    <cellStyle name="Migliaia 3 4 2 8 5 2" xfId="9593" xr:uid="{35F58C97-0D87-47E9-8E14-05A83C667D48}"/>
    <cellStyle name="Migliaia 3 4 2 8 5 2 2" xfId="24771" xr:uid="{DC0D9EC8-CCF9-4F10-AF90-44F7099034AC}"/>
    <cellStyle name="Migliaia 3 4 2 8 5 3" xfId="17311" xr:uid="{BFDB50EC-1B6C-4A30-93AC-86D9A2C88633}"/>
    <cellStyle name="Migliaia 3 4 2 8 6" xfId="9079" xr:uid="{E6808621-7EC3-4C95-9844-6C8982C82657}"/>
    <cellStyle name="Migliaia 3 4 2 8 6 2" xfId="13252" xr:uid="{D508A5E6-C202-48F6-B357-96F1408F318E}"/>
    <cellStyle name="Migliaia 3 4 2 8 6 2 2" xfId="28429" xr:uid="{EE19838C-8AEE-4CF3-BAC1-76F29185018E}"/>
    <cellStyle name="Migliaia 3 4 2 8 6 3" xfId="24257" xr:uid="{6D4CDD4C-0FAF-4CCA-B958-98549E74BD77}"/>
    <cellStyle name="Migliaia 3 4 2 8 7" xfId="5419" xr:uid="{3ECB3A49-C231-4595-B5BC-919A9A259F33}"/>
    <cellStyle name="Migliaia 3 4 2 8 7 2" xfId="20599" xr:uid="{DA8EBCAF-A370-48B1-8F70-4423D443C32D}"/>
    <cellStyle name="Migliaia 3 4 2 8 8" xfId="16797" xr:uid="{5C4F0F0D-C29D-4282-A6C0-DCBE4849E6F0}"/>
    <cellStyle name="Migliaia 3 4 2 9" xfId="1665" xr:uid="{48DE6061-8DF5-47D0-A402-41B4884C32EF}"/>
    <cellStyle name="Migliaia 3 4 2 9 2" xfId="3084" xr:uid="{40E6EB81-4A03-476A-9E4A-F64EC5ABC6C5}"/>
    <cellStyle name="Migliaia 3 4 2 9 2 2" xfId="10575" xr:uid="{813B08B2-7EE2-445E-8EE5-AF827C14856E}"/>
    <cellStyle name="Migliaia 3 4 2 9 2 2 2" xfId="14121" xr:uid="{1E8A1886-80CE-4C81-A719-34DD5FB62CF5}"/>
    <cellStyle name="Migliaia 3 4 2 9 2 2 2 2" xfId="29298" xr:uid="{34BA89AF-3F6D-4EB6-8488-5A9B4DD264DD}"/>
    <cellStyle name="Migliaia 3 4 2 9 2 2 3" xfId="25753" xr:uid="{B65012B8-BDB9-436F-81B5-0202F93F235C}"/>
    <cellStyle name="Migliaia 3 4 2 9 2 3" xfId="6401" xr:uid="{1DA86778-58B3-4C4D-8A3D-4AAAFD5F52C0}"/>
    <cellStyle name="Migliaia 3 4 2 9 2 3 2" xfId="21581" xr:uid="{AEF6CA03-F13C-44C9-84AA-8FDB36A0981C}"/>
    <cellStyle name="Migliaia 3 4 2 9 2 4" xfId="18293" xr:uid="{0E0B67A0-9D00-4FBD-914A-118ABED36061}"/>
    <cellStyle name="Migliaia 3 4 2 9 3" xfId="3971" xr:uid="{05D23F91-75D3-411F-99D0-D92B213E1A60}"/>
    <cellStyle name="Migliaia 3 4 2 9 3 2" xfId="11459" xr:uid="{207B222D-2ECC-4A4E-8781-5CC67B526420}"/>
    <cellStyle name="Migliaia 3 4 2 9 3 2 2" xfId="15005" xr:uid="{485AE4B3-09AB-4724-B67E-1205E9DBFFF9}"/>
    <cellStyle name="Migliaia 3 4 2 9 3 2 2 2" xfId="30182" xr:uid="{789DFF36-9913-4C14-935A-7E8EB3C37A5C}"/>
    <cellStyle name="Migliaia 3 4 2 9 3 2 3" xfId="26637" xr:uid="{5DC8192E-D292-496B-B736-5987060F71AF}"/>
    <cellStyle name="Migliaia 3 4 2 9 3 3" xfId="7285" xr:uid="{32ACE101-1A75-45E7-AA6A-ADD9AD287953}"/>
    <cellStyle name="Migliaia 3 4 2 9 3 3 2" xfId="22465" xr:uid="{61A34CFF-7F57-40C2-8351-85A721AA92FE}"/>
    <cellStyle name="Migliaia 3 4 2 9 3 4" xfId="19177" xr:uid="{02AA4FB5-3470-4D76-9299-AAB092B9A9EF}"/>
    <cellStyle name="Migliaia 3 4 2 9 4" xfId="4479" xr:uid="{99802C08-BC74-4CCA-8251-4E85FC651278}"/>
    <cellStyle name="Migliaia 3 4 2 9 4 2" xfId="11964" xr:uid="{4407AD5C-92AC-4702-AD95-D3DB75E4F1D6}"/>
    <cellStyle name="Migliaia 3 4 2 9 4 2 2" xfId="15510" xr:uid="{CFDC1109-3CB7-4B28-A082-80E951C7D2F5}"/>
    <cellStyle name="Migliaia 3 4 2 9 4 2 2 2" xfId="30687" xr:uid="{4FBD3D14-75EE-4E32-8326-562BDE07A5DF}"/>
    <cellStyle name="Migliaia 3 4 2 9 4 2 3" xfId="27142" xr:uid="{1CA0A833-03C3-4C30-9E82-3DF0B1E6384E}"/>
    <cellStyle name="Migliaia 3 4 2 9 4 3" xfId="7790" xr:uid="{90640C8D-7C6B-4176-BA75-3118D50C923D}"/>
    <cellStyle name="Migliaia 3 4 2 9 4 3 2" xfId="22970" xr:uid="{D30C2416-E496-480A-BD97-3A67BFE4B817}"/>
    <cellStyle name="Migliaia 3 4 2 9 4 4" xfId="19682" xr:uid="{C058D7C7-4F97-4EDD-9B3F-D14B77682BCE}"/>
    <cellStyle name="Migliaia 3 4 2 9 5" xfId="2194" xr:uid="{1CBDB65A-312C-40C1-8203-7FD454F0A560}"/>
    <cellStyle name="Migliaia 3 4 2 9 5 2" xfId="9691" xr:uid="{5D9C8CAC-76AD-4C39-931C-F0BE56516746}"/>
    <cellStyle name="Migliaia 3 4 2 9 5 2 2" xfId="24869" xr:uid="{F8686716-2238-4BFD-81FC-64CA598847EF}"/>
    <cellStyle name="Migliaia 3 4 2 9 5 3" xfId="17409" xr:uid="{862C4570-260F-4767-A656-CF0653D557E6}"/>
    <cellStyle name="Migliaia 3 4 2 9 6" xfId="9177" xr:uid="{6C0C0662-F2F7-4773-8931-284CE00E40B3}"/>
    <cellStyle name="Migliaia 3 4 2 9 6 2" xfId="13350" xr:uid="{7FFEBA4A-815F-4692-88E9-441FFDCA8343}"/>
    <cellStyle name="Migliaia 3 4 2 9 6 2 2" xfId="28527" xr:uid="{D4063684-68A3-4553-855C-CE6B67EC771C}"/>
    <cellStyle name="Migliaia 3 4 2 9 6 3" xfId="24355" xr:uid="{77F10795-96A9-4B81-84C9-E6558D6C8A18}"/>
    <cellStyle name="Migliaia 3 4 2 9 7" xfId="5517" xr:uid="{56AF43D3-0371-430E-A632-7317E76AD4C2}"/>
    <cellStyle name="Migliaia 3 4 2 9 7 2" xfId="20697" xr:uid="{55200DAC-FE3A-4B56-99B3-F4D051D74A22}"/>
    <cellStyle name="Migliaia 3 4 2 9 8" xfId="16895" xr:uid="{6FFCE2FF-32B0-4E9E-BC0F-20A3B2FE3112}"/>
    <cellStyle name="Migliaia 3 4 3" xfId="748" xr:uid="{606794E9-F5AD-483C-8C56-43B87AD8B530}"/>
    <cellStyle name="Migliaia 3 4 3 10" xfId="8414" xr:uid="{AD9E7246-9758-43CB-86C8-CF10C0F7ED76}"/>
    <cellStyle name="Migliaia 3 4 3 10 2" xfId="12588" xr:uid="{9FECA6A8-4D1F-4602-A3AF-607358DD202D}"/>
    <cellStyle name="Migliaia 3 4 3 10 2 2" xfId="27765" xr:uid="{AF4D57A8-6775-4187-BE19-7ECE1B0FA7BA}"/>
    <cellStyle name="Migliaia 3 4 3 10 3" xfId="23593" xr:uid="{0A42B749-3584-4B8A-A596-C869A517E713}"/>
    <cellStyle name="Migliaia 3 4 3 11" xfId="16133" xr:uid="{377F694D-17E0-47E5-B865-3D6F220B8B65}"/>
    <cellStyle name="Migliaia 3 4 3 12" xfId="31475" xr:uid="{9EB40BD1-4BF3-4BB9-BA12-E6E4BB20E638}"/>
    <cellStyle name="Migliaia 3 4 3 2" xfId="925" xr:uid="{11BB2E09-C346-4204-9CCB-20B272482C45}"/>
    <cellStyle name="Migliaia 3 4 3 2 10" xfId="16255" xr:uid="{17A7540C-79B8-4E7A-AAB2-6578079DBB9C}"/>
    <cellStyle name="Migliaia 3 4 3 2 11" xfId="31345" xr:uid="{F19CA0CE-AC1D-47C5-8602-204A69A4226E}"/>
    <cellStyle name="Migliaia 3 4 3 2 12" xfId="31695" xr:uid="{F41D2DB7-4040-4C85-B82F-415DFCBA1F8F}"/>
    <cellStyle name="Migliaia 3 4 3 2 2" xfId="1286" xr:uid="{E89939E8-60F6-4463-AC45-F611A9ADDF68}"/>
    <cellStyle name="Migliaia 3 4 3 2 2 2" xfId="3603" xr:uid="{7699B882-69D6-44F5-ADF6-298DE5173BCB}"/>
    <cellStyle name="Migliaia 3 4 3 2 2 2 2" xfId="11091" xr:uid="{F567A3CB-A373-446A-B9AE-1AB91A9E1B97}"/>
    <cellStyle name="Migliaia 3 4 3 2 2 2 2 2" xfId="14637" xr:uid="{32776435-E351-42EC-86AB-153B4CAF4E39}"/>
    <cellStyle name="Migliaia 3 4 3 2 2 2 2 2 2" xfId="29814" xr:uid="{93D7E673-827E-4816-9D42-57047A800786}"/>
    <cellStyle name="Migliaia 3 4 3 2 2 2 2 3" xfId="26269" xr:uid="{EE1CE375-69CE-44E5-924B-1237D0BD6FE3}"/>
    <cellStyle name="Migliaia 3 4 3 2 2 2 3" xfId="6917" xr:uid="{34C0001C-5E61-4350-BC17-A015B1D22DF0}"/>
    <cellStyle name="Migliaia 3 4 3 2 2 2 3 2" xfId="22097" xr:uid="{91A4B9E7-4C3C-49C8-9CB9-751C7B5C3256}"/>
    <cellStyle name="Migliaia 3 4 3 2 2 2 4" xfId="18809" xr:uid="{EBD0480A-93EE-4356-B612-F8B87DD23F26}"/>
    <cellStyle name="Migliaia 3 4 3 2 2 3" xfId="4480" xr:uid="{3FEBD8B4-63DE-4642-A90F-CFE1DF4032B3}"/>
    <cellStyle name="Migliaia 3 4 3 2 2 3 2" xfId="11965" xr:uid="{7ECD10B7-6D12-4321-915E-C92E374AF533}"/>
    <cellStyle name="Migliaia 3 4 3 2 2 3 2 2" xfId="15511" xr:uid="{AD67CB9D-9C24-49E3-9343-1B409A43E5A4}"/>
    <cellStyle name="Migliaia 3 4 3 2 2 3 2 2 2" xfId="30688" xr:uid="{8EAD59C7-5014-418E-8BCE-4B66F145039E}"/>
    <cellStyle name="Migliaia 3 4 3 2 2 3 2 3" xfId="27143" xr:uid="{7E8C1F39-5824-4431-834B-669BBCA88126}"/>
    <cellStyle name="Migliaia 3 4 3 2 2 3 3" xfId="7791" xr:uid="{E3D94766-C4E0-45AC-8560-CF88850FDBBC}"/>
    <cellStyle name="Migliaia 3 4 3 2 2 3 3 2" xfId="22971" xr:uid="{BDF96961-D0C1-409F-A851-3EB233DDB6FC}"/>
    <cellStyle name="Migliaia 3 4 3 2 2 3 4" xfId="19683" xr:uid="{C8BA6E4C-A4E7-4F04-A169-1EE781B4A5A0}"/>
    <cellStyle name="Migliaia 3 4 3 2 2 4" xfId="2716" xr:uid="{32CDEB65-886B-4AAD-B4B3-3472B974E1BA}"/>
    <cellStyle name="Migliaia 3 4 3 2 2 4 2" xfId="10207" xr:uid="{F8BE6926-B0B5-460A-9DED-FAD04799D0CC}"/>
    <cellStyle name="Migliaia 3 4 3 2 2 4 2 2" xfId="25385" xr:uid="{C749675B-5C4C-4CBF-8BB2-AFAC1D0C8358}"/>
    <cellStyle name="Migliaia 3 4 3 2 2 4 3" xfId="17925" xr:uid="{5746E888-2C60-447A-AE08-3CD48E8034F4}"/>
    <cellStyle name="Migliaia 3 4 3 2 2 5" xfId="8809" xr:uid="{B7F09D86-AEB5-4C95-A9DF-E523E169E3EC}"/>
    <cellStyle name="Migliaia 3 4 3 2 2 5 2" xfId="12982" xr:uid="{0088637A-1573-4DE2-92BF-5898981FC8B4}"/>
    <cellStyle name="Migliaia 3 4 3 2 2 5 2 2" xfId="28159" xr:uid="{1DFEBA83-A654-4639-8E9E-F56F605BA61B}"/>
    <cellStyle name="Migliaia 3 4 3 2 2 5 3" xfId="23987" xr:uid="{1368EDA2-9751-4589-935D-47ECF72DD09B}"/>
    <cellStyle name="Migliaia 3 4 3 2 2 6" xfId="6033" xr:uid="{26A6F947-29B9-41FF-8F09-9541FABAB012}"/>
    <cellStyle name="Migliaia 3 4 3 2 2 6 2" xfId="21213" xr:uid="{625D0CC4-CDD6-4550-9038-F105095A23BE}"/>
    <cellStyle name="Migliaia 3 4 3 2 2 7" xfId="16527" xr:uid="{C152420E-A6EA-4BCF-B2EF-9A61B5F8D478}"/>
    <cellStyle name="Migliaia 3 4 3 2 3" xfId="2443" xr:uid="{A9072111-5ADA-4C8F-95A8-502986B9CE34}"/>
    <cellStyle name="Migliaia 3 4 3 2 3 2" xfId="9935" xr:uid="{F82A4BA0-CDAD-431F-B88F-2691DC0702D3}"/>
    <cellStyle name="Migliaia 3 4 3 2 3 2 2" xfId="13594" xr:uid="{79950F0D-87C6-45A4-B138-C032B3153472}"/>
    <cellStyle name="Migliaia 3 4 3 2 3 2 2 2" xfId="28771" xr:uid="{9680CC13-81E5-4197-94B4-CC1371173047}"/>
    <cellStyle name="Migliaia 3 4 3 2 3 2 3" xfId="25113" xr:uid="{E9E304C5-6AA8-4C77-B2E8-C98A8A912D52}"/>
    <cellStyle name="Migliaia 3 4 3 2 3 3" xfId="5761" xr:uid="{67DB5F0E-9514-43D3-A581-35EFD4C3ED43}"/>
    <cellStyle name="Migliaia 3 4 3 2 3 3 2" xfId="20941" xr:uid="{B433EE9B-F8BF-4D7C-B4AF-2C344A2AF584}"/>
    <cellStyle name="Migliaia 3 4 3 2 3 4" xfId="17653" xr:uid="{374FC7E7-F579-432D-B746-9EB0F39E8D98}"/>
    <cellStyle name="Migliaia 3 4 3 2 4" xfId="3331" xr:uid="{E87E1D44-67A8-4A63-AE57-71BDEBB1AD24}"/>
    <cellStyle name="Migliaia 3 4 3 2 4 2" xfId="10819" xr:uid="{E3A444C0-8039-4DDF-8A71-7081DA006942}"/>
    <cellStyle name="Migliaia 3 4 3 2 4 2 2" xfId="14365" xr:uid="{CF52619C-0957-4102-AD1B-245FA3E1F4E6}"/>
    <cellStyle name="Migliaia 3 4 3 2 4 2 2 2" xfId="29542" xr:uid="{FB242441-B665-4604-A469-B4215EEF04E9}"/>
    <cellStyle name="Migliaia 3 4 3 2 4 2 3" xfId="25997" xr:uid="{5BEBC208-B882-44EB-BE31-FF11464A3C9B}"/>
    <cellStyle name="Migliaia 3 4 3 2 4 3" xfId="6645" xr:uid="{9E959082-3541-41F6-B66B-CC5288DF848D}"/>
    <cellStyle name="Migliaia 3 4 3 2 4 3 2" xfId="21825" xr:uid="{8C2C6860-9DDF-4F9D-9AC7-E1FB91B94762}"/>
    <cellStyle name="Migliaia 3 4 3 2 4 4" xfId="18537" xr:uid="{651D090E-50D4-48FD-B930-CFBE70046341}"/>
    <cellStyle name="Migliaia 3 4 3 2 5" xfId="4481" xr:uid="{E2CD94CF-9440-4419-A871-9E1D6A3A2D41}"/>
    <cellStyle name="Migliaia 3 4 3 2 5 2" xfId="11966" xr:uid="{9A4EA183-A264-4767-80CB-D7308E6CCDEA}"/>
    <cellStyle name="Migliaia 3 4 3 2 5 2 2" xfId="15512" xr:uid="{E827C148-841A-4D5D-BD18-D26C4942DFC0}"/>
    <cellStyle name="Migliaia 3 4 3 2 5 2 2 2" xfId="30689" xr:uid="{0D02B531-C4E2-47C5-A47F-14D3EABF0AF0}"/>
    <cellStyle name="Migliaia 3 4 3 2 5 2 3" xfId="27144" xr:uid="{12A03A8E-AA74-4A92-A5B6-415D104CA131}"/>
    <cellStyle name="Migliaia 3 4 3 2 5 3" xfId="7792" xr:uid="{118EC260-3583-43C8-820B-E0E34E9544A2}"/>
    <cellStyle name="Migliaia 3 4 3 2 5 3 2" xfId="22972" xr:uid="{9C26105B-8DC7-4C5F-A5CA-D7A76AEDD9F3}"/>
    <cellStyle name="Migliaia 3 4 3 2 5 4" xfId="19684" xr:uid="{C40FC8F2-8F3E-4A84-85EB-D6023CBA1124}"/>
    <cellStyle name="Migliaia 3 4 3 2 6" xfId="5005" xr:uid="{8CB40A17-47AC-42B2-8E7B-DF3777002995}"/>
    <cellStyle name="Migliaia 3 4 3 2 6 2" xfId="12489" xr:uid="{9F27A1FB-959A-45FD-AA88-2B08C10DACFC}"/>
    <cellStyle name="Migliaia 3 4 3 2 6 2 2" xfId="16035" xr:uid="{F18C798F-D7E9-4559-9180-27FA59EB84A0}"/>
    <cellStyle name="Migliaia 3 4 3 2 6 2 2 2" xfId="31212" xr:uid="{86502827-6CF0-47CA-8FD4-EF14A0878B53}"/>
    <cellStyle name="Migliaia 3 4 3 2 6 2 3" xfId="27667" xr:uid="{B9519F31-9758-400B-AD97-7DD213C54590}"/>
    <cellStyle name="Migliaia 3 4 3 2 6 3" xfId="8315" xr:uid="{7B05F7BD-04BD-4D2F-9407-0124B634C7DC}"/>
    <cellStyle name="Migliaia 3 4 3 2 6 3 2" xfId="23495" xr:uid="{557105F5-0E52-4AE5-A712-9374EE7133F3}"/>
    <cellStyle name="Migliaia 3 4 3 2 6 4" xfId="20207" xr:uid="{8C7EC016-B1DB-4B88-93AF-3EC96436DE58}"/>
    <cellStyle name="Migliaia 3 4 3 2 7" xfId="1826" xr:uid="{3E3ACA30-5F65-4470-B9AF-F9CF605A1A32}"/>
    <cellStyle name="Migliaia 3 4 3 2 7 2" xfId="9323" xr:uid="{4EBB061E-B8AE-4A14-91D1-F7A077E7D98E}"/>
    <cellStyle name="Migliaia 3 4 3 2 7 2 2" xfId="24501" xr:uid="{18F6DF1D-1536-4F87-B520-A010B39D6445}"/>
    <cellStyle name="Migliaia 3 4 3 2 7 3" xfId="17041" xr:uid="{D2D50695-00C3-48BF-A636-B8D92EC28E17}"/>
    <cellStyle name="Migliaia 3 4 3 2 8" xfId="8537" xr:uid="{E5A8974B-712C-4437-9330-0D9494ED8975}"/>
    <cellStyle name="Migliaia 3 4 3 2 8 2" xfId="12710" xr:uid="{A6AAEEE9-2EA0-40A9-B00B-F1F32368D16E}"/>
    <cellStyle name="Migliaia 3 4 3 2 8 2 2" xfId="27887" xr:uid="{A8CD8BC7-A8C7-4C55-BCF9-E568E55363A0}"/>
    <cellStyle name="Migliaia 3 4 3 2 8 3" xfId="23715" xr:uid="{1D677A4D-1110-47BA-ACE8-2090A8147363}"/>
    <cellStyle name="Migliaia 3 4 3 2 9" xfId="5149" xr:uid="{05278B10-7DA5-4E9A-A2D4-328917D3558E}"/>
    <cellStyle name="Migliaia 3 4 3 2 9 2" xfId="20329" xr:uid="{A3B9983A-E787-40EE-AE2F-3F1818CC3200}"/>
    <cellStyle name="Migliaia 3 4 3 3" xfId="1028" xr:uid="{AE6C2CCF-2E95-4477-BF92-09248D974912}"/>
    <cellStyle name="Migliaia 3 4 3 3 10" xfId="31573" xr:uid="{79B87B4F-4511-4487-B070-6D59E6CD4190}"/>
    <cellStyle name="Migliaia 3 4 3 3 2" xfId="1388" xr:uid="{056D0BE4-5788-40B6-B144-069BE92676DA}"/>
    <cellStyle name="Migliaia 3 4 3 3 2 2" xfId="3701" xr:uid="{3B4E1687-FDAB-4203-AEBB-CC441E7037AB}"/>
    <cellStyle name="Migliaia 3 4 3 3 2 2 2" xfId="11189" xr:uid="{88605DF5-802F-4FAF-A73C-063C113FCF9C}"/>
    <cellStyle name="Migliaia 3 4 3 3 2 2 2 2" xfId="14735" xr:uid="{FA95F4AC-55AE-464B-B898-E096F938F84B}"/>
    <cellStyle name="Migliaia 3 4 3 3 2 2 2 2 2" xfId="29912" xr:uid="{ADB26A4F-6297-4AAA-BA7D-A79C977E30BD}"/>
    <cellStyle name="Migliaia 3 4 3 3 2 2 2 3" xfId="26367" xr:uid="{DA39AC4A-B581-4637-A91E-87570456F5F7}"/>
    <cellStyle name="Migliaia 3 4 3 3 2 2 3" xfId="7015" xr:uid="{AFD54E8F-22BC-4781-BED2-457DA0E4804F}"/>
    <cellStyle name="Migliaia 3 4 3 3 2 2 3 2" xfId="22195" xr:uid="{3BEBB63F-CCDA-44B2-AFA3-43B36D778736}"/>
    <cellStyle name="Migliaia 3 4 3 3 2 2 4" xfId="18907" xr:uid="{2D74305D-137B-411B-BF91-361E88A5A958}"/>
    <cellStyle name="Migliaia 3 4 3 3 2 3" xfId="4482" xr:uid="{FBA467E1-3B18-4946-9F90-CD6F04F2168E}"/>
    <cellStyle name="Migliaia 3 4 3 3 2 3 2" xfId="11967" xr:uid="{8FEC359C-AC5D-4CF2-8127-EF0A438468EF}"/>
    <cellStyle name="Migliaia 3 4 3 3 2 3 2 2" xfId="15513" xr:uid="{AC8F6716-8F28-4022-B017-F1A3B4EF12F8}"/>
    <cellStyle name="Migliaia 3 4 3 3 2 3 2 2 2" xfId="30690" xr:uid="{9C647ED4-CBDA-4867-96F8-645B1EBF5E51}"/>
    <cellStyle name="Migliaia 3 4 3 3 2 3 2 3" xfId="27145" xr:uid="{E8BF91DA-713B-4F6E-AFC3-8644A12B5C9F}"/>
    <cellStyle name="Migliaia 3 4 3 3 2 3 3" xfId="7793" xr:uid="{1619B488-9BE0-495A-8947-86E877BB8011}"/>
    <cellStyle name="Migliaia 3 4 3 3 2 3 3 2" xfId="22973" xr:uid="{680B2215-CD1D-4D4D-ADA5-24A23D122DC2}"/>
    <cellStyle name="Migliaia 3 4 3 3 2 3 4" xfId="19685" xr:uid="{4AC828C5-4111-43C8-BD9D-4A3B58D6AA11}"/>
    <cellStyle name="Migliaia 3 4 3 3 2 4" xfId="2814" xr:uid="{1A16F8A8-7519-4277-88F6-D67D81E0EA3E}"/>
    <cellStyle name="Migliaia 3 4 3 3 2 4 2" xfId="10305" xr:uid="{879E1C68-D610-43E5-9C08-4812F0A808AE}"/>
    <cellStyle name="Migliaia 3 4 3 3 2 4 2 2" xfId="25483" xr:uid="{D7ABC81B-21C0-4200-B17B-B4FD45FF0B0B}"/>
    <cellStyle name="Migliaia 3 4 3 3 2 4 3" xfId="18023" xr:uid="{4988D959-4552-446B-90A4-FED3DCF10A9C}"/>
    <cellStyle name="Migliaia 3 4 3 3 2 5" xfId="8907" xr:uid="{F993B4AB-3C5C-4D0A-B6A5-170707F99166}"/>
    <cellStyle name="Migliaia 3 4 3 3 2 5 2" xfId="13080" xr:uid="{4D02B15B-0D65-48EF-B407-BA134634E3F4}"/>
    <cellStyle name="Migliaia 3 4 3 3 2 5 2 2" xfId="28257" xr:uid="{DC684299-1714-4CEE-A99E-6CE3BFDC45CE}"/>
    <cellStyle name="Migliaia 3 4 3 3 2 5 3" xfId="24085" xr:uid="{E59B9BC6-F197-4B50-A60B-0ADC0D7E2D73}"/>
    <cellStyle name="Migliaia 3 4 3 3 2 6" xfId="6131" xr:uid="{70D7DAD1-C14C-48AB-AA7B-E8A1813DBC5F}"/>
    <cellStyle name="Migliaia 3 4 3 3 2 6 2" xfId="21311" xr:uid="{F5A7FF53-CF4C-48FD-BF5B-E81E4B5644B9}"/>
    <cellStyle name="Migliaia 3 4 3 3 2 7" xfId="16625" xr:uid="{2A9493AE-8B22-4887-9CEF-732775998AEF}"/>
    <cellStyle name="Migliaia 3 4 3 3 3" xfId="2541" xr:uid="{B1766B40-5A99-446A-ADC5-9D4265BDE94A}"/>
    <cellStyle name="Migliaia 3 4 3 3 3 2" xfId="10033" xr:uid="{333CCA1C-1897-4719-B0D7-10178A5972BE}"/>
    <cellStyle name="Migliaia 3 4 3 3 3 2 2" xfId="13692" xr:uid="{D6EA9013-7B9A-48F7-A805-0ECBD40C5ADC}"/>
    <cellStyle name="Migliaia 3 4 3 3 3 2 2 2" xfId="28869" xr:uid="{316A49F9-0890-44E8-8B91-16D9C04AF0AE}"/>
    <cellStyle name="Migliaia 3 4 3 3 3 2 3" xfId="25211" xr:uid="{0A7EA1E3-E8BC-47BD-9EAE-870DDD16DD14}"/>
    <cellStyle name="Migliaia 3 4 3 3 3 3" xfId="5859" xr:uid="{9B59C267-5B71-4085-BF54-22384AA1FDA5}"/>
    <cellStyle name="Migliaia 3 4 3 3 3 3 2" xfId="21039" xr:uid="{990C8A06-3E63-465D-95C3-26B02CF65280}"/>
    <cellStyle name="Migliaia 3 4 3 3 3 4" xfId="17751" xr:uid="{A3E48583-66E3-47E5-AC5F-D3CEB6595494}"/>
    <cellStyle name="Migliaia 3 4 3 3 4" xfId="3429" xr:uid="{B42D92B5-9323-4E32-965E-D88FA745DA6F}"/>
    <cellStyle name="Migliaia 3 4 3 3 4 2" xfId="10917" xr:uid="{5D28D1E7-2921-4875-A98B-8FF10F8F236E}"/>
    <cellStyle name="Migliaia 3 4 3 3 4 2 2" xfId="14463" xr:uid="{C675481F-7E26-422D-9E73-D6F0B70E888A}"/>
    <cellStyle name="Migliaia 3 4 3 3 4 2 2 2" xfId="29640" xr:uid="{F308AF8B-ED86-4143-A868-A3BC393DA46C}"/>
    <cellStyle name="Migliaia 3 4 3 3 4 2 3" xfId="26095" xr:uid="{CE30FA90-8F21-4BC7-9BA3-6907D13C6916}"/>
    <cellStyle name="Migliaia 3 4 3 3 4 3" xfId="6743" xr:uid="{1A05EF07-6093-4C8F-996C-9CCA43DFC935}"/>
    <cellStyle name="Migliaia 3 4 3 3 4 3 2" xfId="21923" xr:uid="{EC2FD967-30CF-4005-AA28-CD23653BA02E}"/>
    <cellStyle name="Migliaia 3 4 3 3 4 4" xfId="18635" xr:uid="{7709FA18-02D7-45FF-BD36-E63B0C83414E}"/>
    <cellStyle name="Migliaia 3 4 3 3 5" xfId="4483" xr:uid="{B41CD8B4-0758-4D34-93B9-F5075EC6A3FC}"/>
    <cellStyle name="Migliaia 3 4 3 3 5 2" xfId="11968" xr:uid="{93FEAB1C-F98D-4018-82F8-21FE76411605}"/>
    <cellStyle name="Migliaia 3 4 3 3 5 2 2" xfId="15514" xr:uid="{14E924B7-06D2-450F-BD36-73D0530A9EC1}"/>
    <cellStyle name="Migliaia 3 4 3 3 5 2 2 2" xfId="30691" xr:uid="{BDC132E5-459F-4746-8BCC-4C0BFBE66255}"/>
    <cellStyle name="Migliaia 3 4 3 3 5 2 3" xfId="27146" xr:uid="{CCA1BCA8-2DB1-4309-A2EA-4F9015473AFF}"/>
    <cellStyle name="Migliaia 3 4 3 3 5 3" xfId="7794" xr:uid="{4EACDAC4-03B9-4CD6-9B30-A0696518FCA0}"/>
    <cellStyle name="Migliaia 3 4 3 3 5 3 2" xfId="22974" xr:uid="{E30F9A2E-430D-4D27-BF1E-3E4487C2568D}"/>
    <cellStyle name="Migliaia 3 4 3 3 5 4" xfId="19686" xr:uid="{1900C18D-8D31-484D-837A-94709333F4F3}"/>
    <cellStyle name="Migliaia 3 4 3 3 6" xfId="1924" xr:uid="{5A88BBCF-D7BB-4C99-9CBB-449D8D1019D2}"/>
    <cellStyle name="Migliaia 3 4 3 3 6 2" xfId="9421" xr:uid="{0EF2A3F4-AE67-4DE5-84B1-C046186A0BAC}"/>
    <cellStyle name="Migliaia 3 4 3 3 6 2 2" xfId="24599" xr:uid="{4A009A05-2F6D-434C-BD30-3F7D62491614}"/>
    <cellStyle name="Migliaia 3 4 3 3 6 3" xfId="17139" xr:uid="{D6E4FFD1-441A-497F-879E-30A37A7FED45}"/>
    <cellStyle name="Migliaia 3 4 3 3 7" xfId="8635" xr:uid="{525A5C57-6B50-4E1B-A37A-54A7AFDE47CD}"/>
    <cellStyle name="Migliaia 3 4 3 3 7 2" xfId="12808" xr:uid="{DA731290-E68A-474F-B26E-65F6346775F9}"/>
    <cellStyle name="Migliaia 3 4 3 3 7 2 2" xfId="27985" xr:uid="{DE5CEEA5-28A4-4BCF-94EC-7CF49298B871}"/>
    <cellStyle name="Migliaia 3 4 3 3 7 3" xfId="23813" xr:uid="{18EE837C-1C22-4B3F-8069-B52B665A2605}"/>
    <cellStyle name="Migliaia 3 4 3 3 8" xfId="5247" xr:uid="{F6B5D6D8-1018-4C37-A04C-2988EC93CCAA}"/>
    <cellStyle name="Migliaia 3 4 3 3 8 2" xfId="20427" xr:uid="{34CF1D50-B60D-4044-A144-508117980DCA}"/>
    <cellStyle name="Migliaia 3 4 3 3 9" xfId="16353" xr:uid="{84E1E14F-D624-42E2-82FB-88A17DCEE3F6}"/>
    <cellStyle name="Migliaia 3 4 3 4" xfId="1487" xr:uid="{0828FAE1-38F8-4342-B1C0-BBF710FD9F23}"/>
    <cellStyle name="Migliaia 3 4 3 4 2" xfId="2912" xr:uid="{603C5E4D-13CF-4223-A514-750C2B4FC946}"/>
    <cellStyle name="Migliaia 3 4 3 4 2 2" xfId="10403" xr:uid="{7118D960-DA9A-4288-8787-3F9AFF074824}"/>
    <cellStyle name="Migliaia 3 4 3 4 2 2 2" xfId="13949" xr:uid="{6BD76D11-B17D-4217-A651-01DECD7B0BCC}"/>
    <cellStyle name="Migliaia 3 4 3 4 2 2 2 2" xfId="29126" xr:uid="{C6880345-3B9A-4E4E-9D67-0090FDAD1BE5}"/>
    <cellStyle name="Migliaia 3 4 3 4 2 2 3" xfId="25581" xr:uid="{C22052B2-FAFD-4FA1-ACAE-F6674A54FBD1}"/>
    <cellStyle name="Migliaia 3 4 3 4 2 3" xfId="6229" xr:uid="{9259A800-8450-4170-86B2-7132C081FB32}"/>
    <cellStyle name="Migliaia 3 4 3 4 2 3 2" xfId="21409" xr:uid="{DD2B03CC-BE4C-45CD-AC57-2443C94123A0}"/>
    <cellStyle name="Migliaia 3 4 3 4 2 4" xfId="18121" xr:uid="{0E400057-D9CE-4845-BF83-FB45891902B5}"/>
    <cellStyle name="Migliaia 3 4 3 4 3" xfId="3799" xr:uid="{D0AEF6BD-A8BB-4367-8971-29BDAB2CD1BA}"/>
    <cellStyle name="Migliaia 3 4 3 4 3 2" xfId="11287" xr:uid="{56BB7D29-61C5-40BA-B93E-102AF5D08E66}"/>
    <cellStyle name="Migliaia 3 4 3 4 3 2 2" xfId="14833" xr:uid="{E0ADA145-C945-453C-8C64-A8E801D21345}"/>
    <cellStyle name="Migliaia 3 4 3 4 3 2 2 2" xfId="30010" xr:uid="{E9ADEB09-9935-4E7F-A49B-AC799ECE357C}"/>
    <cellStyle name="Migliaia 3 4 3 4 3 2 3" xfId="26465" xr:uid="{ECE6BBAB-52E4-41A6-A6A1-5FBC315B5B0E}"/>
    <cellStyle name="Migliaia 3 4 3 4 3 3" xfId="7113" xr:uid="{5246BD8E-B283-4EB7-91F6-F4A081FCF25B}"/>
    <cellStyle name="Migliaia 3 4 3 4 3 3 2" xfId="22293" xr:uid="{C5DC2987-F0DD-47CE-AA13-3975DDEF8E64}"/>
    <cellStyle name="Migliaia 3 4 3 4 3 4" xfId="19005" xr:uid="{3A5B33CF-9D2E-40F2-B064-FAE9F018303E}"/>
    <cellStyle name="Migliaia 3 4 3 4 4" xfId="4484" xr:uid="{86DD2E01-8FED-4410-8F7E-98D21DAE7CB5}"/>
    <cellStyle name="Migliaia 3 4 3 4 4 2" xfId="11969" xr:uid="{A2534B4E-A24E-4DC7-9017-1F4CEA416C05}"/>
    <cellStyle name="Migliaia 3 4 3 4 4 2 2" xfId="15515" xr:uid="{E6650B99-3172-48FE-863B-B97D7106448C}"/>
    <cellStyle name="Migliaia 3 4 3 4 4 2 2 2" xfId="30692" xr:uid="{62C2C845-40C6-4D14-A843-F6A3015FBEB0}"/>
    <cellStyle name="Migliaia 3 4 3 4 4 2 3" xfId="27147" xr:uid="{E10952A7-27AE-469D-991E-D39D65F3BA0D}"/>
    <cellStyle name="Migliaia 3 4 3 4 4 3" xfId="7795" xr:uid="{2E434E10-98BC-4548-ACD1-43C089A50566}"/>
    <cellStyle name="Migliaia 3 4 3 4 4 3 2" xfId="22975" xr:uid="{3C85FB1D-0229-44B9-859A-28FA4D1F74A9}"/>
    <cellStyle name="Migliaia 3 4 3 4 4 4" xfId="19687" xr:uid="{EDDA5AAF-C659-496D-B67D-5FA5832A32B4}"/>
    <cellStyle name="Migliaia 3 4 3 4 5" xfId="2022" xr:uid="{8D4509CF-03F2-4D01-8E71-4503DE1A9FF2}"/>
    <cellStyle name="Migliaia 3 4 3 4 5 2" xfId="9519" xr:uid="{BF4704D1-583D-4628-909D-EEC94199E377}"/>
    <cellStyle name="Migliaia 3 4 3 4 5 2 2" xfId="24697" xr:uid="{94B0BCE6-1170-4188-AC5D-457E1E57EB20}"/>
    <cellStyle name="Migliaia 3 4 3 4 5 3" xfId="17237" xr:uid="{3FE4311D-6EAB-4F6C-8301-DADC7EAE56D3}"/>
    <cellStyle name="Migliaia 3 4 3 4 6" xfId="9005" xr:uid="{B2C982E9-1F70-4A5B-B8AF-427F16110FD8}"/>
    <cellStyle name="Migliaia 3 4 3 4 6 2" xfId="13178" xr:uid="{321E6D5E-15F9-4F62-82D2-AFD24129E74A}"/>
    <cellStyle name="Migliaia 3 4 3 4 6 2 2" xfId="28355" xr:uid="{DEEDB845-2B86-4334-8866-6793F8F1F9DC}"/>
    <cellStyle name="Migliaia 3 4 3 4 6 3" xfId="24183" xr:uid="{F4A2D132-DE44-4A60-81D6-CA90A14D3574}"/>
    <cellStyle name="Migliaia 3 4 3 4 7" xfId="5345" xr:uid="{35A4B156-A7D7-48A0-9850-DD8F1E899906}"/>
    <cellStyle name="Migliaia 3 4 3 4 7 2" xfId="20525" xr:uid="{A78D93C0-D8F7-482E-8D76-C4079BFBBCD3}"/>
    <cellStyle name="Migliaia 3 4 3 4 8" xfId="16723" xr:uid="{DDBC83F7-D4DA-48F9-81E1-666DA5216239}"/>
    <cellStyle name="Migliaia 3 4 3 5" xfId="1590" xr:uid="{A25845B6-9DB8-47E6-9C39-7960D3D8A4CA}"/>
    <cellStyle name="Migliaia 3 4 3 5 2" xfId="3010" xr:uid="{8EC5BB94-4E0B-43B7-BEC0-D7D61092F12E}"/>
    <cellStyle name="Migliaia 3 4 3 5 2 2" xfId="10501" xr:uid="{B99AA4D5-706B-4740-88F2-739388740C52}"/>
    <cellStyle name="Migliaia 3 4 3 5 2 2 2" xfId="14047" xr:uid="{5A01572F-9547-44EA-B017-CEE332B87B3E}"/>
    <cellStyle name="Migliaia 3 4 3 5 2 2 2 2" xfId="29224" xr:uid="{4C927C25-D65A-4CF4-B85F-DF18344D26A6}"/>
    <cellStyle name="Migliaia 3 4 3 5 2 2 3" xfId="25679" xr:uid="{B46CC70D-11B3-491F-A306-5F356E603D8C}"/>
    <cellStyle name="Migliaia 3 4 3 5 2 3" xfId="6327" xr:uid="{A01D23B1-7A01-451E-8E87-F4F37F004E92}"/>
    <cellStyle name="Migliaia 3 4 3 5 2 3 2" xfId="21507" xr:uid="{DA3BF545-F62F-4548-B391-4D29291EF6F3}"/>
    <cellStyle name="Migliaia 3 4 3 5 2 4" xfId="18219" xr:uid="{7BF3070B-93E3-4508-9FD0-173A0A0E0EA6}"/>
    <cellStyle name="Migliaia 3 4 3 5 3" xfId="3897" xr:uid="{FA12F013-E382-41B3-B7F9-D1CBB510B796}"/>
    <cellStyle name="Migliaia 3 4 3 5 3 2" xfId="11385" xr:uid="{A8CAA78C-4465-4242-8A4F-E608B4975321}"/>
    <cellStyle name="Migliaia 3 4 3 5 3 2 2" xfId="14931" xr:uid="{D8321DCA-CDF7-43C1-8B7E-64F043DD4611}"/>
    <cellStyle name="Migliaia 3 4 3 5 3 2 2 2" xfId="30108" xr:uid="{B3315662-7C8A-4EFF-A037-D41F097EA88C}"/>
    <cellStyle name="Migliaia 3 4 3 5 3 2 3" xfId="26563" xr:uid="{48B9921B-EA0E-4F43-98D4-64EED6ECC36B}"/>
    <cellStyle name="Migliaia 3 4 3 5 3 3" xfId="7211" xr:uid="{272A52B2-FAEE-463C-ABDA-B3087F02A409}"/>
    <cellStyle name="Migliaia 3 4 3 5 3 3 2" xfId="22391" xr:uid="{FE101FD1-AA28-4393-B595-D58FD7B0B438}"/>
    <cellStyle name="Migliaia 3 4 3 5 3 4" xfId="19103" xr:uid="{02E044EA-6D6B-4808-8BB9-CB0ADFE0FD2F}"/>
    <cellStyle name="Migliaia 3 4 3 5 4" xfId="4485" xr:uid="{A4FC263E-7A73-4D96-9FDA-E91E43020CEF}"/>
    <cellStyle name="Migliaia 3 4 3 5 4 2" xfId="11970" xr:uid="{E51C10AE-2CA5-4F59-AF48-FF77895E9B78}"/>
    <cellStyle name="Migliaia 3 4 3 5 4 2 2" xfId="15516" xr:uid="{2A12D2AB-D921-4A5C-9C89-B31E6A703674}"/>
    <cellStyle name="Migliaia 3 4 3 5 4 2 2 2" xfId="30693" xr:uid="{EF8AD8D6-3639-4E40-84D0-E09F00C0EF10}"/>
    <cellStyle name="Migliaia 3 4 3 5 4 2 3" xfId="27148" xr:uid="{1A1A5141-5EED-49D4-8D8A-D64C569C4249}"/>
    <cellStyle name="Migliaia 3 4 3 5 4 3" xfId="7796" xr:uid="{4F1EBC66-5A21-42AD-8B09-32994669C9EB}"/>
    <cellStyle name="Migliaia 3 4 3 5 4 3 2" xfId="22976" xr:uid="{3243A89D-E15F-4001-BA9F-E224510ABB86}"/>
    <cellStyle name="Migliaia 3 4 3 5 4 4" xfId="19688" xr:uid="{2DC3AA6A-6F68-421C-BF17-CBB11C912ED9}"/>
    <cellStyle name="Migliaia 3 4 3 5 5" xfId="2120" xr:uid="{63561361-B920-4DF5-9A24-330E80410357}"/>
    <cellStyle name="Migliaia 3 4 3 5 5 2" xfId="9617" xr:uid="{37D398EC-C269-4E1D-9A28-465F6707D48D}"/>
    <cellStyle name="Migliaia 3 4 3 5 5 2 2" xfId="24795" xr:uid="{2CCF257B-95D1-423C-96A3-62013DF6290F}"/>
    <cellStyle name="Migliaia 3 4 3 5 5 3" xfId="17335" xr:uid="{E339B635-5F1B-4F4E-924C-5DD94DEB9048}"/>
    <cellStyle name="Migliaia 3 4 3 5 6" xfId="9103" xr:uid="{176226EC-ED8B-4125-9BED-88A9970664C8}"/>
    <cellStyle name="Migliaia 3 4 3 5 6 2" xfId="13276" xr:uid="{8DF98A76-483F-4D65-B9FD-D68B8294DE77}"/>
    <cellStyle name="Migliaia 3 4 3 5 6 2 2" xfId="28453" xr:uid="{B89A1561-FF9B-4338-90BF-57F68B1D5A0B}"/>
    <cellStyle name="Migliaia 3 4 3 5 6 3" xfId="24281" xr:uid="{A2564DC4-027C-4C8E-8A55-0D6E8E760BC3}"/>
    <cellStyle name="Migliaia 3 4 3 5 7" xfId="5443" xr:uid="{FE69510C-EC9A-41CE-A5C1-1FF9EB961789}"/>
    <cellStyle name="Migliaia 3 4 3 5 7 2" xfId="20623" xr:uid="{C2F2EAA3-5353-4A96-94C6-D39CEE0BC134}"/>
    <cellStyle name="Migliaia 3 4 3 5 8" xfId="16821" xr:uid="{DBDDA812-4B53-451E-B735-B7DE4087C6AA}"/>
    <cellStyle name="Migliaia 3 4 3 6" xfId="1689" xr:uid="{42096698-8C6A-4AF1-B069-9960A032C1E2}"/>
    <cellStyle name="Migliaia 3 4 3 6 2" xfId="3108" xr:uid="{79A68C79-2BEB-461B-9865-FD68AC28DDF3}"/>
    <cellStyle name="Migliaia 3 4 3 6 2 2" xfId="10599" xr:uid="{6614C921-A9FF-4221-AE8E-2DEAB84C0336}"/>
    <cellStyle name="Migliaia 3 4 3 6 2 2 2" xfId="14145" xr:uid="{06D8F44D-BCD3-4877-A7B5-D750F63CDD65}"/>
    <cellStyle name="Migliaia 3 4 3 6 2 2 2 2" xfId="29322" xr:uid="{8DB1AACC-759F-4CF0-9472-A957F1170F1C}"/>
    <cellStyle name="Migliaia 3 4 3 6 2 2 3" xfId="25777" xr:uid="{2B0903BB-2935-4CD7-98CB-0FC90AD61B31}"/>
    <cellStyle name="Migliaia 3 4 3 6 2 3" xfId="6425" xr:uid="{FF018163-6695-4BDF-BFA2-3C53BE7BA0C2}"/>
    <cellStyle name="Migliaia 3 4 3 6 2 3 2" xfId="21605" xr:uid="{14731DAF-964B-44EF-B34D-C40E5D8FAEA2}"/>
    <cellStyle name="Migliaia 3 4 3 6 2 4" xfId="18317" xr:uid="{AF060527-D56F-45C8-B030-105D22A6C648}"/>
    <cellStyle name="Migliaia 3 4 3 6 3" xfId="3995" xr:uid="{2286FC6E-ED89-41D7-9D51-E4F38B668609}"/>
    <cellStyle name="Migliaia 3 4 3 6 3 2" xfId="11483" xr:uid="{FB41B7B5-B2D4-4B7D-92DD-48D8C09AE8BF}"/>
    <cellStyle name="Migliaia 3 4 3 6 3 2 2" xfId="15029" xr:uid="{75449CE1-BFE1-4D2E-99D4-E322ADC2596E}"/>
    <cellStyle name="Migliaia 3 4 3 6 3 2 2 2" xfId="30206" xr:uid="{A69F022B-3A23-4DE6-9E4E-99FE76E91500}"/>
    <cellStyle name="Migliaia 3 4 3 6 3 2 3" xfId="26661" xr:uid="{94FA351C-68AA-4C3E-92B8-4E9544364032}"/>
    <cellStyle name="Migliaia 3 4 3 6 3 3" xfId="7309" xr:uid="{CAC6AC01-9CC8-4A30-9BEA-F27A183E23F3}"/>
    <cellStyle name="Migliaia 3 4 3 6 3 3 2" xfId="22489" xr:uid="{ECCFE5CE-EF00-45BD-BFB2-BB30670D2658}"/>
    <cellStyle name="Migliaia 3 4 3 6 3 4" xfId="19201" xr:uid="{CCF01912-3412-46F8-A572-FB1ECBD3CA6E}"/>
    <cellStyle name="Migliaia 3 4 3 6 4" xfId="4486" xr:uid="{C597D803-0FC2-4980-8BB4-48BE587C5970}"/>
    <cellStyle name="Migliaia 3 4 3 6 4 2" xfId="11971" xr:uid="{49346F90-464B-43B4-B656-5A1363399003}"/>
    <cellStyle name="Migliaia 3 4 3 6 4 2 2" xfId="15517" xr:uid="{9C617FAD-8766-4F13-B7EA-B6AE27FDE12A}"/>
    <cellStyle name="Migliaia 3 4 3 6 4 2 2 2" xfId="30694" xr:uid="{F1EBA203-0242-4EA6-B945-3FF30764E472}"/>
    <cellStyle name="Migliaia 3 4 3 6 4 2 3" xfId="27149" xr:uid="{AC50996B-744C-4D1A-9896-E0E56498EF3E}"/>
    <cellStyle name="Migliaia 3 4 3 6 4 3" xfId="7797" xr:uid="{5977AA5B-2FAD-4D4A-8000-D590E06190CD}"/>
    <cellStyle name="Migliaia 3 4 3 6 4 3 2" xfId="22977" xr:uid="{840A08D8-927C-4C93-8111-F21BDA68D118}"/>
    <cellStyle name="Migliaia 3 4 3 6 4 4" xfId="19689" xr:uid="{F652FE6A-8A6D-44AE-A1E8-0C8AC16F92EC}"/>
    <cellStyle name="Migliaia 3 4 3 6 5" xfId="2218" xr:uid="{D10F7576-034D-44B7-95AF-D7A7CE34DE65}"/>
    <cellStyle name="Migliaia 3 4 3 6 5 2" xfId="9715" xr:uid="{7CD3757E-E2D7-4F47-864C-F94BC1DD1155}"/>
    <cellStyle name="Migliaia 3 4 3 6 5 2 2" xfId="24893" xr:uid="{4C33D5F9-1ED1-4D58-B263-3423129D65D0}"/>
    <cellStyle name="Migliaia 3 4 3 6 5 3" xfId="17433" xr:uid="{0958E331-714D-442F-A0B8-E9BA2DA953A5}"/>
    <cellStyle name="Migliaia 3 4 3 6 6" xfId="9201" xr:uid="{EA407DFD-3E1F-4BD6-8AE2-0E1111C23E05}"/>
    <cellStyle name="Migliaia 3 4 3 6 6 2" xfId="13374" xr:uid="{879C79F9-B9AA-4534-AF94-A77C58FE72B4}"/>
    <cellStyle name="Migliaia 3 4 3 6 6 2 2" xfId="28551" xr:uid="{6212DED6-BFEF-40D1-9509-1DB94E0A2034}"/>
    <cellStyle name="Migliaia 3 4 3 6 6 3" xfId="24379" xr:uid="{DB6FC803-D209-467F-B5D4-17B638973045}"/>
    <cellStyle name="Migliaia 3 4 3 6 7" xfId="5541" xr:uid="{22600859-5ACC-4EDC-A1BE-46BE2440EE9E}"/>
    <cellStyle name="Migliaia 3 4 3 6 7 2" xfId="20721" xr:uid="{663FE40F-1613-4CE2-9333-E927F39501F1}"/>
    <cellStyle name="Migliaia 3 4 3 6 8" xfId="16919" xr:uid="{91B24C2F-BD74-413A-AD11-21F240D58CCB}"/>
    <cellStyle name="Migliaia 3 4 3 7" xfId="2318" xr:uid="{631AD615-46AD-45A5-8B3E-3982266B37F7}"/>
    <cellStyle name="Migliaia 3 4 3 7 2" xfId="9813" xr:uid="{8D601969-412B-4946-B84F-211E222A55AF}"/>
    <cellStyle name="Migliaia 3 4 3 7 2 2" xfId="13472" xr:uid="{4601C724-5187-44FD-A4E6-A377C839FA31}"/>
    <cellStyle name="Migliaia 3 4 3 7 2 2 2" xfId="28649" xr:uid="{0B9FF050-B862-4E1C-80B5-D9AFD9C8A8BA}"/>
    <cellStyle name="Migliaia 3 4 3 7 2 3" xfId="24991" xr:uid="{17FE838D-B2C8-49B9-98FF-DB32B695CA14}"/>
    <cellStyle name="Migliaia 3 4 3 7 3" xfId="5639" xr:uid="{85674806-7960-49EF-B5EF-E38ACE025A17}"/>
    <cellStyle name="Migliaia 3 4 3 7 3 2" xfId="20819" xr:uid="{81E01441-EFFD-48B3-9F08-5A9FE1C87665}"/>
    <cellStyle name="Migliaia 3 4 3 7 4" xfId="17531" xr:uid="{81C794D0-00C5-4A18-85E8-7D6AAA855D60}"/>
    <cellStyle name="Migliaia 3 4 3 8" xfId="3208" xr:uid="{0904441E-689B-447C-9208-A2A555DB7C37}"/>
    <cellStyle name="Migliaia 3 4 3 8 2" xfId="10697" xr:uid="{8665927D-F9B6-42C1-9B9A-D842A2D0B14C}"/>
    <cellStyle name="Migliaia 3 4 3 8 2 2" xfId="14243" xr:uid="{DA0B2292-EAF6-4955-8CEA-9610E3E27CE2}"/>
    <cellStyle name="Migliaia 3 4 3 8 2 2 2" xfId="29420" xr:uid="{0073804C-B848-4945-8E39-B7B955638DD2}"/>
    <cellStyle name="Migliaia 3 4 3 8 2 3" xfId="25875" xr:uid="{FD422C66-62D3-41A5-83A3-93236EA6966F}"/>
    <cellStyle name="Migliaia 3 4 3 8 3" xfId="6523" xr:uid="{06079523-CAFE-4F92-9B86-D54596E52E69}"/>
    <cellStyle name="Migliaia 3 4 3 8 3 2" xfId="21703" xr:uid="{9CBA549A-DB90-473D-9364-C23CF3C359AD}"/>
    <cellStyle name="Migliaia 3 4 3 8 4" xfId="18415" xr:uid="{1F0F1C0A-FECC-4886-A890-CFF92BB05C5F}"/>
    <cellStyle name="Migliaia 3 4 3 9" xfId="4487" xr:uid="{272149F0-C2F8-43CC-9169-55F4C7E174A9}"/>
    <cellStyle name="Migliaia 3 4 3 9 2" xfId="11972" xr:uid="{90AF5717-63BC-4607-949B-2C1E0651CFA3}"/>
    <cellStyle name="Migliaia 3 4 3 9 2 2" xfId="15518" xr:uid="{2B9158BD-1908-4344-B31A-F8E803560AA0}"/>
    <cellStyle name="Migliaia 3 4 3 9 2 2 2" xfId="30695" xr:uid="{1CD69116-5E9F-4416-B763-43EE9E7284C2}"/>
    <cellStyle name="Migliaia 3 4 3 9 2 3" xfId="27150" xr:uid="{FC55C380-631F-4725-948B-FBC9C7F2CCE8}"/>
    <cellStyle name="Migliaia 3 4 3 9 3" xfId="7798" xr:uid="{47CC4DD2-3020-48B2-B90D-4278BD74ECBB}"/>
    <cellStyle name="Migliaia 3 4 3 9 3 2" xfId="22978" xr:uid="{DA614D66-BDFD-432D-9B22-94ECFBD5514B}"/>
    <cellStyle name="Migliaia 3 4 3 9 4" xfId="19690" xr:uid="{748125B2-D93B-4501-974D-3252B3CD2016}"/>
    <cellStyle name="Migliaia 3 4 4" xfId="876" xr:uid="{71690741-88CE-4956-A116-7C5406AA4983}"/>
    <cellStyle name="Migliaia 3 4 4 2" xfId="2394" xr:uid="{F53125A5-0E23-4753-B5A9-D594F1AC2723}"/>
    <cellStyle name="Migliaia 3 4 4 2 2" xfId="9886" xr:uid="{96F6EB51-B36B-4C4E-971F-A18E1589D731}"/>
    <cellStyle name="Migliaia 3 4 4 2 2 2" xfId="13545" xr:uid="{A63B5DFF-9E15-4B25-919A-C1DFDCB54ADE}"/>
    <cellStyle name="Migliaia 3 4 4 2 2 2 2" xfId="28722" xr:uid="{4B25D921-BEAA-461F-99FC-4BE52A5C1D0A}"/>
    <cellStyle name="Migliaia 3 4 4 2 2 3" xfId="25064" xr:uid="{3637CB12-9C5C-4270-98E8-5754D3510488}"/>
    <cellStyle name="Migliaia 3 4 4 2 3" xfId="5712" xr:uid="{98FCA309-ECC2-4733-80F3-6EFDAC2D0C54}"/>
    <cellStyle name="Migliaia 3 4 4 2 3 2" xfId="20892" xr:uid="{326F4DB0-ED01-4ACD-9F1A-B6047AB3B780}"/>
    <cellStyle name="Migliaia 3 4 4 2 4" xfId="17604" xr:uid="{97E3C9BE-5635-4449-A8CF-AD74647F51BE}"/>
    <cellStyle name="Migliaia 3 4 4 3" xfId="3282" xr:uid="{7A4CE3A4-5FEF-4764-B46A-FBB537190544}"/>
    <cellStyle name="Migliaia 3 4 4 3 2" xfId="10770" xr:uid="{BEC745D3-F493-45F2-9FEB-5B3F5D0F56D8}"/>
    <cellStyle name="Migliaia 3 4 4 3 2 2" xfId="14316" xr:uid="{CDAF59F4-9697-4BB7-AE73-6BB43ECF75CF}"/>
    <cellStyle name="Migliaia 3 4 4 3 2 2 2" xfId="29493" xr:uid="{C0A9BE2C-4D97-4DE9-B026-AAA67E6987FD}"/>
    <cellStyle name="Migliaia 3 4 4 3 2 3" xfId="25948" xr:uid="{4D164D75-E4DE-43B0-BC7C-B7D6D76E3334}"/>
    <cellStyle name="Migliaia 3 4 4 3 3" xfId="6596" xr:uid="{68A3405C-9CB9-4B87-969D-03CD665FB47E}"/>
    <cellStyle name="Migliaia 3 4 4 3 3 2" xfId="21776" xr:uid="{DEB9E446-6D64-463B-A113-4491108504D6}"/>
    <cellStyle name="Migliaia 3 4 4 3 4" xfId="18488" xr:uid="{9363CC89-4752-4812-AFED-0ECB12806C05}"/>
    <cellStyle name="Migliaia 3 4 4 4" xfId="4488" xr:uid="{0E6C84FD-BB19-4909-89AC-42A5605DEBED}"/>
    <cellStyle name="Migliaia 3 4 4 4 2" xfId="11973" xr:uid="{B2D56049-7729-4AFB-8BE7-E412EF4F81CC}"/>
    <cellStyle name="Migliaia 3 4 4 4 2 2" xfId="15519" xr:uid="{C072A00C-B8E5-43F4-9029-568D59153D49}"/>
    <cellStyle name="Migliaia 3 4 4 4 2 2 2" xfId="30696" xr:uid="{5E0E7503-3716-463C-9247-E99F5D27E320}"/>
    <cellStyle name="Migliaia 3 4 4 4 2 3" xfId="27151" xr:uid="{E5E7FD1E-EE7E-4992-ACBB-BF2CC1029276}"/>
    <cellStyle name="Migliaia 3 4 4 4 3" xfId="7799" xr:uid="{A215D5D2-DACB-4FBE-ADBA-5F64C1E20E57}"/>
    <cellStyle name="Migliaia 3 4 4 4 3 2" xfId="22979" xr:uid="{D095F511-D8AC-4AFC-BCE1-6585BA9823EE}"/>
    <cellStyle name="Migliaia 3 4 4 4 4" xfId="19691" xr:uid="{5197E3A3-A305-40E6-90FF-D820EFE448AF}"/>
    <cellStyle name="Migliaia 3 4 4 5" xfId="8488" xr:uid="{462C3C51-16F9-491E-B19D-2C325B60A691}"/>
    <cellStyle name="Migliaia 3 4 4 5 2" xfId="12661" xr:uid="{8CAE7F16-5CE1-475D-8149-45B335F31519}"/>
    <cellStyle name="Migliaia 3 4 4 5 2 2" xfId="27838" xr:uid="{11E6D354-07F2-440E-9F29-915D7375CF9B}"/>
    <cellStyle name="Migliaia 3 4 4 5 3" xfId="23666" xr:uid="{8A1E7296-79DE-46AF-9776-898E1D37F878}"/>
    <cellStyle name="Migliaia 3 4 4 6" xfId="16206" xr:uid="{31A29129-243C-442D-BAEC-5B52CDC4A907}"/>
    <cellStyle name="Migliaia 3 4 4 7" xfId="31646" xr:uid="{C31EC445-D321-413F-9B82-59B8399BD607}"/>
    <cellStyle name="Migliaia 3 4 5" xfId="979" xr:uid="{C3CB7764-319A-4CC9-B57B-AFE16B8D791D}"/>
    <cellStyle name="Migliaia 3 4 5 2" xfId="2492" xr:uid="{689DB292-C7C1-4D88-99D7-766C7DD5D9C8}"/>
    <cellStyle name="Migliaia 3 4 5 2 2" xfId="9984" xr:uid="{21B172B7-28FC-41E9-AC77-83A48B5857C6}"/>
    <cellStyle name="Migliaia 3 4 5 2 2 2" xfId="13643" xr:uid="{901D5DEA-7FA6-4C88-89AC-86D0AE7FB497}"/>
    <cellStyle name="Migliaia 3 4 5 2 2 2 2" xfId="28820" xr:uid="{C218FF8D-6072-40FB-A5B8-6D11F31F2A6F}"/>
    <cellStyle name="Migliaia 3 4 5 2 2 3" xfId="25162" xr:uid="{4B9F39A4-AC72-412C-A8D0-36C8E78DD1CE}"/>
    <cellStyle name="Migliaia 3 4 5 2 3" xfId="5810" xr:uid="{B7FCCD2D-217E-4EFC-A24F-42B8C0697F35}"/>
    <cellStyle name="Migliaia 3 4 5 2 3 2" xfId="20990" xr:uid="{F63F363D-AF74-4A33-8097-FC89844F0D84}"/>
    <cellStyle name="Migliaia 3 4 5 2 4" xfId="17702" xr:uid="{2A82A7F8-2D93-4B16-8D68-9E755D311A1D}"/>
    <cellStyle name="Migliaia 3 4 5 3" xfId="3380" xr:uid="{8CB730BF-C7D6-4C4B-B404-566BAD9E9A6C}"/>
    <cellStyle name="Migliaia 3 4 5 3 2" xfId="10868" xr:uid="{178B4D0D-8824-4248-9C17-05D872A2BED4}"/>
    <cellStyle name="Migliaia 3 4 5 3 2 2" xfId="14414" xr:uid="{1560B9BF-A001-4AA6-8F2C-BC7C0D27DF87}"/>
    <cellStyle name="Migliaia 3 4 5 3 2 2 2" xfId="29591" xr:uid="{5FC000A7-B736-4756-8EE4-7D2FD281C8CE}"/>
    <cellStyle name="Migliaia 3 4 5 3 2 3" xfId="26046" xr:uid="{6DC17F66-3EDF-44B0-AAC3-00B5CDA8AF34}"/>
    <cellStyle name="Migliaia 3 4 5 3 3" xfId="6694" xr:uid="{2AC72B25-5132-4207-8323-1A49F24905F4}"/>
    <cellStyle name="Migliaia 3 4 5 3 3 2" xfId="21874" xr:uid="{DC16C84D-3F23-4C17-9D89-332A573C8D9B}"/>
    <cellStyle name="Migliaia 3 4 5 3 4" xfId="18586" xr:uid="{0B9D2AB2-0372-4A0C-B1AB-168B97FA1009}"/>
    <cellStyle name="Migliaia 3 4 5 4" xfId="4489" xr:uid="{FB67158A-0400-49EC-8682-C20ACDD52064}"/>
    <cellStyle name="Migliaia 3 4 5 4 2" xfId="11974" xr:uid="{2B00E1D6-DE3D-4872-BA0F-1AD8DC0E3F2B}"/>
    <cellStyle name="Migliaia 3 4 5 4 2 2" xfId="15520" xr:uid="{6353E04C-8CEE-46AC-8312-30FC75DFD589}"/>
    <cellStyle name="Migliaia 3 4 5 4 2 2 2" xfId="30697" xr:uid="{33FE1DA2-BC0B-47DB-8075-ECC318A20C2B}"/>
    <cellStyle name="Migliaia 3 4 5 4 2 3" xfId="27152" xr:uid="{07DC11F1-5AB3-4595-9D4C-A461B64B0BC4}"/>
    <cellStyle name="Migliaia 3 4 5 4 3" xfId="7800" xr:uid="{931916BE-A580-4930-8E3E-294883E3771D}"/>
    <cellStyle name="Migliaia 3 4 5 4 3 2" xfId="22980" xr:uid="{D6EDAA21-6975-44DE-B173-A6400BE7E08B}"/>
    <cellStyle name="Migliaia 3 4 5 4 4" xfId="19692" xr:uid="{663E3F6A-7319-4971-9E6C-26F1CDD0156B}"/>
    <cellStyle name="Migliaia 3 4 5 5" xfId="8586" xr:uid="{9474313C-875D-42C8-B906-302372EB9BC6}"/>
    <cellStyle name="Migliaia 3 4 5 5 2" xfId="12759" xr:uid="{790E57F1-663B-417F-8C7E-F77300D85117}"/>
    <cellStyle name="Migliaia 3 4 5 5 2 2" xfId="27936" xr:uid="{4AB3D0F0-123A-4D24-84DB-F75951009FDD}"/>
    <cellStyle name="Migliaia 3 4 5 5 3" xfId="23764" xr:uid="{DEFF5073-6A5D-47C6-AB6F-F32DA82BBCDB}"/>
    <cellStyle name="Migliaia 3 4 5 6" xfId="16304" xr:uid="{3C90915F-F2A9-4283-B16B-A2B1BCB0F531}"/>
    <cellStyle name="Migliaia 3 4 5 7" xfId="31524" xr:uid="{8D18B4B9-375E-4024-8FDF-1E63CFC62EF8}"/>
    <cellStyle name="Migliaia 3 4 6" xfId="1162" xr:uid="{F6B2CE0A-EA3B-40BA-B17A-E9E68112613C}"/>
    <cellStyle name="Migliaia 3 4 6 2" xfId="2595" xr:uid="{7F387B39-0C96-4E79-89A5-AE15BBA89F14}"/>
    <cellStyle name="Migliaia 3 4 6 2 2" xfId="10086" xr:uid="{8DB0B2FA-0115-419E-9D62-C2460AE72E76}"/>
    <cellStyle name="Migliaia 3 4 6 2 2 2" xfId="13744" xr:uid="{5B7D4641-434C-4E3C-9605-2A94D97CEDE3}"/>
    <cellStyle name="Migliaia 3 4 6 2 2 2 2" xfId="28921" xr:uid="{142F3CC6-556D-4A74-94D8-D2582BB6E50F}"/>
    <cellStyle name="Migliaia 3 4 6 2 2 3" xfId="25264" xr:uid="{357FAB85-B4EC-4563-8F7C-9FE2D1E0DA47}"/>
    <cellStyle name="Migliaia 3 4 6 2 3" xfId="5912" xr:uid="{5515473C-7B0F-429A-9CDC-7086F73248F8}"/>
    <cellStyle name="Migliaia 3 4 6 2 3 2" xfId="21092" xr:uid="{783F697A-D928-4F1C-8253-0E996C6C0251}"/>
    <cellStyle name="Migliaia 3 4 6 2 4" xfId="17804" xr:uid="{5512C7AC-D1AD-4579-B7B9-9771CC98E8E3}"/>
    <cellStyle name="Migliaia 3 4 6 3" xfId="3482" xr:uid="{E0861940-9113-4657-8DF3-B3B73610CC00}"/>
    <cellStyle name="Migliaia 3 4 6 3 2" xfId="10970" xr:uid="{10CBD240-5E3B-43A2-9902-BA438D9A31DA}"/>
    <cellStyle name="Migliaia 3 4 6 3 2 2" xfId="14516" xr:uid="{4177E4B7-E0CA-453C-9FA2-7745F804D584}"/>
    <cellStyle name="Migliaia 3 4 6 3 2 2 2" xfId="29693" xr:uid="{09E91412-D31C-445E-9686-523CB33CA5DD}"/>
    <cellStyle name="Migliaia 3 4 6 3 2 3" xfId="26148" xr:uid="{E63483AA-DC61-4B24-BDB6-54CC9A6789B1}"/>
    <cellStyle name="Migliaia 3 4 6 3 3" xfId="6796" xr:uid="{693A79F0-3FA6-46FD-86C1-03B2139BEBFF}"/>
    <cellStyle name="Migliaia 3 4 6 3 3 2" xfId="21976" xr:uid="{98E11995-960F-4BF1-BDEA-230EF8E30E8D}"/>
    <cellStyle name="Migliaia 3 4 6 3 4" xfId="18688" xr:uid="{6F8F1393-7819-4974-BF5B-C3061E70D56E}"/>
    <cellStyle name="Migliaia 3 4 6 4" xfId="4490" xr:uid="{82949929-71CB-473C-8AE1-518807BD5903}"/>
    <cellStyle name="Migliaia 3 4 6 4 2" xfId="11975" xr:uid="{911C5F97-3B88-4CC5-A5C3-A5CDD7734A7C}"/>
    <cellStyle name="Migliaia 3 4 6 4 2 2" xfId="15521" xr:uid="{6B8DB936-A4B8-47A2-AC7B-5841EFAFAB71}"/>
    <cellStyle name="Migliaia 3 4 6 4 2 2 2" xfId="30698" xr:uid="{53C088A5-6229-40F7-BCC6-EF04D79FA95A}"/>
    <cellStyle name="Migliaia 3 4 6 4 2 3" xfId="27153" xr:uid="{F1A13337-05AC-46A3-9FC8-A74B211526F0}"/>
    <cellStyle name="Migliaia 3 4 6 4 3" xfId="7801" xr:uid="{306E3B56-30DF-4DA1-BC61-C229C402130B}"/>
    <cellStyle name="Migliaia 3 4 6 4 3 2" xfId="22981" xr:uid="{DF85703B-B793-4DD8-A2D3-4F708B3F37CD}"/>
    <cellStyle name="Migliaia 3 4 6 4 4" xfId="19693" xr:uid="{08C88F1C-6419-481E-924F-2B97333B9364}"/>
    <cellStyle name="Migliaia 3 4 6 5" xfId="8688" xr:uid="{993E46C1-3FCE-47D0-A925-3F94E525CB05}"/>
    <cellStyle name="Migliaia 3 4 6 5 2" xfId="12861" xr:uid="{B22BA2A9-7EA9-4B0E-948E-315AE34225B6}"/>
    <cellStyle name="Migliaia 3 4 6 5 2 2" xfId="28038" xr:uid="{7E14FD75-7040-4CD1-A103-5127FF00DD86}"/>
    <cellStyle name="Migliaia 3 4 6 5 3" xfId="23866" xr:uid="{8008B54E-1311-42BD-8288-DE58AFD656CB}"/>
    <cellStyle name="Migliaia 3 4 6 6" xfId="16406" xr:uid="{B2511ED7-8A82-46F3-BEA1-30D89AAB70CF}"/>
    <cellStyle name="Migliaia 3 4 7" xfId="1188" xr:uid="{58416BF7-3E14-4E5F-903C-61BFF3A93544}"/>
    <cellStyle name="Migliaia 3 4 7 2" xfId="2619" xr:uid="{CEF1DD23-8062-4ACC-90A3-33957BB9B2CA}"/>
    <cellStyle name="Migliaia 3 4 7 2 2" xfId="10110" xr:uid="{E05E23A9-A5CB-4071-B8C6-385B7928B536}"/>
    <cellStyle name="Migliaia 3 4 7 2 2 2" xfId="13768" xr:uid="{D2FA6B39-84C4-49D2-89ED-A6CB569B8FFF}"/>
    <cellStyle name="Migliaia 3 4 7 2 2 2 2" xfId="28945" xr:uid="{13B3033D-7985-4142-BB2B-783EC0578EB9}"/>
    <cellStyle name="Migliaia 3 4 7 2 2 3" xfId="25288" xr:uid="{CBCB7E87-1168-4622-966A-753DB071A2C9}"/>
    <cellStyle name="Migliaia 3 4 7 2 3" xfId="5936" xr:uid="{D3F69C5C-8946-4116-AA5D-598B24FB8D47}"/>
    <cellStyle name="Migliaia 3 4 7 2 3 2" xfId="21116" xr:uid="{B8916BB0-5F73-4139-B6B5-33E60D3241B7}"/>
    <cellStyle name="Migliaia 3 4 7 2 4" xfId="17828" xr:uid="{1CD85BE1-9AF6-4639-A4B2-05BE8192376A}"/>
    <cellStyle name="Migliaia 3 4 7 3" xfId="3506" xr:uid="{31E454C3-5608-4F91-8D0D-6088F06D055C}"/>
    <cellStyle name="Migliaia 3 4 7 3 2" xfId="10994" xr:uid="{EF153A31-0BBB-4894-B284-96BEC4D756D2}"/>
    <cellStyle name="Migliaia 3 4 7 3 2 2" xfId="14540" xr:uid="{871A9F9E-96F5-4195-898C-8CF16DA4A702}"/>
    <cellStyle name="Migliaia 3 4 7 3 2 2 2" xfId="29717" xr:uid="{47ADFE8B-44E6-4FDC-95AB-C69AE6F18293}"/>
    <cellStyle name="Migliaia 3 4 7 3 2 3" xfId="26172" xr:uid="{40DEE188-2CC8-4BEC-BFD0-96569F765104}"/>
    <cellStyle name="Migliaia 3 4 7 3 3" xfId="6820" xr:uid="{1154656F-E3AA-400E-B8FD-1E11BBD188E7}"/>
    <cellStyle name="Migliaia 3 4 7 3 3 2" xfId="22000" xr:uid="{D60BC23C-FA45-44C4-8F90-39D5AF461168}"/>
    <cellStyle name="Migliaia 3 4 7 3 4" xfId="18712" xr:uid="{6F630625-F1FF-473E-A2CA-90D0F7C716E6}"/>
    <cellStyle name="Migliaia 3 4 7 4" xfId="4491" xr:uid="{66C5B10B-D94A-4073-9800-0044EFA23597}"/>
    <cellStyle name="Migliaia 3 4 7 4 2" xfId="11976" xr:uid="{870158B5-23AF-4942-A9A6-D09A71F2D8FF}"/>
    <cellStyle name="Migliaia 3 4 7 4 2 2" xfId="15522" xr:uid="{41215EB5-5D7C-4DD3-976E-12102C83E4EE}"/>
    <cellStyle name="Migliaia 3 4 7 4 2 2 2" xfId="30699" xr:uid="{1188A50F-5490-4F0D-847C-F5FE5283021A}"/>
    <cellStyle name="Migliaia 3 4 7 4 2 3" xfId="27154" xr:uid="{700E3538-A888-4DA0-955B-26C404DA5097}"/>
    <cellStyle name="Migliaia 3 4 7 4 3" xfId="7802" xr:uid="{5E27A06D-3580-4FB8-8B70-3953DC41D2E3}"/>
    <cellStyle name="Migliaia 3 4 7 4 3 2" xfId="22982" xr:uid="{E64A729E-4CFC-4306-B8CF-3D8DC6F59AE6}"/>
    <cellStyle name="Migliaia 3 4 7 4 4" xfId="19694" xr:uid="{2782BEF8-A0DD-4780-BD7E-D69885FD468D}"/>
    <cellStyle name="Migliaia 3 4 7 5" xfId="8712" xr:uid="{0AF3C5AD-AAAE-46E9-BCB2-AB3D915CD2DF}"/>
    <cellStyle name="Migliaia 3 4 7 5 2" xfId="12885" xr:uid="{E876B97D-5C2A-498C-8A58-5B1E2B79D9D8}"/>
    <cellStyle name="Migliaia 3 4 7 5 2 2" xfId="28062" xr:uid="{FC2E37D9-B535-4965-AB34-0469534964E2}"/>
    <cellStyle name="Migliaia 3 4 7 5 3" xfId="23890" xr:uid="{378E8C42-E34B-41B6-9018-A07E7065A264}"/>
    <cellStyle name="Migliaia 3 4 7 6" xfId="16430" xr:uid="{7A70AA39-4FD5-4188-B7EA-BBD0827C61F6}"/>
    <cellStyle name="Migliaia 3 4 8" xfId="1237" xr:uid="{0BA24608-CB60-4DAB-91C5-76796D2F0B41}"/>
    <cellStyle name="Migliaia 3 4 8 10" xfId="31296" xr:uid="{B1B265E0-7E8E-4DE9-AFD0-AA98F4C5600E}"/>
    <cellStyle name="Migliaia 3 4 8 2" xfId="2667" xr:uid="{29644B85-0216-4F32-8ED1-C4BDBF2F3C06}"/>
    <cellStyle name="Migliaia 3 4 8 2 2" xfId="10158" xr:uid="{2A5B0620-72E0-4B08-B396-496625D97F63}"/>
    <cellStyle name="Migliaia 3 4 8 2 2 2" xfId="13802" xr:uid="{13E78AD7-5428-436F-ACCB-778C80DF7726}"/>
    <cellStyle name="Migliaia 3 4 8 2 2 2 2" xfId="28979" xr:uid="{39AFF3E7-2A75-4E85-98AF-7BB0B254BBE4}"/>
    <cellStyle name="Migliaia 3 4 8 2 2 3" xfId="25336" xr:uid="{22C1FD0A-F1A7-4F58-91BE-3087C136324F}"/>
    <cellStyle name="Migliaia 3 4 8 2 3" xfId="5984" xr:uid="{686A9B1A-CFE1-4397-866A-2878E61BE26E}"/>
    <cellStyle name="Migliaia 3 4 8 2 3 2" xfId="21164" xr:uid="{AFAA4E60-EE4D-4AB2-9D61-216C1593313A}"/>
    <cellStyle name="Migliaia 3 4 8 2 4" xfId="17876" xr:uid="{BFB0C72D-C260-4B63-92C3-149CFFF2EDA9}"/>
    <cellStyle name="Migliaia 3 4 8 3" xfId="3554" xr:uid="{0ADFB526-2E97-4F89-8DB0-53571FE64723}"/>
    <cellStyle name="Migliaia 3 4 8 3 2" xfId="11042" xr:uid="{92A96B25-C7CD-4467-8D97-4966D3677B4F}"/>
    <cellStyle name="Migliaia 3 4 8 3 2 2" xfId="14588" xr:uid="{B662F122-CD54-4FE8-8ADD-CD86B58616EA}"/>
    <cellStyle name="Migliaia 3 4 8 3 2 2 2" xfId="29765" xr:uid="{D1D0D3AC-9642-4B6A-86F5-9C15BB891636}"/>
    <cellStyle name="Migliaia 3 4 8 3 2 3" xfId="26220" xr:uid="{FE8A88E9-FFCD-4116-8D0F-7316BA801FBD}"/>
    <cellStyle name="Migliaia 3 4 8 3 3" xfId="6868" xr:uid="{AC7311F5-E4B1-4564-A863-FB0F173521BA}"/>
    <cellStyle name="Migliaia 3 4 8 3 3 2" xfId="22048" xr:uid="{673F401D-E9C5-4EED-AD35-4BAB52398A6A}"/>
    <cellStyle name="Migliaia 3 4 8 3 4" xfId="18760" xr:uid="{3ACE4CE4-7751-4CA5-8E31-11F13224FBA4}"/>
    <cellStyle name="Migliaia 3 4 8 4" xfId="4492" xr:uid="{ABEFA96C-7E2C-4EDE-9119-16A1A24C008B}"/>
    <cellStyle name="Migliaia 3 4 8 4 2" xfId="11977" xr:uid="{13E355CA-9EAC-4966-B453-9F21A0A84B06}"/>
    <cellStyle name="Migliaia 3 4 8 4 2 2" xfId="15523" xr:uid="{93759D69-CE8E-4365-B228-13985D45B311}"/>
    <cellStyle name="Migliaia 3 4 8 4 2 2 2" xfId="30700" xr:uid="{ADA5C485-79CE-430C-80DB-5179AA52FFEF}"/>
    <cellStyle name="Migliaia 3 4 8 4 2 3" xfId="27155" xr:uid="{E82E565B-B1C7-4900-A18D-CBB2F1539D14}"/>
    <cellStyle name="Migliaia 3 4 8 4 3" xfId="7803" xr:uid="{C86903EB-42AD-46CD-A0C5-79F646923CCD}"/>
    <cellStyle name="Migliaia 3 4 8 4 3 2" xfId="22983" xr:uid="{182A5A49-56EA-4182-AAAD-6A8E34543E03}"/>
    <cellStyle name="Migliaia 3 4 8 4 4" xfId="19695" xr:uid="{F4CBB617-A884-4ABD-B412-1EA8396403C4}"/>
    <cellStyle name="Migliaia 3 4 8 5" xfId="4956" xr:uid="{243E83C8-9EEF-49A3-A90E-5ABF356B2D4F}"/>
    <cellStyle name="Migliaia 3 4 8 5 2" xfId="12440" xr:uid="{4AC85B33-31D7-43AA-B5CE-BDE947852BF7}"/>
    <cellStyle name="Migliaia 3 4 8 5 2 2" xfId="15986" xr:uid="{85183F15-CC99-4EA0-A936-3E2B8C05BE22}"/>
    <cellStyle name="Migliaia 3 4 8 5 2 2 2" xfId="31163" xr:uid="{C0AA2B8E-2786-4860-8E10-616FA38EF741}"/>
    <cellStyle name="Migliaia 3 4 8 5 2 3" xfId="27618" xr:uid="{1A9A2384-D0EB-49FD-9815-E46BC518CBDE}"/>
    <cellStyle name="Migliaia 3 4 8 5 3" xfId="8266" xr:uid="{F10CA606-DEF2-4F86-8868-2E08857CBDF8}"/>
    <cellStyle name="Migliaia 3 4 8 5 3 2" xfId="23446" xr:uid="{8266E178-8798-4C89-8859-55A9FDE66401}"/>
    <cellStyle name="Migliaia 3 4 8 5 4" xfId="20158" xr:uid="{A7E04BFF-5E1E-4929-BFBC-052FC784B57B}"/>
    <cellStyle name="Migliaia 3 4 8 6" xfId="1777" xr:uid="{B6C090E5-D3D4-4A11-B8C6-AA8A8A6CD6D4}"/>
    <cellStyle name="Migliaia 3 4 8 6 2" xfId="9274" xr:uid="{D905FB31-F327-49CC-884C-5DD659449922}"/>
    <cellStyle name="Migliaia 3 4 8 6 2 2" xfId="24452" xr:uid="{8B011EF7-0CBD-4C03-B950-2AB1347E0D62}"/>
    <cellStyle name="Migliaia 3 4 8 6 3" xfId="16992" xr:uid="{907FD408-B89E-48F5-B30E-5B7A21942763}"/>
    <cellStyle name="Migliaia 3 4 8 7" xfId="8760" xr:uid="{F1BCE292-7AAA-4CF5-B9EC-53032CE6B0D4}"/>
    <cellStyle name="Migliaia 3 4 8 7 2" xfId="12933" xr:uid="{4B99466A-498D-4DFC-B900-AC851F03938B}"/>
    <cellStyle name="Migliaia 3 4 8 7 2 2" xfId="28110" xr:uid="{7E8D1A15-8A32-4C42-8F3B-BE733684F91B}"/>
    <cellStyle name="Migliaia 3 4 8 7 3" xfId="23938" xr:uid="{BB7E5EA2-F4A8-476F-8F99-1E148B6A5F71}"/>
    <cellStyle name="Migliaia 3 4 8 8" xfId="5100" xr:uid="{E75644A2-617A-4447-A9E9-666CD8C14C16}"/>
    <cellStyle name="Migliaia 3 4 8 8 2" xfId="20280" xr:uid="{31245A97-3728-454C-9B31-E921C7762AD6}"/>
    <cellStyle name="Migliaia 3 4 8 9" xfId="16478" xr:uid="{38B60D39-F2E0-43C6-A84B-1876BA59A02C}"/>
    <cellStyle name="Migliaia 3 4 9" xfId="1339" xr:uid="{040CB4FC-8533-4C50-B526-87B5D00EF1E5}"/>
    <cellStyle name="Migliaia 3 4 9 2" xfId="2765" xr:uid="{5CFEB2DD-7FDC-4FC4-A18F-4A5A00CED60C}"/>
    <cellStyle name="Migliaia 3 4 9 2 2" xfId="10256" xr:uid="{D7BFFFD2-4D4D-4075-939C-EF566DE22265}"/>
    <cellStyle name="Migliaia 3 4 9 2 2 2" xfId="13851" xr:uid="{C64A4FE8-FC6A-44DE-9ECA-BFCB11AEE55D}"/>
    <cellStyle name="Migliaia 3 4 9 2 2 2 2" xfId="29028" xr:uid="{CC3F4764-669A-4149-83CA-8127F9586EA7}"/>
    <cellStyle name="Migliaia 3 4 9 2 2 3" xfId="25434" xr:uid="{26A3B8DB-1C8B-42AC-80EA-A6731C16AF1A}"/>
    <cellStyle name="Migliaia 3 4 9 2 3" xfId="6082" xr:uid="{21650773-CC17-4AFF-8CAE-CECD164717F5}"/>
    <cellStyle name="Migliaia 3 4 9 2 3 2" xfId="21262" xr:uid="{FEE885C2-C270-441B-9394-950554C06B8F}"/>
    <cellStyle name="Migliaia 3 4 9 2 4" xfId="17974" xr:uid="{3D2C8E10-992A-4037-9172-F0D6EE4162F3}"/>
    <cellStyle name="Migliaia 3 4 9 3" xfId="3652" xr:uid="{CA74C45A-41A1-4932-A1F9-94FD972EDEB7}"/>
    <cellStyle name="Migliaia 3 4 9 3 2" xfId="11140" xr:uid="{C6BEA386-EDB2-4F3F-9ED5-3087828CF341}"/>
    <cellStyle name="Migliaia 3 4 9 3 2 2" xfId="14686" xr:uid="{7EEB7932-413A-458A-906A-639E53728170}"/>
    <cellStyle name="Migliaia 3 4 9 3 2 2 2" xfId="29863" xr:uid="{AA9AF3AA-4FBD-4504-AD9D-6ACD3141B629}"/>
    <cellStyle name="Migliaia 3 4 9 3 2 3" xfId="26318" xr:uid="{7CF942E5-F57F-4584-A5BB-F0E3F4F42FC3}"/>
    <cellStyle name="Migliaia 3 4 9 3 3" xfId="6966" xr:uid="{47811293-60AE-4B9A-9647-6BB3045D2546}"/>
    <cellStyle name="Migliaia 3 4 9 3 3 2" xfId="22146" xr:uid="{77AB6819-EA2B-4A7A-B110-69EFCB8FD275}"/>
    <cellStyle name="Migliaia 3 4 9 3 4" xfId="18858" xr:uid="{F8F24D5A-B6F9-4539-B800-7002F509E351}"/>
    <cellStyle name="Migliaia 3 4 9 4" xfId="4493" xr:uid="{A47949AC-3E30-47B6-BDDC-78D25F22898A}"/>
    <cellStyle name="Migliaia 3 4 9 4 2" xfId="11978" xr:uid="{8294AE90-046B-4CBB-AE47-A67218DCF95D}"/>
    <cellStyle name="Migliaia 3 4 9 4 2 2" xfId="15524" xr:uid="{F47E296E-BEB6-4E11-8E0D-EE064723A345}"/>
    <cellStyle name="Migliaia 3 4 9 4 2 2 2" xfId="30701" xr:uid="{3B693302-F554-4042-A1F0-2C6DCCA7838E}"/>
    <cellStyle name="Migliaia 3 4 9 4 2 3" xfId="27156" xr:uid="{AD75B41A-FC25-4447-B6B8-39C9207B1809}"/>
    <cellStyle name="Migliaia 3 4 9 4 3" xfId="7804" xr:uid="{2A733987-CF55-4322-AD5C-792C7DAFCECD}"/>
    <cellStyle name="Migliaia 3 4 9 4 3 2" xfId="22984" xr:uid="{B67040DB-0C5F-4126-88B6-93C3DA28AA98}"/>
    <cellStyle name="Migliaia 3 4 9 4 4" xfId="19696" xr:uid="{B92784E7-AA2E-4288-8524-F13E4C9EE8D9}"/>
    <cellStyle name="Migliaia 3 4 9 5" xfId="1875" xr:uid="{DFC0A47D-A287-42B9-BE1C-97AF0DFA2C50}"/>
    <cellStyle name="Migliaia 3 4 9 5 2" xfId="9372" xr:uid="{2E31F261-8ADC-4606-B5D1-0CFAFA6C45A2}"/>
    <cellStyle name="Migliaia 3 4 9 5 2 2" xfId="24550" xr:uid="{A4A63B16-704D-4281-B8B8-09F245D6BFC5}"/>
    <cellStyle name="Migliaia 3 4 9 5 3" xfId="17090" xr:uid="{848E2F75-E2B4-43F3-BF06-DDBC2891A72D}"/>
    <cellStyle name="Migliaia 3 4 9 6" xfId="8858" xr:uid="{A64256A1-353D-4834-A282-ADF1F3738D5C}"/>
    <cellStyle name="Migliaia 3 4 9 6 2" xfId="13031" xr:uid="{8D980EA3-68A6-4FF0-A1B9-680D2CA43969}"/>
    <cellStyle name="Migliaia 3 4 9 6 2 2" xfId="28208" xr:uid="{71FB87D5-C139-4D18-9E24-EF254FE6A779}"/>
    <cellStyle name="Migliaia 3 4 9 6 3" xfId="24036" xr:uid="{3C6539FB-7FB6-4318-B154-64BFDC9FDE80}"/>
    <cellStyle name="Migliaia 3 4 9 7" xfId="5198" xr:uid="{FC86E614-E8E1-4173-BEA9-40ACB9309618}"/>
    <cellStyle name="Migliaia 3 4 9 7 2" xfId="20378" xr:uid="{6926570E-0AD7-444E-ABB0-99D8BA123E05}"/>
    <cellStyle name="Migliaia 3 4 9 8" xfId="16576" xr:uid="{D493328F-D608-4675-977E-9AD09D338F72}"/>
    <cellStyle name="Migliaia 3 5" xfId="471" xr:uid="{6C85F719-F09D-4FD1-AB8E-3101FFBBE378}"/>
    <cellStyle name="Migliaia 3 5 2" xfId="584" xr:uid="{A6F37C82-2BD3-4DDC-B4EF-A358E16E0D84}"/>
    <cellStyle name="Migliaia 3 5 2 2" xfId="9862" xr:uid="{DDC84D92-B909-490F-9C9F-4264781F0503}"/>
    <cellStyle name="Migliaia 3 5 2 2 2" xfId="13521" xr:uid="{A7FA5E82-9A54-4472-A5A0-1EFF097C6EBE}"/>
    <cellStyle name="Migliaia 3 5 2 2 2 2" xfId="28698" xr:uid="{E20E7642-CA95-4F5F-978B-2D8D6B312050}"/>
    <cellStyle name="Migliaia 3 5 2 2 3" xfId="25040" xr:uid="{B5A9E826-86C5-42E4-853E-15CEED3C66B5}"/>
    <cellStyle name="Migliaia 3 5 2 3" xfId="5688" xr:uid="{5C2F3F88-42D5-4CA7-815C-01EE0CCF6007}"/>
    <cellStyle name="Migliaia 3 5 2 3 2" xfId="20868" xr:uid="{3704B3B8-D565-4524-89E4-E876A4F2A60E}"/>
    <cellStyle name="Migliaia 3 5 2 4" xfId="17580" xr:uid="{C1C24393-E43A-43B4-B54B-B6E91CE77AF3}"/>
    <cellStyle name="Migliaia 3 5 2 5" xfId="2368" xr:uid="{140E8284-0B4B-4F01-9CF0-2EAD4D776AEF}"/>
    <cellStyle name="Migliaia 3 5 3" xfId="3258" xr:uid="{A807AFE8-BB92-491F-98B1-6DE730CEC1F9}"/>
    <cellStyle name="Migliaia 3 5 3 2" xfId="10746" xr:uid="{81493D6E-5F6F-4731-BAAD-573A7CCAE9DD}"/>
    <cellStyle name="Migliaia 3 5 3 2 2" xfId="14292" xr:uid="{389E728B-5D39-4157-8754-039AFED43315}"/>
    <cellStyle name="Migliaia 3 5 3 2 2 2" xfId="29469" xr:uid="{368EE498-4176-4510-BEA3-0F7962B9C815}"/>
    <cellStyle name="Migliaia 3 5 3 2 3" xfId="25924" xr:uid="{F2F7226F-5B64-4086-ADB1-4B85B4AFA84F}"/>
    <cellStyle name="Migliaia 3 5 3 3" xfId="6572" xr:uid="{6EB16043-F3AE-4AD5-85E6-222F0EA16AAE}"/>
    <cellStyle name="Migliaia 3 5 3 3 2" xfId="21752" xr:uid="{4B349161-9BB8-432C-97F3-1B71F17E95D6}"/>
    <cellStyle name="Migliaia 3 5 3 4" xfId="18464" xr:uid="{DB12556A-2EA5-4860-BE12-9F3778377154}"/>
    <cellStyle name="Migliaia 3 5 4" xfId="4494" xr:uid="{2EF38686-217A-4CCD-BB00-FAC5055C4546}"/>
    <cellStyle name="Migliaia 3 5 4 2" xfId="11979" xr:uid="{4B3B4453-EC42-45BA-B2E2-CCBE9AA745DA}"/>
    <cellStyle name="Migliaia 3 5 4 2 2" xfId="15525" xr:uid="{39CB6650-8EC9-4619-8F21-5C592CAFA94D}"/>
    <cellStyle name="Migliaia 3 5 4 2 2 2" xfId="30702" xr:uid="{87A616D0-45BE-47E1-A9F2-54396AFE72F5}"/>
    <cellStyle name="Migliaia 3 5 4 2 3" xfId="27157" xr:uid="{E2E46857-DF91-4487-B180-6CE1D78EA44B}"/>
    <cellStyle name="Migliaia 3 5 4 3" xfId="7805" xr:uid="{68D8600B-1CE3-4385-B9AD-58C6D0E62214}"/>
    <cellStyle name="Migliaia 3 5 4 3 2" xfId="22985" xr:uid="{CE7AA37E-D663-4CEB-B537-DF99BF7A44DC}"/>
    <cellStyle name="Migliaia 3 5 4 4" xfId="19697" xr:uid="{A7A1D06E-0D70-4D4C-9C72-B01FA97DB8A0}"/>
    <cellStyle name="Migliaia 3 5 5" xfId="8464" xr:uid="{B17767DA-980F-4B29-AF42-2213BE03596A}"/>
    <cellStyle name="Migliaia 3 5 5 2" xfId="12637" xr:uid="{9EA7A913-CF21-4413-BA6D-1C24FB3505E9}"/>
    <cellStyle name="Migliaia 3 5 5 2 2" xfId="27814" xr:uid="{3BE58CC1-A9BF-424E-8903-D1971B649314}"/>
    <cellStyle name="Migliaia 3 5 5 3" xfId="23642" xr:uid="{145FF5ED-8138-498A-ADCF-A2FFB041EFAB}"/>
    <cellStyle name="Migliaia 3 5 6" xfId="16182" xr:uid="{DE94F898-97B8-4861-915D-3B2E94C2652F}"/>
    <cellStyle name="Migliaia 3 5 7" xfId="31622" xr:uid="{093A9DC3-0D0E-4BDE-AE9B-3D758836942D}"/>
    <cellStyle name="Migliaia 3 5 8" xfId="850" xr:uid="{9A17CBF6-B8C0-4F83-9EC4-70C9D472A2CC}"/>
    <cellStyle name="Migliaia 3 6" xfId="547" xr:uid="{F6168C2C-5FCF-4D49-B6D6-86E76C202A54}"/>
    <cellStyle name="Migliaia 3 6 10" xfId="31272" xr:uid="{0675AD5E-192C-466C-92D5-DEFBFA0B6AFF}"/>
    <cellStyle name="Migliaia 3 6 11" xfId="1213" xr:uid="{C0B0D5E1-CC8A-4E12-B6BC-276414A07CFF}"/>
    <cellStyle name="Migliaia 3 6 2" xfId="2643" xr:uid="{6AD49730-DF5D-4AEE-83E7-A7BAF7F289D2}"/>
    <cellStyle name="Migliaia 3 6 2 2" xfId="10134" xr:uid="{897BC30A-F2C0-48DA-A11E-6300308B1DF1}"/>
    <cellStyle name="Migliaia 3 6 2 2 2" xfId="13792" xr:uid="{2121EF73-1C25-4979-BDC0-BAD3D82F22F7}"/>
    <cellStyle name="Migliaia 3 6 2 2 2 2" xfId="28969" xr:uid="{D32303BD-9F65-49F1-9D7B-162B7EE2C13F}"/>
    <cellStyle name="Migliaia 3 6 2 2 3" xfId="25312" xr:uid="{11CD0FA2-6E5A-4D51-8432-4EBD1252C744}"/>
    <cellStyle name="Migliaia 3 6 2 3" xfId="5960" xr:uid="{5C25D0AA-76BE-4992-B69E-70BEFEA77247}"/>
    <cellStyle name="Migliaia 3 6 2 3 2" xfId="21140" xr:uid="{FC0CA7B6-222C-4AA1-BB4D-331D2746AB3F}"/>
    <cellStyle name="Migliaia 3 6 2 4" xfId="17852" xr:uid="{3E58C3D9-CA0D-4F1F-A1AB-52C70863A925}"/>
    <cellStyle name="Migliaia 3 6 3" xfId="3530" xr:uid="{AA62F3FE-39CB-408C-8AD2-85DFDA5BD5CC}"/>
    <cellStyle name="Migliaia 3 6 3 2" xfId="11018" xr:uid="{FB79C77C-A67C-46D0-B034-15826CDEC87E}"/>
    <cellStyle name="Migliaia 3 6 3 2 2" xfId="14564" xr:uid="{B27A503E-67F8-46C7-BFD8-D4446B6F819C}"/>
    <cellStyle name="Migliaia 3 6 3 2 2 2" xfId="29741" xr:uid="{BBCBB76C-4156-4BCE-A965-66D65A162612}"/>
    <cellStyle name="Migliaia 3 6 3 2 3" xfId="26196" xr:uid="{63516790-A7C1-4B24-A095-25D44BCCA7E3}"/>
    <cellStyle name="Migliaia 3 6 3 3" xfId="6844" xr:uid="{4052A060-F6F1-4C79-8C52-4E82B72EB7BA}"/>
    <cellStyle name="Migliaia 3 6 3 3 2" xfId="22024" xr:uid="{197F8027-B546-473B-9E46-7E22E1BDF31A}"/>
    <cellStyle name="Migliaia 3 6 3 4" xfId="18736" xr:uid="{396812E7-1E92-4A5D-B1C4-3B889952A6F9}"/>
    <cellStyle name="Migliaia 3 6 4" xfId="4495" xr:uid="{874A79FC-7FF2-4133-B514-EFAD665005DB}"/>
    <cellStyle name="Migliaia 3 6 4 2" xfId="11980" xr:uid="{A82AE333-98C9-4CD8-AF64-64B29F8C1D43}"/>
    <cellStyle name="Migliaia 3 6 4 2 2" xfId="15526" xr:uid="{875BA8CC-457B-445F-91E8-077073E7137A}"/>
    <cellStyle name="Migliaia 3 6 4 2 2 2" xfId="30703" xr:uid="{7E3DA171-15DB-4048-8BA9-6E9EFE7A6F54}"/>
    <cellStyle name="Migliaia 3 6 4 2 3" xfId="27158" xr:uid="{B98FFC2A-D7BC-4309-BD08-DB47283B0FD6}"/>
    <cellStyle name="Migliaia 3 6 4 3" xfId="7806" xr:uid="{289D1C14-93DC-49F7-AC6F-215364141471}"/>
    <cellStyle name="Migliaia 3 6 4 3 2" xfId="22986" xr:uid="{C18BDC24-5683-4675-9C22-8FA9B043D281}"/>
    <cellStyle name="Migliaia 3 6 4 4" xfId="19698" xr:uid="{5CC95614-84D1-4136-82FE-C667A29A9523}"/>
    <cellStyle name="Migliaia 3 6 5" xfId="4932" xr:uid="{1C091A66-E79B-4094-AD28-AAA75ED9A72B}"/>
    <cellStyle name="Migliaia 3 6 5 2" xfId="12416" xr:uid="{B6A9052F-06A3-4D60-823C-D358729D2A62}"/>
    <cellStyle name="Migliaia 3 6 5 2 2" xfId="15962" xr:uid="{8FF989F1-FDC3-4EF3-BE39-3F39F008332C}"/>
    <cellStyle name="Migliaia 3 6 5 2 2 2" xfId="31139" xr:uid="{63C87FAE-4912-45D1-A55F-5641F08D8ED8}"/>
    <cellStyle name="Migliaia 3 6 5 2 3" xfId="27594" xr:uid="{41652177-6B0E-4DEA-A376-EB5C11CAD9F0}"/>
    <cellStyle name="Migliaia 3 6 5 3" xfId="8242" xr:uid="{A6490EAB-64CB-4B34-8BCC-6FA27B125DF6}"/>
    <cellStyle name="Migliaia 3 6 5 3 2" xfId="23422" xr:uid="{7AC80821-06E7-4123-85F1-0E61343D5180}"/>
    <cellStyle name="Migliaia 3 6 5 4" xfId="20134" xr:uid="{2BE5264C-A175-4A33-A711-666D93DFC591}"/>
    <cellStyle name="Migliaia 3 6 6" xfId="1753" xr:uid="{AF9AEA29-2E04-4C2C-A192-3F5FA67992D0}"/>
    <cellStyle name="Migliaia 3 6 6 2" xfId="9250" xr:uid="{1A081D94-BABF-482D-86CB-A2EB801B31EB}"/>
    <cellStyle name="Migliaia 3 6 6 2 2" xfId="24428" xr:uid="{A7D291CB-27AF-48DC-97B7-4E0A8F4703EF}"/>
    <cellStyle name="Migliaia 3 6 6 3" xfId="16968" xr:uid="{1E0C2339-CF07-4D5B-9484-64F2B0319813}"/>
    <cellStyle name="Migliaia 3 6 7" xfId="8736" xr:uid="{42FE4D00-5073-4A0E-87E4-BF88A97E30DD}"/>
    <cellStyle name="Migliaia 3 6 7 2" xfId="12909" xr:uid="{D991805C-8076-48A2-8779-C5C92F056A1A}"/>
    <cellStyle name="Migliaia 3 6 7 2 2" xfId="28086" xr:uid="{B9BF6E55-9A18-488A-AF0E-B779660013C3}"/>
    <cellStyle name="Migliaia 3 6 7 3" xfId="23914" xr:uid="{9167E991-17A5-493F-B5DC-3363C3473B0E}"/>
    <cellStyle name="Migliaia 3 6 8" xfId="5076" xr:uid="{2CBB0646-5D9A-4E15-BF7F-B1042286B14A}"/>
    <cellStyle name="Migliaia 3 6 8 2" xfId="20256" xr:uid="{AC8E48D8-C93A-455D-95FF-8F9C938EBDEC}"/>
    <cellStyle name="Migliaia 3 6 9" xfId="16454" xr:uid="{F7E9CDEC-E836-4ACE-A353-2A841316A072}"/>
    <cellStyle name="Migliaia 3 7" xfId="31402" xr:uid="{422869EC-BE80-4215-950C-8E96061E5B98}"/>
    <cellStyle name="Migliaia 3 8" xfId="610" xr:uid="{8758FAC1-75F7-4EEB-8EAE-8DE782CE4D24}"/>
    <cellStyle name="Migliaia 4" xfId="134" xr:uid="{22D38FD1-63EF-41F7-A008-968C2B74D460}"/>
    <cellStyle name="Migliaia 4 2" xfId="251" xr:uid="{3A2EAB35-339B-4844-88B3-D1F681D4E3D4}"/>
    <cellStyle name="Migliaia 4 2 2" xfId="385" xr:uid="{70595D07-0284-4B63-ABBF-0200040B79DE}"/>
    <cellStyle name="Migliaia 4 2 2 2" xfId="490" xr:uid="{4C36C2A1-68B0-40FB-ACBF-0FE7A9B480A7}"/>
    <cellStyle name="Migliaia 4 2 2 2 10" xfId="1456" xr:uid="{CB206952-00B3-4DCA-9BE4-BB47C063F801}"/>
    <cellStyle name="Migliaia 4 2 2 2 10 2" xfId="2881" xr:uid="{EECC5976-7CA6-441B-932D-F531474294A2}"/>
    <cellStyle name="Migliaia 4 2 2 2 10 2 2" xfId="10372" xr:uid="{EFADF9B2-6757-4AE6-AD73-E0F76DE58AE5}"/>
    <cellStyle name="Migliaia 4 2 2 2 10 2 2 2" xfId="13918" xr:uid="{B351F9AE-FB17-4175-A64A-ED5C53E0D87B}"/>
    <cellStyle name="Migliaia 4 2 2 2 10 2 2 2 2" xfId="29095" xr:uid="{7910C0D4-40E4-4D68-8A57-9848DF613E82}"/>
    <cellStyle name="Migliaia 4 2 2 2 10 2 2 3" xfId="25550" xr:uid="{657B0E37-2E63-4BC1-9D10-99AECC4AE8FE}"/>
    <cellStyle name="Migliaia 4 2 2 2 10 2 3" xfId="6198" xr:uid="{5361E07C-08BA-47CA-B82D-D61EA98B7D4B}"/>
    <cellStyle name="Migliaia 4 2 2 2 10 2 3 2" xfId="21378" xr:uid="{38C2ABD7-7C7A-4E9C-BC07-D8982957043B}"/>
    <cellStyle name="Migliaia 4 2 2 2 10 2 4" xfId="18090" xr:uid="{C92D3629-4B81-46F0-B3B5-D1309107EA74}"/>
    <cellStyle name="Migliaia 4 2 2 2 10 3" xfId="3768" xr:uid="{3F8B3710-A180-4CFF-9050-3128A81C5689}"/>
    <cellStyle name="Migliaia 4 2 2 2 10 3 2" xfId="11256" xr:uid="{24CFB4B5-EE40-4E29-B52D-652760F278E3}"/>
    <cellStyle name="Migliaia 4 2 2 2 10 3 2 2" xfId="14802" xr:uid="{3E3EDB90-B2E7-448B-A7FD-ECBF805062CE}"/>
    <cellStyle name="Migliaia 4 2 2 2 10 3 2 2 2" xfId="29979" xr:uid="{60533CA3-509E-42EE-9807-210FFE3A31E9}"/>
    <cellStyle name="Migliaia 4 2 2 2 10 3 2 3" xfId="26434" xr:uid="{BB6A3512-ECAD-414C-812C-17178D70FE7B}"/>
    <cellStyle name="Migliaia 4 2 2 2 10 3 3" xfId="7082" xr:uid="{4E7B03B4-8323-4B93-B2DB-B184C9FC6B7C}"/>
    <cellStyle name="Migliaia 4 2 2 2 10 3 3 2" xfId="22262" xr:uid="{636749F4-B13A-4EB8-A97A-C16987F8378A}"/>
    <cellStyle name="Migliaia 4 2 2 2 10 3 4" xfId="18974" xr:uid="{2C7B4FA8-A643-499F-8C21-402DC22411FD}"/>
    <cellStyle name="Migliaia 4 2 2 2 10 4" xfId="4496" xr:uid="{F6DCF6F6-45DD-4B32-B21E-A044195C7226}"/>
    <cellStyle name="Migliaia 4 2 2 2 10 4 2" xfId="11981" xr:uid="{3EEE10DC-443A-491F-86F3-EE828C8BF41C}"/>
    <cellStyle name="Migliaia 4 2 2 2 10 4 2 2" xfId="15527" xr:uid="{AF038FB4-2D0A-44B8-9C32-CEBBABC65EBE}"/>
    <cellStyle name="Migliaia 4 2 2 2 10 4 2 2 2" xfId="30704" xr:uid="{CB4A1ADB-AC2D-4107-9859-F4128F62341F}"/>
    <cellStyle name="Migliaia 4 2 2 2 10 4 2 3" xfId="27159" xr:uid="{A9C17A2D-6F4D-4027-877D-48DFFA621BF7}"/>
    <cellStyle name="Migliaia 4 2 2 2 10 4 3" xfId="7807" xr:uid="{34174E14-0105-45D7-95EE-021C8F277FAF}"/>
    <cellStyle name="Migliaia 4 2 2 2 10 4 3 2" xfId="22987" xr:uid="{B9CFED3D-5B19-49BB-BF96-B916B39A1FC7}"/>
    <cellStyle name="Migliaia 4 2 2 2 10 4 4" xfId="19699" xr:uid="{7C7A979C-C9E0-4B84-B68A-5451C18110F2}"/>
    <cellStyle name="Migliaia 4 2 2 2 10 5" xfId="1991" xr:uid="{3E7073AF-BD60-481D-8BC3-6E5AEDB2BCCC}"/>
    <cellStyle name="Migliaia 4 2 2 2 10 5 2" xfId="9488" xr:uid="{68D5CD01-E185-4EDA-AECC-91D6E6048090}"/>
    <cellStyle name="Migliaia 4 2 2 2 10 5 2 2" xfId="24666" xr:uid="{F62D5E24-4D54-4BEB-B7A5-BE2634347C4C}"/>
    <cellStyle name="Migliaia 4 2 2 2 10 5 3" xfId="17206" xr:uid="{26590858-B52E-448C-9158-3330692FD1C3}"/>
    <cellStyle name="Migliaia 4 2 2 2 10 6" xfId="8974" xr:uid="{9CF3F9DD-E199-4792-95E1-E44C40818561}"/>
    <cellStyle name="Migliaia 4 2 2 2 10 6 2" xfId="13147" xr:uid="{6A9E289F-D267-4201-9D00-4E8FE3634B6A}"/>
    <cellStyle name="Migliaia 4 2 2 2 10 6 2 2" xfId="28324" xr:uid="{B2927F46-74C0-4DD8-B51B-DB4177A1D3A7}"/>
    <cellStyle name="Migliaia 4 2 2 2 10 6 3" xfId="24152" xr:uid="{88299903-F5AF-4508-9D2E-82648DF00FE9}"/>
    <cellStyle name="Migliaia 4 2 2 2 10 7" xfId="5314" xr:uid="{CE5A06B8-EC02-453F-A1B8-4FD195E1CD4B}"/>
    <cellStyle name="Migliaia 4 2 2 2 10 7 2" xfId="20494" xr:uid="{8D917A0A-A840-4B5E-B057-814B65CC076B}"/>
    <cellStyle name="Migliaia 4 2 2 2 10 8" xfId="16692" xr:uid="{530FC401-E1EE-4EA6-BFCC-E03A142B3A25}"/>
    <cellStyle name="Migliaia 4 2 2 2 11" xfId="1559" xr:uid="{B7E83F65-7C6E-4795-A2B8-1F0237E51707}"/>
    <cellStyle name="Migliaia 4 2 2 2 11 2" xfId="2979" xr:uid="{4B84D3B2-0530-4CB1-BFAB-E489DDE092A8}"/>
    <cellStyle name="Migliaia 4 2 2 2 11 2 2" xfId="10470" xr:uid="{1393DFA3-82D3-44DA-B09D-D3B05A0D97A5}"/>
    <cellStyle name="Migliaia 4 2 2 2 11 2 2 2" xfId="14016" xr:uid="{BE8C63BE-FCD7-4342-B7B1-56C2B629F55C}"/>
    <cellStyle name="Migliaia 4 2 2 2 11 2 2 2 2" xfId="29193" xr:uid="{BCA527CC-1A4F-4FD0-9386-D55BCB458E50}"/>
    <cellStyle name="Migliaia 4 2 2 2 11 2 2 3" xfId="25648" xr:uid="{51C3A4C5-0021-456E-9888-796804620D99}"/>
    <cellStyle name="Migliaia 4 2 2 2 11 2 3" xfId="6296" xr:uid="{F719FF03-AFFA-41DA-992E-AC9E5821062B}"/>
    <cellStyle name="Migliaia 4 2 2 2 11 2 3 2" xfId="21476" xr:uid="{E46FA0F8-840D-4B9B-B67E-DBAC3A571EC8}"/>
    <cellStyle name="Migliaia 4 2 2 2 11 2 4" xfId="18188" xr:uid="{CFE8675D-41C0-45A6-80AA-E75C64351ADF}"/>
    <cellStyle name="Migliaia 4 2 2 2 11 3" xfId="3866" xr:uid="{F6D9C944-A1FE-4C69-A2C9-99FBE849300D}"/>
    <cellStyle name="Migliaia 4 2 2 2 11 3 2" xfId="11354" xr:uid="{719FEB96-217D-4B7E-A92A-4BFC80C79549}"/>
    <cellStyle name="Migliaia 4 2 2 2 11 3 2 2" xfId="14900" xr:uid="{853F44E9-9822-4398-B5DB-ECD8AE89DC8A}"/>
    <cellStyle name="Migliaia 4 2 2 2 11 3 2 2 2" xfId="30077" xr:uid="{24609E5B-F47C-4F6F-962A-894994BC5677}"/>
    <cellStyle name="Migliaia 4 2 2 2 11 3 2 3" xfId="26532" xr:uid="{ABF90972-AC82-4CCF-9254-0FC5CFEACBAA}"/>
    <cellStyle name="Migliaia 4 2 2 2 11 3 3" xfId="7180" xr:uid="{5CACDD76-ED36-4024-BED0-3CFBBDEDC90A}"/>
    <cellStyle name="Migliaia 4 2 2 2 11 3 3 2" xfId="22360" xr:uid="{05451321-2995-4316-8F94-C6C79BB01BEA}"/>
    <cellStyle name="Migliaia 4 2 2 2 11 3 4" xfId="19072" xr:uid="{C9A3D54F-61AC-4B5F-B0D4-6B01F8C12124}"/>
    <cellStyle name="Migliaia 4 2 2 2 11 4" xfId="4497" xr:uid="{37AD3480-5D93-4EAC-AA5A-B494E0DCC508}"/>
    <cellStyle name="Migliaia 4 2 2 2 11 4 2" xfId="11982" xr:uid="{A2EC2EEF-0FA5-43E6-A758-7284D5244B1C}"/>
    <cellStyle name="Migliaia 4 2 2 2 11 4 2 2" xfId="15528" xr:uid="{94575CC1-91D4-497E-99E9-8D0D314984AA}"/>
    <cellStyle name="Migliaia 4 2 2 2 11 4 2 2 2" xfId="30705" xr:uid="{B903F191-7213-42DB-BEAD-8A698C96F181}"/>
    <cellStyle name="Migliaia 4 2 2 2 11 4 2 3" xfId="27160" xr:uid="{6D12E6D1-DFA3-4990-B2A5-07133A98F576}"/>
    <cellStyle name="Migliaia 4 2 2 2 11 4 3" xfId="7808" xr:uid="{8FD53D03-3C9E-4DC3-A81B-7302BBAB8E9C}"/>
    <cellStyle name="Migliaia 4 2 2 2 11 4 3 2" xfId="22988" xr:uid="{3BB90762-54F0-466D-B423-0278ACD45296}"/>
    <cellStyle name="Migliaia 4 2 2 2 11 4 4" xfId="19700" xr:uid="{333DCEAD-DA38-4221-8A55-26B092BF84C5}"/>
    <cellStyle name="Migliaia 4 2 2 2 11 5" xfId="2089" xr:uid="{2C7B44E6-6D0A-42C0-B696-AFCACEDF8248}"/>
    <cellStyle name="Migliaia 4 2 2 2 11 5 2" xfId="9586" xr:uid="{85DDC520-7AD8-4666-9B05-57D45C8B414E}"/>
    <cellStyle name="Migliaia 4 2 2 2 11 5 2 2" xfId="24764" xr:uid="{7FDC5487-125D-4FA2-A054-9500E11856D8}"/>
    <cellStyle name="Migliaia 4 2 2 2 11 5 3" xfId="17304" xr:uid="{35321296-670A-4489-BC40-DE506FB09C32}"/>
    <cellStyle name="Migliaia 4 2 2 2 11 6" xfId="9072" xr:uid="{088E2B81-71CD-44B8-84CB-F0C198A6ED87}"/>
    <cellStyle name="Migliaia 4 2 2 2 11 6 2" xfId="13245" xr:uid="{6F426883-4887-452D-9567-2FED11097705}"/>
    <cellStyle name="Migliaia 4 2 2 2 11 6 2 2" xfId="28422" xr:uid="{260F1DE5-1F08-40E6-BB89-230E5FCFBB30}"/>
    <cellStyle name="Migliaia 4 2 2 2 11 6 3" xfId="24250" xr:uid="{889F51C9-F7BB-4C0A-8FF6-60A57A25C0BB}"/>
    <cellStyle name="Migliaia 4 2 2 2 11 7" xfId="5412" xr:uid="{4E97037B-84EA-478E-9BD8-A3E81977B1C0}"/>
    <cellStyle name="Migliaia 4 2 2 2 11 7 2" xfId="20592" xr:uid="{CAA5718C-8AEA-412D-AA3A-E0EFB8D06BF2}"/>
    <cellStyle name="Migliaia 4 2 2 2 11 8" xfId="16790" xr:uid="{CAF98E11-128F-43AE-9C22-8A6B1749F5C8}"/>
    <cellStyle name="Migliaia 4 2 2 2 12" xfId="1658" xr:uid="{5CDBFC0D-BDA1-4405-82D0-983D816508B1}"/>
    <cellStyle name="Migliaia 4 2 2 2 12 2" xfId="3077" xr:uid="{44D545EA-B3FE-42FE-9469-E410F7C417D5}"/>
    <cellStyle name="Migliaia 4 2 2 2 12 2 2" xfId="10568" xr:uid="{B0D539F9-2940-49B4-9D78-F206B571B646}"/>
    <cellStyle name="Migliaia 4 2 2 2 12 2 2 2" xfId="14114" xr:uid="{9C76C4E4-E04B-42A7-8EAA-9CFE532EC90C}"/>
    <cellStyle name="Migliaia 4 2 2 2 12 2 2 2 2" xfId="29291" xr:uid="{1909950C-D5EE-4CFD-A395-46156482A613}"/>
    <cellStyle name="Migliaia 4 2 2 2 12 2 2 3" xfId="25746" xr:uid="{11CBC2FB-3840-43B4-89C6-AF7EA77275A5}"/>
    <cellStyle name="Migliaia 4 2 2 2 12 2 3" xfId="6394" xr:uid="{F98827F0-B3AB-4FE5-8C7E-04E3F5D8A56F}"/>
    <cellStyle name="Migliaia 4 2 2 2 12 2 3 2" xfId="21574" xr:uid="{88F8C4B6-1BD2-487D-B752-40057509565B}"/>
    <cellStyle name="Migliaia 4 2 2 2 12 2 4" xfId="18286" xr:uid="{094EA2FF-A308-4A62-8390-A2718E1A51EB}"/>
    <cellStyle name="Migliaia 4 2 2 2 12 3" xfId="3964" xr:uid="{705CB5AE-9AE3-4A00-8564-06E12A017B4F}"/>
    <cellStyle name="Migliaia 4 2 2 2 12 3 2" xfId="11452" xr:uid="{1F78AA47-D0C3-4AC3-81D3-52010ED97AB1}"/>
    <cellStyle name="Migliaia 4 2 2 2 12 3 2 2" xfId="14998" xr:uid="{9D89B212-9FC5-4251-8E04-9123E22632A0}"/>
    <cellStyle name="Migliaia 4 2 2 2 12 3 2 2 2" xfId="30175" xr:uid="{47FED0D3-E7EA-4894-A040-53A533E94A8F}"/>
    <cellStyle name="Migliaia 4 2 2 2 12 3 2 3" xfId="26630" xr:uid="{D480177B-2D4A-44AE-A47A-88209FAE756C}"/>
    <cellStyle name="Migliaia 4 2 2 2 12 3 3" xfId="7278" xr:uid="{F54C1ABA-3E34-474C-B0B5-8A8FF7254553}"/>
    <cellStyle name="Migliaia 4 2 2 2 12 3 3 2" xfId="22458" xr:uid="{5698ABEB-1C7F-4FF2-91FD-504DCB13F30E}"/>
    <cellStyle name="Migliaia 4 2 2 2 12 3 4" xfId="19170" xr:uid="{0E4DE130-08F0-4BC5-BDBC-659818FC7CE5}"/>
    <cellStyle name="Migliaia 4 2 2 2 12 4" xfId="4498" xr:uid="{164758B0-2E15-4DBC-A3DE-06778AEB4F36}"/>
    <cellStyle name="Migliaia 4 2 2 2 12 4 2" xfId="11983" xr:uid="{7C1B0DAD-91DD-4CBE-A003-45B9253D61CA}"/>
    <cellStyle name="Migliaia 4 2 2 2 12 4 2 2" xfId="15529" xr:uid="{65E8A258-EDBE-4518-B26C-58CDC2EABD8E}"/>
    <cellStyle name="Migliaia 4 2 2 2 12 4 2 2 2" xfId="30706" xr:uid="{F4CDE8ED-9D35-4246-B42B-965E768ADD7B}"/>
    <cellStyle name="Migliaia 4 2 2 2 12 4 2 3" xfId="27161" xr:uid="{0B8172CE-EE79-4855-A935-81691694E801}"/>
    <cellStyle name="Migliaia 4 2 2 2 12 4 3" xfId="7809" xr:uid="{49CEFE0F-CE52-4A1E-BC30-CAE715CA6674}"/>
    <cellStyle name="Migliaia 4 2 2 2 12 4 3 2" xfId="22989" xr:uid="{1A801E83-AE0E-4B2B-B804-F90E4B5A4E85}"/>
    <cellStyle name="Migliaia 4 2 2 2 12 4 4" xfId="19701" xr:uid="{F96A5DEE-65B9-4145-A167-203E8D9092A5}"/>
    <cellStyle name="Migliaia 4 2 2 2 12 5" xfId="2187" xr:uid="{01190A2A-0383-47D7-B55B-B3CA14E48ABE}"/>
    <cellStyle name="Migliaia 4 2 2 2 12 5 2" xfId="9684" xr:uid="{209BC06A-E508-4CAD-B2E5-1C8283E7DBD0}"/>
    <cellStyle name="Migliaia 4 2 2 2 12 5 2 2" xfId="24862" xr:uid="{D187AA64-B4B4-4FF8-9B55-8E0DBE4AA5DD}"/>
    <cellStyle name="Migliaia 4 2 2 2 12 5 3" xfId="17402" xr:uid="{07F1BF15-B863-4FC5-8E50-5F768B1FB6C2}"/>
    <cellStyle name="Migliaia 4 2 2 2 12 6" xfId="9170" xr:uid="{217F51C9-C8FA-4329-8FF2-199523FDCF2D}"/>
    <cellStyle name="Migliaia 4 2 2 2 12 6 2" xfId="13343" xr:uid="{1C4D42AE-3C1D-45D5-AA68-4BF2F6D7F5D6}"/>
    <cellStyle name="Migliaia 4 2 2 2 12 6 2 2" xfId="28520" xr:uid="{BF607B38-0EFC-4891-991B-EA36536AA4E4}"/>
    <cellStyle name="Migliaia 4 2 2 2 12 6 3" xfId="24348" xr:uid="{F0A9F512-97BA-45A6-AD10-A584622FCE77}"/>
    <cellStyle name="Migliaia 4 2 2 2 12 7" xfId="5510" xr:uid="{37D78E9D-A21A-4406-B89A-B96CD02841CB}"/>
    <cellStyle name="Migliaia 4 2 2 2 12 7 2" xfId="20690" xr:uid="{16325928-E448-40A7-A6F1-B65E3B6910E6}"/>
    <cellStyle name="Migliaia 4 2 2 2 12 8" xfId="16888" xr:uid="{CB0C0D72-2E79-4902-BD06-BC91D06FE6CE}"/>
    <cellStyle name="Migliaia 4 2 2 2 13" xfId="2287" xr:uid="{7A05E85F-BB1F-478B-ADD6-FB3491648F84}"/>
    <cellStyle name="Migliaia 4 2 2 2 13 2" xfId="9782" xr:uid="{82281B2D-80F7-47A0-82D7-1F6A857FC1C9}"/>
    <cellStyle name="Migliaia 4 2 2 2 13 2 2" xfId="13441" xr:uid="{9A41F340-8881-4CA5-9820-E269B154552E}"/>
    <cellStyle name="Migliaia 4 2 2 2 13 2 2 2" xfId="28618" xr:uid="{A4B96E02-3AFF-49BA-945D-9710E2E50116}"/>
    <cellStyle name="Migliaia 4 2 2 2 13 2 3" xfId="24960" xr:uid="{09F45DD4-88DF-4A70-B351-545E538E6EA0}"/>
    <cellStyle name="Migliaia 4 2 2 2 13 3" xfId="5608" xr:uid="{E714BC7F-2DDF-433C-857B-8B1EBA067F5A}"/>
    <cellStyle name="Migliaia 4 2 2 2 13 3 2" xfId="20788" xr:uid="{159C8688-AC58-4A11-89DD-3F590319C0FE}"/>
    <cellStyle name="Migliaia 4 2 2 2 13 4" xfId="17500" xr:uid="{061C9A29-0AB7-49F6-AA0F-30A2D8E705ED}"/>
    <cellStyle name="Migliaia 4 2 2 2 14" xfId="3177" xr:uid="{D845CF1B-3E94-492B-B3EA-1AF0018010AA}"/>
    <cellStyle name="Migliaia 4 2 2 2 14 2" xfId="10666" xr:uid="{C87619FA-A311-411B-9E11-1809AAF98CF3}"/>
    <cellStyle name="Migliaia 4 2 2 2 14 2 2" xfId="14212" xr:uid="{F8B5D4FB-EB5F-4CBF-81A5-FB2414C291AE}"/>
    <cellStyle name="Migliaia 4 2 2 2 14 2 2 2" xfId="29389" xr:uid="{EDD36DC2-9582-4900-A97F-3A57D3AEAD23}"/>
    <cellStyle name="Migliaia 4 2 2 2 14 2 3" xfId="25844" xr:uid="{AF7FB91A-4A68-4942-A72A-7002DBD4E61A}"/>
    <cellStyle name="Migliaia 4 2 2 2 14 3" xfId="6492" xr:uid="{97583C4A-5E2D-4656-BDE1-218B65843BA2}"/>
    <cellStyle name="Migliaia 4 2 2 2 14 3 2" xfId="21672" xr:uid="{299480E3-70DE-4AE4-82E9-AB9A35466A75}"/>
    <cellStyle name="Migliaia 4 2 2 2 14 4" xfId="18384" xr:uid="{7E12FFC5-E81D-461B-9E33-C221BDBE5BBE}"/>
    <cellStyle name="Migliaia 4 2 2 2 15" xfId="4499" xr:uid="{AC2EFC40-FD94-44A6-9DB9-C8AECDA23686}"/>
    <cellStyle name="Migliaia 4 2 2 2 15 2" xfId="11984" xr:uid="{D18AB453-C9B8-4F0D-B07D-B2396E2C7577}"/>
    <cellStyle name="Migliaia 4 2 2 2 15 2 2" xfId="15530" xr:uid="{B9DB8BB6-DBB8-4CCF-9764-9ECEEC79952F}"/>
    <cellStyle name="Migliaia 4 2 2 2 15 2 2 2" xfId="30707" xr:uid="{9ED4C718-9C62-43C1-9421-9B3ACF738E4E}"/>
    <cellStyle name="Migliaia 4 2 2 2 15 2 3" xfId="27162" xr:uid="{13AB83FB-00FF-488B-ADF1-1C4C12315999}"/>
    <cellStyle name="Migliaia 4 2 2 2 15 3" xfId="7810" xr:uid="{797D93DC-4A0E-4F11-935B-5A1606F7CB58}"/>
    <cellStyle name="Migliaia 4 2 2 2 15 3 2" xfId="22990" xr:uid="{E7B176ED-54F3-4D5C-83B2-D2E537FA4456}"/>
    <cellStyle name="Migliaia 4 2 2 2 15 4" xfId="19702" xr:uid="{438A4806-6BFD-4E1A-8739-B111C00903E5}"/>
    <cellStyle name="Migliaia 4 2 2 2 16" xfId="8383" xr:uid="{39D3EFED-515A-4A47-A691-6718B1AD7D0B}"/>
    <cellStyle name="Migliaia 4 2 2 2 16 2" xfId="12557" xr:uid="{BE3BDF6E-2322-42B1-B2A2-0582FECA5BC4}"/>
    <cellStyle name="Migliaia 4 2 2 2 16 2 2" xfId="27734" xr:uid="{3EA3E074-0E83-4B9C-A9B7-8A6139F2E83B}"/>
    <cellStyle name="Migliaia 4 2 2 2 16 3" xfId="23562" xr:uid="{300F0A39-87A7-4659-8AB4-43B0791794D6}"/>
    <cellStyle name="Migliaia 4 2 2 2 17" xfId="16102" xr:uid="{3890AD7A-CE74-4352-8731-EBCAA091CD3E}"/>
    <cellStyle name="Migliaia 4 2 2 2 18" xfId="31444" xr:uid="{E1CDE1C2-C2CA-49BC-B381-2DFD52C0AE35}"/>
    <cellStyle name="Migliaia 4 2 2 2 19" xfId="704" xr:uid="{60A9EC00-937A-4C70-9667-C18094B49E61}"/>
    <cellStyle name="Migliaia 4 2 2 2 2" xfId="602" xr:uid="{C3AF0648-595F-4475-91A1-306E4B011C4A}"/>
    <cellStyle name="Migliaia 4 2 2 2 2 10" xfId="2312" xr:uid="{E96A4BAD-FCFE-4D17-954C-AD0377BDD9F1}"/>
    <cellStyle name="Migliaia 4 2 2 2 2 10 2" xfId="9807" xr:uid="{325A4B79-240F-4FD1-9E71-4CD1AAE1BA18}"/>
    <cellStyle name="Migliaia 4 2 2 2 2 10 2 2" xfId="13466" xr:uid="{94F585E4-55EE-42CF-A972-0D0C11A0DD6C}"/>
    <cellStyle name="Migliaia 4 2 2 2 2 10 2 2 2" xfId="28643" xr:uid="{F0AC656B-DEDB-4797-ACBF-7226024AAEF9}"/>
    <cellStyle name="Migliaia 4 2 2 2 2 10 2 3" xfId="24985" xr:uid="{02228F35-6883-41D4-8014-FFFE6455F2B8}"/>
    <cellStyle name="Migliaia 4 2 2 2 2 10 3" xfId="5633" xr:uid="{AE723997-C224-4ABC-8F1F-9D51593E8F49}"/>
    <cellStyle name="Migliaia 4 2 2 2 2 10 3 2" xfId="20813" xr:uid="{02AA9F41-8B01-48D6-9005-26D8E71001D2}"/>
    <cellStyle name="Migliaia 4 2 2 2 2 10 4" xfId="17525" xr:uid="{AB104780-BEA9-48B8-9463-721873920DB7}"/>
    <cellStyle name="Migliaia 4 2 2 2 2 11" xfId="3202" xr:uid="{1184345E-704E-4F4B-BAEB-30F3227C94B4}"/>
    <cellStyle name="Migliaia 4 2 2 2 2 11 2" xfId="10691" xr:uid="{88BD78B6-D741-49BA-968D-80EC7F750588}"/>
    <cellStyle name="Migliaia 4 2 2 2 2 11 2 2" xfId="14237" xr:uid="{C385BE37-C38B-4286-A66F-89B616CCC76C}"/>
    <cellStyle name="Migliaia 4 2 2 2 2 11 2 2 2" xfId="29414" xr:uid="{B12E8A8E-3A9E-4B68-A79B-5D17C668FA5B}"/>
    <cellStyle name="Migliaia 4 2 2 2 2 11 2 3" xfId="25869" xr:uid="{F599AF60-F385-45DF-89D9-17FC8A9703A4}"/>
    <cellStyle name="Migliaia 4 2 2 2 2 11 3" xfId="6517" xr:uid="{77D7C0B7-9C4C-40E2-AEBE-F0979884F4C4}"/>
    <cellStyle name="Migliaia 4 2 2 2 2 11 3 2" xfId="21697" xr:uid="{260A6978-6254-4D91-A1B8-716FDF188881}"/>
    <cellStyle name="Migliaia 4 2 2 2 2 11 4" xfId="18409" xr:uid="{C829CE44-776D-4D8B-9289-649BDB3085AB}"/>
    <cellStyle name="Migliaia 4 2 2 2 2 12" xfId="4500" xr:uid="{9B42D2C6-AD1B-4097-A98D-CC4E1F1C6207}"/>
    <cellStyle name="Migliaia 4 2 2 2 2 12 2" xfId="11985" xr:uid="{47D94D65-6290-4606-A179-477E01899078}"/>
    <cellStyle name="Migliaia 4 2 2 2 2 12 2 2" xfId="15531" xr:uid="{EF616A8B-10CE-4540-BE8A-A62B2BAF6455}"/>
    <cellStyle name="Migliaia 4 2 2 2 2 12 2 2 2" xfId="30708" xr:uid="{F16D7B54-7915-4723-B70D-75A595A2BF6E}"/>
    <cellStyle name="Migliaia 4 2 2 2 2 12 2 3" xfId="27163" xr:uid="{3CE577A8-7221-4F50-9ECB-567F35FE61DD}"/>
    <cellStyle name="Migliaia 4 2 2 2 2 12 3" xfId="7811" xr:uid="{EC3FC551-6C9A-480D-84DB-54DF2E2FAF20}"/>
    <cellStyle name="Migliaia 4 2 2 2 2 12 3 2" xfId="22991" xr:uid="{ADD22B7F-9CD8-47AE-A09B-686D315505B4}"/>
    <cellStyle name="Migliaia 4 2 2 2 2 12 4" xfId="19703" xr:uid="{48C0BD1B-9FE3-46E2-9DAA-5F97467B3020}"/>
    <cellStyle name="Migliaia 4 2 2 2 2 13" xfId="8408" xr:uid="{631BFA1D-47E3-437A-A365-33948D80F94F}"/>
    <cellStyle name="Migliaia 4 2 2 2 2 13 2" xfId="12582" xr:uid="{A13BB970-9C81-41D2-BE26-2BC4D8E7A102}"/>
    <cellStyle name="Migliaia 4 2 2 2 2 13 2 2" xfId="27759" xr:uid="{1FD20568-2520-4656-BF7B-943EEF452287}"/>
    <cellStyle name="Migliaia 4 2 2 2 2 13 3" xfId="23587" xr:uid="{01FB1210-FFCE-4574-9BF8-44D59E5F5757}"/>
    <cellStyle name="Migliaia 4 2 2 2 2 14" xfId="16127" xr:uid="{DF768D1C-BB0D-4302-8059-E633AFF8063C}"/>
    <cellStyle name="Migliaia 4 2 2 2 2 15" xfId="31469" xr:uid="{ACCA0462-090C-4C7B-8EB2-F63C5BC6E172}"/>
    <cellStyle name="Migliaia 4 2 2 2 2 16" xfId="739" xr:uid="{B8F96930-5F59-4D4F-81BB-93F71245A627}"/>
    <cellStyle name="Migliaia 4 2 2 2 2 2" xfId="791" xr:uid="{A342EDA9-9AFB-4D0C-86C0-E6E9DBDF905C}"/>
    <cellStyle name="Migliaia 4 2 2 2 2 2 10" xfId="8457" xr:uid="{3A108527-3739-420B-91AD-27D37203183A}"/>
    <cellStyle name="Migliaia 4 2 2 2 2 2 10 2" xfId="12631" xr:uid="{4D0E162D-9845-45CC-8210-FDE90139941F}"/>
    <cellStyle name="Migliaia 4 2 2 2 2 2 10 2 2" xfId="27808" xr:uid="{6DB59D97-04B9-407D-9A96-A72E5F6F6741}"/>
    <cellStyle name="Migliaia 4 2 2 2 2 2 10 3" xfId="23636" xr:uid="{AB875E33-2A1F-485A-8086-EDB4CFF0FD92}"/>
    <cellStyle name="Migliaia 4 2 2 2 2 2 11" xfId="16176" xr:uid="{7DCF1209-A987-4737-8756-2604B731B010}"/>
    <cellStyle name="Migliaia 4 2 2 2 2 2 12" xfId="31518" xr:uid="{5BE422F8-FF6B-436D-AA51-16F6D2D91803}"/>
    <cellStyle name="Migliaia 4 2 2 2 2 2 2" xfId="968" xr:uid="{1CA0AAA5-54CD-4AA3-9830-2A32311C9D10}"/>
    <cellStyle name="Migliaia 4 2 2 2 2 2 2 10" xfId="16298" xr:uid="{37B45A21-2B20-410E-9EAC-843B4E8C1C73}"/>
    <cellStyle name="Migliaia 4 2 2 2 2 2 2 11" xfId="31388" xr:uid="{7086E4FF-1B9D-4F03-A744-DB128571192E}"/>
    <cellStyle name="Migliaia 4 2 2 2 2 2 2 12" xfId="31738" xr:uid="{5E2EF896-47BC-4C8D-92F1-1084C16CF6B7}"/>
    <cellStyle name="Migliaia 4 2 2 2 2 2 2 2" xfId="1329" xr:uid="{29C65091-46B0-452F-A3C6-5277D5050EA8}"/>
    <cellStyle name="Migliaia 4 2 2 2 2 2 2 2 2" xfId="3646" xr:uid="{1EB42A6E-0079-40C3-A733-F2EF2160DBAB}"/>
    <cellStyle name="Migliaia 4 2 2 2 2 2 2 2 2 2" xfId="11134" xr:uid="{A7CF1C61-916C-4E21-964F-F7C1FAB8A8FD}"/>
    <cellStyle name="Migliaia 4 2 2 2 2 2 2 2 2 2 2" xfId="14680" xr:uid="{4CD6D901-E52F-4C65-B51E-3C453B13D9FD}"/>
    <cellStyle name="Migliaia 4 2 2 2 2 2 2 2 2 2 2 2" xfId="29857" xr:uid="{37728510-D640-408E-9714-949BB057A437}"/>
    <cellStyle name="Migliaia 4 2 2 2 2 2 2 2 2 2 3" xfId="26312" xr:uid="{D6845BF0-2DFE-4EDF-951B-5E4582E9B362}"/>
    <cellStyle name="Migliaia 4 2 2 2 2 2 2 2 2 3" xfId="6960" xr:uid="{376832C0-5B25-42A2-B7F0-DE3FA03C815A}"/>
    <cellStyle name="Migliaia 4 2 2 2 2 2 2 2 2 3 2" xfId="22140" xr:uid="{D6057D4A-300B-4185-937C-025699D0B436}"/>
    <cellStyle name="Migliaia 4 2 2 2 2 2 2 2 2 4" xfId="18852" xr:uid="{75F42FA0-BA51-42A3-BCDB-8A431679D69F}"/>
    <cellStyle name="Migliaia 4 2 2 2 2 2 2 2 3" xfId="4501" xr:uid="{518587F7-9D9B-4B38-8491-031B3483A180}"/>
    <cellStyle name="Migliaia 4 2 2 2 2 2 2 2 3 2" xfId="11986" xr:uid="{E8F1B893-7B00-434A-A513-2BD601AFFDE6}"/>
    <cellStyle name="Migliaia 4 2 2 2 2 2 2 2 3 2 2" xfId="15532" xr:uid="{B675D509-3940-4E68-A7E6-CA4314043894}"/>
    <cellStyle name="Migliaia 4 2 2 2 2 2 2 2 3 2 2 2" xfId="30709" xr:uid="{F750698D-107A-4E7D-A681-5AEC7CBA1653}"/>
    <cellStyle name="Migliaia 4 2 2 2 2 2 2 2 3 2 3" xfId="27164" xr:uid="{53E0BA2C-F063-4465-89EE-B9D8D2A8965D}"/>
    <cellStyle name="Migliaia 4 2 2 2 2 2 2 2 3 3" xfId="7812" xr:uid="{253A9890-E7E3-4180-B0D5-E8C018A4021D}"/>
    <cellStyle name="Migliaia 4 2 2 2 2 2 2 2 3 3 2" xfId="22992" xr:uid="{7EADB098-F632-42C7-AD89-339AF472F398}"/>
    <cellStyle name="Migliaia 4 2 2 2 2 2 2 2 3 4" xfId="19704" xr:uid="{7B028A5E-6634-4B95-A985-DD6865FC74FB}"/>
    <cellStyle name="Migliaia 4 2 2 2 2 2 2 2 4" xfId="2759" xr:uid="{08A0D5B9-CA2D-4087-B933-E6140A42B8CF}"/>
    <cellStyle name="Migliaia 4 2 2 2 2 2 2 2 4 2" xfId="10250" xr:uid="{CA35D019-B99C-44E6-9A76-88D6EF38AE6D}"/>
    <cellStyle name="Migliaia 4 2 2 2 2 2 2 2 4 2 2" xfId="25428" xr:uid="{EF7E95B9-A49E-41F9-85B1-EEC1984D1636}"/>
    <cellStyle name="Migliaia 4 2 2 2 2 2 2 2 4 3" xfId="17968" xr:uid="{7E69B134-6193-47FC-BD3A-9C08CE7C1768}"/>
    <cellStyle name="Migliaia 4 2 2 2 2 2 2 2 5" xfId="8852" xr:uid="{7C18CD96-3799-4902-8716-5B370F455184}"/>
    <cellStyle name="Migliaia 4 2 2 2 2 2 2 2 5 2" xfId="13025" xr:uid="{37870138-828D-4959-9437-12E78AFAF897}"/>
    <cellStyle name="Migliaia 4 2 2 2 2 2 2 2 5 2 2" xfId="28202" xr:uid="{8A1414AF-956A-4330-83A1-4632283A859A}"/>
    <cellStyle name="Migliaia 4 2 2 2 2 2 2 2 5 3" xfId="24030" xr:uid="{46AF8E39-F00B-4E2B-9B1F-1BACCAB5BDE9}"/>
    <cellStyle name="Migliaia 4 2 2 2 2 2 2 2 6" xfId="6076" xr:uid="{7AD438AF-F6B2-4F99-8F93-4B6673072935}"/>
    <cellStyle name="Migliaia 4 2 2 2 2 2 2 2 6 2" xfId="21256" xr:uid="{DF499F02-32A4-417C-9D94-4B8C06148219}"/>
    <cellStyle name="Migliaia 4 2 2 2 2 2 2 2 7" xfId="16570" xr:uid="{0EC97A6A-8C17-4AAE-887C-119BD382CA1D}"/>
    <cellStyle name="Migliaia 4 2 2 2 2 2 2 3" xfId="2486" xr:uid="{73C1A62E-C70D-4320-A729-7970FCB2BAC7}"/>
    <cellStyle name="Migliaia 4 2 2 2 2 2 2 3 2" xfId="9978" xr:uid="{FE8EBB3C-F776-4147-8E8E-F9AEB299FBB0}"/>
    <cellStyle name="Migliaia 4 2 2 2 2 2 2 3 2 2" xfId="13637" xr:uid="{74ABBD66-3395-491E-8124-0F5873D37A4A}"/>
    <cellStyle name="Migliaia 4 2 2 2 2 2 2 3 2 2 2" xfId="28814" xr:uid="{C93B0CB2-2444-4019-8301-B154E6B94D66}"/>
    <cellStyle name="Migliaia 4 2 2 2 2 2 2 3 2 3" xfId="25156" xr:uid="{92983B49-B95F-4AD2-ABDE-9E03816856D2}"/>
    <cellStyle name="Migliaia 4 2 2 2 2 2 2 3 3" xfId="5804" xr:uid="{80EA83B0-6870-4C25-A034-96656E15EEF7}"/>
    <cellStyle name="Migliaia 4 2 2 2 2 2 2 3 3 2" xfId="20984" xr:uid="{27307CB3-D924-4068-8CC5-8F3D3436C510}"/>
    <cellStyle name="Migliaia 4 2 2 2 2 2 2 3 4" xfId="17696" xr:uid="{BE25AA14-ED05-4015-B03C-3E66B0EAFB70}"/>
    <cellStyle name="Migliaia 4 2 2 2 2 2 2 4" xfId="3374" xr:uid="{DACCE28C-19F3-4FEA-857F-42377DAA890D}"/>
    <cellStyle name="Migliaia 4 2 2 2 2 2 2 4 2" xfId="10862" xr:uid="{9F5AAFEC-BE97-4936-AD0B-E5B402E56948}"/>
    <cellStyle name="Migliaia 4 2 2 2 2 2 2 4 2 2" xfId="14408" xr:uid="{B9E7C155-3748-40D4-8BBE-50CD245E8926}"/>
    <cellStyle name="Migliaia 4 2 2 2 2 2 2 4 2 2 2" xfId="29585" xr:uid="{4442B581-C9EB-48F0-B86B-40E9A1725712}"/>
    <cellStyle name="Migliaia 4 2 2 2 2 2 2 4 2 3" xfId="26040" xr:uid="{4519B82D-5308-4B93-A97D-1E64765C7DD7}"/>
    <cellStyle name="Migliaia 4 2 2 2 2 2 2 4 3" xfId="6688" xr:uid="{F3C7A809-0A84-41B6-860D-3B94C5F2F522}"/>
    <cellStyle name="Migliaia 4 2 2 2 2 2 2 4 3 2" xfId="21868" xr:uid="{74602F88-C2D2-4337-A949-C621E42362E8}"/>
    <cellStyle name="Migliaia 4 2 2 2 2 2 2 4 4" xfId="18580" xr:uid="{D64313A6-6242-4411-AFE7-63BFD33A2D6A}"/>
    <cellStyle name="Migliaia 4 2 2 2 2 2 2 5" xfId="4502" xr:uid="{E91B7B75-99DD-49A0-ACD7-698EF63D303E}"/>
    <cellStyle name="Migliaia 4 2 2 2 2 2 2 5 2" xfId="11987" xr:uid="{A95C746D-7F83-4788-8E3B-DD965B6BC3E4}"/>
    <cellStyle name="Migliaia 4 2 2 2 2 2 2 5 2 2" xfId="15533" xr:uid="{7B1C96E9-2A5F-4FD3-9416-75FC47B91934}"/>
    <cellStyle name="Migliaia 4 2 2 2 2 2 2 5 2 2 2" xfId="30710" xr:uid="{F84A81DF-E250-4EA9-B8F3-52C7DD520011}"/>
    <cellStyle name="Migliaia 4 2 2 2 2 2 2 5 2 3" xfId="27165" xr:uid="{B38F35D6-4847-430E-811D-29DBF8AD301E}"/>
    <cellStyle name="Migliaia 4 2 2 2 2 2 2 5 3" xfId="7813" xr:uid="{DB03BCCF-AD4E-4478-8EBB-EAE86B4A00E1}"/>
    <cellStyle name="Migliaia 4 2 2 2 2 2 2 5 3 2" xfId="22993" xr:uid="{A22F8652-BBA9-4784-B1C7-F04A2411F8ED}"/>
    <cellStyle name="Migliaia 4 2 2 2 2 2 2 5 4" xfId="19705" xr:uid="{9FCA12D2-FE4F-48EB-8A79-3CFA2D2CAC8C}"/>
    <cellStyle name="Migliaia 4 2 2 2 2 2 2 6" xfId="5048" xr:uid="{4A2A0EF7-232C-4150-8568-1D9BD5A92029}"/>
    <cellStyle name="Migliaia 4 2 2 2 2 2 2 6 2" xfId="12532" xr:uid="{C788610D-996A-41D9-A366-915976F40E20}"/>
    <cellStyle name="Migliaia 4 2 2 2 2 2 2 6 2 2" xfId="16078" xr:uid="{C7A9C26F-368E-49E1-8173-EAA9846D0A37}"/>
    <cellStyle name="Migliaia 4 2 2 2 2 2 2 6 2 2 2" xfId="31255" xr:uid="{4155DD0E-C6FF-456B-B798-450F2D8D5782}"/>
    <cellStyle name="Migliaia 4 2 2 2 2 2 2 6 2 3" xfId="27710" xr:uid="{2E9585B9-7940-4DE1-866D-1B2791B95D50}"/>
    <cellStyle name="Migliaia 4 2 2 2 2 2 2 6 3" xfId="8358" xr:uid="{CB672A81-AB44-43B9-A03C-63DA601DF3EE}"/>
    <cellStyle name="Migliaia 4 2 2 2 2 2 2 6 3 2" xfId="23538" xr:uid="{FCDBF247-D638-4F31-84BF-17A4C6065334}"/>
    <cellStyle name="Migliaia 4 2 2 2 2 2 2 6 4" xfId="20250" xr:uid="{CA95A5B1-81B2-4571-BADE-42634DE01DFE}"/>
    <cellStyle name="Migliaia 4 2 2 2 2 2 2 7" xfId="1869" xr:uid="{E1972C1C-817C-4B8A-899B-8B7072F9F96C}"/>
    <cellStyle name="Migliaia 4 2 2 2 2 2 2 7 2" xfId="9366" xr:uid="{75D1C55E-AC6F-48FC-926B-12104FFF7E2D}"/>
    <cellStyle name="Migliaia 4 2 2 2 2 2 2 7 2 2" xfId="24544" xr:uid="{A44122B8-85E0-4A8E-8481-FCBAD3B66A52}"/>
    <cellStyle name="Migliaia 4 2 2 2 2 2 2 7 3" xfId="17084" xr:uid="{E8AAFE82-A67E-4B90-B6BB-32F02EA6477D}"/>
    <cellStyle name="Migliaia 4 2 2 2 2 2 2 8" xfId="8580" xr:uid="{668CAB19-7C5F-40AD-93EE-80AD73751CA3}"/>
    <cellStyle name="Migliaia 4 2 2 2 2 2 2 8 2" xfId="12753" xr:uid="{0A591611-7450-499E-9778-2232E3DFDB80}"/>
    <cellStyle name="Migliaia 4 2 2 2 2 2 2 8 2 2" xfId="27930" xr:uid="{E7B7985B-C580-4A19-92B6-46C099517F3A}"/>
    <cellStyle name="Migliaia 4 2 2 2 2 2 2 8 3" xfId="23758" xr:uid="{8C70E351-5BEA-4679-86B9-CB861A482274}"/>
    <cellStyle name="Migliaia 4 2 2 2 2 2 2 9" xfId="5192" xr:uid="{2F05D270-5811-41C2-9234-B84B7205CDA1}"/>
    <cellStyle name="Migliaia 4 2 2 2 2 2 2 9 2" xfId="20372" xr:uid="{441136D0-F349-4A55-BEE8-4C01F7563B43}"/>
    <cellStyle name="Migliaia 4 2 2 2 2 2 3" xfId="1071" xr:uid="{B4A1A78C-5794-43B5-B505-64A70E4FE0F7}"/>
    <cellStyle name="Migliaia 4 2 2 2 2 2 3 10" xfId="31616" xr:uid="{CFD85EC9-F0F4-4E15-9576-0C7082E44EEA}"/>
    <cellStyle name="Migliaia 4 2 2 2 2 2 3 2" xfId="1431" xr:uid="{F6D27064-B780-4C2B-A2D3-6A8FFD54FA12}"/>
    <cellStyle name="Migliaia 4 2 2 2 2 2 3 2 2" xfId="3744" xr:uid="{95E0D831-F627-4E26-AC8E-BE75C1E1BBD6}"/>
    <cellStyle name="Migliaia 4 2 2 2 2 2 3 2 2 2" xfId="11232" xr:uid="{58860FDA-A30B-4BC7-B250-1AEC3D98DB82}"/>
    <cellStyle name="Migliaia 4 2 2 2 2 2 3 2 2 2 2" xfId="14778" xr:uid="{5E5D3E60-23C3-4B62-8993-C783DEDF0760}"/>
    <cellStyle name="Migliaia 4 2 2 2 2 2 3 2 2 2 2 2" xfId="29955" xr:uid="{66639C3E-C415-43A3-85B2-123CC85E8417}"/>
    <cellStyle name="Migliaia 4 2 2 2 2 2 3 2 2 2 3" xfId="26410" xr:uid="{49119176-162A-453F-AD14-17BD06FA36FB}"/>
    <cellStyle name="Migliaia 4 2 2 2 2 2 3 2 2 3" xfId="7058" xr:uid="{B7105C86-A026-4E77-91E6-463A40990D64}"/>
    <cellStyle name="Migliaia 4 2 2 2 2 2 3 2 2 3 2" xfId="22238" xr:uid="{A75293E5-303E-4C37-99E9-D6BEE2FD3D64}"/>
    <cellStyle name="Migliaia 4 2 2 2 2 2 3 2 2 4" xfId="18950" xr:uid="{9C86C265-525E-471F-8922-B8809C9B9E0F}"/>
    <cellStyle name="Migliaia 4 2 2 2 2 2 3 2 3" xfId="4503" xr:uid="{6D11D969-17E4-4803-ABAF-82C0023D3371}"/>
    <cellStyle name="Migliaia 4 2 2 2 2 2 3 2 3 2" xfId="11988" xr:uid="{006B8C16-CDC9-4E9B-95CC-228F167595CC}"/>
    <cellStyle name="Migliaia 4 2 2 2 2 2 3 2 3 2 2" xfId="15534" xr:uid="{744474B4-EFFE-4A7C-840D-F59BCB0BCE5C}"/>
    <cellStyle name="Migliaia 4 2 2 2 2 2 3 2 3 2 2 2" xfId="30711" xr:uid="{7A9B87FE-AC1C-4BF6-A5D7-869A6965BD8D}"/>
    <cellStyle name="Migliaia 4 2 2 2 2 2 3 2 3 2 3" xfId="27166" xr:uid="{37FA1375-99B7-4D56-AFD4-5E86C83013A8}"/>
    <cellStyle name="Migliaia 4 2 2 2 2 2 3 2 3 3" xfId="7814" xr:uid="{E1B545F7-623A-4AAB-B8DD-1C06D7385722}"/>
    <cellStyle name="Migliaia 4 2 2 2 2 2 3 2 3 3 2" xfId="22994" xr:uid="{DF91AAAE-A83B-4A01-BA63-85196FB3CB3A}"/>
    <cellStyle name="Migliaia 4 2 2 2 2 2 3 2 3 4" xfId="19706" xr:uid="{4B13CD6C-B16E-4FE8-A7F8-388715A42578}"/>
    <cellStyle name="Migliaia 4 2 2 2 2 2 3 2 4" xfId="2857" xr:uid="{CE1AC03C-3ABE-40EA-A325-B9F5D6D9A265}"/>
    <cellStyle name="Migliaia 4 2 2 2 2 2 3 2 4 2" xfId="10348" xr:uid="{4FD39FE0-E829-4367-B45C-1B9931DDF1F6}"/>
    <cellStyle name="Migliaia 4 2 2 2 2 2 3 2 4 2 2" xfId="25526" xr:uid="{E8A16B0E-F966-4478-8C9E-EF2A132FD74D}"/>
    <cellStyle name="Migliaia 4 2 2 2 2 2 3 2 4 3" xfId="18066" xr:uid="{8FB0E87B-8B42-4E9F-9C64-3446DDC6D3FB}"/>
    <cellStyle name="Migliaia 4 2 2 2 2 2 3 2 5" xfId="8950" xr:uid="{67D1907A-B85C-4983-AA9B-1B1C5E7A9268}"/>
    <cellStyle name="Migliaia 4 2 2 2 2 2 3 2 5 2" xfId="13123" xr:uid="{599DE977-0E6A-434F-99B4-9CFD53FBF5AC}"/>
    <cellStyle name="Migliaia 4 2 2 2 2 2 3 2 5 2 2" xfId="28300" xr:uid="{D9107FAB-9800-44C4-A0CD-3FAC7D539CC3}"/>
    <cellStyle name="Migliaia 4 2 2 2 2 2 3 2 5 3" xfId="24128" xr:uid="{4FA963CD-4BF5-4370-98E2-72DC48015A6B}"/>
    <cellStyle name="Migliaia 4 2 2 2 2 2 3 2 6" xfId="6174" xr:uid="{C2FF173E-2232-4DBE-B17B-93353925570D}"/>
    <cellStyle name="Migliaia 4 2 2 2 2 2 3 2 6 2" xfId="21354" xr:uid="{7404B607-AED8-4821-AD04-9C1CE68CC21A}"/>
    <cellStyle name="Migliaia 4 2 2 2 2 2 3 2 7" xfId="16668" xr:uid="{597C973E-10F3-428F-9339-94A33516D0D5}"/>
    <cellStyle name="Migliaia 4 2 2 2 2 2 3 3" xfId="2584" xr:uid="{C5B40B26-D463-49BE-89E5-C0B91A71FE19}"/>
    <cellStyle name="Migliaia 4 2 2 2 2 2 3 3 2" xfId="10076" xr:uid="{C2924F29-E3AC-4234-9ECF-F53C5F8AB664}"/>
    <cellStyle name="Migliaia 4 2 2 2 2 2 3 3 2 2" xfId="13735" xr:uid="{BF0CF1C2-89C4-4B9B-BF3F-2836D6A4B1B2}"/>
    <cellStyle name="Migliaia 4 2 2 2 2 2 3 3 2 2 2" xfId="28912" xr:uid="{AD13BDE4-7972-4B4E-89F8-B4F1A1011905}"/>
    <cellStyle name="Migliaia 4 2 2 2 2 2 3 3 2 3" xfId="25254" xr:uid="{7A20A852-B93E-450A-AB13-EE4144A2FDF1}"/>
    <cellStyle name="Migliaia 4 2 2 2 2 2 3 3 3" xfId="5902" xr:uid="{C072A21D-7AC8-4BAF-BCDB-193EA375DF12}"/>
    <cellStyle name="Migliaia 4 2 2 2 2 2 3 3 3 2" xfId="21082" xr:uid="{A0783A6A-8DCB-4B28-A469-CD73A58D9EC4}"/>
    <cellStyle name="Migliaia 4 2 2 2 2 2 3 3 4" xfId="17794" xr:uid="{9BB67235-4097-4DA9-8E9E-B5BCC78AA261}"/>
    <cellStyle name="Migliaia 4 2 2 2 2 2 3 4" xfId="3472" xr:uid="{7F5B07A0-4017-4E7E-BDF5-314ED909A536}"/>
    <cellStyle name="Migliaia 4 2 2 2 2 2 3 4 2" xfId="10960" xr:uid="{CE02CEB4-21AE-489A-989A-24ADC2C897F2}"/>
    <cellStyle name="Migliaia 4 2 2 2 2 2 3 4 2 2" xfId="14506" xr:uid="{EC606441-203F-445F-B858-9F356B9B7829}"/>
    <cellStyle name="Migliaia 4 2 2 2 2 2 3 4 2 2 2" xfId="29683" xr:uid="{AB32A3A5-04F9-47C4-9580-50CA3A83F2A1}"/>
    <cellStyle name="Migliaia 4 2 2 2 2 2 3 4 2 3" xfId="26138" xr:uid="{CCE6FBE2-0F11-4943-AF47-DAD73C237793}"/>
    <cellStyle name="Migliaia 4 2 2 2 2 2 3 4 3" xfId="6786" xr:uid="{90B9F88C-D069-4D68-81F0-D69A16AB308D}"/>
    <cellStyle name="Migliaia 4 2 2 2 2 2 3 4 3 2" xfId="21966" xr:uid="{5193F0B4-594B-4E6B-A87D-554CC8C3365D}"/>
    <cellStyle name="Migliaia 4 2 2 2 2 2 3 4 4" xfId="18678" xr:uid="{A9092F56-06E8-418C-9DD6-2DA670657449}"/>
    <cellStyle name="Migliaia 4 2 2 2 2 2 3 5" xfId="4504" xr:uid="{BC8B3358-D7F3-4E52-9983-6A196729390A}"/>
    <cellStyle name="Migliaia 4 2 2 2 2 2 3 5 2" xfId="11989" xr:uid="{65132B97-95C2-4C3F-B3B2-37B73EBB3E36}"/>
    <cellStyle name="Migliaia 4 2 2 2 2 2 3 5 2 2" xfId="15535" xr:uid="{8585C946-9B98-4608-B266-E25D0877F2D9}"/>
    <cellStyle name="Migliaia 4 2 2 2 2 2 3 5 2 2 2" xfId="30712" xr:uid="{DA5DE151-2E3C-4258-BBE6-32F46AE982E1}"/>
    <cellStyle name="Migliaia 4 2 2 2 2 2 3 5 2 3" xfId="27167" xr:uid="{2D7CCE5B-EC6B-47B7-8E8D-BE679F1B1D00}"/>
    <cellStyle name="Migliaia 4 2 2 2 2 2 3 5 3" xfId="7815" xr:uid="{C83F898D-7996-49D1-95A3-4468EF09D565}"/>
    <cellStyle name="Migliaia 4 2 2 2 2 2 3 5 3 2" xfId="22995" xr:uid="{AF68BAFA-75D2-4233-AEBB-24FF5AB73766}"/>
    <cellStyle name="Migliaia 4 2 2 2 2 2 3 5 4" xfId="19707" xr:uid="{995C5A08-524D-4F3A-8224-F98B45D0E899}"/>
    <cellStyle name="Migliaia 4 2 2 2 2 2 3 6" xfId="1967" xr:uid="{6E6CFF18-FF7D-4F7D-A864-96FAAF136472}"/>
    <cellStyle name="Migliaia 4 2 2 2 2 2 3 6 2" xfId="9464" xr:uid="{373A47BD-49CD-4BBF-8785-32B4DC0EAF23}"/>
    <cellStyle name="Migliaia 4 2 2 2 2 2 3 6 2 2" xfId="24642" xr:uid="{A5F3B320-2897-4567-AE82-B59D090AAAC4}"/>
    <cellStyle name="Migliaia 4 2 2 2 2 2 3 6 3" xfId="17182" xr:uid="{1921CA9A-48E2-4DA8-A400-2ADE0AF14409}"/>
    <cellStyle name="Migliaia 4 2 2 2 2 2 3 7" xfId="8678" xr:uid="{BD68C44D-4E20-4BFC-B1D2-B526BEC1E00B}"/>
    <cellStyle name="Migliaia 4 2 2 2 2 2 3 7 2" xfId="12851" xr:uid="{020C4912-92E7-4B7C-A54B-5C473A9FC5F8}"/>
    <cellStyle name="Migliaia 4 2 2 2 2 2 3 7 2 2" xfId="28028" xr:uid="{126CFC11-FABB-4877-B418-94C812A635D8}"/>
    <cellStyle name="Migliaia 4 2 2 2 2 2 3 7 3" xfId="23856" xr:uid="{C9B1C04F-21E9-4AA0-9D37-072167FEAD1C}"/>
    <cellStyle name="Migliaia 4 2 2 2 2 2 3 8" xfId="5290" xr:uid="{CD72EC44-6FAA-40D2-A044-CC9A87C2CFC2}"/>
    <cellStyle name="Migliaia 4 2 2 2 2 2 3 8 2" xfId="20470" xr:uid="{F8A5E0C4-EC71-41E8-A880-EB4B4611B7D6}"/>
    <cellStyle name="Migliaia 4 2 2 2 2 2 3 9" xfId="16396" xr:uid="{E45CD28A-35E1-41F5-BD66-84B0B7E3A729}"/>
    <cellStyle name="Migliaia 4 2 2 2 2 2 4" xfId="1530" xr:uid="{00EA06A5-AFA8-47E6-A3E6-A858637754E7}"/>
    <cellStyle name="Migliaia 4 2 2 2 2 2 4 2" xfId="2955" xr:uid="{8FE8B644-C478-480F-AA0F-5A59EDEE8457}"/>
    <cellStyle name="Migliaia 4 2 2 2 2 2 4 2 2" xfId="10446" xr:uid="{53DB094F-FEF0-490E-A9DE-AA67CF21AE96}"/>
    <cellStyle name="Migliaia 4 2 2 2 2 2 4 2 2 2" xfId="13992" xr:uid="{14B57C77-824C-444C-A918-ED2CC0DBDF63}"/>
    <cellStyle name="Migliaia 4 2 2 2 2 2 4 2 2 2 2" xfId="29169" xr:uid="{E4C51D72-1CFF-4496-BE3D-1E5530007C79}"/>
    <cellStyle name="Migliaia 4 2 2 2 2 2 4 2 2 3" xfId="25624" xr:uid="{F2D05632-F35B-4C62-802E-ED90F1AB1451}"/>
    <cellStyle name="Migliaia 4 2 2 2 2 2 4 2 3" xfId="6272" xr:uid="{D90FFBCA-93D9-4A64-A1AF-35257C66C73D}"/>
    <cellStyle name="Migliaia 4 2 2 2 2 2 4 2 3 2" xfId="21452" xr:uid="{EA9DA2ED-4FA3-40C0-A50E-02AA37158576}"/>
    <cellStyle name="Migliaia 4 2 2 2 2 2 4 2 4" xfId="18164" xr:uid="{69072DCD-1370-4A11-9497-DB13B8101B00}"/>
    <cellStyle name="Migliaia 4 2 2 2 2 2 4 3" xfId="3842" xr:uid="{9F7DA98C-1263-43E9-89FA-AB1EEB6C909A}"/>
    <cellStyle name="Migliaia 4 2 2 2 2 2 4 3 2" xfId="11330" xr:uid="{3CD72212-854B-4DD6-AD76-F9E51F14E9DA}"/>
    <cellStyle name="Migliaia 4 2 2 2 2 2 4 3 2 2" xfId="14876" xr:uid="{B085355F-AD39-4328-88FC-818E7EFC668D}"/>
    <cellStyle name="Migliaia 4 2 2 2 2 2 4 3 2 2 2" xfId="30053" xr:uid="{0AD28153-E2BE-4C1B-ABA4-CDB115AF04CD}"/>
    <cellStyle name="Migliaia 4 2 2 2 2 2 4 3 2 3" xfId="26508" xr:uid="{46E047DF-4D28-4D6C-8F5F-92875EAEF139}"/>
    <cellStyle name="Migliaia 4 2 2 2 2 2 4 3 3" xfId="7156" xr:uid="{4C1C6FE8-0932-43F2-A907-E53B6B51FC97}"/>
    <cellStyle name="Migliaia 4 2 2 2 2 2 4 3 3 2" xfId="22336" xr:uid="{E46A3E54-C679-439F-BAC9-8803B0C8BFCB}"/>
    <cellStyle name="Migliaia 4 2 2 2 2 2 4 3 4" xfId="19048" xr:uid="{D995E60B-2338-419B-8A0D-29A393A01EB4}"/>
    <cellStyle name="Migliaia 4 2 2 2 2 2 4 4" xfId="4505" xr:uid="{E8C9584E-133A-48D4-B16E-B86F556FF0C6}"/>
    <cellStyle name="Migliaia 4 2 2 2 2 2 4 4 2" xfId="11990" xr:uid="{5E999831-5221-4DF8-A2CB-317915E6EC9A}"/>
    <cellStyle name="Migliaia 4 2 2 2 2 2 4 4 2 2" xfId="15536" xr:uid="{CD63E8F2-8653-4394-B605-BB98B99520D0}"/>
    <cellStyle name="Migliaia 4 2 2 2 2 2 4 4 2 2 2" xfId="30713" xr:uid="{B9F59A80-CB27-428D-B3C0-43EF7214F349}"/>
    <cellStyle name="Migliaia 4 2 2 2 2 2 4 4 2 3" xfId="27168" xr:uid="{A89A4C87-E973-4DFF-8B02-2AF8C03E7A24}"/>
    <cellStyle name="Migliaia 4 2 2 2 2 2 4 4 3" xfId="7816" xr:uid="{EA891C96-56BE-4FA7-92EA-C069A99B4F36}"/>
    <cellStyle name="Migliaia 4 2 2 2 2 2 4 4 3 2" xfId="22996" xr:uid="{B29F3267-5D37-4D41-BF2D-66C62BB16DCA}"/>
    <cellStyle name="Migliaia 4 2 2 2 2 2 4 4 4" xfId="19708" xr:uid="{BCFC1E9B-6BCE-48DA-AF6C-C7870A2EF772}"/>
    <cellStyle name="Migliaia 4 2 2 2 2 2 4 5" xfId="2065" xr:uid="{A551D499-0469-4932-8F27-82F9DF9D2A41}"/>
    <cellStyle name="Migliaia 4 2 2 2 2 2 4 5 2" xfId="9562" xr:uid="{3E308B1F-AD45-4333-8B4E-C158CDA17CF9}"/>
    <cellStyle name="Migliaia 4 2 2 2 2 2 4 5 2 2" xfId="24740" xr:uid="{240E58C7-F3C2-40D3-9F66-A48DFA613DA8}"/>
    <cellStyle name="Migliaia 4 2 2 2 2 2 4 5 3" xfId="17280" xr:uid="{849E23FE-BDEF-4E56-983E-13D861F638A2}"/>
    <cellStyle name="Migliaia 4 2 2 2 2 2 4 6" xfId="9048" xr:uid="{D2BA200D-7A2B-471B-9A93-076471541A4F}"/>
    <cellStyle name="Migliaia 4 2 2 2 2 2 4 6 2" xfId="13221" xr:uid="{AEF5BA84-7BD2-444D-ABF9-2BAEEA841DA8}"/>
    <cellStyle name="Migliaia 4 2 2 2 2 2 4 6 2 2" xfId="28398" xr:uid="{537EA093-8F61-4DE7-AFA6-94192B6B2030}"/>
    <cellStyle name="Migliaia 4 2 2 2 2 2 4 6 3" xfId="24226" xr:uid="{ED03A6A4-8B32-425C-834F-10F95F86FF8D}"/>
    <cellStyle name="Migliaia 4 2 2 2 2 2 4 7" xfId="5388" xr:uid="{471511B0-F599-4923-92C9-C71DCD162F00}"/>
    <cellStyle name="Migliaia 4 2 2 2 2 2 4 7 2" xfId="20568" xr:uid="{A38C5C54-7063-46C7-8867-819445BF3013}"/>
    <cellStyle name="Migliaia 4 2 2 2 2 2 4 8" xfId="16766" xr:uid="{6525BF73-7C01-491A-AE48-F7EE67F5A4D5}"/>
    <cellStyle name="Migliaia 4 2 2 2 2 2 5" xfId="1633" xr:uid="{430E5E9D-305E-4816-85E7-9F417A776286}"/>
    <cellStyle name="Migliaia 4 2 2 2 2 2 5 2" xfId="3053" xr:uid="{DCF0F5B3-9EC0-461D-ACE8-01E61FDD2461}"/>
    <cellStyle name="Migliaia 4 2 2 2 2 2 5 2 2" xfId="10544" xr:uid="{E413006B-4CDA-4C40-B58A-B5D7CDADFF99}"/>
    <cellStyle name="Migliaia 4 2 2 2 2 2 5 2 2 2" xfId="14090" xr:uid="{2FF4080D-CA13-4583-9623-C91CCACAD87B}"/>
    <cellStyle name="Migliaia 4 2 2 2 2 2 5 2 2 2 2" xfId="29267" xr:uid="{AE84DD35-A883-433F-B3C2-8B5C419AE373}"/>
    <cellStyle name="Migliaia 4 2 2 2 2 2 5 2 2 3" xfId="25722" xr:uid="{AFDA08D3-90BB-4455-A1DE-2398090CC03D}"/>
    <cellStyle name="Migliaia 4 2 2 2 2 2 5 2 3" xfId="6370" xr:uid="{2E825B14-93C5-4D3B-B4CB-EC46AEEA0E50}"/>
    <cellStyle name="Migliaia 4 2 2 2 2 2 5 2 3 2" xfId="21550" xr:uid="{9558C012-C889-4A3F-9519-1B94984BCCC8}"/>
    <cellStyle name="Migliaia 4 2 2 2 2 2 5 2 4" xfId="18262" xr:uid="{2FB2B9E5-7905-4B22-B3E3-ACB35E26AE5B}"/>
    <cellStyle name="Migliaia 4 2 2 2 2 2 5 3" xfId="3940" xr:uid="{B8FFBD8F-8A81-4966-A479-6687D096145D}"/>
    <cellStyle name="Migliaia 4 2 2 2 2 2 5 3 2" xfId="11428" xr:uid="{A23F59BE-EDE2-43BB-9851-91AA0080F500}"/>
    <cellStyle name="Migliaia 4 2 2 2 2 2 5 3 2 2" xfId="14974" xr:uid="{F9FC65C4-8B09-44A7-8375-F8B8D0215EB5}"/>
    <cellStyle name="Migliaia 4 2 2 2 2 2 5 3 2 2 2" xfId="30151" xr:uid="{DA8A476F-F151-42EF-BC68-71FFE3F72F79}"/>
    <cellStyle name="Migliaia 4 2 2 2 2 2 5 3 2 3" xfId="26606" xr:uid="{6540250A-F502-4EDE-9706-C5393AA02F98}"/>
    <cellStyle name="Migliaia 4 2 2 2 2 2 5 3 3" xfId="7254" xr:uid="{283C7E04-7AFF-42C8-9E69-ED62E19A1C48}"/>
    <cellStyle name="Migliaia 4 2 2 2 2 2 5 3 3 2" xfId="22434" xr:uid="{E38BD05D-16BD-4D8F-BDCF-31C3BEA3BF1F}"/>
    <cellStyle name="Migliaia 4 2 2 2 2 2 5 3 4" xfId="19146" xr:uid="{3C79EDAE-5899-4E0F-AC80-A833C5B026D1}"/>
    <cellStyle name="Migliaia 4 2 2 2 2 2 5 4" xfId="4506" xr:uid="{3F8EAC5E-F013-496B-92D3-77C35B6676FF}"/>
    <cellStyle name="Migliaia 4 2 2 2 2 2 5 4 2" xfId="11991" xr:uid="{6CD5092D-EA0D-477A-977D-7AE0BBC6AA7B}"/>
    <cellStyle name="Migliaia 4 2 2 2 2 2 5 4 2 2" xfId="15537" xr:uid="{94985B27-C234-46D9-A3B1-CD9A52133CCC}"/>
    <cellStyle name="Migliaia 4 2 2 2 2 2 5 4 2 2 2" xfId="30714" xr:uid="{3D24ECF5-77AE-45D5-8B98-1463CCC0AFD3}"/>
    <cellStyle name="Migliaia 4 2 2 2 2 2 5 4 2 3" xfId="27169" xr:uid="{C029F2B8-8641-4FA6-9EDD-09FEC434D896}"/>
    <cellStyle name="Migliaia 4 2 2 2 2 2 5 4 3" xfId="7817" xr:uid="{E2C3AEDE-477F-4012-BF01-975B53E708D3}"/>
    <cellStyle name="Migliaia 4 2 2 2 2 2 5 4 3 2" xfId="22997" xr:uid="{326B0277-CA03-4FE3-B061-638933384AB2}"/>
    <cellStyle name="Migliaia 4 2 2 2 2 2 5 4 4" xfId="19709" xr:uid="{6158F1D6-2E28-4C0C-BFE5-E5851B1012F5}"/>
    <cellStyle name="Migliaia 4 2 2 2 2 2 5 5" xfId="2163" xr:uid="{485138EE-2FB0-4E0A-8967-790E02E92357}"/>
    <cellStyle name="Migliaia 4 2 2 2 2 2 5 5 2" xfId="9660" xr:uid="{70DC220E-DEC9-4CAD-8979-2D5327290660}"/>
    <cellStyle name="Migliaia 4 2 2 2 2 2 5 5 2 2" xfId="24838" xr:uid="{0CC6B3FA-823E-41E9-90A4-8CC80ED86831}"/>
    <cellStyle name="Migliaia 4 2 2 2 2 2 5 5 3" xfId="17378" xr:uid="{2E30EE3A-F1E5-4F17-8881-F7A45151379C}"/>
    <cellStyle name="Migliaia 4 2 2 2 2 2 5 6" xfId="9146" xr:uid="{C3541027-112F-4B5B-AA1A-272EC4DF25DD}"/>
    <cellStyle name="Migliaia 4 2 2 2 2 2 5 6 2" xfId="13319" xr:uid="{DDE8B07F-1846-453D-A27E-E67615B340CF}"/>
    <cellStyle name="Migliaia 4 2 2 2 2 2 5 6 2 2" xfId="28496" xr:uid="{4088961F-38BB-4F5E-B4B9-C0953A23CDCB}"/>
    <cellStyle name="Migliaia 4 2 2 2 2 2 5 6 3" xfId="24324" xr:uid="{9A03658C-C894-4969-BC70-881314B8AF46}"/>
    <cellStyle name="Migliaia 4 2 2 2 2 2 5 7" xfId="5486" xr:uid="{F2D6AA87-4CBA-40BE-8661-9285EE597CF4}"/>
    <cellStyle name="Migliaia 4 2 2 2 2 2 5 7 2" xfId="20666" xr:uid="{41BCC529-EE82-42EB-96C7-ECBF5DB9A6FE}"/>
    <cellStyle name="Migliaia 4 2 2 2 2 2 5 8" xfId="16864" xr:uid="{84331B8B-095A-4058-9056-A88C50E965DA}"/>
    <cellStyle name="Migliaia 4 2 2 2 2 2 6" xfId="1732" xr:uid="{046A4D68-E600-4BD5-A69F-B2F381778ADE}"/>
    <cellStyle name="Migliaia 4 2 2 2 2 2 6 2" xfId="3151" xr:uid="{0F1045F4-F264-4790-A69B-5EFEDB54760E}"/>
    <cellStyle name="Migliaia 4 2 2 2 2 2 6 2 2" xfId="10642" xr:uid="{2A895D3C-126A-438F-A3F9-0219E7C4B7C7}"/>
    <cellStyle name="Migliaia 4 2 2 2 2 2 6 2 2 2" xfId="14188" xr:uid="{99327FFD-93BE-4FF7-9E3E-CB3F95434187}"/>
    <cellStyle name="Migliaia 4 2 2 2 2 2 6 2 2 2 2" xfId="29365" xr:uid="{1D7AC3AA-D671-411B-A671-ACC4BCF3D5A1}"/>
    <cellStyle name="Migliaia 4 2 2 2 2 2 6 2 2 3" xfId="25820" xr:uid="{4EBAEE39-5233-4B0E-8DA2-2E1E10828290}"/>
    <cellStyle name="Migliaia 4 2 2 2 2 2 6 2 3" xfId="6468" xr:uid="{3A71AEC8-EDC0-4ED6-A59E-FC7B293F1946}"/>
    <cellStyle name="Migliaia 4 2 2 2 2 2 6 2 3 2" xfId="21648" xr:uid="{EFE28CFB-7589-410C-B8F4-B099DB60F4C5}"/>
    <cellStyle name="Migliaia 4 2 2 2 2 2 6 2 4" xfId="18360" xr:uid="{069304BD-3AD4-4D7E-8B5C-0858565C0697}"/>
    <cellStyle name="Migliaia 4 2 2 2 2 2 6 3" xfId="4038" xr:uid="{BEED358F-F820-4BE3-90F4-9365E4F881C4}"/>
    <cellStyle name="Migliaia 4 2 2 2 2 2 6 3 2" xfId="11526" xr:uid="{FD4E5768-DB78-411D-BEFA-AF5A24D74ADD}"/>
    <cellStyle name="Migliaia 4 2 2 2 2 2 6 3 2 2" xfId="15072" xr:uid="{EEBFB55F-EE12-44FB-81D7-167998E7AA91}"/>
    <cellStyle name="Migliaia 4 2 2 2 2 2 6 3 2 2 2" xfId="30249" xr:uid="{9761988B-D8D9-435C-8AA6-6286D51E4900}"/>
    <cellStyle name="Migliaia 4 2 2 2 2 2 6 3 2 3" xfId="26704" xr:uid="{C15129DC-E809-4470-84BF-25B64515782D}"/>
    <cellStyle name="Migliaia 4 2 2 2 2 2 6 3 3" xfId="7352" xr:uid="{18832599-BD74-44A7-8192-6F75D5F426FA}"/>
    <cellStyle name="Migliaia 4 2 2 2 2 2 6 3 3 2" xfId="22532" xr:uid="{ACE4DE13-0DD5-4FC8-8DF0-627E99507AA7}"/>
    <cellStyle name="Migliaia 4 2 2 2 2 2 6 3 4" xfId="19244" xr:uid="{3E2CC545-A716-4781-80B0-C463C44A5648}"/>
    <cellStyle name="Migliaia 4 2 2 2 2 2 6 4" xfId="4507" xr:uid="{40FB08F6-FC23-47CF-9B24-42F2144B6C69}"/>
    <cellStyle name="Migliaia 4 2 2 2 2 2 6 4 2" xfId="11992" xr:uid="{54507D63-4620-48AC-AC49-E8769CF0F08B}"/>
    <cellStyle name="Migliaia 4 2 2 2 2 2 6 4 2 2" xfId="15538" xr:uid="{4BD54DCD-925F-4CE4-91BA-E11F4B98C69D}"/>
    <cellStyle name="Migliaia 4 2 2 2 2 2 6 4 2 2 2" xfId="30715" xr:uid="{81506085-FF4A-4EFB-A4C2-FEAD6AC5310F}"/>
    <cellStyle name="Migliaia 4 2 2 2 2 2 6 4 2 3" xfId="27170" xr:uid="{996C00C2-BA64-47C5-8C68-4D4015F62CC7}"/>
    <cellStyle name="Migliaia 4 2 2 2 2 2 6 4 3" xfId="7818" xr:uid="{F276435C-54D5-4710-A1EC-293F56EBFEB8}"/>
    <cellStyle name="Migliaia 4 2 2 2 2 2 6 4 3 2" xfId="22998" xr:uid="{8F130EEB-4B10-4435-A769-891ACB9C280B}"/>
    <cellStyle name="Migliaia 4 2 2 2 2 2 6 4 4" xfId="19710" xr:uid="{55FB4F82-74FD-4DBD-8D58-C63F7CD65441}"/>
    <cellStyle name="Migliaia 4 2 2 2 2 2 6 5" xfId="2261" xr:uid="{D6ABFF9D-73F8-45F3-B3F6-82E1546C737B}"/>
    <cellStyle name="Migliaia 4 2 2 2 2 2 6 5 2" xfId="9758" xr:uid="{D636A9CD-632D-4F88-9482-85C3BB0F10AC}"/>
    <cellStyle name="Migliaia 4 2 2 2 2 2 6 5 2 2" xfId="24936" xr:uid="{234C8C57-992A-407D-B993-CE8A4958DDB5}"/>
    <cellStyle name="Migliaia 4 2 2 2 2 2 6 5 3" xfId="17476" xr:uid="{04D3C50E-B4ED-4F2B-B1D9-A6DEE82E238F}"/>
    <cellStyle name="Migliaia 4 2 2 2 2 2 6 6" xfId="9244" xr:uid="{4C4A9117-5C74-4444-9597-593B016BE99C}"/>
    <cellStyle name="Migliaia 4 2 2 2 2 2 6 6 2" xfId="13417" xr:uid="{769340A1-AAEA-4E1D-8FCF-4050B3D1ABBD}"/>
    <cellStyle name="Migliaia 4 2 2 2 2 2 6 6 2 2" xfId="28594" xr:uid="{B0F4B0FE-6F2B-423F-B1F4-DE6A558219E9}"/>
    <cellStyle name="Migliaia 4 2 2 2 2 2 6 6 3" xfId="24422" xr:uid="{455D8A1E-440F-4E3D-AB6E-05BDF8395F19}"/>
    <cellStyle name="Migliaia 4 2 2 2 2 2 6 7" xfId="5584" xr:uid="{0DBD73E3-90B1-4E6A-B807-F3EF17766A17}"/>
    <cellStyle name="Migliaia 4 2 2 2 2 2 6 7 2" xfId="20764" xr:uid="{07DFCC8F-B9B0-4CFB-9B40-17AE946E8670}"/>
    <cellStyle name="Migliaia 4 2 2 2 2 2 6 8" xfId="16962" xr:uid="{4FAE1506-38A5-4969-AAAF-819AAB9C2757}"/>
    <cellStyle name="Migliaia 4 2 2 2 2 2 7" xfId="2361" xr:uid="{83368E3F-5E8E-48C7-B509-FD08B1F99D9B}"/>
    <cellStyle name="Migliaia 4 2 2 2 2 2 7 2" xfId="9856" xr:uid="{81BD43B0-D483-4409-BEA8-7043528B3E39}"/>
    <cellStyle name="Migliaia 4 2 2 2 2 2 7 2 2" xfId="13515" xr:uid="{D70D6CA8-99BA-4977-9DA5-D52465D04434}"/>
    <cellStyle name="Migliaia 4 2 2 2 2 2 7 2 2 2" xfId="28692" xr:uid="{6F4A4D81-8FC5-4905-8E14-B03F58624BCA}"/>
    <cellStyle name="Migliaia 4 2 2 2 2 2 7 2 3" xfId="25034" xr:uid="{1C433F2D-C514-45B7-9D57-EA80F9965811}"/>
    <cellStyle name="Migliaia 4 2 2 2 2 2 7 3" xfId="5682" xr:uid="{C9C9A7E7-4ABA-4058-B131-472B4C26CBA6}"/>
    <cellStyle name="Migliaia 4 2 2 2 2 2 7 3 2" xfId="20862" xr:uid="{A2F9DD23-740C-44D7-A0B8-5410FD6F31F8}"/>
    <cellStyle name="Migliaia 4 2 2 2 2 2 7 4" xfId="17574" xr:uid="{A6934A82-288E-4134-91D0-88ABCCB41C0E}"/>
    <cellStyle name="Migliaia 4 2 2 2 2 2 8" xfId="3251" xr:uid="{D440A219-FC87-4ADF-89E8-4931907B7DA1}"/>
    <cellStyle name="Migliaia 4 2 2 2 2 2 8 2" xfId="10740" xr:uid="{A0E83A03-D6B9-4F92-B340-C39140102D92}"/>
    <cellStyle name="Migliaia 4 2 2 2 2 2 8 2 2" xfId="14286" xr:uid="{0D296D26-FFEB-4385-BEBB-70B2FBC9EDE8}"/>
    <cellStyle name="Migliaia 4 2 2 2 2 2 8 2 2 2" xfId="29463" xr:uid="{A83AD237-BA0C-4F76-B35D-8CBB2381F844}"/>
    <cellStyle name="Migliaia 4 2 2 2 2 2 8 2 3" xfId="25918" xr:uid="{54B30360-D45C-4074-9738-7E9BC9C987B3}"/>
    <cellStyle name="Migliaia 4 2 2 2 2 2 8 3" xfId="6566" xr:uid="{1D9049CA-0D58-4FED-A25A-05DB827986B7}"/>
    <cellStyle name="Migliaia 4 2 2 2 2 2 8 3 2" xfId="21746" xr:uid="{8AA878C6-9267-4733-91D7-2E5FC5540FC4}"/>
    <cellStyle name="Migliaia 4 2 2 2 2 2 8 4" xfId="18458" xr:uid="{4181B6AB-B50B-4614-A687-6CD573EAE802}"/>
    <cellStyle name="Migliaia 4 2 2 2 2 2 9" xfId="4508" xr:uid="{3B43A96F-8A6A-4131-90D7-8DB2FE3DF4AF}"/>
    <cellStyle name="Migliaia 4 2 2 2 2 2 9 2" xfId="11993" xr:uid="{BC59B890-6AF7-4C69-8B01-71E4D36FABA4}"/>
    <cellStyle name="Migliaia 4 2 2 2 2 2 9 2 2" xfId="15539" xr:uid="{CAF1CB64-29C9-454F-9868-77C3A54070CD}"/>
    <cellStyle name="Migliaia 4 2 2 2 2 2 9 2 2 2" xfId="30716" xr:uid="{AF63994E-F4FB-49B8-9218-A973E218292E}"/>
    <cellStyle name="Migliaia 4 2 2 2 2 2 9 2 3" xfId="27171" xr:uid="{3FEA6E5D-28DC-4D28-AC1B-871CFFE5C1E0}"/>
    <cellStyle name="Migliaia 4 2 2 2 2 2 9 3" xfId="7819" xr:uid="{E8856A29-F5C4-4E91-BE1B-E7002D4CCF9F}"/>
    <cellStyle name="Migliaia 4 2 2 2 2 2 9 3 2" xfId="22999" xr:uid="{4736E06A-FBF0-48A0-BCF8-DBCB4A641DD9}"/>
    <cellStyle name="Migliaia 4 2 2 2 2 2 9 4" xfId="19711" xr:uid="{92F7AED2-9678-463F-9993-45808CA61233}"/>
    <cellStyle name="Migliaia 4 2 2 2 2 3" xfId="919" xr:uid="{BAF013EB-DA89-40A6-9CB5-47DBF1BF0B65}"/>
    <cellStyle name="Migliaia 4 2 2 2 2 3 2" xfId="2437" xr:uid="{B6F8869C-E6BB-4770-A980-4DC271F0755B}"/>
    <cellStyle name="Migliaia 4 2 2 2 2 3 2 2" xfId="9929" xr:uid="{525D8869-6D63-4E0B-8478-A26281CEA6A3}"/>
    <cellStyle name="Migliaia 4 2 2 2 2 3 2 2 2" xfId="13588" xr:uid="{35B69FEE-D330-40F6-A74F-E5E90B7926B3}"/>
    <cellStyle name="Migliaia 4 2 2 2 2 3 2 2 2 2" xfId="28765" xr:uid="{6FBA0395-DEAA-469C-B244-181E77722CC5}"/>
    <cellStyle name="Migliaia 4 2 2 2 2 3 2 2 3" xfId="25107" xr:uid="{830990FB-8195-4CCE-AD8F-C4B4B4786300}"/>
    <cellStyle name="Migliaia 4 2 2 2 2 3 2 3" xfId="5755" xr:uid="{D3A226A8-35C4-4754-A804-1003F94C0572}"/>
    <cellStyle name="Migliaia 4 2 2 2 2 3 2 3 2" xfId="20935" xr:uid="{BA2D2680-6D59-4A2D-90EB-8CD975CB7EA6}"/>
    <cellStyle name="Migliaia 4 2 2 2 2 3 2 4" xfId="17647" xr:uid="{CE168A9E-B656-404F-A22D-EB073B33F9FE}"/>
    <cellStyle name="Migliaia 4 2 2 2 2 3 3" xfId="3325" xr:uid="{C8253630-AC3C-4804-B38A-5DB4EC15D72C}"/>
    <cellStyle name="Migliaia 4 2 2 2 2 3 3 2" xfId="10813" xr:uid="{144F00BA-E8C6-4EC9-B5FC-63BEA77B3160}"/>
    <cellStyle name="Migliaia 4 2 2 2 2 3 3 2 2" xfId="14359" xr:uid="{16285A9C-38AA-4AEF-A9B1-3F65F4C25C8B}"/>
    <cellStyle name="Migliaia 4 2 2 2 2 3 3 2 2 2" xfId="29536" xr:uid="{537EB36A-A08A-40F0-B8E6-EE8FD503061A}"/>
    <cellStyle name="Migliaia 4 2 2 2 2 3 3 2 3" xfId="25991" xr:uid="{0711214A-5B58-4BC1-A412-D6F0B2AE8D1D}"/>
    <cellStyle name="Migliaia 4 2 2 2 2 3 3 3" xfId="6639" xr:uid="{609792D7-B5CF-4683-9A12-6444BEACF6DD}"/>
    <cellStyle name="Migliaia 4 2 2 2 2 3 3 3 2" xfId="21819" xr:uid="{EB89D74F-3C4F-4096-A154-9B961699B6AD}"/>
    <cellStyle name="Migliaia 4 2 2 2 2 3 3 4" xfId="18531" xr:uid="{0AD99681-DBF9-4FC8-8F39-DAB19EA96B0E}"/>
    <cellStyle name="Migliaia 4 2 2 2 2 3 4" xfId="4509" xr:uid="{A0265D8B-038D-4B6E-BE19-5650874E2410}"/>
    <cellStyle name="Migliaia 4 2 2 2 2 3 4 2" xfId="11994" xr:uid="{7B41EC10-7A4F-415C-92AC-9BC8026C9C04}"/>
    <cellStyle name="Migliaia 4 2 2 2 2 3 4 2 2" xfId="15540" xr:uid="{81EE73C7-CF23-4935-9CF7-9F14F7BD64AF}"/>
    <cellStyle name="Migliaia 4 2 2 2 2 3 4 2 2 2" xfId="30717" xr:uid="{5F53FD39-5DBF-4D32-B680-E0B4204AB847}"/>
    <cellStyle name="Migliaia 4 2 2 2 2 3 4 2 3" xfId="27172" xr:uid="{66C76896-9D36-4303-820C-88CB781DA36E}"/>
    <cellStyle name="Migliaia 4 2 2 2 2 3 4 3" xfId="7820" xr:uid="{74AFA807-06FB-46D3-8E0F-C812175091D5}"/>
    <cellStyle name="Migliaia 4 2 2 2 2 3 4 3 2" xfId="23000" xr:uid="{2C444A1A-6EED-4072-BABD-60184DF998E8}"/>
    <cellStyle name="Migliaia 4 2 2 2 2 3 4 4" xfId="19712" xr:uid="{EF2C874D-BCD9-4C4A-90AB-E44C0BEAE45D}"/>
    <cellStyle name="Migliaia 4 2 2 2 2 3 5" xfId="8531" xr:uid="{2B8EB606-53CB-4169-A374-C08AF9588FD1}"/>
    <cellStyle name="Migliaia 4 2 2 2 2 3 5 2" xfId="12704" xr:uid="{70C7F105-EE80-49EF-BC3C-9A377D1897BC}"/>
    <cellStyle name="Migliaia 4 2 2 2 2 3 5 2 2" xfId="27881" xr:uid="{7840955B-77DB-412B-9000-3395CD2C9EE4}"/>
    <cellStyle name="Migliaia 4 2 2 2 2 3 5 3" xfId="23709" xr:uid="{1713844C-11BB-45F3-8541-0E919C93EDF4}"/>
    <cellStyle name="Migliaia 4 2 2 2 2 3 6" xfId="16249" xr:uid="{6752FD80-5D9B-4124-A619-8A52A3CC8EF7}"/>
    <cellStyle name="Migliaia 4 2 2 2 2 3 7" xfId="31689" xr:uid="{9A59E4A2-D723-4FDB-8F84-6E449F8EDEC2}"/>
    <cellStyle name="Migliaia 4 2 2 2 2 4" xfId="1022" xr:uid="{E07982EF-E6D1-4C13-AF44-8AEBED5B694F}"/>
    <cellStyle name="Migliaia 4 2 2 2 2 4 2" xfId="2535" xr:uid="{F6685FB5-B5A4-4BDD-8F73-3F7AA2D998B1}"/>
    <cellStyle name="Migliaia 4 2 2 2 2 4 2 2" xfId="10027" xr:uid="{4BB054DD-80F8-49D5-86CD-DD9C92C7FEA1}"/>
    <cellStyle name="Migliaia 4 2 2 2 2 4 2 2 2" xfId="13686" xr:uid="{00FD5BC8-14E8-4DED-AE3C-B30A396A5BA4}"/>
    <cellStyle name="Migliaia 4 2 2 2 2 4 2 2 2 2" xfId="28863" xr:uid="{1E891274-48BB-4665-9277-285CBB1F502C}"/>
    <cellStyle name="Migliaia 4 2 2 2 2 4 2 2 3" xfId="25205" xr:uid="{03650990-392F-4675-9479-4FD6DFFBAF84}"/>
    <cellStyle name="Migliaia 4 2 2 2 2 4 2 3" xfId="5853" xr:uid="{E11AC0FE-0306-48FE-9975-FD2D3071822C}"/>
    <cellStyle name="Migliaia 4 2 2 2 2 4 2 3 2" xfId="21033" xr:uid="{3C605DCF-CCF2-4BB8-A4D3-FADA58EED93F}"/>
    <cellStyle name="Migliaia 4 2 2 2 2 4 2 4" xfId="17745" xr:uid="{5BADBA4B-06B2-4158-A97C-F2BB47F71AA2}"/>
    <cellStyle name="Migliaia 4 2 2 2 2 4 3" xfId="3423" xr:uid="{B0077A56-50AB-429B-858B-32216CBB6649}"/>
    <cellStyle name="Migliaia 4 2 2 2 2 4 3 2" xfId="10911" xr:uid="{9F7F43FD-7CC1-4D72-991C-391323096A50}"/>
    <cellStyle name="Migliaia 4 2 2 2 2 4 3 2 2" xfId="14457" xr:uid="{9494A94D-CDC3-4F00-802A-35BF8392A398}"/>
    <cellStyle name="Migliaia 4 2 2 2 2 4 3 2 2 2" xfId="29634" xr:uid="{E5F5A2E7-E680-4CC0-B36E-C2EC1A39A2CF}"/>
    <cellStyle name="Migliaia 4 2 2 2 2 4 3 2 3" xfId="26089" xr:uid="{D129C206-E37A-4CFA-B6F3-08A2A7E3772B}"/>
    <cellStyle name="Migliaia 4 2 2 2 2 4 3 3" xfId="6737" xr:uid="{EA2BD8D8-0CF1-4C19-8938-F3BBAD2D22C4}"/>
    <cellStyle name="Migliaia 4 2 2 2 2 4 3 3 2" xfId="21917" xr:uid="{F20CC376-03BE-478A-B125-3E297E0E8D08}"/>
    <cellStyle name="Migliaia 4 2 2 2 2 4 3 4" xfId="18629" xr:uid="{707BDA17-2192-49F1-8E51-48F99E5A6161}"/>
    <cellStyle name="Migliaia 4 2 2 2 2 4 4" xfId="4510" xr:uid="{17B0BCFC-5AC2-4C86-BD4A-537E52CF4194}"/>
    <cellStyle name="Migliaia 4 2 2 2 2 4 4 2" xfId="11995" xr:uid="{2B6F1759-78D4-4FB1-B771-13297826D9CA}"/>
    <cellStyle name="Migliaia 4 2 2 2 2 4 4 2 2" xfId="15541" xr:uid="{1F279EA5-2A3B-4EF4-90AA-6E2E8FB82FC3}"/>
    <cellStyle name="Migliaia 4 2 2 2 2 4 4 2 2 2" xfId="30718" xr:uid="{DABD55AB-A47A-4548-99F6-845B3ABCF6AF}"/>
    <cellStyle name="Migliaia 4 2 2 2 2 4 4 2 3" xfId="27173" xr:uid="{7C3DD944-F911-45D3-949F-78D22E5BD814}"/>
    <cellStyle name="Migliaia 4 2 2 2 2 4 4 3" xfId="7821" xr:uid="{E194529D-F2D1-4B78-8490-2BB56C4F72F5}"/>
    <cellStyle name="Migliaia 4 2 2 2 2 4 4 3 2" xfId="23001" xr:uid="{977810B9-5EA7-49E2-8F3D-2918F326F406}"/>
    <cellStyle name="Migliaia 4 2 2 2 2 4 4 4" xfId="19713" xr:uid="{BADD9788-6B63-4942-99BD-F7CD859ED9E6}"/>
    <cellStyle name="Migliaia 4 2 2 2 2 4 5" xfId="8629" xr:uid="{FF507FAD-FA91-4B93-9B29-CAF9CD91722A}"/>
    <cellStyle name="Migliaia 4 2 2 2 2 4 5 2" xfId="12802" xr:uid="{626642A9-3801-4EF3-AE2E-25493927997B}"/>
    <cellStyle name="Migliaia 4 2 2 2 2 4 5 2 2" xfId="27979" xr:uid="{9C6A7E34-761A-4FFE-8B42-7B2BD8D682B8}"/>
    <cellStyle name="Migliaia 4 2 2 2 2 4 5 3" xfId="23807" xr:uid="{693193AB-3601-476C-A1C7-7E229671B509}"/>
    <cellStyle name="Migliaia 4 2 2 2 2 4 6" xfId="16347" xr:uid="{DCB2B125-61B6-4BF0-A73C-C24A99E51EA3}"/>
    <cellStyle name="Migliaia 4 2 2 2 2 4 7" xfId="31567" xr:uid="{48D54CFC-67F7-4E79-9324-7D73A734EE1C}"/>
    <cellStyle name="Migliaia 4 2 2 2 2 5" xfId="1280" xr:uid="{29E3F6CC-6F4F-4DE2-A3E2-EAEB65E3B134}"/>
    <cellStyle name="Migliaia 4 2 2 2 2 5 10" xfId="31339" xr:uid="{0D89F2DA-7697-4D56-ABBE-57CA2676E82C}"/>
    <cellStyle name="Migliaia 4 2 2 2 2 5 2" xfId="2710" xr:uid="{A1D775B8-B12A-43A6-8274-6455B7F8A97A}"/>
    <cellStyle name="Migliaia 4 2 2 2 2 5 2 2" xfId="10201" xr:uid="{E80555AF-A686-4E1C-8650-AB80A116D354}"/>
    <cellStyle name="Migliaia 4 2 2 2 2 5 2 2 2" xfId="13845" xr:uid="{DB601A6A-353D-4CE2-AAAA-80928F6048A5}"/>
    <cellStyle name="Migliaia 4 2 2 2 2 5 2 2 2 2" xfId="29022" xr:uid="{66B1BE38-89A3-4E1C-BD29-D7B59FA7486F}"/>
    <cellStyle name="Migliaia 4 2 2 2 2 5 2 2 3" xfId="25379" xr:uid="{FDF94DCC-C85E-477C-A5B7-36EFEE5638D4}"/>
    <cellStyle name="Migliaia 4 2 2 2 2 5 2 3" xfId="6027" xr:uid="{A5C1C027-E382-4CC7-8289-AE7DF737E518}"/>
    <cellStyle name="Migliaia 4 2 2 2 2 5 2 3 2" xfId="21207" xr:uid="{1004391A-6E74-4A71-AF0D-3CD5CAA0DA24}"/>
    <cellStyle name="Migliaia 4 2 2 2 2 5 2 4" xfId="17919" xr:uid="{487AF844-9E17-46EF-81AF-9062B59D2B4B}"/>
    <cellStyle name="Migliaia 4 2 2 2 2 5 3" xfId="3597" xr:uid="{F72C2955-34C2-4187-93CC-D527AE80AA33}"/>
    <cellStyle name="Migliaia 4 2 2 2 2 5 3 2" xfId="11085" xr:uid="{575A8DA5-1277-4CF5-833B-3AFDC394AF8D}"/>
    <cellStyle name="Migliaia 4 2 2 2 2 5 3 2 2" xfId="14631" xr:uid="{B0179362-1720-4539-A492-A2BB887DC403}"/>
    <cellStyle name="Migliaia 4 2 2 2 2 5 3 2 2 2" xfId="29808" xr:uid="{79253DDF-0652-41E9-AAF2-0CDAA6A4F4D7}"/>
    <cellStyle name="Migliaia 4 2 2 2 2 5 3 2 3" xfId="26263" xr:uid="{C9D9CC1B-E313-4B5C-87EF-13EF5A427220}"/>
    <cellStyle name="Migliaia 4 2 2 2 2 5 3 3" xfId="6911" xr:uid="{A9151A84-AEED-4939-886A-06743B2582E1}"/>
    <cellStyle name="Migliaia 4 2 2 2 2 5 3 3 2" xfId="22091" xr:uid="{18A823CA-7318-45A0-B1E5-7202A775601D}"/>
    <cellStyle name="Migliaia 4 2 2 2 2 5 3 4" xfId="18803" xr:uid="{FB212342-6B4B-4DAC-B5FD-41826292CDFC}"/>
    <cellStyle name="Migliaia 4 2 2 2 2 5 4" xfId="4511" xr:uid="{42962F19-4ABA-4FB6-BE3D-375F7EB1453B}"/>
    <cellStyle name="Migliaia 4 2 2 2 2 5 4 2" xfId="11996" xr:uid="{BD32E54C-1BBB-48D4-A5ED-A3EF3C6854D1}"/>
    <cellStyle name="Migliaia 4 2 2 2 2 5 4 2 2" xfId="15542" xr:uid="{EDA16393-CD46-496D-99CD-9A838C28102F}"/>
    <cellStyle name="Migliaia 4 2 2 2 2 5 4 2 2 2" xfId="30719" xr:uid="{B0729A97-ED66-438B-94C7-1994029B274C}"/>
    <cellStyle name="Migliaia 4 2 2 2 2 5 4 2 3" xfId="27174" xr:uid="{20170F7D-0A75-4249-A251-8F55858ACB87}"/>
    <cellStyle name="Migliaia 4 2 2 2 2 5 4 3" xfId="7822" xr:uid="{EC67EC4A-6964-455D-846C-DAE652943D90}"/>
    <cellStyle name="Migliaia 4 2 2 2 2 5 4 3 2" xfId="23002" xr:uid="{9F34DC79-F18C-48BC-9ACD-A6D0CED801BE}"/>
    <cellStyle name="Migliaia 4 2 2 2 2 5 4 4" xfId="19714" xr:uid="{94EE432D-1B12-4E10-9EDC-07DF56955463}"/>
    <cellStyle name="Migliaia 4 2 2 2 2 5 5" xfId="4999" xr:uid="{C01DF522-AF1A-4E57-BD5A-4D06E86A1A3F}"/>
    <cellStyle name="Migliaia 4 2 2 2 2 5 5 2" xfId="12483" xr:uid="{E4F150A9-D6F8-4E48-A230-07AB75F68460}"/>
    <cellStyle name="Migliaia 4 2 2 2 2 5 5 2 2" xfId="16029" xr:uid="{25648E42-4770-4BC2-9917-6ABDB078B67F}"/>
    <cellStyle name="Migliaia 4 2 2 2 2 5 5 2 2 2" xfId="31206" xr:uid="{A2AFDA01-274D-4DCE-ABFB-F756DB67F4F2}"/>
    <cellStyle name="Migliaia 4 2 2 2 2 5 5 2 3" xfId="27661" xr:uid="{FA1789A1-0829-48EF-9220-F9AE8BA0F43D}"/>
    <cellStyle name="Migliaia 4 2 2 2 2 5 5 3" xfId="8309" xr:uid="{831D1C3C-F150-433F-B682-498F13D23031}"/>
    <cellStyle name="Migliaia 4 2 2 2 2 5 5 3 2" xfId="23489" xr:uid="{29BB7424-41F5-4872-B206-A33D6FA8AE7A}"/>
    <cellStyle name="Migliaia 4 2 2 2 2 5 5 4" xfId="20201" xr:uid="{F9A152AE-3482-4132-8C40-E3B5B9EE78E4}"/>
    <cellStyle name="Migliaia 4 2 2 2 2 5 6" xfId="1820" xr:uid="{B4ED6AF6-09E7-427E-B348-8BCEBBC845B3}"/>
    <cellStyle name="Migliaia 4 2 2 2 2 5 6 2" xfId="9317" xr:uid="{72D65DA1-C193-460D-83D2-23508778E786}"/>
    <cellStyle name="Migliaia 4 2 2 2 2 5 6 2 2" xfId="24495" xr:uid="{6F9B90AD-AAA7-4138-9991-EAFDEE908B36}"/>
    <cellStyle name="Migliaia 4 2 2 2 2 5 6 3" xfId="17035" xr:uid="{33323D9F-5C1C-4C29-AEBA-A6414A6B7936}"/>
    <cellStyle name="Migliaia 4 2 2 2 2 5 7" xfId="8803" xr:uid="{B37901AF-689D-422F-A628-92ECDCBA58B9}"/>
    <cellStyle name="Migliaia 4 2 2 2 2 5 7 2" xfId="12976" xr:uid="{57D90E50-F930-4F51-A096-D7062ECEE8D2}"/>
    <cellStyle name="Migliaia 4 2 2 2 2 5 7 2 2" xfId="28153" xr:uid="{60219D74-5E3F-4C7A-8CCF-20F0C06BB76F}"/>
    <cellStyle name="Migliaia 4 2 2 2 2 5 7 3" xfId="23981" xr:uid="{A9A48E64-67DD-4C4E-BEB6-65A60CFB42DB}"/>
    <cellStyle name="Migliaia 4 2 2 2 2 5 8" xfId="5143" xr:uid="{651815EC-2748-4434-8D6A-61657F1419C3}"/>
    <cellStyle name="Migliaia 4 2 2 2 2 5 8 2" xfId="20323" xr:uid="{9FC00E94-EE31-4A0D-A1C6-C3A661F6BE73}"/>
    <cellStyle name="Migliaia 4 2 2 2 2 5 9" xfId="16521" xr:uid="{0772D012-CCBD-4E17-8FDB-0E6E70A9DB67}"/>
    <cellStyle name="Migliaia 4 2 2 2 2 6" xfId="1382" xr:uid="{449FF883-9DE3-4991-8A83-77598FEB93EB}"/>
    <cellStyle name="Migliaia 4 2 2 2 2 6 2" xfId="2808" xr:uid="{06D69276-7EBB-409F-88CD-25D87B36418A}"/>
    <cellStyle name="Migliaia 4 2 2 2 2 6 2 2" xfId="10299" xr:uid="{76EB72FD-14E0-4D70-AFE3-9635F5979DAA}"/>
    <cellStyle name="Migliaia 4 2 2 2 2 6 2 2 2" xfId="13894" xr:uid="{65CFC442-83E2-41F5-BBCF-7F8052761949}"/>
    <cellStyle name="Migliaia 4 2 2 2 2 6 2 2 2 2" xfId="29071" xr:uid="{995BB030-7860-427D-8B62-F35937D517A4}"/>
    <cellStyle name="Migliaia 4 2 2 2 2 6 2 2 3" xfId="25477" xr:uid="{B9833F60-DD81-492F-84D7-A923A8D779B1}"/>
    <cellStyle name="Migliaia 4 2 2 2 2 6 2 3" xfId="6125" xr:uid="{504EA1C0-F425-4963-BB68-BD0EBE58789B}"/>
    <cellStyle name="Migliaia 4 2 2 2 2 6 2 3 2" xfId="21305" xr:uid="{386EDB6F-F69E-4FE7-84A6-F5A0BE114027}"/>
    <cellStyle name="Migliaia 4 2 2 2 2 6 2 4" xfId="18017" xr:uid="{F420A6D4-64A0-4C36-89B0-1112CDE7EBEB}"/>
    <cellStyle name="Migliaia 4 2 2 2 2 6 3" xfId="3695" xr:uid="{82DAD21A-F394-4D9B-AD10-3A89FD620B85}"/>
    <cellStyle name="Migliaia 4 2 2 2 2 6 3 2" xfId="11183" xr:uid="{3CF5441A-C12D-4248-9310-5EA8B20D8434}"/>
    <cellStyle name="Migliaia 4 2 2 2 2 6 3 2 2" xfId="14729" xr:uid="{01FBA09E-5656-422F-8F0E-0D88B2AA3417}"/>
    <cellStyle name="Migliaia 4 2 2 2 2 6 3 2 2 2" xfId="29906" xr:uid="{17871DFE-B9E0-4B4F-B6BB-4DE47F215C7E}"/>
    <cellStyle name="Migliaia 4 2 2 2 2 6 3 2 3" xfId="26361" xr:uid="{71C0AADC-250D-4FD0-8AF8-CDFBD1535D47}"/>
    <cellStyle name="Migliaia 4 2 2 2 2 6 3 3" xfId="7009" xr:uid="{7F0FCCED-DABC-4427-AF7C-D03AC3ECD9F1}"/>
    <cellStyle name="Migliaia 4 2 2 2 2 6 3 3 2" xfId="22189" xr:uid="{5CF91047-25A3-453C-9B60-2E67E1792572}"/>
    <cellStyle name="Migliaia 4 2 2 2 2 6 3 4" xfId="18901" xr:uid="{3B8741A1-9955-4E71-ABEC-8B9AF6426CFE}"/>
    <cellStyle name="Migliaia 4 2 2 2 2 6 4" xfId="4512" xr:uid="{B6C63421-725C-48F0-8C2F-2BFA90DA35B7}"/>
    <cellStyle name="Migliaia 4 2 2 2 2 6 4 2" xfId="11997" xr:uid="{0CF82E67-E901-497C-8DFC-B4D8828B2A2A}"/>
    <cellStyle name="Migliaia 4 2 2 2 2 6 4 2 2" xfId="15543" xr:uid="{473A2304-F082-454C-91D0-B10E5917FA8C}"/>
    <cellStyle name="Migliaia 4 2 2 2 2 6 4 2 2 2" xfId="30720" xr:uid="{F166CA18-90A8-4BF4-96A9-E334C3169304}"/>
    <cellStyle name="Migliaia 4 2 2 2 2 6 4 2 3" xfId="27175" xr:uid="{7A98949C-2F93-4A58-868A-77225A2DE1D5}"/>
    <cellStyle name="Migliaia 4 2 2 2 2 6 4 3" xfId="7823" xr:uid="{46D51551-807B-4A19-9024-A145CAA713B4}"/>
    <cellStyle name="Migliaia 4 2 2 2 2 6 4 3 2" xfId="23003" xr:uid="{741814DE-7A05-4813-8E3F-FA16D1C35DE8}"/>
    <cellStyle name="Migliaia 4 2 2 2 2 6 4 4" xfId="19715" xr:uid="{1406E65B-0EBB-4E8F-95B4-926CC3339886}"/>
    <cellStyle name="Migliaia 4 2 2 2 2 6 5" xfId="1918" xr:uid="{6CA5D617-C1BD-47A1-B860-2AC42D24A051}"/>
    <cellStyle name="Migliaia 4 2 2 2 2 6 5 2" xfId="9415" xr:uid="{A0B58277-3BF2-4359-B8F6-2097D7789D5F}"/>
    <cellStyle name="Migliaia 4 2 2 2 2 6 5 2 2" xfId="24593" xr:uid="{7A6F42C5-3EC4-409B-BC5E-65A53B056FA8}"/>
    <cellStyle name="Migliaia 4 2 2 2 2 6 5 3" xfId="17133" xr:uid="{2ADA0F88-50D2-4F96-9BDD-13B132D73C0F}"/>
    <cellStyle name="Migliaia 4 2 2 2 2 6 6" xfId="8901" xr:uid="{B1714C7E-A7EC-462A-997D-34A8DBA46FEA}"/>
    <cellStyle name="Migliaia 4 2 2 2 2 6 6 2" xfId="13074" xr:uid="{79B6B0BE-AE69-4DDA-B404-7A7AD376B00C}"/>
    <cellStyle name="Migliaia 4 2 2 2 2 6 6 2 2" xfId="28251" xr:uid="{12DEE723-CA99-4186-B2B2-7A6AC5F70C70}"/>
    <cellStyle name="Migliaia 4 2 2 2 2 6 6 3" xfId="24079" xr:uid="{B24AEF6D-4FE3-4624-9FB7-5CCEB3C43EC9}"/>
    <cellStyle name="Migliaia 4 2 2 2 2 6 7" xfId="5241" xr:uid="{5A7A712F-19DA-4F31-93F1-66469F5D752B}"/>
    <cellStyle name="Migliaia 4 2 2 2 2 6 7 2" xfId="20421" xr:uid="{C906E495-8EF3-474C-8A63-D74AA3EF0BF0}"/>
    <cellStyle name="Migliaia 4 2 2 2 2 6 8" xfId="16619" xr:uid="{31528F9D-F175-44D4-84C7-7FD6AF9C6A8B}"/>
    <cellStyle name="Migliaia 4 2 2 2 2 7" xfId="1481" xr:uid="{4F09A013-6961-4DDB-8BB3-C852B48DBE74}"/>
    <cellStyle name="Migliaia 4 2 2 2 2 7 2" xfId="2906" xr:uid="{C42B5561-69AF-47A3-BE51-98031A53B064}"/>
    <cellStyle name="Migliaia 4 2 2 2 2 7 2 2" xfId="10397" xr:uid="{291560F4-17D6-43FF-A44E-5913345C0FC1}"/>
    <cellStyle name="Migliaia 4 2 2 2 2 7 2 2 2" xfId="13943" xr:uid="{CF055DD0-C986-44E8-882D-D9209411E675}"/>
    <cellStyle name="Migliaia 4 2 2 2 2 7 2 2 2 2" xfId="29120" xr:uid="{51B3FA44-18E0-41CE-98B1-994923A368D5}"/>
    <cellStyle name="Migliaia 4 2 2 2 2 7 2 2 3" xfId="25575" xr:uid="{A92C0100-EF1B-48B2-9894-F229AA59346A}"/>
    <cellStyle name="Migliaia 4 2 2 2 2 7 2 3" xfId="6223" xr:uid="{4EEC15D7-5D75-4570-975B-1BA0462F4B9D}"/>
    <cellStyle name="Migliaia 4 2 2 2 2 7 2 3 2" xfId="21403" xr:uid="{68FB9735-2254-4B51-8A8B-E6ABBF66C584}"/>
    <cellStyle name="Migliaia 4 2 2 2 2 7 2 4" xfId="18115" xr:uid="{845FEA27-EA0D-4EBF-982F-611C389E0198}"/>
    <cellStyle name="Migliaia 4 2 2 2 2 7 3" xfId="3793" xr:uid="{F6850407-B314-4D6C-B0B4-C74499EC5594}"/>
    <cellStyle name="Migliaia 4 2 2 2 2 7 3 2" xfId="11281" xr:uid="{E3397EC3-6EA9-4030-88BB-3D427392802A}"/>
    <cellStyle name="Migliaia 4 2 2 2 2 7 3 2 2" xfId="14827" xr:uid="{37DBDF35-1796-47AA-8B0F-D8AAFD017688}"/>
    <cellStyle name="Migliaia 4 2 2 2 2 7 3 2 2 2" xfId="30004" xr:uid="{6562EE3E-F407-4AFB-9BCF-549BDB057474}"/>
    <cellStyle name="Migliaia 4 2 2 2 2 7 3 2 3" xfId="26459" xr:uid="{E3BFA802-AF95-461F-863F-BF3E93EC1CD7}"/>
    <cellStyle name="Migliaia 4 2 2 2 2 7 3 3" xfId="7107" xr:uid="{142436A5-325A-4F49-81EB-575D4DAA4E98}"/>
    <cellStyle name="Migliaia 4 2 2 2 2 7 3 3 2" xfId="22287" xr:uid="{43700B4E-4EFC-444C-8F55-9782FD664DB2}"/>
    <cellStyle name="Migliaia 4 2 2 2 2 7 3 4" xfId="18999" xr:uid="{DD5F648E-D486-459E-9DD2-DD255D11AB26}"/>
    <cellStyle name="Migliaia 4 2 2 2 2 7 4" xfId="4513" xr:uid="{12736446-3CB5-470B-AC6A-6B9A6043A68C}"/>
    <cellStyle name="Migliaia 4 2 2 2 2 7 4 2" xfId="11998" xr:uid="{D44D43C6-44E1-4A8B-BECF-725EF55EC2BA}"/>
    <cellStyle name="Migliaia 4 2 2 2 2 7 4 2 2" xfId="15544" xr:uid="{F9B4A5A7-6DDF-4ACD-8D47-EB9C8851E002}"/>
    <cellStyle name="Migliaia 4 2 2 2 2 7 4 2 2 2" xfId="30721" xr:uid="{C89EE902-7668-4E4E-B115-45296C76C87E}"/>
    <cellStyle name="Migliaia 4 2 2 2 2 7 4 2 3" xfId="27176" xr:uid="{6A3B2384-B15E-4782-B30E-A1CCD695BA69}"/>
    <cellStyle name="Migliaia 4 2 2 2 2 7 4 3" xfId="7824" xr:uid="{B949565A-96F7-43A3-B5AB-964AE82C46DA}"/>
    <cellStyle name="Migliaia 4 2 2 2 2 7 4 3 2" xfId="23004" xr:uid="{7C3D224E-FFA1-429C-8D41-8E8BCF8627E3}"/>
    <cellStyle name="Migliaia 4 2 2 2 2 7 4 4" xfId="19716" xr:uid="{73C039F7-D07F-4FAA-B34F-DE39537B7AB0}"/>
    <cellStyle name="Migliaia 4 2 2 2 2 7 5" xfId="2016" xr:uid="{7C74D324-F930-4BBD-BC96-68D57B59B674}"/>
    <cellStyle name="Migliaia 4 2 2 2 2 7 5 2" xfId="9513" xr:uid="{DA08164E-8460-4FD4-B78A-5207D8C57F19}"/>
    <cellStyle name="Migliaia 4 2 2 2 2 7 5 2 2" xfId="24691" xr:uid="{AE7E13B3-8C0B-435C-B13C-C26CE3B6758A}"/>
    <cellStyle name="Migliaia 4 2 2 2 2 7 5 3" xfId="17231" xr:uid="{C6C9885B-360A-47A3-8218-7A2CA2F9A258}"/>
    <cellStyle name="Migliaia 4 2 2 2 2 7 6" xfId="8999" xr:uid="{01B33C1D-ED9B-42C5-9DC7-A2A140113582}"/>
    <cellStyle name="Migliaia 4 2 2 2 2 7 6 2" xfId="13172" xr:uid="{D10A0959-17F3-4327-9086-9582194C7B81}"/>
    <cellStyle name="Migliaia 4 2 2 2 2 7 6 2 2" xfId="28349" xr:uid="{12F9D44C-3664-474D-B8B6-F50A875647BF}"/>
    <cellStyle name="Migliaia 4 2 2 2 2 7 6 3" xfId="24177" xr:uid="{0F8BCE2D-3017-4136-9150-E0A216B47C65}"/>
    <cellStyle name="Migliaia 4 2 2 2 2 7 7" xfId="5339" xr:uid="{34EA4E5E-CE4F-425A-8F21-D19EFAE15D3C}"/>
    <cellStyle name="Migliaia 4 2 2 2 2 7 7 2" xfId="20519" xr:uid="{ADC5CB8B-4346-4528-9AAC-D5BC320BD5F2}"/>
    <cellStyle name="Migliaia 4 2 2 2 2 7 8" xfId="16717" xr:uid="{1CB2A337-65F2-40E9-8F0D-CBBE9B674747}"/>
    <cellStyle name="Migliaia 4 2 2 2 2 8" xfId="1584" xr:uid="{EABC3E0E-FE67-42C2-A45A-1B6B91D4D935}"/>
    <cellStyle name="Migliaia 4 2 2 2 2 8 2" xfId="3004" xr:uid="{D63DAAF8-5666-476A-B8C2-64F0EE3DECA9}"/>
    <cellStyle name="Migliaia 4 2 2 2 2 8 2 2" xfId="10495" xr:uid="{A3A9AB02-00AE-4798-815A-F425B20F4344}"/>
    <cellStyle name="Migliaia 4 2 2 2 2 8 2 2 2" xfId="14041" xr:uid="{69CB1CFE-F165-4F90-8D0E-51096D5041C2}"/>
    <cellStyle name="Migliaia 4 2 2 2 2 8 2 2 2 2" xfId="29218" xr:uid="{0575478B-A695-43FA-8983-881CF7C4FE71}"/>
    <cellStyle name="Migliaia 4 2 2 2 2 8 2 2 3" xfId="25673" xr:uid="{47CB4E93-5BF3-4F92-A66F-1FBEE754DA45}"/>
    <cellStyle name="Migliaia 4 2 2 2 2 8 2 3" xfId="6321" xr:uid="{FFEB528A-1B13-4C27-8130-8C79A68EB990}"/>
    <cellStyle name="Migliaia 4 2 2 2 2 8 2 3 2" xfId="21501" xr:uid="{CCC0200F-5BEE-45F5-A414-BA294584CAA7}"/>
    <cellStyle name="Migliaia 4 2 2 2 2 8 2 4" xfId="18213" xr:uid="{88D78F29-A612-429F-939B-8CEEF8884CC8}"/>
    <cellStyle name="Migliaia 4 2 2 2 2 8 3" xfId="3891" xr:uid="{BF137826-BEDE-49A5-89E3-44D4824C20FA}"/>
    <cellStyle name="Migliaia 4 2 2 2 2 8 3 2" xfId="11379" xr:uid="{90C09691-7C09-49F9-9056-C9871DC249DA}"/>
    <cellStyle name="Migliaia 4 2 2 2 2 8 3 2 2" xfId="14925" xr:uid="{D404A93F-B3B2-468B-A495-B179D765706E}"/>
    <cellStyle name="Migliaia 4 2 2 2 2 8 3 2 2 2" xfId="30102" xr:uid="{601D5ADD-2648-4E51-BFF6-01659FC382F6}"/>
    <cellStyle name="Migliaia 4 2 2 2 2 8 3 2 3" xfId="26557" xr:uid="{F238FF25-CD61-4DBA-BE82-DFD9FBBD501C}"/>
    <cellStyle name="Migliaia 4 2 2 2 2 8 3 3" xfId="7205" xr:uid="{AF94184A-47F9-42A4-A246-E221F0EF5324}"/>
    <cellStyle name="Migliaia 4 2 2 2 2 8 3 3 2" xfId="22385" xr:uid="{842C5A98-B2C8-4B05-AB2E-7843C7A00B2D}"/>
    <cellStyle name="Migliaia 4 2 2 2 2 8 3 4" xfId="19097" xr:uid="{A7F8B051-ECE2-43A0-ACF3-3C7726FD201A}"/>
    <cellStyle name="Migliaia 4 2 2 2 2 8 4" xfId="4514" xr:uid="{27AB752B-38A6-48C7-AFBE-54C539CE69EE}"/>
    <cellStyle name="Migliaia 4 2 2 2 2 8 4 2" xfId="11999" xr:uid="{3B88FB8E-A308-443F-A4E0-52B745A78C2B}"/>
    <cellStyle name="Migliaia 4 2 2 2 2 8 4 2 2" xfId="15545" xr:uid="{561F5C54-A100-4C73-9DCD-0ACDA4C40915}"/>
    <cellStyle name="Migliaia 4 2 2 2 2 8 4 2 2 2" xfId="30722" xr:uid="{20A578DD-5517-48A0-826B-245DB3D1F08B}"/>
    <cellStyle name="Migliaia 4 2 2 2 2 8 4 2 3" xfId="27177" xr:uid="{234E5633-AE72-47E4-BAC3-C8D92B8C2FE6}"/>
    <cellStyle name="Migliaia 4 2 2 2 2 8 4 3" xfId="7825" xr:uid="{E7123495-9C6B-4337-BDFB-F8C4A0A601D3}"/>
    <cellStyle name="Migliaia 4 2 2 2 2 8 4 3 2" xfId="23005" xr:uid="{48D0F1B1-4534-4C48-89A0-62C958D9D59F}"/>
    <cellStyle name="Migliaia 4 2 2 2 2 8 4 4" xfId="19717" xr:uid="{5A17D2DA-674A-48F1-82C7-44501B44A159}"/>
    <cellStyle name="Migliaia 4 2 2 2 2 8 5" xfId="2114" xr:uid="{AD928424-C64A-483D-AB0C-0DCE96D014B4}"/>
    <cellStyle name="Migliaia 4 2 2 2 2 8 5 2" xfId="9611" xr:uid="{4236AB60-E8BC-4A0B-B237-D182A9752180}"/>
    <cellStyle name="Migliaia 4 2 2 2 2 8 5 2 2" xfId="24789" xr:uid="{137211F2-464B-4164-A308-57E768658383}"/>
    <cellStyle name="Migliaia 4 2 2 2 2 8 5 3" xfId="17329" xr:uid="{DFF91BC7-C5B3-450C-A4AE-F607CB94D776}"/>
    <cellStyle name="Migliaia 4 2 2 2 2 8 6" xfId="9097" xr:uid="{D074F34D-D434-4A93-8D50-A4E0C9E145D6}"/>
    <cellStyle name="Migliaia 4 2 2 2 2 8 6 2" xfId="13270" xr:uid="{1E894FCD-F090-479D-A8AE-EDE3A185953F}"/>
    <cellStyle name="Migliaia 4 2 2 2 2 8 6 2 2" xfId="28447" xr:uid="{8C7CAB71-3203-43A8-8E82-650DCA676A5C}"/>
    <cellStyle name="Migliaia 4 2 2 2 2 8 6 3" xfId="24275" xr:uid="{4051B28E-B367-4C4D-971F-D5D131AFB4D0}"/>
    <cellStyle name="Migliaia 4 2 2 2 2 8 7" xfId="5437" xr:uid="{E2AD10AD-7CB9-49BB-9548-6FCFD15BA3A0}"/>
    <cellStyle name="Migliaia 4 2 2 2 2 8 7 2" xfId="20617" xr:uid="{0DA9B3F3-F573-4BA2-95C6-1180A544A9E1}"/>
    <cellStyle name="Migliaia 4 2 2 2 2 8 8" xfId="16815" xr:uid="{F22F643F-20DB-45DC-9F47-A0CDA951AAF1}"/>
    <cellStyle name="Migliaia 4 2 2 2 2 9" xfId="1683" xr:uid="{97C57916-F6A7-40D2-952D-EE207BEA3800}"/>
    <cellStyle name="Migliaia 4 2 2 2 2 9 2" xfId="3102" xr:uid="{9F318F84-698E-46F9-AEB5-651211B7D0D7}"/>
    <cellStyle name="Migliaia 4 2 2 2 2 9 2 2" xfId="10593" xr:uid="{7B87AA6B-457A-4109-B981-F9201547DF3B}"/>
    <cellStyle name="Migliaia 4 2 2 2 2 9 2 2 2" xfId="14139" xr:uid="{35CC7536-3C0C-424E-A583-EC09A6694EE7}"/>
    <cellStyle name="Migliaia 4 2 2 2 2 9 2 2 2 2" xfId="29316" xr:uid="{75BA58BB-74DE-4D16-9536-F5171A3BA49A}"/>
    <cellStyle name="Migliaia 4 2 2 2 2 9 2 2 3" xfId="25771" xr:uid="{92361446-271F-41A3-B7C5-9B8E379FE6A2}"/>
    <cellStyle name="Migliaia 4 2 2 2 2 9 2 3" xfId="6419" xr:uid="{A09F26BE-4013-406D-B7D8-43CAE1C2F9F8}"/>
    <cellStyle name="Migliaia 4 2 2 2 2 9 2 3 2" xfId="21599" xr:uid="{F618BDB9-A0C1-4371-89DC-49AD753AE6F6}"/>
    <cellStyle name="Migliaia 4 2 2 2 2 9 2 4" xfId="18311" xr:uid="{F2E66078-A3B6-4EF8-84C2-F1E2713C01E6}"/>
    <cellStyle name="Migliaia 4 2 2 2 2 9 3" xfId="3989" xr:uid="{DD1EB5B8-7478-4562-AD2B-50A71414B934}"/>
    <cellStyle name="Migliaia 4 2 2 2 2 9 3 2" xfId="11477" xr:uid="{CC232B20-AA9F-4997-A410-FD9F3C4D53D7}"/>
    <cellStyle name="Migliaia 4 2 2 2 2 9 3 2 2" xfId="15023" xr:uid="{5759ACE6-AD1E-4B69-9157-187C6B9E8B5B}"/>
    <cellStyle name="Migliaia 4 2 2 2 2 9 3 2 2 2" xfId="30200" xr:uid="{8CA1F623-EDC9-4720-8F20-F513B239AECD}"/>
    <cellStyle name="Migliaia 4 2 2 2 2 9 3 2 3" xfId="26655" xr:uid="{922DB06C-777E-4895-98FE-BB0765F8A573}"/>
    <cellStyle name="Migliaia 4 2 2 2 2 9 3 3" xfId="7303" xr:uid="{24EBC25A-621A-4494-9BFB-7CF6BA2A79CB}"/>
    <cellStyle name="Migliaia 4 2 2 2 2 9 3 3 2" xfId="22483" xr:uid="{B0CC2364-FEBB-41B5-83C1-E221C290AB4C}"/>
    <cellStyle name="Migliaia 4 2 2 2 2 9 3 4" xfId="19195" xr:uid="{3A64C54C-DE10-41AB-81DD-DBF09A55C5FC}"/>
    <cellStyle name="Migliaia 4 2 2 2 2 9 4" xfId="4515" xr:uid="{9768D29C-7A45-47FF-BD0E-6520DF64FB35}"/>
    <cellStyle name="Migliaia 4 2 2 2 2 9 4 2" xfId="12000" xr:uid="{77A07E65-79CA-40F8-B1CD-2DD039B1982A}"/>
    <cellStyle name="Migliaia 4 2 2 2 2 9 4 2 2" xfId="15546" xr:uid="{9BE63B1D-37D0-4AE4-A82F-7E1D8C961F56}"/>
    <cellStyle name="Migliaia 4 2 2 2 2 9 4 2 2 2" xfId="30723" xr:uid="{DA66210D-76FB-4974-8BAA-AAC9BE4F858F}"/>
    <cellStyle name="Migliaia 4 2 2 2 2 9 4 2 3" xfId="27178" xr:uid="{C6F73CB9-F917-4EDA-A650-4B915113D9CA}"/>
    <cellStyle name="Migliaia 4 2 2 2 2 9 4 3" xfId="7826" xr:uid="{94CA74A9-335E-464C-A9D0-F6596D5CEAE1}"/>
    <cellStyle name="Migliaia 4 2 2 2 2 9 4 3 2" xfId="23006" xr:uid="{CB2AECCE-3AE6-47CE-8979-0C5E023F3BFB}"/>
    <cellStyle name="Migliaia 4 2 2 2 2 9 4 4" xfId="19718" xr:uid="{2A6BEB1C-485A-4339-A662-4986AD6ADF70}"/>
    <cellStyle name="Migliaia 4 2 2 2 2 9 5" xfId="2212" xr:uid="{44CBF907-F162-4EF4-B255-A75F17240A66}"/>
    <cellStyle name="Migliaia 4 2 2 2 2 9 5 2" xfId="9709" xr:uid="{CD5DD0A4-58C4-4DA6-A399-47DB7B8CEE8F}"/>
    <cellStyle name="Migliaia 4 2 2 2 2 9 5 2 2" xfId="24887" xr:uid="{46B1B4D3-F0DF-479F-A1A3-EC9679B0DB7A}"/>
    <cellStyle name="Migliaia 4 2 2 2 2 9 5 3" xfId="17427" xr:uid="{50A387C3-F22B-45E1-8C76-19014C2049CD}"/>
    <cellStyle name="Migliaia 4 2 2 2 2 9 6" xfId="9195" xr:uid="{63678359-B4AC-4FC6-A8CA-0C6C0FEAC3BC}"/>
    <cellStyle name="Migliaia 4 2 2 2 2 9 6 2" xfId="13368" xr:uid="{2EF5560C-0098-439D-BCEA-15454028B234}"/>
    <cellStyle name="Migliaia 4 2 2 2 2 9 6 2 2" xfId="28545" xr:uid="{1709E041-91C3-4179-A5B4-B1C1FCE52F96}"/>
    <cellStyle name="Migliaia 4 2 2 2 2 9 6 3" xfId="24373" xr:uid="{A234BF74-7593-40B6-8A8C-E5C81B0EC23F}"/>
    <cellStyle name="Migliaia 4 2 2 2 2 9 7" xfId="5535" xr:uid="{AF1D92C5-5DBE-478F-9D9A-F54871D13A49}"/>
    <cellStyle name="Migliaia 4 2 2 2 2 9 7 2" xfId="20715" xr:uid="{07FDBDEA-C19F-4538-AE44-4597457E60B0}"/>
    <cellStyle name="Migliaia 4 2 2 2 2 9 8" xfId="16913" xr:uid="{762EAD5D-4D23-479C-AB56-0DF8227E4621}"/>
    <cellStyle name="Migliaia 4 2 2 2 3" xfId="766" xr:uid="{F5213FA8-6C4C-46BB-B702-F9CC639D499B}"/>
    <cellStyle name="Migliaia 4 2 2 2 3 10" xfId="8432" xr:uid="{108BB2E8-C4CC-4D33-BC21-EA8630857B95}"/>
    <cellStyle name="Migliaia 4 2 2 2 3 10 2" xfId="12606" xr:uid="{B4A4A95C-E34D-40F5-9BA9-035306DDA0EE}"/>
    <cellStyle name="Migliaia 4 2 2 2 3 10 2 2" xfId="27783" xr:uid="{9EF86639-7E08-4E50-9337-CF9100FD7CD2}"/>
    <cellStyle name="Migliaia 4 2 2 2 3 10 3" xfId="23611" xr:uid="{494D68E5-0C55-46BE-9C84-374300C4E06C}"/>
    <cellStyle name="Migliaia 4 2 2 2 3 11" xfId="16151" xr:uid="{C8B0364B-1ED6-4161-B244-F506ECDC05F5}"/>
    <cellStyle name="Migliaia 4 2 2 2 3 12" xfId="31493" xr:uid="{AEE2EAC9-DC3C-46B4-B872-F97E53CAD322}"/>
    <cellStyle name="Migliaia 4 2 2 2 3 2" xfId="943" xr:uid="{6166DF95-49BA-4EA0-BED3-24B5832BA573}"/>
    <cellStyle name="Migliaia 4 2 2 2 3 2 10" xfId="16273" xr:uid="{D70C1734-A4FC-4CC3-98CD-4D12A944DC6D}"/>
    <cellStyle name="Migliaia 4 2 2 2 3 2 11" xfId="31363" xr:uid="{0185C6EF-6B5F-4B9E-85E7-44F18110D2E5}"/>
    <cellStyle name="Migliaia 4 2 2 2 3 2 12" xfId="31713" xr:uid="{9E3D1A93-BA27-474E-B20B-4071CA68908B}"/>
    <cellStyle name="Migliaia 4 2 2 2 3 2 2" xfId="1304" xr:uid="{AD810E80-8900-49BB-A28B-8B7D33709B6B}"/>
    <cellStyle name="Migliaia 4 2 2 2 3 2 2 2" xfId="3621" xr:uid="{4463CD89-4CCF-4D63-B000-CCA9B0965BD3}"/>
    <cellStyle name="Migliaia 4 2 2 2 3 2 2 2 2" xfId="11109" xr:uid="{6BBD415F-E825-4D28-ABF0-2476ECB73EF6}"/>
    <cellStyle name="Migliaia 4 2 2 2 3 2 2 2 2 2" xfId="14655" xr:uid="{B3BA90A5-53C6-4090-9D7C-61C31B2AE646}"/>
    <cellStyle name="Migliaia 4 2 2 2 3 2 2 2 2 2 2" xfId="29832" xr:uid="{D70435B2-4951-4083-A605-1E3592205F42}"/>
    <cellStyle name="Migliaia 4 2 2 2 3 2 2 2 2 3" xfId="26287" xr:uid="{AFF51066-ABC9-48AA-BE91-2CED16630304}"/>
    <cellStyle name="Migliaia 4 2 2 2 3 2 2 2 3" xfId="6935" xr:uid="{2A14E860-8370-4BA3-8C47-D9BE74D42C40}"/>
    <cellStyle name="Migliaia 4 2 2 2 3 2 2 2 3 2" xfId="22115" xr:uid="{E98C65E1-3D1E-4151-B7A1-18C895CA1732}"/>
    <cellStyle name="Migliaia 4 2 2 2 3 2 2 2 4" xfId="18827" xr:uid="{F71F1345-C90A-44C1-BD07-349F161E8C99}"/>
    <cellStyle name="Migliaia 4 2 2 2 3 2 2 3" xfId="4516" xr:uid="{54A4000D-90ED-4D49-921B-C4A551AA9746}"/>
    <cellStyle name="Migliaia 4 2 2 2 3 2 2 3 2" xfId="12001" xr:uid="{BFA589DA-03B7-48E9-829F-8134ADC69C9F}"/>
    <cellStyle name="Migliaia 4 2 2 2 3 2 2 3 2 2" xfId="15547" xr:uid="{82DCD3D7-1259-48B8-98B2-CC8D2803D1E3}"/>
    <cellStyle name="Migliaia 4 2 2 2 3 2 2 3 2 2 2" xfId="30724" xr:uid="{57F55187-4A34-4307-B115-C91B3CF24103}"/>
    <cellStyle name="Migliaia 4 2 2 2 3 2 2 3 2 3" xfId="27179" xr:uid="{CF9981C2-453A-40FF-A06B-B4563DFC1CF5}"/>
    <cellStyle name="Migliaia 4 2 2 2 3 2 2 3 3" xfId="7827" xr:uid="{555BD9B9-A800-40FD-BB48-62BA1E9A0D05}"/>
    <cellStyle name="Migliaia 4 2 2 2 3 2 2 3 3 2" xfId="23007" xr:uid="{469DEFE5-F41E-4028-A52D-051A1673D9E9}"/>
    <cellStyle name="Migliaia 4 2 2 2 3 2 2 3 4" xfId="19719" xr:uid="{4215A0A0-152C-41D1-906D-3C7D34EE7D89}"/>
    <cellStyle name="Migliaia 4 2 2 2 3 2 2 4" xfId="2734" xr:uid="{CDDA005B-289A-470C-AE0C-4268CD5A05B4}"/>
    <cellStyle name="Migliaia 4 2 2 2 3 2 2 4 2" xfId="10225" xr:uid="{4852E50B-7340-4B1B-A4CF-36FC4D474DF6}"/>
    <cellStyle name="Migliaia 4 2 2 2 3 2 2 4 2 2" xfId="25403" xr:uid="{5C639EE1-F7CC-4051-B464-589E49EA9B66}"/>
    <cellStyle name="Migliaia 4 2 2 2 3 2 2 4 3" xfId="17943" xr:uid="{0652EF11-4F13-426E-AA7D-EED00279B736}"/>
    <cellStyle name="Migliaia 4 2 2 2 3 2 2 5" xfId="8827" xr:uid="{2225405F-576C-4DBB-AA95-24E188ED72C1}"/>
    <cellStyle name="Migliaia 4 2 2 2 3 2 2 5 2" xfId="13000" xr:uid="{B848D197-9194-4103-90B8-365DF48EA8C2}"/>
    <cellStyle name="Migliaia 4 2 2 2 3 2 2 5 2 2" xfId="28177" xr:uid="{4C6CC940-8A70-47BE-BF8C-194917820F71}"/>
    <cellStyle name="Migliaia 4 2 2 2 3 2 2 5 3" xfId="24005" xr:uid="{14F42D01-A9A0-4EB5-AA24-313EC20F0DE6}"/>
    <cellStyle name="Migliaia 4 2 2 2 3 2 2 6" xfId="6051" xr:uid="{4871D6C5-D974-4D2B-ACFA-482212B22362}"/>
    <cellStyle name="Migliaia 4 2 2 2 3 2 2 6 2" xfId="21231" xr:uid="{048A26F8-1FA4-4941-804B-8739473FEA1A}"/>
    <cellStyle name="Migliaia 4 2 2 2 3 2 2 7" xfId="16545" xr:uid="{DD45854A-5FD1-41D0-B06D-7813FB6B5FFB}"/>
    <cellStyle name="Migliaia 4 2 2 2 3 2 3" xfId="2461" xr:uid="{FC7ED108-C633-4F96-A4F2-0ED6D016E2DD}"/>
    <cellStyle name="Migliaia 4 2 2 2 3 2 3 2" xfId="9953" xr:uid="{E7766B5A-2A8B-4368-A120-D1DD6D41F355}"/>
    <cellStyle name="Migliaia 4 2 2 2 3 2 3 2 2" xfId="13612" xr:uid="{C6F7435C-8201-4198-ACA7-327A29283BD0}"/>
    <cellStyle name="Migliaia 4 2 2 2 3 2 3 2 2 2" xfId="28789" xr:uid="{0E9C3945-E68C-4B44-9EAE-83A0F8EE20FA}"/>
    <cellStyle name="Migliaia 4 2 2 2 3 2 3 2 3" xfId="25131" xr:uid="{235485EE-7B68-4379-B988-40C93F8C750B}"/>
    <cellStyle name="Migliaia 4 2 2 2 3 2 3 3" xfId="5779" xr:uid="{1E8FBD77-B412-4249-A989-259AC5846C9A}"/>
    <cellStyle name="Migliaia 4 2 2 2 3 2 3 3 2" xfId="20959" xr:uid="{B4312749-C57E-4233-B785-A3773174C54E}"/>
    <cellStyle name="Migliaia 4 2 2 2 3 2 3 4" xfId="17671" xr:uid="{825B4BF9-AB7C-4CEF-8CD0-C4CC527A14EE}"/>
    <cellStyle name="Migliaia 4 2 2 2 3 2 4" xfId="3349" xr:uid="{47C62E37-7625-4E21-9FB8-885A7C55E9FE}"/>
    <cellStyle name="Migliaia 4 2 2 2 3 2 4 2" xfId="10837" xr:uid="{B9625D58-08C4-4189-B224-8DE3B8FBFDD0}"/>
    <cellStyle name="Migliaia 4 2 2 2 3 2 4 2 2" xfId="14383" xr:uid="{2FE9A1B0-D216-48B7-A3CC-7D66770661B5}"/>
    <cellStyle name="Migliaia 4 2 2 2 3 2 4 2 2 2" xfId="29560" xr:uid="{CA187EE8-D2EF-4AC4-94B3-29250BB14EF5}"/>
    <cellStyle name="Migliaia 4 2 2 2 3 2 4 2 3" xfId="26015" xr:uid="{687D09C7-B750-4148-87D7-62A2483BF2B6}"/>
    <cellStyle name="Migliaia 4 2 2 2 3 2 4 3" xfId="6663" xr:uid="{09123B23-3522-4AD5-9794-1BE36216F76B}"/>
    <cellStyle name="Migliaia 4 2 2 2 3 2 4 3 2" xfId="21843" xr:uid="{4620A39C-EC83-4171-9425-0A8C86B493DB}"/>
    <cellStyle name="Migliaia 4 2 2 2 3 2 4 4" xfId="18555" xr:uid="{E16C9550-FDA2-450E-A467-86981EBB753D}"/>
    <cellStyle name="Migliaia 4 2 2 2 3 2 5" xfId="4517" xr:uid="{B5B19EA4-7620-4A52-917E-B0E201E80CF9}"/>
    <cellStyle name="Migliaia 4 2 2 2 3 2 5 2" xfId="12002" xr:uid="{A749DC39-2A44-494C-B440-A2BC55B6A7DB}"/>
    <cellStyle name="Migliaia 4 2 2 2 3 2 5 2 2" xfId="15548" xr:uid="{3BFE37A4-E4D9-4C59-B7CF-26A806B539CD}"/>
    <cellStyle name="Migliaia 4 2 2 2 3 2 5 2 2 2" xfId="30725" xr:uid="{2DE13488-D1AE-4EC0-8075-083BC5D8559C}"/>
    <cellStyle name="Migliaia 4 2 2 2 3 2 5 2 3" xfId="27180" xr:uid="{560A5AD3-8310-404D-9F56-1EB32E759B2E}"/>
    <cellStyle name="Migliaia 4 2 2 2 3 2 5 3" xfId="7828" xr:uid="{419DE146-ADC1-447D-832A-CBB814A2193E}"/>
    <cellStyle name="Migliaia 4 2 2 2 3 2 5 3 2" xfId="23008" xr:uid="{35EE2207-0E84-4EA2-8512-72A2BF352809}"/>
    <cellStyle name="Migliaia 4 2 2 2 3 2 5 4" xfId="19720" xr:uid="{DDE6C1D3-499B-4F60-896B-818F6049E0B3}"/>
    <cellStyle name="Migliaia 4 2 2 2 3 2 6" xfId="5023" xr:uid="{E54B670B-2674-4FB5-8014-0EF64AE9DDD0}"/>
    <cellStyle name="Migliaia 4 2 2 2 3 2 6 2" xfId="12507" xr:uid="{83EAC7DE-4D62-4602-B2BB-4932A6250989}"/>
    <cellStyle name="Migliaia 4 2 2 2 3 2 6 2 2" xfId="16053" xr:uid="{2970EFF4-F903-4158-876A-7E0832063874}"/>
    <cellStyle name="Migliaia 4 2 2 2 3 2 6 2 2 2" xfId="31230" xr:uid="{D9BAE081-DA5C-4EA7-B493-51442537897E}"/>
    <cellStyle name="Migliaia 4 2 2 2 3 2 6 2 3" xfId="27685" xr:uid="{4084E49B-3EA7-4A87-93DF-992DE17F0F70}"/>
    <cellStyle name="Migliaia 4 2 2 2 3 2 6 3" xfId="8333" xr:uid="{D5E1480C-E1A4-4231-95C2-8065AF876A79}"/>
    <cellStyle name="Migliaia 4 2 2 2 3 2 6 3 2" xfId="23513" xr:uid="{3296AC88-06C0-4894-949B-3ABC9E300E14}"/>
    <cellStyle name="Migliaia 4 2 2 2 3 2 6 4" xfId="20225" xr:uid="{05F9F756-3892-4828-B8DE-DC384742BAAC}"/>
    <cellStyle name="Migliaia 4 2 2 2 3 2 7" xfId="1844" xr:uid="{6411B545-C9AD-4C99-AD82-B4C7D3CDD923}"/>
    <cellStyle name="Migliaia 4 2 2 2 3 2 7 2" xfId="9341" xr:uid="{F21B1C62-3DD6-4E0B-AA68-EF543C0382ED}"/>
    <cellStyle name="Migliaia 4 2 2 2 3 2 7 2 2" xfId="24519" xr:uid="{9CCE01FF-4927-4211-924F-F5C6B96A3944}"/>
    <cellStyle name="Migliaia 4 2 2 2 3 2 7 3" xfId="17059" xr:uid="{F6E6971A-34C6-4390-A1A9-12E259B95035}"/>
    <cellStyle name="Migliaia 4 2 2 2 3 2 8" xfId="8555" xr:uid="{C76CA538-B87C-4C49-9B1B-E12A02AA9561}"/>
    <cellStyle name="Migliaia 4 2 2 2 3 2 8 2" xfId="12728" xr:uid="{DF32A2DE-D15F-4FC5-8DC7-A8F79F5B306A}"/>
    <cellStyle name="Migliaia 4 2 2 2 3 2 8 2 2" xfId="27905" xr:uid="{141404FF-8C7D-443D-B0CA-2C73E3BFF74D}"/>
    <cellStyle name="Migliaia 4 2 2 2 3 2 8 3" xfId="23733" xr:uid="{AC51CF20-E0BF-433D-BB09-CC6AFD80FF67}"/>
    <cellStyle name="Migliaia 4 2 2 2 3 2 9" xfId="5167" xr:uid="{08BBF0FE-6AF1-4851-A6DA-A10286E3E136}"/>
    <cellStyle name="Migliaia 4 2 2 2 3 2 9 2" xfId="20347" xr:uid="{ACAEF5BF-6B8F-497D-8D52-EC1057C6FAFF}"/>
    <cellStyle name="Migliaia 4 2 2 2 3 3" xfId="1046" xr:uid="{F5DFA5B8-0719-48F8-A774-BA724D0B8BCC}"/>
    <cellStyle name="Migliaia 4 2 2 2 3 3 10" xfId="31591" xr:uid="{F9F5A247-0312-4B14-A395-67999AA180E7}"/>
    <cellStyle name="Migliaia 4 2 2 2 3 3 2" xfId="1406" xr:uid="{CE84B885-7963-446E-AFC4-24A7BCC536D6}"/>
    <cellStyle name="Migliaia 4 2 2 2 3 3 2 2" xfId="3719" xr:uid="{CD25FB79-FF18-40ED-8205-FE9509ADC93E}"/>
    <cellStyle name="Migliaia 4 2 2 2 3 3 2 2 2" xfId="11207" xr:uid="{C95DFE51-FB14-43B1-B5BF-F1A9ED71F8E9}"/>
    <cellStyle name="Migliaia 4 2 2 2 3 3 2 2 2 2" xfId="14753" xr:uid="{8FC4B6FD-DA84-4E8F-B38B-B67AAA7238E8}"/>
    <cellStyle name="Migliaia 4 2 2 2 3 3 2 2 2 2 2" xfId="29930" xr:uid="{011062AC-BEAB-492E-AED4-9FE71DCC5639}"/>
    <cellStyle name="Migliaia 4 2 2 2 3 3 2 2 2 3" xfId="26385" xr:uid="{89EB29AC-5A94-4908-B63D-32EF64930593}"/>
    <cellStyle name="Migliaia 4 2 2 2 3 3 2 2 3" xfId="7033" xr:uid="{3F3BC817-641A-4812-AF69-9C72766B4339}"/>
    <cellStyle name="Migliaia 4 2 2 2 3 3 2 2 3 2" xfId="22213" xr:uid="{EBD3366C-8B78-439F-ADC9-44F778168D01}"/>
    <cellStyle name="Migliaia 4 2 2 2 3 3 2 2 4" xfId="18925" xr:uid="{C75CBFED-FF55-4CCB-B0A2-66864AC39514}"/>
    <cellStyle name="Migliaia 4 2 2 2 3 3 2 3" xfId="4518" xr:uid="{7F950576-0769-4C9B-8365-B48E3C54B9DE}"/>
    <cellStyle name="Migliaia 4 2 2 2 3 3 2 3 2" xfId="12003" xr:uid="{F205C68C-5833-45F3-8841-62EA3E18D801}"/>
    <cellStyle name="Migliaia 4 2 2 2 3 3 2 3 2 2" xfId="15549" xr:uid="{BB856DE6-0E17-4D3D-A667-6449BB43B495}"/>
    <cellStyle name="Migliaia 4 2 2 2 3 3 2 3 2 2 2" xfId="30726" xr:uid="{4B74E0A4-DCDB-4C2F-95EA-260512B5A058}"/>
    <cellStyle name="Migliaia 4 2 2 2 3 3 2 3 2 3" xfId="27181" xr:uid="{1B1FF333-470E-446F-A533-C45B2264B162}"/>
    <cellStyle name="Migliaia 4 2 2 2 3 3 2 3 3" xfId="7829" xr:uid="{4D49142A-274C-40D5-848D-98808DF78CDB}"/>
    <cellStyle name="Migliaia 4 2 2 2 3 3 2 3 3 2" xfId="23009" xr:uid="{8E293491-0D5A-4471-8AEC-814B5CDE9081}"/>
    <cellStyle name="Migliaia 4 2 2 2 3 3 2 3 4" xfId="19721" xr:uid="{8B9122BC-C455-49B8-ACCF-2CEFEB8EA047}"/>
    <cellStyle name="Migliaia 4 2 2 2 3 3 2 4" xfId="2832" xr:uid="{DDB8D76D-A1DE-40CC-80D6-9DC4977446AB}"/>
    <cellStyle name="Migliaia 4 2 2 2 3 3 2 4 2" xfId="10323" xr:uid="{880FCD44-E537-4848-9D58-A961D7275665}"/>
    <cellStyle name="Migliaia 4 2 2 2 3 3 2 4 2 2" xfId="25501" xr:uid="{1C9F8DA3-E4DF-4FD9-A870-E4C31C3B672A}"/>
    <cellStyle name="Migliaia 4 2 2 2 3 3 2 4 3" xfId="18041" xr:uid="{9DFDC3B5-7591-4D8C-88D7-47EF8DED2149}"/>
    <cellStyle name="Migliaia 4 2 2 2 3 3 2 5" xfId="8925" xr:uid="{08C5D258-E76F-4A22-A18D-FB717842F7C8}"/>
    <cellStyle name="Migliaia 4 2 2 2 3 3 2 5 2" xfId="13098" xr:uid="{29F6CF86-31DF-485A-AC2B-4F0A43067355}"/>
    <cellStyle name="Migliaia 4 2 2 2 3 3 2 5 2 2" xfId="28275" xr:uid="{295F5965-4C7B-4ACA-905B-8279C0F3CFA1}"/>
    <cellStyle name="Migliaia 4 2 2 2 3 3 2 5 3" xfId="24103" xr:uid="{945FB700-DE1A-4934-8AB9-173C8C1DFBBA}"/>
    <cellStyle name="Migliaia 4 2 2 2 3 3 2 6" xfId="6149" xr:uid="{3014CF44-DCD0-4577-AEE3-62C351B795B5}"/>
    <cellStyle name="Migliaia 4 2 2 2 3 3 2 6 2" xfId="21329" xr:uid="{D8814917-80A9-4786-B29E-D67F8775917B}"/>
    <cellStyle name="Migliaia 4 2 2 2 3 3 2 7" xfId="16643" xr:uid="{13ADE9FF-88B4-4B20-9490-DA1BDB8D5A31}"/>
    <cellStyle name="Migliaia 4 2 2 2 3 3 3" xfId="2559" xr:uid="{F7AA06F4-053A-482B-AF48-5F32E7CDB92B}"/>
    <cellStyle name="Migliaia 4 2 2 2 3 3 3 2" xfId="10051" xr:uid="{B2579028-2C86-414F-AF28-8E82542DEBFA}"/>
    <cellStyle name="Migliaia 4 2 2 2 3 3 3 2 2" xfId="13710" xr:uid="{F7E46264-F022-4537-95DD-57A36BACC32A}"/>
    <cellStyle name="Migliaia 4 2 2 2 3 3 3 2 2 2" xfId="28887" xr:uid="{B6E01678-3321-4221-ACE7-B04C06DDDB71}"/>
    <cellStyle name="Migliaia 4 2 2 2 3 3 3 2 3" xfId="25229" xr:uid="{FFAB7E42-DE4B-4615-A85D-C9945AF7A47B}"/>
    <cellStyle name="Migliaia 4 2 2 2 3 3 3 3" xfId="5877" xr:uid="{6038581F-C239-4213-8903-3258EEDAD403}"/>
    <cellStyle name="Migliaia 4 2 2 2 3 3 3 3 2" xfId="21057" xr:uid="{EDF65E03-FD7A-43F8-85B4-D17EFC13BA86}"/>
    <cellStyle name="Migliaia 4 2 2 2 3 3 3 4" xfId="17769" xr:uid="{8AAFB2CB-1B75-400C-9B8F-862B9D97BC54}"/>
    <cellStyle name="Migliaia 4 2 2 2 3 3 4" xfId="3447" xr:uid="{F43AE359-7FE9-4727-9886-099160AA5DB0}"/>
    <cellStyle name="Migliaia 4 2 2 2 3 3 4 2" xfId="10935" xr:uid="{46FAA9E0-61CE-4C83-9C1B-93C731E38897}"/>
    <cellStyle name="Migliaia 4 2 2 2 3 3 4 2 2" xfId="14481" xr:uid="{E015A30F-189D-4FBF-819C-756642EBC9CB}"/>
    <cellStyle name="Migliaia 4 2 2 2 3 3 4 2 2 2" xfId="29658" xr:uid="{28CD0A2B-DEC8-4F81-A68F-A1DFF87558D9}"/>
    <cellStyle name="Migliaia 4 2 2 2 3 3 4 2 3" xfId="26113" xr:uid="{94B09604-29C1-4C79-B66E-32245E27AA53}"/>
    <cellStyle name="Migliaia 4 2 2 2 3 3 4 3" xfId="6761" xr:uid="{17C977D8-6B68-4EC8-910E-80AD15F01B09}"/>
    <cellStyle name="Migliaia 4 2 2 2 3 3 4 3 2" xfId="21941" xr:uid="{11261113-4E50-436E-8208-295638FA82C0}"/>
    <cellStyle name="Migliaia 4 2 2 2 3 3 4 4" xfId="18653" xr:uid="{E119F06F-D28C-43E9-AE36-468EEF8048FB}"/>
    <cellStyle name="Migliaia 4 2 2 2 3 3 5" xfId="4519" xr:uid="{DE198F33-AC4B-462E-B62F-433C11C3A8C2}"/>
    <cellStyle name="Migliaia 4 2 2 2 3 3 5 2" xfId="12004" xr:uid="{C110B3CC-A2C2-4D35-BBA6-35BA367E5CEB}"/>
    <cellStyle name="Migliaia 4 2 2 2 3 3 5 2 2" xfId="15550" xr:uid="{FA2F770E-FB2F-4208-9006-2D74C4F3942C}"/>
    <cellStyle name="Migliaia 4 2 2 2 3 3 5 2 2 2" xfId="30727" xr:uid="{EC64B710-41E0-45F9-A137-C6B61714C3BC}"/>
    <cellStyle name="Migliaia 4 2 2 2 3 3 5 2 3" xfId="27182" xr:uid="{DA8C1D76-6A2A-4890-AAFE-D03D014CBE10}"/>
    <cellStyle name="Migliaia 4 2 2 2 3 3 5 3" xfId="7830" xr:uid="{42BBEC54-1E67-4B0C-B1F5-F7E5BBB851F0}"/>
    <cellStyle name="Migliaia 4 2 2 2 3 3 5 3 2" xfId="23010" xr:uid="{C85EE369-3853-4DCA-A65F-46EFF0F28759}"/>
    <cellStyle name="Migliaia 4 2 2 2 3 3 5 4" xfId="19722" xr:uid="{3FDE4AED-56D6-423D-A43F-3976447FF838}"/>
    <cellStyle name="Migliaia 4 2 2 2 3 3 6" xfId="1942" xr:uid="{BDA16D5F-CA1B-4762-A9A0-2B8FC9FE4D07}"/>
    <cellStyle name="Migliaia 4 2 2 2 3 3 6 2" xfId="9439" xr:uid="{D357C5B3-2C6F-491B-B13D-A274BE7A93D6}"/>
    <cellStyle name="Migliaia 4 2 2 2 3 3 6 2 2" xfId="24617" xr:uid="{8D6194CE-7C10-4898-95F8-3269866FAC6A}"/>
    <cellStyle name="Migliaia 4 2 2 2 3 3 6 3" xfId="17157" xr:uid="{EE0C424E-B90A-466C-AA8D-43165D3D9724}"/>
    <cellStyle name="Migliaia 4 2 2 2 3 3 7" xfId="8653" xr:uid="{68C51A7D-930C-4BB4-A46E-76A70825CC39}"/>
    <cellStyle name="Migliaia 4 2 2 2 3 3 7 2" xfId="12826" xr:uid="{31F3F6AD-89D4-4984-9109-2634CDBDA816}"/>
    <cellStyle name="Migliaia 4 2 2 2 3 3 7 2 2" xfId="28003" xr:uid="{CA397190-9E90-41EB-8380-16A07DE71B11}"/>
    <cellStyle name="Migliaia 4 2 2 2 3 3 7 3" xfId="23831" xr:uid="{EBE0BC4D-C1C7-4993-8E30-2E6664B773E4}"/>
    <cellStyle name="Migliaia 4 2 2 2 3 3 8" xfId="5265" xr:uid="{D87A01B3-1242-463F-BDEC-08EB72A0BF8F}"/>
    <cellStyle name="Migliaia 4 2 2 2 3 3 8 2" xfId="20445" xr:uid="{D8F31331-0DCC-4721-941C-5068BA7E7124}"/>
    <cellStyle name="Migliaia 4 2 2 2 3 3 9" xfId="16371" xr:uid="{F3CD50FF-CD22-402C-BA2A-A37FEA83870C}"/>
    <cellStyle name="Migliaia 4 2 2 2 3 4" xfId="1505" xr:uid="{5F2D3A17-1EF4-45A3-B5A7-994BF1331586}"/>
    <cellStyle name="Migliaia 4 2 2 2 3 4 2" xfId="2930" xr:uid="{1A9C7DB1-5505-4521-88CB-B3D9D886B772}"/>
    <cellStyle name="Migliaia 4 2 2 2 3 4 2 2" xfId="10421" xr:uid="{753DADAA-1EC7-49CA-AC60-5AEAE7443FDF}"/>
    <cellStyle name="Migliaia 4 2 2 2 3 4 2 2 2" xfId="13967" xr:uid="{06EA6C87-8924-47B6-A2B4-F88198F0005F}"/>
    <cellStyle name="Migliaia 4 2 2 2 3 4 2 2 2 2" xfId="29144" xr:uid="{4041B1AD-1A4C-4713-957C-4567D7D366F0}"/>
    <cellStyle name="Migliaia 4 2 2 2 3 4 2 2 3" xfId="25599" xr:uid="{105E1421-0775-4CFB-A228-2E22A4FBFCAC}"/>
    <cellStyle name="Migliaia 4 2 2 2 3 4 2 3" xfId="6247" xr:uid="{35F42EF5-B39C-437A-9704-39EE4B99D35E}"/>
    <cellStyle name="Migliaia 4 2 2 2 3 4 2 3 2" xfId="21427" xr:uid="{0893B464-B6DB-4742-945F-7CF6047B0AF6}"/>
    <cellStyle name="Migliaia 4 2 2 2 3 4 2 4" xfId="18139" xr:uid="{92D53875-AB23-44AD-8F01-08993E05320C}"/>
    <cellStyle name="Migliaia 4 2 2 2 3 4 3" xfId="3817" xr:uid="{6D1B366F-ECDC-4705-A90A-219B65956989}"/>
    <cellStyle name="Migliaia 4 2 2 2 3 4 3 2" xfId="11305" xr:uid="{D276C315-EC31-429C-8F38-FC0CF5563B06}"/>
    <cellStyle name="Migliaia 4 2 2 2 3 4 3 2 2" xfId="14851" xr:uid="{48FB3446-4C6B-452F-BF31-5FAC00C875DB}"/>
    <cellStyle name="Migliaia 4 2 2 2 3 4 3 2 2 2" xfId="30028" xr:uid="{63EC129E-381D-49F9-AED7-57C60C38226D}"/>
    <cellStyle name="Migliaia 4 2 2 2 3 4 3 2 3" xfId="26483" xr:uid="{6237E990-C661-4CB3-8E30-5701DC3663F1}"/>
    <cellStyle name="Migliaia 4 2 2 2 3 4 3 3" xfId="7131" xr:uid="{BCEE58AB-C27E-4B8F-A4ED-74125FF0E0AD}"/>
    <cellStyle name="Migliaia 4 2 2 2 3 4 3 3 2" xfId="22311" xr:uid="{B65C4CC8-1DFB-4A71-9F2B-5CA24DD51A32}"/>
    <cellStyle name="Migliaia 4 2 2 2 3 4 3 4" xfId="19023" xr:uid="{FF38E31B-080B-40AE-A71C-2BF7C028901E}"/>
    <cellStyle name="Migliaia 4 2 2 2 3 4 4" xfId="4520" xr:uid="{B8C271F9-0B44-4005-AD7E-6EF358F31F17}"/>
    <cellStyle name="Migliaia 4 2 2 2 3 4 4 2" xfId="12005" xr:uid="{29AF5D87-9E9E-4820-A4AF-DBC2F284F52E}"/>
    <cellStyle name="Migliaia 4 2 2 2 3 4 4 2 2" xfId="15551" xr:uid="{8FD4DD7F-361D-43F3-A544-641BD793DDE3}"/>
    <cellStyle name="Migliaia 4 2 2 2 3 4 4 2 2 2" xfId="30728" xr:uid="{A7ECABBF-0C3B-4CB5-8355-19B933800BA5}"/>
    <cellStyle name="Migliaia 4 2 2 2 3 4 4 2 3" xfId="27183" xr:uid="{02B1D44B-56B9-4553-A2CC-DE72F0475EB2}"/>
    <cellStyle name="Migliaia 4 2 2 2 3 4 4 3" xfId="7831" xr:uid="{2BBBCE8B-B7B8-408A-8C62-DC40B8073BEF}"/>
    <cellStyle name="Migliaia 4 2 2 2 3 4 4 3 2" xfId="23011" xr:uid="{2BD88D03-AB48-4C9A-86E5-8302A57ACA6D}"/>
    <cellStyle name="Migliaia 4 2 2 2 3 4 4 4" xfId="19723" xr:uid="{E0E58DE4-1B54-4DE1-B1D3-25A155F2E625}"/>
    <cellStyle name="Migliaia 4 2 2 2 3 4 5" xfId="2040" xr:uid="{38FB0A3E-7A90-44EF-B0AC-80D02D5BFF5D}"/>
    <cellStyle name="Migliaia 4 2 2 2 3 4 5 2" xfId="9537" xr:uid="{9A921D54-2469-4E5A-BB91-45DC2DBB4038}"/>
    <cellStyle name="Migliaia 4 2 2 2 3 4 5 2 2" xfId="24715" xr:uid="{4D16E929-34A2-46BE-8568-C0E0C685F68F}"/>
    <cellStyle name="Migliaia 4 2 2 2 3 4 5 3" xfId="17255" xr:uid="{245B6D02-FAD7-4B87-9033-5FB3F471EC0F}"/>
    <cellStyle name="Migliaia 4 2 2 2 3 4 6" xfId="9023" xr:uid="{64E08A04-948E-4D40-9711-7A0B4D4ACAB3}"/>
    <cellStyle name="Migliaia 4 2 2 2 3 4 6 2" xfId="13196" xr:uid="{0747EF51-597A-4BB2-8771-8C21BC936F16}"/>
    <cellStyle name="Migliaia 4 2 2 2 3 4 6 2 2" xfId="28373" xr:uid="{49ED76EB-D3E0-4077-B8F0-02906555731E}"/>
    <cellStyle name="Migliaia 4 2 2 2 3 4 6 3" xfId="24201" xr:uid="{3912DDEC-DFED-48EC-A8FC-BAA2A1E8EF59}"/>
    <cellStyle name="Migliaia 4 2 2 2 3 4 7" xfId="5363" xr:uid="{56D111E1-C7BC-4BD4-9897-D61A7DB50139}"/>
    <cellStyle name="Migliaia 4 2 2 2 3 4 7 2" xfId="20543" xr:uid="{4B0E6A82-2BC1-469B-AE03-B3F0F6BD0603}"/>
    <cellStyle name="Migliaia 4 2 2 2 3 4 8" xfId="16741" xr:uid="{311CBB4A-128E-467A-81ED-159147DB06C6}"/>
    <cellStyle name="Migliaia 4 2 2 2 3 5" xfId="1608" xr:uid="{ED9B87F9-B0E4-4190-BFB1-1E788BB473AD}"/>
    <cellStyle name="Migliaia 4 2 2 2 3 5 2" xfId="3028" xr:uid="{96AD2C31-B1E7-448D-93DA-C7E5E84932A2}"/>
    <cellStyle name="Migliaia 4 2 2 2 3 5 2 2" xfId="10519" xr:uid="{EE2D0594-DA7E-4B19-8349-F7AA117033A6}"/>
    <cellStyle name="Migliaia 4 2 2 2 3 5 2 2 2" xfId="14065" xr:uid="{350E519F-D83B-4519-A4FB-0970DEAE037D}"/>
    <cellStyle name="Migliaia 4 2 2 2 3 5 2 2 2 2" xfId="29242" xr:uid="{663F6124-EC8D-4760-8A1E-FD1E97CD9083}"/>
    <cellStyle name="Migliaia 4 2 2 2 3 5 2 2 3" xfId="25697" xr:uid="{972B7C48-D204-417A-9678-E3A98DCC74EE}"/>
    <cellStyle name="Migliaia 4 2 2 2 3 5 2 3" xfId="6345" xr:uid="{ACF6B866-EA35-4AA5-B191-A0A21615B72B}"/>
    <cellStyle name="Migliaia 4 2 2 2 3 5 2 3 2" xfId="21525" xr:uid="{623FEBF3-9620-4807-AC71-AA7BB5A6A5B5}"/>
    <cellStyle name="Migliaia 4 2 2 2 3 5 2 4" xfId="18237" xr:uid="{4FE5CE9C-CF2E-4F76-9569-8C785177FC01}"/>
    <cellStyle name="Migliaia 4 2 2 2 3 5 3" xfId="3915" xr:uid="{E1461993-5DAD-4D7A-BBF6-4917248E1D60}"/>
    <cellStyle name="Migliaia 4 2 2 2 3 5 3 2" xfId="11403" xr:uid="{C36426D7-9350-478E-8062-8910E6316945}"/>
    <cellStyle name="Migliaia 4 2 2 2 3 5 3 2 2" xfId="14949" xr:uid="{AB0DB6FE-9DA2-4625-80A5-797C9B9AC32B}"/>
    <cellStyle name="Migliaia 4 2 2 2 3 5 3 2 2 2" xfId="30126" xr:uid="{8B15368C-95BE-4221-ABFB-1AEC4615D763}"/>
    <cellStyle name="Migliaia 4 2 2 2 3 5 3 2 3" xfId="26581" xr:uid="{A84B9173-707C-42A2-8F5E-CDB10D7BF236}"/>
    <cellStyle name="Migliaia 4 2 2 2 3 5 3 3" xfId="7229" xr:uid="{05796D8F-42B6-4BD2-8505-51D3E33ACDAA}"/>
    <cellStyle name="Migliaia 4 2 2 2 3 5 3 3 2" xfId="22409" xr:uid="{82723E1D-481F-4D26-81EC-26A1D9FAA0A6}"/>
    <cellStyle name="Migliaia 4 2 2 2 3 5 3 4" xfId="19121" xr:uid="{73F661FA-033F-4188-9BC4-2748B176438A}"/>
    <cellStyle name="Migliaia 4 2 2 2 3 5 4" xfId="4521" xr:uid="{8BC382D9-A647-4F4A-A9E5-7ED85E574DC2}"/>
    <cellStyle name="Migliaia 4 2 2 2 3 5 4 2" xfId="12006" xr:uid="{B32D5EA8-D13F-4C2E-82E6-597AC8B581DF}"/>
    <cellStyle name="Migliaia 4 2 2 2 3 5 4 2 2" xfId="15552" xr:uid="{F44A5CCA-1B34-4C15-A228-86C0A70D1AE2}"/>
    <cellStyle name="Migliaia 4 2 2 2 3 5 4 2 2 2" xfId="30729" xr:uid="{B929C223-7EFB-4F65-9B71-F1C9ECED743F}"/>
    <cellStyle name="Migliaia 4 2 2 2 3 5 4 2 3" xfId="27184" xr:uid="{B628D1AF-4C75-47B2-AE33-8039A7A5F29D}"/>
    <cellStyle name="Migliaia 4 2 2 2 3 5 4 3" xfId="7832" xr:uid="{7C099200-E0B9-41D0-A37C-9E779C2CCC31}"/>
    <cellStyle name="Migliaia 4 2 2 2 3 5 4 3 2" xfId="23012" xr:uid="{07E2B57F-5B13-4EC6-8CFC-87C90BBA5060}"/>
    <cellStyle name="Migliaia 4 2 2 2 3 5 4 4" xfId="19724" xr:uid="{430673D5-A679-44E6-A8A3-98BFD8E054FA}"/>
    <cellStyle name="Migliaia 4 2 2 2 3 5 5" xfId="2138" xr:uid="{3BCA596A-6943-4070-9B20-2CDB3C30395F}"/>
    <cellStyle name="Migliaia 4 2 2 2 3 5 5 2" xfId="9635" xr:uid="{BD1158A5-B381-4CA2-9294-16DDBDB64098}"/>
    <cellStyle name="Migliaia 4 2 2 2 3 5 5 2 2" xfId="24813" xr:uid="{9C287009-D7A5-4CAE-881E-642C55FF02C9}"/>
    <cellStyle name="Migliaia 4 2 2 2 3 5 5 3" xfId="17353" xr:uid="{13C8E14C-FF7D-45A2-B365-46E8ADA7DD37}"/>
    <cellStyle name="Migliaia 4 2 2 2 3 5 6" xfId="9121" xr:uid="{D3205CB2-4137-4EC7-81BD-36205F34C88B}"/>
    <cellStyle name="Migliaia 4 2 2 2 3 5 6 2" xfId="13294" xr:uid="{F7ACF20E-4048-41EF-8A19-36F7E66C3BA3}"/>
    <cellStyle name="Migliaia 4 2 2 2 3 5 6 2 2" xfId="28471" xr:uid="{A53B118B-4AC4-4755-ADE8-F0EB2E2D10CA}"/>
    <cellStyle name="Migliaia 4 2 2 2 3 5 6 3" xfId="24299" xr:uid="{CF6DE673-1A43-4D03-8CE9-CB56914FDCE9}"/>
    <cellStyle name="Migliaia 4 2 2 2 3 5 7" xfId="5461" xr:uid="{1D19FE70-5A6D-4D62-850E-3FA70A689DC0}"/>
    <cellStyle name="Migliaia 4 2 2 2 3 5 7 2" xfId="20641" xr:uid="{BFB803B6-29B7-4F30-AF0B-E695F616BE23}"/>
    <cellStyle name="Migliaia 4 2 2 2 3 5 8" xfId="16839" xr:uid="{1BECA7A6-451E-4036-B5B0-F07C107E7244}"/>
    <cellStyle name="Migliaia 4 2 2 2 3 6" xfId="1707" xr:uid="{613C0C70-F3B8-42EB-9FF3-EA97D1AFDBDA}"/>
    <cellStyle name="Migliaia 4 2 2 2 3 6 2" xfId="3126" xr:uid="{FCE061F3-FA5A-44B2-B3DB-2F9E4768B9B8}"/>
    <cellStyle name="Migliaia 4 2 2 2 3 6 2 2" xfId="10617" xr:uid="{A57FD161-B295-4C4B-88F3-F66390C61B9C}"/>
    <cellStyle name="Migliaia 4 2 2 2 3 6 2 2 2" xfId="14163" xr:uid="{5BC4C2C2-082C-4D5E-A54F-15A64FE4C39A}"/>
    <cellStyle name="Migliaia 4 2 2 2 3 6 2 2 2 2" xfId="29340" xr:uid="{82406A89-14BD-4119-8B2B-2D637B75C112}"/>
    <cellStyle name="Migliaia 4 2 2 2 3 6 2 2 3" xfId="25795" xr:uid="{EC225630-4A2E-4792-86E1-F880402F5580}"/>
    <cellStyle name="Migliaia 4 2 2 2 3 6 2 3" xfId="6443" xr:uid="{042BDA2E-A823-4CDB-BF98-A90392B52C07}"/>
    <cellStyle name="Migliaia 4 2 2 2 3 6 2 3 2" xfId="21623" xr:uid="{BE9AF072-6987-42E5-AF37-B6882EF068E1}"/>
    <cellStyle name="Migliaia 4 2 2 2 3 6 2 4" xfId="18335" xr:uid="{59F24908-99C0-427C-9203-B793244868C6}"/>
    <cellStyle name="Migliaia 4 2 2 2 3 6 3" xfId="4013" xr:uid="{62EA42F3-54FC-4EAC-8138-7713E886CA96}"/>
    <cellStyle name="Migliaia 4 2 2 2 3 6 3 2" xfId="11501" xr:uid="{C42452AE-9C46-4A51-B6E8-6CB8FBF15B82}"/>
    <cellStyle name="Migliaia 4 2 2 2 3 6 3 2 2" xfId="15047" xr:uid="{A2CB088D-95DE-4DAA-85C6-016D01342719}"/>
    <cellStyle name="Migliaia 4 2 2 2 3 6 3 2 2 2" xfId="30224" xr:uid="{EF96F16B-7897-4175-ABC6-333104947409}"/>
    <cellStyle name="Migliaia 4 2 2 2 3 6 3 2 3" xfId="26679" xr:uid="{CE62B04C-6096-467F-B83F-B39241B5B327}"/>
    <cellStyle name="Migliaia 4 2 2 2 3 6 3 3" xfId="7327" xr:uid="{B1544885-339A-4985-A495-FCDC349CAEA9}"/>
    <cellStyle name="Migliaia 4 2 2 2 3 6 3 3 2" xfId="22507" xr:uid="{52A07C95-4DD2-49B7-9B52-3C3BBE18117C}"/>
    <cellStyle name="Migliaia 4 2 2 2 3 6 3 4" xfId="19219" xr:uid="{54FEE99F-4E0F-413D-8159-BF26B02188E5}"/>
    <cellStyle name="Migliaia 4 2 2 2 3 6 4" xfId="4522" xr:uid="{670A44C8-6E01-4E69-9DFD-ECA1ED436C4B}"/>
    <cellStyle name="Migliaia 4 2 2 2 3 6 4 2" xfId="12007" xr:uid="{863E71C9-2E1D-4B50-ADDF-A05310CD30B5}"/>
    <cellStyle name="Migliaia 4 2 2 2 3 6 4 2 2" xfId="15553" xr:uid="{066E59BE-3C53-4150-9C9E-6150432C841A}"/>
    <cellStyle name="Migliaia 4 2 2 2 3 6 4 2 2 2" xfId="30730" xr:uid="{3DCCE743-5651-4F31-BDAA-2788F32CDAE1}"/>
    <cellStyle name="Migliaia 4 2 2 2 3 6 4 2 3" xfId="27185" xr:uid="{15C4F9E3-E2BF-46D1-9A4B-B61F62BF0E61}"/>
    <cellStyle name="Migliaia 4 2 2 2 3 6 4 3" xfId="7833" xr:uid="{F3349A28-AF8B-419C-812D-0549EA23C48B}"/>
    <cellStyle name="Migliaia 4 2 2 2 3 6 4 3 2" xfId="23013" xr:uid="{BC42645E-E0F2-4415-BB47-CB75F5FF41F1}"/>
    <cellStyle name="Migliaia 4 2 2 2 3 6 4 4" xfId="19725" xr:uid="{F6EFA921-C066-430C-9859-B0F75451B31C}"/>
    <cellStyle name="Migliaia 4 2 2 2 3 6 5" xfId="2236" xr:uid="{CAE9844A-DA01-4592-A070-9D6257247C81}"/>
    <cellStyle name="Migliaia 4 2 2 2 3 6 5 2" xfId="9733" xr:uid="{DC7B269B-3D50-4A95-967C-8F7B8DE4D24E}"/>
    <cellStyle name="Migliaia 4 2 2 2 3 6 5 2 2" xfId="24911" xr:uid="{EAE6EA50-8C2E-48E4-A78E-957376742304}"/>
    <cellStyle name="Migliaia 4 2 2 2 3 6 5 3" xfId="17451" xr:uid="{D563D260-3491-4ECB-8CF6-B2F03058112E}"/>
    <cellStyle name="Migliaia 4 2 2 2 3 6 6" xfId="9219" xr:uid="{B528AA1F-8C7F-4681-82D6-C469904E52E0}"/>
    <cellStyle name="Migliaia 4 2 2 2 3 6 6 2" xfId="13392" xr:uid="{ACB91095-8536-4139-A4BF-F44EB64EC9CF}"/>
    <cellStyle name="Migliaia 4 2 2 2 3 6 6 2 2" xfId="28569" xr:uid="{9C4663A3-82EB-45E7-966F-BD09C0A1BBD7}"/>
    <cellStyle name="Migliaia 4 2 2 2 3 6 6 3" xfId="24397" xr:uid="{EDAF0145-8DB1-4717-94D9-67884901C29B}"/>
    <cellStyle name="Migliaia 4 2 2 2 3 6 7" xfId="5559" xr:uid="{143265BF-F7A2-4460-9159-A1ED129807B7}"/>
    <cellStyle name="Migliaia 4 2 2 2 3 6 7 2" xfId="20739" xr:uid="{115B4401-3F75-4018-A358-EFA0D49E5A37}"/>
    <cellStyle name="Migliaia 4 2 2 2 3 6 8" xfId="16937" xr:uid="{75541442-713E-4AFA-B2E7-DE4B7EFF4216}"/>
    <cellStyle name="Migliaia 4 2 2 2 3 7" xfId="2336" xr:uid="{6169D4DA-9029-48E7-9595-2C36FFC153E6}"/>
    <cellStyle name="Migliaia 4 2 2 2 3 7 2" xfId="9831" xr:uid="{D8C29351-1714-4B1B-BE80-4486415A2819}"/>
    <cellStyle name="Migliaia 4 2 2 2 3 7 2 2" xfId="13490" xr:uid="{26702B07-183E-436D-B948-C6D4D18692D4}"/>
    <cellStyle name="Migliaia 4 2 2 2 3 7 2 2 2" xfId="28667" xr:uid="{5F93EEE8-DFEB-4C3A-8B0A-63B99F583656}"/>
    <cellStyle name="Migliaia 4 2 2 2 3 7 2 3" xfId="25009" xr:uid="{1040C2AC-CC8B-4EDE-9D16-E788D7190204}"/>
    <cellStyle name="Migliaia 4 2 2 2 3 7 3" xfId="5657" xr:uid="{936AFD4A-385C-4DCA-ABE4-4242116904BA}"/>
    <cellStyle name="Migliaia 4 2 2 2 3 7 3 2" xfId="20837" xr:uid="{FCEB389C-F9F6-4212-926D-20FCF15B1C1D}"/>
    <cellStyle name="Migliaia 4 2 2 2 3 7 4" xfId="17549" xr:uid="{90DAB4B1-D745-450B-8411-D5B886284D4C}"/>
    <cellStyle name="Migliaia 4 2 2 2 3 8" xfId="3226" xr:uid="{3AF6AC24-31BE-4D55-A21D-62A06B705D44}"/>
    <cellStyle name="Migliaia 4 2 2 2 3 8 2" xfId="10715" xr:uid="{9694AD4E-0996-4A00-ABEF-99D55A2DBC78}"/>
    <cellStyle name="Migliaia 4 2 2 2 3 8 2 2" xfId="14261" xr:uid="{CCA870C1-9043-4D55-A1B1-35D810C9B3C5}"/>
    <cellStyle name="Migliaia 4 2 2 2 3 8 2 2 2" xfId="29438" xr:uid="{65629898-F85A-4F62-940D-8511254B01D0}"/>
    <cellStyle name="Migliaia 4 2 2 2 3 8 2 3" xfId="25893" xr:uid="{DF11C8E7-6A3E-4170-9A08-FE5C5D575F1A}"/>
    <cellStyle name="Migliaia 4 2 2 2 3 8 3" xfId="6541" xr:uid="{A2D04859-131E-4759-89EF-5081B19139EA}"/>
    <cellStyle name="Migliaia 4 2 2 2 3 8 3 2" xfId="21721" xr:uid="{3BE9BA1B-A146-4DD5-BC7A-2D1C6D61AE32}"/>
    <cellStyle name="Migliaia 4 2 2 2 3 8 4" xfId="18433" xr:uid="{04E8DEC5-8F4C-4522-9207-FB5F94BE2F8A}"/>
    <cellStyle name="Migliaia 4 2 2 2 3 9" xfId="4523" xr:uid="{A3CA7735-B26A-43F9-8ECA-CB227BE82E16}"/>
    <cellStyle name="Migliaia 4 2 2 2 3 9 2" xfId="12008" xr:uid="{8BC1EA5F-873C-45EB-9482-43C3061565FB}"/>
    <cellStyle name="Migliaia 4 2 2 2 3 9 2 2" xfId="15554" xr:uid="{3FF1A3AC-BA46-4BFC-AC15-7451B664795C}"/>
    <cellStyle name="Migliaia 4 2 2 2 3 9 2 2 2" xfId="30731" xr:uid="{C80BD8DF-F6C9-4A2E-9EEE-AC2412A32FF6}"/>
    <cellStyle name="Migliaia 4 2 2 2 3 9 2 3" xfId="27186" xr:uid="{DC277201-2680-4411-9E69-CA6CA6A8DD13}"/>
    <cellStyle name="Migliaia 4 2 2 2 3 9 3" xfId="7834" xr:uid="{EA8C00E3-9C67-4436-A773-32DCC418B9BF}"/>
    <cellStyle name="Migliaia 4 2 2 2 3 9 3 2" xfId="23014" xr:uid="{38E34420-0286-4124-90C6-E389DBD2961C}"/>
    <cellStyle name="Migliaia 4 2 2 2 3 9 4" xfId="19726" xr:uid="{FBBBD997-D1F7-49C5-85EC-4C1F9A9D1C35}"/>
    <cellStyle name="Migliaia 4 2 2 2 4" xfId="894" xr:uid="{9D89922A-39A2-4BC9-867D-72258EA8536C}"/>
    <cellStyle name="Migliaia 4 2 2 2 4 2" xfId="2412" xr:uid="{E39770F8-64BE-4F3E-9873-6BDDEE7FF594}"/>
    <cellStyle name="Migliaia 4 2 2 2 4 2 2" xfId="9904" xr:uid="{164604F4-FBFB-4A2F-8145-3880D63871E9}"/>
    <cellStyle name="Migliaia 4 2 2 2 4 2 2 2" xfId="13563" xr:uid="{926F94B9-64F2-4387-85CA-7AC1FF05A7EF}"/>
    <cellStyle name="Migliaia 4 2 2 2 4 2 2 2 2" xfId="28740" xr:uid="{56F913C9-8F76-4BCA-89E4-5D29179181DF}"/>
    <cellStyle name="Migliaia 4 2 2 2 4 2 2 3" xfId="25082" xr:uid="{6666018C-D78F-4274-9656-698E7B190510}"/>
    <cellStyle name="Migliaia 4 2 2 2 4 2 3" xfId="5730" xr:uid="{0E08DB14-2E2B-4A5F-8A57-A1E93A797DB6}"/>
    <cellStyle name="Migliaia 4 2 2 2 4 2 3 2" xfId="20910" xr:uid="{46E4ADEC-D976-4908-9CD5-A3AEDE7005B7}"/>
    <cellStyle name="Migliaia 4 2 2 2 4 2 4" xfId="17622" xr:uid="{A6B5B744-0441-4C24-8A94-B1CA2713A77D}"/>
    <cellStyle name="Migliaia 4 2 2 2 4 3" xfId="3300" xr:uid="{109D7A91-DA88-4D64-8118-2C201351B3AB}"/>
    <cellStyle name="Migliaia 4 2 2 2 4 3 2" xfId="10788" xr:uid="{E2E17D1E-EAD5-4533-AD24-A4832409513B}"/>
    <cellStyle name="Migliaia 4 2 2 2 4 3 2 2" xfId="14334" xr:uid="{FDB57541-D5A9-4949-A624-7F24ED1CA77C}"/>
    <cellStyle name="Migliaia 4 2 2 2 4 3 2 2 2" xfId="29511" xr:uid="{58C5711A-A3BD-4147-8E79-68F069D836BA}"/>
    <cellStyle name="Migliaia 4 2 2 2 4 3 2 3" xfId="25966" xr:uid="{CBD59F24-82CF-4562-A04D-7425CC69255D}"/>
    <cellStyle name="Migliaia 4 2 2 2 4 3 3" xfId="6614" xr:uid="{87E10AE0-D668-444A-87F5-ACAA904530FD}"/>
    <cellStyle name="Migliaia 4 2 2 2 4 3 3 2" xfId="21794" xr:uid="{0F36E8A1-8C39-455A-AD5C-F60C22142E9B}"/>
    <cellStyle name="Migliaia 4 2 2 2 4 3 4" xfId="18506" xr:uid="{6E258739-D6CB-4638-8CD0-001CEA0B9169}"/>
    <cellStyle name="Migliaia 4 2 2 2 4 4" xfId="4524" xr:uid="{3549502B-ED91-4D35-BBEB-32D1DFAEB176}"/>
    <cellStyle name="Migliaia 4 2 2 2 4 4 2" xfId="12009" xr:uid="{4EA0FC87-8B1E-496B-8E0E-7D0974164F2B}"/>
    <cellStyle name="Migliaia 4 2 2 2 4 4 2 2" xfId="15555" xr:uid="{C1A49E9B-FF81-4DD2-A46A-3707E9B2F4DE}"/>
    <cellStyle name="Migliaia 4 2 2 2 4 4 2 2 2" xfId="30732" xr:uid="{65760ECD-D0F1-410C-8674-70129692BADE}"/>
    <cellStyle name="Migliaia 4 2 2 2 4 4 2 3" xfId="27187" xr:uid="{A7F526E3-621D-4FD3-9003-C8FCE9C909F8}"/>
    <cellStyle name="Migliaia 4 2 2 2 4 4 3" xfId="7835" xr:uid="{A138E556-0B6D-41FE-9E0A-505095EC2D57}"/>
    <cellStyle name="Migliaia 4 2 2 2 4 4 3 2" xfId="23015" xr:uid="{17D35AE7-922D-4846-8A36-AC1ACF3B4E6E}"/>
    <cellStyle name="Migliaia 4 2 2 2 4 4 4" xfId="19727" xr:uid="{E40C6E88-180F-43A5-953B-D71CBE89C98A}"/>
    <cellStyle name="Migliaia 4 2 2 2 4 5" xfId="8506" xr:uid="{18C7DC54-89DA-4FCF-8763-1960892CF02D}"/>
    <cellStyle name="Migliaia 4 2 2 2 4 5 2" xfId="12679" xr:uid="{0A234F41-242E-47E4-8EA0-6A2C58B052AF}"/>
    <cellStyle name="Migliaia 4 2 2 2 4 5 2 2" xfId="27856" xr:uid="{2DAA8287-90B1-4C8D-819D-4F4741334F06}"/>
    <cellStyle name="Migliaia 4 2 2 2 4 5 3" xfId="23684" xr:uid="{A0EFFF93-230E-4148-AA6F-89A8119848BF}"/>
    <cellStyle name="Migliaia 4 2 2 2 4 6" xfId="16224" xr:uid="{5DD6D1EA-A60D-40D7-BF6C-E48C586CD0C7}"/>
    <cellStyle name="Migliaia 4 2 2 2 4 7" xfId="31664" xr:uid="{E286FA00-3440-42FB-8174-72723CBB1BFD}"/>
    <cellStyle name="Migliaia 4 2 2 2 5" xfId="997" xr:uid="{16D004BD-F412-45C3-BE6B-03B11290ADB6}"/>
    <cellStyle name="Migliaia 4 2 2 2 5 2" xfId="2510" xr:uid="{68559EC3-B9DF-4AE1-83CF-62F0FECADAA3}"/>
    <cellStyle name="Migliaia 4 2 2 2 5 2 2" xfId="10002" xr:uid="{1D55F644-5044-4881-AD6C-9DD0FD26AF1E}"/>
    <cellStyle name="Migliaia 4 2 2 2 5 2 2 2" xfId="13661" xr:uid="{B17A0CF2-A899-4A9A-961E-DBF19773E40E}"/>
    <cellStyle name="Migliaia 4 2 2 2 5 2 2 2 2" xfId="28838" xr:uid="{B369F669-7573-47BE-BD0F-E9D6B81FAE2B}"/>
    <cellStyle name="Migliaia 4 2 2 2 5 2 2 3" xfId="25180" xr:uid="{3A3889F6-C595-4D6B-91FF-FF8AC31AC405}"/>
    <cellStyle name="Migliaia 4 2 2 2 5 2 3" xfId="5828" xr:uid="{5E0975F4-80BD-4E6A-8884-2730EE325AF3}"/>
    <cellStyle name="Migliaia 4 2 2 2 5 2 3 2" xfId="21008" xr:uid="{F66F3D3E-E5E1-479F-8714-E1EA1B83E34F}"/>
    <cellStyle name="Migliaia 4 2 2 2 5 2 4" xfId="17720" xr:uid="{9BA16880-F07D-4943-90A2-679BA10A9DC5}"/>
    <cellStyle name="Migliaia 4 2 2 2 5 3" xfId="3398" xr:uid="{6DFE2EEB-0F09-4A4F-A1F8-4A403509DC2B}"/>
    <cellStyle name="Migliaia 4 2 2 2 5 3 2" xfId="10886" xr:uid="{5F52C18B-7947-485E-978E-847F090E9914}"/>
    <cellStyle name="Migliaia 4 2 2 2 5 3 2 2" xfId="14432" xr:uid="{71BEDD19-E9B3-475E-AE06-200D2C9F13CE}"/>
    <cellStyle name="Migliaia 4 2 2 2 5 3 2 2 2" xfId="29609" xr:uid="{9EA6D9D1-A9D1-44DD-9A1C-33D072CA49AE}"/>
    <cellStyle name="Migliaia 4 2 2 2 5 3 2 3" xfId="26064" xr:uid="{C3D2FCC8-DE9B-4044-87FC-D50BB4FFC048}"/>
    <cellStyle name="Migliaia 4 2 2 2 5 3 3" xfId="6712" xr:uid="{35E7B0C1-43A3-43F7-B3B9-F1F1EFFEF392}"/>
    <cellStyle name="Migliaia 4 2 2 2 5 3 3 2" xfId="21892" xr:uid="{A7A48D6B-BC0A-4334-B0B3-D4BC4FB5A418}"/>
    <cellStyle name="Migliaia 4 2 2 2 5 3 4" xfId="18604" xr:uid="{AF63EABE-0F72-47E2-AD4C-8E5AB0D6B1F5}"/>
    <cellStyle name="Migliaia 4 2 2 2 5 4" xfId="4525" xr:uid="{EF60CE2C-CBC9-4E60-9E52-EE4ED14D21B4}"/>
    <cellStyle name="Migliaia 4 2 2 2 5 4 2" xfId="12010" xr:uid="{3D6A62C2-905B-4337-B3B9-72643E2205B5}"/>
    <cellStyle name="Migliaia 4 2 2 2 5 4 2 2" xfId="15556" xr:uid="{B77DAFDD-D777-43F3-B338-AD212C34C578}"/>
    <cellStyle name="Migliaia 4 2 2 2 5 4 2 2 2" xfId="30733" xr:uid="{D7DF0AA9-CD2A-4370-B4D2-C727562127E8}"/>
    <cellStyle name="Migliaia 4 2 2 2 5 4 2 3" xfId="27188" xr:uid="{BED12156-B784-426C-A262-B2651B1167AB}"/>
    <cellStyle name="Migliaia 4 2 2 2 5 4 3" xfId="7836" xr:uid="{3865AE4F-5E0D-4CA1-8CAA-0FF4ED2206A0}"/>
    <cellStyle name="Migliaia 4 2 2 2 5 4 3 2" xfId="23016" xr:uid="{394A5822-AC8E-4222-B1E3-714E6AD12B2A}"/>
    <cellStyle name="Migliaia 4 2 2 2 5 4 4" xfId="19728" xr:uid="{AE3D19DF-952C-42A1-BC50-182A1ABDCC12}"/>
    <cellStyle name="Migliaia 4 2 2 2 5 5" xfId="8604" xr:uid="{0EE179AD-D2CD-46EC-B856-9AD3902A7BAF}"/>
    <cellStyle name="Migliaia 4 2 2 2 5 5 2" xfId="12777" xr:uid="{1A86267B-E628-43FA-A75A-492D4A9ABE40}"/>
    <cellStyle name="Migliaia 4 2 2 2 5 5 2 2" xfId="27954" xr:uid="{ACF54D16-6732-4C21-88D5-BCE6F0C25D09}"/>
    <cellStyle name="Migliaia 4 2 2 2 5 5 3" xfId="23782" xr:uid="{C7D59DD0-7C8B-4281-8DE1-091B97A0D0B6}"/>
    <cellStyle name="Migliaia 4 2 2 2 5 6" xfId="16322" xr:uid="{BFE19E0C-E82B-4506-BA0F-ADC9C4AAF257}"/>
    <cellStyle name="Migliaia 4 2 2 2 5 7" xfId="31542" xr:uid="{D77005F4-BA4C-4DF6-98F6-C6A1CAA14088}"/>
    <cellStyle name="Migliaia 4 2 2 2 6" xfId="1180" xr:uid="{1CE11548-B387-43BE-BE97-6C55D6307CDB}"/>
    <cellStyle name="Migliaia 4 2 2 2 6 2" xfId="2613" xr:uid="{1B75C920-45CE-4DB7-9534-C6BFF0E2C9A2}"/>
    <cellStyle name="Migliaia 4 2 2 2 6 2 2" xfId="10104" xr:uid="{A69D91CF-C16F-40F1-A5EF-E9ED28A0625E}"/>
    <cellStyle name="Migliaia 4 2 2 2 6 2 2 2" xfId="13762" xr:uid="{722D2343-DCB6-452F-9AAA-7B221743D395}"/>
    <cellStyle name="Migliaia 4 2 2 2 6 2 2 2 2" xfId="28939" xr:uid="{B3580AA7-BA88-40F4-B78A-012FBB3711B0}"/>
    <cellStyle name="Migliaia 4 2 2 2 6 2 2 3" xfId="25282" xr:uid="{5BA529D8-EAD6-48CF-BBDC-8208B4713890}"/>
    <cellStyle name="Migliaia 4 2 2 2 6 2 3" xfId="5930" xr:uid="{D52DBA00-9821-48B2-BBD6-8463248B99D0}"/>
    <cellStyle name="Migliaia 4 2 2 2 6 2 3 2" xfId="21110" xr:uid="{2FA7D197-24C1-4262-9BE9-7FB64703CBF3}"/>
    <cellStyle name="Migliaia 4 2 2 2 6 2 4" xfId="17822" xr:uid="{E7C90E11-2CDE-49A0-A4A4-0CA8FC663577}"/>
    <cellStyle name="Migliaia 4 2 2 2 6 3" xfId="3500" xr:uid="{7B07876E-FB17-4B15-86BD-10422F1985C8}"/>
    <cellStyle name="Migliaia 4 2 2 2 6 3 2" xfId="10988" xr:uid="{320749C5-27A3-4434-9341-BE69E88C47E1}"/>
    <cellStyle name="Migliaia 4 2 2 2 6 3 2 2" xfId="14534" xr:uid="{85C2ECF8-12F9-4FE9-AF5A-341813ACDAFC}"/>
    <cellStyle name="Migliaia 4 2 2 2 6 3 2 2 2" xfId="29711" xr:uid="{693C441B-5309-4517-ADC5-3232951E7E2E}"/>
    <cellStyle name="Migliaia 4 2 2 2 6 3 2 3" xfId="26166" xr:uid="{FA1FFB69-EB4B-4752-B3A7-5F336D559B67}"/>
    <cellStyle name="Migliaia 4 2 2 2 6 3 3" xfId="6814" xr:uid="{11020045-18EB-47F5-9AAD-2D7D245CD53B}"/>
    <cellStyle name="Migliaia 4 2 2 2 6 3 3 2" xfId="21994" xr:uid="{1A3896C6-9A9A-4109-906C-EB4AC014057C}"/>
    <cellStyle name="Migliaia 4 2 2 2 6 3 4" xfId="18706" xr:uid="{550FEDD1-C3C7-4B1C-9E62-0C81199E3F21}"/>
    <cellStyle name="Migliaia 4 2 2 2 6 4" xfId="4526" xr:uid="{849D1169-554B-4447-ABD4-C04727020714}"/>
    <cellStyle name="Migliaia 4 2 2 2 6 4 2" xfId="12011" xr:uid="{805E3BEA-8F2C-4764-8C64-D8BD24D95F63}"/>
    <cellStyle name="Migliaia 4 2 2 2 6 4 2 2" xfId="15557" xr:uid="{9C8B79AB-67AC-41BC-A68A-A433BACA135B}"/>
    <cellStyle name="Migliaia 4 2 2 2 6 4 2 2 2" xfId="30734" xr:uid="{0AFB4148-BA03-471B-A4D1-FBDDF7B044C7}"/>
    <cellStyle name="Migliaia 4 2 2 2 6 4 2 3" xfId="27189" xr:uid="{595309C0-25AA-4C41-AE9B-7F9DF274B024}"/>
    <cellStyle name="Migliaia 4 2 2 2 6 4 3" xfId="7837" xr:uid="{723D049D-5998-426A-95C0-197F07899DA1}"/>
    <cellStyle name="Migliaia 4 2 2 2 6 4 3 2" xfId="23017" xr:uid="{F5B6C2C7-F852-450C-A1D3-5E7EFB720D29}"/>
    <cellStyle name="Migliaia 4 2 2 2 6 4 4" xfId="19729" xr:uid="{6FA6CCDF-77BE-4290-AA65-2DF7B8FBE3BD}"/>
    <cellStyle name="Migliaia 4 2 2 2 6 5" xfId="8706" xr:uid="{39340490-4AAD-47FB-B062-403BE8C99C2B}"/>
    <cellStyle name="Migliaia 4 2 2 2 6 5 2" xfId="12879" xr:uid="{ABAC9F13-A319-40D9-A07F-9B0B91A77FDE}"/>
    <cellStyle name="Migliaia 4 2 2 2 6 5 2 2" xfId="28056" xr:uid="{F7BA73BC-99D3-40C4-AAFF-B05C50715DED}"/>
    <cellStyle name="Migliaia 4 2 2 2 6 5 3" xfId="23884" xr:uid="{72D5B5E4-33E7-4629-AAC4-54EB13152744}"/>
    <cellStyle name="Migliaia 4 2 2 2 6 6" xfId="16424" xr:uid="{112543E7-D4CA-4A84-B29F-D218A6CBA051}"/>
    <cellStyle name="Migliaia 4 2 2 2 7" xfId="1206" xr:uid="{266925A5-146F-40B5-A860-C4BCB73EE317}"/>
    <cellStyle name="Migliaia 4 2 2 2 7 2" xfId="2637" xr:uid="{A8D69839-E7AC-4663-91FF-CC1CE7D0B0A0}"/>
    <cellStyle name="Migliaia 4 2 2 2 7 2 2" xfId="10128" xr:uid="{28030D28-E7A9-4BE8-A57D-0AAC69A6D16C}"/>
    <cellStyle name="Migliaia 4 2 2 2 7 2 2 2" xfId="13786" xr:uid="{49E3DAFD-58F2-4BDA-86EC-0F0F0A6A0262}"/>
    <cellStyle name="Migliaia 4 2 2 2 7 2 2 2 2" xfId="28963" xr:uid="{EE578001-DF94-4BA0-9129-B0987FEFAD30}"/>
    <cellStyle name="Migliaia 4 2 2 2 7 2 2 3" xfId="25306" xr:uid="{B60D6E86-0138-4EF9-AC1E-E98C1DAE422F}"/>
    <cellStyle name="Migliaia 4 2 2 2 7 2 3" xfId="5954" xr:uid="{A78A595E-4971-497C-B04E-4714EA3469D8}"/>
    <cellStyle name="Migliaia 4 2 2 2 7 2 3 2" xfId="21134" xr:uid="{D66EF2BD-F1B7-4CD7-939F-CC037A7945A6}"/>
    <cellStyle name="Migliaia 4 2 2 2 7 2 4" xfId="17846" xr:uid="{07A9BA7B-354E-4DE0-ABD7-C85DED262BE4}"/>
    <cellStyle name="Migliaia 4 2 2 2 7 3" xfId="3524" xr:uid="{047E1F07-4781-4505-A3F2-641977E2DF6A}"/>
    <cellStyle name="Migliaia 4 2 2 2 7 3 2" xfId="11012" xr:uid="{11DF415A-0302-4D73-B878-0278DF083904}"/>
    <cellStyle name="Migliaia 4 2 2 2 7 3 2 2" xfId="14558" xr:uid="{CADACB8D-2AAE-4BF5-B255-ACFB65E3C7DD}"/>
    <cellStyle name="Migliaia 4 2 2 2 7 3 2 2 2" xfId="29735" xr:uid="{1CEED868-16D7-41A8-BAE7-7A7136065E46}"/>
    <cellStyle name="Migliaia 4 2 2 2 7 3 2 3" xfId="26190" xr:uid="{39244FB3-F382-40EE-911F-62E9473D02E7}"/>
    <cellStyle name="Migliaia 4 2 2 2 7 3 3" xfId="6838" xr:uid="{892B1D77-4B84-4F4A-BFF1-D8E50DAE1EA5}"/>
    <cellStyle name="Migliaia 4 2 2 2 7 3 3 2" xfId="22018" xr:uid="{969A8C69-4BE6-4BA2-8568-29B8E1864886}"/>
    <cellStyle name="Migliaia 4 2 2 2 7 3 4" xfId="18730" xr:uid="{E394E39D-44FE-46BF-9126-D0E968D42721}"/>
    <cellStyle name="Migliaia 4 2 2 2 7 4" xfId="4527" xr:uid="{BCC3B0AA-5AFB-42E2-9111-9D616A9085B0}"/>
    <cellStyle name="Migliaia 4 2 2 2 7 4 2" xfId="12012" xr:uid="{4C76AF77-A059-4936-8ECF-971E24780498}"/>
    <cellStyle name="Migliaia 4 2 2 2 7 4 2 2" xfId="15558" xr:uid="{A754EB2C-695F-468C-9ED1-A741186AC9C4}"/>
    <cellStyle name="Migliaia 4 2 2 2 7 4 2 2 2" xfId="30735" xr:uid="{2DCB98CF-9691-405A-A0F6-C42B98749C67}"/>
    <cellStyle name="Migliaia 4 2 2 2 7 4 2 3" xfId="27190" xr:uid="{D95A149D-E9A6-4610-9617-1E1967215210}"/>
    <cellStyle name="Migliaia 4 2 2 2 7 4 3" xfId="7838" xr:uid="{998A8D8A-10D2-4A45-8BBF-130308E7C99E}"/>
    <cellStyle name="Migliaia 4 2 2 2 7 4 3 2" xfId="23018" xr:uid="{1B0AE04C-A7FC-46EC-A170-F04D74D9B226}"/>
    <cellStyle name="Migliaia 4 2 2 2 7 4 4" xfId="19730" xr:uid="{7BCE38FD-5C26-4A97-8F56-7888B83DB04B}"/>
    <cellStyle name="Migliaia 4 2 2 2 7 5" xfId="8730" xr:uid="{8511E5C4-AFE5-4EB3-80DE-62C2826AAB2B}"/>
    <cellStyle name="Migliaia 4 2 2 2 7 5 2" xfId="12903" xr:uid="{DEE8F936-A51C-4242-A752-0F5D37017125}"/>
    <cellStyle name="Migliaia 4 2 2 2 7 5 2 2" xfId="28080" xr:uid="{2AE9A147-A42E-4FC9-A9C0-75D9C938A497}"/>
    <cellStyle name="Migliaia 4 2 2 2 7 5 3" xfId="23908" xr:uid="{6E2117A4-E81F-425D-B5BA-A565192D8B15}"/>
    <cellStyle name="Migliaia 4 2 2 2 7 6" xfId="16448" xr:uid="{85B5E5FC-3349-4AFD-8C72-A20C2880D7BA}"/>
    <cellStyle name="Migliaia 4 2 2 2 8" xfId="1255" xr:uid="{52F1E992-98EE-45F0-84ED-B941F14BC63F}"/>
    <cellStyle name="Migliaia 4 2 2 2 8 10" xfId="31314" xr:uid="{0DE58126-ABF1-4B89-9E4A-47D6A1A8E779}"/>
    <cellStyle name="Migliaia 4 2 2 2 8 2" xfId="2685" xr:uid="{7E94324A-97D8-4638-994F-45ECC95A0D79}"/>
    <cellStyle name="Migliaia 4 2 2 2 8 2 2" xfId="10176" xr:uid="{A124E632-EAE0-440F-935E-8C62BFCD19B3}"/>
    <cellStyle name="Migliaia 4 2 2 2 8 2 2 2" xfId="13820" xr:uid="{52E8F459-29A9-47C8-B80C-B6709D2091D0}"/>
    <cellStyle name="Migliaia 4 2 2 2 8 2 2 2 2" xfId="28997" xr:uid="{0947B5DF-5D80-4C2E-88D4-8CB9EC3A7C30}"/>
    <cellStyle name="Migliaia 4 2 2 2 8 2 2 3" xfId="25354" xr:uid="{4594DA36-503E-4036-A455-07FACCA9063B}"/>
    <cellStyle name="Migliaia 4 2 2 2 8 2 3" xfId="6002" xr:uid="{0CDD37C9-B8EC-4071-AF7E-FB81B9CF7881}"/>
    <cellStyle name="Migliaia 4 2 2 2 8 2 3 2" xfId="21182" xr:uid="{C9A7DCD2-0EBC-407A-8B7A-FBC73DD6E0A0}"/>
    <cellStyle name="Migliaia 4 2 2 2 8 2 4" xfId="17894" xr:uid="{DB127865-F7D5-48F9-829F-5A4AC3E136D3}"/>
    <cellStyle name="Migliaia 4 2 2 2 8 3" xfId="3572" xr:uid="{615B9A1E-D929-4D14-ABE8-858D3613FA9E}"/>
    <cellStyle name="Migliaia 4 2 2 2 8 3 2" xfId="11060" xr:uid="{A493E9E9-C5C4-4F90-BE42-55DC53C033AC}"/>
    <cellStyle name="Migliaia 4 2 2 2 8 3 2 2" xfId="14606" xr:uid="{A0FBBE05-9E08-4350-BA54-D9A80592F555}"/>
    <cellStyle name="Migliaia 4 2 2 2 8 3 2 2 2" xfId="29783" xr:uid="{426880D4-7694-430F-A883-3FABE08FEE46}"/>
    <cellStyle name="Migliaia 4 2 2 2 8 3 2 3" xfId="26238" xr:uid="{94BCC268-69C2-4E79-882D-C648430CC69C}"/>
    <cellStyle name="Migliaia 4 2 2 2 8 3 3" xfId="6886" xr:uid="{FC19E2DB-B610-4244-8D73-E529DF33086D}"/>
    <cellStyle name="Migliaia 4 2 2 2 8 3 3 2" xfId="22066" xr:uid="{C0F6C492-010D-49AF-956B-26646BA5B366}"/>
    <cellStyle name="Migliaia 4 2 2 2 8 3 4" xfId="18778" xr:uid="{6DE8BB60-F1F3-40F6-AAC1-63A6D12EA853}"/>
    <cellStyle name="Migliaia 4 2 2 2 8 4" xfId="4528" xr:uid="{E8902554-E1BA-456B-AB4A-60268F561E33}"/>
    <cellStyle name="Migliaia 4 2 2 2 8 4 2" xfId="12013" xr:uid="{121D8BCC-FD41-4F46-B620-959B8AB31E09}"/>
    <cellStyle name="Migliaia 4 2 2 2 8 4 2 2" xfId="15559" xr:uid="{369C9CFF-AED2-408B-BA8D-2E4D13755EF6}"/>
    <cellStyle name="Migliaia 4 2 2 2 8 4 2 2 2" xfId="30736" xr:uid="{0EB830CF-A566-4218-A62A-5355FB0E2C8C}"/>
    <cellStyle name="Migliaia 4 2 2 2 8 4 2 3" xfId="27191" xr:uid="{25102FA6-F1B8-4815-9BF5-17222D531820}"/>
    <cellStyle name="Migliaia 4 2 2 2 8 4 3" xfId="7839" xr:uid="{6FBE15A8-F607-41D3-99A0-DE568412EFBC}"/>
    <cellStyle name="Migliaia 4 2 2 2 8 4 3 2" xfId="23019" xr:uid="{BFBF3FAC-837B-49BB-A4DB-4AE69D27A154}"/>
    <cellStyle name="Migliaia 4 2 2 2 8 4 4" xfId="19731" xr:uid="{788D99B4-5294-43A6-B394-1A4556C23A30}"/>
    <cellStyle name="Migliaia 4 2 2 2 8 5" xfId="4974" xr:uid="{43695E24-C785-4E6D-A9CE-B8FD562619D3}"/>
    <cellStyle name="Migliaia 4 2 2 2 8 5 2" xfId="12458" xr:uid="{A002EC0D-F4C8-4072-96FD-91CB0212536D}"/>
    <cellStyle name="Migliaia 4 2 2 2 8 5 2 2" xfId="16004" xr:uid="{0159760E-16B6-4355-A8D1-C424F08C69D4}"/>
    <cellStyle name="Migliaia 4 2 2 2 8 5 2 2 2" xfId="31181" xr:uid="{9D88597B-C748-4117-8AE9-8D53513CA529}"/>
    <cellStyle name="Migliaia 4 2 2 2 8 5 2 3" xfId="27636" xr:uid="{0F9A7812-935F-4528-B66E-E69D3023720F}"/>
    <cellStyle name="Migliaia 4 2 2 2 8 5 3" xfId="8284" xr:uid="{9F4660FA-5C17-41CA-9831-33BE06555DF9}"/>
    <cellStyle name="Migliaia 4 2 2 2 8 5 3 2" xfId="23464" xr:uid="{9CB8D41C-D52D-4505-BF87-EA7171FDE286}"/>
    <cellStyle name="Migliaia 4 2 2 2 8 5 4" xfId="20176" xr:uid="{19961718-C0A6-4EA0-93B2-8A3B1669CF40}"/>
    <cellStyle name="Migliaia 4 2 2 2 8 6" xfId="1795" xr:uid="{157FB8CD-D83E-4E6B-86CB-6ABFD3D88EE5}"/>
    <cellStyle name="Migliaia 4 2 2 2 8 6 2" xfId="9292" xr:uid="{83D3DB5D-3E8F-43EE-9B88-2DA2BF889986}"/>
    <cellStyle name="Migliaia 4 2 2 2 8 6 2 2" xfId="24470" xr:uid="{CE2D8FA2-1E75-48A4-AB30-3DB89F3C838B}"/>
    <cellStyle name="Migliaia 4 2 2 2 8 6 3" xfId="17010" xr:uid="{32984E08-BE67-422F-9211-F1751EEBA299}"/>
    <cellStyle name="Migliaia 4 2 2 2 8 7" xfId="8778" xr:uid="{D7D8DE83-FD46-434F-A6EF-55F936BAC259}"/>
    <cellStyle name="Migliaia 4 2 2 2 8 7 2" xfId="12951" xr:uid="{F1BC3BB0-6718-46B8-AFA4-A4AA60CAB880}"/>
    <cellStyle name="Migliaia 4 2 2 2 8 7 2 2" xfId="28128" xr:uid="{437A1A0B-72D0-4C15-9D35-28DEBA36C5BF}"/>
    <cellStyle name="Migliaia 4 2 2 2 8 7 3" xfId="23956" xr:uid="{101D3900-4AA8-4462-99E2-24ACDD360E93}"/>
    <cellStyle name="Migliaia 4 2 2 2 8 8" xfId="5118" xr:uid="{8ADBD794-F639-447E-B1C1-005148F94D66}"/>
    <cellStyle name="Migliaia 4 2 2 2 8 8 2" xfId="20298" xr:uid="{AD89DBD6-F548-424C-9971-A28D727589E9}"/>
    <cellStyle name="Migliaia 4 2 2 2 8 9" xfId="16496" xr:uid="{FAF7FD29-E2A0-47A6-ACA7-302822515DC5}"/>
    <cellStyle name="Migliaia 4 2 2 2 9" xfId="1357" xr:uid="{1E382E68-6D23-43CC-8352-E84209C7EB4A}"/>
    <cellStyle name="Migliaia 4 2 2 2 9 2" xfId="2783" xr:uid="{B2D9C23F-DB0C-4063-B3EA-20BC8D809EB0}"/>
    <cellStyle name="Migliaia 4 2 2 2 9 2 2" xfId="10274" xr:uid="{2C882259-ABA6-4E4E-9CD6-77BF60B0BC66}"/>
    <cellStyle name="Migliaia 4 2 2 2 9 2 2 2" xfId="13869" xr:uid="{99E641B9-0886-4597-A9E2-12887AB57141}"/>
    <cellStyle name="Migliaia 4 2 2 2 9 2 2 2 2" xfId="29046" xr:uid="{6075F0D6-3B4F-4119-8F76-A752AA2D0E20}"/>
    <cellStyle name="Migliaia 4 2 2 2 9 2 2 3" xfId="25452" xr:uid="{CDDADB9D-F1CC-4A3E-B09E-D5CB8DC6F8B9}"/>
    <cellStyle name="Migliaia 4 2 2 2 9 2 3" xfId="6100" xr:uid="{8CA6DEAC-6D7A-4A8A-AD7D-175BC7444C9B}"/>
    <cellStyle name="Migliaia 4 2 2 2 9 2 3 2" xfId="21280" xr:uid="{49FB5640-42B3-4305-AA95-B9EC801FF2CE}"/>
    <cellStyle name="Migliaia 4 2 2 2 9 2 4" xfId="17992" xr:uid="{0EDCC5A3-C89F-4DD0-85BC-1D39C6C65897}"/>
    <cellStyle name="Migliaia 4 2 2 2 9 3" xfId="3670" xr:uid="{37F7CFEA-F1CB-463B-88E0-F43316AEE66F}"/>
    <cellStyle name="Migliaia 4 2 2 2 9 3 2" xfId="11158" xr:uid="{3C49A90F-B76B-4E64-8621-99A731E99AA2}"/>
    <cellStyle name="Migliaia 4 2 2 2 9 3 2 2" xfId="14704" xr:uid="{8671C364-7033-467F-B653-CAD7B8C75D58}"/>
    <cellStyle name="Migliaia 4 2 2 2 9 3 2 2 2" xfId="29881" xr:uid="{A68ACCFB-F7E6-4BF8-85D3-FCA483C0A997}"/>
    <cellStyle name="Migliaia 4 2 2 2 9 3 2 3" xfId="26336" xr:uid="{53EC3CC8-1701-4095-98D2-34A774A555B0}"/>
    <cellStyle name="Migliaia 4 2 2 2 9 3 3" xfId="6984" xr:uid="{AE854B2D-FF89-4B62-9981-3D4CE0C7B8D6}"/>
    <cellStyle name="Migliaia 4 2 2 2 9 3 3 2" xfId="22164" xr:uid="{4F39858B-1A02-4693-A754-DB6151DFCBFA}"/>
    <cellStyle name="Migliaia 4 2 2 2 9 3 4" xfId="18876" xr:uid="{D0D91CBC-7D22-4C24-98A1-3A1424BA4C96}"/>
    <cellStyle name="Migliaia 4 2 2 2 9 4" xfId="4529" xr:uid="{0C8CBAEA-F353-4154-B345-8D6013876BBD}"/>
    <cellStyle name="Migliaia 4 2 2 2 9 4 2" xfId="12014" xr:uid="{EA424F8F-4F83-473D-A521-F1653397F937}"/>
    <cellStyle name="Migliaia 4 2 2 2 9 4 2 2" xfId="15560" xr:uid="{38A90EC8-5C07-4C94-9D90-667AE611F4A7}"/>
    <cellStyle name="Migliaia 4 2 2 2 9 4 2 2 2" xfId="30737" xr:uid="{1F329226-CF80-4674-9F51-CA3507581EEA}"/>
    <cellStyle name="Migliaia 4 2 2 2 9 4 2 3" xfId="27192" xr:uid="{4298E3C2-09FE-436B-961B-305FBF6783E9}"/>
    <cellStyle name="Migliaia 4 2 2 2 9 4 3" xfId="7840" xr:uid="{AFA63272-94A3-410B-A186-4B74DB7E9664}"/>
    <cellStyle name="Migliaia 4 2 2 2 9 4 3 2" xfId="23020" xr:uid="{845A91CA-D65A-48E9-BDE3-3D3C6D4FABFE}"/>
    <cellStyle name="Migliaia 4 2 2 2 9 4 4" xfId="19732" xr:uid="{69F20114-6E4A-40B8-B967-501B9E0CEF48}"/>
    <cellStyle name="Migliaia 4 2 2 2 9 5" xfId="1893" xr:uid="{2B36A0B5-9788-4382-B651-8D14A70DEEAE}"/>
    <cellStyle name="Migliaia 4 2 2 2 9 5 2" xfId="9390" xr:uid="{44792454-FE4D-4A7D-B4BE-A0DD0B5E0265}"/>
    <cellStyle name="Migliaia 4 2 2 2 9 5 2 2" xfId="24568" xr:uid="{0A9B73F3-347B-4794-BD33-6A2C058FA55C}"/>
    <cellStyle name="Migliaia 4 2 2 2 9 5 3" xfId="17108" xr:uid="{24C66C7A-D77C-4803-9901-889A8F7A8ED7}"/>
    <cellStyle name="Migliaia 4 2 2 2 9 6" xfId="8876" xr:uid="{164208E1-F3F4-49EA-86E3-6EC35444C55D}"/>
    <cellStyle name="Migliaia 4 2 2 2 9 6 2" xfId="13049" xr:uid="{10623957-3B69-4740-BB5B-C55805542642}"/>
    <cellStyle name="Migliaia 4 2 2 2 9 6 2 2" xfId="28226" xr:uid="{3185C1A9-0043-4FDC-B961-7471A7ED7EBB}"/>
    <cellStyle name="Migliaia 4 2 2 2 9 6 3" xfId="24054" xr:uid="{664B20A0-7AF4-4932-A7CE-7C640C95B5AE}"/>
    <cellStyle name="Migliaia 4 2 2 2 9 7" xfId="5216" xr:uid="{BB1B17B7-C039-4950-9B94-F4DF437B1F3B}"/>
    <cellStyle name="Migliaia 4 2 2 2 9 7 2" xfId="20396" xr:uid="{0F7A356A-4A84-4A0D-B4D5-7DECAF2B6574}"/>
    <cellStyle name="Migliaia 4 2 2 2 9 8" xfId="16594" xr:uid="{EB731132-280F-4382-9474-439DE2D8CADC}"/>
    <cellStyle name="Migliaia 4 2 2 3" xfId="577" xr:uid="{4289E7C2-FC68-4110-B2B0-41594BB43411}"/>
    <cellStyle name="Migliaia 4 2 2 3 10" xfId="16200" xr:uid="{302C64B0-A166-4282-BCAC-B65CB9CF55A5}"/>
    <cellStyle name="Migliaia 4 2 2 3 11" xfId="31290" xr:uid="{24CF77AD-A7E0-4755-B0C2-37477A2E4D78}"/>
    <cellStyle name="Migliaia 4 2 2 3 12" xfId="31640" xr:uid="{85D0D3D7-6270-406C-A519-77DAD2664CC6}"/>
    <cellStyle name="Migliaia 4 2 2 3 13" xfId="868" xr:uid="{BBD72958-C140-44FA-B1AE-9209208EFBD6}"/>
    <cellStyle name="Migliaia 4 2 2 3 2" xfId="1231" xr:uid="{8D913599-276E-437F-B67B-83024C276408}"/>
    <cellStyle name="Migliaia 4 2 2 3 2 2" xfId="3548" xr:uid="{46E64F8B-C3BC-4226-8B85-53E7098B1351}"/>
    <cellStyle name="Migliaia 4 2 2 3 2 2 2" xfId="11036" xr:uid="{2E488C45-071C-4113-AE00-C285AABDFF87}"/>
    <cellStyle name="Migliaia 4 2 2 3 2 2 2 2" xfId="14582" xr:uid="{D1778458-6979-489A-9A8E-958B1EF00F9A}"/>
    <cellStyle name="Migliaia 4 2 2 3 2 2 2 2 2" xfId="29759" xr:uid="{9F311D0E-464B-4DE3-A6B6-3E9EFE8874F3}"/>
    <cellStyle name="Migliaia 4 2 2 3 2 2 2 3" xfId="26214" xr:uid="{E1A0BA67-394E-4433-9436-A1CC800A6B65}"/>
    <cellStyle name="Migliaia 4 2 2 3 2 2 3" xfId="6862" xr:uid="{22E0B769-AE25-46F3-B5D1-AA14AEEA59E6}"/>
    <cellStyle name="Migliaia 4 2 2 3 2 2 3 2" xfId="22042" xr:uid="{C8AF20B2-0D30-4AC8-98C8-452FB1E26865}"/>
    <cellStyle name="Migliaia 4 2 2 3 2 2 4" xfId="18754" xr:uid="{9C2A7B55-7667-473D-A221-7036D488E10E}"/>
    <cellStyle name="Migliaia 4 2 2 3 2 3" xfId="4530" xr:uid="{09A1C539-B068-49B0-9A22-7758B5AAA834}"/>
    <cellStyle name="Migliaia 4 2 2 3 2 3 2" xfId="12015" xr:uid="{1B7296AF-E966-4CC9-826C-6448E8F55225}"/>
    <cellStyle name="Migliaia 4 2 2 3 2 3 2 2" xfId="15561" xr:uid="{5B4329FE-5760-4594-91B1-149995FD75C1}"/>
    <cellStyle name="Migliaia 4 2 2 3 2 3 2 2 2" xfId="30738" xr:uid="{B054A5BB-C347-4DF8-B701-BAA122419766}"/>
    <cellStyle name="Migliaia 4 2 2 3 2 3 2 3" xfId="27193" xr:uid="{EAA297A4-F2D5-4333-8A89-661DCE7EFE5D}"/>
    <cellStyle name="Migliaia 4 2 2 3 2 3 3" xfId="7841" xr:uid="{A8B648D0-7D08-4E7B-AAB9-A84E3D97716D}"/>
    <cellStyle name="Migliaia 4 2 2 3 2 3 3 2" xfId="23021" xr:uid="{877331B6-A79E-493C-B32C-ED22A9FBF2DA}"/>
    <cellStyle name="Migliaia 4 2 2 3 2 3 4" xfId="19733" xr:uid="{087B336B-A3B8-486D-B3B9-3D9125D60EC5}"/>
    <cellStyle name="Migliaia 4 2 2 3 2 4" xfId="2661" xr:uid="{41B93761-CF9C-4E8A-B416-9AAC237E4762}"/>
    <cellStyle name="Migliaia 4 2 2 3 2 4 2" xfId="10152" xr:uid="{84BA59CC-3CA7-4CB8-A3E0-764AC4099EED}"/>
    <cellStyle name="Migliaia 4 2 2 3 2 4 2 2" xfId="25330" xr:uid="{3AAD3475-7A0E-49BB-A7E3-86612BAEDD2F}"/>
    <cellStyle name="Migliaia 4 2 2 3 2 4 3" xfId="17870" xr:uid="{E1645A15-9D76-4358-817C-D4866D8FE227}"/>
    <cellStyle name="Migliaia 4 2 2 3 2 5" xfId="8754" xr:uid="{72FFE3F9-1954-4E33-87D0-B5DB062AF0F6}"/>
    <cellStyle name="Migliaia 4 2 2 3 2 5 2" xfId="12927" xr:uid="{92960730-E327-499B-A606-503A875BCE80}"/>
    <cellStyle name="Migliaia 4 2 2 3 2 5 2 2" xfId="28104" xr:uid="{C65824B0-ADBA-4D5D-A4E6-FFBA4DCBA788}"/>
    <cellStyle name="Migliaia 4 2 2 3 2 5 3" xfId="23932" xr:uid="{B150853D-4126-4133-80D1-DBF3597BCA50}"/>
    <cellStyle name="Migliaia 4 2 2 3 2 6" xfId="5978" xr:uid="{AB2FF5C1-ADA7-4E22-B062-8C229D69E17F}"/>
    <cellStyle name="Migliaia 4 2 2 3 2 6 2" xfId="21158" xr:uid="{3A70A625-3DF5-47C7-A956-C670B8F039A9}"/>
    <cellStyle name="Migliaia 4 2 2 3 2 7" xfId="16472" xr:uid="{C036B14B-47D0-4DF6-95AA-D3DB10A9A96C}"/>
    <cellStyle name="Migliaia 4 2 2 3 3" xfId="2386" xr:uid="{D61CBEEF-5684-4EE8-B075-CBB65056D593}"/>
    <cellStyle name="Migliaia 4 2 2 3 3 2" xfId="9880" xr:uid="{C2657853-D57F-47E1-987D-8D9315542D27}"/>
    <cellStyle name="Migliaia 4 2 2 3 3 2 2" xfId="13539" xr:uid="{565BDA91-A6D7-4532-A512-8FF78E933D4F}"/>
    <cellStyle name="Migliaia 4 2 2 3 3 2 2 2" xfId="28716" xr:uid="{87BF69C3-74CC-4021-80BC-F86480C065B3}"/>
    <cellStyle name="Migliaia 4 2 2 3 3 2 3" xfId="25058" xr:uid="{D5EFBCA0-E7BE-42C8-AC2A-28DDAA4463A9}"/>
    <cellStyle name="Migliaia 4 2 2 3 3 3" xfId="5706" xr:uid="{AD6C0B68-2393-49B3-BFA6-2080D6A79421}"/>
    <cellStyle name="Migliaia 4 2 2 3 3 3 2" xfId="20886" xr:uid="{2BB8D801-2949-4FED-B768-1D2E57F98DFB}"/>
    <cellStyle name="Migliaia 4 2 2 3 3 4" xfId="17598" xr:uid="{35C50EBF-9188-4755-B48E-84A7B727FBEA}"/>
    <cellStyle name="Migliaia 4 2 2 3 4" xfId="3276" xr:uid="{789F32D0-E108-47DC-8A67-6CC55D270978}"/>
    <cellStyle name="Migliaia 4 2 2 3 4 2" xfId="10764" xr:uid="{B8F0AFF0-7B02-4B8B-B3D2-EFCB4A158521}"/>
    <cellStyle name="Migliaia 4 2 2 3 4 2 2" xfId="14310" xr:uid="{6FBF3081-CD6E-43AA-A182-3F90BEFD97E8}"/>
    <cellStyle name="Migliaia 4 2 2 3 4 2 2 2" xfId="29487" xr:uid="{9C3FD64A-E016-4B55-B5DD-B9F9EDF4F05E}"/>
    <cellStyle name="Migliaia 4 2 2 3 4 2 3" xfId="25942" xr:uid="{89B76BC9-A906-454A-95AE-15147C575B5C}"/>
    <cellStyle name="Migliaia 4 2 2 3 4 3" xfId="6590" xr:uid="{32CEF825-C813-488C-B76B-CE2026E82A23}"/>
    <cellStyle name="Migliaia 4 2 2 3 4 3 2" xfId="21770" xr:uid="{8739AEAA-5896-4162-870F-C05F4793C042}"/>
    <cellStyle name="Migliaia 4 2 2 3 4 4" xfId="18482" xr:uid="{AFE459B0-011A-4922-A1CC-8995E1402B0F}"/>
    <cellStyle name="Migliaia 4 2 2 3 5" xfId="4531" xr:uid="{9CB147A2-D50D-4F97-A97C-A7389F7F7459}"/>
    <cellStyle name="Migliaia 4 2 2 3 5 2" xfId="12016" xr:uid="{535E61F2-2015-450C-938A-1C2B04C6B808}"/>
    <cellStyle name="Migliaia 4 2 2 3 5 2 2" xfId="15562" xr:uid="{302D760E-4B25-4BA9-9D9A-9FCD5ED9F9BA}"/>
    <cellStyle name="Migliaia 4 2 2 3 5 2 2 2" xfId="30739" xr:uid="{760C98EA-E836-4C49-8425-B05327C7F5F0}"/>
    <cellStyle name="Migliaia 4 2 2 3 5 2 3" xfId="27194" xr:uid="{CBD9892F-3586-48F3-8D94-5C5C99A06D59}"/>
    <cellStyle name="Migliaia 4 2 2 3 5 3" xfId="7842" xr:uid="{8C1433FF-03AF-4ECA-B95E-C69AF41ED295}"/>
    <cellStyle name="Migliaia 4 2 2 3 5 3 2" xfId="23022" xr:uid="{BF29BCEB-BDCF-4B24-8F72-F719416E7021}"/>
    <cellStyle name="Migliaia 4 2 2 3 5 4" xfId="19734" xr:uid="{F72FC26C-AA77-46F4-8924-EFBCC5A96DF2}"/>
    <cellStyle name="Migliaia 4 2 2 3 6" xfId="4950" xr:uid="{EA7089F9-4C14-4E5D-99EC-2076BB36FA4C}"/>
    <cellStyle name="Migliaia 4 2 2 3 6 2" xfId="12434" xr:uid="{360A5308-A454-488E-B206-CF0A76E1410D}"/>
    <cellStyle name="Migliaia 4 2 2 3 6 2 2" xfId="15980" xr:uid="{5CB4E690-6EA4-4F21-A3EC-FDDE72EB2984}"/>
    <cellStyle name="Migliaia 4 2 2 3 6 2 2 2" xfId="31157" xr:uid="{680BD076-8CDD-425C-B790-097369C61E48}"/>
    <cellStyle name="Migliaia 4 2 2 3 6 2 3" xfId="27612" xr:uid="{61AFF710-A909-4F8D-9639-BB46D4599706}"/>
    <cellStyle name="Migliaia 4 2 2 3 6 3" xfId="8260" xr:uid="{EA45BE9C-C02F-4B84-A3C6-6D83D46EAF9D}"/>
    <cellStyle name="Migliaia 4 2 2 3 6 3 2" xfId="23440" xr:uid="{7E32595B-E33F-4BA1-926C-41728379E7FA}"/>
    <cellStyle name="Migliaia 4 2 2 3 6 4" xfId="20152" xr:uid="{DD0B9634-B234-4AE4-A614-7038730554F0}"/>
    <cellStyle name="Migliaia 4 2 2 3 7" xfId="1771" xr:uid="{BB96467D-D26D-4432-9C08-3062A2A4497A}"/>
    <cellStyle name="Migliaia 4 2 2 3 7 2" xfId="9268" xr:uid="{481B7C68-3B39-4E0A-80E0-42275A75EBCD}"/>
    <cellStyle name="Migliaia 4 2 2 3 7 2 2" xfId="24446" xr:uid="{13C794E4-A9DE-4DE4-A714-709C08A05654}"/>
    <cellStyle name="Migliaia 4 2 2 3 7 3" xfId="16986" xr:uid="{462F1B7E-DBD6-4C2A-90A7-17F3E1305A1D}"/>
    <cellStyle name="Migliaia 4 2 2 3 8" xfId="8482" xr:uid="{F801E674-31DB-407D-9278-DCEF2B1FBD58}"/>
    <cellStyle name="Migliaia 4 2 2 3 8 2" xfId="12655" xr:uid="{61CF4C6F-FE1F-401C-8811-3C8036B37E0D}"/>
    <cellStyle name="Migliaia 4 2 2 3 8 2 2" xfId="27832" xr:uid="{B7B56882-2A30-4F3E-A454-D84741BB557A}"/>
    <cellStyle name="Migliaia 4 2 2 3 8 3" xfId="23660" xr:uid="{5691E331-3874-4A03-B77E-907521FB03C6}"/>
    <cellStyle name="Migliaia 4 2 2 3 9" xfId="5094" xr:uid="{05408218-8965-462B-BA21-EA086C1DCB97}"/>
    <cellStyle name="Migliaia 4 2 2 3 9 2" xfId="20274" xr:uid="{43E0EB48-784F-42AA-8F9C-E91F08670DD0}"/>
    <cellStyle name="Migliaia 4 2 2 4" xfId="31420" xr:uid="{3BEB25DC-C132-4D75-B651-88BA384D15AB}"/>
    <cellStyle name="Migliaia 4 2 2 5" xfId="628" xr:uid="{CD369C7B-41C0-4667-9B2F-6FB6369D4EAD}"/>
    <cellStyle name="Migliaia 4 2 3" xfId="277" xr:uid="{95668A03-E823-4F10-AAA4-054E6C9D834F}"/>
    <cellStyle name="Migliaia 4 2 3 10" xfId="1443" xr:uid="{210F0FA7-EFBA-427D-91F9-2B2D43CA033E}"/>
    <cellStyle name="Migliaia 4 2 3 10 2" xfId="2868" xr:uid="{5888F11F-B04C-43AF-8D77-ADD38C536B83}"/>
    <cellStyle name="Migliaia 4 2 3 10 2 2" xfId="10359" xr:uid="{D9C70E3C-64BE-440A-9BFE-203B9C48C702}"/>
    <cellStyle name="Migliaia 4 2 3 10 2 2 2" xfId="13905" xr:uid="{F801BF3D-D829-4B7F-802D-0B7D086EFEF3}"/>
    <cellStyle name="Migliaia 4 2 3 10 2 2 2 2" xfId="29082" xr:uid="{5130D5D8-EAE5-4896-B61B-2B84A9532A4A}"/>
    <cellStyle name="Migliaia 4 2 3 10 2 2 3" xfId="25537" xr:uid="{AB00AAEE-8D55-4453-87F9-CEBFCE5B3A4E}"/>
    <cellStyle name="Migliaia 4 2 3 10 2 3" xfId="6185" xr:uid="{BC2D14FC-7778-4EE8-B7E5-884C2BFE6874}"/>
    <cellStyle name="Migliaia 4 2 3 10 2 3 2" xfId="21365" xr:uid="{4E8D7511-B694-4C31-8468-3A4601B2EBAB}"/>
    <cellStyle name="Migliaia 4 2 3 10 2 4" xfId="18077" xr:uid="{6A968377-A02D-4EF0-88F3-B603C13F66D0}"/>
    <cellStyle name="Migliaia 4 2 3 10 3" xfId="3755" xr:uid="{FED4F220-1DAE-48EC-90AB-40AE85F74ED8}"/>
    <cellStyle name="Migliaia 4 2 3 10 3 2" xfId="11243" xr:uid="{DABDD193-91F4-4827-B5EA-2336D58311EF}"/>
    <cellStyle name="Migliaia 4 2 3 10 3 2 2" xfId="14789" xr:uid="{A3E3861C-643E-4BDD-9836-DA637E45A051}"/>
    <cellStyle name="Migliaia 4 2 3 10 3 2 2 2" xfId="29966" xr:uid="{C470E137-DD14-4216-8888-85F007B27DF1}"/>
    <cellStyle name="Migliaia 4 2 3 10 3 2 3" xfId="26421" xr:uid="{43DF96AA-D471-41A1-BF4B-826670C796A9}"/>
    <cellStyle name="Migliaia 4 2 3 10 3 3" xfId="7069" xr:uid="{0EC2C879-FE4F-4454-83D8-B77B2A6B1F40}"/>
    <cellStyle name="Migliaia 4 2 3 10 3 3 2" xfId="22249" xr:uid="{A47A7CD4-CEDA-4D84-979B-B1A297E6D13F}"/>
    <cellStyle name="Migliaia 4 2 3 10 3 4" xfId="18961" xr:uid="{BEAE43BE-3938-45F3-B8EF-3DAC2C100B79}"/>
    <cellStyle name="Migliaia 4 2 3 10 4" xfId="4532" xr:uid="{6797AFE4-7006-40F1-8883-E277712D66A2}"/>
    <cellStyle name="Migliaia 4 2 3 10 4 2" xfId="12017" xr:uid="{F3FC4C89-23C3-4B09-BD49-EFA95E51FAFB}"/>
    <cellStyle name="Migliaia 4 2 3 10 4 2 2" xfId="15563" xr:uid="{C82A1A0B-9D88-46B0-843F-7A4668EE74E1}"/>
    <cellStyle name="Migliaia 4 2 3 10 4 2 2 2" xfId="30740" xr:uid="{DE7C5E71-BC84-4800-90C5-E296AC60E8E4}"/>
    <cellStyle name="Migliaia 4 2 3 10 4 2 3" xfId="27195" xr:uid="{C26DE9C7-53C0-42CF-A783-28D07F2994D9}"/>
    <cellStyle name="Migliaia 4 2 3 10 4 3" xfId="7843" xr:uid="{08C323D4-6322-4E2F-AB7E-B357E013BF83}"/>
    <cellStyle name="Migliaia 4 2 3 10 4 3 2" xfId="23023" xr:uid="{0C6C4CA9-E036-438B-95CC-5CF0F51FD4E4}"/>
    <cellStyle name="Migliaia 4 2 3 10 4 4" xfId="19735" xr:uid="{0873912C-017C-4733-BC6D-73610AF2D02D}"/>
    <cellStyle name="Migliaia 4 2 3 10 5" xfId="1978" xr:uid="{85F0292D-76F3-467F-919C-CA6347DD4262}"/>
    <cellStyle name="Migliaia 4 2 3 10 5 2" xfId="9475" xr:uid="{220C61D3-7DC4-4078-B219-85EA90F65EE1}"/>
    <cellStyle name="Migliaia 4 2 3 10 5 2 2" xfId="24653" xr:uid="{5F029486-6E62-47AC-AD6F-A8E431DE5026}"/>
    <cellStyle name="Migliaia 4 2 3 10 5 3" xfId="17193" xr:uid="{F1E4FF4E-46E8-4A25-AC29-4D67293B1B57}"/>
    <cellStyle name="Migliaia 4 2 3 10 6" xfId="8961" xr:uid="{65F90F05-44A3-4253-B7D2-728305B3117D}"/>
    <cellStyle name="Migliaia 4 2 3 10 6 2" xfId="13134" xr:uid="{0E6D7DA7-6EED-4A91-8E35-3D512C7172CA}"/>
    <cellStyle name="Migliaia 4 2 3 10 6 2 2" xfId="28311" xr:uid="{531A52F0-4842-4BF5-9A65-6067DE39EF07}"/>
    <cellStyle name="Migliaia 4 2 3 10 6 3" xfId="24139" xr:uid="{E27B7001-1A34-47B6-B4B9-1AE1E2AF31AF}"/>
    <cellStyle name="Migliaia 4 2 3 10 7" xfId="5301" xr:uid="{01CD320C-84D0-45FA-BA14-07F1AE4EB2C8}"/>
    <cellStyle name="Migliaia 4 2 3 10 7 2" xfId="20481" xr:uid="{ED2A2F46-0E86-4F06-B35A-A158FD028DA0}"/>
    <cellStyle name="Migliaia 4 2 3 10 8" xfId="16679" xr:uid="{96E682AB-C18F-4F12-90BE-0A11BB6AA121}"/>
    <cellStyle name="Migliaia 4 2 3 11" xfId="1546" xr:uid="{7B40AD93-6604-40C3-9EE7-A238027032B8}"/>
    <cellStyle name="Migliaia 4 2 3 11 2" xfId="2966" xr:uid="{F97F7100-60BE-4906-9957-F57B98860D3A}"/>
    <cellStyle name="Migliaia 4 2 3 11 2 2" xfId="10457" xr:uid="{C00B9353-1EB9-48B1-850A-916A1564CF05}"/>
    <cellStyle name="Migliaia 4 2 3 11 2 2 2" xfId="14003" xr:uid="{834C435C-1791-4ACC-9EFA-029BAE4A6279}"/>
    <cellStyle name="Migliaia 4 2 3 11 2 2 2 2" xfId="29180" xr:uid="{BE813F59-4BD8-4EEF-87A4-72DD1548DD15}"/>
    <cellStyle name="Migliaia 4 2 3 11 2 2 3" xfId="25635" xr:uid="{1D4AA371-31C3-425F-802A-15A496F33130}"/>
    <cellStyle name="Migliaia 4 2 3 11 2 3" xfId="6283" xr:uid="{55890631-6206-43E2-B649-E973087EC5D3}"/>
    <cellStyle name="Migliaia 4 2 3 11 2 3 2" xfId="21463" xr:uid="{FDA5DDD7-E83F-4F6B-AD84-AEB5DB7B482A}"/>
    <cellStyle name="Migliaia 4 2 3 11 2 4" xfId="18175" xr:uid="{89D7EC69-2FC0-43B0-BE39-663D69997EE5}"/>
    <cellStyle name="Migliaia 4 2 3 11 3" xfId="3853" xr:uid="{512B1476-4C46-4671-A3BF-E5FEC50D05EA}"/>
    <cellStyle name="Migliaia 4 2 3 11 3 2" xfId="11341" xr:uid="{FD60CACF-3103-4305-AEF5-F399BDB75555}"/>
    <cellStyle name="Migliaia 4 2 3 11 3 2 2" xfId="14887" xr:uid="{F45E12DE-D494-4860-832B-3E43DB496BA5}"/>
    <cellStyle name="Migliaia 4 2 3 11 3 2 2 2" xfId="30064" xr:uid="{6DC69403-2E5A-424F-A413-64D0B522B221}"/>
    <cellStyle name="Migliaia 4 2 3 11 3 2 3" xfId="26519" xr:uid="{52436D25-25CD-4E52-ACCE-DB75CEF4BAC4}"/>
    <cellStyle name="Migliaia 4 2 3 11 3 3" xfId="7167" xr:uid="{73FD210E-1B7A-4199-9CDE-8A72DDB1A5FD}"/>
    <cellStyle name="Migliaia 4 2 3 11 3 3 2" xfId="22347" xr:uid="{8C51D3E8-603E-4CD6-9EAA-25555C51C37E}"/>
    <cellStyle name="Migliaia 4 2 3 11 3 4" xfId="19059" xr:uid="{B3DD64C3-3DAE-4CA0-AE26-0E51659586F9}"/>
    <cellStyle name="Migliaia 4 2 3 11 4" xfId="4533" xr:uid="{130A9576-0BD6-4C52-89A4-A0A3D168F478}"/>
    <cellStyle name="Migliaia 4 2 3 11 4 2" xfId="12018" xr:uid="{8F185480-9F91-40B9-B49A-C3B2A50DEA1A}"/>
    <cellStyle name="Migliaia 4 2 3 11 4 2 2" xfId="15564" xr:uid="{B034D602-7886-4061-958E-5E650971DCB1}"/>
    <cellStyle name="Migliaia 4 2 3 11 4 2 2 2" xfId="30741" xr:uid="{4AFEB738-E180-404C-B453-405398081925}"/>
    <cellStyle name="Migliaia 4 2 3 11 4 2 3" xfId="27196" xr:uid="{DC2DD5ED-2D2D-4564-8F24-C6A474B20FE0}"/>
    <cellStyle name="Migliaia 4 2 3 11 4 3" xfId="7844" xr:uid="{C322BC1D-DD39-4774-A3D9-F30BB7E7DA54}"/>
    <cellStyle name="Migliaia 4 2 3 11 4 3 2" xfId="23024" xr:uid="{ADDAAFFB-4408-4562-A4C0-04BEE737AB73}"/>
    <cellStyle name="Migliaia 4 2 3 11 4 4" xfId="19736" xr:uid="{5EB787B0-C7B3-46E1-8A7A-A5E606D0880B}"/>
    <cellStyle name="Migliaia 4 2 3 11 5" xfId="2076" xr:uid="{20185D27-AA23-4C90-AB67-3308A1B57BA0}"/>
    <cellStyle name="Migliaia 4 2 3 11 5 2" xfId="9573" xr:uid="{E027E536-8219-4A66-9F32-A123B7B367CF}"/>
    <cellStyle name="Migliaia 4 2 3 11 5 2 2" xfId="24751" xr:uid="{193E320C-F7CB-4470-B1A8-CDE73D387C58}"/>
    <cellStyle name="Migliaia 4 2 3 11 5 3" xfId="17291" xr:uid="{12DB4FFA-3014-4A13-A0D2-A2B7D929FAC6}"/>
    <cellStyle name="Migliaia 4 2 3 11 6" xfId="9059" xr:uid="{F85F697C-31C6-4D82-BB31-237B4A9F4D3C}"/>
    <cellStyle name="Migliaia 4 2 3 11 6 2" xfId="13232" xr:uid="{8EAF3572-C08F-4B0B-8A12-0DDD557EC63E}"/>
    <cellStyle name="Migliaia 4 2 3 11 6 2 2" xfId="28409" xr:uid="{3703FD73-CD3B-47D1-8DD9-6FD3FF3AB147}"/>
    <cellStyle name="Migliaia 4 2 3 11 6 3" xfId="24237" xr:uid="{1132AF78-E22A-4ADC-B4B3-C8D538B72A04}"/>
    <cellStyle name="Migliaia 4 2 3 11 7" xfId="5399" xr:uid="{7A7A7F2B-CBB5-4332-AF27-EA24610E0B7A}"/>
    <cellStyle name="Migliaia 4 2 3 11 7 2" xfId="20579" xr:uid="{EE2E8BEC-949F-414D-9C6F-EFEBF02411B1}"/>
    <cellStyle name="Migliaia 4 2 3 11 8" xfId="16777" xr:uid="{90F981C6-BA83-4209-97A3-EF40B9CABAB8}"/>
    <cellStyle name="Migliaia 4 2 3 12" xfId="1645" xr:uid="{74BD0AB3-976E-487B-98F9-CE33C2FFD6D0}"/>
    <cellStyle name="Migliaia 4 2 3 12 2" xfId="3064" xr:uid="{83392218-2873-4F2E-B95A-D4D52FEF189C}"/>
    <cellStyle name="Migliaia 4 2 3 12 2 2" xfId="10555" xr:uid="{7EF8557F-FE13-4C95-9B29-745C7C88230B}"/>
    <cellStyle name="Migliaia 4 2 3 12 2 2 2" xfId="14101" xr:uid="{49D564B9-536D-429F-8688-701FF8061FCE}"/>
    <cellStyle name="Migliaia 4 2 3 12 2 2 2 2" xfId="29278" xr:uid="{FAFE1133-38C9-49A8-BD6F-A643341FAC92}"/>
    <cellStyle name="Migliaia 4 2 3 12 2 2 3" xfId="25733" xr:uid="{D794FD17-3900-4A04-85BE-8835F515C3A6}"/>
    <cellStyle name="Migliaia 4 2 3 12 2 3" xfId="6381" xr:uid="{3328A4FF-2F87-44BD-AD0A-4714CE02A72F}"/>
    <cellStyle name="Migliaia 4 2 3 12 2 3 2" xfId="21561" xr:uid="{0AE1BEA3-084B-4F1C-A8E3-E7590D595516}"/>
    <cellStyle name="Migliaia 4 2 3 12 2 4" xfId="18273" xr:uid="{2800EC03-11DC-472E-BB8E-376623859E22}"/>
    <cellStyle name="Migliaia 4 2 3 12 3" xfId="3951" xr:uid="{BCF0AD91-EBF7-41CB-BD40-0485A16E298E}"/>
    <cellStyle name="Migliaia 4 2 3 12 3 2" xfId="11439" xr:uid="{8D1AE983-E3AF-402A-93F6-8AF26620F109}"/>
    <cellStyle name="Migliaia 4 2 3 12 3 2 2" xfId="14985" xr:uid="{39979FDB-A16F-4921-8A7F-81A378598677}"/>
    <cellStyle name="Migliaia 4 2 3 12 3 2 2 2" xfId="30162" xr:uid="{BDD09E81-33E2-4748-B237-3CBAF6E30FFE}"/>
    <cellStyle name="Migliaia 4 2 3 12 3 2 3" xfId="26617" xr:uid="{699E9D3A-D945-4074-89A2-6A45CC4FE762}"/>
    <cellStyle name="Migliaia 4 2 3 12 3 3" xfId="7265" xr:uid="{CD106023-FF20-43BB-9217-AB3F6A215312}"/>
    <cellStyle name="Migliaia 4 2 3 12 3 3 2" xfId="22445" xr:uid="{23AFD8EF-0129-4409-9AD2-88B8EE2FF3CE}"/>
    <cellStyle name="Migliaia 4 2 3 12 3 4" xfId="19157" xr:uid="{074B8870-1559-4E0F-B05C-CCCB3165FC7E}"/>
    <cellStyle name="Migliaia 4 2 3 12 4" xfId="4534" xr:uid="{44972DFD-B5F1-415D-B643-845485FD4E8B}"/>
    <cellStyle name="Migliaia 4 2 3 12 4 2" xfId="12019" xr:uid="{BE1C1453-179D-4AE3-BE06-6FFC44F6414C}"/>
    <cellStyle name="Migliaia 4 2 3 12 4 2 2" xfId="15565" xr:uid="{968EEBC1-A527-46E3-BEA2-AA4FFED966B3}"/>
    <cellStyle name="Migliaia 4 2 3 12 4 2 2 2" xfId="30742" xr:uid="{4FD1CC9A-9A27-4B7B-9E60-25FF4017B6B7}"/>
    <cellStyle name="Migliaia 4 2 3 12 4 2 3" xfId="27197" xr:uid="{3D064DF0-173B-41D9-B631-BBE208BC5960}"/>
    <cellStyle name="Migliaia 4 2 3 12 4 3" xfId="7845" xr:uid="{F4E1F153-BFC4-4D90-9407-E9CC56822ECF}"/>
    <cellStyle name="Migliaia 4 2 3 12 4 3 2" xfId="23025" xr:uid="{E73EC101-A39E-4F5E-ADF2-6FFF7386ADB0}"/>
    <cellStyle name="Migliaia 4 2 3 12 4 4" xfId="19737" xr:uid="{3837FD71-81F0-410A-BA1A-65CE34D26A60}"/>
    <cellStyle name="Migliaia 4 2 3 12 5" xfId="2174" xr:uid="{AD54BAA3-EC6D-4C8D-A5C6-A76713A837D2}"/>
    <cellStyle name="Migliaia 4 2 3 12 5 2" xfId="9671" xr:uid="{A176C436-A402-486B-875E-47C33E5E644A}"/>
    <cellStyle name="Migliaia 4 2 3 12 5 2 2" xfId="24849" xr:uid="{A4667293-1E9D-43D5-AFE6-C1FF4092BADF}"/>
    <cellStyle name="Migliaia 4 2 3 12 5 3" xfId="17389" xr:uid="{13BF0A52-BA9F-408B-9970-946801392861}"/>
    <cellStyle name="Migliaia 4 2 3 12 6" xfId="9157" xr:uid="{3639FE80-3D33-4A0F-869F-593FA71ECC7D}"/>
    <cellStyle name="Migliaia 4 2 3 12 6 2" xfId="13330" xr:uid="{046F0442-1517-405D-A5CA-225AD6CC31D0}"/>
    <cellStyle name="Migliaia 4 2 3 12 6 2 2" xfId="28507" xr:uid="{B335F533-7189-4629-8DBE-C968A93A8CFB}"/>
    <cellStyle name="Migliaia 4 2 3 12 6 3" xfId="24335" xr:uid="{9540E79A-2A2F-44C6-9B6E-61980E70867D}"/>
    <cellStyle name="Migliaia 4 2 3 12 7" xfId="5497" xr:uid="{93186D79-2239-4BD4-B769-5661C5B23BDD}"/>
    <cellStyle name="Migliaia 4 2 3 12 7 2" xfId="20677" xr:uid="{EC7E1834-48EC-4F97-84ED-0A21B20DEE93}"/>
    <cellStyle name="Migliaia 4 2 3 12 8" xfId="16875" xr:uid="{2DC35F94-4619-4F63-9A22-A3EE9D9BE626}"/>
    <cellStyle name="Migliaia 4 2 3 13" xfId="2274" xr:uid="{8E9DB902-0BB7-4F8D-9797-6A2440DFE514}"/>
    <cellStyle name="Migliaia 4 2 3 13 2" xfId="9769" xr:uid="{CB224440-F4CD-4A5F-A432-BB2CA516B13D}"/>
    <cellStyle name="Migliaia 4 2 3 13 2 2" xfId="13428" xr:uid="{48E53E22-4376-48D8-AD9C-E5F002260A7C}"/>
    <cellStyle name="Migliaia 4 2 3 13 2 2 2" xfId="28605" xr:uid="{0C389A88-A5DA-43F1-B5A8-0B45E891B8C2}"/>
    <cellStyle name="Migliaia 4 2 3 13 2 3" xfId="24947" xr:uid="{9ED8C62F-E1F4-43F7-A03E-95AE2CEB13EA}"/>
    <cellStyle name="Migliaia 4 2 3 13 3" xfId="5595" xr:uid="{9566E0D7-3F25-4BC8-BB6D-F5C36A83BC6C}"/>
    <cellStyle name="Migliaia 4 2 3 13 3 2" xfId="20775" xr:uid="{8239151B-ECE4-48FE-ACBA-8DFFE770648C}"/>
    <cellStyle name="Migliaia 4 2 3 13 4" xfId="17487" xr:uid="{C21424F6-794C-42BC-BA3C-3A6DED9F9FCC}"/>
    <cellStyle name="Migliaia 4 2 3 14" xfId="3164" xr:uid="{EEAB855D-B5AD-4949-ADF7-169AFDACA7CD}"/>
    <cellStyle name="Migliaia 4 2 3 14 2" xfId="10653" xr:uid="{9FD273F4-16EE-4911-A699-6517396DE75B}"/>
    <cellStyle name="Migliaia 4 2 3 14 2 2" xfId="14199" xr:uid="{C677EAC8-89B6-4654-8351-67B7A19C2DB7}"/>
    <cellStyle name="Migliaia 4 2 3 14 2 2 2" xfId="29376" xr:uid="{C0D6177F-E9EC-44F3-8ADC-E83D8B0B7A19}"/>
    <cellStyle name="Migliaia 4 2 3 14 2 3" xfId="25831" xr:uid="{AF08C853-4872-42D3-8CD1-F5F1F2500FCF}"/>
    <cellStyle name="Migliaia 4 2 3 14 3" xfId="6479" xr:uid="{317B0187-05B2-40B1-9D25-426134BDC221}"/>
    <cellStyle name="Migliaia 4 2 3 14 3 2" xfId="21659" xr:uid="{3948578A-DBF5-4C9A-8285-E4AB1FE69ABA}"/>
    <cellStyle name="Migliaia 4 2 3 14 4" xfId="18371" xr:uid="{3C9EE2C1-7D3D-4E12-9A4E-6ECABBDF1145}"/>
    <cellStyle name="Migliaia 4 2 3 15" xfId="4535" xr:uid="{81226CF6-453B-4A4F-8FA4-9E7F156EA26C}"/>
    <cellStyle name="Migliaia 4 2 3 15 2" xfId="12020" xr:uid="{D9DE44FD-2DEC-4968-9A5C-1A600DDD0B6A}"/>
    <cellStyle name="Migliaia 4 2 3 15 2 2" xfId="15566" xr:uid="{4E99E44E-803B-40AF-9D28-BF5DB6A7EDDB}"/>
    <cellStyle name="Migliaia 4 2 3 15 2 2 2" xfId="30743" xr:uid="{48411D5D-7030-476C-ACC8-054A0646C6FB}"/>
    <cellStyle name="Migliaia 4 2 3 15 2 3" xfId="27198" xr:uid="{E86488D3-4203-442F-8459-158679C7DEE1}"/>
    <cellStyle name="Migliaia 4 2 3 15 3" xfId="7846" xr:uid="{D1A870AF-3B9B-41AC-9407-2EC2D1B42300}"/>
    <cellStyle name="Migliaia 4 2 3 15 3 2" xfId="23026" xr:uid="{08B06B0E-02D7-4D7F-91E4-84B5805B4787}"/>
    <cellStyle name="Migliaia 4 2 3 15 4" xfId="19738" xr:uid="{03D1EFEC-C9AB-4DBB-9C5E-CF266F33E8BA}"/>
    <cellStyle name="Migliaia 4 2 3 16" xfId="8370" xr:uid="{F4E795C6-B4CE-4CA7-B4E7-610A8CAA401B}"/>
    <cellStyle name="Migliaia 4 2 3 16 2" xfId="12544" xr:uid="{A9D9F538-57BB-471C-9B74-0BDE83841EB6}"/>
    <cellStyle name="Migliaia 4 2 3 16 2 2" xfId="27721" xr:uid="{EA5B35D5-67C5-4E9B-9BF4-D7C4B0E6A43A}"/>
    <cellStyle name="Migliaia 4 2 3 16 3" xfId="23549" xr:uid="{BB3BBD80-E3D9-4712-AA0C-C9902741907E}"/>
    <cellStyle name="Migliaia 4 2 3 17" xfId="16089" xr:uid="{4714F1B7-920A-45D0-B3B4-FCC269E6124E}"/>
    <cellStyle name="Migliaia 4 2 3 18" xfId="31431" xr:uid="{C42A0750-8630-4577-896A-793CC65F8B98}"/>
    <cellStyle name="Migliaia 4 2 3 19" xfId="691" xr:uid="{6D47BE64-4637-4D76-9174-F73C5E4EB2A3}"/>
    <cellStyle name="Migliaia 4 2 3 2" xfId="564" xr:uid="{F81EE516-1269-4EB9-B196-3FB176667800}"/>
    <cellStyle name="Migliaia 4 2 3 2 10" xfId="2299" xr:uid="{B99547FF-C393-435B-A9A0-97AA1DF7517A}"/>
    <cellStyle name="Migliaia 4 2 3 2 10 2" xfId="9794" xr:uid="{60A48DC8-8179-47FE-9A8B-B1910CCB951C}"/>
    <cellStyle name="Migliaia 4 2 3 2 10 2 2" xfId="13453" xr:uid="{7D2FBE79-D176-4EAF-A620-D6369C0EDA50}"/>
    <cellStyle name="Migliaia 4 2 3 2 10 2 2 2" xfId="28630" xr:uid="{97294D74-1110-4538-9D6D-915B3B52C373}"/>
    <cellStyle name="Migliaia 4 2 3 2 10 2 3" xfId="24972" xr:uid="{577EEBD9-5B5C-41A6-A019-A90F57A997BE}"/>
    <cellStyle name="Migliaia 4 2 3 2 10 3" xfId="5620" xr:uid="{B93073CE-73DE-483B-BF49-08F6BC1332FC}"/>
    <cellStyle name="Migliaia 4 2 3 2 10 3 2" xfId="20800" xr:uid="{3E38F302-7B98-4351-8D49-33C32B2EA983}"/>
    <cellStyle name="Migliaia 4 2 3 2 10 4" xfId="17512" xr:uid="{459FD6DF-BF16-4DDB-8B3A-160274FBFC6B}"/>
    <cellStyle name="Migliaia 4 2 3 2 11" xfId="3189" xr:uid="{6C57BA04-29F8-43D8-8901-185194793C98}"/>
    <cellStyle name="Migliaia 4 2 3 2 11 2" xfId="10678" xr:uid="{79D7E800-C9F9-4C32-A5ED-1D03C30FECBE}"/>
    <cellStyle name="Migliaia 4 2 3 2 11 2 2" xfId="14224" xr:uid="{6E6A43BC-8423-4CED-AB16-A001ABB3FCE4}"/>
    <cellStyle name="Migliaia 4 2 3 2 11 2 2 2" xfId="29401" xr:uid="{BF700507-4440-42E2-9B78-134DAD1B35F2}"/>
    <cellStyle name="Migliaia 4 2 3 2 11 2 3" xfId="25856" xr:uid="{ECD0120B-95D0-47E2-AFAF-A1601B8BC57B}"/>
    <cellStyle name="Migliaia 4 2 3 2 11 3" xfId="6504" xr:uid="{49B23E3D-3C55-48BD-AE6A-D26402C30999}"/>
    <cellStyle name="Migliaia 4 2 3 2 11 3 2" xfId="21684" xr:uid="{AC10F33F-C64D-42AC-9DAF-B7FF2D803884}"/>
    <cellStyle name="Migliaia 4 2 3 2 11 4" xfId="18396" xr:uid="{F9A2104A-A576-4909-BDD7-86AA0D8C80B5}"/>
    <cellStyle name="Migliaia 4 2 3 2 12" xfId="4536" xr:uid="{55550846-A231-4B3F-B3D2-56F98A3B5264}"/>
    <cellStyle name="Migliaia 4 2 3 2 12 2" xfId="12021" xr:uid="{B35E1217-8765-439E-BEF7-CC2E6A2788D8}"/>
    <cellStyle name="Migliaia 4 2 3 2 12 2 2" xfId="15567" xr:uid="{7ED308D5-C109-41C4-A49D-5FEB41D193A8}"/>
    <cellStyle name="Migliaia 4 2 3 2 12 2 2 2" xfId="30744" xr:uid="{C4B3DBEA-F8DF-4735-A3B6-ABB2E4111ED8}"/>
    <cellStyle name="Migliaia 4 2 3 2 12 2 3" xfId="27199" xr:uid="{A840435C-351A-4124-9E04-A9A8D999E50E}"/>
    <cellStyle name="Migliaia 4 2 3 2 12 3" xfId="7847" xr:uid="{DEB63AB3-27BA-4CCB-948D-5BE1BADACA94}"/>
    <cellStyle name="Migliaia 4 2 3 2 12 3 2" xfId="23027" xr:uid="{EAFB210C-24BF-42E2-B6B9-DCCC32BED898}"/>
    <cellStyle name="Migliaia 4 2 3 2 12 4" xfId="19739" xr:uid="{02D29864-93CB-4784-80B0-CEC3E540A9CE}"/>
    <cellStyle name="Migliaia 4 2 3 2 13" xfId="8395" xr:uid="{A31A0E19-1E17-4619-8BDF-6CFAF1A725BF}"/>
    <cellStyle name="Migliaia 4 2 3 2 13 2" xfId="12569" xr:uid="{1958DD88-5E08-4FD0-8DD5-96D704589FEB}"/>
    <cellStyle name="Migliaia 4 2 3 2 13 2 2" xfId="27746" xr:uid="{3A19116D-EFA5-4F1E-81BF-78FD19815F82}"/>
    <cellStyle name="Migliaia 4 2 3 2 13 3" xfId="23574" xr:uid="{03F8D149-8338-4C17-A2CB-4B0BB8E092F4}"/>
    <cellStyle name="Migliaia 4 2 3 2 14" xfId="16114" xr:uid="{E6E389FD-032F-49DA-9610-30C68CAD8904}"/>
    <cellStyle name="Migliaia 4 2 3 2 15" xfId="31456" xr:uid="{3BC3058D-5982-431A-A675-34F02E7D3E03}"/>
    <cellStyle name="Migliaia 4 2 3 2 16" xfId="726" xr:uid="{95FE1F68-F9F5-4B08-A7A3-8B95C04728F8}"/>
    <cellStyle name="Migliaia 4 2 3 2 2" xfId="778" xr:uid="{FB1C95F7-EA74-48AF-9E97-5B20933545A2}"/>
    <cellStyle name="Migliaia 4 2 3 2 2 10" xfId="8444" xr:uid="{D96F1518-62F4-4056-94F0-D04311B9CAD7}"/>
    <cellStyle name="Migliaia 4 2 3 2 2 10 2" xfId="12618" xr:uid="{55616233-FFCA-4727-B950-36DAF422DE0D}"/>
    <cellStyle name="Migliaia 4 2 3 2 2 10 2 2" xfId="27795" xr:uid="{31E419AE-D330-47FE-A360-67158ED7905F}"/>
    <cellStyle name="Migliaia 4 2 3 2 2 10 3" xfId="23623" xr:uid="{6F8D990A-5411-458D-A3BC-4C1748C5BB82}"/>
    <cellStyle name="Migliaia 4 2 3 2 2 11" xfId="16163" xr:uid="{E3EE44AC-0599-4883-B2F1-24DB6F593057}"/>
    <cellStyle name="Migliaia 4 2 3 2 2 12" xfId="31505" xr:uid="{CED45B3B-FC87-4F3F-A648-5143E1ED663F}"/>
    <cellStyle name="Migliaia 4 2 3 2 2 2" xfId="955" xr:uid="{BF124513-FA11-4302-A788-7556973659E8}"/>
    <cellStyle name="Migliaia 4 2 3 2 2 2 10" xfId="16285" xr:uid="{E58EB40E-9703-44F7-AFD6-27A47559D2CC}"/>
    <cellStyle name="Migliaia 4 2 3 2 2 2 11" xfId="31375" xr:uid="{EA5FD9E2-FF16-45B9-A3CE-224AEB2FD697}"/>
    <cellStyle name="Migliaia 4 2 3 2 2 2 12" xfId="31725" xr:uid="{EC2973DF-9631-4E2A-B0F7-567815A48B35}"/>
    <cellStyle name="Migliaia 4 2 3 2 2 2 2" xfId="1316" xr:uid="{A6B4722D-ADBB-432D-A12D-E19CE95F157F}"/>
    <cellStyle name="Migliaia 4 2 3 2 2 2 2 2" xfId="3633" xr:uid="{30D3A102-767F-4461-9B2E-355EA8956964}"/>
    <cellStyle name="Migliaia 4 2 3 2 2 2 2 2 2" xfId="11121" xr:uid="{8FFC5D76-3BBF-49AA-AC10-345C0A6A8E4D}"/>
    <cellStyle name="Migliaia 4 2 3 2 2 2 2 2 2 2" xfId="14667" xr:uid="{67CE865E-D520-4768-BEF0-E5F13F068AD2}"/>
    <cellStyle name="Migliaia 4 2 3 2 2 2 2 2 2 2 2" xfId="29844" xr:uid="{BA9AC256-01FF-41E6-9923-7781AB6AB458}"/>
    <cellStyle name="Migliaia 4 2 3 2 2 2 2 2 2 3" xfId="26299" xr:uid="{613B53CF-B299-421B-A993-097F7122EA70}"/>
    <cellStyle name="Migliaia 4 2 3 2 2 2 2 2 3" xfId="6947" xr:uid="{AD1DD0C6-3B6C-49A9-BD9C-67F2BCB9E2CF}"/>
    <cellStyle name="Migliaia 4 2 3 2 2 2 2 2 3 2" xfId="22127" xr:uid="{D295AEA7-54DC-499B-A13E-7C0AF184B519}"/>
    <cellStyle name="Migliaia 4 2 3 2 2 2 2 2 4" xfId="18839" xr:uid="{C854F995-52C2-4329-9063-6F0B7E0A2B60}"/>
    <cellStyle name="Migliaia 4 2 3 2 2 2 2 3" xfId="4537" xr:uid="{278BA1C9-388D-40DE-8FCD-000963B41ED9}"/>
    <cellStyle name="Migliaia 4 2 3 2 2 2 2 3 2" xfId="12022" xr:uid="{B7760FC9-EE86-48A7-B23C-A8A0B1A2ADFD}"/>
    <cellStyle name="Migliaia 4 2 3 2 2 2 2 3 2 2" xfId="15568" xr:uid="{DAA5EFCE-2D3F-4F7C-A428-0C941F9EB057}"/>
    <cellStyle name="Migliaia 4 2 3 2 2 2 2 3 2 2 2" xfId="30745" xr:uid="{165AE7EE-7E1E-4018-9E09-103CFFA7A38A}"/>
    <cellStyle name="Migliaia 4 2 3 2 2 2 2 3 2 3" xfId="27200" xr:uid="{32E67ABD-8C35-4FE1-89B5-351FD164FD14}"/>
    <cellStyle name="Migliaia 4 2 3 2 2 2 2 3 3" xfId="7848" xr:uid="{2A6F0341-C843-4F06-83D6-920742769B2F}"/>
    <cellStyle name="Migliaia 4 2 3 2 2 2 2 3 3 2" xfId="23028" xr:uid="{71EAA621-3CBB-44C9-A1BB-5962455175AD}"/>
    <cellStyle name="Migliaia 4 2 3 2 2 2 2 3 4" xfId="19740" xr:uid="{A67B7298-5D11-44DD-9868-221CD38D1753}"/>
    <cellStyle name="Migliaia 4 2 3 2 2 2 2 4" xfId="2746" xr:uid="{97437242-5AAF-45E6-94FA-370C93F9FCE4}"/>
    <cellStyle name="Migliaia 4 2 3 2 2 2 2 4 2" xfId="10237" xr:uid="{2EF6734C-8110-4A83-B143-8AF8D04BB920}"/>
    <cellStyle name="Migliaia 4 2 3 2 2 2 2 4 2 2" xfId="25415" xr:uid="{E0732074-9425-4AB8-BA56-B17D2F552630}"/>
    <cellStyle name="Migliaia 4 2 3 2 2 2 2 4 3" xfId="17955" xr:uid="{6F6B85BE-1D64-4678-BC66-C7614C07193C}"/>
    <cellStyle name="Migliaia 4 2 3 2 2 2 2 5" xfId="8839" xr:uid="{7E7CF0C5-CDD5-440B-9546-CFE689BFB94A}"/>
    <cellStyle name="Migliaia 4 2 3 2 2 2 2 5 2" xfId="13012" xr:uid="{F4B979FD-C99F-44B4-AD3E-D503D54AD422}"/>
    <cellStyle name="Migliaia 4 2 3 2 2 2 2 5 2 2" xfId="28189" xr:uid="{33670127-40CF-4A11-A1B2-8A3A2CD7DB27}"/>
    <cellStyle name="Migliaia 4 2 3 2 2 2 2 5 3" xfId="24017" xr:uid="{880000E2-5348-4A15-99FC-C29110A7649A}"/>
    <cellStyle name="Migliaia 4 2 3 2 2 2 2 6" xfId="6063" xr:uid="{654EE583-31AD-4B10-852B-E90F1C7BF151}"/>
    <cellStyle name="Migliaia 4 2 3 2 2 2 2 6 2" xfId="21243" xr:uid="{55D76FEF-A890-44CE-842D-A6FB548765B9}"/>
    <cellStyle name="Migliaia 4 2 3 2 2 2 2 7" xfId="16557" xr:uid="{0D808D8C-D4AF-4C98-8E1F-931BA95AC5D5}"/>
    <cellStyle name="Migliaia 4 2 3 2 2 2 3" xfId="2473" xr:uid="{A2A63EAB-AE84-4F5F-982F-FBD88202885E}"/>
    <cellStyle name="Migliaia 4 2 3 2 2 2 3 2" xfId="9965" xr:uid="{A5F8D108-F5E8-463F-BF80-74136231EE3C}"/>
    <cellStyle name="Migliaia 4 2 3 2 2 2 3 2 2" xfId="13624" xr:uid="{9D38DCC7-8FFC-4802-80B8-2202AD291834}"/>
    <cellStyle name="Migliaia 4 2 3 2 2 2 3 2 2 2" xfId="28801" xr:uid="{8834E187-D986-4390-948E-79A63A718B55}"/>
    <cellStyle name="Migliaia 4 2 3 2 2 2 3 2 3" xfId="25143" xr:uid="{F90E7A4B-2502-44B6-BFE1-E0772F289021}"/>
    <cellStyle name="Migliaia 4 2 3 2 2 2 3 3" xfId="5791" xr:uid="{54699455-B9CC-4AF7-B95C-E16215B0AF62}"/>
    <cellStyle name="Migliaia 4 2 3 2 2 2 3 3 2" xfId="20971" xr:uid="{C6E7E381-44A8-415B-9E64-7DF4CF44E11C}"/>
    <cellStyle name="Migliaia 4 2 3 2 2 2 3 4" xfId="17683" xr:uid="{DDAFD658-2D0D-4421-8367-E1280876F6DD}"/>
    <cellStyle name="Migliaia 4 2 3 2 2 2 4" xfId="3361" xr:uid="{62312149-988B-4CD9-9D5E-923D09E49195}"/>
    <cellStyle name="Migliaia 4 2 3 2 2 2 4 2" xfId="10849" xr:uid="{052D2E50-FFD4-496F-8A64-6FA78D2C30DF}"/>
    <cellStyle name="Migliaia 4 2 3 2 2 2 4 2 2" xfId="14395" xr:uid="{DB8C6C4C-9E5F-4B9E-B4C4-5C21FF6C6B85}"/>
    <cellStyle name="Migliaia 4 2 3 2 2 2 4 2 2 2" xfId="29572" xr:uid="{CF1184ED-9D5E-4B04-AA8A-6D5F82768FFA}"/>
    <cellStyle name="Migliaia 4 2 3 2 2 2 4 2 3" xfId="26027" xr:uid="{2470B82A-EDE6-4109-AF12-8C07209D430D}"/>
    <cellStyle name="Migliaia 4 2 3 2 2 2 4 3" xfId="6675" xr:uid="{C67370A3-F68A-4ECD-854F-1F890D4F5413}"/>
    <cellStyle name="Migliaia 4 2 3 2 2 2 4 3 2" xfId="21855" xr:uid="{03BE8DB9-472E-43F9-B912-8DEE95D35654}"/>
    <cellStyle name="Migliaia 4 2 3 2 2 2 4 4" xfId="18567" xr:uid="{214ED5A5-857D-4ED3-B15D-3B53146F2D0C}"/>
    <cellStyle name="Migliaia 4 2 3 2 2 2 5" xfId="4538" xr:uid="{1C4AE843-AD14-4782-8FCE-BDDB3614AC00}"/>
    <cellStyle name="Migliaia 4 2 3 2 2 2 5 2" xfId="12023" xr:uid="{2767B66A-4F78-4A9B-9C4A-FD19966725B3}"/>
    <cellStyle name="Migliaia 4 2 3 2 2 2 5 2 2" xfId="15569" xr:uid="{5C7FC89C-6E61-4816-BC9F-47E68530A124}"/>
    <cellStyle name="Migliaia 4 2 3 2 2 2 5 2 2 2" xfId="30746" xr:uid="{E6D49FF3-D0CC-4A56-8E4C-E66424EA00FA}"/>
    <cellStyle name="Migliaia 4 2 3 2 2 2 5 2 3" xfId="27201" xr:uid="{827ECE55-D581-4A46-9EE3-20505EDF86D1}"/>
    <cellStyle name="Migliaia 4 2 3 2 2 2 5 3" xfId="7849" xr:uid="{7FF9ED4E-10E0-41C7-BA46-23ADF6854FA1}"/>
    <cellStyle name="Migliaia 4 2 3 2 2 2 5 3 2" xfId="23029" xr:uid="{90488908-AA0B-44AF-9F24-C087D19904A3}"/>
    <cellStyle name="Migliaia 4 2 3 2 2 2 5 4" xfId="19741" xr:uid="{0C3ECADA-EF8C-49A2-92F6-57F3665616DA}"/>
    <cellStyle name="Migliaia 4 2 3 2 2 2 6" xfId="5035" xr:uid="{78E8027C-9297-4CB0-96BC-80FA2BA8BF4C}"/>
    <cellStyle name="Migliaia 4 2 3 2 2 2 6 2" xfId="12519" xr:uid="{2F77423D-A234-4D35-8B94-A0A46D221E17}"/>
    <cellStyle name="Migliaia 4 2 3 2 2 2 6 2 2" xfId="16065" xr:uid="{F3BC9EEF-CD63-4DB5-A800-626158A10476}"/>
    <cellStyle name="Migliaia 4 2 3 2 2 2 6 2 2 2" xfId="31242" xr:uid="{3EBAEBC9-91FB-4B16-B242-027642157FC0}"/>
    <cellStyle name="Migliaia 4 2 3 2 2 2 6 2 3" xfId="27697" xr:uid="{CA8A88B3-CC5E-4D30-9107-EE12DD0A5146}"/>
    <cellStyle name="Migliaia 4 2 3 2 2 2 6 3" xfId="8345" xr:uid="{2F63B0B1-CBA4-4974-8E47-CF6A06FB3207}"/>
    <cellStyle name="Migliaia 4 2 3 2 2 2 6 3 2" xfId="23525" xr:uid="{D7969273-AAA7-48B2-BC1A-96E8E8AD1DE6}"/>
    <cellStyle name="Migliaia 4 2 3 2 2 2 6 4" xfId="20237" xr:uid="{5EDC56B5-4A31-42AC-ABFD-191E04EF7B49}"/>
    <cellStyle name="Migliaia 4 2 3 2 2 2 7" xfId="1856" xr:uid="{16B3F604-2F9D-4E40-B8BC-9FB1151D3A8D}"/>
    <cellStyle name="Migliaia 4 2 3 2 2 2 7 2" xfId="9353" xr:uid="{87539D04-F140-4783-A209-EBB873EF1A86}"/>
    <cellStyle name="Migliaia 4 2 3 2 2 2 7 2 2" xfId="24531" xr:uid="{D6532FE9-0DF7-473E-8884-C7E297C86495}"/>
    <cellStyle name="Migliaia 4 2 3 2 2 2 7 3" xfId="17071" xr:uid="{9094DCA5-BDCB-4E5C-AE43-399376EB270A}"/>
    <cellStyle name="Migliaia 4 2 3 2 2 2 8" xfId="8567" xr:uid="{EBD00795-4D04-423C-85FD-16038E29A209}"/>
    <cellStyle name="Migliaia 4 2 3 2 2 2 8 2" xfId="12740" xr:uid="{864DFB6B-FC5C-4BCB-821B-D47E7BEA236A}"/>
    <cellStyle name="Migliaia 4 2 3 2 2 2 8 2 2" xfId="27917" xr:uid="{397C8608-C98B-4BE1-BD39-E367C1C740D3}"/>
    <cellStyle name="Migliaia 4 2 3 2 2 2 8 3" xfId="23745" xr:uid="{AC318586-F465-4156-ACD7-65827EF0F334}"/>
    <cellStyle name="Migliaia 4 2 3 2 2 2 9" xfId="5179" xr:uid="{13CC7B80-857C-446E-B9D5-772D8B4C5A3C}"/>
    <cellStyle name="Migliaia 4 2 3 2 2 2 9 2" xfId="20359" xr:uid="{D2E769BF-990A-4EFB-A39E-79144A402110}"/>
    <cellStyle name="Migliaia 4 2 3 2 2 3" xfId="1058" xr:uid="{79BDB5CC-E496-40B1-8C86-2CE2A17B2738}"/>
    <cellStyle name="Migliaia 4 2 3 2 2 3 10" xfId="31603" xr:uid="{32F3136A-D008-4870-B3DF-EF2139E38776}"/>
    <cellStyle name="Migliaia 4 2 3 2 2 3 2" xfId="1418" xr:uid="{13CC16BA-934B-4669-A262-9DFB8E513C16}"/>
    <cellStyle name="Migliaia 4 2 3 2 2 3 2 2" xfId="3731" xr:uid="{3C5E5429-EC29-4545-BFFC-54CFE15B9026}"/>
    <cellStyle name="Migliaia 4 2 3 2 2 3 2 2 2" xfId="11219" xr:uid="{88065039-713A-48BA-B08A-C38A9057B8DA}"/>
    <cellStyle name="Migliaia 4 2 3 2 2 3 2 2 2 2" xfId="14765" xr:uid="{104D80CD-9F5F-4892-B928-AD26C4198CE8}"/>
    <cellStyle name="Migliaia 4 2 3 2 2 3 2 2 2 2 2" xfId="29942" xr:uid="{696FB855-A44A-43EC-92F3-E54180BF1B24}"/>
    <cellStyle name="Migliaia 4 2 3 2 2 3 2 2 2 3" xfId="26397" xr:uid="{9A3E8685-FFA3-41FE-ACDD-D1B25DC4DD1D}"/>
    <cellStyle name="Migliaia 4 2 3 2 2 3 2 2 3" xfId="7045" xr:uid="{5FB56EF0-FB89-40FF-9D93-4527B3380445}"/>
    <cellStyle name="Migliaia 4 2 3 2 2 3 2 2 3 2" xfId="22225" xr:uid="{FFA82857-9ECA-462B-8D1D-8F16EB25D14A}"/>
    <cellStyle name="Migliaia 4 2 3 2 2 3 2 2 4" xfId="18937" xr:uid="{2CB82AD4-2ED0-4E11-853F-58DDB16A91B8}"/>
    <cellStyle name="Migliaia 4 2 3 2 2 3 2 3" xfId="4539" xr:uid="{83D6F1AC-5F8F-4DE9-A5FC-73EFD58CA75F}"/>
    <cellStyle name="Migliaia 4 2 3 2 2 3 2 3 2" xfId="12024" xr:uid="{76B39AE1-1A46-4415-AF36-261FEEC6E1D0}"/>
    <cellStyle name="Migliaia 4 2 3 2 2 3 2 3 2 2" xfId="15570" xr:uid="{5CFDD28F-F946-427F-9D64-CEA6395700DA}"/>
    <cellStyle name="Migliaia 4 2 3 2 2 3 2 3 2 2 2" xfId="30747" xr:uid="{96432552-8F9C-4609-87EF-BD4E296F1CCA}"/>
    <cellStyle name="Migliaia 4 2 3 2 2 3 2 3 2 3" xfId="27202" xr:uid="{2AC671A1-1093-4530-9CA0-7D478BD06737}"/>
    <cellStyle name="Migliaia 4 2 3 2 2 3 2 3 3" xfId="7850" xr:uid="{1E58BBD0-6863-4256-B73D-0FE288CB5FED}"/>
    <cellStyle name="Migliaia 4 2 3 2 2 3 2 3 3 2" xfId="23030" xr:uid="{17FE0878-E8F5-4932-9A04-59DB745C7FB9}"/>
    <cellStyle name="Migliaia 4 2 3 2 2 3 2 3 4" xfId="19742" xr:uid="{4AC9A33F-7C9A-4C51-B8E6-F67C0B502D89}"/>
    <cellStyle name="Migliaia 4 2 3 2 2 3 2 4" xfId="2844" xr:uid="{8B6A1CE8-E244-4D63-A80F-5F67350FA377}"/>
    <cellStyle name="Migliaia 4 2 3 2 2 3 2 4 2" xfId="10335" xr:uid="{131F67CD-D192-4312-B028-63FEA9267887}"/>
    <cellStyle name="Migliaia 4 2 3 2 2 3 2 4 2 2" xfId="25513" xr:uid="{0788170C-9308-4448-97B0-85361922E8D4}"/>
    <cellStyle name="Migliaia 4 2 3 2 2 3 2 4 3" xfId="18053" xr:uid="{C66A3E7C-E468-4A80-90D1-32E4A6C3F5F8}"/>
    <cellStyle name="Migliaia 4 2 3 2 2 3 2 5" xfId="8937" xr:uid="{E3979329-36C1-4933-AB9A-E7FE03D153A6}"/>
    <cellStyle name="Migliaia 4 2 3 2 2 3 2 5 2" xfId="13110" xr:uid="{289C3096-F4F9-482A-8C65-920856B67327}"/>
    <cellStyle name="Migliaia 4 2 3 2 2 3 2 5 2 2" xfId="28287" xr:uid="{42B324B6-DDC4-4B11-BC60-37E225325BED}"/>
    <cellStyle name="Migliaia 4 2 3 2 2 3 2 5 3" xfId="24115" xr:uid="{6790A581-4B81-440C-B96B-A78891C8DAE5}"/>
    <cellStyle name="Migliaia 4 2 3 2 2 3 2 6" xfId="6161" xr:uid="{48FE273A-07FD-4CD1-8F58-1F222E4680A0}"/>
    <cellStyle name="Migliaia 4 2 3 2 2 3 2 6 2" xfId="21341" xr:uid="{8CA596C4-84CA-4E0D-9018-029B06AA62E9}"/>
    <cellStyle name="Migliaia 4 2 3 2 2 3 2 7" xfId="16655" xr:uid="{D9EC6738-EBAC-489F-AC6B-C82FE9E4E81B}"/>
    <cellStyle name="Migliaia 4 2 3 2 2 3 3" xfId="2571" xr:uid="{5D1486E4-F736-46E3-95F6-CF0BD0332CFD}"/>
    <cellStyle name="Migliaia 4 2 3 2 2 3 3 2" xfId="10063" xr:uid="{A4FD45D9-A9EF-4D17-A508-5ECDC86D6C75}"/>
    <cellStyle name="Migliaia 4 2 3 2 2 3 3 2 2" xfId="13722" xr:uid="{884C64EC-9848-48DD-9A8A-9C77E1B3069A}"/>
    <cellStyle name="Migliaia 4 2 3 2 2 3 3 2 2 2" xfId="28899" xr:uid="{BFBEF49A-365B-4F8F-A613-CDAC712461A5}"/>
    <cellStyle name="Migliaia 4 2 3 2 2 3 3 2 3" xfId="25241" xr:uid="{FB81A746-0AC7-4C88-A764-5152F0FF5833}"/>
    <cellStyle name="Migliaia 4 2 3 2 2 3 3 3" xfId="5889" xr:uid="{A9331E5F-1034-48BD-B74B-E87B4458F41E}"/>
    <cellStyle name="Migliaia 4 2 3 2 2 3 3 3 2" xfId="21069" xr:uid="{7CBFEAFF-9F9F-4CC7-98BB-5CF9BC62A8F2}"/>
    <cellStyle name="Migliaia 4 2 3 2 2 3 3 4" xfId="17781" xr:uid="{AFD1510E-85BD-47DF-8E31-05BDADB2C8F9}"/>
    <cellStyle name="Migliaia 4 2 3 2 2 3 4" xfId="3459" xr:uid="{1A085E8E-FB09-4A00-BE94-444536934E67}"/>
    <cellStyle name="Migliaia 4 2 3 2 2 3 4 2" xfId="10947" xr:uid="{AC0919E4-6196-43F2-BA85-FF7E77F29367}"/>
    <cellStyle name="Migliaia 4 2 3 2 2 3 4 2 2" xfId="14493" xr:uid="{D77058FB-FFBB-496E-875B-2D128AD8A7C0}"/>
    <cellStyle name="Migliaia 4 2 3 2 2 3 4 2 2 2" xfId="29670" xr:uid="{779A2211-03F0-433A-8DB2-C8090F9B844F}"/>
    <cellStyle name="Migliaia 4 2 3 2 2 3 4 2 3" xfId="26125" xr:uid="{7782BDBF-1335-4C15-B3D5-FFD0985D0D23}"/>
    <cellStyle name="Migliaia 4 2 3 2 2 3 4 3" xfId="6773" xr:uid="{0D5C2437-8C35-4EB9-BB68-620BEA1EC3B6}"/>
    <cellStyle name="Migliaia 4 2 3 2 2 3 4 3 2" xfId="21953" xr:uid="{BDF518BB-2E60-48E8-863F-A02DF84DFD42}"/>
    <cellStyle name="Migliaia 4 2 3 2 2 3 4 4" xfId="18665" xr:uid="{CF27B3BA-E560-4383-BF25-519345290BE8}"/>
    <cellStyle name="Migliaia 4 2 3 2 2 3 5" xfId="4540" xr:uid="{FF1E7409-E480-4CBB-993A-A23E40374EAA}"/>
    <cellStyle name="Migliaia 4 2 3 2 2 3 5 2" xfId="12025" xr:uid="{770A79CB-A62B-45F8-BC87-07F863B4E91C}"/>
    <cellStyle name="Migliaia 4 2 3 2 2 3 5 2 2" xfId="15571" xr:uid="{966617B8-2E50-4432-9560-E42B1BD611C1}"/>
    <cellStyle name="Migliaia 4 2 3 2 2 3 5 2 2 2" xfId="30748" xr:uid="{3D39F2B8-8CA4-4F45-B5BC-55C991444A0E}"/>
    <cellStyle name="Migliaia 4 2 3 2 2 3 5 2 3" xfId="27203" xr:uid="{16CDD304-E743-4481-89F4-3CBD2A0A7F66}"/>
    <cellStyle name="Migliaia 4 2 3 2 2 3 5 3" xfId="7851" xr:uid="{E6CA3934-754A-4F82-9BAD-18D76CB327F7}"/>
    <cellStyle name="Migliaia 4 2 3 2 2 3 5 3 2" xfId="23031" xr:uid="{F36BFE7B-AECD-4A93-9473-B8D1679D93B3}"/>
    <cellStyle name="Migliaia 4 2 3 2 2 3 5 4" xfId="19743" xr:uid="{2DBE1D4A-33C6-48D4-A601-0F06E8294E81}"/>
    <cellStyle name="Migliaia 4 2 3 2 2 3 6" xfId="1954" xr:uid="{C4161C87-0A7C-445F-B4DF-257C28421282}"/>
    <cellStyle name="Migliaia 4 2 3 2 2 3 6 2" xfId="9451" xr:uid="{B67C12A8-1B65-43B5-B367-2B57F81AB87E}"/>
    <cellStyle name="Migliaia 4 2 3 2 2 3 6 2 2" xfId="24629" xr:uid="{9280DE57-DFDC-48FD-B0A3-1793198D3599}"/>
    <cellStyle name="Migliaia 4 2 3 2 2 3 6 3" xfId="17169" xr:uid="{1B642811-0669-4E6F-8412-D22433F38846}"/>
    <cellStyle name="Migliaia 4 2 3 2 2 3 7" xfId="8665" xr:uid="{B70D6FE4-FFE1-4A13-80D0-D83636A9A4C8}"/>
    <cellStyle name="Migliaia 4 2 3 2 2 3 7 2" xfId="12838" xr:uid="{1451F534-77F8-4097-9FE7-244A32E3FBC2}"/>
    <cellStyle name="Migliaia 4 2 3 2 2 3 7 2 2" xfId="28015" xr:uid="{748DA610-6AA8-4B35-A0D1-B47E61598377}"/>
    <cellStyle name="Migliaia 4 2 3 2 2 3 7 3" xfId="23843" xr:uid="{FC453D04-7DDD-4713-877B-0F62954B52F4}"/>
    <cellStyle name="Migliaia 4 2 3 2 2 3 8" xfId="5277" xr:uid="{16BA6E3E-9D83-4DF7-A9ED-3B8E50F2249B}"/>
    <cellStyle name="Migliaia 4 2 3 2 2 3 8 2" xfId="20457" xr:uid="{3BE0D2BA-388F-4EED-B697-CB97A178116A}"/>
    <cellStyle name="Migliaia 4 2 3 2 2 3 9" xfId="16383" xr:uid="{53F81581-9A62-486E-88F4-0BB5FDADA11B}"/>
    <cellStyle name="Migliaia 4 2 3 2 2 4" xfId="1517" xr:uid="{7CD4A238-1B2F-45C3-925C-2F52063B0C79}"/>
    <cellStyle name="Migliaia 4 2 3 2 2 4 2" xfId="2942" xr:uid="{14EE82CC-89B4-4771-9E5C-4B5FA60D5144}"/>
    <cellStyle name="Migliaia 4 2 3 2 2 4 2 2" xfId="10433" xr:uid="{5EE4923C-2C1E-4981-A9E4-F6C6E1CE4D7C}"/>
    <cellStyle name="Migliaia 4 2 3 2 2 4 2 2 2" xfId="13979" xr:uid="{00F57BE7-7655-44EB-8ED3-F908C68774FB}"/>
    <cellStyle name="Migliaia 4 2 3 2 2 4 2 2 2 2" xfId="29156" xr:uid="{D3C4B66C-8E4C-482A-AB07-E1932C82A238}"/>
    <cellStyle name="Migliaia 4 2 3 2 2 4 2 2 3" xfId="25611" xr:uid="{2E289409-6ACE-49B6-BF66-C23E9879CC13}"/>
    <cellStyle name="Migliaia 4 2 3 2 2 4 2 3" xfId="6259" xr:uid="{258B2C76-44AF-45C7-8737-C5C860BD8EC3}"/>
    <cellStyle name="Migliaia 4 2 3 2 2 4 2 3 2" xfId="21439" xr:uid="{677D6286-0014-4460-B53A-1E12220271D5}"/>
    <cellStyle name="Migliaia 4 2 3 2 2 4 2 4" xfId="18151" xr:uid="{117956E7-8528-4D4B-B5E2-A87F9094A388}"/>
    <cellStyle name="Migliaia 4 2 3 2 2 4 3" xfId="3829" xr:uid="{055A0A5F-44F3-496E-AD12-CC6BBB979AD0}"/>
    <cellStyle name="Migliaia 4 2 3 2 2 4 3 2" xfId="11317" xr:uid="{5C35C85F-DEA7-4190-8D39-8B568998E3E0}"/>
    <cellStyle name="Migliaia 4 2 3 2 2 4 3 2 2" xfId="14863" xr:uid="{C83EB637-5B8D-468B-B7D5-1C43BE8A2CDF}"/>
    <cellStyle name="Migliaia 4 2 3 2 2 4 3 2 2 2" xfId="30040" xr:uid="{F567A5CB-2E40-43DD-A6C3-20C3FC441F3B}"/>
    <cellStyle name="Migliaia 4 2 3 2 2 4 3 2 3" xfId="26495" xr:uid="{356D2022-F89E-42BD-934B-A0F02C3AEACE}"/>
    <cellStyle name="Migliaia 4 2 3 2 2 4 3 3" xfId="7143" xr:uid="{444425F7-6E59-416F-B3E5-BCB00A1C1DD8}"/>
    <cellStyle name="Migliaia 4 2 3 2 2 4 3 3 2" xfId="22323" xr:uid="{10B80432-3420-4AC8-A072-3B7A9CD3A584}"/>
    <cellStyle name="Migliaia 4 2 3 2 2 4 3 4" xfId="19035" xr:uid="{9E5DD854-9884-470B-AB95-B1F7B7DFCBFE}"/>
    <cellStyle name="Migliaia 4 2 3 2 2 4 4" xfId="4541" xr:uid="{27211785-2C83-4626-BB83-C45E6D6B9765}"/>
    <cellStyle name="Migliaia 4 2 3 2 2 4 4 2" xfId="12026" xr:uid="{21F59111-636A-4354-A89D-F562773A0284}"/>
    <cellStyle name="Migliaia 4 2 3 2 2 4 4 2 2" xfId="15572" xr:uid="{7ED9ECA1-7866-4456-80ED-34C45EBDEA34}"/>
    <cellStyle name="Migliaia 4 2 3 2 2 4 4 2 2 2" xfId="30749" xr:uid="{3905EF34-952D-47BB-A170-9DC2CE1D7E55}"/>
    <cellStyle name="Migliaia 4 2 3 2 2 4 4 2 3" xfId="27204" xr:uid="{EE20D5B6-DBCC-417A-A489-CBD758CC211A}"/>
    <cellStyle name="Migliaia 4 2 3 2 2 4 4 3" xfId="7852" xr:uid="{251BB75C-44D1-46E3-A702-36A593699C7D}"/>
    <cellStyle name="Migliaia 4 2 3 2 2 4 4 3 2" xfId="23032" xr:uid="{BD51269E-BCA5-4A69-872E-0C291FD1B790}"/>
    <cellStyle name="Migliaia 4 2 3 2 2 4 4 4" xfId="19744" xr:uid="{AD2984FF-064E-415B-91C7-4001F5D2ABD2}"/>
    <cellStyle name="Migliaia 4 2 3 2 2 4 5" xfId="2052" xr:uid="{F3EC35B6-B48D-4CAA-9B4C-3E70B6CD8C51}"/>
    <cellStyle name="Migliaia 4 2 3 2 2 4 5 2" xfId="9549" xr:uid="{C9254A8F-EFDF-4D08-8B08-1BA4416EFD1A}"/>
    <cellStyle name="Migliaia 4 2 3 2 2 4 5 2 2" xfId="24727" xr:uid="{0313B36B-3906-49E6-BBBF-8E742C2E0957}"/>
    <cellStyle name="Migliaia 4 2 3 2 2 4 5 3" xfId="17267" xr:uid="{7B6EE4E2-C94E-4537-8987-B3D5A9092CBA}"/>
    <cellStyle name="Migliaia 4 2 3 2 2 4 6" xfId="9035" xr:uid="{7BAF9E69-4FFE-4CA8-8906-C3D72B6332E4}"/>
    <cellStyle name="Migliaia 4 2 3 2 2 4 6 2" xfId="13208" xr:uid="{FFD97B30-BF80-40BC-AD65-D2EA9C83D13F}"/>
    <cellStyle name="Migliaia 4 2 3 2 2 4 6 2 2" xfId="28385" xr:uid="{36879954-BE27-4F8B-B84B-81BB41CB5ECC}"/>
    <cellStyle name="Migliaia 4 2 3 2 2 4 6 3" xfId="24213" xr:uid="{F3CFDDF6-43F9-4AF4-8888-35B4FDA8FBED}"/>
    <cellStyle name="Migliaia 4 2 3 2 2 4 7" xfId="5375" xr:uid="{3372E38B-E618-4215-9191-39D7ACAE34C1}"/>
    <cellStyle name="Migliaia 4 2 3 2 2 4 7 2" xfId="20555" xr:uid="{844CB63D-2822-4E4E-B4BA-1BAB5B41BDAA}"/>
    <cellStyle name="Migliaia 4 2 3 2 2 4 8" xfId="16753" xr:uid="{C7A21E4E-2128-4FF7-90E6-8CFB8512D8BC}"/>
    <cellStyle name="Migliaia 4 2 3 2 2 5" xfId="1620" xr:uid="{1B669B27-13FF-4AE4-8C1B-E3A699B27071}"/>
    <cellStyle name="Migliaia 4 2 3 2 2 5 2" xfId="3040" xr:uid="{6096DDDB-9705-466A-A139-1186936A76B6}"/>
    <cellStyle name="Migliaia 4 2 3 2 2 5 2 2" xfId="10531" xr:uid="{E8EBD63F-CC75-4647-A5FF-91E400EB4194}"/>
    <cellStyle name="Migliaia 4 2 3 2 2 5 2 2 2" xfId="14077" xr:uid="{B1A37972-0FE2-4439-8638-6B1352C3BD97}"/>
    <cellStyle name="Migliaia 4 2 3 2 2 5 2 2 2 2" xfId="29254" xr:uid="{EE9DEF79-D286-4A96-8AB8-36B3F4A4AEBF}"/>
    <cellStyle name="Migliaia 4 2 3 2 2 5 2 2 3" xfId="25709" xr:uid="{A7BABC85-FE7E-4D82-B4B2-D451E0D9062F}"/>
    <cellStyle name="Migliaia 4 2 3 2 2 5 2 3" xfId="6357" xr:uid="{1223054C-A37A-408B-A39A-15C390E5A080}"/>
    <cellStyle name="Migliaia 4 2 3 2 2 5 2 3 2" xfId="21537" xr:uid="{30A96521-0E5D-4C23-BED6-B15ABF347A99}"/>
    <cellStyle name="Migliaia 4 2 3 2 2 5 2 4" xfId="18249" xr:uid="{A259875E-A6BB-459A-9017-39FB7965C6C2}"/>
    <cellStyle name="Migliaia 4 2 3 2 2 5 3" xfId="3927" xr:uid="{0DB95C70-0A72-4351-99F8-9BE5797FCD9C}"/>
    <cellStyle name="Migliaia 4 2 3 2 2 5 3 2" xfId="11415" xr:uid="{86F45DB4-6DB5-4002-8EAE-B84B25B69172}"/>
    <cellStyle name="Migliaia 4 2 3 2 2 5 3 2 2" xfId="14961" xr:uid="{5709889E-0281-4C9A-974E-86C76B6C221F}"/>
    <cellStyle name="Migliaia 4 2 3 2 2 5 3 2 2 2" xfId="30138" xr:uid="{44A242E1-BBE1-4CBD-AD2A-034136FBDAF5}"/>
    <cellStyle name="Migliaia 4 2 3 2 2 5 3 2 3" xfId="26593" xr:uid="{88E9A748-70DE-460A-8374-8CEECF294F58}"/>
    <cellStyle name="Migliaia 4 2 3 2 2 5 3 3" xfId="7241" xr:uid="{7B4093FE-38A5-4DC9-8933-2F3E5CACAC1A}"/>
    <cellStyle name="Migliaia 4 2 3 2 2 5 3 3 2" xfId="22421" xr:uid="{CE28327E-9BF8-409F-AF3C-CF0615746DAD}"/>
    <cellStyle name="Migliaia 4 2 3 2 2 5 3 4" xfId="19133" xr:uid="{47D27568-5F7B-4913-BF7E-05F25D2A2823}"/>
    <cellStyle name="Migliaia 4 2 3 2 2 5 4" xfId="4542" xr:uid="{B4A4114E-6D1D-415A-9BD8-BC9C57C283D6}"/>
    <cellStyle name="Migliaia 4 2 3 2 2 5 4 2" xfId="12027" xr:uid="{E5731844-891F-44C2-8174-19828970A62D}"/>
    <cellStyle name="Migliaia 4 2 3 2 2 5 4 2 2" xfId="15573" xr:uid="{D51A364A-353B-4901-B9AA-FA30E9791578}"/>
    <cellStyle name="Migliaia 4 2 3 2 2 5 4 2 2 2" xfId="30750" xr:uid="{5F9DB7A9-F1AE-4B63-AF03-9D1F42CD855F}"/>
    <cellStyle name="Migliaia 4 2 3 2 2 5 4 2 3" xfId="27205" xr:uid="{87B8D7C1-AE83-4C44-A478-3F51890F8EC7}"/>
    <cellStyle name="Migliaia 4 2 3 2 2 5 4 3" xfId="7853" xr:uid="{91D2F558-CF23-47AB-AEDC-926DEC26367F}"/>
    <cellStyle name="Migliaia 4 2 3 2 2 5 4 3 2" xfId="23033" xr:uid="{C8B87594-C091-452C-AC81-5A3248691275}"/>
    <cellStyle name="Migliaia 4 2 3 2 2 5 4 4" xfId="19745" xr:uid="{7672E515-FE3E-4543-81BA-DA7C499AB0AA}"/>
    <cellStyle name="Migliaia 4 2 3 2 2 5 5" xfId="2150" xr:uid="{A4A5238A-2E8A-4EA1-BFD3-99130D9BC2F6}"/>
    <cellStyle name="Migliaia 4 2 3 2 2 5 5 2" xfId="9647" xr:uid="{1BCB98DF-EF3F-4134-9C08-0DBFED0E1FE0}"/>
    <cellStyle name="Migliaia 4 2 3 2 2 5 5 2 2" xfId="24825" xr:uid="{6A38276A-337B-4C23-8185-0F9FE2F70615}"/>
    <cellStyle name="Migliaia 4 2 3 2 2 5 5 3" xfId="17365" xr:uid="{3AD1E0DC-359A-4E35-88B0-10000416FDB7}"/>
    <cellStyle name="Migliaia 4 2 3 2 2 5 6" xfId="9133" xr:uid="{06771043-0F36-4156-B037-7CE47F56EF8E}"/>
    <cellStyle name="Migliaia 4 2 3 2 2 5 6 2" xfId="13306" xr:uid="{89E46E56-B8DB-4012-82A0-C2C3948ADEF3}"/>
    <cellStyle name="Migliaia 4 2 3 2 2 5 6 2 2" xfId="28483" xr:uid="{CC8F870F-019E-4887-BE0C-E95B72772E36}"/>
    <cellStyle name="Migliaia 4 2 3 2 2 5 6 3" xfId="24311" xr:uid="{AF8897AF-A515-4DB5-84FD-8D96B1C85E68}"/>
    <cellStyle name="Migliaia 4 2 3 2 2 5 7" xfId="5473" xr:uid="{9DCBC2ED-9073-48B8-942F-4E7D34CAF1B1}"/>
    <cellStyle name="Migliaia 4 2 3 2 2 5 7 2" xfId="20653" xr:uid="{238E4D27-5130-4CD0-851B-3160D049D5FC}"/>
    <cellStyle name="Migliaia 4 2 3 2 2 5 8" xfId="16851" xr:uid="{51BC40E8-7DC4-401A-945B-E12CF2887AF0}"/>
    <cellStyle name="Migliaia 4 2 3 2 2 6" xfId="1719" xr:uid="{507E3F91-796F-4B57-83B0-35D6017AE37A}"/>
    <cellStyle name="Migliaia 4 2 3 2 2 6 2" xfId="3138" xr:uid="{22A9610B-215A-4F95-A8C5-AEDBF2D9CAF3}"/>
    <cellStyle name="Migliaia 4 2 3 2 2 6 2 2" xfId="10629" xr:uid="{9D3E63F7-8A71-4468-8F16-F43037E3651F}"/>
    <cellStyle name="Migliaia 4 2 3 2 2 6 2 2 2" xfId="14175" xr:uid="{81DCCC9B-448B-4035-820C-F2B27849238B}"/>
    <cellStyle name="Migliaia 4 2 3 2 2 6 2 2 2 2" xfId="29352" xr:uid="{8FE7144D-C5DA-47BE-88E2-52C16B410F5B}"/>
    <cellStyle name="Migliaia 4 2 3 2 2 6 2 2 3" xfId="25807" xr:uid="{2E0C6FE2-EFBA-4EFA-B087-D943AB0A2778}"/>
    <cellStyle name="Migliaia 4 2 3 2 2 6 2 3" xfId="6455" xr:uid="{A7A79621-34A7-405E-8958-5BF29243A887}"/>
    <cellStyle name="Migliaia 4 2 3 2 2 6 2 3 2" xfId="21635" xr:uid="{2FA044B2-0BEE-41D2-91B2-7BCC36227D1D}"/>
    <cellStyle name="Migliaia 4 2 3 2 2 6 2 4" xfId="18347" xr:uid="{50DC0AB6-3873-4549-8F0A-37597C6E3265}"/>
    <cellStyle name="Migliaia 4 2 3 2 2 6 3" xfId="4025" xr:uid="{53AEC661-8940-4DA8-BE32-DD4ADC47E0B0}"/>
    <cellStyle name="Migliaia 4 2 3 2 2 6 3 2" xfId="11513" xr:uid="{74B49A0B-ACB5-4BD0-93BB-54E9CF042510}"/>
    <cellStyle name="Migliaia 4 2 3 2 2 6 3 2 2" xfId="15059" xr:uid="{6C928FB3-5E34-460C-97F8-FD1D6D9E71F7}"/>
    <cellStyle name="Migliaia 4 2 3 2 2 6 3 2 2 2" xfId="30236" xr:uid="{1685296D-8773-492A-93BD-40362E78B5FA}"/>
    <cellStyle name="Migliaia 4 2 3 2 2 6 3 2 3" xfId="26691" xr:uid="{354F35BE-D436-43B4-B7B1-DB4E1CAD06C5}"/>
    <cellStyle name="Migliaia 4 2 3 2 2 6 3 3" xfId="7339" xr:uid="{6E918A61-9E69-4126-AD7C-A956B0AE89E8}"/>
    <cellStyle name="Migliaia 4 2 3 2 2 6 3 3 2" xfId="22519" xr:uid="{0B05E6FE-024D-4F7D-B07E-F9971E35C81F}"/>
    <cellStyle name="Migliaia 4 2 3 2 2 6 3 4" xfId="19231" xr:uid="{03C69008-1FA9-4BA0-8A80-75659D4B2073}"/>
    <cellStyle name="Migliaia 4 2 3 2 2 6 4" xfId="4543" xr:uid="{4E10F113-E47F-45BE-AC25-3323FBF80B98}"/>
    <cellStyle name="Migliaia 4 2 3 2 2 6 4 2" xfId="12028" xr:uid="{5EE33961-51D2-4EF3-95F1-A89D69C8139F}"/>
    <cellStyle name="Migliaia 4 2 3 2 2 6 4 2 2" xfId="15574" xr:uid="{767B6FD4-1A3F-4177-A49B-19E1D02A7129}"/>
    <cellStyle name="Migliaia 4 2 3 2 2 6 4 2 2 2" xfId="30751" xr:uid="{D3CEE7CC-D619-48AB-9F02-A7A5754EF64E}"/>
    <cellStyle name="Migliaia 4 2 3 2 2 6 4 2 3" xfId="27206" xr:uid="{154A2182-A992-4033-98C6-4D98C2DD6F1F}"/>
    <cellStyle name="Migliaia 4 2 3 2 2 6 4 3" xfId="7854" xr:uid="{6FB672F1-7A9E-4A85-B42E-2235B47505A0}"/>
    <cellStyle name="Migliaia 4 2 3 2 2 6 4 3 2" xfId="23034" xr:uid="{92F43DEE-7BED-4101-9E5A-0929AB83375B}"/>
    <cellStyle name="Migliaia 4 2 3 2 2 6 4 4" xfId="19746" xr:uid="{A6567170-F42D-4B87-B189-846A2078FACF}"/>
    <cellStyle name="Migliaia 4 2 3 2 2 6 5" xfId="2248" xr:uid="{26E67972-9590-4F4C-B310-D7FE86880DF2}"/>
    <cellStyle name="Migliaia 4 2 3 2 2 6 5 2" xfId="9745" xr:uid="{AB2C99F6-767D-4A01-92E3-83EDB6244B81}"/>
    <cellStyle name="Migliaia 4 2 3 2 2 6 5 2 2" xfId="24923" xr:uid="{DC0ECA5B-CFAE-465E-9CE8-70C41CA48C61}"/>
    <cellStyle name="Migliaia 4 2 3 2 2 6 5 3" xfId="17463" xr:uid="{A4055F3F-5B5B-4865-B39A-0450036A40B2}"/>
    <cellStyle name="Migliaia 4 2 3 2 2 6 6" xfId="9231" xr:uid="{7051375A-134C-4F26-8D31-FA8BA90C4E93}"/>
    <cellStyle name="Migliaia 4 2 3 2 2 6 6 2" xfId="13404" xr:uid="{646A8690-C817-4EC8-9614-2584DD64820E}"/>
    <cellStyle name="Migliaia 4 2 3 2 2 6 6 2 2" xfId="28581" xr:uid="{FFF9BD98-B00B-48DF-88C4-D476D99E15A4}"/>
    <cellStyle name="Migliaia 4 2 3 2 2 6 6 3" xfId="24409" xr:uid="{8E87AC9A-252E-45F4-AB16-4CF5B4204806}"/>
    <cellStyle name="Migliaia 4 2 3 2 2 6 7" xfId="5571" xr:uid="{45743BDD-BE26-4985-83E8-034188CADBCA}"/>
    <cellStyle name="Migliaia 4 2 3 2 2 6 7 2" xfId="20751" xr:uid="{5A7CBA13-A852-4D9B-9223-946F74750AD6}"/>
    <cellStyle name="Migliaia 4 2 3 2 2 6 8" xfId="16949" xr:uid="{A0A9FF9C-F04D-45A9-A958-988B997548C1}"/>
    <cellStyle name="Migliaia 4 2 3 2 2 7" xfId="2348" xr:uid="{8B39992E-82AC-4675-8788-1A76A1A93338}"/>
    <cellStyle name="Migliaia 4 2 3 2 2 7 2" xfId="9843" xr:uid="{6923EC8F-010F-436D-AE54-2EDC8413ECB8}"/>
    <cellStyle name="Migliaia 4 2 3 2 2 7 2 2" xfId="13502" xr:uid="{12EFB11D-8C22-43D2-91A7-E5453304F714}"/>
    <cellStyle name="Migliaia 4 2 3 2 2 7 2 2 2" xfId="28679" xr:uid="{8280B1A2-8FF9-4EB2-8088-29816D358632}"/>
    <cellStyle name="Migliaia 4 2 3 2 2 7 2 3" xfId="25021" xr:uid="{BAFCAEB8-1D91-4E51-9BE3-1E87359C7F95}"/>
    <cellStyle name="Migliaia 4 2 3 2 2 7 3" xfId="5669" xr:uid="{2FAEA183-BB4D-41FB-BADF-AA98C0241757}"/>
    <cellStyle name="Migliaia 4 2 3 2 2 7 3 2" xfId="20849" xr:uid="{A291E8FF-7F34-4DDC-8436-1C0C49D307AE}"/>
    <cellStyle name="Migliaia 4 2 3 2 2 7 4" xfId="17561" xr:uid="{CAFDABB9-74D3-49C6-A0C8-D8D0A7973EBC}"/>
    <cellStyle name="Migliaia 4 2 3 2 2 8" xfId="3238" xr:uid="{C7A25804-B990-4B4F-A358-62C7781F30C2}"/>
    <cellStyle name="Migliaia 4 2 3 2 2 8 2" xfId="10727" xr:uid="{5BFA5DBA-4B6E-4AB3-8618-48B17E578DC0}"/>
    <cellStyle name="Migliaia 4 2 3 2 2 8 2 2" xfId="14273" xr:uid="{4AECE170-C8C4-4514-B820-93DD91C04ED5}"/>
    <cellStyle name="Migliaia 4 2 3 2 2 8 2 2 2" xfId="29450" xr:uid="{D4CF2CD4-9329-455B-B556-EEBAC2E0A4F6}"/>
    <cellStyle name="Migliaia 4 2 3 2 2 8 2 3" xfId="25905" xr:uid="{F79456DF-6628-4E27-B082-793E46888389}"/>
    <cellStyle name="Migliaia 4 2 3 2 2 8 3" xfId="6553" xr:uid="{FBDBD60C-17EB-4418-8357-8235242D860F}"/>
    <cellStyle name="Migliaia 4 2 3 2 2 8 3 2" xfId="21733" xr:uid="{F069658F-CC4E-4E8B-A22D-4B9A96162F00}"/>
    <cellStyle name="Migliaia 4 2 3 2 2 8 4" xfId="18445" xr:uid="{D82CEFA6-8EEE-461B-BD15-8F99A8C73274}"/>
    <cellStyle name="Migliaia 4 2 3 2 2 9" xfId="4544" xr:uid="{C27918F4-B13D-4C30-A245-99E230ECA6FC}"/>
    <cellStyle name="Migliaia 4 2 3 2 2 9 2" xfId="12029" xr:uid="{6CFCE47F-1959-4859-9A34-C1FEB2813476}"/>
    <cellStyle name="Migliaia 4 2 3 2 2 9 2 2" xfId="15575" xr:uid="{F9BE1092-D5C7-4EE3-8DC4-E5406C2843D7}"/>
    <cellStyle name="Migliaia 4 2 3 2 2 9 2 2 2" xfId="30752" xr:uid="{B296DF83-7C35-43DB-B46C-B9479E42A147}"/>
    <cellStyle name="Migliaia 4 2 3 2 2 9 2 3" xfId="27207" xr:uid="{3496C62A-1AC8-4706-ACB2-BDA13126275B}"/>
    <cellStyle name="Migliaia 4 2 3 2 2 9 3" xfId="7855" xr:uid="{3ECC1E25-7717-48CC-832B-5EE406B04421}"/>
    <cellStyle name="Migliaia 4 2 3 2 2 9 3 2" xfId="23035" xr:uid="{BADD67E0-4ECE-429F-A4FA-2A0403454AA6}"/>
    <cellStyle name="Migliaia 4 2 3 2 2 9 4" xfId="19747" xr:uid="{2302D2A6-210C-460E-BF39-FAB6C67BC84B}"/>
    <cellStyle name="Migliaia 4 2 3 2 3" xfId="906" xr:uid="{9DB53F85-D65B-4426-B12F-09E986DBF86D}"/>
    <cellStyle name="Migliaia 4 2 3 2 3 2" xfId="2424" xr:uid="{6F02CABA-593D-45E3-82EF-73E8C6633B93}"/>
    <cellStyle name="Migliaia 4 2 3 2 3 2 2" xfId="9916" xr:uid="{5CE2414E-DC50-47C3-9B12-5C771AA58957}"/>
    <cellStyle name="Migliaia 4 2 3 2 3 2 2 2" xfId="13575" xr:uid="{BB7C499C-6BA8-47FA-A559-83BBAA01C554}"/>
    <cellStyle name="Migliaia 4 2 3 2 3 2 2 2 2" xfId="28752" xr:uid="{368E14C2-54D3-4A2A-9E15-09941F47EF53}"/>
    <cellStyle name="Migliaia 4 2 3 2 3 2 2 3" xfId="25094" xr:uid="{E6FE7AAC-1A8A-4381-B26E-F3E47E56CAC0}"/>
    <cellStyle name="Migliaia 4 2 3 2 3 2 3" xfId="5742" xr:uid="{DCB2A5A7-0899-4F26-AF6A-97E9DE256903}"/>
    <cellStyle name="Migliaia 4 2 3 2 3 2 3 2" xfId="20922" xr:uid="{B7259BF3-0FE4-4A44-969E-EEA1B16D9389}"/>
    <cellStyle name="Migliaia 4 2 3 2 3 2 4" xfId="17634" xr:uid="{BEF72471-3868-4E29-8295-25851909512F}"/>
    <cellStyle name="Migliaia 4 2 3 2 3 3" xfId="3312" xr:uid="{D72D9F32-B5B3-4A19-A5B5-3AD18E36098C}"/>
    <cellStyle name="Migliaia 4 2 3 2 3 3 2" xfId="10800" xr:uid="{D0661F2B-5DD1-40A1-97C3-00649912B554}"/>
    <cellStyle name="Migliaia 4 2 3 2 3 3 2 2" xfId="14346" xr:uid="{8ED62FF1-7EBE-4BF2-8147-5D578B7F4283}"/>
    <cellStyle name="Migliaia 4 2 3 2 3 3 2 2 2" xfId="29523" xr:uid="{8B13070D-0703-4E65-8A1B-6139FC060C0A}"/>
    <cellStyle name="Migliaia 4 2 3 2 3 3 2 3" xfId="25978" xr:uid="{482ED57C-E8DD-4F7D-92E1-211B62BE99E9}"/>
    <cellStyle name="Migliaia 4 2 3 2 3 3 3" xfId="6626" xr:uid="{661BCF88-6565-4372-8A64-7A7659F83924}"/>
    <cellStyle name="Migliaia 4 2 3 2 3 3 3 2" xfId="21806" xr:uid="{EDAC0E38-40F2-4E28-9172-5DFA1B457651}"/>
    <cellStyle name="Migliaia 4 2 3 2 3 3 4" xfId="18518" xr:uid="{E7F1DF0B-3765-48BD-81E1-4C08F371D989}"/>
    <cellStyle name="Migliaia 4 2 3 2 3 4" xfId="4545" xr:uid="{94222082-F84A-4A51-B1B4-4DEDEAA4180E}"/>
    <cellStyle name="Migliaia 4 2 3 2 3 4 2" xfId="12030" xr:uid="{808CD024-7A4B-4354-9270-403BAB97AC57}"/>
    <cellStyle name="Migliaia 4 2 3 2 3 4 2 2" xfId="15576" xr:uid="{209F1B52-CC3A-4ED4-88C6-DA180FE28363}"/>
    <cellStyle name="Migliaia 4 2 3 2 3 4 2 2 2" xfId="30753" xr:uid="{310D602B-2BC8-4E22-BD09-4BBE33CC1FD9}"/>
    <cellStyle name="Migliaia 4 2 3 2 3 4 2 3" xfId="27208" xr:uid="{7ABBA1E4-D1B8-4922-B8B7-77D6F38C171E}"/>
    <cellStyle name="Migliaia 4 2 3 2 3 4 3" xfId="7856" xr:uid="{14573380-83C1-45FB-9F00-3E57C68822EC}"/>
    <cellStyle name="Migliaia 4 2 3 2 3 4 3 2" xfId="23036" xr:uid="{70FBC019-A11E-42D4-AB73-56F9F79BA34B}"/>
    <cellStyle name="Migliaia 4 2 3 2 3 4 4" xfId="19748" xr:uid="{69014134-6CE8-4C45-A2A8-99233C95F5F8}"/>
    <cellStyle name="Migliaia 4 2 3 2 3 5" xfId="8518" xr:uid="{515D83F5-8B27-4F94-B2DA-D509D1367D76}"/>
    <cellStyle name="Migliaia 4 2 3 2 3 5 2" xfId="12691" xr:uid="{53D59DE1-8C5F-459F-9C96-5D3114292D4E}"/>
    <cellStyle name="Migliaia 4 2 3 2 3 5 2 2" xfId="27868" xr:uid="{76FE003B-28B8-40BC-8B0B-A9C72AC57FAA}"/>
    <cellStyle name="Migliaia 4 2 3 2 3 5 3" xfId="23696" xr:uid="{743030FC-50ED-46B7-870B-7535DF65A0EE}"/>
    <cellStyle name="Migliaia 4 2 3 2 3 6" xfId="16236" xr:uid="{7B5E37C3-1117-410D-BC1F-4F166DFFE509}"/>
    <cellStyle name="Migliaia 4 2 3 2 3 7" xfId="31676" xr:uid="{4F6D6AD9-BC42-47D5-9FFC-DD308DE6E792}"/>
    <cellStyle name="Migliaia 4 2 3 2 4" xfId="1009" xr:uid="{AEFDB83E-BC80-45D8-B543-6458DACFD428}"/>
    <cellStyle name="Migliaia 4 2 3 2 4 2" xfId="2522" xr:uid="{DD7BD98C-3A7B-4F2D-A247-EF6EC14DE039}"/>
    <cellStyle name="Migliaia 4 2 3 2 4 2 2" xfId="10014" xr:uid="{D1B3BACB-2345-419F-8A06-E227DC4FA8E4}"/>
    <cellStyle name="Migliaia 4 2 3 2 4 2 2 2" xfId="13673" xr:uid="{3AB3E7FB-93E3-49F9-AC18-FD637CA898D0}"/>
    <cellStyle name="Migliaia 4 2 3 2 4 2 2 2 2" xfId="28850" xr:uid="{009884CB-02E9-4B67-80D1-9825DC164C38}"/>
    <cellStyle name="Migliaia 4 2 3 2 4 2 2 3" xfId="25192" xr:uid="{15C1B0A9-FFD1-47BA-BFC7-7728375F1006}"/>
    <cellStyle name="Migliaia 4 2 3 2 4 2 3" xfId="5840" xr:uid="{DD59505B-8872-41ED-BFD0-EAFC16B615ED}"/>
    <cellStyle name="Migliaia 4 2 3 2 4 2 3 2" xfId="21020" xr:uid="{0AAEEE7A-64AB-4350-B843-1B98CE424BD4}"/>
    <cellStyle name="Migliaia 4 2 3 2 4 2 4" xfId="17732" xr:uid="{6D5B6620-AD1C-4368-A208-34CA3786FDB9}"/>
    <cellStyle name="Migliaia 4 2 3 2 4 3" xfId="3410" xr:uid="{68075C24-D416-4C6B-8E47-83CCCF9CFD82}"/>
    <cellStyle name="Migliaia 4 2 3 2 4 3 2" xfId="10898" xr:uid="{BB9CC92A-98B9-47B2-A2E0-6B263B08F419}"/>
    <cellStyle name="Migliaia 4 2 3 2 4 3 2 2" xfId="14444" xr:uid="{1B1C4E29-2FCA-4F7B-AC91-964F8BF660CE}"/>
    <cellStyle name="Migliaia 4 2 3 2 4 3 2 2 2" xfId="29621" xr:uid="{0C3FA515-7C40-4AB9-BA4A-3854F7BBF635}"/>
    <cellStyle name="Migliaia 4 2 3 2 4 3 2 3" xfId="26076" xr:uid="{2B6238BF-182E-4949-B3CF-D4164671B06A}"/>
    <cellStyle name="Migliaia 4 2 3 2 4 3 3" xfId="6724" xr:uid="{FD711AB5-0290-4076-8EE3-724A5100AA87}"/>
    <cellStyle name="Migliaia 4 2 3 2 4 3 3 2" xfId="21904" xr:uid="{981653BA-D91F-466A-AED1-12CC080B45D0}"/>
    <cellStyle name="Migliaia 4 2 3 2 4 3 4" xfId="18616" xr:uid="{EEFDCCEA-3388-42C4-83D3-49EAB19EDBBC}"/>
    <cellStyle name="Migliaia 4 2 3 2 4 4" xfId="4546" xr:uid="{E9768595-DE64-4182-A9DE-B64F8768B413}"/>
    <cellStyle name="Migliaia 4 2 3 2 4 4 2" xfId="12031" xr:uid="{351AB525-A82E-41B7-A71C-368E91FF7360}"/>
    <cellStyle name="Migliaia 4 2 3 2 4 4 2 2" xfId="15577" xr:uid="{BB50264E-A2DF-40A8-88EE-DEA80E0A5B8A}"/>
    <cellStyle name="Migliaia 4 2 3 2 4 4 2 2 2" xfId="30754" xr:uid="{42606E7C-ECE4-42BF-8790-451588D3282F}"/>
    <cellStyle name="Migliaia 4 2 3 2 4 4 2 3" xfId="27209" xr:uid="{0198D540-790A-4C19-9C7E-DE6FC5A0DAAC}"/>
    <cellStyle name="Migliaia 4 2 3 2 4 4 3" xfId="7857" xr:uid="{61E4E6CF-5A75-455F-84E3-F7649C4338E3}"/>
    <cellStyle name="Migliaia 4 2 3 2 4 4 3 2" xfId="23037" xr:uid="{776D3AB7-D61F-4511-BA28-E2A31A884A65}"/>
    <cellStyle name="Migliaia 4 2 3 2 4 4 4" xfId="19749" xr:uid="{2CB92185-285D-4028-BD8D-CBCAA47B4258}"/>
    <cellStyle name="Migliaia 4 2 3 2 4 5" xfId="8616" xr:uid="{8A717418-9B80-41BE-8922-768E8F3CF690}"/>
    <cellStyle name="Migliaia 4 2 3 2 4 5 2" xfId="12789" xr:uid="{D430022B-59B8-4C47-A87E-6E2C8C412DA5}"/>
    <cellStyle name="Migliaia 4 2 3 2 4 5 2 2" xfId="27966" xr:uid="{42F7007E-BE63-4615-8F70-0E440DF2BE2A}"/>
    <cellStyle name="Migliaia 4 2 3 2 4 5 3" xfId="23794" xr:uid="{D99A43DB-3016-4CB7-ADE8-D859FF1295EF}"/>
    <cellStyle name="Migliaia 4 2 3 2 4 6" xfId="16334" xr:uid="{772E0923-1F8B-4CD8-B934-0A2F158BCA7E}"/>
    <cellStyle name="Migliaia 4 2 3 2 4 7" xfId="31554" xr:uid="{862B5BD7-E1D3-472C-983F-1E396F986EE1}"/>
    <cellStyle name="Migliaia 4 2 3 2 5" xfId="1267" xr:uid="{5B0BFA4C-67CE-4D5E-9E2A-25CA2A827F89}"/>
    <cellStyle name="Migliaia 4 2 3 2 5 10" xfId="31326" xr:uid="{348EF5AE-C804-4DFD-B487-B2FD632BA619}"/>
    <cellStyle name="Migliaia 4 2 3 2 5 2" xfId="2697" xr:uid="{A51BE35B-F177-4CEB-8780-D53D68AC4D8B}"/>
    <cellStyle name="Migliaia 4 2 3 2 5 2 2" xfId="10188" xr:uid="{13290E07-E7C2-42B1-AE3B-4D8A769BE724}"/>
    <cellStyle name="Migliaia 4 2 3 2 5 2 2 2" xfId="13832" xr:uid="{B1CC19A4-5179-45B2-B985-ACEF80777F1A}"/>
    <cellStyle name="Migliaia 4 2 3 2 5 2 2 2 2" xfId="29009" xr:uid="{067B819C-A931-4A40-A0AA-2A98030684DD}"/>
    <cellStyle name="Migliaia 4 2 3 2 5 2 2 3" xfId="25366" xr:uid="{239F3E03-0619-477C-97B7-0A4120688808}"/>
    <cellStyle name="Migliaia 4 2 3 2 5 2 3" xfId="6014" xr:uid="{E9AA786C-5F56-47E1-9CF1-FC8A4BF98E3A}"/>
    <cellStyle name="Migliaia 4 2 3 2 5 2 3 2" xfId="21194" xr:uid="{50B0B0DB-3F30-40E3-8D2A-22699631F7FD}"/>
    <cellStyle name="Migliaia 4 2 3 2 5 2 4" xfId="17906" xr:uid="{71E68026-A7A0-4154-9AC3-F3AA31FA25FA}"/>
    <cellStyle name="Migliaia 4 2 3 2 5 3" xfId="3584" xr:uid="{5EF902D4-85A5-4933-BA1B-2D625D67A81C}"/>
    <cellStyle name="Migliaia 4 2 3 2 5 3 2" xfId="11072" xr:uid="{81EDBDAF-D255-4A79-853C-207B40AF2D6E}"/>
    <cellStyle name="Migliaia 4 2 3 2 5 3 2 2" xfId="14618" xr:uid="{6BB5FF9E-7E95-40CF-916C-4EC255960210}"/>
    <cellStyle name="Migliaia 4 2 3 2 5 3 2 2 2" xfId="29795" xr:uid="{3C585D11-9EFB-404C-9E93-031ACC0C484A}"/>
    <cellStyle name="Migliaia 4 2 3 2 5 3 2 3" xfId="26250" xr:uid="{FF1FE62F-48F5-4DDA-9483-CB4BD8425D38}"/>
    <cellStyle name="Migliaia 4 2 3 2 5 3 3" xfId="6898" xr:uid="{F9A4527F-41A4-4CFB-BF16-D6A5BF5C8035}"/>
    <cellStyle name="Migliaia 4 2 3 2 5 3 3 2" xfId="22078" xr:uid="{E52B06E0-F598-43FB-9CE3-0E6C84839F63}"/>
    <cellStyle name="Migliaia 4 2 3 2 5 3 4" xfId="18790" xr:uid="{7B20B760-9EF4-43C9-AA51-6487FABA47F0}"/>
    <cellStyle name="Migliaia 4 2 3 2 5 4" xfId="4547" xr:uid="{857C228B-47F4-4D23-9B5E-1CE33E48897A}"/>
    <cellStyle name="Migliaia 4 2 3 2 5 4 2" xfId="12032" xr:uid="{BFF6E957-B77F-4BB5-87F6-C5ED384CA9AA}"/>
    <cellStyle name="Migliaia 4 2 3 2 5 4 2 2" xfId="15578" xr:uid="{5A3E377E-338A-4070-ACD0-B0B6F413D6BB}"/>
    <cellStyle name="Migliaia 4 2 3 2 5 4 2 2 2" xfId="30755" xr:uid="{00C1EE48-7FAD-4E8B-A14D-050138265B46}"/>
    <cellStyle name="Migliaia 4 2 3 2 5 4 2 3" xfId="27210" xr:uid="{5794022B-6E07-4976-9492-9399ED2767C4}"/>
    <cellStyle name="Migliaia 4 2 3 2 5 4 3" xfId="7858" xr:uid="{C886B53E-000B-4E06-9389-215823FCE7A4}"/>
    <cellStyle name="Migliaia 4 2 3 2 5 4 3 2" xfId="23038" xr:uid="{60FCD459-378E-4B9D-97BD-615E9E5DF5FB}"/>
    <cellStyle name="Migliaia 4 2 3 2 5 4 4" xfId="19750" xr:uid="{A9ECF05C-72F8-4059-ACA9-315C11D4F66F}"/>
    <cellStyle name="Migliaia 4 2 3 2 5 5" xfId="4986" xr:uid="{33CE12AD-BFEE-41BE-95E0-F1B097373078}"/>
    <cellStyle name="Migliaia 4 2 3 2 5 5 2" xfId="12470" xr:uid="{57282B10-77FB-474B-9658-09BC27066E99}"/>
    <cellStyle name="Migliaia 4 2 3 2 5 5 2 2" xfId="16016" xr:uid="{1BE4A618-FA0F-4882-B3B1-B78CBF84A4C8}"/>
    <cellStyle name="Migliaia 4 2 3 2 5 5 2 2 2" xfId="31193" xr:uid="{847E5010-B62B-408B-9410-06D651B0DAB8}"/>
    <cellStyle name="Migliaia 4 2 3 2 5 5 2 3" xfId="27648" xr:uid="{6B083D3A-4178-42E3-99E9-A475B8A07392}"/>
    <cellStyle name="Migliaia 4 2 3 2 5 5 3" xfId="8296" xr:uid="{07B3874E-907C-4A25-AC31-4729738EEF6C}"/>
    <cellStyle name="Migliaia 4 2 3 2 5 5 3 2" xfId="23476" xr:uid="{E891644B-4D83-4CD4-9672-05FE8E0FEFCE}"/>
    <cellStyle name="Migliaia 4 2 3 2 5 5 4" xfId="20188" xr:uid="{D1392AF6-05BD-4066-B75A-B37499F97DC2}"/>
    <cellStyle name="Migliaia 4 2 3 2 5 6" xfId="1807" xr:uid="{913755FE-6BE1-486F-A0DD-B15D2CFFB27D}"/>
    <cellStyle name="Migliaia 4 2 3 2 5 6 2" xfId="9304" xr:uid="{08FF0175-9DDD-4B31-976D-711664B7804F}"/>
    <cellStyle name="Migliaia 4 2 3 2 5 6 2 2" xfId="24482" xr:uid="{17619561-8ECE-4ACB-96A5-652716A45D90}"/>
    <cellStyle name="Migliaia 4 2 3 2 5 6 3" xfId="17022" xr:uid="{B64D5068-D069-4BC6-9CEB-A61F96FCD858}"/>
    <cellStyle name="Migliaia 4 2 3 2 5 7" xfId="8790" xr:uid="{2B85B853-E4FA-446B-A70F-7552BDF1BE27}"/>
    <cellStyle name="Migliaia 4 2 3 2 5 7 2" xfId="12963" xr:uid="{DEEA8049-78D2-483E-A5BC-3CA2BE0A4427}"/>
    <cellStyle name="Migliaia 4 2 3 2 5 7 2 2" xfId="28140" xr:uid="{1835F1C1-1A89-4543-B29D-1EC54A84D3CD}"/>
    <cellStyle name="Migliaia 4 2 3 2 5 7 3" xfId="23968" xr:uid="{F5864F59-A8B7-4EE1-9ACF-BFFF53B68BF6}"/>
    <cellStyle name="Migliaia 4 2 3 2 5 8" xfId="5130" xr:uid="{6CCCDA61-CAF5-4B31-A1AA-252ABB6B1880}"/>
    <cellStyle name="Migliaia 4 2 3 2 5 8 2" xfId="20310" xr:uid="{B80CC4DD-C6B8-487A-B5F0-083C24FB11D9}"/>
    <cellStyle name="Migliaia 4 2 3 2 5 9" xfId="16508" xr:uid="{9E75003D-5487-4EF5-A4FA-516F20A1AFCF}"/>
    <cellStyle name="Migliaia 4 2 3 2 6" xfId="1369" xr:uid="{A9434674-9CA4-41AF-ADB6-733D2DC8FF31}"/>
    <cellStyle name="Migliaia 4 2 3 2 6 2" xfId="2795" xr:uid="{8D0DD05D-C8E0-4272-8101-06A9C875F990}"/>
    <cellStyle name="Migliaia 4 2 3 2 6 2 2" xfId="10286" xr:uid="{ADDA8C38-F00C-47EA-A90C-0C0AD97A8885}"/>
    <cellStyle name="Migliaia 4 2 3 2 6 2 2 2" xfId="13881" xr:uid="{DD03512D-8975-45ED-9072-58F886AC2C43}"/>
    <cellStyle name="Migliaia 4 2 3 2 6 2 2 2 2" xfId="29058" xr:uid="{CA3167E7-E4CB-4389-81BE-18D6494AE70D}"/>
    <cellStyle name="Migliaia 4 2 3 2 6 2 2 3" xfId="25464" xr:uid="{0EA9779A-8397-40F1-BBC6-F2D1DD0E2642}"/>
    <cellStyle name="Migliaia 4 2 3 2 6 2 3" xfId="6112" xr:uid="{A810BBBE-8FBA-400C-83EA-262657B1EBD6}"/>
    <cellStyle name="Migliaia 4 2 3 2 6 2 3 2" xfId="21292" xr:uid="{7DF5E276-9899-4A5D-A9D7-A793F55BCB3B}"/>
    <cellStyle name="Migliaia 4 2 3 2 6 2 4" xfId="18004" xr:uid="{B4B9669A-6346-4DA8-8235-43153A09BBCC}"/>
    <cellStyle name="Migliaia 4 2 3 2 6 3" xfId="3682" xr:uid="{ABAD5DC6-DE21-43DD-98EF-5783327159EA}"/>
    <cellStyle name="Migliaia 4 2 3 2 6 3 2" xfId="11170" xr:uid="{3B4C6C35-B0C1-4E1E-B9DF-97E40FA06044}"/>
    <cellStyle name="Migliaia 4 2 3 2 6 3 2 2" xfId="14716" xr:uid="{BCFD94D2-93C2-4C6F-B971-E827CD72CFB6}"/>
    <cellStyle name="Migliaia 4 2 3 2 6 3 2 2 2" xfId="29893" xr:uid="{C4F925A4-5D92-46FB-AFDA-F8469616F31A}"/>
    <cellStyle name="Migliaia 4 2 3 2 6 3 2 3" xfId="26348" xr:uid="{52548BA9-B15E-45DB-99D4-68C5DD5940A6}"/>
    <cellStyle name="Migliaia 4 2 3 2 6 3 3" xfId="6996" xr:uid="{F63EDC87-F23C-43B8-B1C9-2276159DC152}"/>
    <cellStyle name="Migliaia 4 2 3 2 6 3 3 2" xfId="22176" xr:uid="{D9E8E3E3-2CC2-4733-BCF8-3FA5F3063CE8}"/>
    <cellStyle name="Migliaia 4 2 3 2 6 3 4" xfId="18888" xr:uid="{B8FBBED0-F9E8-47CF-873A-FDC1A761BF49}"/>
    <cellStyle name="Migliaia 4 2 3 2 6 4" xfId="4548" xr:uid="{557E33DA-9BB2-4A2B-AFCF-1B4578CEBBAE}"/>
    <cellStyle name="Migliaia 4 2 3 2 6 4 2" xfId="12033" xr:uid="{652B2AFB-182C-457A-929C-5D197149082E}"/>
    <cellStyle name="Migliaia 4 2 3 2 6 4 2 2" xfId="15579" xr:uid="{5FCD9027-F2E4-45FC-87C3-E963C3CB9B8B}"/>
    <cellStyle name="Migliaia 4 2 3 2 6 4 2 2 2" xfId="30756" xr:uid="{CAC61B42-6EC3-4E00-BB16-A6DB3AC8D95C}"/>
    <cellStyle name="Migliaia 4 2 3 2 6 4 2 3" xfId="27211" xr:uid="{69A6B3B4-F5AA-49BC-B08D-624309F679FE}"/>
    <cellStyle name="Migliaia 4 2 3 2 6 4 3" xfId="7859" xr:uid="{46E93C12-1EE4-4689-A64B-16F0D46143E0}"/>
    <cellStyle name="Migliaia 4 2 3 2 6 4 3 2" xfId="23039" xr:uid="{C9824018-E036-4D7F-AAB2-0068FCA86D24}"/>
    <cellStyle name="Migliaia 4 2 3 2 6 4 4" xfId="19751" xr:uid="{1ECCBF2D-C551-4082-BCB8-C806C5E8503E}"/>
    <cellStyle name="Migliaia 4 2 3 2 6 5" xfId="1905" xr:uid="{8E8C1DBF-F0D9-43E3-A380-7BFD5B6936B9}"/>
    <cellStyle name="Migliaia 4 2 3 2 6 5 2" xfId="9402" xr:uid="{A5C8FA81-00F6-485D-A173-BF7F4CAF3F64}"/>
    <cellStyle name="Migliaia 4 2 3 2 6 5 2 2" xfId="24580" xr:uid="{43823260-33A8-40C1-A41B-1702D1423EA4}"/>
    <cellStyle name="Migliaia 4 2 3 2 6 5 3" xfId="17120" xr:uid="{E332E09E-8A95-4579-A228-7086D296B8C9}"/>
    <cellStyle name="Migliaia 4 2 3 2 6 6" xfId="8888" xr:uid="{BC282184-6060-4DD1-BDD5-98F4A435B507}"/>
    <cellStyle name="Migliaia 4 2 3 2 6 6 2" xfId="13061" xr:uid="{507C8B5D-4E7F-4EF1-AE67-4B38F70BC76E}"/>
    <cellStyle name="Migliaia 4 2 3 2 6 6 2 2" xfId="28238" xr:uid="{23042577-3754-4CD9-BA92-859649C317FB}"/>
    <cellStyle name="Migliaia 4 2 3 2 6 6 3" xfId="24066" xr:uid="{6EF3A547-7BC9-446E-A63F-1626A6238D13}"/>
    <cellStyle name="Migliaia 4 2 3 2 6 7" xfId="5228" xr:uid="{C24CB1CC-2849-4350-93D5-A60F01104FA9}"/>
    <cellStyle name="Migliaia 4 2 3 2 6 7 2" xfId="20408" xr:uid="{6F434A92-92B3-4EE4-8DC6-DB5527E06B3D}"/>
    <cellStyle name="Migliaia 4 2 3 2 6 8" xfId="16606" xr:uid="{E3D4B6E4-B80A-4321-A2E0-6B494A94E1EC}"/>
    <cellStyle name="Migliaia 4 2 3 2 7" xfId="1468" xr:uid="{9D2B7576-55B3-4DD4-96CC-4C146E167109}"/>
    <cellStyle name="Migliaia 4 2 3 2 7 2" xfId="2893" xr:uid="{1C6179E4-5EDC-4185-8590-DFDA2A673009}"/>
    <cellStyle name="Migliaia 4 2 3 2 7 2 2" xfId="10384" xr:uid="{76386D76-6348-4ADD-914C-0379188A6BC6}"/>
    <cellStyle name="Migliaia 4 2 3 2 7 2 2 2" xfId="13930" xr:uid="{0B76831D-7AEC-4396-87DE-D3547862F4C9}"/>
    <cellStyle name="Migliaia 4 2 3 2 7 2 2 2 2" xfId="29107" xr:uid="{B2357B7D-34EC-4AB7-9D2D-E35E2784D8F9}"/>
    <cellStyle name="Migliaia 4 2 3 2 7 2 2 3" xfId="25562" xr:uid="{2FF055E1-C8E9-4CD0-A986-4CEBF5B9719E}"/>
    <cellStyle name="Migliaia 4 2 3 2 7 2 3" xfId="6210" xr:uid="{2F71D05E-55B2-4FE6-B649-8D7F0056A28D}"/>
    <cellStyle name="Migliaia 4 2 3 2 7 2 3 2" xfId="21390" xr:uid="{24AA6109-4624-4C84-87D3-F9470D8DF337}"/>
    <cellStyle name="Migliaia 4 2 3 2 7 2 4" xfId="18102" xr:uid="{328F896C-6A25-4418-9315-93B8F98397F3}"/>
    <cellStyle name="Migliaia 4 2 3 2 7 3" xfId="3780" xr:uid="{077CF908-EDC2-466E-8262-3147B77D30D1}"/>
    <cellStyle name="Migliaia 4 2 3 2 7 3 2" xfId="11268" xr:uid="{1DF52657-C63E-42BD-9C4F-1E3D5A8C14CB}"/>
    <cellStyle name="Migliaia 4 2 3 2 7 3 2 2" xfId="14814" xr:uid="{E04D9806-7463-48C5-B33E-441CB80C95DB}"/>
    <cellStyle name="Migliaia 4 2 3 2 7 3 2 2 2" xfId="29991" xr:uid="{464908F3-7ED5-4AE3-877D-7BAC97CD3119}"/>
    <cellStyle name="Migliaia 4 2 3 2 7 3 2 3" xfId="26446" xr:uid="{0C82FEF3-97E1-4FE0-9D75-1895054D2D85}"/>
    <cellStyle name="Migliaia 4 2 3 2 7 3 3" xfId="7094" xr:uid="{382CAD52-3BC5-4DBE-A6F6-B911F3A06831}"/>
    <cellStyle name="Migliaia 4 2 3 2 7 3 3 2" xfId="22274" xr:uid="{99AB594E-8999-4817-81FC-443126456866}"/>
    <cellStyle name="Migliaia 4 2 3 2 7 3 4" xfId="18986" xr:uid="{03F23AAA-0F87-4150-855D-2CDB68BB8377}"/>
    <cellStyle name="Migliaia 4 2 3 2 7 4" xfId="4549" xr:uid="{C9BF2313-2D73-4F27-B853-88F4AE8744BB}"/>
    <cellStyle name="Migliaia 4 2 3 2 7 4 2" xfId="12034" xr:uid="{B8FB9DD3-BDF2-4C28-AB95-5CA48C15F9D2}"/>
    <cellStyle name="Migliaia 4 2 3 2 7 4 2 2" xfId="15580" xr:uid="{3DFECF77-C2C3-4E79-990B-8E0099A9EED4}"/>
    <cellStyle name="Migliaia 4 2 3 2 7 4 2 2 2" xfId="30757" xr:uid="{A6B2B33A-2D38-4B4E-89C1-8D999AC0B534}"/>
    <cellStyle name="Migliaia 4 2 3 2 7 4 2 3" xfId="27212" xr:uid="{33020967-F3D1-431A-9686-4D6F03321A51}"/>
    <cellStyle name="Migliaia 4 2 3 2 7 4 3" xfId="7860" xr:uid="{62AE72B5-76C2-4538-9128-3D569DE2AC1C}"/>
    <cellStyle name="Migliaia 4 2 3 2 7 4 3 2" xfId="23040" xr:uid="{225ECAA8-A7E0-438B-AA72-162F8F203CF5}"/>
    <cellStyle name="Migliaia 4 2 3 2 7 4 4" xfId="19752" xr:uid="{17E948E2-A098-4707-9FEF-3273C3269490}"/>
    <cellStyle name="Migliaia 4 2 3 2 7 5" xfId="2003" xr:uid="{2B9A5794-B9C0-4ABE-B0A6-614523B141AB}"/>
    <cellStyle name="Migliaia 4 2 3 2 7 5 2" xfId="9500" xr:uid="{01A6EBB9-3F61-4E46-A061-521CD1D3907F}"/>
    <cellStyle name="Migliaia 4 2 3 2 7 5 2 2" xfId="24678" xr:uid="{82F0103B-2FF2-484D-800A-4834FF8B2B8C}"/>
    <cellStyle name="Migliaia 4 2 3 2 7 5 3" xfId="17218" xr:uid="{2D7FDC3C-FCF0-459C-963C-F5BFB4667494}"/>
    <cellStyle name="Migliaia 4 2 3 2 7 6" xfId="8986" xr:uid="{D713F0C1-22E0-4FDE-B638-09C2E566C291}"/>
    <cellStyle name="Migliaia 4 2 3 2 7 6 2" xfId="13159" xr:uid="{B19C3A2A-42C5-4AF1-B47A-9DA71CB5E7A4}"/>
    <cellStyle name="Migliaia 4 2 3 2 7 6 2 2" xfId="28336" xr:uid="{1BEAB477-664A-41FE-A0D9-7D5FFEDA7D11}"/>
    <cellStyle name="Migliaia 4 2 3 2 7 6 3" xfId="24164" xr:uid="{316FE0C7-4711-4E84-A6D4-999DCEA72401}"/>
    <cellStyle name="Migliaia 4 2 3 2 7 7" xfId="5326" xr:uid="{34C629C2-BA88-43D3-A630-46B82469A271}"/>
    <cellStyle name="Migliaia 4 2 3 2 7 7 2" xfId="20506" xr:uid="{040804EF-3A4E-48D1-90B2-4F65889CA0D0}"/>
    <cellStyle name="Migliaia 4 2 3 2 7 8" xfId="16704" xr:uid="{9BCD415A-07B5-49B3-AE50-86D30E207532}"/>
    <cellStyle name="Migliaia 4 2 3 2 8" xfId="1571" xr:uid="{69EF62F9-BF71-4950-BFCC-742B4D7776CA}"/>
    <cellStyle name="Migliaia 4 2 3 2 8 2" xfId="2991" xr:uid="{38DAEB16-FCBF-45BC-9D8B-B80108866AD7}"/>
    <cellStyle name="Migliaia 4 2 3 2 8 2 2" xfId="10482" xr:uid="{55261EAB-6B99-4D85-BE15-B38146FEE5C6}"/>
    <cellStyle name="Migliaia 4 2 3 2 8 2 2 2" xfId="14028" xr:uid="{50A56258-84E3-42B9-A845-263AA28CFE72}"/>
    <cellStyle name="Migliaia 4 2 3 2 8 2 2 2 2" xfId="29205" xr:uid="{B5FC1E18-C876-431E-8E82-01B5C8CFFEDF}"/>
    <cellStyle name="Migliaia 4 2 3 2 8 2 2 3" xfId="25660" xr:uid="{2F214990-74AA-485C-A096-E73E9155B284}"/>
    <cellStyle name="Migliaia 4 2 3 2 8 2 3" xfId="6308" xr:uid="{B71A39B8-2225-44CA-91B4-99CE5FD45301}"/>
    <cellStyle name="Migliaia 4 2 3 2 8 2 3 2" xfId="21488" xr:uid="{2FFAA391-0775-49A9-98D9-2AE4FB28083E}"/>
    <cellStyle name="Migliaia 4 2 3 2 8 2 4" xfId="18200" xr:uid="{A6A1E47B-96F7-4F9F-893D-81DD4208C353}"/>
    <cellStyle name="Migliaia 4 2 3 2 8 3" xfId="3878" xr:uid="{31FD1F98-9ACB-4DEA-919A-523EDBFA0E1C}"/>
    <cellStyle name="Migliaia 4 2 3 2 8 3 2" xfId="11366" xr:uid="{DB24BB13-8201-4BF3-9501-3DE56B6D3636}"/>
    <cellStyle name="Migliaia 4 2 3 2 8 3 2 2" xfId="14912" xr:uid="{98B08AC7-62AA-40A3-A046-3843AE6E8BAA}"/>
    <cellStyle name="Migliaia 4 2 3 2 8 3 2 2 2" xfId="30089" xr:uid="{8EAF5336-F9D2-4B18-B094-E37682A9AF1B}"/>
    <cellStyle name="Migliaia 4 2 3 2 8 3 2 3" xfId="26544" xr:uid="{FD102354-254F-486C-BE2E-D891F0738444}"/>
    <cellStyle name="Migliaia 4 2 3 2 8 3 3" xfId="7192" xr:uid="{3A629B49-303D-46EE-8529-49F8B81C1B55}"/>
    <cellStyle name="Migliaia 4 2 3 2 8 3 3 2" xfId="22372" xr:uid="{AE7136B5-EC51-40DE-A6C1-299EFFFC593D}"/>
    <cellStyle name="Migliaia 4 2 3 2 8 3 4" xfId="19084" xr:uid="{44349E82-77B6-41C9-B9E1-2734EEA7370B}"/>
    <cellStyle name="Migliaia 4 2 3 2 8 4" xfId="4550" xr:uid="{B2827C67-BB35-4011-A283-5F425DBB41C3}"/>
    <cellStyle name="Migliaia 4 2 3 2 8 4 2" xfId="12035" xr:uid="{A8F76694-A264-4B3D-9F50-BCB24848E450}"/>
    <cellStyle name="Migliaia 4 2 3 2 8 4 2 2" xfId="15581" xr:uid="{4BCAC387-3E99-4449-8177-F01D8F77C767}"/>
    <cellStyle name="Migliaia 4 2 3 2 8 4 2 2 2" xfId="30758" xr:uid="{92C1203E-25E2-4601-BC67-1E4C6EF26171}"/>
    <cellStyle name="Migliaia 4 2 3 2 8 4 2 3" xfId="27213" xr:uid="{753698EA-C743-49BE-8AEF-2785C01B42EA}"/>
    <cellStyle name="Migliaia 4 2 3 2 8 4 3" xfId="7861" xr:uid="{03A84648-9A89-4D8E-91D3-779739BEEEF8}"/>
    <cellStyle name="Migliaia 4 2 3 2 8 4 3 2" xfId="23041" xr:uid="{E9C87F5F-54F5-460D-96D5-F12FE24317B2}"/>
    <cellStyle name="Migliaia 4 2 3 2 8 4 4" xfId="19753" xr:uid="{01CF6238-9C78-427F-BCB0-5CE83C6A2AD1}"/>
    <cellStyle name="Migliaia 4 2 3 2 8 5" xfId="2101" xr:uid="{9CA15768-D8E4-457B-82CD-B71F95161FF9}"/>
    <cellStyle name="Migliaia 4 2 3 2 8 5 2" xfId="9598" xr:uid="{A0803C59-5AE5-4DC2-BD7D-D755EECF8BF1}"/>
    <cellStyle name="Migliaia 4 2 3 2 8 5 2 2" xfId="24776" xr:uid="{4B0D9D7B-9AF2-425C-AEE8-AF9D19AA68E8}"/>
    <cellStyle name="Migliaia 4 2 3 2 8 5 3" xfId="17316" xr:uid="{FB795DFE-72AB-4732-A479-399BA136838F}"/>
    <cellStyle name="Migliaia 4 2 3 2 8 6" xfId="9084" xr:uid="{2CA8E7D3-FCEC-49EA-8F25-B4FE0EBF15D6}"/>
    <cellStyle name="Migliaia 4 2 3 2 8 6 2" xfId="13257" xr:uid="{C00C3533-86AD-43B3-9482-973A9C15794C}"/>
    <cellStyle name="Migliaia 4 2 3 2 8 6 2 2" xfId="28434" xr:uid="{5EEECCE7-A5E9-40A4-B623-7421215A84CE}"/>
    <cellStyle name="Migliaia 4 2 3 2 8 6 3" xfId="24262" xr:uid="{C8BB28A3-34DB-470F-A64A-C4B76B7EDEB7}"/>
    <cellStyle name="Migliaia 4 2 3 2 8 7" xfId="5424" xr:uid="{B8679072-C5C6-4B8C-85B5-DD9661542FC1}"/>
    <cellStyle name="Migliaia 4 2 3 2 8 7 2" xfId="20604" xr:uid="{CC5AAE4D-6CF4-411A-9234-1CEC3A800D74}"/>
    <cellStyle name="Migliaia 4 2 3 2 8 8" xfId="16802" xr:uid="{41ADEA8F-999C-41B0-9808-01127723AB37}"/>
    <cellStyle name="Migliaia 4 2 3 2 9" xfId="1670" xr:uid="{4CB97A33-7115-43DF-A2FD-A09705135A3A}"/>
    <cellStyle name="Migliaia 4 2 3 2 9 2" xfId="3089" xr:uid="{C4681A32-2C1A-4EAD-A582-7064B2D851A5}"/>
    <cellStyle name="Migliaia 4 2 3 2 9 2 2" xfId="10580" xr:uid="{8746E832-29DD-4CC4-9C94-164C0F3478A2}"/>
    <cellStyle name="Migliaia 4 2 3 2 9 2 2 2" xfId="14126" xr:uid="{02352E18-4BDF-4D9F-8798-7387FBB68CB7}"/>
    <cellStyle name="Migliaia 4 2 3 2 9 2 2 2 2" xfId="29303" xr:uid="{1550E67D-4970-403B-8D5D-39A062F41173}"/>
    <cellStyle name="Migliaia 4 2 3 2 9 2 2 3" xfId="25758" xr:uid="{63EA19F8-22E2-4526-BC9E-F219D1C3F5DC}"/>
    <cellStyle name="Migliaia 4 2 3 2 9 2 3" xfId="6406" xr:uid="{1AD75B03-5E70-42B6-B93E-10E76CCFF353}"/>
    <cellStyle name="Migliaia 4 2 3 2 9 2 3 2" xfId="21586" xr:uid="{0B68641D-5FF3-42D0-B8F8-5B84EB242078}"/>
    <cellStyle name="Migliaia 4 2 3 2 9 2 4" xfId="18298" xr:uid="{B93B9DD0-8576-4CAF-B5CE-4F132F047CFE}"/>
    <cellStyle name="Migliaia 4 2 3 2 9 3" xfId="3976" xr:uid="{D001F013-BEC9-4889-81D9-86D30C53E74E}"/>
    <cellStyle name="Migliaia 4 2 3 2 9 3 2" xfId="11464" xr:uid="{87683D4E-4981-488D-809B-A1FF5DAC66C6}"/>
    <cellStyle name="Migliaia 4 2 3 2 9 3 2 2" xfId="15010" xr:uid="{AAAB1437-6790-4F56-8125-A6D8CD909775}"/>
    <cellStyle name="Migliaia 4 2 3 2 9 3 2 2 2" xfId="30187" xr:uid="{8986CC43-5F41-4316-9D99-2E9BF3AC8A66}"/>
    <cellStyle name="Migliaia 4 2 3 2 9 3 2 3" xfId="26642" xr:uid="{66CA0E14-CE5E-4629-925A-6C91F56FF348}"/>
    <cellStyle name="Migliaia 4 2 3 2 9 3 3" xfId="7290" xr:uid="{EDD59F8B-2AA3-4BD2-802D-397EC0395C7F}"/>
    <cellStyle name="Migliaia 4 2 3 2 9 3 3 2" xfId="22470" xr:uid="{804833E6-3BD3-452E-B379-83DA3D30D7B2}"/>
    <cellStyle name="Migliaia 4 2 3 2 9 3 4" xfId="19182" xr:uid="{E1AAD5E4-20AE-4AFA-960B-49C61540EB84}"/>
    <cellStyle name="Migliaia 4 2 3 2 9 4" xfId="4551" xr:uid="{0C3C45AF-FBFF-4B76-BFD8-45E98661F813}"/>
    <cellStyle name="Migliaia 4 2 3 2 9 4 2" xfId="12036" xr:uid="{409F0248-AB29-4574-9AFD-F0EEAB6C0CF2}"/>
    <cellStyle name="Migliaia 4 2 3 2 9 4 2 2" xfId="15582" xr:uid="{3B90B5CB-14BA-4EA3-A6AA-FE1599274204}"/>
    <cellStyle name="Migliaia 4 2 3 2 9 4 2 2 2" xfId="30759" xr:uid="{C681340B-FB42-432E-8940-8217D0A2D889}"/>
    <cellStyle name="Migliaia 4 2 3 2 9 4 2 3" xfId="27214" xr:uid="{E4F74700-3A51-4B08-AB86-BBEF75581AEA}"/>
    <cellStyle name="Migliaia 4 2 3 2 9 4 3" xfId="7862" xr:uid="{01006D6E-D730-4A7D-A56B-C15691E16985}"/>
    <cellStyle name="Migliaia 4 2 3 2 9 4 3 2" xfId="23042" xr:uid="{CFE15E02-0E65-45CD-8E02-C1A9304C3BDF}"/>
    <cellStyle name="Migliaia 4 2 3 2 9 4 4" xfId="19754" xr:uid="{B2452100-10F7-4155-A480-8613598F154B}"/>
    <cellStyle name="Migliaia 4 2 3 2 9 5" xfId="2199" xr:uid="{8AEC98E7-50C3-40CC-823B-DAADADCA4882}"/>
    <cellStyle name="Migliaia 4 2 3 2 9 5 2" xfId="9696" xr:uid="{79C3C70B-0AEA-44E5-9334-651F8B8D0834}"/>
    <cellStyle name="Migliaia 4 2 3 2 9 5 2 2" xfId="24874" xr:uid="{3190733C-9063-40F3-8108-FA5C28FCB880}"/>
    <cellStyle name="Migliaia 4 2 3 2 9 5 3" xfId="17414" xr:uid="{CAFFB0F6-09FC-4AE1-BA2E-F6C983888A0E}"/>
    <cellStyle name="Migliaia 4 2 3 2 9 6" xfId="9182" xr:uid="{4B67030A-30EF-46D0-8FE9-7A207662CD34}"/>
    <cellStyle name="Migliaia 4 2 3 2 9 6 2" xfId="13355" xr:uid="{1331AABD-B815-456B-A7C9-C3B5A4F7E42E}"/>
    <cellStyle name="Migliaia 4 2 3 2 9 6 2 2" xfId="28532" xr:uid="{434E21E5-5BE4-4A5E-B366-B9E66BFBEF87}"/>
    <cellStyle name="Migliaia 4 2 3 2 9 6 3" xfId="24360" xr:uid="{BE5E3773-A154-443E-8311-976CCF1E7B13}"/>
    <cellStyle name="Migliaia 4 2 3 2 9 7" xfId="5522" xr:uid="{CAF3250C-D30E-430A-B19D-E4BC7315AB2A}"/>
    <cellStyle name="Migliaia 4 2 3 2 9 7 2" xfId="20702" xr:uid="{2015BDBA-631B-4E21-8A65-B5144437BF33}"/>
    <cellStyle name="Migliaia 4 2 3 2 9 8" xfId="16900" xr:uid="{7C4FB7F5-7611-4749-8F07-5B0FD616520B}"/>
    <cellStyle name="Migliaia 4 2 3 3" xfId="753" xr:uid="{9F344F9D-D153-4394-BC4B-9179BC5D227C}"/>
    <cellStyle name="Migliaia 4 2 3 3 10" xfId="8419" xr:uid="{BDB7D6C2-20D3-4C20-84C2-AE9809B333CA}"/>
    <cellStyle name="Migliaia 4 2 3 3 10 2" xfId="12593" xr:uid="{8D156661-E72B-41CF-B3CF-42AB5A026B59}"/>
    <cellStyle name="Migliaia 4 2 3 3 10 2 2" xfId="27770" xr:uid="{41D674FC-C0E7-4ECC-A595-F71D27A82DA2}"/>
    <cellStyle name="Migliaia 4 2 3 3 10 3" xfId="23598" xr:uid="{0B023031-79DA-4A57-AE86-7D0AF4B03144}"/>
    <cellStyle name="Migliaia 4 2 3 3 11" xfId="16138" xr:uid="{10494A94-86F1-4510-85FF-4DF76321F669}"/>
    <cellStyle name="Migliaia 4 2 3 3 12" xfId="31480" xr:uid="{14470577-5658-462D-B0B5-3454672B1BB6}"/>
    <cellStyle name="Migliaia 4 2 3 3 2" xfId="930" xr:uid="{E1D4443B-A3E8-47A8-A7C9-0BD43EBFF165}"/>
    <cellStyle name="Migliaia 4 2 3 3 2 10" xfId="16260" xr:uid="{44A992EB-23DB-4190-BDB0-6D0D67C96F93}"/>
    <cellStyle name="Migliaia 4 2 3 3 2 11" xfId="31350" xr:uid="{A6A7C977-DE18-4198-8BAC-15CB42B75F59}"/>
    <cellStyle name="Migliaia 4 2 3 3 2 12" xfId="31700" xr:uid="{47EB201B-58E0-4E4F-B66F-B2B2954DEC9D}"/>
    <cellStyle name="Migliaia 4 2 3 3 2 2" xfId="1291" xr:uid="{4ED41F62-604B-40F0-926F-87EEBC41F50A}"/>
    <cellStyle name="Migliaia 4 2 3 3 2 2 2" xfId="3608" xr:uid="{DEF10B26-8498-4306-B41B-33F357080DBD}"/>
    <cellStyle name="Migliaia 4 2 3 3 2 2 2 2" xfId="11096" xr:uid="{16FEA8EB-40DC-4EC7-87AB-2097548CF0E5}"/>
    <cellStyle name="Migliaia 4 2 3 3 2 2 2 2 2" xfId="14642" xr:uid="{F7EE6E92-9C15-462B-A6FF-A762D1D676B1}"/>
    <cellStyle name="Migliaia 4 2 3 3 2 2 2 2 2 2" xfId="29819" xr:uid="{E6A7C72F-7902-4841-8DB1-856EF943E4A8}"/>
    <cellStyle name="Migliaia 4 2 3 3 2 2 2 2 3" xfId="26274" xr:uid="{3891C2BB-E7AD-4622-A5A7-09A76CDF1497}"/>
    <cellStyle name="Migliaia 4 2 3 3 2 2 2 3" xfId="6922" xr:uid="{3E772C49-8F53-4F35-B4EE-65BB0BB925C4}"/>
    <cellStyle name="Migliaia 4 2 3 3 2 2 2 3 2" xfId="22102" xr:uid="{C6509126-78A0-4EC9-983F-9BDD7341439D}"/>
    <cellStyle name="Migliaia 4 2 3 3 2 2 2 4" xfId="18814" xr:uid="{B61D2ECA-4D93-43EB-B510-E1A4172912E7}"/>
    <cellStyle name="Migliaia 4 2 3 3 2 2 3" xfId="4552" xr:uid="{2BB791DD-0EC5-4A8A-B067-1662010306B4}"/>
    <cellStyle name="Migliaia 4 2 3 3 2 2 3 2" xfId="12037" xr:uid="{7FFAC700-41EC-4A66-A830-179666D65F61}"/>
    <cellStyle name="Migliaia 4 2 3 3 2 2 3 2 2" xfId="15583" xr:uid="{35C8BB23-922F-438D-B047-5AEDA3F3E184}"/>
    <cellStyle name="Migliaia 4 2 3 3 2 2 3 2 2 2" xfId="30760" xr:uid="{574C984B-AC75-42A4-BFDD-D6B83EA14EA1}"/>
    <cellStyle name="Migliaia 4 2 3 3 2 2 3 2 3" xfId="27215" xr:uid="{0077D8E2-71A6-420B-95D1-D9675C94D0C1}"/>
    <cellStyle name="Migliaia 4 2 3 3 2 2 3 3" xfId="7863" xr:uid="{E8F6B26C-1E8C-482E-A406-0016C89F252D}"/>
    <cellStyle name="Migliaia 4 2 3 3 2 2 3 3 2" xfId="23043" xr:uid="{D73E7063-2144-4E4C-94DD-36FF0FBE8E18}"/>
    <cellStyle name="Migliaia 4 2 3 3 2 2 3 4" xfId="19755" xr:uid="{80411F74-52FB-43F8-8E66-598F5E514CE4}"/>
    <cellStyle name="Migliaia 4 2 3 3 2 2 4" xfId="2721" xr:uid="{A61C4A59-9E1D-48A6-AE99-4A131F3C58CB}"/>
    <cellStyle name="Migliaia 4 2 3 3 2 2 4 2" xfId="10212" xr:uid="{8A75A3B6-2771-47A1-B33F-73C311F41E68}"/>
    <cellStyle name="Migliaia 4 2 3 3 2 2 4 2 2" xfId="25390" xr:uid="{746FC05A-FFFE-4126-B279-0EEE3259DB21}"/>
    <cellStyle name="Migliaia 4 2 3 3 2 2 4 3" xfId="17930" xr:uid="{17EDB7C9-3E24-4247-A713-E4EF50CE330C}"/>
    <cellStyle name="Migliaia 4 2 3 3 2 2 5" xfId="8814" xr:uid="{B5BF05B3-74DC-4597-AD36-B39C8BE7DE50}"/>
    <cellStyle name="Migliaia 4 2 3 3 2 2 5 2" xfId="12987" xr:uid="{8964ADC2-03B4-460E-A13A-39793D1CC738}"/>
    <cellStyle name="Migliaia 4 2 3 3 2 2 5 2 2" xfId="28164" xr:uid="{83E7B2D5-CF35-4A5D-A13F-57A5AA88F835}"/>
    <cellStyle name="Migliaia 4 2 3 3 2 2 5 3" xfId="23992" xr:uid="{3A07DDD7-2CBC-49CC-B943-F0026F48F388}"/>
    <cellStyle name="Migliaia 4 2 3 3 2 2 6" xfId="6038" xr:uid="{93524A7F-F1A4-4F5D-94E6-120548CE7A75}"/>
    <cellStyle name="Migliaia 4 2 3 3 2 2 6 2" xfId="21218" xr:uid="{B2FEA729-1C75-485F-BE67-824DA3E99A51}"/>
    <cellStyle name="Migliaia 4 2 3 3 2 2 7" xfId="16532" xr:uid="{0681695E-04F7-4768-8ECF-A4D7F4002A31}"/>
    <cellStyle name="Migliaia 4 2 3 3 2 3" xfId="2448" xr:uid="{4CC28F03-EB11-4994-9CBE-2D2F09F5376E}"/>
    <cellStyle name="Migliaia 4 2 3 3 2 3 2" xfId="9940" xr:uid="{E473B942-F4E6-48A4-B164-7B9981F44DA1}"/>
    <cellStyle name="Migliaia 4 2 3 3 2 3 2 2" xfId="13599" xr:uid="{FA34E2F4-1DE5-4E5C-8710-77D39F1B4C7A}"/>
    <cellStyle name="Migliaia 4 2 3 3 2 3 2 2 2" xfId="28776" xr:uid="{D39E097C-73C6-4DD5-ADB6-1B4874E5147B}"/>
    <cellStyle name="Migliaia 4 2 3 3 2 3 2 3" xfId="25118" xr:uid="{1357041F-77E6-4B21-BB8E-B18902F2ABDB}"/>
    <cellStyle name="Migliaia 4 2 3 3 2 3 3" xfId="5766" xr:uid="{541239C6-269D-4AA5-B489-17FD9D8B5476}"/>
    <cellStyle name="Migliaia 4 2 3 3 2 3 3 2" xfId="20946" xr:uid="{C1AEDF95-1940-4AEA-8C99-82BB9AEF64D4}"/>
    <cellStyle name="Migliaia 4 2 3 3 2 3 4" xfId="17658" xr:uid="{1308709D-CD1E-41BD-A24D-39441DD95512}"/>
    <cellStyle name="Migliaia 4 2 3 3 2 4" xfId="3336" xr:uid="{25EBB609-C24F-4F44-A8A2-0732BAEC7DD9}"/>
    <cellStyle name="Migliaia 4 2 3 3 2 4 2" xfId="10824" xr:uid="{9765D313-0BFD-40ED-9EBE-33A80294CB15}"/>
    <cellStyle name="Migliaia 4 2 3 3 2 4 2 2" xfId="14370" xr:uid="{275B4432-847E-4129-9F81-6211E0F07226}"/>
    <cellStyle name="Migliaia 4 2 3 3 2 4 2 2 2" xfId="29547" xr:uid="{5FB1E691-6987-40D0-ADA3-0024423A40D9}"/>
    <cellStyle name="Migliaia 4 2 3 3 2 4 2 3" xfId="26002" xr:uid="{80D13416-801D-46AD-9889-77E900F8FFA2}"/>
    <cellStyle name="Migliaia 4 2 3 3 2 4 3" xfId="6650" xr:uid="{0E913A1A-05CB-4BFB-BE83-FEBFD86D2D14}"/>
    <cellStyle name="Migliaia 4 2 3 3 2 4 3 2" xfId="21830" xr:uid="{B6A60A6D-FE37-40E7-B4EE-22EF5625B925}"/>
    <cellStyle name="Migliaia 4 2 3 3 2 4 4" xfId="18542" xr:uid="{78C027FD-7CA4-48E0-9085-9E15067F1355}"/>
    <cellStyle name="Migliaia 4 2 3 3 2 5" xfId="4553" xr:uid="{929AB61E-F630-4136-85E2-1FC85C8F72EE}"/>
    <cellStyle name="Migliaia 4 2 3 3 2 5 2" xfId="12038" xr:uid="{CB8980AF-6ACE-4BFF-82C2-1048172B821D}"/>
    <cellStyle name="Migliaia 4 2 3 3 2 5 2 2" xfId="15584" xr:uid="{AB429715-6BCB-44E4-AF7A-E2AC25744AE8}"/>
    <cellStyle name="Migliaia 4 2 3 3 2 5 2 2 2" xfId="30761" xr:uid="{2312810A-BACF-427F-B403-EE48D2A6B307}"/>
    <cellStyle name="Migliaia 4 2 3 3 2 5 2 3" xfId="27216" xr:uid="{FE59E429-7DAF-44F2-90AB-DF3A0AC23BD4}"/>
    <cellStyle name="Migliaia 4 2 3 3 2 5 3" xfId="7864" xr:uid="{B9FC81F0-2399-4177-8A6F-C3EDFAFFF1EB}"/>
    <cellStyle name="Migliaia 4 2 3 3 2 5 3 2" xfId="23044" xr:uid="{1C5B0AD5-C80B-4A6A-965A-1C60E9B7DA03}"/>
    <cellStyle name="Migliaia 4 2 3 3 2 5 4" xfId="19756" xr:uid="{4F5B2818-8917-4806-8B38-06F42E8A8EA6}"/>
    <cellStyle name="Migliaia 4 2 3 3 2 6" xfId="5010" xr:uid="{DBE0639D-38FD-4420-9F3F-5F566EF7CBBC}"/>
    <cellStyle name="Migliaia 4 2 3 3 2 6 2" xfId="12494" xr:uid="{845A0786-2EA7-4C8E-9F24-2581F3333AC2}"/>
    <cellStyle name="Migliaia 4 2 3 3 2 6 2 2" xfId="16040" xr:uid="{B8B758B4-9425-45FF-85F6-A0256963FB50}"/>
    <cellStyle name="Migliaia 4 2 3 3 2 6 2 2 2" xfId="31217" xr:uid="{0454C9F7-0EA9-4847-9F91-303FA43DFBFF}"/>
    <cellStyle name="Migliaia 4 2 3 3 2 6 2 3" xfId="27672" xr:uid="{0EE0F83F-4690-4F22-9E02-7D2EE5A91DD1}"/>
    <cellStyle name="Migliaia 4 2 3 3 2 6 3" xfId="8320" xr:uid="{40DFCCFA-A902-4D6D-B3AD-D7F9AF859DEF}"/>
    <cellStyle name="Migliaia 4 2 3 3 2 6 3 2" xfId="23500" xr:uid="{8006B30D-DF82-4D58-8236-20A7FEBE9C18}"/>
    <cellStyle name="Migliaia 4 2 3 3 2 6 4" xfId="20212" xr:uid="{0516EB4D-C80B-40EE-B466-E43F649D18A6}"/>
    <cellStyle name="Migliaia 4 2 3 3 2 7" xfId="1831" xr:uid="{114B50E7-7EE2-4DDC-840C-4CB5BF66A15D}"/>
    <cellStyle name="Migliaia 4 2 3 3 2 7 2" xfId="9328" xr:uid="{863CD260-60DA-40F3-A8D4-C68DBB7C794A}"/>
    <cellStyle name="Migliaia 4 2 3 3 2 7 2 2" xfId="24506" xr:uid="{8494E1F0-F30B-4BC3-B2E9-8A00AFE83B54}"/>
    <cellStyle name="Migliaia 4 2 3 3 2 7 3" xfId="17046" xr:uid="{DFAA6803-2055-4340-A48A-79A35341F166}"/>
    <cellStyle name="Migliaia 4 2 3 3 2 8" xfId="8542" xr:uid="{781F49F8-A378-4CE0-9E50-8DDA5B009B66}"/>
    <cellStyle name="Migliaia 4 2 3 3 2 8 2" xfId="12715" xr:uid="{2E834D6A-139B-4AEB-9287-17E864877F47}"/>
    <cellStyle name="Migliaia 4 2 3 3 2 8 2 2" xfId="27892" xr:uid="{D04A4646-4674-49B4-A4C3-69BFE01CAE35}"/>
    <cellStyle name="Migliaia 4 2 3 3 2 8 3" xfId="23720" xr:uid="{24122385-9EC5-466D-BF04-66CEF5F079AC}"/>
    <cellStyle name="Migliaia 4 2 3 3 2 9" xfId="5154" xr:uid="{C7A667BE-E8E6-4E08-9C45-5382FC70A629}"/>
    <cellStyle name="Migliaia 4 2 3 3 2 9 2" xfId="20334" xr:uid="{EA46A268-35A1-4CED-A2EC-82CFE945B3D8}"/>
    <cellStyle name="Migliaia 4 2 3 3 3" xfId="1033" xr:uid="{DA3648F7-3CCC-4B51-8277-182355AFC2D1}"/>
    <cellStyle name="Migliaia 4 2 3 3 3 10" xfId="31578" xr:uid="{FDC018A0-1987-4408-8D6A-84392935D633}"/>
    <cellStyle name="Migliaia 4 2 3 3 3 2" xfId="1393" xr:uid="{DB3C1869-FB9F-43C5-8B4B-61B906D65E3B}"/>
    <cellStyle name="Migliaia 4 2 3 3 3 2 2" xfId="3706" xr:uid="{D823A44B-AB89-4CD0-B3BB-58DFC135255D}"/>
    <cellStyle name="Migliaia 4 2 3 3 3 2 2 2" xfId="11194" xr:uid="{B47F966D-ECEC-48B7-A753-EE84EE3A741C}"/>
    <cellStyle name="Migliaia 4 2 3 3 3 2 2 2 2" xfId="14740" xr:uid="{078A8074-9858-4343-B469-B7FC0F118FF5}"/>
    <cellStyle name="Migliaia 4 2 3 3 3 2 2 2 2 2" xfId="29917" xr:uid="{0BEF5803-4687-44BF-BCC7-34A0F96F148F}"/>
    <cellStyle name="Migliaia 4 2 3 3 3 2 2 2 3" xfId="26372" xr:uid="{6D0DA667-BF5F-450C-BC5C-0FD38EA66DCC}"/>
    <cellStyle name="Migliaia 4 2 3 3 3 2 2 3" xfId="7020" xr:uid="{5A04A352-62F9-40B9-980B-C27F25E23765}"/>
    <cellStyle name="Migliaia 4 2 3 3 3 2 2 3 2" xfId="22200" xr:uid="{A344CBE4-04FA-4B00-AF73-4DB2655696F0}"/>
    <cellStyle name="Migliaia 4 2 3 3 3 2 2 4" xfId="18912" xr:uid="{B44A4E40-10D6-471F-B4FF-A9D936645F04}"/>
    <cellStyle name="Migliaia 4 2 3 3 3 2 3" xfId="4554" xr:uid="{7B78B53A-B9C2-43C0-8395-E579B5D32F8E}"/>
    <cellStyle name="Migliaia 4 2 3 3 3 2 3 2" xfId="12039" xr:uid="{1755E890-3659-4084-8742-F17DD1DF5F17}"/>
    <cellStyle name="Migliaia 4 2 3 3 3 2 3 2 2" xfId="15585" xr:uid="{CFC04283-83D0-4CF2-9D3C-02902A0401C0}"/>
    <cellStyle name="Migliaia 4 2 3 3 3 2 3 2 2 2" xfId="30762" xr:uid="{49C58B32-94CB-4401-B082-37CF6FB020C1}"/>
    <cellStyle name="Migliaia 4 2 3 3 3 2 3 2 3" xfId="27217" xr:uid="{5813D487-92F1-4C0B-B0B2-C3967EFB0B3C}"/>
    <cellStyle name="Migliaia 4 2 3 3 3 2 3 3" xfId="7865" xr:uid="{00A970E0-D4D7-498F-8A19-9946D7519081}"/>
    <cellStyle name="Migliaia 4 2 3 3 3 2 3 3 2" xfId="23045" xr:uid="{631FC6B2-9CB2-4AC2-85BB-2126AE18B023}"/>
    <cellStyle name="Migliaia 4 2 3 3 3 2 3 4" xfId="19757" xr:uid="{627112B0-278F-476F-B100-1E26C160A43F}"/>
    <cellStyle name="Migliaia 4 2 3 3 3 2 4" xfId="2819" xr:uid="{1C9C39E0-7B9F-4F64-A931-7979AAE78687}"/>
    <cellStyle name="Migliaia 4 2 3 3 3 2 4 2" xfId="10310" xr:uid="{5E2C1D4A-0AEC-4643-AC25-3959131195A0}"/>
    <cellStyle name="Migliaia 4 2 3 3 3 2 4 2 2" xfId="25488" xr:uid="{954D556D-3828-425C-A826-B693271FCB8E}"/>
    <cellStyle name="Migliaia 4 2 3 3 3 2 4 3" xfId="18028" xr:uid="{66DC07D7-320D-4BA6-9072-60CA1E2233C1}"/>
    <cellStyle name="Migliaia 4 2 3 3 3 2 5" xfId="8912" xr:uid="{7963E9DB-479D-4957-A33C-E62A6A9B1E10}"/>
    <cellStyle name="Migliaia 4 2 3 3 3 2 5 2" xfId="13085" xr:uid="{39AC4B9D-A768-436F-AF67-214FD659139D}"/>
    <cellStyle name="Migliaia 4 2 3 3 3 2 5 2 2" xfId="28262" xr:uid="{DF36A865-1CDB-4653-98CC-E2CDF7ACB1E9}"/>
    <cellStyle name="Migliaia 4 2 3 3 3 2 5 3" xfId="24090" xr:uid="{19C4A94E-11A4-46FF-94CC-1982124F1FD0}"/>
    <cellStyle name="Migliaia 4 2 3 3 3 2 6" xfId="6136" xr:uid="{30B7E3A3-DCB6-4286-8937-DC9BD5426E86}"/>
    <cellStyle name="Migliaia 4 2 3 3 3 2 6 2" xfId="21316" xr:uid="{2E8E5868-1A14-486D-A6F6-7C0B6BE2C650}"/>
    <cellStyle name="Migliaia 4 2 3 3 3 2 7" xfId="16630" xr:uid="{F8402318-C05A-47C2-B654-F3161A15FB98}"/>
    <cellStyle name="Migliaia 4 2 3 3 3 3" xfId="2546" xr:uid="{8D4A9B98-77D6-4A6C-93B0-7024786E2A12}"/>
    <cellStyle name="Migliaia 4 2 3 3 3 3 2" xfId="10038" xr:uid="{DFAAEA65-0A49-46D2-9467-DF7E14E410A6}"/>
    <cellStyle name="Migliaia 4 2 3 3 3 3 2 2" xfId="13697" xr:uid="{AFFB58E3-02A6-47FA-8EB6-01796DF8784C}"/>
    <cellStyle name="Migliaia 4 2 3 3 3 3 2 2 2" xfId="28874" xr:uid="{36EBD64B-F0CA-4246-BC84-DD52D9CFB398}"/>
    <cellStyle name="Migliaia 4 2 3 3 3 3 2 3" xfId="25216" xr:uid="{4BE36720-91B2-4A24-8B57-3FC1D29F2EFC}"/>
    <cellStyle name="Migliaia 4 2 3 3 3 3 3" xfId="5864" xr:uid="{8E25993B-49E2-46E3-B33A-877CF236D2EF}"/>
    <cellStyle name="Migliaia 4 2 3 3 3 3 3 2" xfId="21044" xr:uid="{312CB38F-702A-4813-8FE1-D389002E6C7D}"/>
    <cellStyle name="Migliaia 4 2 3 3 3 3 4" xfId="17756" xr:uid="{E25AD41B-12D8-4AB7-9A5A-909695C2E8F5}"/>
    <cellStyle name="Migliaia 4 2 3 3 3 4" xfId="3434" xr:uid="{DC9163EC-74AF-47CA-B595-ADBD232EF4CC}"/>
    <cellStyle name="Migliaia 4 2 3 3 3 4 2" xfId="10922" xr:uid="{4A51A92A-0D94-4BE3-BB26-45B4C786119A}"/>
    <cellStyle name="Migliaia 4 2 3 3 3 4 2 2" xfId="14468" xr:uid="{110C4BFF-F8FE-48E1-A8AE-037566CB3467}"/>
    <cellStyle name="Migliaia 4 2 3 3 3 4 2 2 2" xfId="29645" xr:uid="{243D6FB6-3285-4E9C-B980-D74AAD926A97}"/>
    <cellStyle name="Migliaia 4 2 3 3 3 4 2 3" xfId="26100" xr:uid="{789C973A-BD56-433A-A2A2-2672AD8EA901}"/>
    <cellStyle name="Migliaia 4 2 3 3 3 4 3" xfId="6748" xr:uid="{1EDC30C6-C1E7-480E-AE8E-C61CBE9FC843}"/>
    <cellStyle name="Migliaia 4 2 3 3 3 4 3 2" xfId="21928" xr:uid="{E7EFFD35-A1E5-4554-A264-91F8291F7951}"/>
    <cellStyle name="Migliaia 4 2 3 3 3 4 4" xfId="18640" xr:uid="{932D05C5-7066-43EF-82B5-0E1BCCBA0974}"/>
    <cellStyle name="Migliaia 4 2 3 3 3 5" xfId="4555" xr:uid="{A7309BFC-F437-4EE0-820E-F899B98F2B10}"/>
    <cellStyle name="Migliaia 4 2 3 3 3 5 2" xfId="12040" xr:uid="{F525F49C-5F06-40D7-9031-68CDF9BB7417}"/>
    <cellStyle name="Migliaia 4 2 3 3 3 5 2 2" xfId="15586" xr:uid="{1D01E48A-3244-485C-A157-0024D926179A}"/>
    <cellStyle name="Migliaia 4 2 3 3 3 5 2 2 2" xfId="30763" xr:uid="{0F1ECA56-BA2B-4F34-85A9-F7A56E237BDE}"/>
    <cellStyle name="Migliaia 4 2 3 3 3 5 2 3" xfId="27218" xr:uid="{B3164941-0D4D-47C5-95D0-0F1B1E7A3717}"/>
    <cellStyle name="Migliaia 4 2 3 3 3 5 3" xfId="7866" xr:uid="{60DEF2C0-7F57-4250-A8C4-B1B2E5738A90}"/>
    <cellStyle name="Migliaia 4 2 3 3 3 5 3 2" xfId="23046" xr:uid="{2260EC47-9DA4-4450-B5C1-F7838727718F}"/>
    <cellStyle name="Migliaia 4 2 3 3 3 5 4" xfId="19758" xr:uid="{AECF4197-B51D-4C5C-8EE2-77FA20FCC739}"/>
    <cellStyle name="Migliaia 4 2 3 3 3 6" xfId="1929" xr:uid="{1C7DD0FC-8D7E-46DE-9941-0481C3D107DF}"/>
    <cellStyle name="Migliaia 4 2 3 3 3 6 2" xfId="9426" xr:uid="{310C2C50-77C0-4263-9AAE-8118178800C6}"/>
    <cellStyle name="Migliaia 4 2 3 3 3 6 2 2" xfId="24604" xr:uid="{02825B6B-4AAC-4060-A0E9-28402BA536D4}"/>
    <cellStyle name="Migliaia 4 2 3 3 3 6 3" xfId="17144" xr:uid="{747499A6-5F45-4E78-AF2F-B0A3BBD1BE27}"/>
    <cellStyle name="Migliaia 4 2 3 3 3 7" xfId="8640" xr:uid="{2D804C5C-9FF2-4A5A-8834-679513305704}"/>
    <cellStyle name="Migliaia 4 2 3 3 3 7 2" xfId="12813" xr:uid="{27FB2245-6320-46C7-B1DA-7921073EA820}"/>
    <cellStyle name="Migliaia 4 2 3 3 3 7 2 2" xfId="27990" xr:uid="{3EF1C1F5-BBAC-4EAE-9091-DF9706EC55BC}"/>
    <cellStyle name="Migliaia 4 2 3 3 3 7 3" xfId="23818" xr:uid="{94B7436A-F5DA-4E72-BB7F-FE6F5DA0FB82}"/>
    <cellStyle name="Migliaia 4 2 3 3 3 8" xfId="5252" xr:uid="{B8A1A54C-72A7-4749-975C-ACF2E31E2942}"/>
    <cellStyle name="Migliaia 4 2 3 3 3 8 2" xfId="20432" xr:uid="{24CC5A1D-AE37-439D-A53C-5EBE5507604E}"/>
    <cellStyle name="Migliaia 4 2 3 3 3 9" xfId="16358" xr:uid="{43E88634-98A5-43F5-B512-6FD3E3A8FB8B}"/>
    <cellStyle name="Migliaia 4 2 3 3 4" xfId="1492" xr:uid="{18973C96-A66D-43E9-94BE-A244EE627AE5}"/>
    <cellStyle name="Migliaia 4 2 3 3 4 2" xfId="2917" xr:uid="{82CFCA01-6DE2-460D-B579-C1E05D370F91}"/>
    <cellStyle name="Migliaia 4 2 3 3 4 2 2" xfId="10408" xr:uid="{B7F8CBED-1B43-46DC-B7D9-3A25E0229EA1}"/>
    <cellStyle name="Migliaia 4 2 3 3 4 2 2 2" xfId="13954" xr:uid="{D8CCD387-91BF-47C5-8D22-8143A01787F7}"/>
    <cellStyle name="Migliaia 4 2 3 3 4 2 2 2 2" xfId="29131" xr:uid="{B0870D6F-5DB2-4CF0-B70E-FF2B03CC8F60}"/>
    <cellStyle name="Migliaia 4 2 3 3 4 2 2 3" xfId="25586" xr:uid="{7F9F367B-82A4-42D6-841D-3C07A9D448BE}"/>
    <cellStyle name="Migliaia 4 2 3 3 4 2 3" xfId="6234" xr:uid="{B94C3C01-692A-42C1-87B5-76CACF88E51C}"/>
    <cellStyle name="Migliaia 4 2 3 3 4 2 3 2" xfId="21414" xr:uid="{BA018E51-6EA4-46BE-9270-3A726ABA02B9}"/>
    <cellStyle name="Migliaia 4 2 3 3 4 2 4" xfId="18126" xr:uid="{5B9032F6-BA58-4D64-994C-E6FD3C3AFA2C}"/>
    <cellStyle name="Migliaia 4 2 3 3 4 3" xfId="3804" xr:uid="{5E7E4A61-E3F4-452C-A452-5D591546EB1D}"/>
    <cellStyle name="Migliaia 4 2 3 3 4 3 2" xfId="11292" xr:uid="{CFF11091-7B02-4B58-A8B5-A37DCD36855D}"/>
    <cellStyle name="Migliaia 4 2 3 3 4 3 2 2" xfId="14838" xr:uid="{63E2186F-FB6E-404A-B6DE-F972077DEB7B}"/>
    <cellStyle name="Migliaia 4 2 3 3 4 3 2 2 2" xfId="30015" xr:uid="{F36C84DB-1F02-4FE2-B6C0-8BB14A31DCA6}"/>
    <cellStyle name="Migliaia 4 2 3 3 4 3 2 3" xfId="26470" xr:uid="{CBDCACB4-602B-4BF6-AA4D-2F45B10AF27E}"/>
    <cellStyle name="Migliaia 4 2 3 3 4 3 3" xfId="7118" xr:uid="{A01AEE81-52A7-47BE-A75F-FAF72A908DFF}"/>
    <cellStyle name="Migliaia 4 2 3 3 4 3 3 2" xfId="22298" xr:uid="{FADE933C-D20F-4919-B29D-A2036347C4A3}"/>
    <cellStyle name="Migliaia 4 2 3 3 4 3 4" xfId="19010" xr:uid="{23A933C6-5956-49D2-991A-0CE8BC21974E}"/>
    <cellStyle name="Migliaia 4 2 3 3 4 4" xfId="4556" xr:uid="{EDC40D5D-7A10-4B30-B2A5-67A6D1A49DCC}"/>
    <cellStyle name="Migliaia 4 2 3 3 4 4 2" xfId="12041" xr:uid="{3F971CB7-BDAE-4C7F-8A73-889146FA2AFA}"/>
    <cellStyle name="Migliaia 4 2 3 3 4 4 2 2" xfId="15587" xr:uid="{DD6FC4A3-6991-44EB-B55E-91E490CD1BE2}"/>
    <cellStyle name="Migliaia 4 2 3 3 4 4 2 2 2" xfId="30764" xr:uid="{B04AB6C0-9FEF-4B27-A3A3-235EF61459BA}"/>
    <cellStyle name="Migliaia 4 2 3 3 4 4 2 3" xfId="27219" xr:uid="{8E95D6FE-0BEF-4398-8791-88344425BCDC}"/>
    <cellStyle name="Migliaia 4 2 3 3 4 4 3" xfId="7867" xr:uid="{53CF7A60-8643-439E-B06A-AC41FA39DBA8}"/>
    <cellStyle name="Migliaia 4 2 3 3 4 4 3 2" xfId="23047" xr:uid="{AC7A44C3-01DC-47AA-93E8-233D5EFBF864}"/>
    <cellStyle name="Migliaia 4 2 3 3 4 4 4" xfId="19759" xr:uid="{B8501A11-9EA1-42FC-A0D9-91DB060E4FEF}"/>
    <cellStyle name="Migliaia 4 2 3 3 4 5" xfId="2027" xr:uid="{B333E9AB-890E-433E-A79A-7B166430FD39}"/>
    <cellStyle name="Migliaia 4 2 3 3 4 5 2" xfId="9524" xr:uid="{6A0412A3-3468-487C-AFAB-20A7FF42D7AD}"/>
    <cellStyle name="Migliaia 4 2 3 3 4 5 2 2" xfId="24702" xr:uid="{CE7558FA-DADC-495C-B5CE-3524975EF9E9}"/>
    <cellStyle name="Migliaia 4 2 3 3 4 5 3" xfId="17242" xr:uid="{BC58E09F-D2C5-464D-BA2D-11F0FCD101C4}"/>
    <cellStyle name="Migliaia 4 2 3 3 4 6" xfId="9010" xr:uid="{CD8EF978-E5F3-4410-847E-CFD4B88659AC}"/>
    <cellStyle name="Migliaia 4 2 3 3 4 6 2" xfId="13183" xr:uid="{C32328FA-4450-4445-AAE7-2F2A22698EE3}"/>
    <cellStyle name="Migliaia 4 2 3 3 4 6 2 2" xfId="28360" xr:uid="{9A2BA061-77EF-48E0-9CCF-23A6B00D8DE0}"/>
    <cellStyle name="Migliaia 4 2 3 3 4 6 3" xfId="24188" xr:uid="{18A22DF7-4616-4C53-9414-E72B106803B2}"/>
    <cellStyle name="Migliaia 4 2 3 3 4 7" xfId="5350" xr:uid="{CEF1FCD6-FCA8-4B4A-A1E5-7FEABCB2357E}"/>
    <cellStyle name="Migliaia 4 2 3 3 4 7 2" xfId="20530" xr:uid="{9AC8F9E3-9DA8-4568-8624-8F85E0B62C10}"/>
    <cellStyle name="Migliaia 4 2 3 3 4 8" xfId="16728" xr:uid="{38897A0F-687C-4B0F-BE63-1D51F2928DAB}"/>
    <cellStyle name="Migliaia 4 2 3 3 5" xfId="1595" xr:uid="{AF74D907-B8F6-473D-A390-DBE4FC297DCA}"/>
    <cellStyle name="Migliaia 4 2 3 3 5 2" xfId="3015" xr:uid="{F78C4A7D-F232-4101-B96B-ACBD9C25CF78}"/>
    <cellStyle name="Migliaia 4 2 3 3 5 2 2" xfId="10506" xr:uid="{3DE5D90E-473D-4E93-8DA2-0C7952514CAC}"/>
    <cellStyle name="Migliaia 4 2 3 3 5 2 2 2" xfId="14052" xr:uid="{EAC74FE2-422A-407C-A87B-14ABECF558CF}"/>
    <cellStyle name="Migliaia 4 2 3 3 5 2 2 2 2" xfId="29229" xr:uid="{8436B0FC-491A-4480-A856-96D97767801F}"/>
    <cellStyle name="Migliaia 4 2 3 3 5 2 2 3" xfId="25684" xr:uid="{39400B01-D6CC-442E-ACDF-4E9CF8976876}"/>
    <cellStyle name="Migliaia 4 2 3 3 5 2 3" xfId="6332" xr:uid="{38168207-3A0A-474D-BB22-D974FC5A0103}"/>
    <cellStyle name="Migliaia 4 2 3 3 5 2 3 2" xfId="21512" xr:uid="{3699C579-5E5D-4D40-9299-8256EE4E8840}"/>
    <cellStyle name="Migliaia 4 2 3 3 5 2 4" xfId="18224" xr:uid="{19780CE9-C632-4E55-957D-0AA63576F9F4}"/>
    <cellStyle name="Migliaia 4 2 3 3 5 3" xfId="3902" xr:uid="{F28F61ED-1A43-476B-B4CB-CF1E26970ECC}"/>
    <cellStyle name="Migliaia 4 2 3 3 5 3 2" xfId="11390" xr:uid="{8B1E86EB-2251-48F7-A9BD-37A3E501CEE1}"/>
    <cellStyle name="Migliaia 4 2 3 3 5 3 2 2" xfId="14936" xr:uid="{37B128A3-6754-431F-AA04-8C9B9DFC509C}"/>
    <cellStyle name="Migliaia 4 2 3 3 5 3 2 2 2" xfId="30113" xr:uid="{BE12923D-1E31-4AB6-A17F-B14E1B19D0D8}"/>
    <cellStyle name="Migliaia 4 2 3 3 5 3 2 3" xfId="26568" xr:uid="{99181CE0-F779-4449-8A3B-04D4C94531B1}"/>
    <cellStyle name="Migliaia 4 2 3 3 5 3 3" xfId="7216" xr:uid="{D6D9C5B3-1335-4401-A3AB-D9922C39ACB4}"/>
    <cellStyle name="Migliaia 4 2 3 3 5 3 3 2" xfId="22396" xr:uid="{911D96E8-4621-4E60-9EBE-68E8EA4A7571}"/>
    <cellStyle name="Migliaia 4 2 3 3 5 3 4" xfId="19108" xr:uid="{05CB004D-62BF-430C-9F53-9B1812B7BFD9}"/>
    <cellStyle name="Migliaia 4 2 3 3 5 4" xfId="4557" xr:uid="{926649E0-F8C5-4BCB-9652-EF5918D02124}"/>
    <cellStyle name="Migliaia 4 2 3 3 5 4 2" xfId="12042" xr:uid="{CDC58072-474A-46E6-8240-D31B00DE3FF8}"/>
    <cellStyle name="Migliaia 4 2 3 3 5 4 2 2" xfId="15588" xr:uid="{81563576-5C88-4C8D-8C49-F493AD1FF65B}"/>
    <cellStyle name="Migliaia 4 2 3 3 5 4 2 2 2" xfId="30765" xr:uid="{FA342267-5614-48CC-9F41-727E42CFFD0A}"/>
    <cellStyle name="Migliaia 4 2 3 3 5 4 2 3" xfId="27220" xr:uid="{72AA4BB0-A462-462F-93EC-37DF94845147}"/>
    <cellStyle name="Migliaia 4 2 3 3 5 4 3" xfId="7868" xr:uid="{63C640D4-72F4-49CE-91E2-900761D57D36}"/>
    <cellStyle name="Migliaia 4 2 3 3 5 4 3 2" xfId="23048" xr:uid="{265B2986-28DC-434C-A2CF-F9487BEBA1E4}"/>
    <cellStyle name="Migliaia 4 2 3 3 5 4 4" xfId="19760" xr:uid="{C549F618-CC5E-42BA-99DD-8445F20E2C4E}"/>
    <cellStyle name="Migliaia 4 2 3 3 5 5" xfId="2125" xr:uid="{08AF4FC0-B958-43E7-98FE-65A404254901}"/>
    <cellStyle name="Migliaia 4 2 3 3 5 5 2" xfId="9622" xr:uid="{D6C1E8CB-DC57-45A2-A077-071F83D879A2}"/>
    <cellStyle name="Migliaia 4 2 3 3 5 5 2 2" xfId="24800" xr:uid="{E3004159-10FE-4436-98C1-651D738FFF3A}"/>
    <cellStyle name="Migliaia 4 2 3 3 5 5 3" xfId="17340" xr:uid="{C59A4245-8A49-4CD8-8D8A-DC3F05C347AC}"/>
    <cellStyle name="Migliaia 4 2 3 3 5 6" xfId="9108" xr:uid="{2021285A-9A41-4AA0-9470-0F257924F8C6}"/>
    <cellStyle name="Migliaia 4 2 3 3 5 6 2" xfId="13281" xr:uid="{FAD231C8-83C2-4DF8-8B92-3A08AF24588A}"/>
    <cellStyle name="Migliaia 4 2 3 3 5 6 2 2" xfId="28458" xr:uid="{3911ACA3-5D67-45D1-8D3B-5B51031CCA6D}"/>
    <cellStyle name="Migliaia 4 2 3 3 5 6 3" xfId="24286" xr:uid="{34533742-D9E8-4E11-AD12-FAB42B9E59B6}"/>
    <cellStyle name="Migliaia 4 2 3 3 5 7" xfId="5448" xr:uid="{EE1B224A-74FF-4C81-8EA3-5AC77C854BC0}"/>
    <cellStyle name="Migliaia 4 2 3 3 5 7 2" xfId="20628" xr:uid="{C986DCFF-765D-4FAF-8E50-481217B94478}"/>
    <cellStyle name="Migliaia 4 2 3 3 5 8" xfId="16826" xr:uid="{0FA9DD4A-0C47-4D2D-979A-83B3B44468B7}"/>
    <cellStyle name="Migliaia 4 2 3 3 6" xfId="1694" xr:uid="{07E5583D-DED3-4AA2-93D5-E57E861A5E6C}"/>
    <cellStyle name="Migliaia 4 2 3 3 6 2" xfId="3113" xr:uid="{3E889C7B-3CDA-4036-99DC-7411F70D7EEE}"/>
    <cellStyle name="Migliaia 4 2 3 3 6 2 2" xfId="10604" xr:uid="{97FA1364-D257-41F1-9F2A-3BB4273D8D3C}"/>
    <cellStyle name="Migliaia 4 2 3 3 6 2 2 2" xfId="14150" xr:uid="{53B11076-5C03-4ED5-8CBD-9A82FB28D889}"/>
    <cellStyle name="Migliaia 4 2 3 3 6 2 2 2 2" xfId="29327" xr:uid="{6C8D49FF-E0B0-4DE7-897A-7967E9597288}"/>
    <cellStyle name="Migliaia 4 2 3 3 6 2 2 3" xfId="25782" xr:uid="{F076B142-6A1C-4950-915B-005504FBE423}"/>
    <cellStyle name="Migliaia 4 2 3 3 6 2 3" xfId="6430" xr:uid="{A74701B7-9A97-4347-9097-E3EF1C55684E}"/>
    <cellStyle name="Migliaia 4 2 3 3 6 2 3 2" xfId="21610" xr:uid="{740509FD-0920-40E8-A381-F4584E3B639F}"/>
    <cellStyle name="Migliaia 4 2 3 3 6 2 4" xfId="18322" xr:uid="{A8A7C616-7BAE-4C53-A7A2-322E17F6F051}"/>
    <cellStyle name="Migliaia 4 2 3 3 6 3" xfId="4000" xr:uid="{1DA2B4B1-4B63-4CE3-8B30-02DB8D9CBEE9}"/>
    <cellStyle name="Migliaia 4 2 3 3 6 3 2" xfId="11488" xr:uid="{E81C75C0-E914-4030-9FA3-43C7C34B1FAB}"/>
    <cellStyle name="Migliaia 4 2 3 3 6 3 2 2" xfId="15034" xr:uid="{A5086EB8-B7D1-45D9-888B-6A303C04BE17}"/>
    <cellStyle name="Migliaia 4 2 3 3 6 3 2 2 2" xfId="30211" xr:uid="{3C87F83F-104C-44A6-88D2-150ED1E076BF}"/>
    <cellStyle name="Migliaia 4 2 3 3 6 3 2 3" xfId="26666" xr:uid="{7CC0144F-5819-427E-BB48-B177552FCC69}"/>
    <cellStyle name="Migliaia 4 2 3 3 6 3 3" xfId="7314" xr:uid="{152D96ED-FDD6-4085-B9DB-3718F63571F5}"/>
    <cellStyle name="Migliaia 4 2 3 3 6 3 3 2" xfId="22494" xr:uid="{49A8F734-3106-4D89-AEE0-FC7E0879FD1C}"/>
    <cellStyle name="Migliaia 4 2 3 3 6 3 4" xfId="19206" xr:uid="{6CF07940-35EE-47C4-8D58-2E48604C44EC}"/>
    <cellStyle name="Migliaia 4 2 3 3 6 4" xfId="4558" xr:uid="{C4BA4448-587F-4514-80ED-1392807993B6}"/>
    <cellStyle name="Migliaia 4 2 3 3 6 4 2" xfId="12043" xr:uid="{49D4CFEB-CE80-4859-8C3B-E26DEC00A1D7}"/>
    <cellStyle name="Migliaia 4 2 3 3 6 4 2 2" xfId="15589" xr:uid="{D4D2C957-268A-4A4A-AEB6-007BF360112C}"/>
    <cellStyle name="Migliaia 4 2 3 3 6 4 2 2 2" xfId="30766" xr:uid="{70833BAB-F70D-4110-9334-81AA3996E357}"/>
    <cellStyle name="Migliaia 4 2 3 3 6 4 2 3" xfId="27221" xr:uid="{1D82ACBF-0B8C-46B4-9F2C-FAA18FA3B2E6}"/>
    <cellStyle name="Migliaia 4 2 3 3 6 4 3" xfId="7869" xr:uid="{B3A9F686-47DE-4041-AE17-CC57B0D2F0B2}"/>
    <cellStyle name="Migliaia 4 2 3 3 6 4 3 2" xfId="23049" xr:uid="{6A1CD694-7D0E-410A-BE9A-1B3685B343BB}"/>
    <cellStyle name="Migliaia 4 2 3 3 6 4 4" xfId="19761" xr:uid="{7FBC26F2-3CC0-4686-A457-8CCA7255BC80}"/>
    <cellStyle name="Migliaia 4 2 3 3 6 5" xfId="2223" xr:uid="{039881B7-C6FA-4D28-8A2E-BC87D59F2CA3}"/>
    <cellStyle name="Migliaia 4 2 3 3 6 5 2" xfId="9720" xr:uid="{8F76BF43-0457-4720-8588-DA4941544C7B}"/>
    <cellStyle name="Migliaia 4 2 3 3 6 5 2 2" xfId="24898" xr:uid="{FFC1E556-2BBF-4B13-B0F8-78E1F95D41F7}"/>
    <cellStyle name="Migliaia 4 2 3 3 6 5 3" xfId="17438" xr:uid="{2AEAF92C-7ADA-4B30-9CF4-7D16F0CD5393}"/>
    <cellStyle name="Migliaia 4 2 3 3 6 6" xfId="9206" xr:uid="{FA213A06-D9DF-42C5-A88E-62262DACC092}"/>
    <cellStyle name="Migliaia 4 2 3 3 6 6 2" xfId="13379" xr:uid="{B02AF60A-2D84-43B5-B034-533F515328D6}"/>
    <cellStyle name="Migliaia 4 2 3 3 6 6 2 2" xfId="28556" xr:uid="{B1704364-6DFD-4D73-B51C-7B079AD5E2A2}"/>
    <cellStyle name="Migliaia 4 2 3 3 6 6 3" xfId="24384" xr:uid="{B86540E8-C00C-4AFE-BA86-56239D406143}"/>
    <cellStyle name="Migliaia 4 2 3 3 6 7" xfId="5546" xr:uid="{51277B8D-FCE5-42EB-BB06-91BA90FDD036}"/>
    <cellStyle name="Migliaia 4 2 3 3 6 7 2" xfId="20726" xr:uid="{2C815800-FD3B-44B9-94DE-CD85471C8B2E}"/>
    <cellStyle name="Migliaia 4 2 3 3 6 8" xfId="16924" xr:uid="{A9414861-15B1-4136-A01E-9BCDD6913B17}"/>
    <cellStyle name="Migliaia 4 2 3 3 7" xfId="2323" xr:uid="{430C8C92-D192-43ED-B150-265B9168D86A}"/>
    <cellStyle name="Migliaia 4 2 3 3 7 2" xfId="9818" xr:uid="{222A5812-8C22-4996-BE50-913C6C66A8FA}"/>
    <cellStyle name="Migliaia 4 2 3 3 7 2 2" xfId="13477" xr:uid="{4515801E-6588-4C13-BC0A-8410E8E0EB0F}"/>
    <cellStyle name="Migliaia 4 2 3 3 7 2 2 2" xfId="28654" xr:uid="{6B65BBB0-8A5D-4C56-AA6C-37C18FC78D20}"/>
    <cellStyle name="Migliaia 4 2 3 3 7 2 3" xfId="24996" xr:uid="{8CCDBCF9-9E76-4447-871F-291F3A849104}"/>
    <cellStyle name="Migliaia 4 2 3 3 7 3" xfId="5644" xr:uid="{52F7F514-1F35-444C-9B13-C471EC11465B}"/>
    <cellStyle name="Migliaia 4 2 3 3 7 3 2" xfId="20824" xr:uid="{B8F98261-5181-48AB-B0FB-D18420098B5A}"/>
    <cellStyle name="Migliaia 4 2 3 3 7 4" xfId="17536" xr:uid="{7D04EA16-0ADF-478A-8112-227F8EEAC525}"/>
    <cellStyle name="Migliaia 4 2 3 3 8" xfId="3213" xr:uid="{7A17420B-CD78-4656-81A2-73E884E73ED4}"/>
    <cellStyle name="Migliaia 4 2 3 3 8 2" xfId="10702" xr:uid="{66851677-88EE-4980-BF5A-A5A6212B142D}"/>
    <cellStyle name="Migliaia 4 2 3 3 8 2 2" xfId="14248" xr:uid="{02679645-3F88-4DE4-8E0F-1195B34BF9F2}"/>
    <cellStyle name="Migliaia 4 2 3 3 8 2 2 2" xfId="29425" xr:uid="{6CCAE162-A7C0-41B0-BE98-3C5C8F1A9A37}"/>
    <cellStyle name="Migliaia 4 2 3 3 8 2 3" xfId="25880" xr:uid="{5E4134C9-501F-48C3-9A19-BAD4048D9C9C}"/>
    <cellStyle name="Migliaia 4 2 3 3 8 3" xfId="6528" xr:uid="{182A4ACB-8B82-416C-BB37-6590B1722ABB}"/>
    <cellStyle name="Migliaia 4 2 3 3 8 3 2" xfId="21708" xr:uid="{3BBE402A-7EDC-4EF4-B64D-84CD316BBF3E}"/>
    <cellStyle name="Migliaia 4 2 3 3 8 4" xfId="18420" xr:uid="{F7DE56D0-CD02-4BAE-934D-185A754E22A3}"/>
    <cellStyle name="Migliaia 4 2 3 3 9" xfId="4559" xr:uid="{93E1A847-DF6A-4BAD-A6B5-3AD7B0B336C1}"/>
    <cellStyle name="Migliaia 4 2 3 3 9 2" xfId="12044" xr:uid="{81AED94A-A57D-4DB3-8BF1-8BF90192A528}"/>
    <cellStyle name="Migliaia 4 2 3 3 9 2 2" xfId="15590" xr:uid="{21E8E5D4-C346-4FE1-8DBF-B2B797300951}"/>
    <cellStyle name="Migliaia 4 2 3 3 9 2 2 2" xfId="30767" xr:uid="{EE8AA885-FB61-45F4-8E92-5AB70FE50B1F}"/>
    <cellStyle name="Migliaia 4 2 3 3 9 2 3" xfId="27222" xr:uid="{4613BEF7-B035-4CD2-B4A4-3B0374B3C55C}"/>
    <cellStyle name="Migliaia 4 2 3 3 9 3" xfId="7870" xr:uid="{08387BE6-0222-4228-8C43-61702497A134}"/>
    <cellStyle name="Migliaia 4 2 3 3 9 3 2" xfId="23050" xr:uid="{14352210-D36C-4063-9500-74BE14E978D8}"/>
    <cellStyle name="Migliaia 4 2 3 3 9 4" xfId="19762" xr:uid="{1B45ED9B-1072-4AD6-8088-B956194B3B36}"/>
    <cellStyle name="Migliaia 4 2 3 4" xfId="881" xr:uid="{7010908C-3FAF-4384-9E95-8BB14A10D16C}"/>
    <cellStyle name="Migliaia 4 2 3 4 2" xfId="2399" xr:uid="{04B424FE-D2D8-401D-89DB-C649337BC9EB}"/>
    <cellStyle name="Migliaia 4 2 3 4 2 2" xfId="9891" xr:uid="{D5B82738-C28F-412E-A44F-6FF89114F368}"/>
    <cellStyle name="Migliaia 4 2 3 4 2 2 2" xfId="13550" xr:uid="{ADE8FB43-2490-4E54-B9E9-517F58570FCC}"/>
    <cellStyle name="Migliaia 4 2 3 4 2 2 2 2" xfId="28727" xr:uid="{6AF22BA2-AE3A-413F-AB26-38334B0164D6}"/>
    <cellStyle name="Migliaia 4 2 3 4 2 2 3" xfId="25069" xr:uid="{14E80E35-9E62-4756-9A03-0844D9180D13}"/>
    <cellStyle name="Migliaia 4 2 3 4 2 3" xfId="5717" xr:uid="{1BAC8E87-0A0B-4E74-9B72-0C1FD2A81972}"/>
    <cellStyle name="Migliaia 4 2 3 4 2 3 2" xfId="20897" xr:uid="{2A91F25F-CFB3-4CDA-BA89-557678D84D0C}"/>
    <cellStyle name="Migliaia 4 2 3 4 2 4" xfId="17609" xr:uid="{BCAF0B19-E39C-4825-B6F2-3213329C0132}"/>
    <cellStyle name="Migliaia 4 2 3 4 3" xfId="3287" xr:uid="{D25B6717-6532-435B-8836-8372FAC7E775}"/>
    <cellStyle name="Migliaia 4 2 3 4 3 2" xfId="10775" xr:uid="{F30EFFC7-48CA-408B-99D3-5FB716F255CF}"/>
    <cellStyle name="Migliaia 4 2 3 4 3 2 2" xfId="14321" xr:uid="{8D2F2C82-0239-40AC-88EA-BFF3736702A0}"/>
    <cellStyle name="Migliaia 4 2 3 4 3 2 2 2" xfId="29498" xr:uid="{ACDFDD1E-0BD4-417D-B3C8-4AFCD3BF2009}"/>
    <cellStyle name="Migliaia 4 2 3 4 3 2 3" xfId="25953" xr:uid="{5D7DD1F7-93F3-423C-A731-60A034D25DBF}"/>
    <cellStyle name="Migliaia 4 2 3 4 3 3" xfId="6601" xr:uid="{02049F3A-A75E-43D1-A612-016743074D49}"/>
    <cellStyle name="Migliaia 4 2 3 4 3 3 2" xfId="21781" xr:uid="{DBFD0E7B-BA6F-4C94-9586-B0E358735660}"/>
    <cellStyle name="Migliaia 4 2 3 4 3 4" xfId="18493" xr:uid="{93F5E794-6D26-4B6E-83D1-F24B8E40FBB7}"/>
    <cellStyle name="Migliaia 4 2 3 4 4" xfId="4560" xr:uid="{16E9C472-675D-4928-84B4-57F72DB669B5}"/>
    <cellStyle name="Migliaia 4 2 3 4 4 2" xfId="12045" xr:uid="{0E32D7B2-F377-453D-B2FD-29C87186D4BA}"/>
    <cellStyle name="Migliaia 4 2 3 4 4 2 2" xfId="15591" xr:uid="{A348B192-4685-4C17-B564-51B7DFA8C3C0}"/>
    <cellStyle name="Migliaia 4 2 3 4 4 2 2 2" xfId="30768" xr:uid="{B7AE131D-0A12-4ED7-8DD7-863ECBE68514}"/>
    <cellStyle name="Migliaia 4 2 3 4 4 2 3" xfId="27223" xr:uid="{4CA0CF47-C722-45D2-9FD9-B1C49AC21BCB}"/>
    <cellStyle name="Migliaia 4 2 3 4 4 3" xfId="7871" xr:uid="{2895EC38-77FC-44CB-ADAC-9AFA0DDB1E2D}"/>
    <cellStyle name="Migliaia 4 2 3 4 4 3 2" xfId="23051" xr:uid="{24A0F747-C37A-4860-BD46-4D28FDC02035}"/>
    <cellStyle name="Migliaia 4 2 3 4 4 4" xfId="19763" xr:uid="{9804B90B-0E1F-45E9-A310-AD9C1596C40A}"/>
    <cellStyle name="Migliaia 4 2 3 4 5" xfId="8493" xr:uid="{E30FC7BB-2B94-4308-811B-4A570EF1EEBA}"/>
    <cellStyle name="Migliaia 4 2 3 4 5 2" xfId="12666" xr:uid="{44C6B611-288A-43BF-9004-CF228ABB740A}"/>
    <cellStyle name="Migliaia 4 2 3 4 5 2 2" xfId="27843" xr:uid="{4E8B74CD-3759-447F-9514-4069B8D3C435}"/>
    <cellStyle name="Migliaia 4 2 3 4 5 3" xfId="23671" xr:uid="{9EEDBB12-B3F9-4BD2-962B-C5A3BCE97706}"/>
    <cellStyle name="Migliaia 4 2 3 4 6" xfId="16211" xr:uid="{761BFB2D-5160-43D9-BFAB-6A0A6448001C}"/>
    <cellStyle name="Migliaia 4 2 3 4 7" xfId="31651" xr:uid="{3DC175FB-1A7D-4DF0-843D-622A8F3033F4}"/>
    <cellStyle name="Migliaia 4 2 3 5" xfId="984" xr:uid="{61F528FB-49E5-4C09-A6C9-C3361B723B74}"/>
    <cellStyle name="Migliaia 4 2 3 5 2" xfId="2497" xr:uid="{0941F24A-29FF-4840-95F5-8F21869B05C5}"/>
    <cellStyle name="Migliaia 4 2 3 5 2 2" xfId="9989" xr:uid="{3D02B4E1-7556-4219-8794-ECAF86FFF1A4}"/>
    <cellStyle name="Migliaia 4 2 3 5 2 2 2" xfId="13648" xr:uid="{4FF7C830-7C96-4123-B833-E444A0AAE58A}"/>
    <cellStyle name="Migliaia 4 2 3 5 2 2 2 2" xfId="28825" xr:uid="{0518EADA-8A10-49BA-9098-8ECC0576BE03}"/>
    <cellStyle name="Migliaia 4 2 3 5 2 2 3" xfId="25167" xr:uid="{B6B2DC1F-9C02-465C-98D2-5729B14A7425}"/>
    <cellStyle name="Migliaia 4 2 3 5 2 3" xfId="5815" xr:uid="{8B11F314-AA58-4AA7-992A-F26D8A4792F4}"/>
    <cellStyle name="Migliaia 4 2 3 5 2 3 2" xfId="20995" xr:uid="{98B673FB-B028-4572-9894-4424D2789C98}"/>
    <cellStyle name="Migliaia 4 2 3 5 2 4" xfId="17707" xr:uid="{A8977176-FC6A-4B4E-BFBD-25B0F57B9EA2}"/>
    <cellStyle name="Migliaia 4 2 3 5 3" xfId="3385" xr:uid="{3B6FE31F-2BCE-4257-972B-75D1C9A78C00}"/>
    <cellStyle name="Migliaia 4 2 3 5 3 2" xfId="10873" xr:uid="{271F7A31-C851-48B6-A8DF-8DD9265703E4}"/>
    <cellStyle name="Migliaia 4 2 3 5 3 2 2" xfId="14419" xr:uid="{A4636740-F1FD-4355-871B-F9E5FE6FCB6E}"/>
    <cellStyle name="Migliaia 4 2 3 5 3 2 2 2" xfId="29596" xr:uid="{C9E9D876-9244-4EFD-BE84-283B319B3D98}"/>
    <cellStyle name="Migliaia 4 2 3 5 3 2 3" xfId="26051" xr:uid="{4F43AC7A-7623-4686-ABDD-36198A140630}"/>
    <cellStyle name="Migliaia 4 2 3 5 3 3" xfId="6699" xr:uid="{FBCE69DC-A08B-4859-9A0F-2CB971A56A5B}"/>
    <cellStyle name="Migliaia 4 2 3 5 3 3 2" xfId="21879" xr:uid="{701B1EFD-E635-4D96-9C65-35E2CCD2D46D}"/>
    <cellStyle name="Migliaia 4 2 3 5 3 4" xfId="18591" xr:uid="{0B0FF6B8-F6F9-4F9C-A776-D0A9B47E341C}"/>
    <cellStyle name="Migliaia 4 2 3 5 4" xfId="4561" xr:uid="{E0139BF7-1337-4649-922C-9192EC689E65}"/>
    <cellStyle name="Migliaia 4 2 3 5 4 2" xfId="12046" xr:uid="{8DE94C5A-FB05-4012-85ED-681CC2D3D278}"/>
    <cellStyle name="Migliaia 4 2 3 5 4 2 2" xfId="15592" xr:uid="{F6CD0493-AC8E-472D-8E49-C7F1F4AEF20E}"/>
    <cellStyle name="Migliaia 4 2 3 5 4 2 2 2" xfId="30769" xr:uid="{55E4A725-266D-4A87-9A59-E7D6C1492700}"/>
    <cellStyle name="Migliaia 4 2 3 5 4 2 3" xfId="27224" xr:uid="{7A351BCD-F8C6-42E7-B4F0-7CA28BD368EE}"/>
    <cellStyle name="Migliaia 4 2 3 5 4 3" xfId="7872" xr:uid="{5A476264-4B60-474C-896F-E9D02EBD61AF}"/>
    <cellStyle name="Migliaia 4 2 3 5 4 3 2" xfId="23052" xr:uid="{2FBDF8C2-62E4-4878-95E2-830E969CA542}"/>
    <cellStyle name="Migliaia 4 2 3 5 4 4" xfId="19764" xr:uid="{A0B5DF10-0C56-4723-AF2A-5D874D9272C1}"/>
    <cellStyle name="Migliaia 4 2 3 5 5" xfId="8591" xr:uid="{6D42A372-68F3-4613-8663-FE6798870606}"/>
    <cellStyle name="Migliaia 4 2 3 5 5 2" xfId="12764" xr:uid="{A7A8A24D-D796-437F-905F-7EAB659AB318}"/>
    <cellStyle name="Migliaia 4 2 3 5 5 2 2" xfId="27941" xr:uid="{E0B731E9-C4AC-4638-9F91-E32D7F628EFD}"/>
    <cellStyle name="Migliaia 4 2 3 5 5 3" xfId="23769" xr:uid="{D0E77A9D-A31F-4C6D-9FD7-C1E269FFDAA7}"/>
    <cellStyle name="Migliaia 4 2 3 5 6" xfId="16309" xr:uid="{DFB075E7-A482-4AA6-B77C-42B60546F64A}"/>
    <cellStyle name="Migliaia 4 2 3 5 7" xfId="31529" xr:uid="{EB93CE28-2FE7-4C50-9CDF-79D539B63CE3}"/>
    <cellStyle name="Migliaia 4 2 3 6" xfId="1167" xr:uid="{9ED0BF4A-CF81-4E74-9C7A-A0FAD7697C54}"/>
    <cellStyle name="Migliaia 4 2 3 6 2" xfId="2600" xr:uid="{280EF481-66D4-4EA6-9CE4-EBE89BFF3089}"/>
    <cellStyle name="Migliaia 4 2 3 6 2 2" xfId="10091" xr:uid="{78A46A2E-0A2A-422D-B0C3-BC6C8211C413}"/>
    <cellStyle name="Migliaia 4 2 3 6 2 2 2" xfId="13749" xr:uid="{55EE26B2-DD7B-40BB-A869-D1A2A1706C31}"/>
    <cellStyle name="Migliaia 4 2 3 6 2 2 2 2" xfId="28926" xr:uid="{87115C5D-6D83-4F00-AA0C-2B2F066D4565}"/>
    <cellStyle name="Migliaia 4 2 3 6 2 2 3" xfId="25269" xr:uid="{7DEB08A6-73CA-439F-9FA5-DBD86E3538E4}"/>
    <cellStyle name="Migliaia 4 2 3 6 2 3" xfId="5917" xr:uid="{8A14D32F-9EEB-4E65-AEF3-3F1551C0AB27}"/>
    <cellStyle name="Migliaia 4 2 3 6 2 3 2" xfId="21097" xr:uid="{B8760AAB-E156-4E2D-A251-E12B06127A24}"/>
    <cellStyle name="Migliaia 4 2 3 6 2 4" xfId="17809" xr:uid="{407223E3-7295-4334-9002-EEBC1062BB8C}"/>
    <cellStyle name="Migliaia 4 2 3 6 3" xfId="3487" xr:uid="{7A205DD9-BD85-48B0-8CDC-665506E9CD2C}"/>
    <cellStyle name="Migliaia 4 2 3 6 3 2" xfId="10975" xr:uid="{A64E27E1-8814-4D51-B2F4-CC08ACC38FE0}"/>
    <cellStyle name="Migliaia 4 2 3 6 3 2 2" xfId="14521" xr:uid="{D0B4B613-FF65-480F-A73B-C291C70AF8A7}"/>
    <cellStyle name="Migliaia 4 2 3 6 3 2 2 2" xfId="29698" xr:uid="{49CBEDF9-D704-4377-AF44-CEC307A17FA5}"/>
    <cellStyle name="Migliaia 4 2 3 6 3 2 3" xfId="26153" xr:uid="{CBAC5FBB-1292-4270-BA7A-AF6A4739D158}"/>
    <cellStyle name="Migliaia 4 2 3 6 3 3" xfId="6801" xr:uid="{A6C3CC51-D407-49D0-8D40-82878F13E5E2}"/>
    <cellStyle name="Migliaia 4 2 3 6 3 3 2" xfId="21981" xr:uid="{D80F0AA5-B344-42D8-B0A0-33BDEC644068}"/>
    <cellStyle name="Migliaia 4 2 3 6 3 4" xfId="18693" xr:uid="{39DB2A8F-C4B0-49E6-A0DA-0E6B7CB90381}"/>
    <cellStyle name="Migliaia 4 2 3 6 4" xfId="4562" xr:uid="{E004585C-9C32-43CC-B005-86C875BE0888}"/>
    <cellStyle name="Migliaia 4 2 3 6 4 2" xfId="12047" xr:uid="{920BE26B-27A8-4C13-ABFF-C900B3B7DEC5}"/>
    <cellStyle name="Migliaia 4 2 3 6 4 2 2" xfId="15593" xr:uid="{77B3B84E-8DC9-45DA-AA5C-0AA179BC3D57}"/>
    <cellStyle name="Migliaia 4 2 3 6 4 2 2 2" xfId="30770" xr:uid="{56961940-A1C2-4229-BFD6-36DE4430D053}"/>
    <cellStyle name="Migliaia 4 2 3 6 4 2 3" xfId="27225" xr:uid="{AF156E9E-B955-4482-B6DE-7DF1D375C836}"/>
    <cellStyle name="Migliaia 4 2 3 6 4 3" xfId="7873" xr:uid="{FA7E786F-23FC-4740-A549-2263C0A8B161}"/>
    <cellStyle name="Migliaia 4 2 3 6 4 3 2" xfId="23053" xr:uid="{492B8987-0CB9-4DB8-BA5F-A63ACAE79D11}"/>
    <cellStyle name="Migliaia 4 2 3 6 4 4" xfId="19765" xr:uid="{5E314FD3-08EE-4699-B065-B835DC1111A6}"/>
    <cellStyle name="Migliaia 4 2 3 6 5" xfId="8693" xr:uid="{C4DC27C2-DAD3-468F-8367-86CB7816A169}"/>
    <cellStyle name="Migliaia 4 2 3 6 5 2" xfId="12866" xr:uid="{AD760031-C6CE-44BE-A3DE-E7322DA788A4}"/>
    <cellStyle name="Migliaia 4 2 3 6 5 2 2" xfId="28043" xr:uid="{5CDB04AB-B7C4-4F73-8AA1-FDDDB6A92343}"/>
    <cellStyle name="Migliaia 4 2 3 6 5 3" xfId="23871" xr:uid="{ABC6C5E9-6E94-45D7-A037-90AE5604DD81}"/>
    <cellStyle name="Migliaia 4 2 3 6 6" xfId="16411" xr:uid="{5ACF0604-8117-4A28-9CCF-4452BEF90083}"/>
    <cellStyle name="Migliaia 4 2 3 7" xfId="1193" xr:uid="{F8F35D34-C537-46A6-84DE-4DF7FBC10138}"/>
    <cellStyle name="Migliaia 4 2 3 7 2" xfId="2624" xr:uid="{AEE43A42-45F3-472A-9FBF-2578F87B104A}"/>
    <cellStyle name="Migliaia 4 2 3 7 2 2" xfId="10115" xr:uid="{9554A985-C7CB-4927-A9E1-4A053673E820}"/>
    <cellStyle name="Migliaia 4 2 3 7 2 2 2" xfId="13773" xr:uid="{D888EB21-FAD2-494F-AE5F-72C61AED9180}"/>
    <cellStyle name="Migliaia 4 2 3 7 2 2 2 2" xfId="28950" xr:uid="{CEF7986B-A69F-4170-A3B2-D57634A07970}"/>
    <cellStyle name="Migliaia 4 2 3 7 2 2 3" xfId="25293" xr:uid="{35A1F254-B296-4629-AEE1-474D1A493FF4}"/>
    <cellStyle name="Migliaia 4 2 3 7 2 3" xfId="5941" xr:uid="{29D44C24-5793-4A46-B2E6-D048DF748C1F}"/>
    <cellStyle name="Migliaia 4 2 3 7 2 3 2" xfId="21121" xr:uid="{3468FB97-CD70-414E-AF38-411EC98E4747}"/>
    <cellStyle name="Migliaia 4 2 3 7 2 4" xfId="17833" xr:uid="{14686A9B-8BD2-443C-AA11-F06A7C640549}"/>
    <cellStyle name="Migliaia 4 2 3 7 3" xfId="3511" xr:uid="{EF8208B8-B55D-4E9E-815B-EB4ED1382C9D}"/>
    <cellStyle name="Migliaia 4 2 3 7 3 2" xfId="10999" xr:uid="{93262816-AA8B-4291-90BF-F14A616F88EF}"/>
    <cellStyle name="Migliaia 4 2 3 7 3 2 2" xfId="14545" xr:uid="{4A06811E-7E2D-46AE-9328-5E3E6EA1AE91}"/>
    <cellStyle name="Migliaia 4 2 3 7 3 2 2 2" xfId="29722" xr:uid="{A38204B6-ECCC-4008-8246-4FC606DCF5F4}"/>
    <cellStyle name="Migliaia 4 2 3 7 3 2 3" xfId="26177" xr:uid="{10EBCFE8-DC41-4117-9793-55495FDE4FFC}"/>
    <cellStyle name="Migliaia 4 2 3 7 3 3" xfId="6825" xr:uid="{EB0A1C9B-48B8-4CC3-9436-F256A1CFE14F}"/>
    <cellStyle name="Migliaia 4 2 3 7 3 3 2" xfId="22005" xr:uid="{7818944A-015B-4292-A12B-5C68B1F49637}"/>
    <cellStyle name="Migliaia 4 2 3 7 3 4" xfId="18717" xr:uid="{B98FCA83-481C-4FD4-9C50-0A3B249C3846}"/>
    <cellStyle name="Migliaia 4 2 3 7 4" xfId="4563" xr:uid="{B1FD7DD4-9599-4F80-96B9-CFEFEF277CF2}"/>
    <cellStyle name="Migliaia 4 2 3 7 4 2" xfId="12048" xr:uid="{3E57EC15-7AB2-40AC-9CA0-62481CE73762}"/>
    <cellStyle name="Migliaia 4 2 3 7 4 2 2" xfId="15594" xr:uid="{AA50A330-AFE8-454A-9C39-2CA4A78CDC76}"/>
    <cellStyle name="Migliaia 4 2 3 7 4 2 2 2" xfId="30771" xr:uid="{85C01A7D-ED71-438C-B516-71F895A1F0AE}"/>
    <cellStyle name="Migliaia 4 2 3 7 4 2 3" xfId="27226" xr:uid="{DA5ED7E7-4AF9-4ADA-A85F-3FE346007E02}"/>
    <cellStyle name="Migliaia 4 2 3 7 4 3" xfId="7874" xr:uid="{CD402442-D9C4-4150-B0E9-A8B51B4C7864}"/>
    <cellStyle name="Migliaia 4 2 3 7 4 3 2" xfId="23054" xr:uid="{C7394622-9294-449B-BC32-A3E0B24B6D7F}"/>
    <cellStyle name="Migliaia 4 2 3 7 4 4" xfId="19766" xr:uid="{6D2B8DED-894D-46CA-8CAF-873AC9E8423E}"/>
    <cellStyle name="Migliaia 4 2 3 7 5" xfId="8717" xr:uid="{5BC6BCBD-9910-443A-9A95-6C9FD530B32A}"/>
    <cellStyle name="Migliaia 4 2 3 7 5 2" xfId="12890" xr:uid="{D649B032-EF4C-40B9-B933-795A0A235D3C}"/>
    <cellStyle name="Migliaia 4 2 3 7 5 2 2" xfId="28067" xr:uid="{C275C6D6-33E0-48AB-8E5A-3588355027FD}"/>
    <cellStyle name="Migliaia 4 2 3 7 5 3" xfId="23895" xr:uid="{B2F83C12-1389-4A80-B56A-D1FCE3B1D9C4}"/>
    <cellStyle name="Migliaia 4 2 3 7 6" xfId="16435" xr:uid="{8EDCDABE-A9A1-4666-BF7F-C0820FC0894D}"/>
    <cellStyle name="Migliaia 4 2 3 8" xfId="1242" xr:uid="{20FCDCF3-22AB-46A8-B324-D0761C0ECBEF}"/>
    <cellStyle name="Migliaia 4 2 3 8 10" xfId="31301" xr:uid="{60E02473-A9C4-439C-BFD1-4A3CE3CBA843}"/>
    <cellStyle name="Migliaia 4 2 3 8 2" xfId="2672" xr:uid="{A21EDCA4-D30D-4782-B451-10DCC2AB4019}"/>
    <cellStyle name="Migliaia 4 2 3 8 2 2" xfId="10163" xr:uid="{CFC6C818-AF16-4398-870B-7CEFC46515C6}"/>
    <cellStyle name="Migliaia 4 2 3 8 2 2 2" xfId="13807" xr:uid="{C1222A31-839C-4D9B-AC75-BACF81EF4D2B}"/>
    <cellStyle name="Migliaia 4 2 3 8 2 2 2 2" xfId="28984" xr:uid="{3455CE87-9343-41BE-9B28-F71C80E690A1}"/>
    <cellStyle name="Migliaia 4 2 3 8 2 2 3" xfId="25341" xr:uid="{2D8502D5-E3BC-4F12-94BB-70F3E70AF2C5}"/>
    <cellStyle name="Migliaia 4 2 3 8 2 3" xfId="5989" xr:uid="{C8B65DF6-2DFF-4F6B-8074-1A5E20E96E70}"/>
    <cellStyle name="Migliaia 4 2 3 8 2 3 2" xfId="21169" xr:uid="{81D6D467-D181-4632-A6BB-D29CDB338279}"/>
    <cellStyle name="Migliaia 4 2 3 8 2 4" xfId="17881" xr:uid="{B51540A7-5BB0-4AC2-898E-2F4F9460B342}"/>
    <cellStyle name="Migliaia 4 2 3 8 3" xfId="3559" xr:uid="{FA90A203-1558-428A-819C-585164E34744}"/>
    <cellStyle name="Migliaia 4 2 3 8 3 2" xfId="11047" xr:uid="{6B69B274-AF5B-456C-A74B-993B98480704}"/>
    <cellStyle name="Migliaia 4 2 3 8 3 2 2" xfId="14593" xr:uid="{578709EA-1885-4686-B2A6-D2916AD882E3}"/>
    <cellStyle name="Migliaia 4 2 3 8 3 2 2 2" xfId="29770" xr:uid="{2ED32255-9961-4F33-A897-D1A1162BBD6A}"/>
    <cellStyle name="Migliaia 4 2 3 8 3 2 3" xfId="26225" xr:uid="{B224F513-AF6E-42E2-AE81-2BF02B36E744}"/>
    <cellStyle name="Migliaia 4 2 3 8 3 3" xfId="6873" xr:uid="{379C1184-BB27-4452-9BC1-9EC5F6FD9061}"/>
    <cellStyle name="Migliaia 4 2 3 8 3 3 2" xfId="22053" xr:uid="{DE32191C-E9A6-4667-B872-327E953D8530}"/>
    <cellStyle name="Migliaia 4 2 3 8 3 4" xfId="18765" xr:uid="{AA49BFC6-0844-4360-87A4-C07F6C156C31}"/>
    <cellStyle name="Migliaia 4 2 3 8 4" xfId="4564" xr:uid="{53F32125-C5A9-4D4D-93DE-1AC23109FE92}"/>
    <cellStyle name="Migliaia 4 2 3 8 4 2" xfId="12049" xr:uid="{2C2D8D6A-1291-4DAF-BD0C-55229F8598EE}"/>
    <cellStyle name="Migliaia 4 2 3 8 4 2 2" xfId="15595" xr:uid="{FD717785-88B2-4F65-A32A-C913F5E21483}"/>
    <cellStyle name="Migliaia 4 2 3 8 4 2 2 2" xfId="30772" xr:uid="{20C95703-98CD-4EBB-A28F-9D1D3B65CB6D}"/>
    <cellStyle name="Migliaia 4 2 3 8 4 2 3" xfId="27227" xr:uid="{74972291-671A-46F3-BA2B-6642210A35D8}"/>
    <cellStyle name="Migliaia 4 2 3 8 4 3" xfId="7875" xr:uid="{EA18BFF4-8DDA-4886-86A1-B8DC9A402248}"/>
    <cellStyle name="Migliaia 4 2 3 8 4 3 2" xfId="23055" xr:uid="{5D49962C-1A10-4F9F-BBDF-3413D756CA21}"/>
    <cellStyle name="Migliaia 4 2 3 8 4 4" xfId="19767" xr:uid="{C96DDE09-BC86-4308-A9B8-13F160D006A5}"/>
    <cellStyle name="Migliaia 4 2 3 8 5" xfId="4961" xr:uid="{A00746AE-1B68-49EE-BC5F-12178FE83B59}"/>
    <cellStyle name="Migliaia 4 2 3 8 5 2" xfId="12445" xr:uid="{7D3797BC-47DC-4FA9-9A27-F74DA1C6AD82}"/>
    <cellStyle name="Migliaia 4 2 3 8 5 2 2" xfId="15991" xr:uid="{7567E305-D519-45AE-84EA-830172CDE3CB}"/>
    <cellStyle name="Migliaia 4 2 3 8 5 2 2 2" xfId="31168" xr:uid="{9BD76403-A7B2-4280-8288-50D33B8DC1A6}"/>
    <cellStyle name="Migliaia 4 2 3 8 5 2 3" xfId="27623" xr:uid="{402372CB-27A8-46DC-AE39-6E945437FDAB}"/>
    <cellStyle name="Migliaia 4 2 3 8 5 3" xfId="8271" xr:uid="{6CADF64F-50F8-4E88-A5A2-B9039CE08357}"/>
    <cellStyle name="Migliaia 4 2 3 8 5 3 2" xfId="23451" xr:uid="{5D27AE5B-F166-4694-982D-401B943257C8}"/>
    <cellStyle name="Migliaia 4 2 3 8 5 4" xfId="20163" xr:uid="{99F74060-318E-448A-95FA-1934B54A6215}"/>
    <cellStyle name="Migliaia 4 2 3 8 6" xfId="1782" xr:uid="{738CE315-F984-4CC9-8541-59649C3746EC}"/>
    <cellStyle name="Migliaia 4 2 3 8 6 2" xfId="9279" xr:uid="{8F23DE75-84E7-44E4-94A6-E5E7F575F10C}"/>
    <cellStyle name="Migliaia 4 2 3 8 6 2 2" xfId="24457" xr:uid="{A4D69D30-10F8-47B7-96C5-E45E21205FF9}"/>
    <cellStyle name="Migliaia 4 2 3 8 6 3" xfId="16997" xr:uid="{C82BB14B-0D34-422C-B8E7-ECB319773150}"/>
    <cellStyle name="Migliaia 4 2 3 8 7" xfId="8765" xr:uid="{F526741D-BF8D-458D-9DD1-32A66F8DC69A}"/>
    <cellStyle name="Migliaia 4 2 3 8 7 2" xfId="12938" xr:uid="{196AC4EC-610D-42D2-970C-78A183CDB40D}"/>
    <cellStyle name="Migliaia 4 2 3 8 7 2 2" xfId="28115" xr:uid="{C1BDDB27-C2D1-41C6-8D2F-96809EB7060E}"/>
    <cellStyle name="Migliaia 4 2 3 8 7 3" xfId="23943" xr:uid="{4D4B00D8-7D81-476C-AC5E-87BEF889D46F}"/>
    <cellStyle name="Migliaia 4 2 3 8 8" xfId="5105" xr:uid="{AD33F8DD-D29D-4EED-A66D-822E52FA5ADC}"/>
    <cellStyle name="Migliaia 4 2 3 8 8 2" xfId="20285" xr:uid="{E6F961D0-EEF8-4A7C-B145-6EE3ED708998}"/>
    <cellStyle name="Migliaia 4 2 3 8 9" xfId="16483" xr:uid="{BB244EA2-5812-4A75-AD69-371FA1AC9945}"/>
    <cellStyle name="Migliaia 4 2 3 9" xfId="1344" xr:uid="{8D01BE38-CB07-4DB8-A186-99E9BD2ADBA6}"/>
    <cellStyle name="Migliaia 4 2 3 9 2" xfId="2770" xr:uid="{1DFE64C7-FD4B-4FDD-B47E-691C23764180}"/>
    <cellStyle name="Migliaia 4 2 3 9 2 2" xfId="10261" xr:uid="{7F189532-6A02-4C89-A4A9-0E510066106A}"/>
    <cellStyle name="Migliaia 4 2 3 9 2 2 2" xfId="13856" xr:uid="{0B1F3A72-7BD2-4A49-9B1E-3378A799AF92}"/>
    <cellStyle name="Migliaia 4 2 3 9 2 2 2 2" xfId="29033" xr:uid="{0F2EAF61-AD2E-4D88-BE7B-56F2AB35EFEB}"/>
    <cellStyle name="Migliaia 4 2 3 9 2 2 3" xfId="25439" xr:uid="{FB744BF3-201D-458B-A84E-6385DF2D3A6A}"/>
    <cellStyle name="Migliaia 4 2 3 9 2 3" xfId="6087" xr:uid="{FABEFFDD-1BB9-4A4E-8198-1A0971FF29FA}"/>
    <cellStyle name="Migliaia 4 2 3 9 2 3 2" xfId="21267" xr:uid="{7184DC78-ECE1-419A-8CAF-D6592255DD74}"/>
    <cellStyle name="Migliaia 4 2 3 9 2 4" xfId="17979" xr:uid="{0C80D4C1-0682-4E26-92B0-10D95EFC69E5}"/>
    <cellStyle name="Migliaia 4 2 3 9 3" xfId="3657" xr:uid="{D18227C2-52D3-45B8-BEFE-2AEA329A4FAF}"/>
    <cellStyle name="Migliaia 4 2 3 9 3 2" xfId="11145" xr:uid="{2A3E1D95-3A52-422F-A0B5-6875EC391FE3}"/>
    <cellStyle name="Migliaia 4 2 3 9 3 2 2" xfId="14691" xr:uid="{40B15C48-8B75-42DD-8B3D-9DBED09D3EEC}"/>
    <cellStyle name="Migliaia 4 2 3 9 3 2 2 2" xfId="29868" xr:uid="{3400F00E-0177-466B-85F7-3504797F78E3}"/>
    <cellStyle name="Migliaia 4 2 3 9 3 2 3" xfId="26323" xr:uid="{978D5D52-220D-470D-A914-6A171FFBF9F8}"/>
    <cellStyle name="Migliaia 4 2 3 9 3 3" xfId="6971" xr:uid="{ACE685C3-6770-435E-AB2C-32A4BCEB9DC2}"/>
    <cellStyle name="Migliaia 4 2 3 9 3 3 2" xfId="22151" xr:uid="{3214B9BE-9EB7-404E-97B0-19E9E7B5E532}"/>
    <cellStyle name="Migliaia 4 2 3 9 3 4" xfId="18863" xr:uid="{8A28C9BE-8FB4-45CE-887C-767DB49FF2CB}"/>
    <cellStyle name="Migliaia 4 2 3 9 4" xfId="4565" xr:uid="{63D43942-3DE7-45AA-ACF8-C9F7CA5702BD}"/>
    <cellStyle name="Migliaia 4 2 3 9 4 2" xfId="12050" xr:uid="{E364F34B-2651-4558-A376-A4D9CFFC3C5A}"/>
    <cellStyle name="Migliaia 4 2 3 9 4 2 2" xfId="15596" xr:uid="{C0B80051-5979-416C-AE90-AE9A05B85841}"/>
    <cellStyle name="Migliaia 4 2 3 9 4 2 2 2" xfId="30773" xr:uid="{33751A5A-9F6E-4720-89FE-3A131D63CF5F}"/>
    <cellStyle name="Migliaia 4 2 3 9 4 2 3" xfId="27228" xr:uid="{A15DEAD5-2A3A-4534-B426-9C0811B3829C}"/>
    <cellStyle name="Migliaia 4 2 3 9 4 3" xfId="7876" xr:uid="{32A64F2D-B181-484C-AB80-2204E8C2DB8E}"/>
    <cellStyle name="Migliaia 4 2 3 9 4 3 2" xfId="23056" xr:uid="{E41CEA27-0C10-42D9-8337-7ADF2D2C85FB}"/>
    <cellStyle name="Migliaia 4 2 3 9 4 4" xfId="19768" xr:uid="{9537F816-E77D-4F12-9263-47A1ECC37C87}"/>
    <cellStyle name="Migliaia 4 2 3 9 5" xfId="1880" xr:uid="{2E743769-00F1-44E2-BF23-0231F86E764E}"/>
    <cellStyle name="Migliaia 4 2 3 9 5 2" xfId="9377" xr:uid="{AED90F55-9240-44DB-ADFF-254F9F25DE94}"/>
    <cellStyle name="Migliaia 4 2 3 9 5 2 2" xfId="24555" xr:uid="{F1BFFD8A-FF88-4F31-80E4-10CE40757B3B}"/>
    <cellStyle name="Migliaia 4 2 3 9 5 3" xfId="17095" xr:uid="{35723467-2E0A-4983-AF5E-8B6717A11D50}"/>
    <cellStyle name="Migliaia 4 2 3 9 6" xfId="8863" xr:uid="{80A63181-F40B-4129-9721-A6387C8E9AB0}"/>
    <cellStyle name="Migliaia 4 2 3 9 6 2" xfId="13036" xr:uid="{8C712E6F-FC09-40EB-BA4B-E98A1ABDBA02}"/>
    <cellStyle name="Migliaia 4 2 3 9 6 2 2" xfId="28213" xr:uid="{55905DC7-AE1A-4F41-B188-76FC1A66D471}"/>
    <cellStyle name="Migliaia 4 2 3 9 6 3" xfId="24041" xr:uid="{E39A4073-3AD4-46E7-A1B0-72D05780434D}"/>
    <cellStyle name="Migliaia 4 2 3 9 7" xfId="5203" xr:uid="{A7650892-B4AE-4F1E-9C55-85204929919A}"/>
    <cellStyle name="Migliaia 4 2 3 9 7 2" xfId="20383" xr:uid="{63198A92-E5F6-4100-B08F-A683B3579781}"/>
    <cellStyle name="Migliaia 4 2 3 9 8" xfId="16581" xr:uid="{A1FC5A80-7365-4E87-BC72-757F970EEBF9}"/>
    <cellStyle name="Migliaia 4 2 4" xfId="476" xr:uid="{56BB6CDA-667E-489D-B664-7BCA404A709A}"/>
    <cellStyle name="Migliaia 4 2 4 2" xfId="589" xr:uid="{AF2EAA3B-54B0-453A-9FF0-BDD88DD8AFF0}"/>
    <cellStyle name="Migliaia 4 2 4 2 2" xfId="9867" xr:uid="{C87FBB37-9DA4-4A0E-AA7E-D4BA7824D030}"/>
    <cellStyle name="Migliaia 4 2 4 2 2 2" xfId="13526" xr:uid="{0E0541CF-8BD7-4A57-B50F-96336467D57A}"/>
    <cellStyle name="Migliaia 4 2 4 2 2 2 2" xfId="28703" xr:uid="{25560543-361E-40E5-9153-7451AB731F42}"/>
    <cellStyle name="Migliaia 4 2 4 2 2 3" xfId="25045" xr:uid="{0F66B52F-4B93-4DC7-B3FF-60ED9C9DCBA2}"/>
    <cellStyle name="Migliaia 4 2 4 2 3" xfId="5693" xr:uid="{FD763D85-7AFC-454B-BEB9-BA77D40EF146}"/>
    <cellStyle name="Migliaia 4 2 4 2 3 2" xfId="20873" xr:uid="{0A385DE4-55A5-4E8E-964C-3DD589D72347}"/>
    <cellStyle name="Migliaia 4 2 4 2 4" xfId="17585" xr:uid="{333C0774-9AB1-4648-9181-00D97B46BDBD}"/>
    <cellStyle name="Migliaia 4 2 4 2 5" xfId="2373" xr:uid="{89322148-609B-4D48-AD75-D5EAF4D49414}"/>
    <cellStyle name="Migliaia 4 2 4 3" xfId="3263" xr:uid="{0BF020D9-58E1-4E21-B995-4652A4DF7357}"/>
    <cellStyle name="Migliaia 4 2 4 3 2" xfId="10751" xr:uid="{DBE7B02D-22EB-42D1-85A5-911B3FBBE768}"/>
    <cellStyle name="Migliaia 4 2 4 3 2 2" xfId="14297" xr:uid="{73E8728C-BBAE-43CA-9F75-4F9D659086D3}"/>
    <cellStyle name="Migliaia 4 2 4 3 2 2 2" xfId="29474" xr:uid="{9C9EAEAB-F958-419D-8FB6-BCDAC92C7211}"/>
    <cellStyle name="Migliaia 4 2 4 3 2 3" xfId="25929" xr:uid="{3701B011-5E2C-48A9-872F-365E1A1103F1}"/>
    <cellStyle name="Migliaia 4 2 4 3 3" xfId="6577" xr:uid="{FB3F76BC-FE4F-4165-9A09-19375AB4C2F3}"/>
    <cellStyle name="Migliaia 4 2 4 3 3 2" xfId="21757" xr:uid="{FFA710F8-E795-4635-B2BA-5B71F69AAA80}"/>
    <cellStyle name="Migliaia 4 2 4 3 4" xfId="18469" xr:uid="{15092E42-CCC7-4E14-BDBC-5DDF2C6037F9}"/>
    <cellStyle name="Migliaia 4 2 4 4" xfId="4566" xr:uid="{9E883B68-D0AD-49D4-AA13-4B3227C58DAF}"/>
    <cellStyle name="Migliaia 4 2 4 4 2" xfId="12051" xr:uid="{354DDA6E-1A94-4E80-A1E9-6FCC1C68BF6D}"/>
    <cellStyle name="Migliaia 4 2 4 4 2 2" xfId="15597" xr:uid="{B9EEBAD0-691B-417C-BF68-199F3DB9D30B}"/>
    <cellStyle name="Migliaia 4 2 4 4 2 2 2" xfId="30774" xr:uid="{47BA94E7-812E-455B-AD16-9A9E9EE6F61A}"/>
    <cellStyle name="Migliaia 4 2 4 4 2 3" xfId="27229" xr:uid="{736EFA54-D401-4099-A318-0FBD891C22A6}"/>
    <cellStyle name="Migliaia 4 2 4 4 3" xfId="7877" xr:uid="{E147EF8E-201C-4836-AB13-05238DD24303}"/>
    <cellStyle name="Migliaia 4 2 4 4 3 2" xfId="23057" xr:uid="{0CA43E83-20DC-4E8B-93D6-564B99E97F7E}"/>
    <cellStyle name="Migliaia 4 2 4 4 4" xfId="19769" xr:uid="{1908E77D-9C41-41EA-AFA4-ECF1F36ADE93}"/>
    <cellStyle name="Migliaia 4 2 4 5" xfId="8469" xr:uid="{F134BF09-A96E-4D7F-82C2-567B42B14970}"/>
    <cellStyle name="Migliaia 4 2 4 5 2" xfId="12642" xr:uid="{CDDAF83C-8EE9-4E77-9FDC-5C9FAD713981}"/>
    <cellStyle name="Migliaia 4 2 4 5 2 2" xfId="27819" xr:uid="{5B796251-4BF1-474B-86EB-0CD984CDEF79}"/>
    <cellStyle name="Migliaia 4 2 4 5 3" xfId="23647" xr:uid="{D71436D4-473F-433F-9FC4-7EC42720825E}"/>
    <cellStyle name="Migliaia 4 2 4 6" xfId="16187" xr:uid="{23CAB8BD-82D3-465A-B7B4-F44F7C260FA6}"/>
    <cellStyle name="Migliaia 4 2 4 7" xfId="31627" xr:uid="{6ABA8251-16EB-4D80-A8DC-5679D5EB63F1}"/>
    <cellStyle name="Migliaia 4 2 4 8" xfId="855" xr:uid="{15AF14C7-B310-4F52-8F6F-F4EAFEA1AD71}"/>
    <cellStyle name="Migliaia 4 2 5" xfId="552" xr:uid="{5678D863-1AF5-402F-B826-E778EA3FA08B}"/>
    <cellStyle name="Migliaia 4 2 5 10" xfId="31277" xr:uid="{3022A01A-8CA5-4B6D-A8FD-C12DE2B61696}"/>
    <cellStyle name="Migliaia 4 2 5 11" xfId="1218" xr:uid="{AE04416E-57F1-4504-A715-7FAAB749100C}"/>
    <cellStyle name="Migliaia 4 2 5 2" xfId="2648" xr:uid="{70D84C9F-9D8A-4983-A831-F9CCA8DDE4CB}"/>
    <cellStyle name="Migliaia 4 2 5 2 2" xfId="10139" xr:uid="{5B5E6497-ED2D-4EFD-BA50-89FA9BCE80A4}"/>
    <cellStyle name="Migliaia 4 2 5 2 2 2" xfId="13796" xr:uid="{F176A5DE-61DD-4AD1-AB02-9FE9B1B2BF38}"/>
    <cellStyle name="Migliaia 4 2 5 2 2 2 2" xfId="28973" xr:uid="{8057FC40-E7FC-4558-9450-E824F52D8D6A}"/>
    <cellStyle name="Migliaia 4 2 5 2 2 3" xfId="25317" xr:uid="{19E581CF-90AF-4825-9AA6-6941B8311561}"/>
    <cellStyle name="Migliaia 4 2 5 2 3" xfId="5965" xr:uid="{F6E8C504-12B3-4743-B38B-6FEC8AEDCCFD}"/>
    <cellStyle name="Migliaia 4 2 5 2 3 2" xfId="21145" xr:uid="{2D83FA19-6F54-455C-8813-FF333928407A}"/>
    <cellStyle name="Migliaia 4 2 5 2 4" xfId="17857" xr:uid="{B36C88F5-3596-4200-BDE1-72B90A6FF6ED}"/>
    <cellStyle name="Migliaia 4 2 5 3" xfId="3535" xr:uid="{8F33669A-91EF-4E0C-BE63-BE127567572D}"/>
    <cellStyle name="Migliaia 4 2 5 3 2" xfId="11023" xr:uid="{5DF1427F-16A4-4B8F-8528-16A43B89A700}"/>
    <cellStyle name="Migliaia 4 2 5 3 2 2" xfId="14569" xr:uid="{2B2E4D93-AF12-4CC4-8C54-99B71149BC59}"/>
    <cellStyle name="Migliaia 4 2 5 3 2 2 2" xfId="29746" xr:uid="{6B39651F-7335-45D9-B122-FE17BDF71791}"/>
    <cellStyle name="Migliaia 4 2 5 3 2 3" xfId="26201" xr:uid="{6FCF5738-922A-482F-9876-5616A4771CB4}"/>
    <cellStyle name="Migliaia 4 2 5 3 3" xfId="6849" xr:uid="{8F669707-3F88-4A67-9814-340CB380EA11}"/>
    <cellStyle name="Migliaia 4 2 5 3 3 2" xfId="22029" xr:uid="{935E821E-6B80-4797-9DD7-DF23BD4AF701}"/>
    <cellStyle name="Migliaia 4 2 5 3 4" xfId="18741" xr:uid="{FB8F86D1-85A9-4FAB-BC91-341A9F34D583}"/>
    <cellStyle name="Migliaia 4 2 5 4" xfId="4567" xr:uid="{D7C33809-C281-44AB-B95D-61369D6518C1}"/>
    <cellStyle name="Migliaia 4 2 5 4 2" xfId="12052" xr:uid="{9425BFE2-7D96-4E02-952B-C6FED59BB5C2}"/>
    <cellStyle name="Migliaia 4 2 5 4 2 2" xfId="15598" xr:uid="{C00076C0-BC22-4035-B378-0C53D40727C6}"/>
    <cellStyle name="Migliaia 4 2 5 4 2 2 2" xfId="30775" xr:uid="{838E8056-864E-43B4-B257-CED5F63793BF}"/>
    <cellStyle name="Migliaia 4 2 5 4 2 3" xfId="27230" xr:uid="{38CAAC3E-B858-40BB-8826-B1CA2CF3D63D}"/>
    <cellStyle name="Migliaia 4 2 5 4 3" xfId="7878" xr:uid="{A8B97891-51CA-4ACE-8609-6B46522D62B1}"/>
    <cellStyle name="Migliaia 4 2 5 4 3 2" xfId="23058" xr:uid="{53D5D0FD-1F9A-4AFD-A53D-E2E6458E1255}"/>
    <cellStyle name="Migliaia 4 2 5 4 4" xfId="19770" xr:uid="{E106594B-DCA6-4E71-8623-73F0D2E173E7}"/>
    <cellStyle name="Migliaia 4 2 5 5" xfId="4937" xr:uid="{485EB678-E3D8-48EB-A9F6-9B34D801ECDC}"/>
    <cellStyle name="Migliaia 4 2 5 5 2" xfId="12421" xr:uid="{CEDD0AF6-3842-4148-BDF7-690B1527C4E8}"/>
    <cellStyle name="Migliaia 4 2 5 5 2 2" xfId="15967" xr:uid="{0DFFE62A-E063-4664-9531-63E6F5BCE04D}"/>
    <cellStyle name="Migliaia 4 2 5 5 2 2 2" xfId="31144" xr:uid="{68435A1A-26DC-4C7A-A5F7-9202FFB3BCC4}"/>
    <cellStyle name="Migliaia 4 2 5 5 2 3" xfId="27599" xr:uid="{F9039C81-5721-4544-9DED-74C7F16E1769}"/>
    <cellStyle name="Migliaia 4 2 5 5 3" xfId="8247" xr:uid="{7559D21C-79DE-470F-A388-5A6C88F7CA31}"/>
    <cellStyle name="Migliaia 4 2 5 5 3 2" xfId="23427" xr:uid="{D1E9DDFB-A45C-4FD9-9D20-361CBF7892A6}"/>
    <cellStyle name="Migliaia 4 2 5 5 4" xfId="20139" xr:uid="{125152D7-9DF0-40B5-94E1-09734FC9E754}"/>
    <cellStyle name="Migliaia 4 2 5 6" xfId="1758" xr:uid="{9280A44A-2CF4-4B83-9532-36C275C0A085}"/>
    <cellStyle name="Migliaia 4 2 5 6 2" xfId="9255" xr:uid="{485DC7C5-D90A-4864-B5A3-4CBEDE3FEA83}"/>
    <cellStyle name="Migliaia 4 2 5 6 2 2" xfId="24433" xr:uid="{076A3B9D-9176-4A2F-AA95-733CF97400A7}"/>
    <cellStyle name="Migliaia 4 2 5 6 3" xfId="16973" xr:uid="{759CAE1E-39A4-4C0A-A293-C08CAD81F4A6}"/>
    <cellStyle name="Migliaia 4 2 5 7" xfId="8741" xr:uid="{5B2990BA-16F6-4367-8803-AC5EE4175B27}"/>
    <cellStyle name="Migliaia 4 2 5 7 2" xfId="12914" xr:uid="{44999A96-E77C-4AB0-B811-76B6A493AB3A}"/>
    <cellStyle name="Migliaia 4 2 5 7 2 2" xfId="28091" xr:uid="{C9CF5596-879A-4D46-BEC1-DC3085846838}"/>
    <cellStyle name="Migliaia 4 2 5 7 3" xfId="23919" xr:uid="{8EDE44BC-7A8B-4BEC-8ACA-4C1D50041E12}"/>
    <cellStyle name="Migliaia 4 2 5 8" xfId="5081" xr:uid="{2809E3E2-B212-4289-BEA7-9AFC3C83DB8E}"/>
    <cellStyle name="Migliaia 4 2 5 8 2" xfId="20261" xr:uid="{546AECF2-185D-4C65-BEBD-F664C3086AD2}"/>
    <cellStyle name="Migliaia 4 2 5 9" xfId="16459" xr:uid="{5467F598-D56A-46F3-96F2-D143A70EF4B6}"/>
    <cellStyle name="Migliaia 4 2 6" xfId="31407" xr:uid="{B097FA5C-0270-48D1-9E57-2E2125F5F02F}"/>
    <cellStyle name="Migliaia 4 2 7" xfId="615" xr:uid="{13A943BF-97F3-497C-B4FC-D6F37A957B17}"/>
    <cellStyle name="Migliaia 4 3" xfId="339" xr:uid="{C23997BF-A226-49E4-99AE-AA96D76B2761}"/>
    <cellStyle name="Migliaia 4 3 2" xfId="484" xr:uid="{A61DBC4C-6AFE-4847-9800-DFDE18461F32}"/>
    <cellStyle name="Migliaia 4 3 2 10" xfId="1450" xr:uid="{C496A000-DEC9-4295-A0BD-EB9D6654F0B1}"/>
    <cellStyle name="Migliaia 4 3 2 10 2" xfId="2875" xr:uid="{3B54D03E-DD50-400E-815E-F1344F79F426}"/>
    <cellStyle name="Migliaia 4 3 2 10 2 2" xfId="10366" xr:uid="{90CB426A-8F03-4235-BE37-F9E57D3ADAD9}"/>
    <cellStyle name="Migliaia 4 3 2 10 2 2 2" xfId="13912" xr:uid="{D53CFE6A-D670-42FD-959F-F898297E2A75}"/>
    <cellStyle name="Migliaia 4 3 2 10 2 2 2 2" xfId="29089" xr:uid="{EB8E410C-C19A-44DD-9872-683FB866AD9C}"/>
    <cellStyle name="Migliaia 4 3 2 10 2 2 3" xfId="25544" xr:uid="{1EBC19B9-5533-415D-A73C-CFA94CBA05F3}"/>
    <cellStyle name="Migliaia 4 3 2 10 2 3" xfId="6192" xr:uid="{8C6EC52E-5826-430A-B5E6-F9A6C6656719}"/>
    <cellStyle name="Migliaia 4 3 2 10 2 3 2" xfId="21372" xr:uid="{DD49E5D9-1BE4-45A9-A8A8-34F61ADFB060}"/>
    <cellStyle name="Migliaia 4 3 2 10 2 4" xfId="18084" xr:uid="{0FB4847B-9CCB-4B04-935E-84369208F7AD}"/>
    <cellStyle name="Migliaia 4 3 2 10 3" xfId="3762" xr:uid="{EF9411A9-4117-48D7-B5AE-B5A5E292B87F}"/>
    <cellStyle name="Migliaia 4 3 2 10 3 2" xfId="11250" xr:uid="{262D0EFA-8C0D-4812-83E4-9684EE7AF02C}"/>
    <cellStyle name="Migliaia 4 3 2 10 3 2 2" xfId="14796" xr:uid="{9FE15719-8D0C-495E-944D-063F714FB488}"/>
    <cellStyle name="Migliaia 4 3 2 10 3 2 2 2" xfId="29973" xr:uid="{84725A42-5AFA-4DD6-8D2D-A8F2D9225C19}"/>
    <cellStyle name="Migliaia 4 3 2 10 3 2 3" xfId="26428" xr:uid="{8B173848-D3FA-46AA-8CB9-71608BEC73F2}"/>
    <cellStyle name="Migliaia 4 3 2 10 3 3" xfId="7076" xr:uid="{EFC91DB3-6A02-4101-ABDF-FF37C4C5FF81}"/>
    <cellStyle name="Migliaia 4 3 2 10 3 3 2" xfId="22256" xr:uid="{130A6DE4-99B6-45BD-B6F2-E60C9F140A05}"/>
    <cellStyle name="Migliaia 4 3 2 10 3 4" xfId="18968" xr:uid="{51EE7E65-7257-4558-8008-BEC5DC2984D8}"/>
    <cellStyle name="Migliaia 4 3 2 10 4" xfId="4568" xr:uid="{6B09D616-6063-4CCE-9552-FA724BC3F9F8}"/>
    <cellStyle name="Migliaia 4 3 2 10 4 2" xfId="12053" xr:uid="{7E184A76-0A7E-4509-9277-136B54CE0BAF}"/>
    <cellStyle name="Migliaia 4 3 2 10 4 2 2" xfId="15599" xr:uid="{D608C3D9-06F9-445B-9E61-419D35C2A915}"/>
    <cellStyle name="Migliaia 4 3 2 10 4 2 2 2" xfId="30776" xr:uid="{1B0BF824-D150-4B86-BD83-CF8C15951345}"/>
    <cellStyle name="Migliaia 4 3 2 10 4 2 3" xfId="27231" xr:uid="{189BCD61-E132-4F8C-A649-E959701052E3}"/>
    <cellStyle name="Migliaia 4 3 2 10 4 3" xfId="7879" xr:uid="{91BB5C91-C270-4FF0-83E5-F076922D78E3}"/>
    <cellStyle name="Migliaia 4 3 2 10 4 3 2" xfId="23059" xr:uid="{83B4CB2E-61C8-4E68-964A-8A0929DF6397}"/>
    <cellStyle name="Migliaia 4 3 2 10 4 4" xfId="19771" xr:uid="{6CCEB6FD-43B4-4D25-ACF4-C5B7F20D6B63}"/>
    <cellStyle name="Migliaia 4 3 2 10 5" xfId="1985" xr:uid="{FF3137DC-55B1-4893-A027-DE1666C7D26E}"/>
    <cellStyle name="Migliaia 4 3 2 10 5 2" xfId="9482" xr:uid="{E3E069F2-0FC2-4E1D-B3AA-D0037AFBA4F9}"/>
    <cellStyle name="Migliaia 4 3 2 10 5 2 2" xfId="24660" xr:uid="{1AC4C1F1-4172-4858-84D4-C8DA09BD5A03}"/>
    <cellStyle name="Migliaia 4 3 2 10 5 3" xfId="17200" xr:uid="{CDDB0F88-ACCB-46A6-92F9-B63CFFA31B46}"/>
    <cellStyle name="Migliaia 4 3 2 10 6" xfId="8968" xr:uid="{9B55FE19-89D2-4DF8-82A9-9C39B809DC97}"/>
    <cellStyle name="Migliaia 4 3 2 10 6 2" xfId="13141" xr:uid="{106F7979-F483-4E60-A1CE-9E8351FC3C64}"/>
    <cellStyle name="Migliaia 4 3 2 10 6 2 2" xfId="28318" xr:uid="{C6616B64-9247-4CDD-8104-748FF58CD154}"/>
    <cellStyle name="Migliaia 4 3 2 10 6 3" xfId="24146" xr:uid="{9AA3E23A-70F4-413E-B3A2-F52FC3509183}"/>
    <cellStyle name="Migliaia 4 3 2 10 7" xfId="5308" xr:uid="{73B12F1F-9389-484C-B539-47C81C690092}"/>
    <cellStyle name="Migliaia 4 3 2 10 7 2" xfId="20488" xr:uid="{E917B835-99DB-4183-B133-77878AD82168}"/>
    <cellStyle name="Migliaia 4 3 2 10 8" xfId="16686" xr:uid="{9B09E40D-7E90-4F22-BA04-0B93F9BD68E2}"/>
    <cellStyle name="Migliaia 4 3 2 11" xfId="1553" xr:uid="{0EDB8CEB-274A-41F9-8D95-0D60CF24C253}"/>
    <cellStyle name="Migliaia 4 3 2 11 2" xfId="2973" xr:uid="{84DD9A29-D260-45A0-8697-2A6DE1599E99}"/>
    <cellStyle name="Migliaia 4 3 2 11 2 2" xfId="10464" xr:uid="{C1F24037-64DF-4B7C-A006-6B21FFAEC9AB}"/>
    <cellStyle name="Migliaia 4 3 2 11 2 2 2" xfId="14010" xr:uid="{4E15A1A9-A328-469C-B545-D14F7BC57F2E}"/>
    <cellStyle name="Migliaia 4 3 2 11 2 2 2 2" xfId="29187" xr:uid="{CFD4DB0E-08DB-4DB6-9A50-18C15132B187}"/>
    <cellStyle name="Migliaia 4 3 2 11 2 2 3" xfId="25642" xr:uid="{5AFC122B-CFDA-483E-BC4F-67B1A0245FBC}"/>
    <cellStyle name="Migliaia 4 3 2 11 2 3" xfId="6290" xr:uid="{132842E6-5512-4988-BE35-5900F09E6D61}"/>
    <cellStyle name="Migliaia 4 3 2 11 2 3 2" xfId="21470" xr:uid="{AC1B0642-D782-4D4E-B70F-EE22AFADF1A7}"/>
    <cellStyle name="Migliaia 4 3 2 11 2 4" xfId="18182" xr:uid="{082CFF8C-B2FA-4629-B215-521BF408A9DA}"/>
    <cellStyle name="Migliaia 4 3 2 11 3" xfId="3860" xr:uid="{62AC7464-718E-4127-9B0D-2AAECA795AB4}"/>
    <cellStyle name="Migliaia 4 3 2 11 3 2" xfId="11348" xr:uid="{2BD3DF84-DBF3-4534-9860-9460440D9969}"/>
    <cellStyle name="Migliaia 4 3 2 11 3 2 2" xfId="14894" xr:uid="{80C4901F-64AC-4226-8A4B-ADBFBB6B7B63}"/>
    <cellStyle name="Migliaia 4 3 2 11 3 2 2 2" xfId="30071" xr:uid="{32416E96-6597-444E-B0BF-C483505A2AAC}"/>
    <cellStyle name="Migliaia 4 3 2 11 3 2 3" xfId="26526" xr:uid="{8840BAD9-93D6-43F8-AB57-CA5D0FAA6BD0}"/>
    <cellStyle name="Migliaia 4 3 2 11 3 3" xfId="7174" xr:uid="{A0461743-D4B2-491D-BDF6-812628843D8D}"/>
    <cellStyle name="Migliaia 4 3 2 11 3 3 2" xfId="22354" xr:uid="{CD232361-C135-4A76-9B24-E99F6749BE83}"/>
    <cellStyle name="Migliaia 4 3 2 11 3 4" xfId="19066" xr:uid="{171F4290-CE09-4F2A-973A-FE3F26F7BF91}"/>
    <cellStyle name="Migliaia 4 3 2 11 4" xfId="4569" xr:uid="{D581DFFC-2EEB-4759-977F-66EE2DA78FC6}"/>
    <cellStyle name="Migliaia 4 3 2 11 4 2" xfId="12054" xr:uid="{1BF0837E-AC5C-40D4-8406-54105E0D678F}"/>
    <cellStyle name="Migliaia 4 3 2 11 4 2 2" xfId="15600" xr:uid="{3FA2DB11-5619-4754-8E46-CA2F672F5624}"/>
    <cellStyle name="Migliaia 4 3 2 11 4 2 2 2" xfId="30777" xr:uid="{BA4836E7-8ECE-4A78-A542-136D295B59FF}"/>
    <cellStyle name="Migliaia 4 3 2 11 4 2 3" xfId="27232" xr:uid="{547DB783-E310-4EFE-A85F-C56FD273F0EC}"/>
    <cellStyle name="Migliaia 4 3 2 11 4 3" xfId="7880" xr:uid="{31CE1026-1344-4F7F-BEEB-A577908372F3}"/>
    <cellStyle name="Migliaia 4 3 2 11 4 3 2" xfId="23060" xr:uid="{E11BDCDA-A619-4C37-993B-F3158A7AC17F}"/>
    <cellStyle name="Migliaia 4 3 2 11 4 4" xfId="19772" xr:uid="{66F499C7-32FB-40AB-B61E-A2E3149756A4}"/>
    <cellStyle name="Migliaia 4 3 2 11 5" xfId="2083" xr:uid="{23A260ED-9287-4131-8EAD-82E8958E8050}"/>
    <cellStyle name="Migliaia 4 3 2 11 5 2" xfId="9580" xr:uid="{07712950-9914-49F9-A42E-9F869F724A5E}"/>
    <cellStyle name="Migliaia 4 3 2 11 5 2 2" xfId="24758" xr:uid="{4AAFA4E5-8958-4BED-8B26-AD484F103B92}"/>
    <cellStyle name="Migliaia 4 3 2 11 5 3" xfId="17298" xr:uid="{9F8B7FAD-3080-494D-943D-D5029A7DD25E}"/>
    <cellStyle name="Migliaia 4 3 2 11 6" xfId="9066" xr:uid="{06226E6E-AFE9-4DDC-9DD6-C05DBF198473}"/>
    <cellStyle name="Migliaia 4 3 2 11 6 2" xfId="13239" xr:uid="{6212E7BB-24A8-470D-A496-5750B1CC9B50}"/>
    <cellStyle name="Migliaia 4 3 2 11 6 2 2" xfId="28416" xr:uid="{8EB15048-B32D-4CA4-83F2-7DC5B0CD3F78}"/>
    <cellStyle name="Migliaia 4 3 2 11 6 3" xfId="24244" xr:uid="{73C0DD45-E19E-4844-A4FC-C29E6A557452}"/>
    <cellStyle name="Migliaia 4 3 2 11 7" xfId="5406" xr:uid="{89F669F2-62A0-4702-8B60-ED735D781576}"/>
    <cellStyle name="Migliaia 4 3 2 11 7 2" xfId="20586" xr:uid="{0701E00D-EEAB-4BD2-93C7-E867494D2A10}"/>
    <cellStyle name="Migliaia 4 3 2 11 8" xfId="16784" xr:uid="{236CFCD1-1350-4261-AB4C-61758399B9D5}"/>
    <cellStyle name="Migliaia 4 3 2 12" xfId="1652" xr:uid="{E8832F92-EA9F-4C39-98FF-728B48738CB8}"/>
    <cellStyle name="Migliaia 4 3 2 12 2" xfId="3071" xr:uid="{44484356-1253-4F7F-9740-D2A763EAD477}"/>
    <cellStyle name="Migliaia 4 3 2 12 2 2" xfId="10562" xr:uid="{0D503EC3-85E7-466A-90F3-3791EAF13108}"/>
    <cellStyle name="Migliaia 4 3 2 12 2 2 2" xfId="14108" xr:uid="{33E28D3A-0DA4-4A30-89AA-E1832D974EE4}"/>
    <cellStyle name="Migliaia 4 3 2 12 2 2 2 2" xfId="29285" xr:uid="{D269EE06-54BB-4B9A-AA09-A354DEC741AA}"/>
    <cellStyle name="Migliaia 4 3 2 12 2 2 3" xfId="25740" xr:uid="{D81E1B62-9578-405C-8002-ED3B42678E7F}"/>
    <cellStyle name="Migliaia 4 3 2 12 2 3" xfId="6388" xr:uid="{EC2CDE53-6FF4-42D2-9C1E-F2BA239F6F50}"/>
    <cellStyle name="Migliaia 4 3 2 12 2 3 2" xfId="21568" xr:uid="{BB6F94D9-8532-4FC1-88CC-2272BD38701E}"/>
    <cellStyle name="Migliaia 4 3 2 12 2 4" xfId="18280" xr:uid="{86DFFF5A-45EE-474A-B97F-3F79BE6A8142}"/>
    <cellStyle name="Migliaia 4 3 2 12 3" xfId="3958" xr:uid="{EAD72502-87B4-4F87-97A3-43376DE6EFC2}"/>
    <cellStyle name="Migliaia 4 3 2 12 3 2" xfId="11446" xr:uid="{3C44C05A-D547-444B-833F-2223CA6060FF}"/>
    <cellStyle name="Migliaia 4 3 2 12 3 2 2" xfId="14992" xr:uid="{046586CF-34B9-4765-B1E0-CE25D76B42B7}"/>
    <cellStyle name="Migliaia 4 3 2 12 3 2 2 2" xfId="30169" xr:uid="{0F7BD736-3414-447C-886C-DEEBBE052C9C}"/>
    <cellStyle name="Migliaia 4 3 2 12 3 2 3" xfId="26624" xr:uid="{263C5BBC-E370-40BC-9EEC-2E5A2CEC3142}"/>
    <cellStyle name="Migliaia 4 3 2 12 3 3" xfId="7272" xr:uid="{01725C05-FCC7-4E22-AE52-07458C2621A0}"/>
    <cellStyle name="Migliaia 4 3 2 12 3 3 2" xfId="22452" xr:uid="{A60DF384-7907-496C-8C3D-E9D1B10697D3}"/>
    <cellStyle name="Migliaia 4 3 2 12 3 4" xfId="19164" xr:uid="{95EC7C9F-494A-485C-B827-E842C6C89F2D}"/>
    <cellStyle name="Migliaia 4 3 2 12 4" xfId="4570" xr:uid="{B75DCB1C-5456-4750-BD91-4B93B9624D83}"/>
    <cellStyle name="Migliaia 4 3 2 12 4 2" xfId="12055" xr:uid="{59A87708-D310-4699-A68A-106274A0A416}"/>
    <cellStyle name="Migliaia 4 3 2 12 4 2 2" xfId="15601" xr:uid="{1C4E6176-20CA-4EFF-98F3-BCC4A793D989}"/>
    <cellStyle name="Migliaia 4 3 2 12 4 2 2 2" xfId="30778" xr:uid="{B2C65866-636A-4107-9FE6-0824D7E10A33}"/>
    <cellStyle name="Migliaia 4 3 2 12 4 2 3" xfId="27233" xr:uid="{809B769B-CBEB-4BC5-8F91-3276AA1B1DE2}"/>
    <cellStyle name="Migliaia 4 3 2 12 4 3" xfId="7881" xr:uid="{9B4FC02D-5D3F-462B-BDBB-21A0E243892D}"/>
    <cellStyle name="Migliaia 4 3 2 12 4 3 2" xfId="23061" xr:uid="{78582CFD-41D6-4B07-AFFD-FCA30DC4A196}"/>
    <cellStyle name="Migliaia 4 3 2 12 4 4" xfId="19773" xr:uid="{33F94446-7602-49FC-864A-B1CFF898AD09}"/>
    <cellStyle name="Migliaia 4 3 2 12 5" xfId="2181" xr:uid="{10F65AA6-6EC9-416C-A948-71EBB2A90A5B}"/>
    <cellStyle name="Migliaia 4 3 2 12 5 2" xfId="9678" xr:uid="{C93993F9-0EB7-48E6-87BF-74217A6719EB}"/>
    <cellStyle name="Migliaia 4 3 2 12 5 2 2" xfId="24856" xr:uid="{508AB679-5AB6-4A59-8BAA-538102F902D7}"/>
    <cellStyle name="Migliaia 4 3 2 12 5 3" xfId="17396" xr:uid="{5A70D900-4059-406A-BA1D-58615027C790}"/>
    <cellStyle name="Migliaia 4 3 2 12 6" xfId="9164" xr:uid="{F165839B-128A-420E-86BF-4D283BC806D9}"/>
    <cellStyle name="Migliaia 4 3 2 12 6 2" xfId="13337" xr:uid="{E96042CE-E684-408B-8D96-E1CBFA204E54}"/>
    <cellStyle name="Migliaia 4 3 2 12 6 2 2" xfId="28514" xr:uid="{14DEFA76-89C3-4D16-BE0E-80EDEA946FB6}"/>
    <cellStyle name="Migliaia 4 3 2 12 6 3" xfId="24342" xr:uid="{7E1E0D35-545D-4A48-89C8-A63E295C0F46}"/>
    <cellStyle name="Migliaia 4 3 2 12 7" xfId="5504" xr:uid="{83196D55-B1B1-4FCB-B3C5-898EE88452A0}"/>
    <cellStyle name="Migliaia 4 3 2 12 7 2" xfId="20684" xr:uid="{F2843948-2927-4CFB-86FC-01C6406B7EAC}"/>
    <cellStyle name="Migliaia 4 3 2 12 8" xfId="16882" xr:uid="{2933CBED-553C-4EE5-A00D-EA9141FFA7B3}"/>
    <cellStyle name="Migliaia 4 3 2 13" xfId="2281" xr:uid="{C358AC58-CD09-41AE-9691-1576741B3577}"/>
    <cellStyle name="Migliaia 4 3 2 13 2" xfId="9776" xr:uid="{BFEC05EB-DECD-4ED2-97B4-20874BB5FF22}"/>
    <cellStyle name="Migliaia 4 3 2 13 2 2" xfId="13435" xr:uid="{481BF3C9-B9A8-4E9E-B9F2-E11550E08C37}"/>
    <cellStyle name="Migliaia 4 3 2 13 2 2 2" xfId="28612" xr:uid="{CD941132-BFF7-4EEA-81B6-35119631AFE7}"/>
    <cellStyle name="Migliaia 4 3 2 13 2 3" xfId="24954" xr:uid="{2AF30E6B-0BC1-4FD8-B101-11806CA39534}"/>
    <cellStyle name="Migliaia 4 3 2 13 3" xfId="5602" xr:uid="{8F517D1A-AC91-4C88-91D1-4B0BEDBC246E}"/>
    <cellStyle name="Migliaia 4 3 2 13 3 2" xfId="20782" xr:uid="{A93311B6-E3BB-4955-B758-1D8411CB5C37}"/>
    <cellStyle name="Migliaia 4 3 2 13 4" xfId="17494" xr:uid="{3B3E7720-2014-480D-A74C-36599752D7AE}"/>
    <cellStyle name="Migliaia 4 3 2 14" xfId="3171" xr:uid="{F251C150-2A4B-4AE7-A4C6-1549CCCEDB96}"/>
    <cellStyle name="Migliaia 4 3 2 14 2" xfId="10660" xr:uid="{FEE2781A-5899-49E5-A0F9-D48AB087A6D8}"/>
    <cellStyle name="Migliaia 4 3 2 14 2 2" xfId="14206" xr:uid="{C61235CF-874E-4660-AA89-76CCE5A46A29}"/>
    <cellStyle name="Migliaia 4 3 2 14 2 2 2" xfId="29383" xr:uid="{9C8BCEDA-13D2-40AA-BB0A-4C9EAF5E1FB9}"/>
    <cellStyle name="Migliaia 4 3 2 14 2 3" xfId="25838" xr:uid="{DA15DDDF-98F1-44F8-B658-673235436142}"/>
    <cellStyle name="Migliaia 4 3 2 14 3" xfId="6486" xr:uid="{88662B59-D60A-4539-941D-F717A600266D}"/>
    <cellStyle name="Migliaia 4 3 2 14 3 2" xfId="21666" xr:uid="{EE447F00-849D-4978-BF3D-3CC72C0BEFA7}"/>
    <cellStyle name="Migliaia 4 3 2 14 4" xfId="18378" xr:uid="{66CD89E0-B1E2-494F-AEE3-41C4C04E0AF7}"/>
    <cellStyle name="Migliaia 4 3 2 15" xfId="4571" xr:uid="{B9C65FB1-27A0-4484-A4E2-B50CB6008F20}"/>
    <cellStyle name="Migliaia 4 3 2 15 2" xfId="12056" xr:uid="{F5E25B38-5B7F-4134-8A5F-1414BB302872}"/>
    <cellStyle name="Migliaia 4 3 2 15 2 2" xfId="15602" xr:uid="{03F5C102-F874-4E2F-9908-F90FF615BA1B}"/>
    <cellStyle name="Migliaia 4 3 2 15 2 2 2" xfId="30779" xr:uid="{2D95EFC2-17A7-4079-9471-38CBD097E49D}"/>
    <cellStyle name="Migliaia 4 3 2 15 2 3" xfId="27234" xr:uid="{43B3C8F2-4489-4711-BE0F-D92F06C144C6}"/>
    <cellStyle name="Migliaia 4 3 2 15 3" xfId="7882" xr:uid="{5F1F35E6-D355-4C66-B156-FF0ED5F96952}"/>
    <cellStyle name="Migliaia 4 3 2 15 3 2" xfId="23062" xr:uid="{A02BA13C-468C-4973-8391-076D0BDADEDA}"/>
    <cellStyle name="Migliaia 4 3 2 15 4" xfId="19774" xr:uid="{1CE36F98-7A64-4BDC-B7DF-68169C49631F}"/>
    <cellStyle name="Migliaia 4 3 2 16" xfId="8377" xr:uid="{92504DCE-8B14-4388-9953-FE89F48A61FC}"/>
    <cellStyle name="Migliaia 4 3 2 16 2" xfId="12551" xr:uid="{3E9E0391-B50D-4945-953E-040A855D0DF2}"/>
    <cellStyle name="Migliaia 4 3 2 16 2 2" xfId="27728" xr:uid="{770C81F7-977E-4E98-886A-6ACA3313F05F}"/>
    <cellStyle name="Migliaia 4 3 2 16 3" xfId="23556" xr:uid="{65822A2D-F291-42C4-88C0-DF8F84DE4931}"/>
    <cellStyle name="Migliaia 4 3 2 17" xfId="16096" xr:uid="{7B8E9356-A523-4A49-A4C3-82694C0AA466}"/>
    <cellStyle name="Migliaia 4 3 2 18" xfId="31438" xr:uid="{1CE8B72E-015D-49AC-BBCA-E98E8DFAB1EE}"/>
    <cellStyle name="Migliaia 4 3 2 19" xfId="698" xr:uid="{1CD3DEFA-285C-4B4D-BD58-7BB6BDEB7426}"/>
    <cellStyle name="Migliaia 4 3 2 2" xfId="596" xr:uid="{A42BDEE3-7655-4DA2-936D-4F4DB114991A}"/>
    <cellStyle name="Migliaia 4 3 2 2 10" xfId="2306" xr:uid="{857C5F15-3E58-445B-8D94-6584F0B9B058}"/>
    <cellStyle name="Migliaia 4 3 2 2 10 2" xfId="9801" xr:uid="{BA0CCF8E-C149-400B-B0EA-6683B8F32D2A}"/>
    <cellStyle name="Migliaia 4 3 2 2 10 2 2" xfId="13460" xr:uid="{56E25A36-AEFB-4C6B-BDA3-2A69A7AD1795}"/>
    <cellStyle name="Migliaia 4 3 2 2 10 2 2 2" xfId="28637" xr:uid="{6472B038-38F6-49A2-B900-38AE1DD40A4C}"/>
    <cellStyle name="Migliaia 4 3 2 2 10 2 3" xfId="24979" xr:uid="{8CBBF54A-944D-428E-B742-AC84FCBA565C}"/>
    <cellStyle name="Migliaia 4 3 2 2 10 3" xfId="5627" xr:uid="{0C5992D6-AECC-496E-9724-C508178688AD}"/>
    <cellStyle name="Migliaia 4 3 2 2 10 3 2" xfId="20807" xr:uid="{A66DD066-90D0-4DD3-8E46-B8ABF05F6E60}"/>
    <cellStyle name="Migliaia 4 3 2 2 10 4" xfId="17519" xr:uid="{B26C2BBC-7798-4EE1-814C-2D6FB60FCC08}"/>
    <cellStyle name="Migliaia 4 3 2 2 11" xfId="3196" xr:uid="{5D0D748F-ECB0-48D6-B67E-040ECA36620E}"/>
    <cellStyle name="Migliaia 4 3 2 2 11 2" xfId="10685" xr:uid="{EAC03D33-A9BC-4D49-BADB-B41DD327ED86}"/>
    <cellStyle name="Migliaia 4 3 2 2 11 2 2" xfId="14231" xr:uid="{0D0F98C0-774F-494B-9F37-FE8F031275B6}"/>
    <cellStyle name="Migliaia 4 3 2 2 11 2 2 2" xfId="29408" xr:uid="{F2047EF2-7F37-4A18-AF55-E5EBDC825F2E}"/>
    <cellStyle name="Migliaia 4 3 2 2 11 2 3" xfId="25863" xr:uid="{6BC3C576-783C-49DB-B5A6-72F27198E63C}"/>
    <cellStyle name="Migliaia 4 3 2 2 11 3" xfId="6511" xr:uid="{3FD7A5A9-C345-4D8E-8EB4-5B307EB51A6E}"/>
    <cellStyle name="Migliaia 4 3 2 2 11 3 2" xfId="21691" xr:uid="{C5528934-ADDE-44EC-AF66-FA3A4C924124}"/>
    <cellStyle name="Migliaia 4 3 2 2 11 4" xfId="18403" xr:uid="{50198703-2F08-4A18-9217-CA1E00FDFB4C}"/>
    <cellStyle name="Migliaia 4 3 2 2 12" xfId="4572" xr:uid="{76B81F7E-D8B5-4DE2-AD69-FD272220B459}"/>
    <cellStyle name="Migliaia 4 3 2 2 12 2" xfId="12057" xr:uid="{ED24A5B2-0A1C-48CA-AFEA-9EEBA2030777}"/>
    <cellStyle name="Migliaia 4 3 2 2 12 2 2" xfId="15603" xr:uid="{06D34714-18D8-444B-8159-9CE66C4D035F}"/>
    <cellStyle name="Migliaia 4 3 2 2 12 2 2 2" xfId="30780" xr:uid="{CA38AF53-5F83-45BB-BADA-9F6E97566BA5}"/>
    <cellStyle name="Migliaia 4 3 2 2 12 2 3" xfId="27235" xr:uid="{5DA92D61-CA0F-499A-BA19-B0CAF48E2FC6}"/>
    <cellStyle name="Migliaia 4 3 2 2 12 3" xfId="7883" xr:uid="{15FB9A26-3E3C-46A2-984B-402763BF864A}"/>
    <cellStyle name="Migliaia 4 3 2 2 12 3 2" xfId="23063" xr:uid="{E6212989-9AEC-483B-BD7A-64AC29B1AC98}"/>
    <cellStyle name="Migliaia 4 3 2 2 12 4" xfId="19775" xr:uid="{E32B5AAB-C78D-48DE-A6D4-5E306854D409}"/>
    <cellStyle name="Migliaia 4 3 2 2 13" xfId="8402" xr:uid="{B3F4BBEF-8F37-462C-9A6A-607BE781703B}"/>
    <cellStyle name="Migliaia 4 3 2 2 13 2" xfId="12576" xr:uid="{2A0A8823-DAF0-4AA3-BFC3-4CBD48421C50}"/>
    <cellStyle name="Migliaia 4 3 2 2 13 2 2" xfId="27753" xr:uid="{C39F8229-E6D8-41C4-9EC2-751A464AEE08}"/>
    <cellStyle name="Migliaia 4 3 2 2 13 3" xfId="23581" xr:uid="{39E8F896-9BEC-4FE5-9147-FF201AAF63F2}"/>
    <cellStyle name="Migliaia 4 3 2 2 14" xfId="16121" xr:uid="{1CC858A7-330B-497F-BCE7-0BF59009130E}"/>
    <cellStyle name="Migliaia 4 3 2 2 15" xfId="31463" xr:uid="{28B40579-8CAC-4048-824D-04939C13A231}"/>
    <cellStyle name="Migliaia 4 3 2 2 16" xfId="733" xr:uid="{9E270217-0FEA-4790-88A6-2CE108701A37}"/>
    <cellStyle name="Migliaia 4 3 2 2 2" xfId="785" xr:uid="{F6C6EAD4-208A-44DB-B982-F32B5CAD1303}"/>
    <cellStyle name="Migliaia 4 3 2 2 2 10" xfId="8451" xr:uid="{D9F3F59B-0E0D-43D3-A248-A5C4629FAAB1}"/>
    <cellStyle name="Migliaia 4 3 2 2 2 10 2" xfId="12625" xr:uid="{82B510E8-CF8B-4327-B4C1-0BD512FC5201}"/>
    <cellStyle name="Migliaia 4 3 2 2 2 10 2 2" xfId="27802" xr:uid="{560F07A4-7E70-4B75-B6EA-638E04A2FD89}"/>
    <cellStyle name="Migliaia 4 3 2 2 2 10 3" xfId="23630" xr:uid="{C8DC2A4C-9A51-4B6B-A36F-9584A3E9F50B}"/>
    <cellStyle name="Migliaia 4 3 2 2 2 11" xfId="16170" xr:uid="{E45A8949-1ED9-420F-8E43-7BD211A5D47A}"/>
    <cellStyle name="Migliaia 4 3 2 2 2 12" xfId="31512" xr:uid="{31D90DE8-E976-4136-A30B-36079776E322}"/>
    <cellStyle name="Migliaia 4 3 2 2 2 2" xfId="962" xr:uid="{B3DFCD72-B5A2-48C1-9725-04A65F83C9FB}"/>
    <cellStyle name="Migliaia 4 3 2 2 2 2 10" xfId="16292" xr:uid="{F44829CD-AA89-47FB-AEF5-FE69F7E57BBA}"/>
    <cellStyle name="Migliaia 4 3 2 2 2 2 11" xfId="31382" xr:uid="{D6250541-D513-4896-88D5-2CC4E2AC1FCA}"/>
    <cellStyle name="Migliaia 4 3 2 2 2 2 12" xfId="31732" xr:uid="{F980D393-2AE2-4EA9-8676-A67D07DD057E}"/>
    <cellStyle name="Migliaia 4 3 2 2 2 2 2" xfId="1323" xr:uid="{B539A568-F75D-4875-A94F-9B990365CB58}"/>
    <cellStyle name="Migliaia 4 3 2 2 2 2 2 2" xfId="3640" xr:uid="{420B3227-1756-41A3-8938-7D6EB563DB51}"/>
    <cellStyle name="Migliaia 4 3 2 2 2 2 2 2 2" xfId="11128" xr:uid="{58BB273C-0FF8-4FE0-A5F0-3A2C3BDACBB9}"/>
    <cellStyle name="Migliaia 4 3 2 2 2 2 2 2 2 2" xfId="14674" xr:uid="{E7F9E298-F67D-405E-986E-3F939686E319}"/>
    <cellStyle name="Migliaia 4 3 2 2 2 2 2 2 2 2 2" xfId="29851" xr:uid="{D78CB41C-80C7-479A-B67F-DF6BB8B43CD5}"/>
    <cellStyle name="Migliaia 4 3 2 2 2 2 2 2 2 3" xfId="26306" xr:uid="{ED95122D-5585-4F90-A79D-FF6078A023C4}"/>
    <cellStyle name="Migliaia 4 3 2 2 2 2 2 2 3" xfId="6954" xr:uid="{8B0CDEF2-C64E-46ED-A344-A06B5CA91619}"/>
    <cellStyle name="Migliaia 4 3 2 2 2 2 2 2 3 2" xfId="22134" xr:uid="{54B5B845-B2A7-4B5B-B18F-2A9B42AC85E5}"/>
    <cellStyle name="Migliaia 4 3 2 2 2 2 2 2 4" xfId="18846" xr:uid="{3FFA57DE-FFCB-4275-B501-388EEB67C35B}"/>
    <cellStyle name="Migliaia 4 3 2 2 2 2 2 3" xfId="4573" xr:uid="{98F8C24C-73D4-4B59-814B-13FCFFBFE1D8}"/>
    <cellStyle name="Migliaia 4 3 2 2 2 2 2 3 2" xfId="12058" xr:uid="{4000818B-737D-4A6B-A8AD-90098A4FA80B}"/>
    <cellStyle name="Migliaia 4 3 2 2 2 2 2 3 2 2" xfId="15604" xr:uid="{3881E345-12EA-4E17-A49E-578EC8247FF7}"/>
    <cellStyle name="Migliaia 4 3 2 2 2 2 2 3 2 2 2" xfId="30781" xr:uid="{16224441-2C0E-43A9-B539-2CCC29413154}"/>
    <cellStyle name="Migliaia 4 3 2 2 2 2 2 3 2 3" xfId="27236" xr:uid="{3A2B4602-05F4-42D9-8941-B7A319562D78}"/>
    <cellStyle name="Migliaia 4 3 2 2 2 2 2 3 3" xfId="7884" xr:uid="{D6A85E9C-0C8F-4487-947A-4538275F690A}"/>
    <cellStyle name="Migliaia 4 3 2 2 2 2 2 3 3 2" xfId="23064" xr:uid="{2ED76155-6CCC-4DA4-BB75-DE9E5B018E11}"/>
    <cellStyle name="Migliaia 4 3 2 2 2 2 2 3 4" xfId="19776" xr:uid="{752A4B73-89B3-4BA3-A03B-ECBB63DC6AB1}"/>
    <cellStyle name="Migliaia 4 3 2 2 2 2 2 4" xfId="2753" xr:uid="{C4739986-D3A6-4041-A6DF-31FD4EA99BFF}"/>
    <cellStyle name="Migliaia 4 3 2 2 2 2 2 4 2" xfId="10244" xr:uid="{9AC5E3C8-3261-4781-B06B-E6FB6851AC8C}"/>
    <cellStyle name="Migliaia 4 3 2 2 2 2 2 4 2 2" xfId="25422" xr:uid="{B97324E4-B733-4302-BC49-3F9EEDB8E59D}"/>
    <cellStyle name="Migliaia 4 3 2 2 2 2 2 4 3" xfId="17962" xr:uid="{0DF96C23-536A-4DF8-92C5-85B44F774D75}"/>
    <cellStyle name="Migliaia 4 3 2 2 2 2 2 5" xfId="8846" xr:uid="{87E69409-2CE0-47B2-AE27-16D4D7F27FCB}"/>
    <cellStyle name="Migliaia 4 3 2 2 2 2 2 5 2" xfId="13019" xr:uid="{6B42A71F-B18B-47E0-A05E-200FC3A700A9}"/>
    <cellStyle name="Migliaia 4 3 2 2 2 2 2 5 2 2" xfId="28196" xr:uid="{65AB21EF-47A9-4B95-A51C-4A94128D37AB}"/>
    <cellStyle name="Migliaia 4 3 2 2 2 2 2 5 3" xfId="24024" xr:uid="{D43F15B8-D1CE-4C4F-9C3C-A649CE418902}"/>
    <cellStyle name="Migliaia 4 3 2 2 2 2 2 6" xfId="6070" xr:uid="{0898B5B4-DE33-4FFC-B06C-4D16DF7636EB}"/>
    <cellStyle name="Migliaia 4 3 2 2 2 2 2 6 2" xfId="21250" xr:uid="{E58FAD8E-E812-4A42-88AA-2D825008923F}"/>
    <cellStyle name="Migliaia 4 3 2 2 2 2 2 7" xfId="16564" xr:uid="{1C0A2C12-24E0-4448-AEF9-CC54563F6B10}"/>
    <cellStyle name="Migliaia 4 3 2 2 2 2 3" xfId="2480" xr:uid="{EC609355-0B3A-48FC-8B79-EAE4BCCEE884}"/>
    <cellStyle name="Migliaia 4 3 2 2 2 2 3 2" xfId="9972" xr:uid="{D3CDC849-AEA2-4D16-850F-D1541B625C2F}"/>
    <cellStyle name="Migliaia 4 3 2 2 2 2 3 2 2" xfId="13631" xr:uid="{CBC12B72-E9AF-44D6-B936-3CA438729553}"/>
    <cellStyle name="Migliaia 4 3 2 2 2 2 3 2 2 2" xfId="28808" xr:uid="{5C042DA0-648C-4BCA-B469-20EFA133AB84}"/>
    <cellStyle name="Migliaia 4 3 2 2 2 2 3 2 3" xfId="25150" xr:uid="{795A988A-A7AD-417D-85D4-F389E9EB55E8}"/>
    <cellStyle name="Migliaia 4 3 2 2 2 2 3 3" xfId="5798" xr:uid="{83A2CC4D-3507-42BC-A1B6-1ACAC385F8C4}"/>
    <cellStyle name="Migliaia 4 3 2 2 2 2 3 3 2" xfId="20978" xr:uid="{DEF1FAA8-3C45-4353-A24B-B0D600CED6AB}"/>
    <cellStyle name="Migliaia 4 3 2 2 2 2 3 4" xfId="17690" xr:uid="{DA150145-72CE-4B7D-A40A-F45177297230}"/>
    <cellStyle name="Migliaia 4 3 2 2 2 2 4" xfId="3368" xr:uid="{46B52EED-E865-451E-9796-2F6C7FDD907E}"/>
    <cellStyle name="Migliaia 4 3 2 2 2 2 4 2" xfId="10856" xr:uid="{8808C528-EE60-4F50-9C73-EF4342910EBF}"/>
    <cellStyle name="Migliaia 4 3 2 2 2 2 4 2 2" xfId="14402" xr:uid="{C06618CF-300E-4C35-89B1-980E2A28852C}"/>
    <cellStyle name="Migliaia 4 3 2 2 2 2 4 2 2 2" xfId="29579" xr:uid="{EA3F0084-DCD7-410B-B1CF-A49A9C78BF76}"/>
    <cellStyle name="Migliaia 4 3 2 2 2 2 4 2 3" xfId="26034" xr:uid="{81AE961C-0878-4039-970B-DD1664203192}"/>
    <cellStyle name="Migliaia 4 3 2 2 2 2 4 3" xfId="6682" xr:uid="{3EDF1F35-20DE-4211-9C69-81DAB243D55B}"/>
    <cellStyle name="Migliaia 4 3 2 2 2 2 4 3 2" xfId="21862" xr:uid="{13AB8CB7-0C57-47A9-AE26-B3481A7CF23B}"/>
    <cellStyle name="Migliaia 4 3 2 2 2 2 4 4" xfId="18574" xr:uid="{A237C326-12B2-4CC8-80F7-08A82477EC0F}"/>
    <cellStyle name="Migliaia 4 3 2 2 2 2 5" xfId="4574" xr:uid="{56317E05-6C63-4C68-AF27-F4C6ADCBC3F4}"/>
    <cellStyle name="Migliaia 4 3 2 2 2 2 5 2" xfId="12059" xr:uid="{60F506A7-E0E7-4305-AECA-A7734E6FAE26}"/>
    <cellStyle name="Migliaia 4 3 2 2 2 2 5 2 2" xfId="15605" xr:uid="{DDD6E573-E8AB-42E9-9362-F108CB30A994}"/>
    <cellStyle name="Migliaia 4 3 2 2 2 2 5 2 2 2" xfId="30782" xr:uid="{4500C165-62A5-4586-9DC2-D2350C2C75E5}"/>
    <cellStyle name="Migliaia 4 3 2 2 2 2 5 2 3" xfId="27237" xr:uid="{33F2084F-6572-4CFF-9C95-B66A3CA71C57}"/>
    <cellStyle name="Migliaia 4 3 2 2 2 2 5 3" xfId="7885" xr:uid="{3D40FFB4-14F9-40B8-A5FD-8BC53AE162C5}"/>
    <cellStyle name="Migliaia 4 3 2 2 2 2 5 3 2" xfId="23065" xr:uid="{C36CE2FA-5F99-46D1-8294-A7FEBFD44992}"/>
    <cellStyle name="Migliaia 4 3 2 2 2 2 5 4" xfId="19777" xr:uid="{A84139C0-6C86-421F-BF04-9D3627A17548}"/>
    <cellStyle name="Migliaia 4 3 2 2 2 2 6" xfId="5042" xr:uid="{0F62A64E-4F9E-4F67-A288-933DD6931392}"/>
    <cellStyle name="Migliaia 4 3 2 2 2 2 6 2" xfId="12526" xr:uid="{2655316C-04FC-465B-A263-B61DF29A87C4}"/>
    <cellStyle name="Migliaia 4 3 2 2 2 2 6 2 2" xfId="16072" xr:uid="{8ED9BB8E-9422-48A6-88C1-B345A7C5DDD3}"/>
    <cellStyle name="Migliaia 4 3 2 2 2 2 6 2 2 2" xfId="31249" xr:uid="{DCAD13A5-1A32-44CF-B4E3-AED6D85F653F}"/>
    <cellStyle name="Migliaia 4 3 2 2 2 2 6 2 3" xfId="27704" xr:uid="{D1380730-72A0-4558-BAAB-B61BB6BD53A2}"/>
    <cellStyle name="Migliaia 4 3 2 2 2 2 6 3" xfId="8352" xr:uid="{2496B40B-7786-4A69-BDD5-83201D41824B}"/>
    <cellStyle name="Migliaia 4 3 2 2 2 2 6 3 2" xfId="23532" xr:uid="{1625DEAC-9432-46DB-824D-50B6686A1599}"/>
    <cellStyle name="Migliaia 4 3 2 2 2 2 6 4" xfId="20244" xr:uid="{6D25870B-2742-42F5-9758-9B40ACC32914}"/>
    <cellStyle name="Migliaia 4 3 2 2 2 2 7" xfId="1863" xr:uid="{428C8FAF-CCFD-4770-89FF-7C2769B058F5}"/>
    <cellStyle name="Migliaia 4 3 2 2 2 2 7 2" xfId="9360" xr:uid="{2DDBFC7D-0523-4E6D-B836-11BBBF33363E}"/>
    <cellStyle name="Migliaia 4 3 2 2 2 2 7 2 2" xfId="24538" xr:uid="{CECDE9DE-8147-4814-9584-75A9405AD406}"/>
    <cellStyle name="Migliaia 4 3 2 2 2 2 7 3" xfId="17078" xr:uid="{D6A6BF64-B81F-4E28-A50F-60E7D9FCD161}"/>
    <cellStyle name="Migliaia 4 3 2 2 2 2 8" xfId="8574" xr:uid="{3CDE5D2F-72D0-46DD-9CCC-90531E6A43E3}"/>
    <cellStyle name="Migliaia 4 3 2 2 2 2 8 2" xfId="12747" xr:uid="{EF42855D-B93F-4FAF-9272-0FD520C57BAA}"/>
    <cellStyle name="Migliaia 4 3 2 2 2 2 8 2 2" xfId="27924" xr:uid="{0798601B-B17C-4342-86B8-F68AEDAE8EAC}"/>
    <cellStyle name="Migliaia 4 3 2 2 2 2 8 3" xfId="23752" xr:uid="{82710323-A593-4743-846C-42A6FB16C2A9}"/>
    <cellStyle name="Migliaia 4 3 2 2 2 2 9" xfId="5186" xr:uid="{5684211B-385C-4DE4-AB97-4CD4F7F2F6D9}"/>
    <cellStyle name="Migliaia 4 3 2 2 2 2 9 2" xfId="20366" xr:uid="{B5E7656A-3AEC-4844-8FB9-82F668FC4506}"/>
    <cellStyle name="Migliaia 4 3 2 2 2 3" xfId="1065" xr:uid="{FE60AAFE-09E9-4B8E-87AC-29E78F70FB73}"/>
    <cellStyle name="Migliaia 4 3 2 2 2 3 10" xfId="31610" xr:uid="{322D8B95-C149-4BE5-8395-E77911B7FF9B}"/>
    <cellStyle name="Migliaia 4 3 2 2 2 3 2" xfId="1425" xr:uid="{0BAF1997-DCC0-4DA4-B8C7-9D0940593ABD}"/>
    <cellStyle name="Migliaia 4 3 2 2 2 3 2 2" xfId="3738" xr:uid="{129447C2-9B2B-4B9D-8955-CB558CA0248F}"/>
    <cellStyle name="Migliaia 4 3 2 2 2 3 2 2 2" xfId="11226" xr:uid="{E5820017-EC0D-480E-BE69-A37016328414}"/>
    <cellStyle name="Migliaia 4 3 2 2 2 3 2 2 2 2" xfId="14772" xr:uid="{754503F7-2A3B-42D3-90E7-8E4C460AFF14}"/>
    <cellStyle name="Migliaia 4 3 2 2 2 3 2 2 2 2 2" xfId="29949" xr:uid="{2E444B3A-9CEF-4ABF-AA81-302BC053E302}"/>
    <cellStyle name="Migliaia 4 3 2 2 2 3 2 2 2 3" xfId="26404" xr:uid="{452B33D1-5A1D-4F6A-979B-C7BA7B3BA594}"/>
    <cellStyle name="Migliaia 4 3 2 2 2 3 2 2 3" xfId="7052" xr:uid="{6F9E974E-1A00-4391-BD4A-29425548352A}"/>
    <cellStyle name="Migliaia 4 3 2 2 2 3 2 2 3 2" xfId="22232" xr:uid="{AEE348C0-6944-479C-8FA4-963A3E231F6C}"/>
    <cellStyle name="Migliaia 4 3 2 2 2 3 2 2 4" xfId="18944" xr:uid="{49222F40-24CE-4C95-9DF0-891E4F32DE89}"/>
    <cellStyle name="Migliaia 4 3 2 2 2 3 2 3" xfId="4575" xr:uid="{9D08F6F4-09E6-4975-A320-96B4E27B58C0}"/>
    <cellStyle name="Migliaia 4 3 2 2 2 3 2 3 2" xfId="12060" xr:uid="{1B2B5952-8EA2-4453-B44D-00FB937E933D}"/>
    <cellStyle name="Migliaia 4 3 2 2 2 3 2 3 2 2" xfId="15606" xr:uid="{BB0D2301-BA27-4783-8205-5F578C6A43B6}"/>
    <cellStyle name="Migliaia 4 3 2 2 2 3 2 3 2 2 2" xfId="30783" xr:uid="{2A419497-A343-463C-993B-AB95639F3EE7}"/>
    <cellStyle name="Migliaia 4 3 2 2 2 3 2 3 2 3" xfId="27238" xr:uid="{D0086C2E-2486-483F-BE8A-01D57F781C9D}"/>
    <cellStyle name="Migliaia 4 3 2 2 2 3 2 3 3" xfId="7886" xr:uid="{604D6EE1-5AE3-47F3-BECC-42C0EE9177C0}"/>
    <cellStyle name="Migliaia 4 3 2 2 2 3 2 3 3 2" xfId="23066" xr:uid="{58448F6F-0CA6-4941-BA56-8B98E677B65D}"/>
    <cellStyle name="Migliaia 4 3 2 2 2 3 2 3 4" xfId="19778" xr:uid="{E75AC55C-9CD1-439D-9EE6-C1C684C031CE}"/>
    <cellStyle name="Migliaia 4 3 2 2 2 3 2 4" xfId="2851" xr:uid="{54AC6DBB-4658-444E-A8C9-7E6B40E8817C}"/>
    <cellStyle name="Migliaia 4 3 2 2 2 3 2 4 2" xfId="10342" xr:uid="{67ED75A4-35CF-4E74-9E50-D3D7E8504519}"/>
    <cellStyle name="Migliaia 4 3 2 2 2 3 2 4 2 2" xfId="25520" xr:uid="{9CB1D38D-B8DA-45B3-BAEE-419E59123AF7}"/>
    <cellStyle name="Migliaia 4 3 2 2 2 3 2 4 3" xfId="18060" xr:uid="{76CE7486-D014-448A-BFEE-FC32B3696FF0}"/>
    <cellStyle name="Migliaia 4 3 2 2 2 3 2 5" xfId="8944" xr:uid="{8FFC7F72-2380-41EA-B434-1A0A6238A3FD}"/>
    <cellStyle name="Migliaia 4 3 2 2 2 3 2 5 2" xfId="13117" xr:uid="{E6F2AE9B-1CDC-4951-905F-0BCD9EFBE58F}"/>
    <cellStyle name="Migliaia 4 3 2 2 2 3 2 5 2 2" xfId="28294" xr:uid="{38D6FBD5-7D75-4177-9F19-F39EA8B8AC24}"/>
    <cellStyle name="Migliaia 4 3 2 2 2 3 2 5 3" xfId="24122" xr:uid="{FB506705-4318-4ABC-8BE3-1A8CA3BE04D3}"/>
    <cellStyle name="Migliaia 4 3 2 2 2 3 2 6" xfId="6168" xr:uid="{ED92CDF5-71C1-4085-BA3E-D62ABEA93F7B}"/>
    <cellStyle name="Migliaia 4 3 2 2 2 3 2 6 2" xfId="21348" xr:uid="{99D196E0-7ED9-4997-8FCD-6F5A9B44D2E7}"/>
    <cellStyle name="Migliaia 4 3 2 2 2 3 2 7" xfId="16662" xr:uid="{01DA09E1-6B7C-4B1F-9FA1-73E472E109A9}"/>
    <cellStyle name="Migliaia 4 3 2 2 2 3 3" xfId="2578" xr:uid="{B020E26A-6619-4D20-AFA7-0397D9256B45}"/>
    <cellStyle name="Migliaia 4 3 2 2 2 3 3 2" xfId="10070" xr:uid="{BCCBCE5F-C63A-4A32-87BA-98300440D796}"/>
    <cellStyle name="Migliaia 4 3 2 2 2 3 3 2 2" xfId="13729" xr:uid="{17DA18FE-5CDE-4926-9939-B0C031D5B1C6}"/>
    <cellStyle name="Migliaia 4 3 2 2 2 3 3 2 2 2" xfId="28906" xr:uid="{0A7ED8D8-612D-4E72-8781-EBC407031511}"/>
    <cellStyle name="Migliaia 4 3 2 2 2 3 3 2 3" xfId="25248" xr:uid="{95106B57-9DE1-4D88-832E-85C6289720D2}"/>
    <cellStyle name="Migliaia 4 3 2 2 2 3 3 3" xfId="5896" xr:uid="{FB6BEDA6-E367-41E9-BE78-BD43C6DEA85A}"/>
    <cellStyle name="Migliaia 4 3 2 2 2 3 3 3 2" xfId="21076" xr:uid="{FB6F69D4-AF1A-4B21-8D3F-9036F7FF429C}"/>
    <cellStyle name="Migliaia 4 3 2 2 2 3 3 4" xfId="17788" xr:uid="{2B42501A-3D54-42C8-84C9-CDD3316E6DFF}"/>
    <cellStyle name="Migliaia 4 3 2 2 2 3 4" xfId="3466" xr:uid="{82D4ED59-EA42-4622-ABA5-7786C67EB35C}"/>
    <cellStyle name="Migliaia 4 3 2 2 2 3 4 2" xfId="10954" xr:uid="{CAD22309-DB3A-4FA2-A1AB-191041A3FABB}"/>
    <cellStyle name="Migliaia 4 3 2 2 2 3 4 2 2" xfId="14500" xr:uid="{0F074302-5F23-4773-8C78-B70FB36D8858}"/>
    <cellStyle name="Migliaia 4 3 2 2 2 3 4 2 2 2" xfId="29677" xr:uid="{1EE5A8B0-4D3C-4237-A387-74B697EFB81D}"/>
    <cellStyle name="Migliaia 4 3 2 2 2 3 4 2 3" xfId="26132" xr:uid="{E76FE65A-4201-474A-BD15-C4B16BA3B4E8}"/>
    <cellStyle name="Migliaia 4 3 2 2 2 3 4 3" xfId="6780" xr:uid="{DA62BC57-FC10-49E9-822A-8166DD443AA5}"/>
    <cellStyle name="Migliaia 4 3 2 2 2 3 4 3 2" xfId="21960" xr:uid="{FB376B8C-318F-4EF6-95DF-C64E88832A30}"/>
    <cellStyle name="Migliaia 4 3 2 2 2 3 4 4" xfId="18672" xr:uid="{DDA056E4-B1AE-4398-ABCC-8A2D7315A0A4}"/>
    <cellStyle name="Migliaia 4 3 2 2 2 3 5" xfId="4576" xr:uid="{574B0178-2098-4FEE-8556-CC9F1CDF1362}"/>
    <cellStyle name="Migliaia 4 3 2 2 2 3 5 2" xfId="12061" xr:uid="{26CE56D8-8D82-4AD7-80BF-C0C6CE544E41}"/>
    <cellStyle name="Migliaia 4 3 2 2 2 3 5 2 2" xfId="15607" xr:uid="{9662DAA6-9240-4837-AFF3-8F8B78F40E99}"/>
    <cellStyle name="Migliaia 4 3 2 2 2 3 5 2 2 2" xfId="30784" xr:uid="{99E14F17-5671-46A4-A48D-4AA59BF81DB7}"/>
    <cellStyle name="Migliaia 4 3 2 2 2 3 5 2 3" xfId="27239" xr:uid="{A1E6993E-1E31-40E9-A7AE-3FB5B26189BF}"/>
    <cellStyle name="Migliaia 4 3 2 2 2 3 5 3" xfId="7887" xr:uid="{76388770-DEE1-420E-922D-5E99E33C0A81}"/>
    <cellStyle name="Migliaia 4 3 2 2 2 3 5 3 2" xfId="23067" xr:uid="{EDD65701-1B97-4A24-9E48-1DB224662B47}"/>
    <cellStyle name="Migliaia 4 3 2 2 2 3 5 4" xfId="19779" xr:uid="{A25FA1A5-C113-4C3F-8CBA-B973214F6394}"/>
    <cellStyle name="Migliaia 4 3 2 2 2 3 6" xfId="1961" xr:uid="{91FC2F32-7F45-4131-81D5-A0426076794B}"/>
    <cellStyle name="Migliaia 4 3 2 2 2 3 6 2" xfId="9458" xr:uid="{2C7964FE-465C-444E-822D-9E5C150DAAF3}"/>
    <cellStyle name="Migliaia 4 3 2 2 2 3 6 2 2" xfId="24636" xr:uid="{1FB9715B-5D12-4A3C-896E-B530449464D8}"/>
    <cellStyle name="Migliaia 4 3 2 2 2 3 6 3" xfId="17176" xr:uid="{F27EDD56-581A-46E1-9BD6-37652271214E}"/>
    <cellStyle name="Migliaia 4 3 2 2 2 3 7" xfId="8672" xr:uid="{74740AB9-EA41-488B-A301-12AB6AE74F47}"/>
    <cellStyle name="Migliaia 4 3 2 2 2 3 7 2" xfId="12845" xr:uid="{83B6E0B2-1140-4DA1-B3C9-2F0F9BC11F85}"/>
    <cellStyle name="Migliaia 4 3 2 2 2 3 7 2 2" xfId="28022" xr:uid="{F4CC4748-498A-42E4-A817-A1A248ABF21D}"/>
    <cellStyle name="Migliaia 4 3 2 2 2 3 7 3" xfId="23850" xr:uid="{26411D75-710B-4A44-B466-E858970FE27D}"/>
    <cellStyle name="Migliaia 4 3 2 2 2 3 8" xfId="5284" xr:uid="{886AB0DB-1868-4003-85ED-4ABD73BB6A31}"/>
    <cellStyle name="Migliaia 4 3 2 2 2 3 8 2" xfId="20464" xr:uid="{35895F73-AC1C-429E-B09D-6FE49A9A484B}"/>
    <cellStyle name="Migliaia 4 3 2 2 2 3 9" xfId="16390" xr:uid="{ECA6A718-D5D0-480D-BBFE-E01CBA965A7E}"/>
    <cellStyle name="Migliaia 4 3 2 2 2 4" xfId="1524" xr:uid="{7E6152D3-5C64-43BC-A384-FB3377D3BBFD}"/>
    <cellStyle name="Migliaia 4 3 2 2 2 4 2" xfId="2949" xr:uid="{A9D2B26D-25DD-41AE-B4A9-787B684FCFDE}"/>
    <cellStyle name="Migliaia 4 3 2 2 2 4 2 2" xfId="10440" xr:uid="{AD56D8C6-EEBE-497D-AF5D-EEC8C0972F7B}"/>
    <cellStyle name="Migliaia 4 3 2 2 2 4 2 2 2" xfId="13986" xr:uid="{C720767D-3033-4C30-B72F-A5EB6F6F914B}"/>
    <cellStyle name="Migliaia 4 3 2 2 2 4 2 2 2 2" xfId="29163" xr:uid="{BDEBB1AE-93A6-4245-A443-77DB93160B04}"/>
    <cellStyle name="Migliaia 4 3 2 2 2 4 2 2 3" xfId="25618" xr:uid="{5BF77FEE-512C-4706-A224-F0413973E024}"/>
    <cellStyle name="Migliaia 4 3 2 2 2 4 2 3" xfId="6266" xr:uid="{01391E18-2415-4C31-B323-E53B8990FEEA}"/>
    <cellStyle name="Migliaia 4 3 2 2 2 4 2 3 2" xfId="21446" xr:uid="{88FDE377-B66D-4C10-BA74-105C6BDA99BA}"/>
    <cellStyle name="Migliaia 4 3 2 2 2 4 2 4" xfId="18158" xr:uid="{F80AF13C-D8C5-497B-AD16-54C09610CC09}"/>
    <cellStyle name="Migliaia 4 3 2 2 2 4 3" xfId="3836" xr:uid="{EBAE377D-E598-4C7D-9CEC-2F024F8A5DE1}"/>
    <cellStyle name="Migliaia 4 3 2 2 2 4 3 2" xfId="11324" xr:uid="{692A9562-AD0D-408D-940B-C9B05E11B29B}"/>
    <cellStyle name="Migliaia 4 3 2 2 2 4 3 2 2" xfId="14870" xr:uid="{DE4F4B35-9440-4C95-8D8C-77851C65F22D}"/>
    <cellStyle name="Migliaia 4 3 2 2 2 4 3 2 2 2" xfId="30047" xr:uid="{A38D33C1-6553-462F-AD8C-1D47C0B32583}"/>
    <cellStyle name="Migliaia 4 3 2 2 2 4 3 2 3" xfId="26502" xr:uid="{DE4332FC-554E-488B-9D22-ADD4BC8471E0}"/>
    <cellStyle name="Migliaia 4 3 2 2 2 4 3 3" xfId="7150" xr:uid="{C0CF036C-E5C9-4B6B-B25D-1A0C8E401150}"/>
    <cellStyle name="Migliaia 4 3 2 2 2 4 3 3 2" xfId="22330" xr:uid="{7019ACB4-7B2C-4E04-BF13-27330E21F9BF}"/>
    <cellStyle name="Migliaia 4 3 2 2 2 4 3 4" xfId="19042" xr:uid="{76C581EA-337D-4475-92A2-257B53654423}"/>
    <cellStyle name="Migliaia 4 3 2 2 2 4 4" xfId="4577" xr:uid="{5A9CFE11-7955-4C34-938A-8195CBDFC4AF}"/>
    <cellStyle name="Migliaia 4 3 2 2 2 4 4 2" xfId="12062" xr:uid="{047EA1BE-DA8A-432B-9985-93C45C487B44}"/>
    <cellStyle name="Migliaia 4 3 2 2 2 4 4 2 2" xfId="15608" xr:uid="{C77AB09F-B1DB-4CDE-9DA0-1EA414424D70}"/>
    <cellStyle name="Migliaia 4 3 2 2 2 4 4 2 2 2" xfId="30785" xr:uid="{32739E1A-ACA1-486A-B251-0CDE9EBA3F52}"/>
    <cellStyle name="Migliaia 4 3 2 2 2 4 4 2 3" xfId="27240" xr:uid="{D739DFDA-4D31-439F-936E-65210C23AF6B}"/>
    <cellStyle name="Migliaia 4 3 2 2 2 4 4 3" xfId="7888" xr:uid="{24D5889A-EB43-473D-967F-4139D7DAF4E8}"/>
    <cellStyle name="Migliaia 4 3 2 2 2 4 4 3 2" xfId="23068" xr:uid="{40A1F772-18D0-4527-A2DD-CE051498A552}"/>
    <cellStyle name="Migliaia 4 3 2 2 2 4 4 4" xfId="19780" xr:uid="{89E03B8F-AD66-40F5-8224-1A2D11D67203}"/>
    <cellStyle name="Migliaia 4 3 2 2 2 4 5" xfId="2059" xr:uid="{2E40031B-8E5F-4586-B79E-031F0A12B6C5}"/>
    <cellStyle name="Migliaia 4 3 2 2 2 4 5 2" xfId="9556" xr:uid="{C7257B55-3855-4D35-AD71-0ABE67FA70DE}"/>
    <cellStyle name="Migliaia 4 3 2 2 2 4 5 2 2" xfId="24734" xr:uid="{953B7250-4ACF-46AD-BD5E-43E1FC813095}"/>
    <cellStyle name="Migliaia 4 3 2 2 2 4 5 3" xfId="17274" xr:uid="{28E4A11D-31EE-4879-B36F-46E8D146E331}"/>
    <cellStyle name="Migliaia 4 3 2 2 2 4 6" xfId="9042" xr:uid="{912D7C22-4374-4150-AE62-613FD847E6DB}"/>
    <cellStyle name="Migliaia 4 3 2 2 2 4 6 2" xfId="13215" xr:uid="{2EA2B99F-B377-43D4-ABFC-FE27672F2F3F}"/>
    <cellStyle name="Migliaia 4 3 2 2 2 4 6 2 2" xfId="28392" xr:uid="{2D68FBD3-8D98-4591-BD8F-B45E35B69AED}"/>
    <cellStyle name="Migliaia 4 3 2 2 2 4 6 3" xfId="24220" xr:uid="{5185CE6E-9036-49D4-BA1D-5C5E22C4FCE6}"/>
    <cellStyle name="Migliaia 4 3 2 2 2 4 7" xfId="5382" xr:uid="{3039EEF6-1851-48B0-8C3E-CCABC1F29694}"/>
    <cellStyle name="Migliaia 4 3 2 2 2 4 7 2" xfId="20562" xr:uid="{F3EBE98C-5583-4BAF-B6EB-F782E2E0D46D}"/>
    <cellStyle name="Migliaia 4 3 2 2 2 4 8" xfId="16760" xr:uid="{793199BD-D57B-4A52-B1DE-36D15AD342A9}"/>
    <cellStyle name="Migliaia 4 3 2 2 2 5" xfId="1627" xr:uid="{C456A6B7-7664-4C63-822D-252189F56EC8}"/>
    <cellStyle name="Migliaia 4 3 2 2 2 5 2" xfId="3047" xr:uid="{7DB4727A-9D13-45F1-A129-5F183E587F46}"/>
    <cellStyle name="Migliaia 4 3 2 2 2 5 2 2" xfId="10538" xr:uid="{A43EFDCD-8DFA-49DC-B8D5-FA63E66E91F6}"/>
    <cellStyle name="Migliaia 4 3 2 2 2 5 2 2 2" xfId="14084" xr:uid="{E61F431F-A94F-4D1D-BA3D-81FCB1BAC8D2}"/>
    <cellStyle name="Migliaia 4 3 2 2 2 5 2 2 2 2" xfId="29261" xr:uid="{4335CF55-916D-4E72-BF90-641A1E672200}"/>
    <cellStyle name="Migliaia 4 3 2 2 2 5 2 2 3" xfId="25716" xr:uid="{B423C910-D698-41C1-BB2D-D5C655191E6F}"/>
    <cellStyle name="Migliaia 4 3 2 2 2 5 2 3" xfId="6364" xr:uid="{4618089D-1EF4-49B2-8F55-69A7F8A69B47}"/>
    <cellStyle name="Migliaia 4 3 2 2 2 5 2 3 2" xfId="21544" xr:uid="{15C16609-D6EA-4CD7-9101-F91E0D1174B7}"/>
    <cellStyle name="Migliaia 4 3 2 2 2 5 2 4" xfId="18256" xr:uid="{7B48EF66-E66D-46CA-B894-0CE9E3BC907A}"/>
    <cellStyle name="Migliaia 4 3 2 2 2 5 3" xfId="3934" xr:uid="{0B086EED-B347-4D99-A9FB-C2B75953ACA4}"/>
    <cellStyle name="Migliaia 4 3 2 2 2 5 3 2" xfId="11422" xr:uid="{5D79BE49-BC49-4045-A447-BB9F811AFC08}"/>
    <cellStyle name="Migliaia 4 3 2 2 2 5 3 2 2" xfId="14968" xr:uid="{BC37A156-D705-4738-8718-B81E59161FC2}"/>
    <cellStyle name="Migliaia 4 3 2 2 2 5 3 2 2 2" xfId="30145" xr:uid="{D9DF42AB-679A-4570-A948-C4B2F3F5FAD2}"/>
    <cellStyle name="Migliaia 4 3 2 2 2 5 3 2 3" xfId="26600" xr:uid="{77AAC39C-BA6B-4626-854E-15FB57DEF137}"/>
    <cellStyle name="Migliaia 4 3 2 2 2 5 3 3" xfId="7248" xr:uid="{AA0BCF4B-C841-413C-975B-B56A6D71BD84}"/>
    <cellStyle name="Migliaia 4 3 2 2 2 5 3 3 2" xfId="22428" xr:uid="{6DD63C4C-36A1-4FA9-BDBC-970EA6B77788}"/>
    <cellStyle name="Migliaia 4 3 2 2 2 5 3 4" xfId="19140" xr:uid="{5049E07E-A6A7-41BC-911F-AB8ED614797C}"/>
    <cellStyle name="Migliaia 4 3 2 2 2 5 4" xfId="4578" xr:uid="{D290C33E-B174-43DD-8382-E9B535457DF1}"/>
    <cellStyle name="Migliaia 4 3 2 2 2 5 4 2" xfId="12063" xr:uid="{789430E3-3D88-46C8-ACE4-14EDF96D82D5}"/>
    <cellStyle name="Migliaia 4 3 2 2 2 5 4 2 2" xfId="15609" xr:uid="{BB38082E-777B-48D0-B3B3-5EFB0A9E1AE3}"/>
    <cellStyle name="Migliaia 4 3 2 2 2 5 4 2 2 2" xfId="30786" xr:uid="{8DF44F85-054F-4ECE-B488-BDA4333C8C99}"/>
    <cellStyle name="Migliaia 4 3 2 2 2 5 4 2 3" xfId="27241" xr:uid="{63A34EF6-0122-44D6-86CB-1B687F1A6E11}"/>
    <cellStyle name="Migliaia 4 3 2 2 2 5 4 3" xfId="7889" xr:uid="{F1C3E1C7-3E6E-4F53-81CA-2A30B39248B4}"/>
    <cellStyle name="Migliaia 4 3 2 2 2 5 4 3 2" xfId="23069" xr:uid="{F00C5664-EF91-40BE-90CA-8E6B2032213B}"/>
    <cellStyle name="Migliaia 4 3 2 2 2 5 4 4" xfId="19781" xr:uid="{5578C5DC-3B9C-4C73-930B-4C41EB4EE6F9}"/>
    <cellStyle name="Migliaia 4 3 2 2 2 5 5" xfId="2157" xr:uid="{62C05A5B-F116-4B9D-AC99-26F73BD3B4A4}"/>
    <cellStyle name="Migliaia 4 3 2 2 2 5 5 2" xfId="9654" xr:uid="{604B6E4C-103A-41A8-AC2C-8E2FC5DD058B}"/>
    <cellStyle name="Migliaia 4 3 2 2 2 5 5 2 2" xfId="24832" xr:uid="{EE23D064-815D-4BB7-8A0F-A0A5B9E7367A}"/>
    <cellStyle name="Migliaia 4 3 2 2 2 5 5 3" xfId="17372" xr:uid="{A0829C6D-D3B4-4E9A-A9CF-5582B022B05F}"/>
    <cellStyle name="Migliaia 4 3 2 2 2 5 6" xfId="9140" xr:uid="{66E0A324-9398-487F-90BC-58C339CBF614}"/>
    <cellStyle name="Migliaia 4 3 2 2 2 5 6 2" xfId="13313" xr:uid="{BCC8AD2E-2BEF-4499-96E1-F6E97B33BF06}"/>
    <cellStyle name="Migliaia 4 3 2 2 2 5 6 2 2" xfId="28490" xr:uid="{9E6C8257-24C9-4FBA-A628-D36D327C789F}"/>
    <cellStyle name="Migliaia 4 3 2 2 2 5 6 3" xfId="24318" xr:uid="{FCE9A161-B2DE-43C5-861E-2376BD8914C2}"/>
    <cellStyle name="Migliaia 4 3 2 2 2 5 7" xfId="5480" xr:uid="{64FD6AAD-EFBF-413C-B14B-7704F8A169F0}"/>
    <cellStyle name="Migliaia 4 3 2 2 2 5 7 2" xfId="20660" xr:uid="{16ABB238-1D43-4640-981D-57E372E9409B}"/>
    <cellStyle name="Migliaia 4 3 2 2 2 5 8" xfId="16858" xr:uid="{BF3ADD8D-06A2-403F-B4E7-E169CB4B93DD}"/>
    <cellStyle name="Migliaia 4 3 2 2 2 6" xfId="1726" xr:uid="{74E3A0F9-61FD-49A2-8247-513F5ECE3726}"/>
    <cellStyle name="Migliaia 4 3 2 2 2 6 2" xfId="3145" xr:uid="{6B2F0B08-AEC0-44CA-A3A1-F55C4C872386}"/>
    <cellStyle name="Migliaia 4 3 2 2 2 6 2 2" xfId="10636" xr:uid="{60A68D8F-5588-4AE5-B022-E874A7982461}"/>
    <cellStyle name="Migliaia 4 3 2 2 2 6 2 2 2" xfId="14182" xr:uid="{6DCF98E3-718C-4263-9920-D01D4B28549B}"/>
    <cellStyle name="Migliaia 4 3 2 2 2 6 2 2 2 2" xfId="29359" xr:uid="{BFF7DB55-1E2C-4A2D-9C16-CD70A633F7D6}"/>
    <cellStyle name="Migliaia 4 3 2 2 2 6 2 2 3" xfId="25814" xr:uid="{9EAD04CB-F65F-430E-A37A-64652AC7AC44}"/>
    <cellStyle name="Migliaia 4 3 2 2 2 6 2 3" xfId="6462" xr:uid="{C39305D0-F12D-4D86-82F1-1C821D846A61}"/>
    <cellStyle name="Migliaia 4 3 2 2 2 6 2 3 2" xfId="21642" xr:uid="{9EB5959A-1FDF-4AAD-986F-8B952988C59C}"/>
    <cellStyle name="Migliaia 4 3 2 2 2 6 2 4" xfId="18354" xr:uid="{B4C8C10D-3D29-48A4-BDC9-987CCDD2364E}"/>
    <cellStyle name="Migliaia 4 3 2 2 2 6 3" xfId="4032" xr:uid="{89D18627-38C7-4551-83B8-32D94CBE0EDF}"/>
    <cellStyle name="Migliaia 4 3 2 2 2 6 3 2" xfId="11520" xr:uid="{1538E47C-F0AE-4642-999B-ADF88F30A46B}"/>
    <cellStyle name="Migliaia 4 3 2 2 2 6 3 2 2" xfId="15066" xr:uid="{91751A85-AC9D-45BA-9532-D3046EE13C6A}"/>
    <cellStyle name="Migliaia 4 3 2 2 2 6 3 2 2 2" xfId="30243" xr:uid="{7083E9E3-E3D1-4FF4-8FAE-58193087260C}"/>
    <cellStyle name="Migliaia 4 3 2 2 2 6 3 2 3" xfId="26698" xr:uid="{C736C976-5A97-4EBC-9040-395FA2AECF7C}"/>
    <cellStyle name="Migliaia 4 3 2 2 2 6 3 3" xfId="7346" xr:uid="{2FF8BD71-99A6-466C-A0CC-124C0E2BFC57}"/>
    <cellStyle name="Migliaia 4 3 2 2 2 6 3 3 2" xfId="22526" xr:uid="{48F9F7D5-1024-4900-B1B3-84BF6CEF342C}"/>
    <cellStyle name="Migliaia 4 3 2 2 2 6 3 4" xfId="19238" xr:uid="{942C8882-67E2-4762-9755-AF7CBB4FC6B9}"/>
    <cellStyle name="Migliaia 4 3 2 2 2 6 4" xfId="4579" xr:uid="{0B716533-299A-4700-A54A-7334B1E2991D}"/>
    <cellStyle name="Migliaia 4 3 2 2 2 6 4 2" xfId="12064" xr:uid="{9A1423EA-FE4E-4101-8FC8-E5D0DE078D1C}"/>
    <cellStyle name="Migliaia 4 3 2 2 2 6 4 2 2" xfId="15610" xr:uid="{C983AD43-6E4F-48F1-88D1-569627DB59E8}"/>
    <cellStyle name="Migliaia 4 3 2 2 2 6 4 2 2 2" xfId="30787" xr:uid="{919E695C-4372-423D-B12A-ADCA57B4F3B0}"/>
    <cellStyle name="Migliaia 4 3 2 2 2 6 4 2 3" xfId="27242" xr:uid="{A71A721B-B53C-47FF-AD5B-01CA12130803}"/>
    <cellStyle name="Migliaia 4 3 2 2 2 6 4 3" xfId="7890" xr:uid="{2CA7D026-30CF-4FD8-A6DD-FD388ECE47A6}"/>
    <cellStyle name="Migliaia 4 3 2 2 2 6 4 3 2" xfId="23070" xr:uid="{E83BEC9E-7257-464F-A123-257E44B39CAD}"/>
    <cellStyle name="Migliaia 4 3 2 2 2 6 4 4" xfId="19782" xr:uid="{76BF1A6A-C2DD-4D49-A206-0DD0068A11BF}"/>
    <cellStyle name="Migliaia 4 3 2 2 2 6 5" xfId="2255" xr:uid="{B4075DCB-5A9B-4059-9CCB-19D9A65D2FB4}"/>
    <cellStyle name="Migliaia 4 3 2 2 2 6 5 2" xfId="9752" xr:uid="{EFBEA6C1-2626-451C-924B-06D8CDDD585A}"/>
    <cellStyle name="Migliaia 4 3 2 2 2 6 5 2 2" xfId="24930" xr:uid="{3035B6D0-CF08-4747-BE3E-FDDFFD6C8C3F}"/>
    <cellStyle name="Migliaia 4 3 2 2 2 6 5 3" xfId="17470" xr:uid="{23BCE275-6B60-4AE0-88B6-3EE6EC1CCA7D}"/>
    <cellStyle name="Migliaia 4 3 2 2 2 6 6" xfId="9238" xr:uid="{507D3F02-E360-4AC2-8027-1F15595325FB}"/>
    <cellStyle name="Migliaia 4 3 2 2 2 6 6 2" xfId="13411" xr:uid="{62DEFA68-6697-4ED3-8337-908B0774E7BA}"/>
    <cellStyle name="Migliaia 4 3 2 2 2 6 6 2 2" xfId="28588" xr:uid="{498AEEA6-8B93-4290-8B27-6C1C584E0BFC}"/>
    <cellStyle name="Migliaia 4 3 2 2 2 6 6 3" xfId="24416" xr:uid="{3F54AAC6-A5B8-492D-9EA0-92F5CC9F6FD0}"/>
    <cellStyle name="Migliaia 4 3 2 2 2 6 7" xfId="5578" xr:uid="{19FA9D4B-E938-435F-B7A7-AA08980ADD1E}"/>
    <cellStyle name="Migliaia 4 3 2 2 2 6 7 2" xfId="20758" xr:uid="{263FA286-B21E-4466-AC0E-DFC9886E52AE}"/>
    <cellStyle name="Migliaia 4 3 2 2 2 6 8" xfId="16956" xr:uid="{E45908F9-3F1C-4D10-8700-B3E64085BD72}"/>
    <cellStyle name="Migliaia 4 3 2 2 2 7" xfId="2355" xr:uid="{2D024D79-B9F4-418C-AC41-A9BAC1617712}"/>
    <cellStyle name="Migliaia 4 3 2 2 2 7 2" xfId="9850" xr:uid="{C1092E89-6974-4159-943C-E55F617D793C}"/>
    <cellStyle name="Migliaia 4 3 2 2 2 7 2 2" xfId="13509" xr:uid="{432E2005-9EE8-48B4-B5AE-1DB1233BA9CF}"/>
    <cellStyle name="Migliaia 4 3 2 2 2 7 2 2 2" xfId="28686" xr:uid="{85AC1734-EB00-42F3-9198-33FD326986B3}"/>
    <cellStyle name="Migliaia 4 3 2 2 2 7 2 3" xfId="25028" xr:uid="{15EF0AA5-ECB1-4322-9920-BD59BCEB39B1}"/>
    <cellStyle name="Migliaia 4 3 2 2 2 7 3" xfId="5676" xr:uid="{30A10B77-6724-4E2F-B265-CAEC89F6A08E}"/>
    <cellStyle name="Migliaia 4 3 2 2 2 7 3 2" xfId="20856" xr:uid="{8D726D19-4E8C-4BC2-8672-828E6552E748}"/>
    <cellStyle name="Migliaia 4 3 2 2 2 7 4" xfId="17568" xr:uid="{DDE91A3B-87AB-4C4B-8402-4A4B9108F367}"/>
    <cellStyle name="Migliaia 4 3 2 2 2 8" xfId="3245" xr:uid="{78906B27-ACB3-40C0-8E00-28B059BB5FA9}"/>
    <cellStyle name="Migliaia 4 3 2 2 2 8 2" xfId="10734" xr:uid="{BDB80A1A-518E-402D-A9C5-BD7358EA39B4}"/>
    <cellStyle name="Migliaia 4 3 2 2 2 8 2 2" xfId="14280" xr:uid="{41AB2598-99F6-458A-8606-A9641988CC65}"/>
    <cellStyle name="Migliaia 4 3 2 2 2 8 2 2 2" xfId="29457" xr:uid="{69DE7898-6085-4B12-8989-E9D859B8DA40}"/>
    <cellStyle name="Migliaia 4 3 2 2 2 8 2 3" xfId="25912" xr:uid="{9F66C750-BB01-47F9-B93E-C8772013AF01}"/>
    <cellStyle name="Migliaia 4 3 2 2 2 8 3" xfId="6560" xr:uid="{AEC893FA-4312-4F71-B697-55408060D4EF}"/>
    <cellStyle name="Migliaia 4 3 2 2 2 8 3 2" xfId="21740" xr:uid="{9BE2996D-9899-4271-964F-2E73F3851379}"/>
    <cellStyle name="Migliaia 4 3 2 2 2 8 4" xfId="18452" xr:uid="{75E5D16C-7673-43BD-8A82-CC4EF3B3F7F6}"/>
    <cellStyle name="Migliaia 4 3 2 2 2 9" xfId="4580" xr:uid="{1DFA4360-E542-45E6-920A-378DD442EFAC}"/>
    <cellStyle name="Migliaia 4 3 2 2 2 9 2" xfId="12065" xr:uid="{315438E9-49C2-4123-87E9-5CACEB846AE0}"/>
    <cellStyle name="Migliaia 4 3 2 2 2 9 2 2" xfId="15611" xr:uid="{D8DE1B57-8458-4BA7-B1FD-047126E69E04}"/>
    <cellStyle name="Migliaia 4 3 2 2 2 9 2 2 2" xfId="30788" xr:uid="{F302CFAC-1091-4FEC-9F29-D8E6F7C25EC1}"/>
    <cellStyle name="Migliaia 4 3 2 2 2 9 2 3" xfId="27243" xr:uid="{F22F852C-6014-4E36-9D19-274282143463}"/>
    <cellStyle name="Migliaia 4 3 2 2 2 9 3" xfId="7891" xr:uid="{69B6520D-456F-4C3B-BC4F-7596CD4A76AB}"/>
    <cellStyle name="Migliaia 4 3 2 2 2 9 3 2" xfId="23071" xr:uid="{066599BA-48D2-43BB-8117-E292E27FC233}"/>
    <cellStyle name="Migliaia 4 3 2 2 2 9 4" xfId="19783" xr:uid="{B634B38D-7D71-46AE-A92B-3FEB5F8CED21}"/>
    <cellStyle name="Migliaia 4 3 2 2 3" xfId="913" xr:uid="{BC1C8058-70CF-4DB9-B821-11659873421D}"/>
    <cellStyle name="Migliaia 4 3 2 2 3 2" xfId="2431" xr:uid="{D9A3018F-E39A-415A-A29F-6DB3AA6046B3}"/>
    <cellStyle name="Migliaia 4 3 2 2 3 2 2" xfId="9923" xr:uid="{BACC4F0F-5387-481B-A150-700C423FE617}"/>
    <cellStyle name="Migliaia 4 3 2 2 3 2 2 2" xfId="13582" xr:uid="{4D91DC46-C4E3-4124-ACFD-D30CC1E36524}"/>
    <cellStyle name="Migliaia 4 3 2 2 3 2 2 2 2" xfId="28759" xr:uid="{20A59FB4-B7AF-41E9-BE09-57004A37CE15}"/>
    <cellStyle name="Migliaia 4 3 2 2 3 2 2 3" xfId="25101" xr:uid="{148CF718-0FDC-4F30-8C60-5A34EBAB1ABA}"/>
    <cellStyle name="Migliaia 4 3 2 2 3 2 3" xfId="5749" xr:uid="{E9AF2C14-F223-4CC5-9383-1034D0CE7B93}"/>
    <cellStyle name="Migliaia 4 3 2 2 3 2 3 2" xfId="20929" xr:uid="{6F21A65C-D9E4-4487-A4E0-AFC9AB3C8942}"/>
    <cellStyle name="Migliaia 4 3 2 2 3 2 4" xfId="17641" xr:uid="{9F27CF2C-CAB8-492F-B437-70D6109265FD}"/>
    <cellStyle name="Migliaia 4 3 2 2 3 3" xfId="3319" xr:uid="{C291BA7A-FCA5-4854-A718-33A7BEC266AC}"/>
    <cellStyle name="Migliaia 4 3 2 2 3 3 2" xfId="10807" xr:uid="{0EC83D00-A824-42A5-A34A-B5B4F899DA89}"/>
    <cellStyle name="Migliaia 4 3 2 2 3 3 2 2" xfId="14353" xr:uid="{9BF3F7E3-F454-4D47-ADF2-F6F36C1A8DD2}"/>
    <cellStyle name="Migliaia 4 3 2 2 3 3 2 2 2" xfId="29530" xr:uid="{8C919BE4-3E02-46DC-BC33-29AB7EBE649D}"/>
    <cellStyle name="Migliaia 4 3 2 2 3 3 2 3" xfId="25985" xr:uid="{612F8968-9541-4EF3-9BBD-86CD9D2DF953}"/>
    <cellStyle name="Migliaia 4 3 2 2 3 3 3" xfId="6633" xr:uid="{BF2AB45E-507C-4591-8633-52746620C490}"/>
    <cellStyle name="Migliaia 4 3 2 2 3 3 3 2" xfId="21813" xr:uid="{A68644B1-4E4A-45F2-BC36-145789DC6E0B}"/>
    <cellStyle name="Migliaia 4 3 2 2 3 3 4" xfId="18525" xr:uid="{2C6A103C-6687-46F5-9012-5ED8EF94ECF8}"/>
    <cellStyle name="Migliaia 4 3 2 2 3 4" xfId="4581" xr:uid="{BDDBCCFB-B6CD-4BCE-A1CA-623DA7C8A7B9}"/>
    <cellStyle name="Migliaia 4 3 2 2 3 4 2" xfId="12066" xr:uid="{CEB38AC7-B672-410D-B7D9-1FC716060324}"/>
    <cellStyle name="Migliaia 4 3 2 2 3 4 2 2" xfId="15612" xr:uid="{E4E32CB2-CD31-4148-BC29-0A25829E4D4B}"/>
    <cellStyle name="Migliaia 4 3 2 2 3 4 2 2 2" xfId="30789" xr:uid="{25A0DC19-0DE3-4255-BD4C-9973AA5CC8CD}"/>
    <cellStyle name="Migliaia 4 3 2 2 3 4 2 3" xfId="27244" xr:uid="{9821D4EA-BA55-4D28-AF65-9F982DF229B3}"/>
    <cellStyle name="Migliaia 4 3 2 2 3 4 3" xfId="7892" xr:uid="{2FE21BFF-03A8-4BAE-834A-5B7DBC3F8875}"/>
    <cellStyle name="Migliaia 4 3 2 2 3 4 3 2" xfId="23072" xr:uid="{D138E3F2-C3E1-4D99-8E22-B4A2E765F703}"/>
    <cellStyle name="Migliaia 4 3 2 2 3 4 4" xfId="19784" xr:uid="{426CD536-23CC-45A7-97D7-B5D4F6F2786A}"/>
    <cellStyle name="Migliaia 4 3 2 2 3 5" xfId="8525" xr:uid="{EC0500E5-36A3-4B14-8DD1-042A09991C64}"/>
    <cellStyle name="Migliaia 4 3 2 2 3 5 2" xfId="12698" xr:uid="{33EA18A4-6DDE-47DE-85F1-6322EAB6C547}"/>
    <cellStyle name="Migliaia 4 3 2 2 3 5 2 2" xfId="27875" xr:uid="{C46CE441-A29B-42AD-8608-9E512C009A1A}"/>
    <cellStyle name="Migliaia 4 3 2 2 3 5 3" xfId="23703" xr:uid="{01C5FD58-ABB3-4BE8-A41F-E2A08008B7DA}"/>
    <cellStyle name="Migliaia 4 3 2 2 3 6" xfId="16243" xr:uid="{026EF0FE-7D03-45C4-A7E2-158171DCB289}"/>
    <cellStyle name="Migliaia 4 3 2 2 3 7" xfId="31683" xr:uid="{37BFC0B2-FC38-48F9-87D5-98852047966C}"/>
    <cellStyle name="Migliaia 4 3 2 2 4" xfId="1016" xr:uid="{4D1EAACB-2245-4391-ABCB-102FBDAD4F81}"/>
    <cellStyle name="Migliaia 4 3 2 2 4 2" xfId="2529" xr:uid="{00B2B684-7C4F-4E4C-996C-1FAEB08809C0}"/>
    <cellStyle name="Migliaia 4 3 2 2 4 2 2" xfId="10021" xr:uid="{DFEE3EC5-05D9-466C-A34C-5288535BD7AD}"/>
    <cellStyle name="Migliaia 4 3 2 2 4 2 2 2" xfId="13680" xr:uid="{F63D6158-4FB7-4238-911F-CB872040C73E}"/>
    <cellStyle name="Migliaia 4 3 2 2 4 2 2 2 2" xfId="28857" xr:uid="{4EF2FBD0-E737-4BF4-8F9D-622E0BAE1036}"/>
    <cellStyle name="Migliaia 4 3 2 2 4 2 2 3" xfId="25199" xr:uid="{4B7F1BAA-2029-492A-98F7-85D77AA1505D}"/>
    <cellStyle name="Migliaia 4 3 2 2 4 2 3" xfId="5847" xr:uid="{51E64651-7CA0-4B42-BBE3-B3AA9B7E969B}"/>
    <cellStyle name="Migliaia 4 3 2 2 4 2 3 2" xfId="21027" xr:uid="{F5E08915-7E72-43D0-A15C-178A3AB6B98A}"/>
    <cellStyle name="Migliaia 4 3 2 2 4 2 4" xfId="17739" xr:uid="{35F39B7B-2CC9-4415-A05E-2F4674C7185C}"/>
    <cellStyle name="Migliaia 4 3 2 2 4 3" xfId="3417" xr:uid="{B7C7A823-3471-4195-8ACB-3EFDBA581163}"/>
    <cellStyle name="Migliaia 4 3 2 2 4 3 2" xfId="10905" xr:uid="{A104A718-AC8B-4F7A-9EF1-9AC7982B22B3}"/>
    <cellStyle name="Migliaia 4 3 2 2 4 3 2 2" xfId="14451" xr:uid="{6FC76921-BCBA-4FAA-9A2C-C72323BEC51D}"/>
    <cellStyle name="Migliaia 4 3 2 2 4 3 2 2 2" xfId="29628" xr:uid="{16E863CC-D529-4A1E-B557-B0547EC4F56A}"/>
    <cellStyle name="Migliaia 4 3 2 2 4 3 2 3" xfId="26083" xr:uid="{C5B781BB-C335-40FE-ABCE-A5CF3C3BC856}"/>
    <cellStyle name="Migliaia 4 3 2 2 4 3 3" xfId="6731" xr:uid="{88AC6BCC-41EC-42E1-ACDA-BAB51EB42310}"/>
    <cellStyle name="Migliaia 4 3 2 2 4 3 3 2" xfId="21911" xr:uid="{47ED70CE-A641-48AF-9E9B-6CB0A14CF730}"/>
    <cellStyle name="Migliaia 4 3 2 2 4 3 4" xfId="18623" xr:uid="{B29D245C-16B9-49F0-BCE8-1BE2167EE68A}"/>
    <cellStyle name="Migliaia 4 3 2 2 4 4" xfId="4582" xr:uid="{14A28ED6-EAA0-4AC2-8518-232F15268F44}"/>
    <cellStyle name="Migliaia 4 3 2 2 4 4 2" xfId="12067" xr:uid="{F601CD0C-4D6D-44D8-9267-FF96BEFFDCF8}"/>
    <cellStyle name="Migliaia 4 3 2 2 4 4 2 2" xfId="15613" xr:uid="{C900064E-B428-4E5E-AA60-4708B5D1E197}"/>
    <cellStyle name="Migliaia 4 3 2 2 4 4 2 2 2" xfId="30790" xr:uid="{C649BC63-96C1-4FE7-9148-A836A10C30B5}"/>
    <cellStyle name="Migliaia 4 3 2 2 4 4 2 3" xfId="27245" xr:uid="{5C163EDA-11E3-429A-BCAD-1534BF2C5299}"/>
    <cellStyle name="Migliaia 4 3 2 2 4 4 3" xfId="7893" xr:uid="{9ECE192E-DE4B-456C-823B-ADDCB95F4025}"/>
    <cellStyle name="Migliaia 4 3 2 2 4 4 3 2" xfId="23073" xr:uid="{E4212A03-5EB6-4526-A05E-BF9EBB678E4B}"/>
    <cellStyle name="Migliaia 4 3 2 2 4 4 4" xfId="19785" xr:uid="{6113A864-FD00-4707-BF12-CEE1F7934428}"/>
    <cellStyle name="Migliaia 4 3 2 2 4 5" xfId="8623" xr:uid="{A34EFFE5-7416-4EA2-ACCF-EFA4E063FE99}"/>
    <cellStyle name="Migliaia 4 3 2 2 4 5 2" xfId="12796" xr:uid="{B4B30413-FB6A-427C-92D4-5F24165E639A}"/>
    <cellStyle name="Migliaia 4 3 2 2 4 5 2 2" xfId="27973" xr:uid="{25669F76-0B67-4CBD-A4BE-1B0CDE11FA2F}"/>
    <cellStyle name="Migliaia 4 3 2 2 4 5 3" xfId="23801" xr:uid="{D2387AAE-B51B-45EB-9DB0-6003B5A3267F}"/>
    <cellStyle name="Migliaia 4 3 2 2 4 6" xfId="16341" xr:uid="{6C8B660E-6C04-4DA7-ADB7-8B22945B098A}"/>
    <cellStyle name="Migliaia 4 3 2 2 4 7" xfId="31561" xr:uid="{448DB7D0-EBBC-4E3F-A8A0-78E95DAF8942}"/>
    <cellStyle name="Migliaia 4 3 2 2 5" xfId="1274" xr:uid="{D099117A-3E17-4344-8C05-37EA194C9B4B}"/>
    <cellStyle name="Migliaia 4 3 2 2 5 10" xfId="31333" xr:uid="{B97E0B3A-DCA3-4E63-A65B-8B0F4C308D3C}"/>
    <cellStyle name="Migliaia 4 3 2 2 5 2" xfId="2704" xr:uid="{51E28149-8E9A-4754-9D2C-D2759DC48BB6}"/>
    <cellStyle name="Migliaia 4 3 2 2 5 2 2" xfId="10195" xr:uid="{0C993C70-21C2-432E-9FF8-06544CDE02EC}"/>
    <cellStyle name="Migliaia 4 3 2 2 5 2 2 2" xfId="13839" xr:uid="{A54AA122-E10D-42A8-A743-1198110D8C32}"/>
    <cellStyle name="Migliaia 4 3 2 2 5 2 2 2 2" xfId="29016" xr:uid="{268691BA-A255-4552-8904-EF54A0D589F2}"/>
    <cellStyle name="Migliaia 4 3 2 2 5 2 2 3" xfId="25373" xr:uid="{10FCEE31-0132-479F-9304-F7F680C893FC}"/>
    <cellStyle name="Migliaia 4 3 2 2 5 2 3" xfId="6021" xr:uid="{1DE7BE7A-DEB4-4CEA-8330-FC53272ED54E}"/>
    <cellStyle name="Migliaia 4 3 2 2 5 2 3 2" xfId="21201" xr:uid="{3C7FDD4B-7098-4CA7-B317-68CCCFCAE6C3}"/>
    <cellStyle name="Migliaia 4 3 2 2 5 2 4" xfId="17913" xr:uid="{13E360C2-1559-4845-B972-17A99BEF639B}"/>
    <cellStyle name="Migliaia 4 3 2 2 5 3" xfId="3591" xr:uid="{760B9DE2-1B1A-4D9F-B1CA-E2D50CF1D09E}"/>
    <cellStyle name="Migliaia 4 3 2 2 5 3 2" xfId="11079" xr:uid="{9BD79840-70BB-4B15-B1D0-C668BCB8089C}"/>
    <cellStyle name="Migliaia 4 3 2 2 5 3 2 2" xfId="14625" xr:uid="{801BD503-5184-4631-B6B9-3191CAAB9381}"/>
    <cellStyle name="Migliaia 4 3 2 2 5 3 2 2 2" xfId="29802" xr:uid="{006BF9A2-9C0C-4B7E-B797-E71CC303E7E8}"/>
    <cellStyle name="Migliaia 4 3 2 2 5 3 2 3" xfId="26257" xr:uid="{2D398042-AD0E-42B7-AA7A-4C3BC3DF8E43}"/>
    <cellStyle name="Migliaia 4 3 2 2 5 3 3" xfId="6905" xr:uid="{F7D5FF8A-87E9-4284-BC75-821027080AD1}"/>
    <cellStyle name="Migliaia 4 3 2 2 5 3 3 2" xfId="22085" xr:uid="{A5444698-FB50-409C-868E-D2431766D991}"/>
    <cellStyle name="Migliaia 4 3 2 2 5 3 4" xfId="18797" xr:uid="{C6E469B9-A833-4FCF-A13C-FBA8E44B3E66}"/>
    <cellStyle name="Migliaia 4 3 2 2 5 4" xfId="4583" xr:uid="{58AB5983-A687-4746-B7E6-DCA5C4A8CACB}"/>
    <cellStyle name="Migliaia 4 3 2 2 5 4 2" xfId="12068" xr:uid="{DA33AA81-62DC-4727-9ED7-2482AB10A212}"/>
    <cellStyle name="Migliaia 4 3 2 2 5 4 2 2" xfId="15614" xr:uid="{8FDC4B15-721C-4D4B-A635-80C8000DF6A7}"/>
    <cellStyle name="Migliaia 4 3 2 2 5 4 2 2 2" xfId="30791" xr:uid="{653FB4A6-4869-4D12-8C40-5F14C7920919}"/>
    <cellStyle name="Migliaia 4 3 2 2 5 4 2 3" xfId="27246" xr:uid="{A66E7DA9-9325-44C7-B3B6-82DB27108367}"/>
    <cellStyle name="Migliaia 4 3 2 2 5 4 3" xfId="7894" xr:uid="{5EF2E9E6-2B10-4126-B3D4-0F59305E0EAA}"/>
    <cellStyle name="Migliaia 4 3 2 2 5 4 3 2" xfId="23074" xr:uid="{7C3C680F-B485-4696-ABF1-AB7A052E432E}"/>
    <cellStyle name="Migliaia 4 3 2 2 5 4 4" xfId="19786" xr:uid="{C234D6F2-02AB-400D-B640-847ACCF0C621}"/>
    <cellStyle name="Migliaia 4 3 2 2 5 5" xfId="4993" xr:uid="{81465180-A447-40BB-BC3F-4FBF2CEE8060}"/>
    <cellStyle name="Migliaia 4 3 2 2 5 5 2" xfId="12477" xr:uid="{C4B12EE3-D431-4CCA-9F00-8267B66142A2}"/>
    <cellStyle name="Migliaia 4 3 2 2 5 5 2 2" xfId="16023" xr:uid="{264AA301-617B-477A-80AD-F7DEF38D6787}"/>
    <cellStyle name="Migliaia 4 3 2 2 5 5 2 2 2" xfId="31200" xr:uid="{0354E2A9-6CAC-4E42-B829-F3474B29AE66}"/>
    <cellStyle name="Migliaia 4 3 2 2 5 5 2 3" xfId="27655" xr:uid="{62DB47ED-939A-4FCE-AF9F-85CE0AC923BE}"/>
    <cellStyle name="Migliaia 4 3 2 2 5 5 3" xfId="8303" xr:uid="{72510642-23E9-4B26-941C-7DF29D93576B}"/>
    <cellStyle name="Migliaia 4 3 2 2 5 5 3 2" xfId="23483" xr:uid="{5CBC00D1-DC31-43E5-8EA1-47762A9B14E8}"/>
    <cellStyle name="Migliaia 4 3 2 2 5 5 4" xfId="20195" xr:uid="{8326C677-C6E5-4661-A00D-BD1FD9EE1411}"/>
    <cellStyle name="Migliaia 4 3 2 2 5 6" xfId="1814" xr:uid="{0C7F92A4-682B-4E0C-944F-26092C631741}"/>
    <cellStyle name="Migliaia 4 3 2 2 5 6 2" xfId="9311" xr:uid="{F7A04DCF-13AD-48FD-A603-1392A9A33D1B}"/>
    <cellStyle name="Migliaia 4 3 2 2 5 6 2 2" xfId="24489" xr:uid="{415531FB-85CF-4A43-92B5-8898AE817464}"/>
    <cellStyle name="Migliaia 4 3 2 2 5 6 3" xfId="17029" xr:uid="{90217E54-603A-4B92-8175-C3677CBDAA6D}"/>
    <cellStyle name="Migliaia 4 3 2 2 5 7" xfId="8797" xr:uid="{0607E683-F1B0-496B-BB7B-CFD5F30CD662}"/>
    <cellStyle name="Migliaia 4 3 2 2 5 7 2" xfId="12970" xr:uid="{246F7244-3746-4875-B02F-7855D7674D34}"/>
    <cellStyle name="Migliaia 4 3 2 2 5 7 2 2" xfId="28147" xr:uid="{F589F202-EF63-409E-8AB2-1F1720B25B4A}"/>
    <cellStyle name="Migliaia 4 3 2 2 5 7 3" xfId="23975" xr:uid="{DBE2FD4B-A0C1-4E45-ADAE-06307E4F2A8C}"/>
    <cellStyle name="Migliaia 4 3 2 2 5 8" xfId="5137" xr:uid="{1E518E1F-5718-4BD7-A478-8D18D83D0F3F}"/>
    <cellStyle name="Migliaia 4 3 2 2 5 8 2" xfId="20317" xr:uid="{F3DFD630-7333-4702-A453-59B35E131D5E}"/>
    <cellStyle name="Migliaia 4 3 2 2 5 9" xfId="16515" xr:uid="{ED42BE14-F58D-4852-9F96-06D7F4E1D7EE}"/>
    <cellStyle name="Migliaia 4 3 2 2 6" xfId="1376" xr:uid="{F387C98D-AD52-40A1-9E2F-A9C50BE4622F}"/>
    <cellStyle name="Migliaia 4 3 2 2 6 2" xfId="2802" xr:uid="{3CAE305B-DE20-443E-B9E2-DA8BF847833E}"/>
    <cellStyle name="Migliaia 4 3 2 2 6 2 2" xfId="10293" xr:uid="{694A2C2D-BB95-4F50-81CF-CD1CDA6B905C}"/>
    <cellStyle name="Migliaia 4 3 2 2 6 2 2 2" xfId="13888" xr:uid="{91D0AB22-675C-4FDC-89C1-033F8DA41400}"/>
    <cellStyle name="Migliaia 4 3 2 2 6 2 2 2 2" xfId="29065" xr:uid="{8EED9D31-0274-439A-89DF-C9BB2B336A47}"/>
    <cellStyle name="Migliaia 4 3 2 2 6 2 2 3" xfId="25471" xr:uid="{16206B48-7522-4C5D-941E-4009DBE7E1B5}"/>
    <cellStyle name="Migliaia 4 3 2 2 6 2 3" xfId="6119" xr:uid="{7A695080-3F00-4565-BD31-86C40FA83521}"/>
    <cellStyle name="Migliaia 4 3 2 2 6 2 3 2" xfId="21299" xr:uid="{0E3EF690-5DAE-4A9D-8AC0-6D04B8D63976}"/>
    <cellStyle name="Migliaia 4 3 2 2 6 2 4" xfId="18011" xr:uid="{D7A816B6-4BBF-44BB-AC10-50636F160DB2}"/>
    <cellStyle name="Migliaia 4 3 2 2 6 3" xfId="3689" xr:uid="{A380668E-0689-4937-8FA1-20302501472E}"/>
    <cellStyle name="Migliaia 4 3 2 2 6 3 2" xfId="11177" xr:uid="{30CE64F0-D6AF-4A2E-8316-1F78568346F5}"/>
    <cellStyle name="Migliaia 4 3 2 2 6 3 2 2" xfId="14723" xr:uid="{3A24A768-8F14-4368-A905-C8A90CA4CCEA}"/>
    <cellStyle name="Migliaia 4 3 2 2 6 3 2 2 2" xfId="29900" xr:uid="{8F8D3E75-F710-4447-82E8-3CCB37425E7E}"/>
    <cellStyle name="Migliaia 4 3 2 2 6 3 2 3" xfId="26355" xr:uid="{C5C258F8-86EA-460F-B606-7EA7C07EB641}"/>
    <cellStyle name="Migliaia 4 3 2 2 6 3 3" xfId="7003" xr:uid="{83304570-22C8-4C6A-A52E-32F64E5B53C7}"/>
    <cellStyle name="Migliaia 4 3 2 2 6 3 3 2" xfId="22183" xr:uid="{02FD9D28-1CF3-45D5-92D2-B664556E05BE}"/>
    <cellStyle name="Migliaia 4 3 2 2 6 3 4" xfId="18895" xr:uid="{5E62C68B-A0DF-4A12-B048-247187454858}"/>
    <cellStyle name="Migliaia 4 3 2 2 6 4" xfId="4584" xr:uid="{F039F662-6B09-4A5E-BA37-CAA3FE3AC6D3}"/>
    <cellStyle name="Migliaia 4 3 2 2 6 4 2" xfId="12069" xr:uid="{02C0C6A4-97DC-4196-9374-A46B0663E370}"/>
    <cellStyle name="Migliaia 4 3 2 2 6 4 2 2" xfId="15615" xr:uid="{9BFED13F-CFC6-41D5-A0E0-3873D4A6F105}"/>
    <cellStyle name="Migliaia 4 3 2 2 6 4 2 2 2" xfId="30792" xr:uid="{F755DC92-F4AE-49F5-A1B6-88E04CFA7963}"/>
    <cellStyle name="Migliaia 4 3 2 2 6 4 2 3" xfId="27247" xr:uid="{965E963E-09EE-41CE-BDC2-D031E976C8E5}"/>
    <cellStyle name="Migliaia 4 3 2 2 6 4 3" xfId="7895" xr:uid="{F10C9A06-A607-46D3-BE02-57AAF8E24725}"/>
    <cellStyle name="Migliaia 4 3 2 2 6 4 3 2" xfId="23075" xr:uid="{4DCEFD87-E3E1-4834-A5D7-ACE6346D2433}"/>
    <cellStyle name="Migliaia 4 3 2 2 6 4 4" xfId="19787" xr:uid="{5B5F311B-20AA-42AA-9AEC-4197131BD59B}"/>
    <cellStyle name="Migliaia 4 3 2 2 6 5" xfId="1912" xr:uid="{E325C3E9-5C60-4830-B9DA-4861B3081AF0}"/>
    <cellStyle name="Migliaia 4 3 2 2 6 5 2" xfId="9409" xr:uid="{284DDF50-916F-43D1-878F-46FB57D68DF1}"/>
    <cellStyle name="Migliaia 4 3 2 2 6 5 2 2" xfId="24587" xr:uid="{52207E23-438C-4B2E-995E-C49019FD7868}"/>
    <cellStyle name="Migliaia 4 3 2 2 6 5 3" xfId="17127" xr:uid="{6B462207-7785-40F3-9368-A43D6498D1BE}"/>
    <cellStyle name="Migliaia 4 3 2 2 6 6" xfId="8895" xr:uid="{08A8FFC8-2226-44A3-901F-703B6BB0A053}"/>
    <cellStyle name="Migliaia 4 3 2 2 6 6 2" xfId="13068" xr:uid="{9854E873-8DC9-438B-9FEB-73B2E9D3A242}"/>
    <cellStyle name="Migliaia 4 3 2 2 6 6 2 2" xfId="28245" xr:uid="{28413689-EB23-487B-AE0C-5544235789D6}"/>
    <cellStyle name="Migliaia 4 3 2 2 6 6 3" xfId="24073" xr:uid="{2C516FC6-974F-4BE0-BD9F-7F3ACE08F6AD}"/>
    <cellStyle name="Migliaia 4 3 2 2 6 7" xfId="5235" xr:uid="{6E52B103-A59E-4DC6-A95D-F2C3A845FEA1}"/>
    <cellStyle name="Migliaia 4 3 2 2 6 7 2" xfId="20415" xr:uid="{627D8C78-ADA3-4D11-B10B-8284779886F2}"/>
    <cellStyle name="Migliaia 4 3 2 2 6 8" xfId="16613" xr:uid="{90CEB9BC-85F4-4AB4-9C6C-7E11AEC33BC6}"/>
    <cellStyle name="Migliaia 4 3 2 2 7" xfId="1475" xr:uid="{A3DCDFE8-7801-4741-9591-780E259C794D}"/>
    <cellStyle name="Migliaia 4 3 2 2 7 2" xfId="2900" xr:uid="{9A031500-0489-4C4A-B063-4F561CC44275}"/>
    <cellStyle name="Migliaia 4 3 2 2 7 2 2" xfId="10391" xr:uid="{18D74D61-262D-491E-87F9-FD9BDD00B1B0}"/>
    <cellStyle name="Migliaia 4 3 2 2 7 2 2 2" xfId="13937" xr:uid="{6915170B-A32D-44E1-A920-B392DCF3208E}"/>
    <cellStyle name="Migliaia 4 3 2 2 7 2 2 2 2" xfId="29114" xr:uid="{5A04AEC4-E529-426F-A0B0-1852706F2D58}"/>
    <cellStyle name="Migliaia 4 3 2 2 7 2 2 3" xfId="25569" xr:uid="{90EF6568-998C-4A31-8F18-85BEAD3B5A99}"/>
    <cellStyle name="Migliaia 4 3 2 2 7 2 3" xfId="6217" xr:uid="{76050073-E6D7-4C49-854F-09312936A845}"/>
    <cellStyle name="Migliaia 4 3 2 2 7 2 3 2" xfId="21397" xr:uid="{29A65651-2299-441C-A1F9-84A0F413B0C7}"/>
    <cellStyle name="Migliaia 4 3 2 2 7 2 4" xfId="18109" xr:uid="{2050A402-8643-426A-9EF4-CBE0957582C4}"/>
    <cellStyle name="Migliaia 4 3 2 2 7 3" xfId="3787" xr:uid="{C3E74155-5DEE-4F89-B96F-4CA690AF157A}"/>
    <cellStyle name="Migliaia 4 3 2 2 7 3 2" xfId="11275" xr:uid="{CAE83985-8853-4099-A008-00146B836DFA}"/>
    <cellStyle name="Migliaia 4 3 2 2 7 3 2 2" xfId="14821" xr:uid="{DE57F832-7AAF-4E5A-A62B-31C6444E322D}"/>
    <cellStyle name="Migliaia 4 3 2 2 7 3 2 2 2" xfId="29998" xr:uid="{02E3BAAF-1F30-4A85-8961-80B598F0DDBF}"/>
    <cellStyle name="Migliaia 4 3 2 2 7 3 2 3" xfId="26453" xr:uid="{AF462680-073D-463A-845B-16396ADD0A42}"/>
    <cellStyle name="Migliaia 4 3 2 2 7 3 3" xfId="7101" xr:uid="{89306B14-9849-4DE0-A674-0B450B81D435}"/>
    <cellStyle name="Migliaia 4 3 2 2 7 3 3 2" xfId="22281" xr:uid="{6C617939-C38B-4781-882B-4BCD1D9624F0}"/>
    <cellStyle name="Migliaia 4 3 2 2 7 3 4" xfId="18993" xr:uid="{D7EB4D7D-3A04-4C47-8994-FC17B19CA2C0}"/>
    <cellStyle name="Migliaia 4 3 2 2 7 4" xfId="4585" xr:uid="{067360A3-5CD6-4C61-92D9-6861B6A96C97}"/>
    <cellStyle name="Migliaia 4 3 2 2 7 4 2" xfId="12070" xr:uid="{F1F3443C-3AEF-467B-B10A-2D093501D785}"/>
    <cellStyle name="Migliaia 4 3 2 2 7 4 2 2" xfId="15616" xr:uid="{A7A4E6FA-D9A6-4678-B578-6DE9D9DA2902}"/>
    <cellStyle name="Migliaia 4 3 2 2 7 4 2 2 2" xfId="30793" xr:uid="{F9B32255-D6B7-49A7-A22F-68627DFC0674}"/>
    <cellStyle name="Migliaia 4 3 2 2 7 4 2 3" xfId="27248" xr:uid="{178FE8E4-0A5D-4E57-9598-FFDE8E64F5CE}"/>
    <cellStyle name="Migliaia 4 3 2 2 7 4 3" xfId="7896" xr:uid="{89106B89-E537-4A23-A83B-42CBD33BF71C}"/>
    <cellStyle name="Migliaia 4 3 2 2 7 4 3 2" xfId="23076" xr:uid="{839842C0-132F-4F7B-8784-FF780284D001}"/>
    <cellStyle name="Migliaia 4 3 2 2 7 4 4" xfId="19788" xr:uid="{1A9273E3-3C15-4DCC-874F-3DBB540B98DC}"/>
    <cellStyle name="Migliaia 4 3 2 2 7 5" xfId="2010" xr:uid="{02928178-A379-436F-84B1-F464EF4BC82B}"/>
    <cellStyle name="Migliaia 4 3 2 2 7 5 2" xfId="9507" xr:uid="{581CC1DF-572A-402F-B4D2-873D1FCFF138}"/>
    <cellStyle name="Migliaia 4 3 2 2 7 5 2 2" xfId="24685" xr:uid="{C66BCFCC-63FD-4ADD-ABD9-F725CB325764}"/>
    <cellStyle name="Migliaia 4 3 2 2 7 5 3" xfId="17225" xr:uid="{705ABF0B-F7D3-479D-95AC-F4609DEA0C98}"/>
    <cellStyle name="Migliaia 4 3 2 2 7 6" xfId="8993" xr:uid="{CE657CEF-215A-4A88-84FE-5FC7725884DC}"/>
    <cellStyle name="Migliaia 4 3 2 2 7 6 2" xfId="13166" xr:uid="{0194BC08-AC5C-4A18-9F23-82850EA2A679}"/>
    <cellStyle name="Migliaia 4 3 2 2 7 6 2 2" xfId="28343" xr:uid="{5DB9C0DB-FE47-43F5-991B-D3B0E3EE0E8A}"/>
    <cellStyle name="Migliaia 4 3 2 2 7 6 3" xfId="24171" xr:uid="{150CD333-E8D3-48A0-B227-CD3A19B21B16}"/>
    <cellStyle name="Migliaia 4 3 2 2 7 7" xfId="5333" xr:uid="{080A1B7D-7D48-47AB-A042-7489244DD1B1}"/>
    <cellStyle name="Migliaia 4 3 2 2 7 7 2" xfId="20513" xr:uid="{48D77A6B-C1D6-4A62-984E-B186C70FA985}"/>
    <cellStyle name="Migliaia 4 3 2 2 7 8" xfId="16711" xr:uid="{420C0BA8-4DC3-4674-A8CA-9F2546105A70}"/>
    <cellStyle name="Migliaia 4 3 2 2 8" xfId="1578" xr:uid="{6FC6A194-5E9D-4FA9-916E-4B35A9F21EF3}"/>
    <cellStyle name="Migliaia 4 3 2 2 8 2" xfId="2998" xr:uid="{F103C9AE-206A-41E5-A489-0057369DD1F7}"/>
    <cellStyle name="Migliaia 4 3 2 2 8 2 2" xfId="10489" xr:uid="{96A8DA9A-322E-4DFD-A9DD-D859F675B4D4}"/>
    <cellStyle name="Migliaia 4 3 2 2 8 2 2 2" xfId="14035" xr:uid="{C67CD012-784D-4EA3-9E28-44725272ADFD}"/>
    <cellStyle name="Migliaia 4 3 2 2 8 2 2 2 2" xfId="29212" xr:uid="{88DB3C7E-F116-41E3-BA84-6E84B3457AB2}"/>
    <cellStyle name="Migliaia 4 3 2 2 8 2 2 3" xfId="25667" xr:uid="{2A252B3C-50E9-4A68-8171-6F3000C19C73}"/>
    <cellStyle name="Migliaia 4 3 2 2 8 2 3" xfId="6315" xr:uid="{724471A0-09EB-4907-B5E1-9E2C432A1A92}"/>
    <cellStyle name="Migliaia 4 3 2 2 8 2 3 2" xfId="21495" xr:uid="{AA5ABC94-9746-4C43-B26E-F1DB8C0967D0}"/>
    <cellStyle name="Migliaia 4 3 2 2 8 2 4" xfId="18207" xr:uid="{F95B9098-D18C-461A-A514-D73E4D795FB5}"/>
    <cellStyle name="Migliaia 4 3 2 2 8 3" xfId="3885" xr:uid="{A32EB996-3251-4DC8-B487-85E7F4F3070B}"/>
    <cellStyle name="Migliaia 4 3 2 2 8 3 2" xfId="11373" xr:uid="{7D505676-B552-4508-B3D3-90053529DEAD}"/>
    <cellStyle name="Migliaia 4 3 2 2 8 3 2 2" xfId="14919" xr:uid="{A5CC2014-E98B-4554-9850-FD9C17581BA3}"/>
    <cellStyle name="Migliaia 4 3 2 2 8 3 2 2 2" xfId="30096" xr:uid="{7B5D1801-DB4B-4683-87ED-72146738BD2B}"/>
    <cellStyle name="Migliaia 4 3 2 2 8 3 2 3" xfId="26551" xr:uid="{9B6D9DE6-F4EC-48C7-A935-A8686327D10B}"/>
    <cellStyle name="Migliaia 4 3 2 2 8 3 3" xfId="7199" xr:uid="{7327899D-23A6-4666-8238-C3AE29D1F34E}"/>
    <cellStyle name="Migliaia 4 3 2 2 8 3 3 2" xfId="22379" xr:uid="{B7BB9508-17AA-49AF-81D0-89C275F415BF}"/>
    <cellStyle name="Migliaia 4 3 2 2 8 3 4" xfId="19091" xr:uid="{A12F0C91-31BC-4B54-BBDA-FACEDD815E4E}"/>
    <cellStyle name="Migliaia 4 3 2 2 8 4" xfId="4586" xr:uid="{43BE9270-FF1F-40AE-9211-0028F4D2F6E9}"/>
    <cellStyle name="Migliaia 4 3 2 2 8 4 2" xfId="12071" xr:uid="{C58DBDCB-4374-4455-9B29-97812DD1BCFA}"/>
    <cellStyle name="Migliaia 4 3 2 2 8 4 2 2" xfId="15617" xr:uid="{5935B29A-BFE8-4788-A3F3-4140898F9E35}"/>
    <cellStyle name="Migliaia 4 3 2 2 8 4 2 2 2" xfId="30794" xr:uid="{733A08FA-0E43-4461-8046-A59E99A31011}"/>
    <cellStyle name="Migliaia 4 3 2 2 8 4 2 3" xfId="27249" xr:uid="{8036CC90-0DA6-4068-89CB-727D5AB0728E}"/>
    <cellStyle name="Migliaia 4 3 2 2 8 4 3" xfId="7897" xr:uid="{CEC50B2A-18EE-496F-B6D9-BA8B2F4D5180}"/>
    <cellStyle name="Migliaia 4 3 2 2 8 4 3 2" xfId="23077" xr:uid="{A233F9DD-19D5-452E-AD87-C348744242DC}"/>
    <cellStyle name="Migliaia 4 3 2 2 8 4 4" xfId="19789" xr:uid="{A08FF5BE-D02F-4DED-97A2-F0B9D2AD1D8D}"/>
    <cellStyle name="Migliaia 4 3 2 2 8 5" xfId="2108" xr:uid="{5BE355D3-2950-4913-8271-669E90D7B3FD}"/>
    <cellStyle name="Migliaia 4 3 2 2 8 5 2" xfId="9605" xr:uid="{63CA4604-0C3E-454B-9E2E-4302E3CFDAC0}"/>
    <cellStyle name="Migliaia 4 3 2 2 8 5 2 2" xfId="24783" xr:uid="{BA7CAF8F-E94F-4F90-AFDF-B8D087F3838F}"/>
    <cellStyle name="Migliaia 4 3 2 2 8 5 3" xfId="17323" xr:uid="{3DB32F28-10F0-4651-8409-690CB008804B}"/>
    <cellStyle name="Migliaia 4 3 2 2 8 6" xfId="9091" xr:uid="{C924A221-5001-40D4-8935-3B80F2EB66A2}"/>
    <cellStyle name="Migliaia 4 3 2 2 8 6 2" xfId="13264" xr:uid="{131DA837-E0DE-413E-B07A-6F32732F7C37}"/>
    <cellStyle name="Migliaia 4 3 2 2 8 6 2 2" xfId="28441" xr:uid="{E48927B5-E06C-46DD-BE0B-AB92FA51BFE8}"/>
    <cellStyle name="Migliaia 4 3 2 2 8 6 3" xfId="24269" xr:uid="{8F63381C-8084-48BB-AAC2-D3CFE5E7A248}"/>
    <cellStyle name="Migliaia 4 3 2 2 8 7" xfId="5431" xr:uid="{EE9DC456-0157-427D-8880-3E41470ADE72}"/>
    <cellStyle name="Migliaia 4 3 2 2 8 7 2" xfId="20611" xr:uid="{57D7D28F-BB5C-4664-9CB6-4DE3A0B99C51}"/>
    <cellStyle name="Migliaia 4 3 2 2 8 8" xfId="16809" xr:uid="{A4F52DD6-41C6-46B6-87CE-A3776D851121}"/>
    <cellStyle name="Migliaia 4 3 2 2 9" xfId="1677" xr:uid="{D4ADEC89-9883-417C-98FF-95B6B5884912}"/>
    <cellStyle name="Migliaia 4 3 2 2 9 2" xfId="3096" xr:uid="{7DBAF60A-66FB-4AE4-BC82-B9895B020C9B}"/>
    <cellStyle name="Migliaia 4 3 2 2 9 2 2" xfId="10587" xr:uid="{F21B6DDC-8458-4D06-B7F5-9F26801FA115}"/>
    <cellStyle name="Migliaia 4 3 2 2 9 2 2 2" xfId="14133" xr:uid="{4148FF87-1F7E-4E42-A7F2-69BF97B2DF21}"/>
    <cellStyle name="Migliaia 4 3 2 2 9 2 2 2 2" xfId="29310" xr:uid="{D23744FB-16EB-4386-AF7A-E73BF0A4A089}"/>
    <cellStyle name="Migliaia 4 3 2 2 9 2 2 3" xfId="25765" xr:uid="{AF5E4BFD-7C4D-4A72-8FD3-57E9311BB39A}"/>
    <cellStyle name="Migliaia 4 3 2 2 9 2 3" xfId="6413" xr:uid="{B70248B7-5EFA-49E9-BB95-0F12C1448961}"/>
    <cellStyle name="Migliaia 4 3 2 2 9 2 3 2" xfId="21593" xr:uid="{CECB74AA-EB15-46BE-9027-CE29CA288E8D}"/>
    <cellStyle name="Migliaia 4 3 2 2 9 2 4" xfId="18305" xr:uid="{27600FF1-F939-4FBA-8920-286912923D7C}"/>
    <cellStyle name="Migliaia 4 3 2 2 9 3" xfId="3983" xr:uid="{8087FA26-801C-467B-8AC8-60A455483BE5}"/>
    <cellStyle name="Migliaia 4 3 2 2 9 3 2" xfId="11471" xr:uid="{2D6D2FE7-C200-4F41-A9CC-D9A94CC7C2D2}"/>
    <cellStyle name="Migliaia 4 3 2 2 9 3 2 2" xfId="15017" xr:uid="{11B6454A-5E0C-40F8-AB23-CF73818CB8F8}"/>
    <cellStyle name="Migliaia 4 3 2 2 9 3 2 2 2" xfId="30194" xr:uid="{CD856A14-A995-4129-A311-BFA41FE9B47D}"/>
    <cellStyle name="Migliaia 4 3 2 2 9 3 2 3" xfId="26649" xr:uid="{EA69D693-1D1A-4724-9DC8-7CA01E7B94F4}"/>
    <cellStyle name="Migliaia 4 3 2 2 9 3 3" xfId="7297" xr:uid="{648BD850-47F5-4B32-B130-B299DC62A2E3}"/>
    <cellStyle name="Migliaia 4 3 2 2 9 3 3 2" xfId="22477" xr:uid="{42944CDA-C69A-4679-AD62-DD43E380565A}"/>
    <cellStyle name="Migliaia 4 3 2 2 9 3 4" xfId="19189" xr:uid="{0898E754-AE26-453E-9686-7A8F24BAF6D1}"/>
    <cellStyle name="Migliaia 4 3 2 2 9 4" xfId="4587" xr:uid="{E5F1473F-6D9E-4145-9F52-201D3F056970}"/>
    <cellStyle name="Migliaia 4 3 2 2 9 4 2" xfId="12072" xr:uid="{DD8566E9-C46E-4F60-8272-1AD9D92D2068}"/>
    <cellStyle name="Migliaia 4 3 2 2 9 4 2 2" xfId="15618" xr:uid="{93F9CE5E-3363-408F-825E-B5C3B6D84611}"/>
    <cellStyle name="Migliaia 4 3 2 2 9 4 2 2 2" xfId="30795" xr:uid="{3FCAE609-9AD3-41F3-A383-4134ACD2537F}"/>
    <cellStyle name="Migliaia 4 3 2 2 9 4 2 3" xfId="27250" xr:uid="{2138A779-7688-427D-9FAB-D465AC373DCD}"/>
    <cellStyle name="Migliaia 4 3 2 2 9 4 3" xfId="7898" xr:uid="{F53B9999-11CC-43C6-B81A-CEE8F7CBB3E8}"/>
    <cellStyle name="Migliaia 4 3 2 2 9 4 3 2" xfId="23078" xr:uid="{E5BB7939-A1E1-482D-837C-505A27532A9D}"/>
    <cellStyle name="Migliaia 4 3 2 2 9 4 4" xfId="19790" xr:uid="{DDDA60E0-635E-4396-94E0-7E5576A7D9E7}"/>
    <cellStyle name="Migliaia 4 3 2 2 9 5" xfId="2206" xr:uid="{BC78BACD-C84B-47BC-8D28-235C3E9A5154}"/>
    <cellStyle name="Migliaia 4 3 2 2 9 5 2" xfId="9703" xr:uid="{EF471A68-3560-482E-B9FD-F8A999B6B2E4}"/>
    <cellStyle name="Migliaia 4 3 2 2 9 5 2 2" xfId="24881" xr:uid="{3B1FE7B9-485A-4FFA-8C02-A86EE7B0942E}"/>
    <cellStyle name="Migliaia 4 3 2 2 9 5 3" xfId="17421" xr:uid="{A1076EB8-7DB9-4A4E-B565-A7685046C030}"/>
    <cellStyle name="Migliaia 4 3 2 2 9 6" xfId="9189" xr:uid="{A8326CC1-6A05-422B-B696-69D408033E80}"/>
    <cellStyle name="Migliaia 4 3 2 2 9 6 2" xfId="13362" xr:uid="{8B05E71A-A082-40F6-ACA1-91D9F0D8E828}"/>
    <cellStyle name="Migliaia 4 3 2 2 9 6 2 2" xfId="28539" xr:uid="{20CB67CB-A67B-4CEC-92F9-519CF97F862A}"/>
    <cellStyle name="Migliaia 4 3 2 2 9 6 3" xfId="24367" xr:uid="{040B47D3-63A8-4582-89EB-4F52495AA6E8}"/>
    <cellStyle name="Migliaia 4 3 2 2 9 7" xfId="5529" xr:uid="{6B5B0901-E499-44D6-8CE9-8FC3CE0F2B29}"/>
    <cellStyle name="Migliaia 4 3 2 2 9 7 2" xfId="20709" xr:uid="{83ACAE3F-9EF6-4A93-BD1F-03D9290728B4}"/>
    <cellStyle name="Migliaia 4 3 2 2 9 8" xfId="16907" xr:uid="{6502BF7E-F5E0-42A7-BE2D-952860B3387B}"/>
    <cellStyle name="Migliaia 4 3 2 3" xfId="760" xr:uid="{B806E448-5D74-46AB-A331-A875B7E2DA04}"/>
    <cellStyle name="Migliaia 4 3 2 3 10" xfId="8426" xr:uid="{42D96B3C-6539-4AE0-B55E-3AB087E58DDB}"/>
    <cellStyle name="Migliaia 4 3 2 3 10 2" xfId="12600" xr:uid="{CD0AB125-773C-435C-854F-CE7174285D9A}"/>
    <cellStyle name="Migliaia 4 3 2 3 10 2 2" xfId="27777" xr:uid="{1B05844B-8064-41BB-A939-51636C7DC903}"/>
    <cellStyle name="Migliaia 4 3 2 3 10 3" xfId="23605" xr:uid="{13D1B5BD-B4CB-4862-83B4-68244E168EB4}"/>
    <cellStyle name="Migliaia 4 3 2 3 11" xfId="16145" xr:uid="{76C656C4-075A-45AD-AEB8-81853CE8F49F}"/>
    <cellStyle name="Migliaia 4 3 2 3 12" xfId="31487" xr:uid="{3698A8EF-66A1-413F-B9D0-DEF27BCBB660}"/>
    <cellStyle name="Migliaia 4 3 2 3 2" xfId="937" xr:uid="{8D6A8777-AC79-47B2-9FD4-611D781E5A40}"/>
    <cellStyle name="Migliaia 4 3 2 3 2 10" xfId="16267" xr:uid="{B35376EA-7E9F-485C-B93F-CC781A15DA63}"/>
    <cellStyle name="Migliaia 4 3 2 3 2 11" xfId="31357" xr:uid="{7D784DFD-82DB-47C9-B40A-58959604753B}"/>
    <cellStyle name="Migliaia 4 3 2 3 2 12" xfId="31707" xr:uid="{D5342C80-E4B0-4261-BE88-877AB6D39D01}"/>
    <cellStyle name="Migliaia 4 3 2 3 2 2" xfId="1298" xr:uid="{2F6FAC2C-7F99-482D-A970-922D2F9032C4}"/>
    <cellStyle name="Migliaia 4 3 2 3 2 2 2" xfId="3615" xr:uid="{9E0D1D5F-B2F5-4201-92B6-3C32ECD289B8}"/>
    <cellStyle name="Migliaia 4 3 2 3 2 2 2 2" xfId="11103" xr:uid="{6D34D49A-73D6-4368-9388-D43FDFD40FF8}"/>
    <cellStyle name="Migliaia 4 3 2 3 2 2 2 2 2" xfId="14649" xr:uid="{77FB263C-9A42-49E3-AF97-3D52545318EE}"/>
    <cellStyle name="Migliaia 4 3 2 3 2 2 2 2 2 2" xfId="29826" xr:uid="{13684D6B-F9E4-4E06-A8C3-570CD27D2975}"/>
    <cellStyle name="Migliaia 4 3 2 3 2 2 2 2 3" xfId="26281" xr:uid="{AE029911-B18E-4480-A612-428226C5EDDE}"/>
    <cellStyle name="Migliaia 4 3 2 3 2 2 2 3" xfId="6929" xr:uid="{CD7F3FB0-9E6D-432F-BBBE-EAA6AB06DD1A}"/>
    <cellStyle name="Migliaia 4 3 2 3 2 2 2 3 2" xfId="22109" xr:uid="{868C1B37-FBFD-4903-A407-6A304A41693E}"/>
    <cellStyle name="Migliaia 4 3 2 3 2 2 2 4" xfId="18821" xr:uid="{BE7CE3C2-E161-483F-A53E-104B88733A16}"/>
    <cellStyle name="Migliaia 4 3 2 3 2 2 3" xfId="4588" xr:uid="{64BF29E0-EFA0-4ECB-A049-58C912D44BBC}"/>
    <cellStyle name="Migliaia 4 3 2 3 2 2 3 2" xfId="12073" xr:uid="{EA3A6000-ECCD-42EC-BE2E-D44257ED46F5}"/>
    <cellStyle name="Migliaia 4 3 2 3 2 2 3 2 2" xfId="15619" xr:uid="{41E3B6C6-B793-4793-9AB7-15449AD80C1A}"/>
    <cellStyle name="Migliaia 4 3 2 3 2 2 3 2 2 2" xfId="30796" xr:uid="{AF22A5AC-294C-4718-86C9-F448A56F3D61}"/>
    <cellStyle name="Migliaia 4 3 2 3 2 2 3 2 3" xfId="27251" xr:uid="{489A80B0-9819-4287-9507-E2970153EDAE}"/>
    <cellStyle name="Migliaia 4 3 2 3 2 2 3 3" xfId="7899" xr:uid="{99CEF8CF-420F-42AC-97D6-68D600A100CD}"/>
    <cellStyle name="Migliaia 4 3 2 3 2 2 3 3 2" xfId="23079" xr:uid="{325DBCE3-CF57-4F75-827F-0FCE8D03CFCE}"/>
    <cellStyle name="Migliaia 4 3 2 3 2 2 3 4" xfId="19791" xr:uid="{8A4BD383-9D9D-4C9F-B37F-6BAFE65EDD6A}"/>
    <cellStyle name="Migliaia 4 3 2 3 2 2 4" xfId="2728" xr:uid="{B1447B98-B381-4152-8A35-375312EBBDFC}"/>
    <cellStyle name="Migliaia 4 3 2 3 2 2 4 2" xfId="10219" xr:uid="{6925E9A9-96BB-4C03-8FAB-6AE89FF78BEA}"/>
    <cellStyle name="Migliaia 4 3 2 3 2 2 4 2 2" xfId="25397" xr:uid="{1B05ED2F-37C7-452C-A58E-65FB4C32FA8B}"/>
    <cellStyle name="Migliaia 4 3 2 3 2 2 4 3" xfId="17937" xr:uid="{EE101388-2BEA-4419-AD02-FF86D09CA761}"/>
    <cellStyle name="Migliaia 4 3 2 3 2 2 5" xfId="8821" xr:uid="{1B866888-2DF0-4427-8006-DB2A6E70CC6F}"/>
    <cellStyle name="Migliaia 4 3 2 3 2 2 5 2" xfId="12994" xr:uid="{E16E5098-8232-4B7A-A576-63DDF9CAC212}"/>
    <cellStyle name="Migliaia 4 3 2 3 2 2 5 2 2" xfId="28171" xr:uid="{73DD6FB0-D377-4A52-8E8E-3A8F38E7A83A}"/>
    <cellStyle name="Migliaia 4 3 2 3 2 2 5 3" xfId="23999" xr:uid="{B9E46F1E-4765-4D4B-AB0B-EB53BA3CC4C7}"/>
    <cellStyle name="Migliaia 4 3 2 3 2 2 6" xfId="6045" xr:uid="{0DFCC006-D4BE-481A-80C7-CB27A4E55A52}"/>
    <cellStyle name="Migliaia 4 3 2 3 2 2 6 2" xfId="21225" xr:uid="{2E6FED55-5DB2-409D-88FD-A490E52D6699}"/>
    <cellStyle name="Migliaia 4 3 2 3 2 2 7" xfId="16539" xr:uid="{6CFA7535-52FB-441A-8F4E-C2925C2A8BD5}"/>
    <cellStyle name="Migliaia 4 3 2 3 2 3" xfId="2455" xr:uid="{930DAC80-38DA-4239-BABD-C5BF973AA80C}"/>
    <cellStyle name="Migliaia 4 3 2 3 2 3 2" xfId="9947" xr:uid="{58B7231B-6589-4000-B173-4C53065B56ED}"/>
    <cellStyle name="Migliaia 4 3 2 3 2 3 2 2" xfId="13606" xr:uid="{84C7FCB8-56B2-47AB-9FF6-373E4FD30DC2}"/>
    <cellStyle name="Migliaia 4 3 2 3 2 3 2 2 2" xfId="28783" xr:uid="{FCCA7E13-546B-42EB-824D-6432B2B01A59}"/>
    <cellStyle name="Migliaia 4 3 2 3 2 3 2 3" xfId="25125" xr:uid="{71A93FD1-4791-4096-9246-AC0ECC085DAC}"/>
    <cellStyle name="Migliaia 4 3 2 3 2 3 3" xfId="5773" xr:uid="{31911B80-AF9D-4C4A-9D63-16AA4661E433}"/>
    <cellStyle name="Migliaia 4 3 2 3 2 3 3 2" xfId="20953" xr:uid="{E61F4F3C-2395-4BDE-8A34-F6A50B390DF4}"/>
    <cellStyle name="Migliaia 4 3 2 3 2 3 4" xfId="17665" xr:uid="{3E923BFF-2228-47B8-94B0-B4ADF496DDE5}"/>
    <cellStyle name="Migliaia 4 3 2 3 2 4" xfId="3343" xr:uid="{C29F3DC1-CFCB-4838-976F-EEA6D46E13B1}"/>
    <cellStyle name="Migliaia 4 3 2 3 2 4 2" xfId="10831" xr:uid="{1D7005AD-E054-4FAE-BA26-F6550F4A6792}"/>
    <cellStyle name="Migliaia 4 3 2 3 2 4 2 2" xfId="14377" xr:uid="{A761A8B4-C08B-47B3-AC91-16E9C5D2DD94}"/>
    <cellStyle name="Migliaia 4 3 2 3 2 4 2 2 2" xfId="29554" xr:uid="{EB4E757F-9952-421A-896F-A018AFE32330}"/>
    <cellStyle name="Migliaia 4 3 2 3 2 4 2 3" xfId="26009" xr:uid="{49A3AC5E-B8EC-4E20-B394-C8BF3437E734}"/>
    <cellStyle name="Migliaia 4 3 2 3 2 4 3" xfId="6657" xr:uid="{FEC2B1C7-5196-4CD1-AFE5-E0317DD92549}"/>
    <cellStyle name="Migliaia 4 3 2 3 2 4 3 2" xfId="21837" xr:uid="{73CE6C2F-2ACE-4A91-BDDA-0FFB3E3926CA}"/>
    <cellStyle name="Migliaia 4 3 2 3 2 4 4" xfId="18549" xr:uid="{38097B5D-BA43-48AB-9382-869942F21D3D}"/>
    <cellStyle name="Migliaia 4 3 2 3 2 5" xfId="4589" xr:uid="{C5B605FC-019B-4C88-8943-84CD0F962B20}"/>
    <cellStyle name="Migliaia 4 3 2 3 2 5 2" xfId="12074" xr:uid="{5ED2780C-DF17-4A14-BAE1-0AF38B1E9E0A}"/>
    <cellStyle name="Migliaia 4 3 2 3 2 5 2 2" xfId="15620" xr:uid="{808337A3-A97F-40F8-8D1E-ADA9E56A23F3}"/>
    <cellStyle name="Migliaia 4 3 2 3 2 5 2 2 2" xfId="30797" xr:uid="{C6B6847C-C635-4803-8240-B446AA224D26}"/>
    <cellStyle name="Migliaia 4 3 2 3 2 5 2 3" xfId="27252" xr:uid="{E72BDB23-8FE2-42CD-91D6-9AE7BDE54C1B}"/>
    <cellStyle name="Migliaia 4 3 2 3 2 5 3" xfId="7900" xr:uid="{5A55DAE6-CFC0-4714-A89E-0EE530B43C5B}"/>
    <cellStyle name="Migliaia 4 3 2 3 2 5 3 2" xfId="23080" xr:uid="{8D592EA4-01F6-4DF2-B044-EDAB1ED076FA}"/>
    <cellStyle name="Migliaia 4 3 2 3 2 5 4" xfId="19792" xr:uid="{03CE096B-39B9-46E6-9F92-DCA7E7F00FED}"/>
    <cellStyle name="Migliaia 4 3 2 3 2 6" xfId="5017" xr:uid="{E49E157D-6D89-4ABB-BD7D-E58377B65947}"/>
    <cellStyle name="Migliaia 4 3 2 3 2 6 2" xfId="12501" xr:uid="{5392B0B1-74C4-45F0-8648-428E31E25FB2}"/>
    <cellStyle name="Migliaia 4 3 2 3 2 6 2 2" xfId="16047" xr:uid="{E00A8659-27ED-4B95-A705-ECEF19A9CE1B}"/>
    <cellStyle name="Migliaia 4 3 2 3 2 6 2 2 2" xfId="31224" xr:uid="{EE9C28EF-CAC2-45BD-898A-93AE0D49EE6C}"/>
    <cellStyle name="Migliaia 4 3 2 3 2 6 2 3" xfId="27679" xr:uid="{343D1CFD-9DC1-420A-8FB3-BB5F060D3AB5}"/>
    <cellStyle name="Migliaia 4 3 2 3 2 6 3" xfId="8327" xr:uid="{B1360B91-9D56-4F68-B680-5DF7024EC703}"/>
    <cellStyle name="Migliaia 4 3 2 3 2 6 3 2" xfId="23507" xr:uid="{2D927AB7-0BEA-4E33-8DC1-95601DEF64F9}"/>
    <cellStyle name="Migliaia 4 3 2 3 2 6 4" xfId="20219" xr:uid="{0B562C1A-4C5B-46EC-BEB6-C993E780F553}"/>
    <cellStyle name="Migliaia 4 3 2 3 2 7" xfId="1838" xr:uid="{CD1C9D98-E3B4-49B2-BDFB-439A471B3123}"/>
    <cellStyle name="Migliaia 4 3 2 3 2 7 2" xfId="9335" xr:uid="{5F84D1CD-6BB8-41B1-A5BC-3FB3899B2FF1}"/>
    <cellStyle name="Migliaia 4 3 2 3 2 7 2 2" xfId="24513" xr:uid="{9A9250EF-E791-42E7-8DE9-978A3F6AD1E7}"/>
    <cellStyle name="Migliaia 4 3 2 3 2 7 3" xfId="17053" xr:uid="{0113589C-5E88-451A-B8E4-7A379ACE4F0D}"/>
    <cellStyle name="Migliaia 4 3 2 3 2 8" xfId="8549" xr:uid="{6A52C15B-8950-4713-8060-D18E98AC74F0}"/>
    <cellStyle name="Migliaia 4 3 2 3 2 8 2" xfId="12722" xr:uid="{B12D5B36-5CFD-43CD-87D4-399986F1268E}"/>
    <cellStyle name="Migliaia 4 3 2 3 2 8 2 2" xfId="27899" xr:uid="{C5935BCD-7A3C-4EB5-985D-FBE4F8E4DC53}"/>
    <cellStyle name="Migliaia 4 3 2 3 2 8 3" xfId="23727" xr:uid="{202F3F27-A35E-42FC-8E5C-79E1A4EE05D7}"/>
    <cellStyle name="Migliaia 4 3 2 3 2 9" xfId="5161" xr:uid="{C6FEA218-B510-44DA-B585-7B9A839F46ED}"/>
    <cellStyle name="Migliaia 4 3 2 3 2 9 2" xfId="20341" xr:uid="{5009B08F-B0C2-4C56-BC26-1822D57E60D7}"/>
    <cellStyle name="Migliaia 4 3 2 3 3" xfId="1040" xr:uid="{0884728C-48A9-4809-9A81-95CF9D6CB408}"/>
    <cellStyle name="Migliaia 4 3 2 3 3 10" xfId="31585" xr:uid="{204B20AB-3134-4C7F-B26F-B4FBB8DB5D9E}"/>
    <cellStyle name="Migliaia 4 3 2 3 3 2" xfId="1400" xr:uid="{9A987AE1-2CA6-4A77-81B7-4F6355CA1DB2}"/>
    <cellStyle name="Migliaia 4 3 2 3 3 2 2" xfId="3713" xr:uid="{203DF8C7-27B6-44DC-806F-712D3930B716}"/>
    <cellStyle name="Migliaia 4 3 2 3 3 2 2 2" xfId="11201" xr:uid="{24771F66-A489-4099-AE56-A2960690A9F6}"/>
    <cellStyle name="Migliaia 4 3 2 3 3 2 2 2 2" xfId="14747" xr:uid="{B1C6E232-E3D1-4770-B14D-F6E9BCAC27C2}"/>
    <cellStyle name="Migliaia 4 3 2 3 3 2 2 2 2 2" xfId="29924" xr:uid="{4AAE37D1-CF0F-4D4B-89BC-EADCCD2E6600}"/>
    <cellStyle name="Migliaia 4 3 2 3 3 2 2 2 3" xfId="26379" xr:uid="{905AC770-9903-430C-9475-92091BD54E54}"/>
    <cellStyle name="Migliaia 4 3 2 3 3 2 2 3" xfId="7027" xr:uid="{EA26151C-A8DF-4C55-A499-7EAAFA6654B9}"/>
    <cellStyle name="Migliaia 4 3 2 3 3 2 2 3 2" xfId="22207" xr:uid="{9B149AA2-D00F-4F1C-BAFC-573109AF85E3}"/>
    <cellStyle name="Migliaia 4 3 2 3 3 2 2 4" xfId="18919" xr:uid="{45CE9D63-4D20-4374-9A84-2D634F368428}"/>
    <cellStyle name="Migliaia 4 3 2 3 3 2 3" xfId="4590" xr:uid="{734C7E6B-F004-41FD-BEC1-2F9695F2B956}"/>
    <cellStyle name="Migliaia 4 3 2 3 3 2 3 2" xfId="12075" xr:uid="{E8C3CB35-EAF1-4769-900A-18FD2F6CD583}"/>
    <cellStyle name="Migliaia 4 3 2 3 3 2 3 2 2" xfId="15621" xr:uid="{F1F5619A-7F34-460F-B657-D81298A64688}"/>
    <cellStyle name="Migliaia 4 3 2 3 3 2 3 2 2 2" xfId="30798" xr:uid="{6D87C0D8-65CD-4452-BCB6-C18011C7CC46}"/>
    <cellStyle name="Migliaia 4 3 2 3 3 2 3 2 3" xfId="27253" xr:uid="{E91B73F8-3A67-499F-B5F7-EBFBEE39F6D9}"/>
    <cellStyle name="Migliaia 4 3 2 3 3 2 3 3" xfId="7901" xr:uid="{702A8C8C-E24D-40F2-8539-49CB5666A52D}"/>
    <cellStyle name="Migliaia 4 3 2 3 3 2 3 3 2" xfId="23081" xr:uid="{BB6FB114-B2EC-45F9-8C6A-935C3D142E8E}"/>
    <cellStyle name="Migliaia 4 3 2 3 3 2 3 4" xfId="19793" xr:uid="{DAF15375-F4E8-4E0E-B2F1-6595D38056F9}"/>
    <cellStyle name="Migliaia 4 3 2 3 3 2 4" xfId="2826" xr:uid="{6CFB7D3C-D485-4000-978B-BAEF5F5398CD}"/>
    <cellStyle name="Migliaia 4 3 2 3 3 2 4 2" xfId="10317" xr:uid="{5D57D0FB-853C-4373-BCEE-BD38DB238DAF}"/>
    <cellStyle name="Migliaia 4 3 2 3 3 2 4 2 2" xfId="25495" xr:uid="{87D75E9E-6D81-41FF-98D9-BFB363723CE5}"/>
    <cellStyle name="Migliaia 4 3 2 3 3 2 4 3" xfId="18035" xr:uid="{C72DA605-686D-4F90-9CA7-088BA5BE87C9}"/>
    <cellStyle name="Migliaia 4 3 2 3 3 2 5" xfId="8919" xr:uid="{AB6E941D-5F02-4E12-ACC1-03187388D3F7}"/>
    <cellStyle name="Migliaia 4 3 2 3 3 2 5 2" xfId="13092" xr:uid="{D0F1988A-5B0F-42DD-8666-E5227A74F73A}"/>
    <cellStyle name="Migliaia 4 3 2 3 3 2 5 2 2" xfId="28269" xr:uid="{565B562A-DF16-478D-950E-654E836A6A3E}"/>
    <cellStyle name="Migliaia 4 3 2 3 3 2 5 3" xfId="24097" xr:uid="{669E9B1B-7FA9-4805-A28A-298D9CFA5DC1}"/>
    <cellStyle name="Migliaia 4 3 2 3 3 2 6" xfId="6143" xr:uid="{8BAD3984-4DD6-40B9-8327-EDAFB6E05F7E}"/>
    <cellStyle name="Migliaia 4 3 2 3 3 2 6 2" xfId="21323" xr:uid="{01D2E88D-7E7B-4383-82C6-48D3332EDBAD}"/>
    <cellStyle name="Migliaia 4 3 2 3 3 2 7" xfId="16637" xr:uid="{4AE23BCE-6285-46F3-A8C0-1A6F03AFFEC2}"/>
    <cellStyle name="Migliaia 4 3 2 3 3 3" xfId="2553" xr:uid="{00F8270B-5BDB-4C73-B115-0858BEA66FD7}"/>
    <cellStyle name="Migliaia 4 3 2 3 3 3 2" xfId="10045" xr:uid="{8F440513-5C23-4C60-AB5F-ECA5EB8B1662}"/>
    <cellStyle name="Migliaia 4 3 2 3 3 3 2 2" xfId="13704" xr:uid="{2DFA14F3-5406-49E8-AD30-76EBC05B767E}"/>
    <cellStyle name="Migliaia 4 3 2 3 3 3 2 2 2" xfId="28881" xr:uid="{E7449DB1-435F-4C4E-9267-517D982A4DC4}"/>
    <cellStyle name="Migliaia 4 3 2 3 3 3 2 3" xfId="25223" xr:uid="{BEFD4744-0E78-47A0-94DD-92008106C73A}"/>
    <cellStyle name="Migliaia 4 3 2 3 3 3 3" xfId="5871" xr:uid="{7E7BC5BC-B9D4-40E6-8F45-F499938F9D3C}"/>
    <cellStyle name="Migliaia 4 3 2 3 3 3 3 2" xfId="21051" xr:uid="{F1C9A164-E803-4453-B47F-C37033DA7BC2}"/>
    <cellStyle name="Migliaia 4 3 2 3 3 3 4" xfId="17763" xr:uid="{786C08AB-5735-4E93-8BEE-DE3BF4E08AD7}"/>
    <cellStyle name="Migliaia 4 3 2 3 3 4" xfId="3441" xr:uid="{39440F08-6550-416D-8049-3C2F071DB9FC}"/>
    <cellStyle name="Migliaia 4 3 2 3 3 4 2" xfId="10929" xr:uid="{F2BC3192-A221-4F42-BFAD-F2F11404FE84}"/>
    <cellStyle name="Migliaia 4 3 2 3 3 4 2 2" xfId="14475" xr:uid="{0CCA9324-3037-4026-A433-881DCC71A075}"/>
    <cellStyle name="Migliaia 4 3 2 3 3 4 2 2 2" xfId="29652" xr:uid="{2CEB9780-A38C-4806-A00C-7751D33BB251}"/>
    <cellStyle name="Migliaia 4 3 2 3 3 4 2 3" xfId="26107" xr:uid="{FE43F935-59B5-4EA4-A8E0-F97BEDE76D98}"/>
    <cellStyle name="Migliaia 4 3 2 3 3 4 3" xfId="6755" xr:uid="{08C447D2-1DF5-4E8D-A838-8FB61CB607FC}"/>
    <cellStyle name="Migliaia 4 3 2 3 3 4 3 2" xfId="21935" xr:uid="{C14E4DF4-5747-4644-B1B5-51AB9048B576}"/>
    <cellStyle name="Migliaia 4 3 2 3 3 4 4" xfId="18647" xr:uid="{BEBCE3A4-A5E8-4ECC-9DE7-2F069591AA12}"/>
    <cellStyle name="Migliaia 4 3 2 3 3 5" xfId="4591" xr:uid="{6774CB0A-D732-4135-87F8-86AF54640ED9}"/>
    <cellStyle name="Migliaia 4 3 2 3 3 5 2" xfId="12076" xr:uid="{937E89E3-553F-428D-AA56-3BB862393556}"/>
    <cellStyle name="Migliaia 4 3 2 3 3 5 2 2" xfId="15622" xr:uid="{58EF789F-B347-4C94-AFE3-83E224CA0CB2}"/>
    <cellStyle name="Migliaia 4 3 2 3 3 5 2 2 2" xfId="30799" xr:uid="{8B151E67-999D-4626-9F35-B4379E27FA7C}"/>
    <cellStyle name="Migliaia 4 3 2 3 3 5 2 3" xfId="27254" xr:uid="{5C12DE51-EC7D-423F-8343-741F9E982BFD}"/>
    <cellStyle name="Migliaia 4 3 2 3 3 5 3" xfId="7902" xr:uid="{C4772B7F-B37C-4F68-9D82-8564124A313B}"/>
    <cellStyle name="Migliaia 4 3 2 3 3 5 3 2" xfId="23082" xr:uid="{4122B3E2-10A7-4F53-859F-03B9A066BB4C}"/>
    <cellStyle name="Migliaia 4 3 2 3 3 5 4" xfId="19794" xr:uid="{58872785-D071-40E8-B680-4A5FB1C2CD3A}"/>
    <cellStyle name="Migliaia 4 3 2 3 3 6" xfId="1936" xr:uid="{A5C3D440-8B71-4529-A54A-986A553C331D}"/>
    <cellStyle name="Migliaia 4 3 2 3 3 6 2" xfId="9433" xr:uid="{816C921F-5BB4-48A4-A263-5B841909ACD9}"/>
    <cellStyle name="Migliaia 4 3 2 3 3 6 2 2" xfId="24611" xr:uid="{177DD9BF-AEC4-48E0-BCEF-0DAC745C3BA2}"/>
    <cellStyle name="Migliaia 4 3 2 3 3 6 3" xfId="17151" xr:uid="{5652AC1B-75F7-4A2B-90F6-443444E2CF8D}"/>
    <cellStyle name="Migliaia 4 3 2 3 3 7" xfId="8647" xr:uid="{67CE74E3-E19D-427B-B3ED-784FFE344585}"/>
    <cellStyle name="Migliaia 4 3 2 3 3 7 2" xfId="12820" xr:uid="{63812CF4-7A7C-42DD-974F-9836F15646D3}"/>
    <cellStyle name="Migliaia 4 3 2 3 3 7 2 2" xfId="27997" xr:uid="{B2BA13ED-49F3-4EC5-8BB5-F57C7E8CBB86}"/>
    <cellStyle name="Migliaia 4 3 2 3 3 7 3" xfId="23825" xr:uid="{FC833436-89D8-4978-AF5A-992430E1FA51}"/>
    <cellStyle name="Migliaia 4 3 2 3 3 8" xfId="5259" xr:uid="{DFAC6AE5-8598-439E-A9B2-94D9DE5A20C3}"/>
    <cellStyle name="Migliaia 4 3 2 3 3 8 2" xfId="20439" xr:uid="{01FF6389-2754-43FE-9E1E-39CC0D8039F8}"/>
    <cellStyle name="Migliaia 4 3 2 3 3 9" xfId="16365" xr:uid="{6CDFE6B1-66BE-4BFD-B8FD-FF50AF6E4A36}"/>
    <cellStyle name="Migliaia 4 3 2 3 4" xfId="1499" xr:uid="{E27DCF52-E255-416F-8399-96DA69D6928C}"/>
    <cellStyle name="Migliaia 4 3 2 3 4 2" xfId="2924" xr:uid="{743B3AAE-AEFA-4D30-A42D-CA52BCEC0207}"/>
    <cellStyle name="Migliaia 4 3 2 3 4 2 2" xfId="10415" xr:uid="{C675089B-6548-4FAA-B8E2-EFC2B42DA03B}"/>
    <cellStyle name="Migliaia 4 3 2 3 4 2 2 2" xfId="13961" xr:uid="{FA5EFE8F-2C22-4D38-AFED-AEF316FA8E61}"/>
    <cellStyle name="Migliaia 4 3 2 3 4 2 2 2 2" xfId="29138" xr:uid="{8FC78ECA-B96F-4E25-8152-248B457020FF}"/>
    <cellStyle name="Migliaia 4 3 2 3 4 2 2 3" xfId="25593" xr:uid="{EB9F7C6D-F334-42EF-B7F1-28CA1089794A}"/>
    <cellStyle name="Migliaia 4 3 2 3 4 2 3" xfId="6241" xr:uid="{3D785E69-66A7-4790-87C0-5FA148D65EE8}"/>
    <cellStyle name="Migliaia 4 3 2 3 4 2 3 2" xfId="21421" xr:uid="{9D877124-FC37-41D4-AFD4-25BE2444A6F7}"/>
    <cellStyle name="Migliaia 4 3 2 3 4 2 4" xfId="18133" xr:uid="{E53B2138-2DE6-4AAC-AF7C-EF7D3765647D}"/>
    <cellStyle name="Migliaia 4 3 2 3 4 3" xfId="3811" xr:uid="{000E1B84-3EC0-48DB-A682-894DCDAFD83B}"/>
    <cellStyle name="Migliaia 4 3 2 3 4 3 2" xfId="11299" xr:uid="{551A3A61-A1FD-44D2-9B31-CF2E278A68DB}"/>
    <cellStyle name="Migliaia 4 3 2 3 4 3 2 2" xfId="14845" xr:uid="{F12548FF-C3B4-4E46-82D2-74D88973C3E2}"/>
    <cellStyle name="Migliaia 4 3 2 3 4 3 2 2 2" xfId="30022" xr:uid="{837CA292-6D34-47C1-B432-C622B7BB7A36}"/>
    <cellStyle name="Migliaia 4 3 2 3 4 3 2 3" xfId="26477" xr:uid="{8D33FBE9-A62C-4263-97B2-9E5822DAD0BF}"/>
    <cellStyle name="Migliaia 4 3 2 3 4 3 3" xfId="7125" xr:uid="{CEF96ADF-3064-4C28-AF1E-AAED85B35D12}"/>
    <cellStyle name="Migliaia 4 3 2 3 4 3 3 2" xfId="22305" xr:uid="{C58A5CE5-BD3C-4279-A051-0B504BE269E5}"/>
    <cellStyle name="Migliaia 4 3 2 3 4 3 4" xfId="19017" xr:uid="{253339B9-F971-4442-A883-ACCF89C738B8}"/>
    <cellStyle name="Migliaia 4 3 2 3 4 4" xfId="4592" xr:uid="{69E6D5EF-73FE-43E5-AAA0-1FA31D0A13DB}"/>
    <cellStyle name="Migliaia 4 3 2 3 4 4 2" xfId="12077" xr:uid="{290EDA24-269C-4B63-A15A-354F00465F7A}"/>
    <cellStyle name="Migliaia 4 3 2 3 4 4 2 2" xfId="15623" xr:uid="{721BC3DB-92C4-4390-970D-C7C6018A025B}"/>
    <cellStyle name="Migliaia 4 3 2 3 4 4 2 2 2" xfId="30800" xr:uid="{D6B0EDAA-E476-40DE-9DFD-E166D431BB9C}"/>
    <cellStyle name="Migliaia 4 3 2 3 4 4 2 3" xfId="27255" xr:uid="{561EFAB4-CFA1-47FA-BAFC-21298B4B0DBB}"/>
    <cellStyle name="Migliaia 4 3 2 3 4 4 3" xfId="7903" xr:uid="{F88C7D9B-18D8-4071-90FD-9215E09D384D}"/>
    <cellStyle name="Migliaia 4 3 2 3 4 4 3 2" xfId="23083" xr:uid="{337EC19D-3538-4861-9698-C980A59C00D5}"/>
    <cellStyle name="Migliaia 4 3 2 3 4 4 4" xfId="19795" xr:uid="{60B2A669-FCB5-43CE-ABA3-E73218AE8F65}"/>
    <cellStyle name="Migliaia 4 3 2 3 4 5" xfId="2034" xr:uid="{22267FEB-2993-4A20-9494-48B27B2E08AF}"/>
    <cellStyle name="Migliaia 4 3 2 3 4 5 2" xfId="9531" xr:uid="{CDEDA138-8728-48F4-BCC1-8BF11C464DD1}"/>
    <cellStyle name="Migliaia 4 3 2 3 4 5 2 2" xfId="24709" xr:uid="{AE328A23-E595-4D6A-9152-AAD154644687}"/>
    <cellStyle name="Migliaia 4 3 2 3 4 5 3" xfId="17249" xr:uid="{BB00C68C-E9BB-4846-AFDD-122F905CFD13}"/>
    <cellStyle name="Migliaia 4 3 2 3 4 6" xfId="9017" xr:uid="{61C9CD03-F2AD-4F82-8062-CFC587B91393}"/>
    <cellStyle name="Migliaia 4 3 2 3 4 6 2" xfId="13190" xr:uid="{5D716C40-F333-4E47-91B5-25DBA03AEB70}"/>
    <cellStyle name="Migliaia 4 3 2 3 4 6 2 2" xfId="28367" xr:uid="{750DAB05-0504-4B68-BB9A-719BB9B44842}"/>
    <cellStyle name="Migliaia 4 3 2 3 4 6 3" xfId="24195" xr:uid="{78DAD9BF-DE8A-4CE1-985C-B33AFC7296F0}"/>
    <cellStyle name="Migliaia 4 3 2 3 4 7" xfId="5357" xr:uid="{05B5EB2A-A36D-441E-A80A-362C6E5B63B1}"/>
    <cellStyle name="Migliaia 4 3 2 3 4 7 2" xfId="20537" xr:uid="{B800EE8C-F0F1-4C7E-AA3F-B12BB21DAFDE}"/>
    <cellStyle name="Migliaia 4 3 2 3 4 8" xfId="16735" xr:uid="{39AAB849-C816-4112-9359-28B2059FCB18}"/>
    <cellStyle name="Migliaia 4 3 2 3 5" xfId="1602" xr:uid="{048D58C5-EF25-4E4D-8782-493237268198}"/>
    <cellStyle name="Migliaia 4 3 2 3 5 2" xfId="3022" xr:uid="{61820043-C24E-4081-83CD-5441EBE508AF}"/>
    <cellStyle name="Migliaia 4 3 2 3 5 2 2" xfId="10513" xr:uid="{C2C76131-1626-423C-9430-59C4E7E7E7D2}"/>
    <cellStyle name="Migliaia 4 3 2 3 5 2 2 2" xfId="14059" xr:uid="{0523C3F6-9113-4DD1-A6E6-B5FA9AB264B2}"/>
    <cellStyle name="Migliaia 4 3 2 3 5 2 2 2 2" xfId="29236" xr:uid="{1A526C15-2759-4F4A-A861-FA3550555375}"/>
    <cellStyle name="Migliaia 4 3 2 3 5 2 2 3" xfId="25691" xr:uid="{B6673960-6B04-430E-95FC-5185C90E5F43}"/>
    <cellStyle name="Migliaia 4 3 2 3 5 2 3" xfId="6339" xr:uid="{6F278B38-DF5D-455A-8CDA-501741EE2326}"/>
    <cellStyle name="Migliaia 4 3 2 3 5 2 3 2" xfId="21519" xr:uid="{AED1B089-D604-4F0D-8257-D7D81E6F41E9}"/>
    <cellStyle name="Migliaia 4 3 2 3 5 2 4" xfId="18231" xr:uid="{6E091C1C-1DA2-4403-8D7D-AD6BF969ECC4}"/>
    <cellStyle name="Migliaia 4 3 2 3 5 3" xfId="3909" xr:uid="{FBAB60CC-EBA6-44B6-BD6F-B30E6ECBDB7D}"/>
    <cellStyle name="Migliaia 4 3 2 3 5 3 2" xfId="11397" xr:uid="{FBA8728D-1977-4D9A-BC19-FE96A79235C8}"/>
    <cellStyle name="Migliaia 4 3 2 3 5 3 2 2" xfId="14943" xr:uid="{98DEBA21-F6BC-4A4D-A3F8-41A623F37528}"/>
    <cellStyle name="Migliaia 4 3 2 3 5 3 2 2 2" xfId="30120" xr:uid="{85ACCDAD-F627-48BF-86F6-307CA913C296}"/>
    <cellStyle name="Migliaia 4 3 2 3 5 3 2 3" xfId="26575" xr:uid="{7347E3C7-862C-4BFB-B9AD-1734946FCC29}"/>
    <cellStyle name="Migliaia 4 3 2 3 5 3 3" xfId="7223" xr:uid="{0224B942-2C4B-40E8-BC44-EAC6C027419A}"/>
    <cellStyle name="Migliaia 4 3 2 3 5 3 3 2" xfId="22403" xr:uid="{7E815BAE-5F2C-4B87-90C2-714FC1B8C8D8}"/>
    <cellStyle name="Migliaia 4 3 2 3 5 3 4" xfId="19115" xr:uid="{131D7F71-98EB-41B6-BEA7-C57C246F1C74}"/>
    <cellStyle name="Migliaia 4 3 2 3 5 4" xfId="4593" xr:uid="{84879EC8-F72B-47EB-8B96-CC3A487ECCAC}"/>
    <cellStyle name="Migliaia 4 3 2 3 5 4 2" xfId="12078" xr:uid="{D487518D-0B41-4DBD-99F3-12D9BA499BDD}"/>
    <cellStyle name="Migliaia 4 3 2 3 5 4 2 2" xfId="15624" xr:uid="{FA118D32-17D8-446B-98D9-E79AA42D4301}"/>
    <cellStyle name="Migliaia 4 3 2 3 5 4 2 2 2" xfId="30801" xr:uid="{26530175-78B5-4ED9-BE46-40E97CE231FA}"/>
    <cellStyle name="Migliaia 4 3 2 3 5 4 2 3" xfId="27256" xr:uid="{28B6EE06-0A48-43ED-A8D0-3F571C973785}"/>
    <cellStyle name="Migliaia 4 3 2 3 5 4 3" xfId="7904" xr:uid="{C82DD48A-A08A-4015-9993-E943B7C313E9}"/>
    <cellStyle name="Migliaia 4 3 2 3 5 4 3 2" xfId="23084" xr:uid="{5C37C67A-3039-4199-8A04-EE2387F17598}"/>
    <cellStyle name="Migliaia 4 3 2 3 5 4 4" xfId="19796" xr:uid="{D7D746A9-2EA4-429F-9BF4-D19256693438}"/>
    <cellStyle name="Migliaia 4 3 2 3 5 5" xfId="2132" xr:uid="{B1DE0A9B-BC13-4E0D-A069-189965260E69}"/>
    <cellStyle name="Migliaia 4 3 2 3 5 5 2" xfId="9629" xr:uid="{8F10789B-A9F6-4D6E-925B-9B6D880B5334}"/>
    <cellStyle name="Migliaia 4 3 2 3 5 5 2 2" xfId="24807" xr:uid="{F0B59BF1-88EC-456C-8BD4-371EC1031E35}"/>
    <cellStyle name="Migliaia 4 3 2 3 5 5 3" xfId="17347" xr:uid="{C36D156E-7F10-4335-BBC7-34BD02F9A8F3}"/>
    <cellStyle name="Migliaia 4 3 2 3 5 6" xfId="9115" xr:uid="{7332C850-3156-4957-A682-1EF5D2B8BD77}"/>
    <cellStyle name="Migliaia 4 3 2 3 5 6 2" xfId="13288" xr:uid="{F109153A-438D-4B33-8AAB-CBD4C7DBD06A}"/>
    <cellStyle name="Migliaia 4 3 2 3 5 6 2 2" xfId="28465" xr:uid="{FCCB2EEF-7019-4E6C-8880-356002F8B61E}"/>
    <cellStyle name="Migliaia 4 3 2 3 5 6 3" xfId="24293" xr:uid="{55578522-690D-44DB-A6CC-0079D956FDEF}"/>
    <cellStyle name="Migliaia 4 3 2 3 5 7" xfId="5455" xr:uid="{ADF59F6D-46D6-41C0-9AD3-C587BED91E3F}"/>
    <cellStyle name="Migliaia 4 3 2 3 5 7 2" xfId="20635" xr:uid="{D0447DFB-3F3F-4EA2-B7B7-A7F1FA2933A4}"/>
    <cellStyle name="Migliaia 4 3 2 3 5 8" xfId="16833" xr:uid="{C56DC490-B339-4198-BDCB-2651C26A737A}"/>
    <cellStyle name="Migliaia 4 3 2 3 6" xfId="1701" xr:uid="{2205858F-0B59-4B53-8DDC-4813F8AC5E21}"/>
    <cellStyle name="Migliaia 4 3 2 3 6 2" xfId="3120" xr:uid="{66B654A8-554F-4859-8AA4-C85445947ED8}"/>
    <cellStyle name="Migliaia 4 3 2 3 6 2 2" xfId="10611" xr:uid="{05AA8F58-D6FF-466D-8F36-D54B50EB1B73}"/>
    <cellStyle name="Migliaia 4 3 2 3 6 2 2 2" xfId="14157" xr:uid="{9DD03CAD-6ADE-4A98-BCC5-E190D3FADCD1}"/>
    <cellStyle name="Migliaia 4 3 2 3 6 2 2 2 2" xfId="29334" xr:uid="{9EDA901C-3ACC-48E2-94CE-DD11BA2E495B}"/>
    <cellStyle name="Migliaia 4 3 2 3 6 2 2 3" xfId="25789" xr:uid="{BFC80C0E-08B4-4201-ACA2-13BAEA10DE99}"/>
    <cellStyle name="Migliaia 4 3 2 3 6 2 3" xfId="6437" xr:uid="{6B7BEEDA-355B-4C2D-993D-04ACD896C4FD}"/>
    <cellStyle name="Migliaia 4 3 2 3 6 2 3 2" xfId="21617" xr:uid="{413B5E0B-7AA5-40D8-A89C-BE1FEFB3FE2C}"/>
    <cellStyle name="Migliaia 4 3 2 3 6 2 4" xfId="18329" xr:uid="{AE6F9076-7001-47F8-B3D8-AF8D7F547D46}"/>
    <cellStyle name="Migliaia 4 3 2 3 6 3" xfId="4007" xr:uid="{913BE678-AB12-4683-90FB-8A4879CC1EB9}"/>
    <cellStyle name="Migliaia 4 3 2 3 6 3 2" xfId="11495" xr:uid="{D5DEEB21-B652-46B9-ABCE-5EA0C5A5AE52}"/>
    <cellStyle name="Migliaia 4 3 2 3 6 3 2 2" xfId="15041" xr:uid="{3614E9EC-A30B-451F-A0F4-690C4FB490FA}"/>
    <cellStyle name="Migliaia 4 3 2 3 6 3 2 2 2" xfId="30218" xr:uid="{6CF1474C-38F8-4AF5-85E6-54FAC25F8006}"/>
    <cellStyle name="Migliaia 4 3 2 3 6 3 2 3" xfId="26673" xr:uid="{161B1D86-3530-4E89-8DDB-98D58C0B2031}"/>
    <cellStyle name="Migliaia 4 3 2 3 6 3 3" xfId="7321" xr:uid="{B5AEBF0E-8D6D-4C96-92F7-BBEE7983EDCE}"/>
    <cellStyle name="Migliaia 4 3 2 3 6 3 3 2" xfId="22501" xr:uid="{07ADF4A1-858B-4803-B925-15EA3FB9DB11}"/>
    <cellStyle name="Migliaia 4 3 2 3 6 3 4" xfId="19213" xr:uid="{E9612E07-27FC-4565-8F5D-A005F8646013}"/>
    <cellStyle name="Migliaia 4 3 2 3 6 4" xfId="4594" xr:uid="{AD0A9381-1F42-4225-B148-BC2023ED9384}"/>
    <cellStyle name="Migliaia 4 3 2 3 6 4 2" xfId="12079" xr:uid="{BC47DA2D-7C5A-4147-B025-D087B185ADD4}"/>
    <cellStyle name="Migliaia 4 3 2 3 6 4 2 2" xfId="15625" xr:uid="{31B3061A-E07A-4787-8246-FD7DDEB60EB6}"/>
    <cellStyle name="Migliaia 4 3 2 3 6 4 2 2 2" xfId="30802" xr:uid="{24904F82-59FA-49CA-AB05-1D36EFA71EAB}"/>
    <cellStyle name="Migliaia 4 3 2 3 6 4 2 3" xfId="27257" xr:uid="{F7159C8D-457D-4B05-9079-1AC1F2449942}"/>
    <cellStyle name="Migliaia 4 3 2 3 6 4 3" xfId="7905" xr:uid="{54AFE0A2-B2E7-43EA-9E38-1732E4D96424}"/>
    <cellStyle name="Migliaia 4 3 2 3 6 4 3 2" xfId="23085" xr:uid="{F33DDDBD-9D2D-40D3-AAB1-801BAB597209}"/>
    <cellStyle name="Migliaia 4 3 2 3 6 4 4" xfId="19797" xr:uid="{8497E7D9-1DC5-4B95-8EB1-8F47C47EFFE4}"/>
    <cellStyle name="Migliaia 4 3 2 3 6 5" xfId="2230" xr:uid="{AD1F06E8-1CDB-4783-BF4C-0DCA1192D835}"/>
    <cellStyle name="Migliaia 4 3 2 3 6 5 2" xfId="9727" xr:uid="{887027D7-FA07-4B3E-B514-9D7591E0F80A}"/>
    <cellStyle name="Migliaia 4 3 2 3 6 5 2 2" xfId="24905" xr:uid="{E0DE2955-5198-4057-8EF8-BD6FA669F493}"/>
    <cellStyle name="Migliaia 4 3 2 3 6 5 3" xfId="17445" xr:uid="{31185055-6A1C-4AF4-8D66-BA127F51A598}"/>
    <cellStyle name="Migliaia 4 3 2 3 6 6" xfId="9213" xr:uid="{6D88CE89-0A4D-4DFA-946D-4F2339A6A7F2}"/>
    <cellStyle name="Migliaia 4 3 2 3 6 6 2" xfId="13386" xr:uid="{34D21AF6-1E45-49FF-AA67-F943C2C7659C}"/>
    <cellStyle name="Migliaia 4 3 2 3 6 6 2 2" xfId="28563" xr:uid="{34574DA6-F21E-49D2-9136-F2EFE11DA272}"/>
    <cellStyle name="Migliaia 4 3 2 3 6 6 3" xfId="24391" xr:uid="{8D22B83D-C571-4401-B714-AECCBF1012D0}"/>
    <cellStyle name="Migliaia 4 3 2 3 6 7" xfId="5553" xr:uid="{D77FAB0E-5B66-4CF1-BBA2-1FE0A1C0B229}"/>
    <cellStyle name="Migliaia 4 3 2 3 6 7 2" xfId="20733" xr:uid="{B6B24923-A1B6-47D6-B07A-D3EC78EB6258}"/>
    <cellStyle name="Migliaia 4 3 2 3 6 8" xfId="16931" xr:uid="{02773F6E-8EC4-4051-8C72-BDDB375DA2C6}"/>
    <cellStyle name="Migliaia 4 3 2 3 7" xfId="2330" xr:uid="{E2D43DF6-17BE-483C-96F6-B14439294528}"/>
    <cellStyle name="Migliaia 4 3 2 3 7 2" xfId="9825" xr:uid="{5FBAA157-3288-4FB1-8508-D37BCBEFF093}"/>
    <cellStyle name="Migliaia 4 3 2 3 7 2 2" xfId="13484" xr:uid="{BC903A4E-79E2-44A0-9277-92163F8370C8}"/>
    <cellStyle name="Migliaia 4 3 2 3 7 2 2 2" xfId="28661" xr:uid="{9FD9E666-F24A-46EF-BA0E-973E22AF28B4}"/>
    <cellStyle name="Migliaia 4 3 2 3 7 2 3" xfId="25003" xr:uid="{889C8360-6F0E-4E50-94F4-D995D90B4730}"/>
    <cellStyle name="Migliaia 4 3 2 3 7 3" xfId="5651" xr:uid="{F2CDF984-A076-44F1-A19E-15114FD48735}"/>
    <cellStyle name="Migliaia 4 3 2 3 7 3 2" xfId="20831" xr:uid="{3BD85980-A1D7-421B-A856-3F1F6F282790}"/>
    <cellStyle name="Migliaia 4 3 2 3 7 4" xfId="17543" xr:uid="{D5AFC65E-C09B-478C-B463-DC30D4CC0F0F}"/>
    <cellStyle name="Migliaia 4 3 2 3 8" xfId="3220" xr:uid="{33968C0D-D86E-47BE-9DF7-F354060AA403}"/>
    <cellStyle name="Migliaia 4 3 2 3 8 2" xfId="10709" xr:uid="{3A0FDA29-CCB0-445E-8FD5-3010AF68B35C}"/>
    <cellStyle name="Migliaia 4 3 2 3 8 2 2" xfId="14255" xr:uid="{56F32C8F-3CE0-4EA3-9B70-AB8363C26AB4}"/>
    <cellStyle name="Migliaia 4 3 2 3 8 2 2 2" xfId="29432" xr:uid="{F1C3FA8D-E374-4A05-873B-249B0FE7AD58}"/>
    <cellStyle name="Migliaia 4 3 2 3 8 2 3" xfId="25887" xr:uid="{05B12A3C-E848-48A7-BF04-4602F60F1F1C}"/>
    <cellStyle name="Migliaia 4 3 2 3 8 3" xfId="6535" xr:uid="{D9348D42-93A3-4260-98FD-6955A39B097C}"/>
    <cellStyle name="Migliaia 4 3 2 3 8 3 2" xfId="21715" xr:uid="{AF55E782-9597-40B9-88F4-4470A87999D5}"/>
    <cellStyle name="Migliaia 4 3 2 3 8 4" xfId="18427" xr:uid="{E7D99433-6A76-48A8-9F7E-628DF8355E5F}"/>
    <cellStyle name="Migliaia 4 3 2 3 9" xfId="4595" xr:uid="{46D29ABB-8D5C-41A1-AF3A-BAFBB02A173C}"/>
    <cellStyle name="Migliaia 4 3 2 3 9 2" xfId="12080" xr:uid="{F7C02B31-81A5-4862-901B-91F94876E6A4}"/>
    <cellStyle name="Migliaia 4 3 2 3 9 2 2" xfId="15626" xr:uid="{F6C05B70-9B12-4196-BA9F-C9435B4651EB}"/>
    <cellStyle name="Migliaia 4 3 2 3 9 2 2 2" xfId="30803" xr:uid="{E60756E4-1DD4-4329-BC7D-E149D724BA40}"/>
    <cellStyle name="Migliaia 4 3 2 3 9 2 3" xfId="27258" xr:uid="{FEF48A7D-241C-4F0F-A256-D9B8E13F1078}"/>
    <cellStyle name="Migliaia 4 3 2 3 9 3" xfId="7906" xr:uid="{618D7843-FFE8-48A4-8316-9FBA536D2EBF}"/>
    <cellStyle name="Migliaia 4 3 2 3 9 3 2" xfId="23086" xr:uid="{68F512DB-D175-4BEA-A260-E778AA51B10B}"/>
    <cellStyle name="Migliaia 4 3 2 3 9 4" xfId="19798" xr:uid="{FF1B3230-4823-4E1A-95B5-952A27888871}"/>
    <cellStyle name="Migliaia 4 3 2 4" xfId="888" xr:uid="{CF5C26FE-4798-4490-A172-C41C2199C460}"/>
    <cellStyle name="Migliaia 4 3 2 4 2" xfId="2406" xr:uid="{496A1F6F-6737-4A02-B931-111A68085CBE}"/>
    <cellStyle name="Migliaia 4 3 2 4 2 2" xfId="9898" xr:uid="{0D815FE6-827F-4736-AE33-6907FE77FA5B}"/>
    <cellStyle name="Migliaia 4 3 2 4 2 2 2" xfId="13557" xr:uid="{C3CAD42B-B5FE-4C4D-A610-3699AA939A58}"/>
    <cellStyle name="Migliaia 4 3 2 4 2 2 2 2" xfId="28734" xr:uid="{5C80A133-7DCE-45B4-873B-906A01CFA471}"/>
    <cellStyle name="Migliaia 4 3 2 4 2 2 3" xfId="25076" xr:uid="{D6F706D8-AB72-4641-B8FF-C7995D3A76A5}"/>
    <cellStyle name="Migliaia 4 3 2 4 2 3" xfId="5724" xr:uid="{5BAA0F1C-D2D1-4AA5-B8A5-2E3826C4CBAB}"/>
    <cellStyle name="Migliaia 4 3 2 4 2 3 2" xfId="20904" xr:uid="{2E5B0A2F-AC1C-4A53-B908-73818F6CE8BE}"/>
    <cellStyle name="Migliaia 4 3 2 4 2 4" xfId="17616" xr:uid="{6D1940A5-C19E-417A-AC7E-57568BFEB871}"/>
    <cellStyle name="Migliaia 4 3 2 4 3" xfId="3294" xr:uid="{859F4E36-81E2-4491-AF81-3E2D9F272DB2}"/>
    <cellStyle name="Migliaia 4 3 2 4 3 2" xfId="10782" xr:uid="{1D3D596E-70EF-43A0-B4D5-329DA8392FB1}"/>
    <cellStyle name="Migliaia 4 3 2 4 3 2 2" xfId="14328" xr:uid="{AD1CE770-C308-4F7D-A530-27983F1A2603}"/>
    <cellStyle name="Migliaia 4 3 2 4 3 2 2 2" xfId="29505" xr:uid="{1CC5367A-F69F-4B0D-B58F-20CD6989A3A0}"/>
    <cellStyle name="Migliaia 4 3 2 4 3 2 3" xfId="25960" xr:uid="{938A0198-D041-4A96-9E47-84FA7F06DDD9}"/>
    <cellStyle name="Migliaia 4 3 2 4 3 3" xfId="6608" xr:uid="{5DC65CE1-AF6F-4A7F-A8AD-D54A0F7D9AA6}"/>
    <cellStyle name="Migliaia 4 3 2 4 3 3 2" xfId="21788" xr:uid="{907B7768-606F-47B6-912B-3A40EC3960FA}"/>
    <cellStyle name="Migliaia 4 3 2 4 3 4" xfId="18500" xr:uid="{13615D2A-A9ED-4195-B2FF-112837DC83F9}"/>
    <cellStyle name="Migliaia 4 3 2 4 4" xfId="4596" xr:uid="{225FFC6B-6F19-4875-A677-60BD14760328}"/>
    <cellStyle name="Migliaia 4 3 2 4 4 2" xfId="12081" xr:uid="{C31F1DB1-7F92-4123-A3F7-1EAB7AC9A6BD}"/>
    <cellStyle name="Migliaia 4 3 2 4 4 2 2" xfId="15627" xr:uid="{449823F3-E7D7-498E-9C56-8088B1D06CD7}"/>
    <cellStyle name="Migliaia 4 3 2 4 4 2 2 2" xfId="30804" xr:uid="{413CB418-1431-402D-A085-3712F2737F6B}"/>
    <cellStyle name="Migliaia 4 3 2 4 4 2 3" xfId="27259" xr:uid="{0306749B-4039-472F-99A6-1DAC11E69A1C}"/>
    <cellStyle name="Migliaia 4 3 2 4 4 3" xfId="7907" xr:uid="{F1D85B92-2EB7-4095-A660-B5F3D4C8CF89}"/>
    <cellStyle name="Migliaia 4 3 2 4 4 3 2" xfId="23087" xr:uid="{8A4F5F94-B131-48D5-8334-5714E49FE5D2}"/>
    <cellStyle name="Migliaia 4 3 2 4 4 4" xfId="19799" xr:uid="{7FC990D6-FFB3-4E6F-811A-90EC993F8B22}"/>
    <cellStyle name="Migliaia 4 3 2 4 5" xfId="8500" xr:uid="{A887DA2F-89E4-42B7-AEBE-405B2A869A07}"/>
    <cellStyle name="Migliaia 4 3 2 4 5 2" xfId="12673" xr:uid="{80C00A75-5E7E-4176-9458-61321B6C8BA2}"/>
    <cellStyle name="Migliaia 4 3 2 4 5 2 2" xfId="27850" xr:uid="{5C74D3AC-6082-4B1F-A2FD-BCE0D1830EE8}"/>
    <cellStyle name="Migliaia 4 3 2 4 5 3" xfId="23678" xr:uid="{3B7D3210-04CF-49B5-A396-C3788FD1270F}"/>
    <cellStyle name="Migliaia 4 3 2 4 6" xfId="16218" xr:uid="{03CFDAB9-0B2E-4159-8775-C220CD4A7E03}"/>
    <cellStyle name="Migliaia 4 3 2 4 7" xfId="31658" xr:uid="{EF7A1D30-ACA9-499E-BB23-A49F5FA0D416}"/>
    <cellStyle name="Migliaia 4 3 2 5" xfId="991" xr:uid="{2070DF2B-5FE9-419C-B936-120F90C3F4A3}"/>
    <cellStyle name="Migliaia 4 3 2 5 2" xfId="2504" xr:uid="{F811D2DB-81E9-4800-9E45-53819067FDCD}"/>
    <cellStyle name="Migliaia 4 3 2 5 2 2" xfId="9996" xr:uid="{AC49ACAC-49A2-4213-9A03-DF53C42248D5}"/>
    <cellStyle name="Migliaia 4 3 2 5 2 2 2" xfId="13655" xr:uid="{34A63C1B-21BE-426A-843A-12C60257C12D}"/>
    <cellStyle name="Migliaia 4 3 2 5 2 2 2 2" xfId="28832" xr:uid="{676DCAE2-3293-44DF-A2BB-DD02F3B32D72}"/>
    <cellStyle name="Migliaia 4 3 2 5 2 2 3" xfId="25174" xr:uid="{228CA8FE-6CD5-435B-8995-A5991A2B36D5}"/>
    <cellStyle name="Migliaia 4 3 2 5 2 3" xfId="5822" xr:uid="{A1728882-CCFF-40A0-B87A-21FEA68EF9E9}"/>
    <cellStyle name="Migliaia 4 3 2 5 2 3 2" xfId="21002" xr:uid="{7C303878-41EC-43D4-A510-2BE9CC759847}"/>
    <cellStyle name="Migliaia 4 3 2 5 2 4" xfId="17714" xr:uid="{616D58F8-F70A-44C9-A092-CBB653A4075E}"/>
    <cellStyle name="Migliaia 4 3 2 5 3" xfId="3392" xr:uid="{7C48C4E0-D830-4A4B-93AF-96037AC671AF}"/>
    <cellStyle name="Migliaia 4 3 2 5 3 2" xfId="10880" xr:uid="{F7D3820E-87FC-4CC6-A465-BEAA42478DB0}"/>
    <cellStyle name="Migliaia 4 3 2 5 3 2 2" xfId="14426" xr:uid="{F237AC50-E85D-40A4-B4A5-6171F0C5B474}"/>
    <cellStyle name="Migliaia 4 3 2 5 3 2 2 2" xfId="29603" xr:uid="{7FD13B3D-AA1F-4B22-9C79-4AA2169E8AF3}"/>
    <cellStyle name="Migliaia 4 3 2 5 3 2 3" xfId="26058" xr:uid="{F2D3988D-64D6-4ECD-902D-B8419C99AA53}"/>
    <cellStyle name="Migliaia 4 3 2 5 3 3" xfId="6706" xr:uid="{31B913FA-661C-404B-9695-E1F79CF218A9}"/>
    <cellStyle name="Migliaia 4 3 2 5 3 3 2" xfId="21886" xr:uid="{FE32D5EF-A0C1-4700-907F-25204E068312}"/>
    <cellStyle name="Migliaia 4 3 2 5 3 4" xfId="18598" xr:uid="{6589C465-7CB1-4C10-9A8C-90A122AAAE1E}"/>
    <cellStyle name="Migliaia 4 3 2 5 4" xfId="4597" xr:uid="{09DF6E77-FAAC-42DB-BF25-335F7C04FD6E}"/>
    <cellStyle name="Migliaia 4 3 2 5 4 2" xfId="12082" xr:uid="{9FF44AE3-2824-4E81-A39E-EA880C47DF84}"/>
    <cellStyle name="Migliaia 4 3 2 5 4 2 2" xfId="15628" xr:uid="{3F6F9436-9C56-425D-A2D1-E8836C1B5EC7}"/>
    <cellStyle name="Migliaia 4 3 2 5 4 2 2 2" xfId="30805" xr:uid="{BFBC6DC5-F8C8-4F17-B0C6-5AC41DC3D92D}"/>
    <cellStyle name="Migliaia 4 3 2 5 4 2 3" xfId="27260" xr:uid="{205EDF87-EC72-4618-9987-84B9C7B45877}"/>
    <cellStyle name="Migliaia 4 3 2 5 4 3" xfId="7908" xr:uid="{4C3CFE34-0F08-4DD5-9810-0BB19FB40A3F}"/>
    <cellStyle name="Migliaia 4 3 2 5 4 3 2" xfId="23088" xr:uid="{F13A6F40-6DEF-4451-9033-18AC146DA5E9}"/>
    <cellStyle name="Migliaia 4 3 2 5 4 4" xfId="19800" xr:uid="{41CA5E53-84A4-4C1C-A4E2-980DA43CF1C5}"/>
    <cellStyle name="Migliaia 4 3 2 5 5" xfId="8598" xr:uid="{2B0B5889-A890-40A3-A0F8-CE6CC3477BA0}"/>
    <cellStyle name="Migliaia 4 3 2 5 5 2" xfId="12771" xr:uid="{25FB8A35-56AA-4264-B3D8-C06DF8D00B20}"/>
    <cellStyle name="Migliaia 4 3 2 5 5 2 2" xfId="27948" xr:uid="{F0325773-6D18-4584-8FC4-DCDDEE03760F}"/>
    <cellStyle name="Migliaia 4 3 2 5 5 3" xfId="23776" xr:uid="{C1075912-187A-4EB1-94C6-5B3A44537D50}"/>
    <cellStyle name="Migliaia 4 3 2 5 6" xfId="16316" xr:uid="{D9D6B284-4283-4174-ADBF-36FB9A542339}"/>
    <cellStyle name="Migliaia 4 3 2 5 7" xfId="31536" xr:uid="{C21C5629-5AA2-49E8-A585-82B80FDC5EC3}"/>
    <cellStyle name="Migliaia 4 3 2 6" xfId="1174" xr:uid="{12571367-8C45-4005-A431-6130207F4AED}"/>
    <cellStyle name="Migliaia 4 3 2 6 2" xfId="2607" xr:uid="{52FE6FFE-3AF1-43DA-8031-5BE3EDC201B1}"/>
    <cellStyle name="Migliaia 4 3 2 6 2 2" xfId="10098" xr:uid="{51AC6972-8ECA-43E5-AC2A-FCDF940F5FE0}"/>
    <cellStyle name="Migliaia 4 3 2 6 2 2 2" xfId="13756" xr:uid="{9032C293-EC9C-4AA4-9DA9-3673B9B7479B}"/>
    <cellStyle name="Migliaia 4 3 2 6 2 2 2 2" xfId="28933" xr:uid="{5914EE0D-C6D4-4CA8-A28A-E2E609A7D85D}"/>
    <cellStyle name="Migliaia 4 3 2 6 2 2 3" xfId="25276" xr:uid="{FC256592-45EC-4022-9117-1277D2B6C6EA}"/>
    <cellStyle name="Migliaia 4 3 2 6 2 3" xfId="5924" xr:uid="{D2C6190C-1673-4EDE-B864-5225993743EB}"/>
    <cellStyle name="Migliaia 4 3 2 6 2 3 2" xfId="21104" xr:uid="{9A4C461D-DB79-4D00-8D80-948A0FC420DB}"/>
    <cellStyle name="Migliaia 4 3 2 6 2 4" xfId="17816" xr:uid="{7AD27BED-15E5-4FDD-804D-EFB075371405}"/>
    <cellStyle name="Migliaia 4 3 2 6 3" xfId="3494" xr:uid="{3C4E2FD5-759F-4FF0-B0D3-72EF2E890EEA}"/>
    <cellStyle name="Migliaia 4 3 2 6 3 2" xfId="10982" xr:uid="{C6F604B1-C561-4BE8-80A2-CD2F5BEFA27C}"/>
    <cellStyle name="Migliaia 4 3 2 6 3 2 2" xfId="14528" xr:uid="{EE6614B0-0B18-4B30-837E-9BF7844C7846}"/>
    <cellStyle name="Migliaia 4 3 2 6 3 2 2 2" xfId="29705" xr:uid="{6A5D41F6-B18A-4A1F-BD84-650CBF6200C8}"/>
    <cellStyle name="Migliaia 4 3 2 6 3 2 3" xfId="26160" xr:uid="{F8606AAA-1C50-4376-90C7-5119E5E7A916}"/>
    <cellStyle name="Migliaia 4 3 2 6 3 3" xfId="6808" xr:uid="{91134236-AFCB-4F7A-B861-0A0F4E6ADBB7}"/>
    <cellStyle name="Migliaia 4 3 2 6 3 3 2" xfId="21988" xr:uid="{FE974721-3DD5-448F-B0C5-77D9014CC415}"/>
    <cellStyle name="Migliaia 4 3 2 6 3 4" xfId="18700" xr:uid="{C06CB6AA-BF67-4B85-AAC3-09E3F62DBEAC}"/>
    <cellStyle name="Migliaia 4 3 2 6 4" xfId="4598" xr:uid="{C5C4819A-84B8-490D-9E8A-53384D064E29}"/>
    <cellStyle name="Migliaia 4 3 2 6 4 2" xfId="12083" xr:uid="{A31C5AC0-0A49-44D3-9A65-65ED0464A522}"/>
    <cellStyle name="Migliaia 4 3 2 6 4 2 2" xfId="15629" xr:uid="{5FF0D832-853B-4C1F-BDF2-035666BAFC1B}"/>
    <cellStyle name="Migliaia 4 3 2 6 4 2 2 2" xfId="30806" xr:uid="{3A79E909-D805-437D-928F-0FB0AE72B888}"/>
    <cellStyle name="Migliaia 4 3 2 6 4 2 3" xfId="27261" xr:uid="{2F558C71-C025-49C6-9F5E-34B7F9C7DA3D}"/>
    <cellStyle name="Migliaia 4 3 2 6 4 3" xfId="7909" xr:uid="{2F5663EE-E2B0-45E8-8FB0-6CAF3FA79CCA}"/>
    <cellStyle name="Migliaia 4 3 2 6 4 3 2" xfId="23089" xr:uid="{494EC2CC-0957-4FA6-BB9E-1E9CA09AF379}"/>
    <cellStyle name="Migliaia 4 3 2 6 4 4" xfId="19801" xr:uid="{262B022F-924C-429C-90D2-560F51B0F288}"/>
    <cellStyle name="Migliaia 4 3 2 6 5" xfId="8700" xr:uid="{803FBCEF-A9C7-4AF3-B65E-998F4702E3E2}"/>
    <cellStyle name="Migliaia 4 3 2 6 5 2" xfId="12873" xr:uid="{F8E57FA8-3891-4DA3-848A-58241DBE32F5}"/>
    <cellStyle name="Migliaia 4 3 2 6 5 2 2" xfId="28050" xr:uid="{C618A6E2-AB5B-4FD5-A2F4-3DB7D6BB07D7}"/>
    <cellStyle name="Migliaia 4 3 2 6 5 3" xfId="23878" xr:uid="{ADD00D22-0C70-4184-BFD7-8DE66B465A67}"/>
    <cellStyle name="Migliaia 4 3 2 6 6" xfId="16418" xr:uid="{93463018-9A7F-47A8-A78D-CE7DED3E5F15}"/>
    <cellStyle name="Migliaia 4 3 2 7" xfId="1200" xr:uid="{B4077DCF-2012-42AB-AC49-69FFBE5C91D4}"/>
    <cellStyle name="Migliaia 4 3 2 7 2" xfId="2631" xr:uid="{414EBA98-CAB3-4A10-9F16-C59A5F921272}"/>
    <cellStyle name="Migliaia 4 3 2 7 2 2" xfId="10122" xr:uid="{C80C8B03-89DA-4872-9919-595480CAABAA}"/>
    <cellStyle name="Migliaia 4 3 2 7 2 2 2" xfId="13780" xr:uid="{AC3C239F-C88C-4016-A82E-3B02C4E63FA0}"/>
    <cellStyle name="Migliaia 4 3 2 7 2 2 2 2" xfId="28957" xr:uid="{43B4612D-1F1C-4395-8317-4C5474C19FF2}"/>
    <cellStyle name="Migliaia 4 3 2 7 2 2 3" xfId="25300" xr:uid="{15D4EFE4-96E5-464A-AC0E-723D773067C7}"/>
    <cellStyle name="Migliaia 4 3 2 7 2 3" xfId="5948" xr:uid="{A70A6EBA-9E0B-440A-A555-839C932DB44F}"/>
    <cellStyle name="Migliaia 4 3 2 7 2 3 2" xfId="21128" xr:uid="{E4316808-EE91-42FE-B242-90A7099F5A56}"/>
    <cellStyle name="Migliaia 4 3 2 7 2 4" xfId="17840" xr:uid="{1AFA5040-3854-4242-9069-391CFEBFD472}"/>
    <cellStyle name="Migliaia 4 3 2 7 3" xfId="3518" xr:uid="{79D64562-31DA-4230-97C5-F58C046EFF15}"/>
    <cellStyle name="Migliaia 4 3 2 7 3 2" xfId="11006" xr:uid="{E2B516C7-1D9F-4B99-A821-10CA54A44745}"/>
    <cellStyle name="Migliaia 4 3 2 7 3 2 2" xfId="14552" xr:uid="{4591E6D2-7541-4F20-8FCD-EFE2B211169B}"/>
    <cellStyle name="Migliaia 4 3 2 7 3 2 2 2" xfId="29729" xr:uid="{B47EC488-EF03-4A41-AEE0-9BC7486DCA86}"/>
    <cellStyle name="Migliaia 4 3 2 7 3 2 3" xfId="26184" xr:uid="{6E079249-C7B1-4BBC-B70E-2EB8B51CC82A}"/>
    <cellStyle name="Migliaia 4 3 2 7 3 3" xfId="6832" xr:uid="{5C0252A2-A81B-4945-91B6-E61C29166798}"/>
    <cellStyle name="Migliaia 4 3 2 7 3 3 2" xfId="22012" xr:uid="{A74E1B67-6154-4A49-8525-ED64B69E41C9}"/>
    <cellStyle name="Migliaia 4 3 2 7 3 4" xfId="18724" xr:uid="{AD16BAFA-5DD6-4207-868B-BCF898F891B2}"/>
    <cellStyle name="Migliaia 4 3 2 7 4" xfId="4599" xr:uid="{36440D7D-E093-4B35-9335-062EB7B76ACF}"/>
    <cellStyle name="Migliaia 4 3 2 7 4 2" xfId="12084" xr:uid="{5D5F2EFC-57C1-42C9-8BF2-26DF544A8F7E}"/>
    <cellStyle name="Migliaia 4 3 2 7 4 2 2" xfId="15630" xr:uid="{96B58B15-9AFC-430A-B97A-438E63F710C9}"/>
    <cellStyle name="Migliaia 4 3 2 7 4 2 2 2" xfId="30807" xr:uid="{518E36D0-6F66-44B0-8416-75DA9286AD9B}"/>
    <cellStyle name="Migliaia 4 3 2 7 4 2 3" xfId="27262" xr:uid="{E563B658-7D3D-45BD-86BA-0F47E2DCEF51}"/>
    <cellStyle name="Migliaia 4 3 2 7 4 3" xfId="7910" xr:uid="{7D2C7DD8-0922-46C3-9F91-1FE5B36D8ECC}"/>
    <cellStyle name="Migliaia 4 3 2 7 4 3 2" xfId="23090" xr:uid="{10964D65-034F-40CE-A6C1-62857D437ABF}"/>
    <cellStyle name="Migliaia 4 3 2 7 4 4" xfId="19802" xr:uid="{4910EBF9-0AD3-40D5-AD87-C4A4DFD5809F}"/>
    <cellStyle name="Migliaia 4 3 2 7 5" xfId="8724" xr:uid="{C6AE0905-79B6-41FF-86DE-62C7FFEC90D7}"/>
    <cellStyle name="Migliaia 4 3 2 7 5 2" xfId="12897" xr:uid="{223CCE30-0BE2-44D6-A42B-028F5D481479}"/>
    <cellStyle name="Migliaia 4 3 2 7 5 2 2" xfId="28074" xr:uid="{0E9474F3-5C89-4D84-87BD-7709ABE90F2D}"/>
    <cellStyle name="Migliaia 4 3 2 7 5 3" xfId="23902" xr:uid="{E8AD6DB9-5FF9-46BC-93E2-6ABC4A262C57}"/>
    <cellStyle name="Migliaia 4 3 2 7 6" xfId="16442" xr:uid="{77D233EC-BBDC-4AB1-988C-42988AED5D16}"/>
    <cellStyle name="Migliaia 4 3 2 8" xfId="1249" xr:uid="{4D137E3A-FEA7-43BB-BC4B-989BB315258A}"/>
    <cellStyle name="Migliaia 4 3 2 8 10" xfId="31308" xr:uid="{E8FB61C7-CA25-4D18-A560-6FC0915C03AE}"/>
    <cellStyle name="Migliaia 4 3 2 8 2" xfId="2679" xr:uid="{8D74E7C4-7700-4F20-97F3-E771AACFDA37}"/>
    <cellStyle name="Migliaia 4 3 2 8 2 2" xfId="10170" xr:uid="{CAE0A41F-50BF-49F8-9FF7-8C53A142694B}"/>
    <cellStyle name="Migliaia 4 3 2 8 2 2 2" xfId="13814" xr:uid="{E164F312-2CC9-4AF8-A065-2F01EEBE823A}"/>
    <cellStyle name="Migliaia 4 3 2 8 2 2 2 2" xfId="28991" xr:uid="{89A7DA69-4841-4701-B145-6FC0967849DF}"/>
    <cellStyle name="Migliaia 4 3 2 8 2 2 3" xfId="25348" xr:uid="{C231F08D-6063-4F8F-AAF1-85B9E460E43D}"/>
    <cellStyle name="Migliaia 4 3 2 8 2 3" xfId="5996" xr:uid="{56A4E9B3-C8C1-47F1-9F28-520F4E88282E}"/>
    <cellStyle name="Migliaia 4 3 2 8 2 3 2" xfId="21176" xr:uid="{38F7138D-7054-4BF4-80BF-13348E4B2FE3}"/>
    <cellStyle name="Migliaia 4 3 2 8 2 4" xfId="17888" xr:uid="{5BB85F00-D6A8-4594-AC34-9931D9D21234}"/>
    <cellStyle name="Migliaia 4 3 2 8 3" xfId="3566" xr:uid="{BA440943-C5B7-4827-B9EB-A384B6081890}"/>
    <cellStyle name="Migliaia 4 3 2 8 3 2" xfId="11054" xr:uid="{C30A6F6C-37C2-42DA-A0C7-58C307A05787}"/>
    <cellStyle name="Migliaia 4 3 2 8 3 2 2" xfId="14600" xr:uid="{B3396B58-257E-483C-A50D-E6A0FF385B36}"/>
    <cellStyle name="Migliaia 4 3 2 8 3 2 2 2" xfId="29777" xr:uid="{2BE1612D-6D22-4B52-AFA2-6AE3C445356E}"/>
    <cellStyle name="Migliaia 4 3 2 8 3 2 3" xfId="26232" xr:uid="{3C5A549A-33F9-4203-B28C-7D60FB844165}"/>
    <cellStyle name="Migliaia 4 3 2 8 3 3" xfId="6880" xr:uid="{884AD237-7584-4A43-BB00-015D0932AE35}"/>
    <cellStyle name="Migliaia 4 3 2 8 3 3 2" xfId="22060" xr:uid="{91FE8F2B-9572-4B7B-B84A-28A8436FC477}"/>
    <cellStyle name="Migliaia 4 3 2 8 3 4" xfId="18772" xr:uid="{E8173995-EA91-4B2D-BFCE-BF902431FF4A}"/>
    <cellStyle name="Migliaia 4 3 2 8 4" xfId="4600" xr:uid="{1EB061F1-F82D-4D47-90EC-76399FB77CAE}"/>
    <cellStyle name="Migliaia 4 3 2 8 4 2" xfId="12085" xr:uid="{A8E8D50F-1EE5-4CDD-900D-AD4C63C8BB27}"/>
    <cellStyle name="Migliaia 4 3 2 8 4 2 2" xfId="15631" xr:uid="{E0A3073B-19FD-4A00-8326-5F71C985B94F}"/>
    <cellStyle name="Migliaia 4 3 2 8 4 2 2 2" xfId="30808" xr:uid="{EA8A8991-CA64-42E3-943F-4F68049BD759}"/>
    <cellStyle name="Migliaia 4 3 2 8 4 2 3" xfId="27263" xr:uid="{07A51113-2BD3-40F7-8DE6-909175FD7BBC}"/>
    <cellStyle name="Migliaia 4 3 2 8 4 3" xfId="7911" xr:uid="{BE49ED09-D2D7-42EA-A7C0-6DC58089248F}"/>
    <cellStyle name="Migliaia 4 3 2 8 4 3 2" xfId="23091" xr:uid="{8736B687-E776-4657-BB49-53F138E7DDE4}"/>
    <cellStyle name="Migliaia 4 3 2 8 4 4" xfId="19803" xr:uid="{2E43D64D-A223-4535-827E-793992725238}"/>
    <cellStyle name="Migliaia 4 3 2 8 5" xfId="4968" xr:uid="{E46A2EE3-4791-4527-B5F3-DB64CD6F2363}"/>
    <cellStyle name="Migliaia 4 3 2 8 5 2" xfId="12452" xr:uid="{CCC5C797-DB39-4B0F-AF04-B75B7378CF1A}"/>
    <cellStyle name="Migliaia 4 3 2 8 5 2 2" xfId="15998" xr:uid="{ED0E6A81-2F67-44EA-9B96-6771AFC9A54E}"/>
    <cellStyle name="Migliaia 4 3 2 8 5 2 2 2" xfId="31175" xr:uid="{B5710257-9981-4FD2-BDD4-8295AC3B4C60}"/>
    <cellStyle name="Migliaia 4 3 2 8 5 2 3" xfId="27630" xr:uid="{21AED26A-C788-423A-80DA-26CD1EB60FC5}"/>
    <cellStyle name="Migliaia 4 3 2 8 5 3" xfId="8278" xr:uid="{8DA9D666-5A64-4BD3-BA2D-56EEF48EBD96}"/>
    <cellStyle name="Migliaia 4 3 2 8 5 3 2" xfId="23458" xr:uid="{A85828E0-D26C-4440-BC03-7B98D6F00FC6}"/>
    <cellStyle name="Migliaia 4 3 2 8 5 4" xfId="20170" xr:uid="{9520A6AD-796D-48F4-A546-94219176E64B}"/>
    <cellStyle name="Migliaia 4 3 2 8 6" xfId="1789" xr:uid="{BFEB7946-2DBB-4AA9-B9EC-2B11787E851F}"/>
    <cellStyle name="Migliaia 4 3 2 8 6 2" xfId="9286" xr:uid="{3719B0D5-0F86-47C5-9387-AD595B1068A0}"/>
    <cellStyle name="Migliaia 4 3 2 8 6 2 2" xfId="24464" xr:uid="{C461FD9F-1292-473F-8834-4B34BF237A51}"/>
    <cellStyle name="Migliaia 4 3 2 8 6 3" xfId="17004" xr:uid="{F5DF3BEF-54A8-487E-9464-A74169F56EBF}"/>
    <cellStyle name="Migliaia 4 3 2 8 7" xfId="8772" xr:uid="{D7567E31-23B3-42D7-A26C-52644AEBCA52}"/>
    <cellStyle name="Migliaia 4 3 2 8 7 2" xfId="12945" xr:uid="{71599B78-3E79-4ABE-B0B4-BA02449C55B7}"/>
    <cellStyle name="Migliaia 4 3 2 8 7 2 2" xfId="28122" xr:uid="{CC012022-8D4A-4D0B-8178-44BA9807F9A3}"/>
    <cellStyle name="Migliaia 4 3 2 8 7 3" xfId="23950" xr:uid="{6CB364AB-949E-4209-9EE2-8AA332E94D42}"/>
    <cellStyle name="Migliaia 4 3 2 8 8" xfId="5112" xr:uid="{4AAF1079-46E1-4681-ACDF-AEAC297C68EB}"/>
    <cellStyle name="Migliaia 4 3 2 8 8 2" xfId="20292" xr:uid="{2F300815-4CAB-4FF9-95EE-EA0208294E4B}"/>
    <cellStyle name="Migliaia 4 3 2 8 9" xfId="16490" xr:uid="{DCABF37E-DC5B-42B2-83E7-4A4528238B7F}"/>
    <cellStyle name="Migliaia 4 3 2 9" xfId="1351" xr:uid="{B12B5413-B9A4-48CD-9CC8-6457EC9AA97B}"/>
    <cellStyle name="Migliaia 4 3 2 9 2" xfId="2777" xr:uid="{12BFA78C-5DD2-4735-B78C-5314CE1C46C2}"/>
    <cellStyle name="Migliaia 4 3 2 9 2 2" xfId="10268" xr:uid="{504BFA03-5DC2-4AF2-8694-AFAAF05D4B2A}"/>
    <cellStyle name="Migliaia 4 3 2 9 2 2 2" xfId="13863" xr:uid="{19C6ECC7-D2D2-4D26-BB2F-AB193B880FC9}"/>
    <cellStyle name="Migliaia 4 3 2 9 2 2 2 2" xfId="29040" xr:uid="{6914859C-EF0F-4D52-9364-4DDF85A70460}"/>
    <cellStyle name="Migliaia 4 3 2 9 2 2 3" xfId="25446" xr:uid="{BA2F9DB1-4543-4F09-8C1E-37C4CC03E433}"/>
    <cellStyle name="Migliaia 4 3 2 9 2 3" xfId="6094" xr:uid="{6679BDE5-F90F-4DFC-8055-C00E96F49E8D}"/>
    <cellStyle name="Migliaia 4 3 2 9 2 3 2" xfId="21274" xr:uid="{AD3ADC89-3AB8-4A61-A970-18EC2D468D4E}"/>
    <cellStyle name="Migliaia 4 3 2 9 2 4" xfId="17986" xr:uid="{9134E23A-E189-49B7-BE74-A4AD899256AB}"/>
    <cellStyle name="Migliaia 4 3 2 9 3" xfId="3664" xr:uid="{EC031E0E-E172-4280-B2E1-C1F3B8BA3CAE}"/>
    <cellStyle name="Migliaia 4 3 2 9 3 2" xfId="11152" xr:uid="{0822E515-1F81-46BA-94C9-57AA70A8DAB2}"/>
    <cellStyle name="Migliaia 4 3 2 9 3 2 2" xfId="14698" xr:uid="{9B1EC5C0-2EAD-42BF-A31A-2C314B1F6770}"/>
    <cellStyle name="Migliaia 4 3 2 9 3 2 2 2" xfId="29875" xr:uid="{C0E98BB2-1382-4B94-80E1-23535ADB27D8}"/>
    <cellStyle name="Migliaia 4 3 2 9 3 2 3" xfId="26330" xr:uid="{CCE02C35-6CE8-42D6-B478-8099FA1AABBC}"/>
    <cellStyle name="Migliaia 4 3 2 9 3 3" xfId="6978" xr:uid="{53A1F180-1528-4827-B9E2-CD219FFD1B3F}"/>
    <cellStyle name="Migliaia 4 3 2 9 3 3 2" xfId="22158" xr:uid="{72FE5F7E-F822-41C7-B2B1-3A4FB72738D2}"/>
    <cellStyle name="Migliaia 4 3 2 9 3 4" xfId="18870" xr:uid="{4967E9F2-7F50-4A39-9419-2EAECC510631}"/>
    <cellStyle name="Migliaia 4 3 2 9 4" xfId="4601" xr:uid="{6B0AD9A1-4D06-46AD-8B2A-C8D7F6796ADD}"/>
    <cellStyle name="Migliaia 4 3 2 9 4 2" xfId="12086" xr:uid="{8D05EFF0-3BEC-4D85-BACE-960A7E42E7A2}"/>
    <cellStyle name="Migliaia 4 3 2 9 4 2 2" xfId="15632" xr:uid="{895911C9-B6D2-4755-AEDB-C6D1673F7B1D}"/>
    <cellStyle name="Migliaia 4 3 2 9 4 2 2 2" xfId="30809" xr:uid="{305973EA-739C-483A-9CD5-18ACD11B3706}"/>
    <cellStyle name="Migliaia 4 3 2 9 4 2 3" xfId="27264" xr:uid="{B171C74A-6AB0-4553-885F-7F381B0D1063}"/>
    <cellStyle name="Migliaia 4 3 2 9 4 3" xfId="7912" xr:uid="{9B0DE7E2-BB23-407E-865A-39AC4BDC882A}"/>
    <cellStyle name="Migliaia 4 3 2 9 4 3 2" xfId="23092" xr:uid="{D13EA1F9-1858-4D61-95D7-1AA740445B3B}"/>
    <cellStyle name="Migliaia 4 3 2 9 4 4" xfId="19804" xr:uid="{C50F2707-AA5D-41CF-93FA-A720D52ED940}"/>
    <cellStyle name="Migliaia 4 3 2 9 5" xfId="1887" xr:uid="{416E5BB0-467F-49F5-85BC-556817B0AC6D}"/>
    <cellStyle name="Migliaia 4 3 2 9 5 2" xfId="9384" xr:uid="{AE2A02FB-6E8E-4A6B-90C2-FDE1224C7BFF}"/>
    <cellStyle name="Migliaia 4 3 2 9 5 2 2" xfId="24562" xr:uid="{C76C58D9-84D6-4FC3-BF52-62F69CE8C064}"/>
    <cellStyle name="Migliaia 4 3 2 9 5 3" xfId="17102" xr:uid="{FF3D832D-858C-4F68-BEC5-A69D682FF0A3}"/>
    <cellStyle name="Migliaia 4 3 2 9 6" xfId="8870" xr:uid="{BB40A282-E329-43D8-A066-937ED5305A39}"/>
    <cellStyle name="Migliaia 4 3 2 9 6 2" xfId="13043" xr:uid="{912C89F2-8296-49F4-9368-A57E89041561}"/>
    <cellStyle name="Migliaia 4 3 2 9 6 2 2" xfId="28220" xr:uid="{4EA52318-1241-4291-8D78-E66854CF2C21}"/>
    <cellStyle name="Migliaia 4 3 2 9 6 3" xfId="24048" xr:uid="{122E93D1-ACAA-4EED-B2BE-14014D79DA8F}"/>
    <cellStyle name="Migliaia 4 3 2 9 7" xfId="5210" xr:uid="{C34F0DB6-827A-4CB2-A280-09D86D2ADBAF}"/>
    <cellStyle name="Migliaia 4 3 2 9 7 2" xfId="20390" xr:uid="{D44315A5-D340-4F83-9025-7999BFBB7AFD}"/>
    <cellStyle name="Migliaia 4 3 2 9 8" xfId="16588" xr:uid="{703CEFBE-A8E1-48C6-A2D4-FAF4B1F29932}"/>
    <cellStyle name="Migliaia 4 3 3" xfId="571" xr:uid="{A51954BE-24BC-4E9C-94F4-DBB7CDC4C196}"/>
    <cellStyle name="Migliaia 4 3 3 10" xfId="16194" xr:uid="{30627B61-CA93-4D75-9897-857145BAA553}"/>
    <cellStyle name="Migliaia 4 3 3 11" xfId="31284" xr:uid="{6984B100-CB42-4EFD-9943-5039893477F0}"/>
    <cellStyle name="Migliaia 4 3 3 12" xfId="31634" xr:uid="{22384EEA-867F-4071-9BDD-BADD7A8C2751}"/>
    <cellStyle name="Migliaia 4 3 3 13" xfId="862" xr:uid="{43573E9C-1B50-495A-9EE2-5F8DAF469057}"/>
    <cellStyle name="Migliaia 4 3 3 2" xfId="1225" xr:uid="{15B646BE-2419-4A42-AD4A-4A89C62DFDC2}"/>
    <cellStyle name="Migliaia 4 3 3 2 2" xfId="3542" xr:uid="{51CB1D47-E8B8-4799-AC09-872BE7564824}"/>
    <cellStyle name="Migliaia 4 3 3 2 2 2" xfId="11030" xr:uid="{47DB0018-6AE5-4EDD-A156-39B8A9AFC23C}"/>
    <cellStyle name="Migliaia 4 3 3 2 2 2 2" xfId="14576" xr:uid="{C721B1A6-4D75-4156-8C2D-333768D4BB9A}"/>
    <cellStyle name="Migliaia 4 3 3 2 2 2 2 2" xfId="29753" xr:uid="{2365C3CB-94CB-4A78-9D3A-A4B36722BB96}"/>
    <cellStyle name="Migliaia 4 3 3 2 2 2 3" xfId="26208" xr:uid="{F215C957-1F66-4753-AC2A-993B188754EF}"/>
    <cellStyle name="Migliaia 4 3 3 2 2 3" xfId="6856" xr:uid="{815AE3BF-3B19-4EC7-BD58-318B3D9B3D6A}"/>
    <cellStyle name="Migliaia 4 3 3 2 2 3 2" xfId="22036" xr:uid="{ECE9C44F-B4C1-42C7-A998-02379D42C4F6}"/>
    <cellStyle name="Migliaia 4 3 3 2 2 4" xfId="18748" xr:uid="{FB3E976C-73FF-4351-825D-0A3802616A87}"/>
    <cellStyle name="Migliaia 4 3 3 2 3" xfId="4602" xr:uid="{F5FC4A46-B965-447B-A100-D27E2331808F}"/>
    <cellStyle name="Migliaia 4 3 3 2 3 2" xfId="12087" xr:uid="{125572A7-95B1-4390-8DA6-4C7F368820AC}"/>
    <cellStyle name="Migliaia 4 3 3 2 3 2 2" xfId="15633" xr:uid="{3BCBFE5B-C908-4595-A0DC-BCA7DB784C1A}"/>
    <cellStyle name="Migliaia 4 3 3 2 3 2 2 2" xfId="30810" xr:uid="{97704A4E-8AA5-4265-970D-869237AD9B43}"/>
    <cellStyle name="Migliaia 4 3 3 2 3 2 3" xfId="27265" xr:uid="{C8BDF267-6BCA-4357-926D-70BB35117137}"/>
    <cellStyle name="Migliaia 4 3 3 2 3 3" xfId="7913" xr:uid="{F81BDA34-B78D-40AF-8F3B-752903FBFE41}"/>
    <cellStyle name="Migliaia 4 3 3 2 3 3 2" xfId="23093" xr:uid="{BDA70D47-849E-47FD-AB26-91B3A63B9D16}"/>
    <cellStyle name="Migliaia 4 3 3 2 3 4" xfId="19805" xr:uid="{6FD307A6-329B-4D8D-8FB0-C00D71CD2B36}"/>
    <cellStyle name="Migliaia 4 3 3 2 4" xfId="2655" xr:uid="{F3099595-EF75-4598-BDBC-B5D012B15929}"/>
    <cellStyle name="Migliaia 4 3 3 2 4 2" xfId="10146" xr:uid="{7C22BC28-049A-4618-9822-57FD7C6483AE}"/>
    <cellStyle name="Migliaia 4 3 3 2 4 2 2" xfId="25324" xr:uid="{E856F1CA-21A9-4F50-8C3F-2313DED2495E}"/>
    <cellStyle name="Migliaia 4 3 3 2 4 3" xfId="17864" xr:uid="{947FCFD6-6B70-49B3-B76D-B9E0877A1C8E}"/>
    <cellStyle name="Migliaia 4 3 3 2 5" xfId="8748" xr:uid="{1C79DCB4-1604-49A7-AB6D-AE7AA68A6053}"/>
    <cellStyle name="Migliaia 4 3 3 2 5 2" xfId="12921" xr:uid="{AB6A31D9-4CF3-4A70-856D-C43984B61AB7}"/>
    <cellStyle name="Migliaia 4 3 3 2 5 2 2" xfId="28098" xr:uid="{20289E92-7384-4738-9861-BA771E8B3C77}"/>
    <cellStyle name="Migliaia 4 3 3 2 5 3" xfId="23926" xr:uid="{A21C893D-3FA2-45EC-8CF4-55F9E3D99B91}"/>
    <cellStyle name="Migliaia 4 3 3 2 6" xfId="5972" xr:uid="{0D3C0C17-E462-41DE-8F47-7931F95375D4}"/>
    <cellStyle name="Migliaia 4 3 3 2 6 2" xfId="21152" xr:uid="{8A22B496-C35B-4BD0-8F0B-65ABCF579B0A}"/>
    <cellStyle name="Migliaia 4 3 3 2 7" xfId="16466" xr:uid="{D9AA2074-A656-407B-92F7-BC035C493E01}"/>
    <cellStyle name="Migliaia 4 3 3 3" xfId="2380" xr:uid="{50358A47-C0CC-4506-BBFA-48378A8900CC}"/>
    <cellStyle name="Migliaia 4 3 3 3 2" xfId="9874" xr:uid="{30894516-952A-4495-A28E-6525EC251770}"/>
    <cellStyle name="Migliaia 4 3 3 3 2 2" xfId="13533" xr:uid="{05A29391-C6C7-4F00-9E4B-4C5900FCD1AA}"/>
    <cellStyle name="Migliaia 4 3 3 3 2 2 2" xfId="28710" xr:uid="{9FF31B76-642A-460C-9AAF-165078AA2630}"/>
    <cellStyle name="Migliaia 4 3 3 3 2 3" xfId="25052" xr:uid="{BF47B9FA-C7A5-4C21-B392-FF2B3C7E1B81}"/>
    <cellStyle name="Migliaia 4 3 3 3 3" xfId="5700" xr:uid="{CB5D5391-C111-4576-88D5-C7A35DB123D1}"/>
    <cellStyle name="Migliaia 4 3 3 3 3 2" xfId="20880" xr:uid="{19F75F2B-9CDE-4EAE-9AFB-C9E1AE5C10DE}"/>
    <cellStyle name="Migliaia 4 3 3 3 4" xfId="17592" xr:uid="{B58EFB1F-4D09-400C-9B58-540EEFF26C60}"/>
    <cellStyle name="Migliaia 4 3 3 4" xfId="3270" xr:uid="{2231DC84-0B30-4AED-8F23-7622A0F11993}"/>
    <cellStyle name="Migliaia 4 3 3 4 2" xfId="10758" xr:uid="{FC7A3746-0B70-4A04-85E5-005C3CA04D50}"/>
    <cellStyle name="Migliaia 4 3 3 4 2 2" xfId="14304" xr:uid="{902B404F-0DEA-4F15-946F-0ECA14A49350}"/>
    <cellStyle name="Migliaia 4 3 3 4 2 2 2" xfId="29481" xr:uid="{862C3EF3-84BC-429D-8ABD-A815C7E05569}"/>
    <cellStyle name="Migliaia 4 3 3 4 2 3" xfId="25936" xr:uid="{0C393618-6AE6-4637-8B31-BF99CEFEC218}"/>
    <cellStyle name="Migliaia 4 3 3 4 3" xfId="6584" xr:uid="{CAFEA1CC-59BC-4BD5-8929-7F0BA08C5731}"/>
    <cellStyle name="Migliaia 4 3 3 4 3 2" xfId="21764" xr:uid="{A473F190-AAC9-4587-9CE1-6CA6AC249AB0}"/>
    <cellStyle name="Migliaia 4 3 3 4 4" xfId="18476" xr:uid="{03569186-0851-45E5-A50E-E59D51D1234C}"/>
    <cellStyle name="Migliaia 4 3 3 5" xfId="4603" xr:uid="{7657B3EA-D1D3-424E-869B-AEE110A43FA7}"/>
    <cellStyle name="Migliaia 4 3 3 5 2" xfId="12088" xr:uid="{31CEB0B2-A8F5-43CC-95EF-DC80A273890A}"/>
    <cellStyle name="Migliaia 4 3 3 5 2 2" xfId="15634" xr:uid="{7EF64BEA-B77B-4090-9696-DA575F477135}"/>
    <cellStyle name="Migliaia 4 3 3 5 2 2 2" xfId="30811" xr:uid="{3C0BA2DB-1F97-4832-8547-7340A0633365}"/>
    <cellStyle name="Migliaia 4 3 3 5 2 3" xfId="27266" xr:uid="{DD9DFF63-0F52-4B94-88BE-9B191692B3A2}"/>
    <cellStyle name="Migliaia 4 3 3 5 3" xfId="7914" xr:uid="{9CE9A802-5C15-4F10-AD6B-31D37E8EBBCA}"/>
    <cellStyle name="Migliaia 4 3 3 5 3 2" xfId="23094" xr:uid="{FED7D2B1-CF6A-4DBE-B06E-CE312F44AE7F}"/>
    <cellStyle name="Migliaia 4 3 3 5 4" xfId="19806" xr:uid="{F8D274BD-6007-41FA-BAE5-E45CB7A069E2}"/>
    <cellStyle name="Migliaia 4 3 3 6" xfId="4944" xr:uid="{5BE7E8BF-47F8-4A00-A3E7-5DACDF8B6363}"/>
    <cellStyle name="Migliaia 4 3 3 6 2" xfId="12428" xr:uid="{5F0148F9-136D-456C-99C9-0E62A9A7AAE2}"/>
    <cellStyle name="Migliaia 4 3 3 6 2 2" xfId="15974" xr:uid="{8CAE7F32-9986-408A-9848-F281C286B309}"/>
    <cellStyle name="Migliaia 4 3 3 6 2 2 2" xfId="31151" xr:uid="{84C84506-E009-4F91-A008-E998C8CDD781}"/>
    <cellStyle name="Migliaia 4 3 3 6 2 3" xfId="27606" xr:uid="{194ABFD7-9F67-4F1C-830A-A7D64F182261}"/>
    <cellStyle name="Migliaia 4 3 3 6 3" xfId="8254" xr:uid="{9A5D887C-D627-45B7-B142-A6ABF539F565}"/>
    <cellStyle name="Migliaia 4 3 3 6 3 2" xfId="23434" xr:uid="{D1CD0A26-0CCE-4346-8F17-FA805694256E}"/>
    <cellStyle name="Migliaia 4 3 3 6 4" xfId="20146" xr:uid="{0899CD27-466B-4E96-9331-EA02BCFA2C5A}"/>
    <cellStyle name="Migliaia 4 3 3 7" xfId="1765" xr:uid="{01F30808-1AD3-4B87-9900-E6FAE7ED72F0}"/>
    <cellStyle name="Migliaia 4 3 3 7 2" xfId="9262" xr:uid="{5E9C5D5A-E9A6-4563-AA72-3627753927CB}"/>
    <cellStyle name="Migliaia 4 3 3 7 2 2" xfId="24440" xr:uid="{D78A4B54-E950-4ECD-A400-799174629D17}"/>
    <cellStyle name="Migliaia 4 3 3 7 3" xfId="16980" xr:uid="{656658F9-7607-41AE-95E1-8AD139C2C7FA}"/>
    <cellStyle name="Migliaia 4 3 3 8" xfId="8476" xr:uid="{70B959B4-AB9A-453E-BBC0-417678FCB806}"/>
    <cellStyle name="Migliaia 4 3 3 8 2" xfId="12649" xr:uid="{BA8C00EF-68D8-42EF-B3DD-45E619802C20}"/>
    <cellStyle name="Migliaia 4 3 3 8 2 2" xfId="27826" xr:uid="{B34B5935-F153-4B7E-949E-42A13ECF4094}"/>
    <cellStyle name="Migliaia 4 3 3 8 3" xfId="23654" xr:uid="{B5766A08-2BCD-4540-BD24-86B65FAB4A24}"/>
    <cellStyle name="Migliaia 4 3 3 9" xfId="5088" xr:uid="{78F2D5CF-2E3F-444E-9429-EA80CD39D6B8}"/>
    <cellStyle name="Migliaia 4 3 3 9 2" xfId="20268" xr:uid="{16863132-3C46-4080-91CB-9B1F4BD27B23}"/>
    <cellStyle name="Migliaia 4 3 4" xfId="31414" xr:uid="{CCF65596-F316-4499-9387-F40F3D50D9A7}"/>
    <cellStyle name="Migliaia 4 3 5" xfId="622" xr:uid="{5D192C20-DDB8-44C4-89F0-E605179FD4B0}"/>
    <cellStyle name="Migliaia 4 4" xfId="268" xr:uid="{BBE914E7-AABC-4542-8E7B-0B619354FF11}"/>
    <cellStyle name="Migliaia 4 4 10" xfId="1437" xr:uid="{E47A872F-EBFC-4C76-B99D-EDA66088A4F5}"/>
    <cellStyle name="Migliaia 4 4 10 2" xfId="2862" xr:uid="{BAA9180A-0148-4269-92B0-438CFD76E12C}"/>
    <cellStyle name="Migliaia 4 4 10 2 2" xfId="10353" xr:uid="{CFF06CC4-CB3E-451F-A8CE-991A72A83FA2}"/>
    <cellStyle name="Migliaia 4 4 10 2 2 2" xfId="13899" xr:uid="{1F48FBEA-32D8-4BA6-8D7C-75A9EA49E7AC}"/>
    <cellStyle name="Migliaia 4 4 10 2 2 2 2" xfId="29076" xr:uid="{A4051E65-D067-43FD-AB00-54EBAEF261D6}"/>
    <cellStyle name="Migliaia 4 4 10 2 2 3" xfId="25531" xr:uid="{4FC9EADF-1153-4AFF-B872-27FB16AF8C1A}"/>
    <cellStyle name="Migliaia 4 4 10 2 3" xfId="6179" xr:uid="{2BA19AAC-9FDB-400D-B4CE-67D5D8B9F091}"/>
    <cellStyle name="Migliaia 4 4 10 2 3 2" xfId="21359" xr:uid="{AA0F8E1C-FD56-40C9-9165-2397A59E07F8}"/>
    <cellStyle name="Migliaia 4 4 10 2 4" xfId="18071" xr:uid="{EDCFD188-EE07-46D6-BD65-732C8CA63DFD}"/>
    <cellStyle name="Migliaia 4 4 10 3" xfId="3749" xr:uid="{4EB6F96F-2CBD-4D18-9A68-16E8EAC866A5}"/>
    <cellStyle name="Migliaia 4 4 10 3 2" xfId="11237" xr:uid="{1B2CD0C5-FFFB-4D98-B82B-9116B49EA2C3}"/>
    <cellStyle name="Migliaia 4 4 10 3 2 2" xfId="14783" xr:uid="{9037E1AD-F9AC-49E3-A8AE-4CF87B7375FE}"/>
    <cellStyle name="Migliaia 4 4 10 3 2 2 2" xfId="29960" xr:uid="{26EFE4A7-5D70-4A81-B57E-630015E2C515}"/>
    <cellStyle name="Migliaia 4 4 10 3 2 3" xfId="26415" xr:uid="{0292FF50-CB78-40D8-A1DD-DEED4877A216}"/>
    <cellStyle name="Migliaia 4 4 10 3 3" xfId="7063" xr:uid="{0C11A25B-2CE0-47F4-AC1E-90E084167DA3}"/>
    <cellStyle name="Migliaia 4 4 10 3 3 2" xfId="22243" xr:uid="{C6F59789-CFD4-4B23-A69F-ABFE74916432}"/>
    <cellStyle name="Migliaia 4 4 10 3 4" xfId="18955" xr:uid="{FAAE5FD6-4C5F-489C-81DC-FF2A1B8BCBF2}"/>
    <cellStyle name="Migliaia 4 4 10 4" xfId="4604" xr:uid="{8F07F57A-2C7E-40C9-9701-362C093A4811}"/>
    <cellStyle name="Migliaia 4 4 10 4 2" xfId="12089" xr:uid="{F7FDCA3A-F354-4B80-80D9-8A650302F871}"/>
    <cellStyle name="Migliaia 4 4 10 4 2 2" xfId="15635" xr:uid="{7D9A5DEF-1B5A-41F9-9AAD-AA9EDEF5EC1A}"/>
    <cellStyle name="Migliaia 4 4 10 4 2 2 2" xfId="30812" xr:uid="{0DA77B7B-26A9-4D40-AD49-F29F1477219C}"/>
    <cellStyle name="Migliaia 4 4 10 4 2 3" xfId="27267" xr:uid="{335266A0-E9A1-4BB8-9CE5-B49F12520B44}"/>
    <cellStyle name="Migliaia 4 4 10 4 3" xfId="7915" xr:uid="{750979FA-92BC-4FF9-9EB3-485BBA4FA86F}"/>
    <cellStyle name="Migliaia 4 4 10 4 3 2" xfId="23095" xr:uid="{B2CAAA26-2E48-441B-9FCD-D9B5CC200462}"/>
    <cellStyle name="Migliaia 4 4 10 4 4" xfId="19807" xr:uid="{67D6D310-6266-4670-B604-24F0FDDDD320}"/>
    <cellStyle name="Migliaia 4 4 10 5" xfId="1972" xr:uid="{1D8EC3A0-9C93-4360-81E7-16C5CF585D4D}"/>
    <cellStyle name="Migliaia 4 4 10 5 2" xfId="9469" xr:uid="{6A774834-97EE-4963-8580-EC16965F9134}"/>
    <cellStyle name="Migliaia 4 4 10 5 2 2" xfId="24647" xr:uid="{E677063F-C504-4D20-8F56-3B906D5911B5}"/>
    <cellStyle name="Migliaia 4 4 10 5 3" xfId="17187" xr:uid="{89B8224D-265F-4D13-ACAE-C938E5428979}"/>
    <cellStyle name="Migliaia 4 4 10 6" xfId="8955" xr:uid="{9B86DA3F-CA45-4CBD-B62B-BF94BB1D6E49}"/>
    <cellStyle name="Migliaia 4 4 10 6 2" xfId="13128" xr:uid="{EF521DEA-1C3F-4279-8C7C-000F18708E25}"/>
    <cellStyle name="Migliaia 4 4 10 6 2 2" xfId="28305" xr:uid="{16674118-FF72-49FA-A850-AB92EC6E5904}"/>
    <cellStyle name="Migliaia 4 4 10 6 3" xfId="24133" xr:uid="{7C3D28A1-6395-4A76-96F8-9B5EE2A81F74}"/>
    <cellStyle name="Migliaia 4 4 10 7" xfId="5295" xr:uid="{20012530-3AE3-4F34-A527-65E5A0E6566D}"/>
    <cellStyle name="Migliaia 4 4 10 7 2" xfId="20475" xr:uid="{6285F461-A2A3-45C5-B057-BAFC1E4D1ED9}"/>
    <cellStyle name="Migliaia 4 4 10 8" xfId="16673" xr:uid="{B51E46EC-5950-46BA-B048-F4D27434C45D}"/>
    <cellStyle name="Migliaia 4 4 11" xfId="1540" xr:uid="{B461EDE8-FF63-4DA0-8829-44AF6697B559}"/>
    <cellStyle name="Migliaia 4 4 11 2" xfId="2960" xr:uid="{4326AB59-E5A0-4376-A1DD-C9AE3B98BEEB}"/>
    <cellStyle name="Migliaia 4 4 11 2 2" xfId="10451" xr:uid="{156BE6D0-0074-46F0-9192-EBD2001C86BB}"/>
    <cellStyle name="Migliaia 4 4 11 2 2 2" xfId="13997" xr:uid="{D27EBDDA-04CB-4027-8351-447B38704B42}"/>
    <cellStyle name="Migliaia 4 4 11 2 2 2 2" xfId="29174" xr:uid="{A22C2568-F565-4BD7-B6E0-2BBE7FA2CB03}"/>
    <cellStyle name="Migliaia 4 4 11 2 2 3" xfId="25629" xr:uid="{FBF31234-670C-4E34-B44D-FD836675DFC8}"/>
    <cellStyle name="Migliaia 4 4 11 2 3" xfId="6277" xr:uid="{C5D211D1-8E74-4BE8-BEFD-6C58D6D1F13A}"/>
    <cellStyle name="Migliaia 4 4 11 2 3 2" xfId="21457" xr:uid="{947565C6-AC67-43F2-A831-C46BDE04BBEF}"/>
    <cellStyle name="Migliaia 4 4 11 2 4" xfId="18169" xr:uid="{E961EE16-86D4-4BDE-933B-A21EECB61ED8}"/>
    <cellStyle name="Migliaia 4 4 11 3" xfId="3847" xr:uid="{24A237DC-5F26-4FD8-BD2A-601F31431DCE}"/>
    <cellStyle name="Migliaia 4 4 11 3 2" xfId="11335" xr:uid="{6FBE6A2A-BF71-4513-9AA3-1C3D69BF040C}"/>
    <cellStyle name="Migliaia 4 4 11 3 2 2" xfId="14881" xr:uid="{1413EE95-E7D2-40C1-9D9F-6B2F69592BAF}"/>
    <cellStyle name="Migliaia 4 4 11 3 2 2 2" xfId="30058" xr:uid="{D766DD9E-1FAC-473E-AA17-766A1D8CED6B}"/>
    <cellStyle name="Migliaia 4 4 11 3 2 3" xfId="26513" xr:uid="{E1922D45-5DC2-4272-A050-EA64AE3A3772}"/>
    <cellStyle name="Migliaia 4 4 11 3 3" xfId="7161" xr:uid="{4D72A0D1-4CFD-4C25-8554-2555C35DEB4D}"/>
    <cellStyle name="Migliaia 4 4 11 3 3 2" xfId="22341" xr:uid="{80142EC2-CC12-475B-8BA8-CA28AFF44F1A}"/>
    <cellStyle name="Migliaia 4 4 11 3 4" xfId="19053" xr:uid="{54F7AEE5-41F5-4A4D-A924-55506628C82B}"/>
    <cellStyle name="Migliaia 4 4 11 4" xfId="4605" xr:uid="{9B5252A4-955E-4748-B8E4-7A430AA34CC3}"/>
    <cellStyle name="Migliaia 4 4 11 4 2" xfId="12090" xr:uid="{A3C1981C-7393-4581-A0C0-45347B7AD14F}"/>
    <cellStyle name="Migliaia 4 4 11 4 2 2" xfId="15636" xr:uid="{A398BE4F-C2AB-4F57-A5D8-7C75D6AC5633}"/>
    <cellStyle name="Migliaia 4 4 11 4 2 2 2" xfId="30813" xr:uid="{BFC65482-0852-4B8D-A274-5DF74E930A9D}"/>
    <cellStyle name="Migliaia 4 4 11 4 2 3" xfId="27268" xr:uid="{C123F0D2-8AAD-4F44-B36F-BAA89D2DCCD9}"/>
    <cellStyle name="Migliaia 4 4 11 4 3" xfId="7916" xr:uid="{BAE66F76-882B-4238-8F34-70E815AC4224}"/>
    <cellStyle name="Migliaia 4 4 11 4 3 2" xfId="23096" xr:uid="{1E3F3110-531A-4678-BF84-84F3F9A24EF1}"/>
    <cellStyle name="Migliaia 4 4 11 4 4" xfId="19808" xr:uid="{9A4F49D1-FA30-4219-BF33-CCE7C7DE76A8}"/>
    <cellStyle name="Migliaia 4 4 11 5" xfId="2070" xr:uid="{D988C44F-F2A8-4D24-95C2-71957E95CFBE}"/>
    <cellStyle name="Migliaia 4 4 11 5 2" xfId="9567" xr:uid="{AE33EA21-8730-498B-A18D-BC4C2CC161B6}"/>
    <cellStyle name="Migliaia 4 4 11 5 2 2" xfId="24745" xr:uid="{FFD0B8C2-9309-4657-91BF-EC83943D2040}"/>
    <cellStyle name="Migliaia 4 4 11 5 3" xfId="17285" xr:uid="{6DF2A44F-5A61-4788-B29E-D9A0123E37D8}"/>
    <cellStyle name="Migliaia 4 4 11 6" xfId="9053" xr:uid="{3D5F346B-5828-4462-BF51-3091EFF06192}"/>
    <cellStyle name="Migliaia 4 4 11 6 2" xfId="13226" xr:uid="{C1CC8B46-E231-4BF2-A4CD-1A9A688B23BC}"/>
    <cellStyle name="Migliaia 4 4 11 6 2 2" xfId="28403" xr:uid="{031B9D8B-0237-4C37-882F-45125092E745}"/>
    <cellStyle name="Migliaia 4 4 11 6 3" xfId="24231" xr:uid="{54F68CF2-6150-4262-BAA2-20ADA3FFE02C}"/>
    <cellStyle name="Migliaia 4 4 11 7" xfId="5393" xr:uid="{11B04815-8D16-43C2-B824-A4E6F60C94A3}"/>
    <cellStyle name="Migliaia 4 4 11 7 2" xfId="20573" xr:uid="{CE4E7747-8F43-44CB-9534-6274C7E8F341}"/>
    <cellStyle name="Migliaia 4 4 11 8" xfId="16771" xr:uid="{65D3FB07-5ECF-4086-924E-BC387BAC6FC9}"/>
    <cellStyle name="Migliaia 4 4 12" xfId="1639" xr:uid="{20C9FC15-113B-43E3-893F-993A3980CB1D}"/>
    <cellStyle name="Migliaia 4 4 12 2" xfId="3058" xr:uid="{120388CF-475B-4413-A108-E8114249D36D}"/>
    <cellStyle name="Migliaia 4 4 12 2 2" xfId="10549" xr:uid="{E81EFB26-6782-48C5-B70C-702D79CC4BBB}"/>
    <cellStyle name="Migliaia 4 4 12 2 2 2" xfId="14095" xr:uid="{7E6E25BF-D2C3-497A-9540-17F46DB90C65}"/>
    <cellStyle name="Migliaia 4 4 12 2 2 2 2" xfId="29272" xr:uid="{F489FFD2-B4FB-47CA-9CD7-D274027C0D7A}"/>
    <cellStyle name="Migliaia 4 4 12 2 2 3" xfId="25727" xr:uid="{7055BE2F-BE78-4AD7-B3D4-F15B1473AE97}"/>
    <cellStyle name="Migliaia 4 4 12 2 3" xfId="6375" xr:uid="{C555C567-85B0-45DD-B8DE-3C4756D55103}"/>
    <cellStyle name="Migliaia 4 4 12 2 3 2" xfId="21555" xr:uid="{680DBAF2-C811-4606-A134-993DEA80BD72}"/>
    <cellStyle name="Migliaia 4 4 12 2 4" xfId="18267" xr:uid="{015095D6-D8C5-4B47-A842-26967F0DB88A}"/>
    <cellStyle name="Migliaia 4 4 12 3" xfId="3945" xr:uid="{D403842F-EC8D-4181-B89C-AC0A7A9AB9E1}"/>
    <cellStyle name="Migliaia 4 4 12 3 2" xfId="11433" xr:uid="{26583637-7E42-42DB-BA7E-96EDC64A392C}"/>
    <cellStyle name="Migliaia 4 4 12 3 2 2" xfId="14979" xr:uid="{B1EEFC0F-00CE-462D-9294-44007203F077}"/>
    <cellStyle name="Migliaia 4 4 12 3 2 2 2" xfId="30156" xr:uid="{D4D3F994-D5AE-409D-84C1-823AE5DF0BAE}"/>
    <cellStyle name="Migliaia 4 4 12 3 2 3" xfId="26611" xr:uid="{88A569BD-53BF-44D0-84AA-739E9A40BDED}"/>
    <cellStyle name="Migliaia 4 4 12 3 3" xfId="7259" xr:uid="{BE094854-D637-466B-AEB3-708286F6ACDA}"/>
    <cellStyle name="Migliaia 4 4 12 3 3 2" xfId="22439" xr:uid="{4BD2F427-B5A0-4C20-B85F-C2E20D4944A4}"/>
    <cellStyle name="Migliaia 4 4 12 3 4" xfId="19151" xr:uid="{A2B8C902-E4E5-4F14-99CE-2355C2A169CD}"/>
    <cellStyle name="Migliaia 4 4 12 4" xfId="4606" xr:uid="{E24B9EAF-DC76-49ED-9C5C-1DCAD7406C15}"/>
    <cellStyle name="Migliaia 4 4 12 4 2" xfId="12091" xr:uid="{18F3E688-8F34-4455-9F32-C2B699F43B5F}"/>
    <cellStyle name="Migliaia 4 4 12 4 2 2" xfId="15637" xr:uid="{152ED3C5-FDE2-455F-A890-1F5A7402884A}"/>
    <cellStyle name="Migliaia 4 4 12 4 2 2 2" xfId="30814" xr:uid="{4E67E9A2-A46E-4479-92E6-37C12E3E8050}"/>
    <cellStyle name="Migliaia 4 4 12 4 2 3" xfId="27269" xr:uid="{A0338073-3404-4B1E-8466-E3A976C3E573}"/>
    <cellStyle name="Migliaia 4 4 12 4 3" xfId="7917" xr:uid="{4544AD9B-8689-4D53-B1C0-FA5056A88E4A}"/>
    <cellStyle name="Migliaia 4 4 12 4 3 2" xfId="23097" xr:uid="{9DEEA4A1-2D3B-4ECB-B3DD-99EF4B90C151}"/>
    <cellStyle name="Migliaia 4 4 12 4 4" xfId="19809" xr:uid="{3522A2B5-499F-4DEF-9959-C196B7EABFF3}"/>
    <cellStyle name="Migliaia 4 4 12 5" xfId="2168" xr:uid="{BE0BD4AB-C233-44AD-84B9-7D9A180C5A3F}"/>
    <cellStyle name="Migliaia 4 4 12 5 2" xfId="9665" xr:uid="{3EA9BF5F-4771-4864-BD7F-05237DCC08C2}"/>
    <cellStyle name="Migliaia 4 4 12 5 2 2" xfId="24843" xr:uid="{8440535F-0B76-4EC7-9457-D3D697262ABE}"/>
    <cellStyle name="Migliaia 4 4 12 5 3" xfId="17383" xr:uid="{F1B8F53E-F2F0-447A-B7E4-687EE2BD1699}"/>
    <cellStyle name="Migliaia 4 4 12 6" xfId="9151" xr:uid="{2778B2E4-7536-4125-88E3-526CEA6174B3}"/>
    <cellStyle name="Migliaia 4 4 12 6 2" xfId="13324" xr:uid="{ABCADB13-1326-4C13-B795-9747CC6C70C8}"/>
    <cellStyle name="Migliaia 4 4 12 6 2 2" xfId="28501" xr:uid="{1F1D7874-A22A-4273-92E4-2C7734971D64}"/>
    <cellStyle name="Migliaia 4 4 12 6 3" xfId="24329" xr:uid="{6E054EDE-CDB0-48FC-A3C4-30D640679296}"/>
    <cellStyle name="Migliaia 4 4 12 7" xfId="5491" xr:uid="{4EF597CA-6DEF-4196-88E1-9931802F3B33}"/>
    <cellStyle name="Migliaia 4 4 12 7 2" xfId="20671" xr:uid="{8E26D2DB-5ED5-42E3-8F23-FCB226D8BDE4}"/>
    <cellStyle name="Migliaia 4 4 12 8" xfId="16869" xr:uid="{4D1AB504-8C74-4743-90E9-0C3D465900F4}"/>
    <cellStyle name="Migliaia 4 4 13" xfId="2268" xr:uid="{3B983E39-5B06-4297-83B0-0C97FF9C84F9}"/>
    <cellStyle name="Migliaia 4 4 13 2" xfId="9763" xr:uid="{367A19AE-47B4-40FE-8099-14162F647352}"/>
    <cellStyle name="Migliaia 4 4 13 2 2" xfId="13422" xr:uid="{51926305-CE35-4CAA-B1D2-137BFBCFFB12}"/>
    <cellStyle name="Migliaia 4 4 13 2 2 2" xfId="28599" xr:uid="{60623DD4-C03C-42BA-91D8-B94F653BFA1F}"/>
    <cellStyle name="Migliaia 4 4 13 2 3" xfId="24941" xr:uid="{100CC4F4-18B1-458B-879D-373CA37AD3B7}"/>
    <cellStyle name="Migliaia 4 4 13 3" xfId="5589" xr:uid="{715CFF01-9CA1-4960-8DA0-5A1A71D0F426}"/>
    <cellStyle name="Migliaia 4 4 13 3 2" xfId="20769" xr:uid="{1611A277-C784-42A9-8873-EC473866012D}"/>
    <cellStyle name="Migliaia 4 4 13 4" xfId="17481" xr:uid="{B325871E-58B7-4F7F-B727-880D2A1DFA9C}"/>
    <cellStyle name="Migliaia 4 4 14" xfId="3158" xr:uid="{2E69F19F-43EE-4CF1-A5A5-8C2DA9823871}"/>
    <cellStyle name="Migliaia 4 4 14 2" xfId="10647" xr:uid="{F094639C-03CD-4566-A260-3A8F0BAF267A}"/>
    <cellStyle name="Migliaia 4 4 14 2 2" xfId="14193" xr:uid="{88926876-B5C4-4FF6-81B4-CCD6452898B4}"/>
    <cellStyle name="Migliaia 4 4 14 2 2 2" xfId="29370" xr:uid="{F2A6B913-4734-4237-90F7-44A75E854FA0}"/>
    <cellStyle name="Migliaia 4 4 14 2 3" xfId="25825" xr:uid="{380E14DF-2529-4A2C-82F5-E6D6086810DC}"/>
    <cellStyle name="Migliaia 4 4 14 3" xfId="6473" xr:uid="{5B8BC46D-BC05-4B17-8B76-4AD0521F2EF2}"/>
    <cellStyle name="Migliaia 4 4 14 3 2" xfId="21653" xr:uid="{6BB367A7-273B-4C27-93F0-F8A7F824B9A6}"/>
    <cellStyle name="Migliaia 4 4 14 4" xfId="18365" xr:uid="{2F7E93D1-358E-4605-8258-4B9D0B17D84B}"/>
    <cellStyle name="Migliaia 4 4 15" xfId="4607" xr:uid="{B10EFCD1-BA8D-45F8-9A19-9C64DFA9363D}"/>
    <cellStyle name="Migliaia 4 4 15 2" xfId="12092" xr:uid="{DA153A02-3946-432B-8DDB-EEF83A475FBB}"/>
    <cellStyle name="Migliaia 4 4 15 2 2" xfId="15638" xr:uid="{5A1617E7-A578-4D07-97CB-427F79B4F9C5}"/>
    <cellStyle name="Migliaia 4 4 15 2 2 2" xfId="30815" xr:uid="{9CB99D5C-C9EB-423B-A2A9-BCBCB7923E5E}"/>
    <cellStyle name="Migliaia 4 4 15 2 3" xfId="27270" xr:uid="{C11DDA48-354B-4DE8-BA21-37EA23F3E49C}"/>
    <cellStyle name="Migliaia 4 4 15 3" xfId="7918" xr:uid="{01BE8F1B-95C5-4415-B3A0-80F7CA15C079}"/>
    <cellStyle name="Migliaia 4 4 15 3 2" xfId="23098" xr:uid="{38C2612B-6355-42CA-9C17-5573D46602DB}"/>
    <cellStyle name="Migliaia 4 4 15 4" xfId="19810" xr:uid="{4A4A9AE3-14DA-408E-BCD3-3EE7D19A04CA}"/>
    <cellStyle name="Migliaia 4 4 16" xfId="8364" xr:uid="{5FC900B4-31D3-47B1-BDD1-1DDC604E8D8F}"/>
    <cellStyle name="Migliaia 4 4 16 2" xfId="12538" xr:uid="{53900959-0E2A-47EC-99C6-26AB3B1F55DA}"/>
    <cellStyle name="Migliaia 4 4 16 2 2" xfId="27715" xr:uid="{6A270330-34CF-43E3-A096-711549BD3CE2}"/>
    <cellStyle name="Migliaia 4 4 16 3" xfId="23543" xr:uid="{F77C4422-277C-45E8-BD81-B82D06DF797F}"/>
    <cellStyle name="Migliaia 4 4 17" xfId="16083" xr:uid="{7F6B32B8-1BB7-40FA-B0A0-913FC0FC7BDC}"/>
    <cellStyle name="Migliaia 4 4 18" xfId="31425" xr:uid="{2BE7CC50-F989-45BA-8C10-1A6C3F0C865E}"/>
    <cellStyle name="Migliaia 4 4 19" xfId="685" xr:uid="{47C82173-458F-48E1-8286-E9650D856E0E}"/>
    <cellStyle name="Migliaia 4 4 2" xfId="558" xr:uid="{BEB3EA12-5346-40B0-AEBD-7709217EE939}"/>
    <cellStyle name="Migliaia 4 4 2 10" xfId="2293" xr:uid="{4EB9F452-3AB8-4B36-AD8C-8C072B2A29AE}"/>
    <cellStyle name="Migliaia 4 4 2 10 2" xfId="9788" xr:uid="{C3CDE8B1-5882-4732-BF75-A2BD8E186B06}"/>
    <cellStyle name="Migliaia 4 4 2 10 2 2" xfId="13447" xr:uid="{C701B0C6-4775-4C86-AAF3-FEAA0F0C1368}"/>
    <cellStyle name="Migliaia 4 4 2 10 2 2 2" xfId="28624" xr:uid="{88B411E3-7E08-4D91-B710-5E70FD95C206}"/>
    <cellStyle name="Migliaia 4 4 2 10 2 3" xfId="24966" xr:uid="{3D4AB64F-3A02-40C8-A8CE-961C2320E11B}"/>
    <cellStyle name="Migliaia 4 4 2 10 3" xfId="5614" xr:uid="{36D15121-4F75-4E3A-BA4B-8619D90167E9}"/>
    <cellStyle name="Migliaia 4 4 2 10 3 2" xfId="20794" xr:uid="{652D9D5A-DFF2-4D5E-B07D-DC1274E7ADF2}"/>
    <cellStyle name="Migliaia 4 4 2 10 4" xfId="17506" xr:uid="{FBA03D4E-D756-43AD-AE6C-2D7E8F2FBC41}"/>
    <cellStyle name="Migliaia 4 4 2 11" xfId="3183" xr:uid="{EAAC9E9C-6CF8-45F7-B01C-84D1D8834394}"/>
    <cellStyle name="Migliaia 4 4 2 11 2" xfId="10672" xr:uid="{C354A3EB-C68F-4D35-8E0C-A962C7E03B59}"/>
    <cellStyle name="Migliaia 4 4 2 11 2 2" xfId="14218" xr:uid="{13231FA9-3ABA-4E80-AC45-CAB25A0F5A10}"/>
    <cellStyle name="Migliaia 4 4 2 11 2 2 2" xfId="29395" xr:uid="{571573E1-B9CF-4001-8333-78D3FBCAAFBA}"/>
    <cellStyle name="Migliaia 4 4 2 11 2 3" xfId="25850" xr:uid="{9EE9FCEF-E475-4E0B-8CF0-151E1709BFFF}"/>
    <cellStyle name="Migliaia 4 4 2 11 3" xfId="6498" xr:uid="{A2A1A742-5D6F-4F4D-8C01-A5628286824F}"/>
    <cellStyle name="Migliaia 4 4 2 11 3 2" xfId="21678" xr:uid="{9DAD6382-E5A3-4574-B70D-28D9DAECF729}"/>
    <cellStyle name="Migliaia 4 4 2 11 4" xfId="18390" xr:uid="{F5C38B73-A2C3-43F2-B194-B645EF07F26E}"/>
    <cellStyle name="Migliaia 4 4 2 12" xfId="4608" xr:uid="{565A92CE-32E5-4BA1-AFFA-E3FA996907E8}"/>
    <cellStyle name="Migliaia 4 4 2 12 2" xfId="12093" xr:uid="{0FCA1983-894F-4D3F-8717-6D5595ACCF45}"/>
    <cellStyle name="Migliaia 4 4 2 12 2 2" xfId="15639" xr:uid="{1951E53F-EB74-48CF-BF48-597849094014}"/>
    <cellStyle name="Migliaia 4 4 2 12 2 2 2" xfId="30816" xr:uid="{003F956A-A059-4EE7-9AE8-2B9B21C9A482}"/>
    <cellStyle name="Migliaia 4 4 2 12 2 3" xfId="27271" xr:uid="{79FF9397-11C4-480C-973F-EBB516A0DD4A}"/>
    <cellStyle name="Migliaia 4 4 2 12 3" xfId="7919" xr:uid="{4823BFB4-14DD-43D8-AE6D-15405CD28E8F}"/>
    <cellStyle name="Migliaia 4 4 2 12 3 2" xfId="23099" xr:uid="{E011A85E-63CD-40F1-B931-8FD2DFA4F76C}"/>
    <cellStyle name="Migliaia 4 4 2 12 4" xfId="19811" xr:uid="{9E92049C-8CF3-4B93-8749-964C2201CD4C}"/>
    <cellStyle name="Migliaia 4 4 2 13" xfId="8389" xr:uid="{615EF4A8-5B45-4869-8405-A273E4D1017D}"/>
    <cellStyle name="Migliaia 4 4 2 13 2" xfId="12563" xr:uid="{1B971CE5-6660-4C7B-BC46-94E69277458D}"/>
    <cellStyle name="Migliaia 4 4 2 13 2 2" xfId="27740" xr:uid="{0A5B1654-C338-44C4-919E-FC9F1843CDC6}"/>
    <cellStyle name="Migliaia 4 4 2 13 3" xfId="23568" xr:uid="{49C2B0DE-BBBA-46D4-B47C-2BD0128B0395}"/>
    <cellStyle name="Migliaia 4 4 2 14" xfId="16108" xr:uid="{63CCAF89-F6E2-4D33-9391-76D045DE4CB0}"/>
    <cellStyle name="Migliaia 4 4 2 15" xfId="31450" xr:uid="{BD136411-0CD5-4C56-820A-F258051DDF52}"/>
    <cellStyle name="Migliaia 4 4 2 16" xfId="720" xr:uid="{5DAD7B12-385C-4B07-8D25-C12342C1548E}"/>
    <cellStyle name="Migliaia 4 4 2 2" xfId="772" xr:uid="{19208DBF-623D-4C8D-A1DA-9B066C133E50}"/>
    <cellStyle name="Migliaia 4 4 2 2 10" xfId="8438" xr:uid="{1F024BA7-0657-4A35-AF7C-CB25D5E39182}"/>
    <cellStyle name="Migliaia 4 4 2 2 10 2" xfId="12612" xr:uid="{884A262C-D5DA-496D-BD55-CC9AE25E43F5}"/>
    <cellStyle name="Migliaia 4 4 2 2 10 2 2" xfId="27789" xr:uid="{46BD0812-EB6F-49B4-99A2-DF49A8EA764D}"/>
    <cellStyle name="Migliaia 4 4 2 2 10 3" xfId="23617" xr:uid="{271B3A5B-22D1-456C-A781-17800F71EC35}"/>
    <cellStyle name="Migliaia 4 4 2 2 11" xfId="16157" xr:uid="{DB0521EB-ED9C-4565-B7D4-8FFF001441BC}"/>
    <cellStyle name="Migliaia 4 4 2 2 12" xfId="31499" xr:uid="{037630CB-7D1A-4169-BD8D-7632EC16B152}"/>
    <cellStyle name="Migliaia 4 4 2 2 2" xfId="949" xr:uid="{B2DEF8E5-726B-43F8-AC34-26F906741E73}"/>
    <cellStyle name="Migliaia 4 4 2 2 2 10" xfId="16279" xr:uid="{14763915-9410-432B-B82C-559F5DBDE28F}"/>
    <cellStyle name="Migliaia 4 4 2 2 2 11" xfId="31369" xr:uid="{504B8B42-310B-46E9-8733-50CBE5BEF124}"/>
    <cellStyle name="Migliaia 4 4 2 2 2 12" xfId="31719" xr:uid="{1C0A429D-E85F-4940-BB9D-0F8602E4D9BF}"/>
    <cellStyle name="Migliaia 4 4 2 2 2 2" xfId="1310" xr:uid="{E82609FC-4AD9-4D62-A38C-3A415049DB2A}"/>
    <cellStyle name="Migliaia 4 4 2 2 2 2 2" xfId="3627" xr:uid="{12740F6B-CCDC-4996-8B98-B4FBC6BB8239}"/>
    <cellStyle name="Migliaia 4 4 2 2 2 2 2 2" xfId="11115" xr:uid="{FDE88D76-894A-4A2A-87CE-5EFE7EEF4497}"/>
    <cellStyle name="Migliaia 4 4 2 2 2 2 2 2 2" xfId="14661" xr:uid="{B3D8F816-0C0D-40BD-8168-2EACCC0731AD}"/>
    <cellStyle name="Migliaia 4 4 2 2 2 2 2 2 2 2" xfId="29838" xr:uid="{6C0387F0-AA45-489B-839D-E0D7F4523110}"/>
    <cellStyle name="Migliaia 4 4 2 2 2 2 2 2 3" xfId="26293" xr:uid="{338E7307-0C45-4211-BE1B-546EE0CCAA40}"/>
    <cellStyle name="Migliaia 4 4 2 2 2 2 2 3" xfId="6941" xr:uid="{CBBBC526-7A1B-4E83-A17D-E667E90BE1DB}"/>
    <cellStyle name="Migliaia 4 4 2 2 2 2 2 3 2" xfId="22121" xr:uid="{9EF7C85D-DB41-4A0A-9961-26A68F368512}"/>
    <cellStyle name="Migliaia 4 4 2 2 2 2 2 4" xfId="18833" xr:uid="{BF9C2F63-D4B2-4339-9B79-55E30BD93155}"/>
    <cellStyle name="Migliaia 4 4 2 2 2 2 3" xfId="4609" xr:uid="{A2E72B55-BB96-448B-9FC8-0909845CF589}"/>
    <cellStyle name="Migliaia 4 4 2 2 2 2 3 2" xfId="12094" xr:uid="{DE6B676E-4580-4777-95F8-576753D3C9C9}"/>
    <cellStyle name="Migliaia 4 4 2 2 2 2 3 2 2" xfId="15640" xr:uid="{7A3008C9-67CB-45A9-BB2F-3D66A6AFD2BF}"/>
    <cellStyle name="Migliaia 4 4 2 2 2 2 3 2 2 2" xfId="30817" xr:uid="{15340C1E-F11A-4DBC-B293-F4D740028916}"/>
    <cellStyle name="Migliaia 4 4 2 2 2 2 3 2 3" xfId="27272" xr:uid="{985EF433-F7B8-4ABA-8DA9-64BD1B449A17}"/>
    <cellStyle name="Migliaia 4 4 2 2 2 2 3 3" xfId="7920" xr:uid="{9CE4682C-1135-4DAA-9DEB-39017CDE3CE7}"/>
    <cellStyle name="Migliaia 4 4 2 2 2 2 3 3 2" xfId="23100" xr:uid="{D84E100B-2337-4DB5-B3DD-97603E5E9250}"/>
    <cellStyle name="Migliaia 4 4 2 2 2 2 3 4" xfId="19812" xr:uid="{9E29D2F5-D68D-485A-BC71-CE683BFF31BA}"/>
    <cellStyle name="Migliaia 4 4 2 2 2 2 4" xfId="2740" xr:uid="{C7197218-CB06-4D3D-8BC1-08385F9163CE}"/>
    <cellStyle name="Migliaia 4 4 2 2 2 2 4 2" xfId="10231" xr:uid="{E7ADC01E-43B3-4913-91C5-78B553EF0E17}"/>
    <cellStyle name="Migliaia 4 4 2 2 2 2 4 2 2" xfId="25409" xr:uid="{1AFDA695-DE82-430D-9A5E-86D2702D04F0}"/>
    <cellStyle name="Migliaia 4 4 2 2 2 2 4 3" xfId="17949" xr:uid="{35F38357-2D38-434F-8A03-AACB96A52261}"/>
    <cellStyle name="Migliaia 4 4 2 2 2 2 5" xfId="8833" xr:uid="{24BE86F1-E010-43B7-AAB8-469049A90B55}"/>
    <cellStyle name="Migliaia 4 4 2 2 2 2 5 2" xfId="13006" xr:uid="{4482E9BE-F81C-42E4-BC6C-6BA556739F25}"/>
    <cellStyle name="Migliaia 4 4 2 2 2 2 5 2 2" xfId="28183" xr:uid="{52C3AD78-9AE0-4D60-9FB0-6E45C1A43007}"/>
    <cellStyle name="Migliaia 4 4 2 2 2 2 5 3" xfId="24011" xr:uid="{E25D4240-4EC4-48C5-9E99-4EF7CD789670}"/>
    <cellStyle name="Migliaia 4 4 2 2 2 2 6" xfId="6057" xr:uid="{E650B49D-8346-4EAF-9599-CFD3357ADAD4}"/>
    <cellStyle name="Migliaia 4 4 2 2 2 2 6 2" xfId="21237" xr:uid="{D06F1FC0-88BA-420E-874E-0C9DD3EA3E4B}"/>
    <cellStyle name="Migliaia 4 4 2 2 2 2 7" xfId="16551" xr:uid="{76EA3847-0AE6-4DC7-9EAC-A29E2D514379}"/>
    <cellStyle name="Migliaia 4 4 2 2 2 3" xfId="2467" xr:uid="{7DC170F8-6049-4259-8443-3479343A9643}"/>
    <cellStyle name="Migliaia 4 4 2 2 2 3 2" xfId="9959" xr:uid="{5D0DA929-4E8E-4760-8ABC-D4FB3DAC81AA}"/>
    <cellStyle name="Migliaia 4 4 2 2 2 3 2 2" xfId="13618" xr:uid="{2A661CAE-F7E6-4861-A40B-31BD70D4632C}"/>
    <cellStyle name="Migliaia 4 4 2 2 2 3 2 2 2" xfId="28795" xr:uid="{B96EE63D-24C4-438A-9EC9-F12C6C84172D}"/>
    <cellStyle name="Migliaia 4 4 2 2 2 3 2 3" xfId="25137" xr:uid="{02B118BF-EEF6-495E-AB24-77DFA36E5DA9}"/>
    <cellStyle name="Migliaia 4 4 2 2 2 3 3" xfId="5785" xr:uid="{1D405358-00A9-40B4-BBDB-4228E6CED9BF}"/>
    <cellStyle name="Migliaia 4 4 2 2 2 3 3 2" xfId="20965" xr:uid="{890EEB11-85E2-45F2-A7AC-7DBFBF63BEBC}"/>
    <cellStyle name="Migliaia 4 4 2 2 2 3 4" xfId="17677" xr:uid="{B5B525BE-A033-4711-A5F8-87EA66984392}"/>
    <cellStyle name="Migliaia 4 4 2 2 2 4" xfId="3355" xr:uid="{C2A0C97E-C006-411C-8A84-B874DE8BDA64}"/>
    <cellStyle name="Migliaia 4 4 2 2 2 4 2" xfId="10843" xr:uid="{1D8B9B9E-F162-4030-9CD3-EFE43926B647}"/>
    <cellStyle name="Migliaia 4 4 2 2 2 4 2 2" xfId="14389" xr:uid="{12436B50-C8DE-4E75-B47A-34F115D6791D}"/>
    <cellStyle name="Migliaia 4 4 2 2 2 4 2 2 2" xfId="29566" xr:uid="{38A35165-93AC-407C-856D-7CCF2069B710}"/>
    <cellStyle name="Migliaia 4 4 2 2 2 4 2 3" xfId="26021" xr:uid="{F0FEA15E-6D73-4F9D-A031-4FD202A2010D}"/>
    <cellStyle name="Migliaia 4 4 2 2 2 4 3" xfId="6669" xr:uid="{BF305534-65EF-455D-A2D5-3AD5B582FB0A}"/>
    <cellStyle name="Migliaia 4 4 2 2 2 4 3 2" xfId="21849" xr:uid="{34CE9B1A-E1F8-489C-ABE0-429B01948D52}"/>
    <cellStyle name="Migliaia 4 4 2 2 2 4 4" xfId="18561" xr:uid="{4A3F6460-E4DD-47EB-B7F3-98041C24D64D}"/>
    <cellStyle name="Migliaia 4 4 2 2 2 5" xfId="4610" xr:uid="{959E613C-948A-4A56-A05A-7AF2D474B860}"/>
    <cellStyle name="Migliaia 4 4 2 2 2 5 2" xfId="12095" xr:uid="{F8255C2C-9042-47AF-84A6-72EB1D0430C5}"/>
    <cellStyle name="Migliaia 4 4 2 2 2 5 2 2" xfId="15641" xr:uid="{1336AC0A-2D6B-41E6-9A51-04501E9013B7}"/>
    <cellStyle name="Migliaia 4 4 2 2 2 5 2 2 2" xfId="30818" xr:uid="{75FB63C0-96B2-4DD9-8A37-11300077EBF5}"/>
    <cellStyle name="Migliaia 4 4 2 2 2 5 2 3" xfId="27273" xr:uid="{DCFDC3DD-EF6A-463F-A806-D8B3D9F76205}"/>
    <cellStyle name="Migliaia 4 4 2 2 2 5 3" xfId="7921" xr:uid="{CE337623-D88A-4CB5-B005-7D5EC1DBAA34}"/>
    <cellStyle name="Migliaia 4 4 2 2 2 5 3 2" xfId="23101" xr:uid="{87F15FC3-367C-4DA9-AF5F-BD17DD1CA8DA}"/>
    <cellStyle name="Migliaia 4 4 2 2 2 5 4" xfId="19813" xr:uid="{0ECBCDBC-C02E-4D4A-91A3-5A0FB80D7CD1}"/>
    <cellStyle name="Migliaia 4 4 2 2 2 6" xfId="5029" xr:uid="{58DBF4D3-9961-4ED5-B9B8-906FAF2E82DA}"/>
    <cellStyle name="Migliaia 4 4 2 2 2 6 2" xfId="12513" xr:uid="{17DFDD03-2F6D-4F90-85CB-9A35EEC3A038}"/>
    <cellStyle name="Migliaia 4 4 2 2 2 6 2 2" xfId="16059" xr:uid="{171EF36D-848E-4CE5-81E3-27A6A805628D}"/>
    <cellStyle name="Migliaia 4 4 2 2 2 6 2 2 2" xfId="31236" xr:uid="{F1B3D331-DEA3-492D-A24F-AE3B4F12AEDE}"/>
    <cellStyle name="Migliaia 4 4 2 2 2 6 2 3" xfId="27691" xr:uid="{C3AF29CB-FE0E-49E2-BA01-ADDFD7D8D41D}"/>
    <cellStyle name="Migliaia 4 4 2 2 2 6 3" xfId="8339" xr:uid="{DE3C6113-245F-4EA2-BAD4-28B1EE470075}"/>
    <cellStyle name="Migliaia 4 4 2 2 2 6 3 2" xfId="23519" xr:uid="{21BEFF3D-B387-4B28-8943-DB6E96875F4F}"/>
    <cellStyle name="Migliaia 4 4 2 2 2 6 4" xfId="20231" xr:uid="{9319A4D8-6096-4095-9F84-14B393235BC7}"/>
    <cellStyle name="Migliaia 4 4 2 2 2 7" xfId="1850" xr:uid="{71342FBE-0CE4-4EFD-B598-658D01D15661}"/>
    <cellStyle name="Migliaia 4 4 2 2 2 7 2" xfId="9347" xr:uid="{D4AF91DC-C0DE-479A-BAF3-18FCCAA1CAF8}"/>
    <cellStyle name="Migliaia 4 4 2 2 2 7 2 2" xfId="24525" xr:uid="{32CEAB9F-05C3-4DD7-AF7E-3871036F0C5A}"/>
    <cellStyle name="Migliaia 4 4 2 2 2 7 3" xfId="17065" xr:uid="{367DFA22-2811-464F-8B70-77764B896C8A}"/>
    <cellStyle name="Migliaia 4 4 2 2 2 8" xfId="8561" xr:uid="{0AFC2A91-D451-48F7-9AA0-F4D20ACD49C0}"/>
    <cellStyle name="Migliaia 4 4 2 2 2 8 2" xfId="12734" xr:uid="{45748A75-5457-4813-9A78-614E5EF2647E}"/>
    <cellStyle name="Migliaia 4 4 2 2 2 8 2 2" xfId="27911" xr:uid="{45381FD7-3535-479C-9345-4B20EA861D63}"/>
    <cellStyle name="Migliaia 4 4 2 2 2 8 3" xfId="23739" xr:uid="{79BC3534-C190-4352-BF62-B45D458AAA78}"/>
    <cellStyle name="Migliaia 4 4 2 2 2 9" xfId="5173" xr:uid="{98D7C928-BE63-4020-8CD2-7FDCCD6C399B}"/>
    <cellStyle name="Migliaia 4 4 2 2 2 9 2" xfId="20353" xr:uid="{7CED5BFF-D029-4DDF-87FF-57F19A18DA1B}"/>
    <cellStyle name="Migliaia 4 4 2 2 3" xfId="1052" xr:uid="{7D987CE9-81D4-4578-8FB5-10F073EBFD4D}"/>
    <cellStyle name="Migliaia 4 4 2 2 3 10" xfId="31597" xr:uid="{5C27C74D-FAEE-435B-818F-27E741E0A078}"/>
    <cellStyle name="Migliaia 4 4 2 2 3 2" xfId="1412" xr:uid="{94530548-84BA-40E3-8206-156BC45528EA}"/>
    <cellStyle name="Migliaia 4 4 2 2 3 2 2" xfId="3725" xr:uid="{45FDDE06-6AFA-4C78-BAD4-70EACAEE4E7F}"/>
    <cellStyle name="Migliaia 4 4 2 2 3 2 2 2" xfId="11213" xr:uid="{506125AE-CA8C-4ED6-B5FE-6C9F6C5BDD8A}"/>
    <cellStyle name="Migliaia 4 4 2 2 3 2 2 2 2" xfId="14759" xr:uid="{E55B87AB-B68F-42C6-AAA9-C7A6F339C04F}"/>
    <cellStyle name="Migliaia 4 4 2 2 3 2 2 2 2 2" xfId="29936" xr:uid="{E489E1D2-7551-4423-A45D-7E1576E1568C}"/>
    <cellStyle name="Migliaia 4 4 2 2 3 2 2 2 3" xfId="26391" xr:uid="{02EB46A1-9149-4669-B96A-CDAC768D4724}"/>
    <cellStyle name="Migliaia 4 4 2 2 3 2 2 3" xfId="7039" xr:uid="{B00DE23E-32AB-4D65-A776-32031D4D0439}"/>
    <cellStyle name="Migliaia 4 4 2 2 3 2 2 3 2" xfId="22219" xr:uid="{D6EDDAEA-F32B-475F-9E14-F1A5C4B7CEC1}"/>
    <cellStyle name="Migliaia 4 4 2 2 3 2 2 4" xfId="18931" xr:uid="{B58F2364-DBBA-4EAF-89CD-23636F12F890}"/>
    <cellStyle name="Migliaia 4 4 2 2 3 2 3" xfId="4611" xr:uid="{1F026659-A745-4839-B8EB-48DA339B0259}"/>
    <cellStyle name="Migliaia 4 4 2 2 3 2 3 2" xfId="12096" xr:uid="{080E71C3-7C82-4417-9B45-9E3508850787}"/>
    <cellStyle name="Migliaia 4 4 2 2 3 2 3 2 2" xfId="15642" xr:uid="{7265B937-11D1-483A-B7A8-83AC6B3326BD}"/>
    <cellStyle name="Migliaia 4 4 2 2 3 2 3 2 2 2" xfId="30819" xr:uid="{60EC26C3-2C90-48FD-BF37-CBAA0B8002A4}"/>
    <cellStyle name="Migliaia 4 4 2 2 3 2 3 2 3" xfId="27274" xr:uid="{7CD07765-18E7-4637-89C0-286B0365CC5B}"/>
    <cellStyle name="Migliaia 4 4 2 2 3 2 3 3" xfId="7922" xr:uid="{7DD5760E-6D95-47D0-B738-559897072DEF}"/>
    <cellStyle name="Migliaia 4 4 2 2 3 2 3 3 2" xfId="23102" xr:uid="{832B2281-110A-48AA-AB07-6D90D2BE8A0E}"/>
    <cellStyle name="Migliaia 4 4 2 2 3 2 3 4" xfId="19814" xr:uid="{8C5074BD-5F90-4EAF-904A-E9F7ABE6AF8D}"/>
    <cellStyle name="Migliaia 4 4 2 2 3 2 4" xfId="2838" xr:uid="{3349C1FB-2FE3-49F6-9FB6-101FAF288995}"/>
    <cellStyle name="Migliaia 4 4 2 2 3 2 4 2" xfId="10329" xr:uid="{5F52A395-A3D9-40B7-8FDB-751976FD3482}"/>
    <cellStyle name="Migliaia 4 4 2 2 3 2 4 2 2" xfId="25507" xr:uid="{9BEBCDE8-4821-49D6-9458-5EEEFA909B01}"/>
    <cellStyle name="Migliaia 4 4 2 2 3 2 4 3" xfId="18047" xr:uid="{7A39B7D0-E4D8-429E-AB69-BF3937B9FC6D}"/>
    <cellStyle name="Migliaia 4 4 2 2 3 2 5" xfId="8931" xr:uid="{38175AE3-E604-4735-8B30-0B537C5DC28C}"/>
    <cellStyle name="Migliaia 4 4 2 2 3 2 5 2" xfId="13104" xr:uid="{8B6D80D3-7143-4B31-8EEB-EE36A5C0A286}"/>
    <cellStyle name="Migliaia 4 4 2 2 3 2 5 2 2" xfId="28281" xr:uid="{D6122E80-0700-4037-8B38-E043F5B3FDEB}"/>
    <cellStyle name="Migliaia 4 4 2 2 3 2 5 3" xfId="24109" xr:uid="{39E3B264-2FB0-45C7-B163-22F08FAE0437}"/>
    <cellStyle name="Migliaia 4 4 2 2 3 2 6" xfId="6155" xr:uid="{9984E08F-8498-459E-9622-42E437A044CA}"/>
    <cellStyle name="Migliaia 4 4 2 2 3 2 6 2" xfId="21335" xr:uid="{FC9AF759-4B24-4643-A5BE-60BC9C7EC981}"/>
    <cellStyle name="Migliaia 4 4 2 2 3 2 7" xfId="16649" xr:uid="{7545FD72-E765-4C25-B412-910A6298B983}"/>
    <cellStyle name="Migliaia 4 4 2 2 3 3" xfId="2565" xr:uid="{67605F9E-94DC-4AA4-84ED-E7EF594CBBC6}"/>
    <cellStyle name="Migliaia 4 4 2 2 3 3 2" xfId="10057" xr:uid="{48A09745-6E49-4D5E-891D-CFE767421985}"/>
    <cellStyle name="Migliaia 4 4 2 2 3 3 2 2" xfId="13716" xr:uid="{552CCBE5-7003-425E-8C32-91C37DC4D30C}"/>
    <cellStyle name="Migliaia 4 4 2 2 3 3 2 2 2" xfId="28893" xr:uid="{B371B3D9-7FEC-4E34-A7ED-6E3848C1020B}"/>
    <cellStyle name="Migliaia 4 4 2 2 3 3 2 3" xfId="25235" xr:uid="{0A7ABDC4-E7BC-46EA-93C5-DAA07F18C3EE}"/>
    <cellStyle name="Migliaia 4 4 2 2 3 3 3" xfId="5883" xr:uid="{F6FE1CAB-000A-4B99-83F9-33D04EFE5848}"/>
    <cellStyle name="Migliaia 4 4 2 2 3 3 3 2" xfId="21063" xr:uid="{107B9CB3-412B-41CD-A0F1-3C91E421A3B8}"/>
    <cellStyle name="Migliaia 4 4 2 2 3 3 4" xfId="17775" xr:uid="{270850EA-5C2C-4AAE-ABD4-C6A944F6B8BB}"/>
    <cellStyle name="Migliaia 4 4 2 2 3 4" xfId="3453" xr:uid="{E36A38E8-2E93-49D8-9206-2766C41E53FA}"/>
    <cellStyle name="Migliaia 4 4 2 2 3 4 2" xfId="10941" xr:uid="{DDC0D7B9-2ACF-486A-B97D-28A0E5FAEB64}"/>
    <cellStyle name="Migliaia 4 4 2 2 3 4 2 2" xfId="14487" xr:uid="{4EEF13CA-ADEE-4B82-BFF8-0F66245165E8}"/>
    <cellStyle name="Migliaia 4 4 2 2 3 4 2 2 2" xfId="29664" xr:uid="{A09ED5C1-3EC4-4F3C-BBC5-827B7865B230}"/>
    <cellStyle name="Migliaia 4 4 2 2 3 4 2 3" xfId="26119" xr:uid="{8C4D236F-3168-44DD-AEAC-AC13E015B02A}"/>
    <cellStyle name="Migliaia 4 4 2 2 3 4 3" xfId="6767" xr:uid="{4B1100D2-BBC1-49FC-8340-B580461EBF2A}"/>
    <cellStyle name="Migliaia 4 4 2 2 3 4 3 2" xfId="21947" xr:uid="{09DAA69C-B957-466B-9F5A-F23CF582F462}"/>
    <cellStyle name="Migliaia 4 4 2 2 3 4 4" xfId="18659" xr:uid="{03296682-2B9D-49F6-83F1-C5E4641BC680}"/>
    <cellStyle name="Migliaia 4 4 2 2 3 5" xfId="4612" xr:uid="{1DB6C48A-BD51-42F4-A6ED-E3CFE9A43202}"/>
    <cellStyle name="Migliaia 4 4 2 2 3 5 2" xfId="12097" xr:uid="{2D79BB32-144D-486B-BE60-4349531271D5}"/>
    <cellStyle name="Migliaia 4 4 2 2 3 5 2 2" xfId="15643" xr:uid="{C92C4290-6E30-4F9D-8965-38F62475C2C9}"/>
    <cellStyle name="Migliaia 4 4 2 2 3 5 2 2 2" xfId="30820" xr:uid="{30D02483-AD07-4008-92BE-426A5FFA37E0}"/>
    <cellStyle name="Migliaia 4 4 2 2 3 5 2 3" xfId="27275" xr:uid="{0882A58D-134E-4DD5-9519-CB6D0C8807FF}"/>
    <cellStyle name="Migliaia 4 4 2 2 3 5 3" xfId="7923" xr:uid="{EDD9F1EB-5650-4A6F-8237-054C21444726}"/>
    <cellStyle name="Migliaia 4 4 2 2 3 5 3 2" xfId="23103" xr:uid="{2CE52062-4C16-4656-BB64-52C9FABA4B35}"/>
    <cellStyle name="Migliaia 4 4 2 2 3 5 4" xfId="19815" xr:uid="{00490F7F-DB65-442F-B566-FEF25122413F}"/>
    <cellStyle name="Migliaia 4 4 2 2 3 6" xfId="1948" xr:uid="{5D9AB131-6A5A-4CBF-830B-5C6935424D8A}"/>
    <cellStyle name="Migliaia 4 4 2 2 3 6 2" xfId="9445" xr:uid="{0CEB8F57-0EB1-4443-8174-0FE5DAD2F82E}"/>
    <cellStyle name="Migliaia 4 4 2 2 3 6 2 2" xfId="24623" xr:uid="{AC5A55C0-F4F9-4612-8919-C19E5AE6F4C0}"/>
    <cellStyle name="Migliaia 4 4 2 2 3 6 3" xfId="17163" xr:uid="{BC5CFF14-832E-4C93-BAB0-78567CB6C60A}"/>
    <cellStyle name="Migliaia 4 4 2 2 3 7" xfId="8659" xr:uid="{8D4B14E8-260D-4230-9287-B7DA22DB3144}"/>
    <cellStyle name="Migliaia 4 4 2 2 3 7 2" xfId="12832" xr:uid="{0C2AE6A4-CF3D-4B04-8861-884BD01EA0E4}"/>
    <cellStyle name="Migliaia 4 4 2 2 3 7 2 2" xfId="28009" xr:uid="{D23C56D9-5EC9-4BF2-B4A9-BDD02F6684C4}"/>
    <cellStyle name="Migliaia 4 4 2 2 3 7 3" xfId="23837" xr:uid="{3EC15836-4CF7-43F8-BD4C-570F9C85F508}"/>
    <cellStyle name="Migliaia 4 4 2 2 3 8" xfId="5271" xr:uid="{D1E0ABF7-9F7B-4460-822A-008FC0986347}"/>
    <cellStyle name="Migliaia 4 4 2 2 3 8 2" xfId="20451" xr:uid="{16DD2543-7069-49D5-B1A0-B94A1A2AF57B}"/>
    <cellStyle name="Migliaia 4 4 2 2 3 9" xfId="16377" xr:uid="{937E1283-9999-4274-8D04-D2ED9CFB29FA}"/>
    <cellStyle name="Migliaia 4 4 2 2 4" xfId="1511" xr:uid="{359C2B35-0C07-462C-99D5-DAC834AB939D}"/>
    <cellStyle name="Migliaia 4 4 2 2 4 2" xfId="2936" xr:uid="{7F3E1BC3-CB33-432B-AF0D-9051BC67F16C}"/>
    <cellStyle name="Migliaia 4 4 2 2 4 2 2" xfId="10427" xr:uid="{51A9D6EF-32AF-4D9D-9FF8-0BC5419B43CA}"/>
    <cellStyle name="Migliaia 4 4 2 2 4 2 2 2" xfId="13973" xr:uid="{11FD1428-2BC6-4E36-AFFF-94B81ABED0AF}"/>
    <cellStyle name="Migliaia 4 4 2 2 4 2 2 2 2" xfId="29150" xr:uid="{F98E9168-EEA2-4AD5-97FE-447CDE06FB44}"/>
    <cellStyle name="Migliaia 4 4 2 2 4 2 2 3" xfId="25605" xr:uid="{731DF0D1-41D0-4B02-940F-F20C0C2E8597}"/>
    <cellStyle name="Migliaia 4 4 2 2 4 2 3" xfId="6253" xr:uid="{A4298B1A-C657-46C5-A709-633E014B356C}"/>
    <cellStyle name="Migliaia 4 4 2 2 4 2 3 2" xfId="21433" xr:uid="{C4B1067B-C489-4325-B4F8-AB1BA34848A9}"/>
    <cellStyle name="Migliaia 4 4 2 2 4 2 4" xfId="18145" xr:uid="{F028F262-07B5-4DBD-BC8F-B7C7EB76E68D}"/>
    <cellStyle name="Migliaia 4 4 2 2 4 3" xfId="3823" xr:uid="{6514019B-DB70-40FC-9195-2C534F7F6F10}"/>
    <cellStyle name="Migliaia 4 4 2 2 4 3 2" xfId="11311" xr:uid="{55E1CA3D-E1C3-4A3D-AEA8-20ABA6384C26}"/>
    <cellStyle name="Migliaia 4 4 2 2 4 3 2 2" xfId="14857" xr:uid="{EA7894B0-4C07-432B-87E5-7062B5FB05F6}"/>
    <cellStyle name="Migliaia 4 4 2 2 4 3 2 2 2" xfId="30034" xr:uid="{B91299CA-A826-40A0-946A-F25E20430277}"/>
    <cellStyle name="Migliaia 4 4 2 2 4 3 2 3" xfId="26489" xr:uid="{C5094573-4203-4DDD-AF19-F016BAE7F604}"/>
    <cellStyle name="Migliaia 4 4 2 2 4 3 3" xfId="7137" xr:uid="{1F96DBA7-ED58-4078-BFBC-F4936DB125BD}"/>
    <cellStyle name="Migliaia 4 4 2 2 4 3 3 2" xfId="22317" xr:uid="{9507666D-00E6-4BA8-9602-6F1B955CEAE7}"/>
    <cellStyle name="Migliaia 4 4 2 2 4 3 4" xfId="19029" xr:uid="{803C75DF-365D-4AED-BD96-ECBEA18E1AB5}"/>
    <cellStyle name="Migliaia 4 4 2 2 4 4" xfId="4613" xr:uid="{473B1D22-7716-4CE9-B838-BE20928DE6BA}"/>
    <cellStyle name="Migliaia 4 4 2 2 4 4 2" xfId="12098" xr:uid="{A8B7A924-5638-4279-AE04-EAEBE43C7B61}"/>
    <cellStyle name="Migliaia 4 4 2 2 4 4 2 2" xfId="15644" xr:uid="{D27C22EB-46E3-4023-A994-E7D57EC7BA30}"/>
    <cellStyle name="Migliaia 4 4 2 2 4 4 2 2 2" xfId="30821" xr:uid="{E7255EE4-8668-4C70-A9C4-82A4DFDC54C1}"/>
    <cellStyle name="Migliaia 4 4 2 2 4 4 2 3" xfId="27276" xr:uid="{AA306DDF-17CC-4C5A-868B-2C63A875E2DD}"/>
    <cellStyle name="Migliaia 4 4 2 2 4 4 3" xfId="7924" xr:uid="{29A671F2-DEE8-412A-92AF-17659E38AA02}"/>
    <cellStyle name="Migliaia 4 4 2 2 4 4 3 2" xfId="23104" xr:uid="{008A6AEB-5D36-4988-B3ED-44EB060B6634}"/>
    <cellStyle name="Migliaia 4 4 2 2 4 4 4" xfId="19816" xr:uid="{6D87CF50-8410-4919-8FC0-721FC08E848C}"/>
    <cellStyle name="Migliaia 4 4 2 2 4 5" xfId="2046" xr:uid="{24978A72-EF86-46BB-9263-A50B1B17B5EA}"/>
    <cellStyle name="Migliaia 4 4 2 2 4 5 2" xfId="9543" xr:uid="{6B9B6EF1-6308-4EAB-81C6-01F507AB9C03}"/>
    <cellStyle name="Migliaia 4 4 2 2 4 5 2 2" xfId="24721" xr:uid="{404D69DB-D295-432D-BF63-1A55F39738E1}"/>
    <cellStyle name="Migliaia 4 4 2 2 4 5 3" xfId="17261" xr:uid="{43094BDF-78E3-43BD-B8E1-9A0115E6D35D}"/>
    <cellStyle name="Migliaia 4 4 2 2 4 6" xfId="9029" xr:uid="{F5FA0DB8-C283-449F-8C30-AF6DEA4EA279}"/>
    <cellStyle name="Migliaia 4 4 2 2 4 6 2" xfId="13202" xr:uid="{5054495D-E059-4C54-9B1F-BF8C25C8BB04}"/>
    <cellStyle name="Migliaia 4 4 2 2 4 6 2 2" xfId="28379" xr:uid="{D7EAC477-FC55-41BB-8129-04F91239F1A9}"/>
    <cellStyle name="Migliaia 4 4 2 2 4 6 3" xfId="24207" xr:uid="{0DE61515-BB9F-49A4-9FE8-88B319DAC094}"/>
    <cellStyle name="Migliaia 4 4 2 2 4 7" xfId="5369" xr:uid="{274E55F2-2402-4E2E-B2AB-9A391B7D16F2}"/>
    <cellStyle name="Migliaia 4 4 2 2 4 7 2" xfId="20549" xr:uid="{6FEB9779-9898-4DA7-A0C1-976B42574C91}"/>
    <cellStyle name="Migliaia 4 4 2 2 4 8" xfId="16747" xr:uid="{A0E5CF00-26C7-4EB9-A155-F5FAC63922A6}"/>
    <cellStyle name="Migliaia 4 4 2 2 5" xfId="1614" xr:uid="{3A169D49-CABC-439F-9E55-20A5F7491D43}"/>
    <cellStyle name="Migliaia 4 4 2 2 5 2" xfId="3034" xr:uid="{EDD41498-F020-4623-A2C2-9DD566F5A57A}"/>
    <cellStyle name="Migliaia 4 4 2 2 5 2 2" xfId="10525" xr:uid="{1F4B1FF5-6F5B-469D-A088-5F4D6931F188}"/>
    <cellStyle name="Migliaia 4 4 2 2 5 2 2 2" xfId="14071" xr:uid="{5E566D6B-2EFE-42A6-9F08-275E55B8F815}"/>
    <cellStyle name="Migliaia 4 4 2 2 5 2 2 2 2" xfId="29248" xr:uid="{5FD676A5-CF3F-451C-AC61-0F57198C02B0}"/>
    <cellStyle name="Migliaia 4 4 2 2 5 2 2 3" xfId="25703" xr:uid="{B07F754D-B5ED-4A07-A4B6-51DBA5BD37C5}"/>
    <cellStyle name="Migliaia 4 4 2 2 5 2 3" xfId="6351" xr:uid="{8C660571-9118-4A2D-A426-8AA9641F3258}"/>
    <cellStyle name="Migliaia 4 4 2 2 5 2 3 2" xfId="21531" xr:uid="{A2703C34-AD01-4958-A4A8-7B5E6902F3CB}"/>
    <cellStyle name="Migliaia 4 4 2 2 5 2 4" xfId="18243" xr:uid="{E08A1AC0-1366-4B5E-99AB-4EB5D50C0F1F}"/>
    <cellStyle name="Migliaia 4 4 2 2 5 3" xfId="3921" xr:uid="{42DC52AA-2F3C-46CF-9856-1D6623A7A7E9}"/>
    <cellStyle name="Migliaia 4 4 2 2 5 3 2" xfId="11409" xr:uid="{3F76C5F1-1784-47A0-BA39-0106E10C69F8}"/>
    <cellStyle name="Migliaia 4 4 2 2 5 3 2 2" xfId="14955" xr:uid="{037D190E-255D-4337-BD96-16D4175EDF5F}"/>
    <cellStyle name="Migliaia 4 4 2 2 5 3 2 2 2" xfId="30132" xr:uid="{AA31F18A-A378-419F-B256-A8816C843A7C}"/>
    <cellStyle name="Migliaia 4 4 2 2 5 3 2 3" xfId="26587" xr:uid="{27378105-4C0E-4BC2-B850-44BF4A19DF34}"/>
    <cellStyle name="Migliaia 4 4 2 2 5 3 3" xfId="7235" xr:uid="{17FC8269-5C8A-4B30-A7F8-A41BBEFC0FCF}"/>
    <cellStyle name="Migliaia 4 4 2 2 5 3 3 2" xfId="22415" xr:uid="{0C74C28E-1DC5-43EC-9DEE-73F65AB883A3}"/>
    <cellStyle name="Migliaia 4 4 2 2 5 3 4" xfId="19127" xr:uid="{724A7E2C-4C82-45AD-8DE8-6BE13893F804}"/>
    <cellStyle name="Migliaia 4 4 2 2 5 4" xfId="4614" xr:uid="{D3EE75A6-47B5-406A-A8B7-087DA1EC8B9A}"/>
    <cellStyle name="Migliaia 4 4 2 2 5 4 2" xfId="12099" xr:uid="{F9918BFE-A1D6-4D3E-B502-2FF05602498C}"/>
    <cellStyle name="Migliaia 4 4 2 2 5 4 2 2" xfId="15645" xr:uid="{B318EE1E-E566-4C83-B23D-D4A237AAFA5C}"/>
    <cellStyle name="Migliaia 4 4 2 2 5 4 2 2 2" xfId="30822" xr:uid="{5AEFA970-72C6-4542-9D2F-7BE791B3E75A}"/>
    <cellStyle name="Migliaia 4 4 2 2 5 4 2 3" xfId="27277" xr:uid="{66E91CE5-C1D2-43C2-8B38-F1AE4A9D249C}"/>
    <cellStyle name="Migliaia 4 4 2 2 5 4 3" xfId="7925" xr:uid="{38DE344C-2866-4627-B9A6-3E4959712DF3}"/>
    <cellStyle name="Migliaia 4 4 2 2 5 4 3 2" xfId="23105" xr:uid="{CE524822-59AF-49ED-BB8F-618310C2E984}"/>
    <cellStyle name="Migliaia 4 4 2 2 5 4 4" xfId="19817" xr:uid="{E0315950-BC04-4405-ACB4-FBE1FEAF25A6}"/>
    <cellStyle name="Migliaia 4 4 2 2 5 5" xfId="2144" xr:uid="{A15E124D-48AC-4A7D-B1D8-ED5BD57666A8}"/>
    <cellStyle name="Migliaia 4 4 2 2 5 5 2" xfId="9641" xr:uid="{AC67C00E-89B8-4817-93E0-FCE1E7DB5534}"/>
    <cellStyle name="Migliaia 4 4 2 2 5 5 2 2" xfId="24819" xr:uid="{E1EDB536-D45B-4941-A176-AB81F057C627}"/>
    <cellStyle name="Migliaia 4 4 2 2 5 5 3" xfId="17359" xr:uid="{EF9CBC01-E9B7-4859-A9E7-F572739D1DC6}"/>
    <cellStyle name="Migliaia 4 4 2 2 5 6" xfId="9127" xr:uid="{3CD2C440-E56A-455F-8A6C-53A3FDE1218B}"/>
    <cellStyle name="Migliaia 4 4 2 2 5 6 2" xfId="13300" xr:uid="{9E6F3B26-9C10-48C6-9256-2B03B74930DF}"/>
    <cellStyle name="Migliaia 4 4 2 2 5 6 2 2" xfId="28477" xr:uid="{F44358FF-0F2D-40E2-B710-00E081E3F7DD}"/>
    <cellStyle name="Migliaia 4 4 2 2 5 6 3" xfId="24305" xr:uid="{0144A0ED-24AA-4521-8280-E8A99E54977B}"/>
    <cellStyle name="Migliaia 4 4 2 2 5 7" xfId="5467" xr:uid="{F24013C7-40E9-417A-8D6C-948A86ADEC8A}"/>
    <cellStyle name="Migliaia 4 4 2 2 5 7 2" xfId="20647" xr:uid="{098BDC30-15B3-4F04-A2BE-E76E31EB71F8}"/>
    <cellStyle name="Migliaia 4 4 2 2 5 8" xfId="16845" xr:uid="{83B2BBBF-458D-471E-B1A8-3762D5909082}"/>
    <cellStyle name="Migliaia 4 4 2 2 6" xfId="1713" xr:uid="{60B6B3D9-A503-4B32-9EF3-F41F119D4B89}"/>
    <cellStyle name="Migliaia 4 4 2 2 6 2" xfId="3132" xr:uid="{DE985318-FF2C-4E65-8424-F829F7BF798E}"/>
    <cellStyle name="Migliaia 4 4 2 2 6 2 2" xfId="10623" xr:uid="{AE29BD96-E252-4242-859E-26FB9D75CCF8}"/>
    <cellStyle name="Migliaia 4 4 2 2 6 2 2 2" xfId="14169" xr:uid="{2464E98F-C7F0-4F03-94D7-EA6704724B56}"/>
    <cellStyle name="Migliaia 4 4 2 2 6 2 2 2 2" xfId="29346" xr:uid="{EDF12B56-1BB2-46BA-9872-FD1AA1D64B1F}"/>
    <cellStyle name="Migliaia 4 4 2 2 6 2 2 3" xfId="25801" xr:uid="{20617464-122D-43F8-BCD5-9047F4E53CF0}"/>
    <cellStyle name="Migliaia 4 4 2 2 6 2 3" xfId="6449" xr:uid="{B6FCA453-90EC-451A-AB6E-EA15DF96BBB8}"/>
    <cellStyle name="Migliaia 4 4 2 2 6 2 3 2" xfId="21629" xr:uid="{8C466D1D-192A-4851-A992-3A487BBEC835}"/>
    <cellStyle name="Migliaia 4 4 2 2 6 2 4" xfId="18341" xr:uid="{A911D60F-4ACF-4F83-8517-54D99511E968}"/>
    <cellStyle name="Migliaia 4 4 2 2 6 3" xfId="4019" xr:uid="{07856421-3A56-436E-BE9F-9D437B54F5FB}"/>
    <cellStyle name="Migliaia 4 4 2 2 6 3 2" xfId="11507" xr:uid="{051E4F5B-788D-4766-951F-A9BBE2C705BB}"/>
    <cellStyle name="Migliaia 4 4 2 2 6 3 2 2" xfId="15053" xr:uid="{08AD4CF9-FEAE-400E-BFCE-3E955B5F6B28}"/>
    <cellStyle name="Migliaia 4 4 2 2 6 3 2 2 2" xfId="30230" xr:uid="{AE1CB127-9E89-405B-A705-2E21178C1A5B}"/>
    <cellStyle name="Migliaia 4 4 2 2 6 3 2 3" xfId="26685" xr:uid="{1A2C8562-BCCC-48A2-89BC-75D2D210FBBD}"/>
    <cellStyle name="Migliaia 4 4 2 2 6 3 3" xfId="7333" xr:uid="{0B53D36E-AB24-40A6-AD35-E4E4689DE8B4}"/>
    <cellStyle name="Migliaia 4 4 2 2 6 3 3 2" xfId="22513" xr:uid="{E04ABDB6-42CC-4AFD-B1F2-522D2A82F8A5}"/>
    <cellStyle name="Migliaia 4 4 2 2 6 3 4" xfId="19225" xr:uid="{7B76571B-E3C8-4E65-AFEF-82F87B4C7FAC}"/>
    <cellStyle name="Migliaia 4 4 2 2 6 4" xfId="4615" xr:uid="{76C19048-B163-4BD5-B853-6781F7F3A86A}"/>
    <cellStyle name="Migliaia 4 4 2 2 6 4 2" xfId="12100" xr:uid="{29346D25-4DA6-4B78-8769-97A0D9848118}"/>
    <cellStyle name="Migliaia 4 4 2 2 6 4 2 2" xfId="15646" xr:uid="{8A58EAB8-C2DE-43ED-B2F5-98099960BA26}"/>
    <cellStyle name="Migliaia 4 4 2 2 6 4 2 2 2" xfId="30823" xr:uid="{E6A9C814-1699-4892-B105-3AB7A7BA132B}"/>
    <cellStyle name="Migliaia 4 4 2 2 6 4 2 3" xfId="27278" xr:uid="{FB6A1282-2892-4643-97BC-37F7553AF0AC}"/>
    <cellStyle name="Migliaia 4 4 2 2 6 4 3" xfId="7926" xr:uid="{137FC069-AAC8-454C-A28C-231F1B0E6DB3}"/>
    <cellStyle name="Migliaia 4 4 2 2 6 4 3 2" xfId="23106" xr:uid="{83BAE4C0-4A5E-455D-B20D-F637D0768A59}"/>
    <cellStyle name="Migliaia 4 4 2 2 6 4 4" xfId="19818" xr:uid="{4C6157B6-5604-4353-B9F7-072373283DD7}"/>
    <cellStyle name="Migliaia 4 4 2 2 6 5" xfId="2242" xr:uid="{69DFA3C2-23A2-4B4B-9FFE-A785712F09D0}"/>
    <cellStyle name="Migliaia 4 4 2 2 6 5 2" xfId="9739" xr:uid="{0449CAFF-91A3-408F-9E6C-D338F48DCE48}"/>
    <cellStyle name="Migliaia 4 4 2 2 6 5 2 2" xfId="24917" xr:uid="{9D3793A0-D5DF-4035-BB58-FD2F7C8707A8}"/>
    <cellStyle name="Migliaia 4 4 2 2 6 5 3" xfId="17457" xr:uid="{6E57D045-FFB7-468E-8765-9DCE83FD9905}"/>
    <cellStyle name="Migliaia 4 4 2 2 6 6" xfId="9225" xr:uid="{FBEC542B-0740-4E9D-916F-8EB130309F26}"/>
    <cellStyle name="Migliaia 4 4 2 2 6 6 2" xfId="13398" xr:uid="{1B905330-852C-48FB-A9AE-27C467A3B440}"/>
    <cellStyle name="Migliaia 4 4 2 2 6 6 2 2" xfId="28575" xr:uid="{3DB7CC08-A50E-459A-8CDB-9C42E7F3BC0C}"/>
    <cellStyle name="Migliaia 4 4 2 2 6 6 3" xfId="24403" xr:uid="{66334B55-EE67-494F-98F1-9C3E46DB17E3}"/>
    <cellStyle name="Migliaia 4 4 2 2 6 7" xfId="5565" xr:uid="{EB3EDCF1-935B-4A98-A6DE-EC7D93EF827B}"/>
    <cellStyle name="Migliaia 4 4 2 2 6 7 2" xfId="20745" xr:uid="{7905F48B-4440-4538-A600-E5875DCECEEA}"/>
    <cellStyle name="Migliaia 4 4 2 2 6 8" xfId="16943" xr:uid="{01F2D689-82E2-4FD6-859D-81DD4D3DF19D}"/>
    <cellStyle name="Migliaia 4 4 2 2 7" xfId="2342" xr:uid="{B0646506-F6C7-42FB-BDA1-9267E12DC6BD}"/>
    <cellStyle name="Migliaia 4 4 2 2 7 2" xfId="9837" xr:uid="{9FB1C822-3841-4B7C-A4E2-8D888491FA5C}"/>
    <cellStyle name="Migliaia 4 4 2 2 7 2 2" xfId="13496" xr:uid="{C8D366C4-7DB3-46E2-A06E-4AA0756839A6}"/>
    <cellStyle name="Migliaia 4 4 2 2 7 2 2 2" xfId="28673" xr:uid="{090B75FF-1424-4E8E-82F5-69F447EBE664}"/>
    <cellStyle name="Migliaia 4 4 2 2 7 2 3" xfId="25015" xr:uid="{892EC12A-D85C-4A4D-9E9E-14945254E047}"/>
    <cellStyle name="Migliaia 4 4 2 2 7 3" xfId="5663" xr:uid="{21EDF90A-EFFF-47BF-83B8-635E4D6E2C61}"/>
    <cellStyle name="Migliaia 4 4 2 2 7 3 2" xfId="20843" xr:uid="{585182E5-20A8-40FE-89C8-51D7C33B0800}"/>
    <cellStyle name="Migliaia 4 4 2 2 7 4" xfId="17555" xr:uid="{7A4C7A2E-4D00-4416-9AE8-3A6E1136D677}"/>
    <cellStyle name="Migliaia 4 4 2 2 8" xfId="3232" xr:uid="{D7A34130-56E9-4AEB-B723-221344ED0123}"/>
    <cellStyle name="Migliaia 4 4 2 2 8 2" xfId="10721" xr:uid="{B99FF187-2A8A-4962-A19B-145994B64B31}"/>
    <cellStyle name="Migliaia 4 4 2 2 8 2 2" xfId="14267" xr:uid="{82458112-5B4B-40E3-80F3-90FD8E940988}"/>
    <cellStyle name="Migliaia 4 4 2 2 8 2 2 2" xfId="29444" xr:uid="{9034DC15-4C90-4E59-BB5A-29EF88752D82}"/>
    <cellStyle name="Migliaia 4 4 2 2 8 2 3" xfId="25899" xr:uid="{76529DF2-86CA-438C-A2AA-4DCD6A162E75}"/>
    <cellStyle name="Migliaia 4 4 2 2 8 3" xfId="6547" xr:uid="{3990DA44-D88E-4E04-A2D3-A237A5E0E17B}"/>
    <cellStyle name="Migliaia 4 4 2 2 8 3 2" xfId="21727" xr:uid="{4E0F88C7-DAE6-4FED-8724-72DC263585A2}"/>
    <cellStyle name="Migliaia 4 4 2 2 8 4" xfId="18439" xr:uid="{22461043-1E4D-4FF3-B18A-5A3D6A6BAA9B}"/>
    <cellStyle name="Migliaia 4 4 2 2 9" xfId="4616" xr:uid="{8C9658E6-C6AD-4A10-93F0-6E36BEBAF130}"/>
    <cellStyle name="Migliaia 4 4 2 2 9 2" xfId="12101" xr:uid="{5B2F7E7C-D074-4A92-B8DF-F68026E53A22}"/>
    <cellStyle name="Migliaia 4 4 2 2 9 2 2" xfId="15647" xr:uid="{5E5FC2C3-246C-4569-9E53-B1DB2DA2E3BB}"/>
    <cellStyle name="Migliaia 4 4 2 2 9 2 2 2" xfId="30824" xr:uid="{3438BBAA-B799-47CC-970B-2453FF17D8A3}"/>
    <cellStyle name="Migliaia 4 4 2 2 9 2 3" xfId="27279" xr:uid="{7F516180-AC32-4AE9-AF0C-59D93620D421}"/>
    <cellStyle name="Migliaia 4 4 2 2 9 3" xfId="7927" xr:uid="{5E250D68-4926-429F-B0D4-863E398A1F22}"/>
    <cellStyle name="Migliaia 4 4 2 2 9 3 2" xfId="23107" xr:uid="{93494E05-08DD-4E39-815F-64B31E4AB5C9}"/>
    <cellStyle name="Migliaia 4 4 2 2 9 4" xfId="19819" xr:uid="{3293780C-E0D5-4054-AAE7-5FA45FA627C4}"/>
    <cellStyle name="Migliaia 4 4 2 3" xfId="900" xr:uid="{E898AEDB-C174-4867-A435-CDD58F442F26}"/>
    <cellStyle name="Migliaia 4 4 2 3 2" xfId="2418" xr:uid="{A3629401-5901-4BBA-820A-19FF73A4E985}"/>
    <cellStyle name="Migliaia 4 4 2 3 2 2" xfId="9910" xr:uid="{9EADB958-E605-47C2-A222-4B9797708734}"/>
    <cellStyle name="Migliaia 4 4 2 3 2 2 2" xfId="13569" xr:uid="{912E3D03-146D-43FA-8902-27CF662772F7}"/>
    <cellStyle name="Migliaia 4 4 2 3 2 2 2 2" xfId="28746" xr:uid="{83DD0171-1ECA-40A1-B4E0-E20D57A9448B}"/>
    <cellStyle name="Migliaia 4 4 2 3 2 2 3" xfId="25088" xr:uid="{479093C7-D302-4C80-9F86-4D2D6A020A1D}"/>
    <cellStyle name="Migliaia 4 4 2 3 2 3" xfId="5736" xr:uid="{62C4EFF7-6B93-4899-8460-5B7F25651B90}"/>
    <cellStyle name="Migliaia 4 4 2 3 2 3 2" xfId="20916" xr:uid="{ADFDF9D7-03F7-42AD-8D98-92921BF1F3AE}"/>
    <cellStyle name="Migliaia 4 4 2 3 2 4" xfId="17628" xr:uid="{C4514AE3-727E-4913-A708-919BCEF3318D}"/>
    <cellStyle name="Migliaia 4 4 2 3 3" xfId="3306" xr:uid="{DC59516E-2899-4686-AC4F-12CBB1AD7116}"/>
    <cellStyle name="Migliaia 4 4 2 3 3 2" xfId="10794" xr:uid="{529A5802-FCBD-4428-ACF1-5B27CE45CFA4}"/>
    <cellStyle name="Migliaia 4 4 2 3 3 2 2" xfId="14340" xr:uid="{318097DD-15FA-411F-BD11-D6BB0E1A99D4}"/>
    <cellStyle name="Migliaia 4 4 2 3 3 2 2 2" xfId="29517" xr:uid="{1E3B7E37-D375-4AEF-997E-BC23FE60D35A}"/>
    <cellStyle name="Migliaia 4 4 2 3 3 2 3" xfId="25972" xr:uid="{36821F5F-9C67-4239-A8AC-293EA4D7FB92}"/>
    <cellStyle name="Migliaia 4 4 2 3 3 3" xfId="6620" xr:uid="{9372D6EF-FEB2-438E-840D-8E9955A5680D}"/>
    <cellStyle name="Migliaia 4 4 2 3 3 3 2" xfId="21800" xr:uid="{76AF3D40-997E-45B5-8F82-41752D0F3210}"/>
    <cellStyle name="Migliaia 4 4 2 3 3 4" xfId="18512" xr:uid="{AEE498CD-C58A-43BB-9B0E-356B2CA2E28E}"/>
    <cellStyle name="Migliaia 4 4 2 3 4" xfId="4617" xr:uid="{3E5D99D7-619E-4F2E-BCEE-D8FF5F4A91A0}"/>
    <cellStyle name="Migliaia 4 4 2 3 4 2" xfId="12102" xr:uid="{BF2B9472-4FE5-479E-AD08-0E118F91739E}"/>
    <cellStyle name="Migliaia 4 4 2 3 4 2 2" xfId="15648" xr:uid="{0362DCCF-84CD-4C97-9E94-C04BF0075C6A}"/>
    <cellStyle name="Migliaia 4 4 2 3 4 2 2 2" xfId="30825" xr:uid="{3F919A04-F6F9-4DA7-8DAF-BD3B9CE50D06}"/>
    <cellStyle name="Migliaia 4 4 2 3 4 2 3" xfId="27280" xr:uid="{39FED266-2D62-41E8-9973-25EB675B4A81}"/>
    <cellStyle name="Migliaia 4 4 2 3 4 3" xfId="7928" xr:uid="{FE236754-8895-44E9-A6C3-0BCEBE0FA802}"/>
    <cellStyle name="Migliaia 4 4 2 3 4 3 2" xfId="23108" xr:uid="{974F20BB-0875-45FF-9E2A-52F3DB25FA4C}"/>
    <cellStyle name="Migliaia 4 4 2 3 4 4" xfId="19820" xr:uid="{C1003F82-4A9A-466F-8944-1E617F4966D5}"/>
    <cellStyle name="Migliaia 4 4 2 3 5" xfId="8512" xr:uid="{65EA86B3-17F8-4BB6-842E-B9C4504F060B}"/>
    <cellStyle name="Migliaia 4 4 2 3 5 2" xfId="12685" xr:uid="{F1E613BD-EB7D-4164-82DB-D1082BC2C066}"/>
    <cellStyle name="Migliaia 4 4 2 3 5 2 2" xfId="27862" xr:uid="{3FFAECFC-40B3-4166-B94A-814B9BE89D5A}"/>
    <cellStyle name="Migliaia 4 4 2 3 5 3" xfId="23690" xr:uid="{6C7E62A0-2F30-4355-84F3-FDF03F49B576}"/>
    <cellStyle name="Migliaia 4 4 2 3 6" xfId="16230" xr:uid="{1C1C5D92-A9C2-4E7C-86D9-B0CD93D58501}"/>
    <cellStyle name="Migliaia 4 4 2 3 7" xfId="31670" xr:uid="{FBC69AAD-FB8C-47D7-971E-DC05E6AD14B7}"/>
    <cellStyle name="Migliaia 4 4 2 4" xfId="1003" xr:uid="{C78F70D6-7CAD-4F53-BB0F-3F0F23DD43B1}"/>
    <cellStyle name="Migliaia 4 4 2 4 2" xfId="2516" xr:uid="{CFBD14D2-4C50-4704-94B5-E30D84B1C942}"/>
    <cellStyle name="Migliaia 4 4 2 4 2 2" xfId="10008" xr:uid="{464F1CF1-E272-4EAC-BA9D-87F3489CDB5C}"/>
    <cellStyle name="Migliaia 4 4 2 4 2 2 2" xfId="13667" xr:uid="{C56F5B64-D889-4C20-BA13-1986366C6049}"/>
    <cellStyle name="Migliaia 4 4 2 4 2 2 2 2" xfId="28844" xr:uid="{5462F023-3F94-46A4-9E2F-FA1B81B367A9}"/>
    <cellStyle name="Migliaia 4 4 2 4 2 2 3" xfId="25186" xr:uid="{111EB73D-C5A5-4254-861E-BD441B7CE51A}"/>
    <cellStyle name="Migliaia 4 4 2 4 2 3" xfId="5834" xr:uid="{4B61045F-C0CC-4C95-8330-CEE47FDDC1CC}"/>
    <cellStyle name="Migliaia 4 4 2 4 2 3 2" xfId="21014" xr:uid="{71159531-FB5B-47AF-925B-A0E03530E589}"/>
    <cellStyle name="Migliaia 4 4 2 4 2 4" xfId="17726" xr:uid="{B3439FE1-28E3-4387-8DD9-9D651533BB92}"/>
    <cellStyle name="Migliaia 4 4 2 4 3" xfId="3404" xr:uid="{518A82F4-27FD-406C-B07B-D077FDA2675A}"/>
    <cellStyle name="Migliaia 4 4 2 4 3 2" xfId="10892" xr:uid="{8DDA0AEF-8C0B-49ED-BEDC-01121E7FDE48}"/>
    <cellStyle name="Migliaia 4 4 2 4 3 2 2" xfId="14438" xr:uid="{3C9D156A-0E4D-4F6F-A720-E46351943300}"/>
    <cellStyle name="Migliaia 4 4 2 4 3 2 2 2" xfId="29615" xr:uid="{2C137D1B-8E10-4BB8-814A-CFDDFDAD8BA9}"/>
    <cellStyle name="Migliaia 4 4 2 4 3 2 3" xfId="26070" xr:uid="{68DF3E6E-7665-4FD3-8550-01AF8054FD27}"/>
    <cellStyle name="Migliaia 4 4 2 4 3 3" xfId="6718" xr:uid="{88BA24A6-4962-43EA-A487-52B8911B9D5A}"/>
    <cellStyle name="Migliaia 4 4 2 4 3 3 2" xfId="21898" xr:uid="{69C56C96-FABB-4837-8E11-78E63F3A756F}"/>
    <cellStyle name="Migliaia 4 4 2 4 3 4" xfId="18610" xr:uid="{9B9B8EED-F90C-4F77-A701-9E5AF2AF78E8}"/>
    <cellStyle name="Migliaia 4 4 2 4 4" xfId="4618" xr:uid="{B3D1E4F7-1537-4AA2-AA66-81BB4F621AF1}"/>
    <cellStyle name="Migliaia 4 4 2 4 4 2" xfId="12103" xr:uid="{A258BA16-FF06-4ACF-A18A-7CF6723B1809}"/>
    <cellStyle name="Migliaia 4 4 2 4 4 2 2" xfId="15649" xr:uid="{F0262788-44DA-441E-8839-249DD566D6DE}"/>
    <cellStyle name="Migliaia 4 4 2 4 4 2 2 2" xfId="30826" xr:uid="{1A0B6455-1105-4373-9FDF-ABD6F5B4F4FF}"/>
    <cellStyle name="Migliaia 4 4 2 4 4 2 3" xfId="27281" xr:uid="{B75E2706-5780-459E-BF2D-B4847B601BBC}"/>
    <cellStyle name="Migliaia 4 4 2 4 4 3" xfId="7929" xr:uid="{EAC5C131-F7C8-4E9F-BDDB-DBCE2BFF7AA4}"/>
    <cellStyle name="Migliaia 4 4 2 4 4 3 2" xfId="23109" xr:uid="{CBF3BB16-D532-4BF0-B646-E8C779471A76}"/>
    <cellStyle name="Migliaia 4 4 2 4 4 4" xfId="19821" xr:uid="{D862DCEA-F635-4063-907D-24EDFC55F3B1}"/>
    <cellStyle name="Migliaia 4 4 2 4 5" xfId="8610" xr:uid="{706CFDB0-6A1A-41A5-AA5D-D83C48A5F77B}"/>
    <cellStyle name="Migliaia 4 4 2 4 5 2" xfId="12783" xr:uid="{3DE34C4B-42AB-4989-8744-7C7D29701DBB}"/>
    <cellStyle name="Migliaia 4 4 2 4 5 2 2" xfId="27960" xr:uid="{75C079DB-4F48-43E7-A6E3-AD8629342DEE}"/>
    <cellStyle name="Migliaia 4 4 2 4 5 3" xfId="23788" xr:uid="{85C8CA4F-53E4-434F-B38E-FE4EE7000A39}"/>
    <cellStyle name="Migliaia 4 4 2 4 6" xfId="16328" xr:uid="{25456B9F-E0E5-4E21-8B65-31A87E4E3C00}"/>
    <cellStyle name="Migliaia 4 4 2 4 7" xfId="31548" xr:uid="{1D9DDC2D-EC32-4538-A7B2-D60063FE05E4}"/>
    <cellStyle name="Migliaia 4 4 2 5" xfId="1261" xr:uid="{1A1E9BC6-53D2-45B8-B9A7-6E905C6CB88D}"/>
    <cellStyle name="Migliaia 4 4 2 5 10" xfId="31320" xr:uid="{23F7FB7D-0FD7-4707-86DD-F9CA202D5646}"/>
    <cellStyle name="Migliaia 4 4 2 5 2" xfId="2691" xr:uid="{CCBCD993-0ABB-45EF-BBA3-88EA28669217}"/>
    <cellStyle name="Migliaia 4 4 2 5 2 2" xfId="10182" xr:uid="{AECB56DC-83C1-4884-897B-D0BE65551FA8}"/>
    <cellStyle name="Migliaia 4 4 2 5 2 2 2" xfId="13826" xr:uid="{1464FBA7-79F1-4C87-B29C-502B488E4EC0}"/>
    <cellStyle name="Migliaia 4 4 2 5 2 2 2 2" xfId="29003" xr:uid="{B47023A9-01D8-4D67-871A-9F47664B426A}"/>
    <cellStyle name="Migliaia 4 4 2 5 2 2 3" xfId="25360" xr:uid="{ED45A3F8-CFFB-4228-B1BD-E0E7811A5C08}"/>
    <cellStyle name="Migliaia 4 4 2 5 2 3" xfId="6008" xr:uid="{579533C1-B579-46C0-9180-88FD71C7FB9C}"/>
    <cellStyle name="Migliaia 4 4 2 5 2 3 2" xfId="21188" xr:uid="{B4DDB14A-7FE0-4883-8304-E039A94B1449}"/>
    <cellStyle name="Migliaia 4 4 2 5 2 4" xfId="17900" xr:uid="{FDC17BFB-7FC0-45D1-9C30-94E0F93B9746}"/>
    <cellStyle name="Migliaia 4 4 2 5 3" xfId="3578" xr:uid="{9211821B-9989-4770-AF76-433BCEC266DD}"/>
    <cellStyle name="Migliaia 4 4 2 5 3 2" xfId="11066" xr:uid="{669B675E-3FB6-4176-A837-3C283DA1DFFA}"/>
    <cellStyle name="Migliaia 4 4 2 5 3 2 2" xfId="14612" xr:uid="{A160F703-09CD-4E1D-BA90-A3E8425690F1}"/>
    <cellStyle name="Migliaia 4 4 2 5 3 2 2 2" xfId="29789" xr:uid="{E452771B-C369-4426-B09F-E1132B97BE46}"/>
    <cellStyle name="Migliaia 4 4 2 5 3 2 3" xfId="26244" xr:uid="{FC230DA7-3D1A-4D27-BB4A-983DE3D13861}"/>
    <cellStyle name="Migliaia 4 4 2 5 3 3" xfId="6892" xr:uid="{6C7BA5A6-5A9E-470C-AE22-C508628DBCB2}"/>
    <cellStyle name="Migliaia 4 4 2 5 3 3 2" xfId="22072" xr:uid="{E8B028B3-D9D6-49CF-80C2-29DA4DEC8F9E}"/>
    <cellStyle name="Migliaia 4 4 2 5 3 4" xfId="18784" xr:uid="{CF3197E9-652C-4AEA-A895-049D5806667B}"/>
    <cellStyle name="Migliaia 4 4 2 5 4" xfId="4619" xr:uid="{79E95D58-33C7-43A8-8171-1F0DC2C67141}"/>
    <cellStyle name="Migliaia 4 4 2 5 4 2" xfId="12104" xr:uid="{9A526BAC-094E-4A68-BFD1-B430B9A6B2AE}"/>
    <cellStyle name="Migliaia 4 4 2 5 4 2 2" xfId="15650" xr:uid="{40AE9295-5EAB-4C2A-AC8C-8C6F7A4F9CC6}"/>
    <cellStyle name="Migliaia 4 4 2 5 4 2 2 2" xfId="30827" xr:uid="{6402F6DC-DF24-49BE-AC55-41F5ED357017}"/>
    <cellStyle name="Migliaia 4 4 2 5 4 2 3" xfId="27282" xr:uid="{AEF5DFCC-676A-4746-8E9C-9FF06E18D5C3}"/>
    <cellStyle name="Migliaia 4 4 2 5 4 3" xfId="7930" xr:uid="{A1317051-22A0-48CE-9E15-5C4181D6F6A7}"/>
    <cellStyle name="Migliaia 4 4 2 5 4 3 2" xfId="23110" xr:uid="{FE7BF258-13DF-4E39-8B48-27A7D33D6579}"/>
    <cellStyle name="Migliaia 4 4 2 5 4 4" xfId="19822" xr:uid="{1C3BF69E-5A1E-4D66-A48F-FAC0EB51535E}"/>
    <cellStyle name="Migliaia 4 4 2 5 5" xfId="4980" xr:uid="{4793DECF-D667-44BD-9CE2-DDC33C275816}"/>
    <cellStyle name="Migliaia 4 4 2 5 5 2" xfId="12464" xr:uid="{295AE067-4FE1-45E8-97F3-E4777D616473}"/>
    <cellStyle name="Migliaia 4 4 2 5 5 2 2" xfId="16010" xr:uid="{98402B90-8B3B-456F-A5A6-08FF5329B313}"/>
    <cellStyle name="Migliaia 4 4 2 5 5 2 2 2" xfId="31187" xr:uid="{AF387AB2-BEE5-4CCD-BDAE-792AADD7967C}"/>
    <cellStyle name="Migliaia 4 4 2 5 5 2 3" xfId="27642" xr:uid="{708DDE25-9239-4F8D-A8D7-0E1CAFF3C897}"/>
    <cellStyle name="Migliaia 4 4 2 5 5 3" xfId="8290" xr:uid="{E15B6087-1AD5-45FF-97D1-03CC3A712177}"/>
    <cellStyle name="Migliaia 4 4 2 5 5 3 2" xfId="23470" xr:uid="{6F5C4F64-2047-445B-A0AB-D5CE2A1F4EC4}"/>
    <cellStyle name="Migliaia 4 4 2 5 5 4" xfId="20182" xr:uid="{7C63F9E8-1027-4A07-B1ED-CD82AD561BFD}"/>
    <cellStyle name="Migliaia 4 4 2 5 6" xfId="1801" xr:uid="{07704773-E5F3-497F-81B9-7B4BDA8A3779}"/>
    <cellStyle name="Migliaia 4 4 2 5 6 2" xfId="9298" xr:uid="{191135DD-ED2C-48EC-A91E-9286E2E06E24}"/>
    <cellStyle name="Migliaia 4 4 2 5 6 2 2" xfId="24476" xr:uid="{3B0AD454-A43B-4AB2-9685-FA18F1AC3958}"/>
    <cellStyle name="Migliaia 4 4 2 5 6 3" xfId="17016" xr:uid="{5CF0F63E-9568-427C-8954-3019D7996E60}"/>
    <cellStyle name="Migliaia 4 4 2 5 7" xfId="8784" xr:uid="{4E2BC027-8350-47B1-A599-1D50D116FAD3}"/>
    <cellStyle name="Migliaia 4 4 2 5 7 2" xfId="12957" xr:uid="{02C21E55-49B8-48C9-ABDD-5744721AFF9A}"/>
    <cellStyle name="Migliaia 4 4 2 5 7 2 2" xfId="28134" xr:uid="{18FE3A25-1B1C-4209-A620-1E3FB14A3B9A}"/>
    <cellStyle name="Migliaia 4 4 2 5 7 3" xfId="23962" xr:uid="{7DE91C12-804A-4C4E-B2B9-9077B93643D7}"/>
    <cellStyle name="Migliaia 4 4 2 5 8" xfId="5124" xr:uid="{284D024D-70B6-45D7-8907-8F8A68331836}"/>
    <cellStyle name="Migliaia 4 4 2 5 8 2" xfId="20304" xr:uid="{46D35BDE-2EAA-4502-B7F1-5FD09882B731}"/>
    <cellStyle name="Migliaia 4 4 2 5 9" xfId="16502" xr:uid="{B739D71B-67B8-4542-921E-6F567DC5C7A2}"/>
    <cellStyle name="Migliaia 4 4 2 6" xfId="1363" xr:uid="{291FB7A3-70E3-484F-97E2-32936DC7421E}"/>
    <cellStyle name="Migliaia 4 4 2 6 2" xfId="2789" xr:uid="{A1298633-42A9-44E6-82E5-C578BC8F2231}"/>
    <cellStyle name="Migliaia 4 4 2 6 2 2" xfId="10280" xr:uid="{9FF70D3C-735E-4382-BE3F-37911F0B0555}"/>
    <cellStyle name="Migliaia 4 4 2 6 2 2 2" xfId="13875" xr:uid="{473C3A5D-6E2B-4399-8380-4C967DDE8C05}"/>
    <cellStyle name="Migliaia 4 4 2 6 2 2 2 2" xfId="29052" xr:uid="{E04B8CA5-69BD-4810-9B77-6554915194F2}"/>
    <cellStyle name="Migliaia 4 4 2 6 2 2 3" xfId="25458" xr:uid="{454668A7-EF25-4357-B7AB-504501F6123D}"/>
    <cellStyle name="Migliaia 4 4 2 6 2 3" xfId="6106" xr:uid="{E93A258D-A1C0-4359-91CE-FF6D3A6B500F}"/>
    <cellStyle name="Migliaia 4 4 2 6 2 3 2" xfId="21286" xr:uid="{810BF1E7-60A4-435A-90FA-C6AC6528B18D}"/>
    <cellStyle name="Migliaia 4 4 2 6 2 4" xfId="17998" xr:uid="{DB751013-3E18-41CA-9D48-5BC3BE292243}"/>
    <cellStyle name="Migliaia 4 4 2 6 3" xfId="3676" xr:uid="{FA734B29-6C38-462C-87EB-B8EEBEF01A54}"/>
    <cellStyle name="Migliaia 4 4 2 6 3 2" xfId="11164" xr:uid="{E2AC4978-0596-4E6C-9ED8-AAFA8D40824C}"/>
    <cellStyle name="Migliaia 4 4 2 6 3 2 2" xfId="14710" xr:uid="{2BFC5EA6-9001-42A6-93AE-56463ED513CD}"/>
    <cellStyle name="Migliaia 4 4 2 6 3 2 2 2" xfId="29887" xr:uid="{A0A6B944-AB2E-475F-B2B4-890981C7A260}"/>
    <cellStyle name="Migliaia 4 4 2 6 3 2 3" xfId="26342" xr:uid="{43C31ED7-87A4-4E4A-9BEF-E498A72C4621}"/>
    <cellStyle name="Migliaia 4 4 2 6 3 3" xfId="6990" xr:uid="{0E12A17C-9083-4F00-8E91-CE4CDE219275}"/>
    <cellStyle name="Migliaia 4 4 2 6 3 3 2" xfId="22170" xr:uid="{7AFEF44E-1296-46FA-B7FB-0A47733D6361}"/>
    <cellStyle name="Migliaia 4 4 2 6 3 4" xfId="18882" xr:uid="{37A4D11F-4F1A-4240-8C90-493AE83F5061}"/>
    <cellStyle name="Migliaia 4 4 2 6 4" xfId="4620" xr:uid="{F0665AE4-BD91-4AB1-BB40-908996C610D2}"/>
    <cellStyle name="Migliaia 4 4 2 6 4 2" xfId="12105" xr:uid="{E11C8BDC-73F0-4D18-A26F-3CE366070119}"/>
    <cellStyle name="Migliaia 4 4 2 6 4 2 2" xfId="15651" xr:uid="{B28FF62C-A8D6-4F87-A453-4807A6203C36}"/>
    <cellStyle name="Migliaia 4 4 2 6 4 2 2 2" xfId="30828" xr:uid="{B37F43D5-FE87-44D3-A1B3-59B9919E2CA3}"/>
    <cellStyle name="Migliaia 4 4 2 6 4 2 3" xfId="27283" xr:uid="{5681183A-813C-4822-B2A4-C7F3A7255E0C}"/>
    <cellStyle name="Migliaia 4 4 2 6 4 3" xfId="7931" xr:uid="{8BEA59A3-6AE3-4D8A-9A26-BC220366BE16}"/>
    <cellStyle name="Migliaia 4 4 2 6 4 3 2" xfId="23111" xr:uid="{F9EA4B9C-EF6C-4414-9E67-61AFCCF905C9}"/>
    <cellStyle name="Migliaia 4 4 2 6 4 4" xfId="19823" xr:uid="{574F2B54-9D46-4FA0-93FD-5DB9E2123F55}"/>
    <cellStyle name="Migliaia 4 4 2 6 5" xfId="1899" xr:uid="{8CB32932-5707-45A2-80B1-E86C78D25B61}"/>
    <cellStyle name="Migliaia 4 4 2 6 5 2" xfId="9396" xr:uid="{F09FF1EA-43A9-4B9B-8DE7-B56DCEA3DD15}"/>
    <cellStyle name="Migliaia 4 4 2 6 5 2 2" xfId="24574" xr:uid="{CA5762E0-BD7A-4055-935F-31C54F5EEECE}"/>
    <cellStyle name="Migliaia 4 4 2 6 5 3" xfId="17114" xr:uid="{EEA7C72E-9041-4A4E-A17B-F461724E4D9C}"/>
    <cellStyle name="Migliaia 4 4 2 6 6" xfId="8882" xr:uid="{B38E26B6-47B3-4B27-83D0-EBD37685A46A}"/>
    <cellStyle name="Migliaia 4 4 2 6 6 2" xfId="13055" xr:uid="{9A403B1A-6B32-4DD5-97DD-272CE9489EFF}"/>
    <cellStyle name="Migliaia 4 4 2 6 6 2 2" xfId="28232" xr:uid="{8842C9E8-1EEB-4430-9AEF-EE4E30140C04}"/>
    <cellStyle name="Migliaia 4 4 2 6 6 3" xfId="24060" xr:uid="{18799CAB-51AF-4622-87B8-CCC40BFC4C64}"/>
    <cellStyle name="Migliaia 4 4 2 6 7" xfId="5222" xr:uid="{208A61E1-8838-4B5C-B898-DE7C90FCE252}"/>
    <cellStyle name="Migliaia 4 4 2 6 7 2" xfId="20402" xr:uid="{F79B9D25-0271-495E-B95A-9D5352680E83}"/>
    <cellStyle name="Migliaia 4 4 2 6 8" xfId="16600" xr:uid="{7AC3D279-784C-4576-BA18-D3B3316F8366}"/>
    <cellStyle name="Migliaia 4 4 2 7" xfId="1462" xr:uid="{1EEFB9D3-E91B-4352-B053-13289F1117B3}"/>
    <cellStyle name="Migliaia 4 4 2 7 2" xfId="2887" xr:uid="{738DBE41-D86E-4BA5-A8A9-D3E2D0D8F191}"/>
    <cellStyle name="Migliaia 4 4 2 7 2 2" xfId="10378" xr:uid="{8AD92617-BD27-406D-B7E8-A3B253315904}"/>
    <cellStyle name="Migliaia 4 4 2 7 2 2 2" xfId="13924" xr:uid="{59D1076F-1DCA-4CC6-B499-C90661C22E2B}"/>
    <cellStyle name="Migliaia 4 4 2 7 2 2 2 2" xfId="29101" xr:uid="{4BDA8D46-B655-4877-98A9-227E12CB5623}"/>
    <cellStyle name="Migliaia 4 4 2 7 2 2 3" xfId="25556" xr:uid="{9DD7DEF6-E24C-4569-9302-684C6C649FF8}"/>
    <cellStyle name="Migliaia 4 4 2 7 2 3" xfId="6204" xr:uid="{4452E031-E576-4CE9-AC70-CA07AE204283}"/>
    <cellStyle name="Migliaia 4 4 2 7 2 3 2" xfId="21384" xr:uid="{8D486FB2-C501-481C-B013-E094E4A5F392}"/>
    <cellStyle name="Migliaia 4 4 2 7 2 4" xfId="18096" xr:uid="{ED4D077D-9379-4BFB-B8B1-59F39CD60A45}"/>
    <cellStyle name="Migliaia 4 4 2 7 3" xfId="3774" xr:uid="{AFC09784-7663-4888-88DA-95BB15C4204C}"/>
    <cellStyle name="Migliaia 4 4 2 7 3 2" xfId="11262" xr:uid="{15ADDF14-6B56-414C-B30A-A25C7C0B0BE1}"/>
    <cellStyle name="Migliaia 4 4 2 7 3 2 2" xfId="14808" xr:uid="{8C1C1609-55DD-42B4-9E68-D95F7E3B6BE5}"/>
    <cellStyle name="Migliaia 4 4 2 7 3 2 2 2" xfId="29985" xr:uid="{2BC4506B-9EF5-4FE7-9BC0-154E8BAAF22F}"/>
    <cellStyle name="Migliaia 4 4 2 7 3 2 3" xfId="26440" xr:uid="{CEFE2503-70E0-4F1B-86DE-6ABEC27CDBB9}"/>
    <cellStyle name="Migliaia 4 4 2 7 3 3" xfId="7088" xr:uid="{F027A149-4E12-4A43-9C92-6B87D4ABEE24}"/>
    <cellStyle name="Migliaia 4 4 2 7 3 3 2" xfId="22268" xr:uid="{5366EB8F-80FD-445B-90BF-7782B0FD45E1}"/>
    <cellStyle name="Migliaia 4 4 2 7 3 4" xfId="18980" xr:uid="{82B0525D-08B2-41B0-A1AF-D138AE7F9F50}"/>
    <cellStyle name="Migliaia 4 4 2 7 4" xfId="4621" xr:uid="{2D4C2965-01EC-4127-A1A7-695590CBEA37}"/>
    <cellStyle name="Migliaia 4 4 2 7 4 2" xfId="12106" xr:uid="{1D7E226F-9A08-4131-8E47-D14621DD11A6}"/>
    <cellStyle name="Migliaia 4 4 2 7 4 2 2" xfId="15652" xr:uid="{123306E5-BC7C-4F45-95C5-2DB957C774A2}"/>
    <cellStyle name="Migliaia 4 4 2 7 4 2 2 2" xfId="30829" xr:uid="{17A60237-4C0D-424B-9554-CA3D7387BC3F}"/>
    <cellStyle name="Migliaia 4 4 2 7 4 2 3" xfId="27284" xr:uid="{757A592C-782B-434B-8F2E-7666BF05CB7D}"/>
    <cellStyle name="Migliaia 4 4 2 7 4 3" xfId="7932" xr:uid="{6AF3CC9C-C65C-4DE8-81CE-DAB2FAF2ABE2}"/>
    <cellStyle name="Migliaia 4 4 2 7 4 3 2" xfId="23112" xr:uid="{875F7B59-67EB-4208-B3F9-4D5F8A7FE87A}"/>
    <cellStyle name="Migliaia 4 4 2 7 4 4" xfId="19824" xr:uid="{F16A88F4-42BB-4540-B6FA-645025C8760E}"/>
    <cellStyle name="Migliaia 4 4 2 7 5" xfId="1997" xr:uid="{42CE58BF-A6C5-42DD-98B1-3B7CF0BE3431}"/>
    <cellStyle name="Migliaia 4 4 2 7 5 2" xfId="9494" xr:uid="{32712424-DD75-4D22-BA93-A3AE0EA69092}"/>
    <cellStyle name="Migliaia 4 4 2 7 5 2 2" xfId="24672" xr:uid="{74C3C735-7FE8-45F1-9661-58030E7F4544}"/>
    <cellStyle name="Migliaia 4 4 2 7 5 3" xfId="17212" xr:uid="{2C664B81-F5D5-4009-9371-E3AAC7689720}"/>
    <cellStyle name="Migliaia 4 4 2 7 6" xfId="8980" xr:uid="{EDEAF28F-D809-4F11-8398-04E60E8085D8}"/>
    <cellStyle name="Migliaia 4 4 2 7 6 2" xfId="13153" xr:uid="{48446FBC-0D37-4E54-8B7C-3F7890F80CA5}"/>
    <cellStyle name="Migliaia 4 4 2 7 6 2 2" xfId="28330" xr:uid="{33688BCB-BBC3-4192-93F8-B4DF16B8B442}"/>
    <cellStyle name="Migliaia 4 4 2 7 6 3" xfId="24158" xr:uid="{81A014EF-EE51-4B6D-9034-DC916029E870}"/>
    <cellStyle name="Migliaia 4 4 2 7 7" xfId="5320" xr:uid="{693CF5DA-8531-4ECB-B050-A7EFCE550632}"/>
    <cellStyle name="Migliaia 4 4 2 7 7 2" xfId="20500" xr:uid="{4C74F0EA-0750-407B-B710-7B13BC1D01B6}"/>
    <cellStyle name="Migliaia 4 4 2 7 8" xfId="16698" xr:uid="{F7EDF893-4FEB-4902-8B65-8F55FC08E44C}"/>
    <cellStyle name="Migliaia 4 4 2 8" xfId="1565" xr:uid="{AC76B6A3-DEA6-4E2C-98A0-C4CF208CF67D}"/>
    <cellStyle name="Migliaia 4 4 2 8 2" xfId="2985" xr:uid="{BD2630A4-2840-4118-A8B6-F891153FFBA6}"/>
    <cellStyle name="Migliaia 4 4 2 8 2 2" xfId="10476" xr:uid="{07663728-6147-40B0-B5AD-6B15EC3436FB}"/>
    <cellStyle name="Migliaia 4 4 2 8 2 2 2" xfId="14022" xr:uid="{A032D161-8D73-4946-9410-F1F5F1A4DCB5}"/>
    <cellStyle name="Migliaia 4 4 2 8 2 2 2 2" xfId="29199" xr:uid="{CEB07860-3A2E-4888-8F26-942C795CAF64}"/>
    <cellStyle name="Migliaia 4 4 2 8 2 2 3" xfId="25654" xr:uid="{85FE8E9E-B9BE-4CCA-B86B-5F07FE559211}"/>
    <cellStyle name="Migliaia 4 4 2 8 2 3" xfId="6302" xr:uid="{A43BB7F0-E52A-4DA6-89DC-95A86204D58B}"/>
    <cellStyle name="Migliaia 4 4 2 8 2 3 2" xfId="21482" xr:uid="{9EACD90A-3DB5-42C0-AD21-6BD86517F522}"/>
    <cellStyle name="Migliaia 4 4 2 8 2 4" xfId="18194" xr:uid="{60F9B5E0-E7FD-44CB-8D93-408EA3C19BF1}"/>
    <cellStyle name="Migliaia 4 4 2 8 3" xfId="3872" xr:uid="{93CA4772-54AA-4B12-A5AA-9F5E90F666A2}"/>
    <cellStyle name="Migliaia 4 4 2 8 3 2" xfId="11360" xr:uid="{08B31E5F-9921-4B15-AE3E-5C8D57B1A360}"/>
    <cellStyle name="Migliaia 4 4 2 8 3 2 2" xfId="14906" xr:uid="{5B55A0C8-1B7C-4CFB-A6C9-A26C04B66646}"/>
    <cellStyle name="Migliaia 4 4 2 8 3 2 2 2" xfId="30083" xr:uid="{CF80C670-9339-4229-BC39-4A1F1C1C9C58}"/>
    <cellStyle name="Migliaia 4 4 2 8 3 2 3" xfId="26538" xr:uid="{0BFCA71F-C377-4DD7-8E7B-1FE353AB50FD}"/>
    <cellStyle name="Migliaia 4 4 2 8 3 3" xfId="7186" xr:uid="{5FA55A3B-7D87-497C-96E0-8708CC5A1384}"/>
    <cellStyle name="Migliaia 4 4 2 8 3 3 2" xfId="22366" xr:uid="{A989AE36-3D49-4F57-872D-A7D49D1823B5}"/>
    <cellStyle name="Migliaia 4 4 2 8 3 4" xfId="19078" xr:uid="{92BED884-DE2F-4A3A-BCDC-349655EDCDEC}"/>
    <cellStyle name="Migliaia 4 4 2 8 4" xfId="4622" xr:uid="{F38643B6-ECDC-43BB-891C-2CF299B196F7}"/>
    <cellStyle name="Migliaia 4 4 2 8 4 2" xfId="12107" xr:uid="{6CA8E5FD-2E42-4F00-98CC-01699C3B1F38}"/>
    <cellStyle name="Migliaia 4 4 2 8 4 2 2" xfId="15653" xr:uid="{192FC664-F6B5-497F-9B27-47232E0B3523}"/>
    <cellStyle name="Migliaia 4 4 2 8 4 2 2 2" xfId="30830" xr:uid="{389A4ABE-7B77-4DDF-8941-E1BB602E02E8}"/>
    <cellStyle name="Migliaia 4 4 2 8 4 2 3" xfId="27285" xr:uid="{9A5F2AD6-F0C7-4DAC-A5BA-8C81EB977368}"/>
    <cellStyle name="Migliaia 4 4 2 8 4 3" xfId="7933" xr:uid="{F48F6871-7111-4D1D-88A5-98EE97933FBD}"/>
    <cellStyle name="Migliaia 4 4 2 8 4 3 2" xfId="23113" xr:uid="{2574D1D2-513F-4779-A1CD-31674B31D155}"/>
    <cellStyle name="Migliaia 4 4 2 8 4 4" xfId="19825" xr:uid="{F98CD2F6-C887-4025-8A88-AD3AE626D407}"/>
    <cellStyle name="Migliaia 4 4 2 8 5" xfId="2095" xr:uid="{0FDCD1E3-75AD-4991-8753-CA3B6BA8F6B8}"/>
    <cellStyle name="Migliaia 4 4 2 8 5 2" xfId="9592" xr:uid="{9C21C59C-E8BA-41A2-89D4-D85241A4E04F}"/>
    <cellStyle name="Migliaia 4 4 2 8 5 2 2" xfId="24770" xr:uid="{FDFEAD9E-FC1E-479C-9FBF-C22DA39535F2}"/>
    <cellStyle name="Migliaia 4 4 2 8 5 3" xfId="17310" xr:uid="{7B78FAB9-A3DE-44CF-8041-AE1E3937860D}"/>
    <cellStyle name="Migliaia 4 4 2 8 6" xfId="9078" xr:uid="{082739E2-CC97-44AA-990A-B554BE2FB5C7}"/>
    <cellStyle name="Migliaia 4 4 2 8 6 2" xfId="13251" xr:uid="{0B50BDA9-BCCA-403F-98AB-8263BF6BBE30}"/>
    <cellStyle name="Migliaia 4 4 2 8 6 2 2" xfId="28428" xr:uid="{3399C73A-A0BF-4A22-B5A4-368496D603D0}"/>
    <cellStyle name="Migliaia 4 4 2 8 6 3" xfId="24256" xr:uid="{8EDBA79B-9A85-40DF-887C-76918021FD02}"/>
    <cellStyle name="Migliaia 4 4 2 8 7" xfId="5418" xr:uid="{B3497A91-3156-49C9-BDE7-9BDFCF789667}"/>
    <cellStyle name="Migliaia 4 4 2 8 7 2" xfId="20598" xr:uid="{70432146-432D-4034-BFAC-0DC9CD73794D}"/>
    <cellStyle name="Migliaia 4 4 2 8 8" xfId="16796" xr:uid="{DB7F1D2C-D9EB-4D7A-B215-22B2ABE1272B}"/>
    <cellStyle name="Migliaia 4 4 2 9" xfId="1664" xr:uid="{157759B5-BD68-4EA5-BA5D-E778A5F76AD2}"/>
    <cellStyle name="Migliaia 4 4 2 9 2" xfId="3083" xr:uid="{F5EAF0AE-8363-470C-83B1-E4E90851185F}"/>
    <cellStyle name="Migliaia 4 4 2 9 2 2" xfId="10574" xr:uid="{FDA885B3-666C-4EB1-A279-AF7696880690}"/>
    <cellStyle name="Migliaia 4 4 2 9 2 2 2" xfId="14120" xr:uid="{9D7507E5-D4F6-48E9-B9E5-162AE2F22968}"/>
    <cellStyle name="Migliaia 4 4 2 9 2 2 2 2" xfId="29297" xr:uid="{EFCFCBED-8F5F-41C7-A2F3-6B054A195ED6}"/>
    <cellStyle name="Migliaia 4 4 2 9 2 2 3" xfId="25752" xr:uid="{70708C90-335C-487A-AA98-8696447D7145}"/>
    <cellStyle name="Migliaia 4 4 2 9 2 3" xfId="6400" xr:uid="{287CFED7-3520-4162-A282-B4A632C5730C}"/>
    <cellStyle name="Migliaia 4 4 2 9 2 3 2" xfId="21580" xr:uid="{DAFE1105-7C8D-4D49-8C44-0A6048E085F4}"/>
    <cellStyle name="Migliaia 4 4 2 9 2 4" xfId="18292" xr:uid="{2D978D7D-9EAC-4A36-83C5-985FDE88ADC1}"/>
    <cellStyle name="Migliaia 4 4 2 9 3" xfId="3970" xr:uid="{B5AD482C-AB4B-4765-B909-6AC136FAB0FB}"/>
    <cellStyle name="Migliaia 4 4 2 9 3 2" xfId="11458" xr:uid="{2A654FCE-20FD-47A4-82D1-097A9696EA6E}"/>
    <cellStyle name="Migliaia 4 4 2 9 3 2 2" xfId="15004" xr:uid="{D32C2F6F-C57D-4C68-8763-592A9660AFBF}"/>
    <cellStyle name="Migliaia 4 4 2 9 3 2 2 2" xfId="30181" xr:uid="{84937EC2-1CE4-46F7-9DDD-5E4FC234CA47}"/>
    <cellStyle name="Migliaia 4 4 2 9 3 2 3" xfId="26636" xr:uid="{5E4EDF6E-D1F8-4CD3-8476-09E6FD92F3F5}"/>
    <cellStyle name="Migliaia 4 4 2 9 3 3" xfId="7284" xr:uid="{DDDB7296-6A7D-48C1-A3A7-205A0958C135}"/>
    <cellStyle name="Migliaia 4 4 2 9 3 3 2" xfId="22464" xr:uid="{44BB0C17-743C-4611-9500-AFA4016F811C}"/>
    <cellStyle name="Migliaia 4 4 2 9 3 4" xfId="19176" xr:uid="{97792A73-895B-4A7F-940D-E298EFA8C1D2}"/>
    <cellStyle name="Migliaia 4 4 2 9 4" xfId="4623" xr:uid="{2B1730EC-DE74-4251-862C-66FCB1C518A0}"/>
    <cellStyle name="Migliaia 4 4 2 9 4 2" xfId="12108" xr:uid="{D1CB4577-DBA6-4D99-BCA1-F5A2ED64D960}"/>
    <cellStyle name="Migliaia 4 4 2 9 4 2 2" xfId="15654" xr:uid="{E2CD0DBF-EFB7-4134-98C5-DBD1CBE7D57D}"/>
    <cellStyle name="Migliaia 4 4 2 9 4 2 2 2" xfId="30831" xr:uid="{836C0476-1436-4D5B-AF60-DA532C3451D8}"/>
    <cellStyle name="Migliaia 4 4 2 9 4 2 3" xfId="27286" xr:uid="{3D261326-79F4-4CDC-B702-E86F1EAE23A2}"/>
    <cellStyle name="Migliaia 4 4 2 9 4 3" xfId="7934" xr:uid="{14B7DF07-0B4E-459E-A825-FF46E606DDA7}"/>
    <cellStyle name="Migliaia 4 4 2 9 4 3 2" xfId="23114" xr:uid="{96A5804D-4252-40E0-866B-44912B86DD1E}"/>
    <cellStyle name="Migliaia 4 4 2 9 4 4" xfId="19826" xr:uid="{14DCDE2B-8B14-40E5-9EF6-AD06FC683155}"/>
    <cellStyle name="Migliaia 4 4 2 9 5" xfId="2193" xr:uid="{1C27BDF3-B11A-439E-9C91-1572F3897C71}"/>
    <cellStyle name="Migliaia 4 4 2 9 5 2" xfId="9690" xr:uid="{B7027CC8-B7E3-4A75-BCBA-2A9F8325DDB4}"/>
    <cellStyle name="Migliaia 4 4 2 9 5 2 2" xfId="24868" xr:uid="{D64B647E-0DD7-4C2D-AA60-83F6FC23395B}"/>
    <cellStyle name="Migliaia 4 4 2 9 5 3" xfId="17408" xr:uid="{0FD4D3B2-5BCD-4162-B1F9-04531E0D0BC3}"/>
    <cellStyle name="Migliaia 4 4 2 9 6" xfId="9176" xr:uid="{C6CF6474-9DB4-458F-9638-868656EE4B15}"/>
    <cellStyle name="Migliaia 4 4 2 9 6 2" xfId="13349" xr:uid="{AF4697B0-6DA3-4573-A9ED-9D36C5B37559}"/>
    <cellStyle name="Migliaia 4 4 2 9 6 2 2" xfId="28526" xr:uid="{E5709208-422F-4AE2-9D05-064C81C7F37F}"/>
    <cellStyle name="Migliaia 4 4 2 9 6 3" xfId="24354" xr:uid="{4ED66E9B-81F6-49DB-A0DA-2EDFE9F5D163}"/>
    <cellStyle name="Migliaia 4 4 2 9 7" xfId="5516" xr:uid="{187D1F40-A938-48F6-BCA8-BB4BEBFBC7CE}"/>
    <cellStyle name="Migliaia 4 4 2 9 7 2" xfId="20696" xr:uid="{81E5D54E-CE4D-42B8-98A6-7120E71632D2}"/>
    <cellStyle name="Migliaia 4 4 2 9 8" xfId="16894" xr:uid="{1236D134-3C60-466C-9BFC-B1A852504349}"/>
    <cellStyle name="Migliaia 4 4 3" xfId="747" xr:uid="{52C72047-9482-4BD4-9592-35153F9300DD}"/>
    <cellStyle name="Migliaia 4 4 3 10" xfId="8413" xr:uid="{D07F32A9-EFC3-4CEA-8712-01ECBB70F85D}"/>
    <cellStyle name="Migliaia 4 4 3 10 2" xfId="12587" xr:uid="{EDD4C4D6-C0C8-4ED0-9E4E-744072FAB124}"/>
    <cellStyle name="Migliaia 4 4 3 10 2 2" xfId="27764" xr:uid="{EAADB3EE-819E-4FC0-9694-3632E9331BC5}"/>
    <cellStyle name="Migliaia 4 4 3 10 3" xfId="23592" xr:uid="{719B66EC-0F09-4BD1-902D-09B2611F6139}"/>
    <cellStyle name="Migliaia 4 4 3 11" xfId="16132" xr:uid="{FA5AB1C5-B564-491E-87B0-6E2C0048E9E7}"/>
    <cellStyle name="Migliaia 4 4 3 12" xfId="31474" xr:uid="{235DEF45-432A-4BE3-B57E-90F878F83964}"/>
    <cellStyle name="Migliaia 4 4 3 2" xfId="924" xr:uid="{5982EB80-6D95-46E6-B161-BD4DF859EEF8}"/>
    <cellStyle name="Migliaia 4 4 3 2 10" xfId="16254" xr:uid="{0099137F-34A5-410B-915E-6FBAADB305D2}"/>
    <cellStyle name="Migliaia 4 4 3 2 11" xfId="31344" xr:uid="{3EA2CCC1-2720-4FC2-AFF0-2BA20212495C}"/>
    <cellStyle name="Migliaia 4 4 3 2 12" xfId="31694" xr:uid="{1FA34BBB-40C9-47C8-BC94-6D0F4ABF35F5}"/>
    <cellStyle name="Migliaia 4 4 3 2 2" xfId="1285" xr:uid="{8A8ED466-CA48-4A21-804B-0FC09F2B344E}"/>
    <cellStyle name="Migliaia 4 4 3 2 2 2" xfId="3602" xr:uid="{0172090D-BCB3-46E8-8FB2-519387F17E9A}"/>
    <cellStyle name="Migliaia 4 4 3 2 2 2 2" xfId="11090" xr:uid="{B3B68857-D904-49C6-B562-B1D45BF32A35}"/>
    <cellStyle name="Migliaia 4 4 3 2 2 2 2 2" xfId="14636" xr:uid="{B4269D3A-C140-471C-97D3-94CCBE90B153}"/>
    <cellStyle name="Migliaia 4 4 3 2 2 2 2 2 2" xfId="29813" xr:uid="{F94E3B06-E98D-464C-88E8-69EFD5E60B0E}"/>
    <cellStyle name="Migliaia 4 4 3 2 2 2 2 3" xfId="26268" xr:uid="{764AAE66-BF52-43E0-BDA8-F9B824037205}"/>
    <cellStyle name="Migliaia 4 4 3 2 2 2 3" xfId="6916" xr:uid="{E2EB3EE0-6ACB-4414-A6FB-BD37B204EC97}"/>
    <cellStyle name="Migliaia 4 4 3 2 2 2 3 2" xfId="22096" xr:uid="{1CE70BC3-1CE8-4272-A3AE-57EA97801C32}"/>
    <cellStyle name="Migliaia 4 4 3 2 2 2 4" xfId="18808" xr:uid="{C4B952B6-C2D2-495B-A155-D8729C8A5299}"/>
    <cellStyle name="Migliaia 4 4 3 2 2 3" xfId="4624" xr:uid="{1D757880-CEAD-461E-9F36-B4DE5DF5E1DD}"/>
    <cellStyle name="Migliaia 4 4 3 2 2 3 2" xfId="12109" xr:uid="{16089E33-25D7-484A-918E-424E31C81C15}"/>
    <cellStyle name="Migliaia 4 4 3 2 2 3 2 2" xfId="15655" xr:uid="{171EDB0C-E0E4-4692-8FB9-E8BA47A9B871}"/>
    <cellStyle name="Migliaia 4 4 3 2 2 3 2 2 2" xfId="30832" xr:uid="{FF110B9C-0222-4F36-AD75-C90F9BF1792A}"/>
    <cellStyle name="Migliaia 4 4 3 2 2 3 2 3" xfId="27287" xr:uid="{4975EBCE-86AE-4F70-866A-BCD5F67E5E5E}"/>
    <cellStyle name="Migliaia 4 4 3 2 2 3 3" xfId="7935" xr:uid="{8AC0AE51-70E8-4190-B5F4-89831E14507E}"/>
    <cellStyle name="Migliaia 4 4 3 2 2 3 3 2" xfId="23115" xr:uid="{3E5A04EE-A8DB-4DC5-ADC8-FD188A107E99}"/>
    <cellStyle name="Migliaia 4 4 3 2 2 3 4" xfId="19827" xr:uid="{C4DFBA30-ED26-41CB-B489-15D3F88BECB3}"/>
    <cellStyle name="Migliaia 4 4 3 2 2 4" xfId="2715" xr:uid="{CA4A9A9F-9CDE-4E8A-A61E-D0D8ED026B3D}"/>
    <cellStyle name="Migliaia 4 4 3 2 2 4 2" xfId="10206" xr:uid="{BF26EB7A-BBD0-427E-BAA2-9936C739D56A}"/>
    <cellStyle name="Migliaia 4 4 3 2 2 4 2 2" xfId="25384" xr:uid="{8F92497D-28D2-4C7E-9EF6-8CC3A749BB58}"/>
    <cellStyle name="Migliaia 4 4 3 2 2 4 3" xfId="17924" xr:uid="{111814C8-DFF3-4770-8C87-649F5F1BD4A3}"/>
    <cellStyle name="Migliaia 4 4 3 2 2 5" xfId="8808" xr:uid="{4426C195-0273-46C5-B038-487F825FFE31}"/>
    <cellStyle name="Migliaia 4 4 3 2 2 5 2" xfId="12981" xr:uid="{3B4967A2-0367-40DD-BECA-7E38C979F380}"/>
    <cellStyle name="Migliaia 4 4 3 2 2 5 2 2" xfId="28158" xr:uid="{70FEA737-E48B-4522-B713-CAC604FB83B0}"/>
    <cellStyle name="Migliaia 4 4 3 2 2 5 3" xfId="23986" xr:uid="{936A1EDF-B9F4-4C9E-B1BD-B2CBA854EA1E}"/>
    <cellStyle name="Migliaia 4 4 3 2 2 6" xfId="6032" xr:uid="{D02D910B-47EE-4044-A37E-B7B186A9D286}"/>
    <cellStyle name="Migliaia 4 4 3 2 2 6 2" xfId="21212" xr:uid="{F67886FA-057B-448D-9048-D8CDB673073A}"/>
    <cellStyle name="Migliaia 4 4 3 2 2 7" xfId="16526" xr:uid="{CF0B9F08-4712-412D-BB8A-1E823DA9E6C9}"/>
    <cellStyle name="Migliaia 4 4 3 2 3" xfId="2442" xr:uid="{0A3AD8E8-6316-4940-9224-9B3D42523086}"/>
    <cellStyle name="Migliaia 4 4 3 2 3 2" xfId="9934" xr:uid="{896C5518-39BE-41DD-9370-7B01D785754A}"/>
    <cellStyle name="Migliaia 4 4 3 2 3 2 2" xfId="13593" xr:uid="{EFCC2610-36BF-4C99-AD3B-8F243EFEBDA7}"/>
    <cellStyle name="Migliaia 4 4 3 2 3 2 2 2" xfId="28770" xr:uid="{949B67A6-9215-4771-8E33-CFA296CA642B}"/>
    <cellStyle name="Migliaia 4 4 3 2 3 2 3" xfId="25112" xr:uid="{9345C0FF-F8B3-436F-8041-B901F32A0576}"/>
    <cellStyle name="Migliaia 4 4 3 2 3 3" xfId="5760" xr:uid="{EC4569F3-1A4E-4EE2-B814-814AAB39FE0D}"/>
    <cellStyle name="Migliaia 4 4 3 2 3 3 2" xfId="20940" xr:uid="{A19D39FD-4B7D-443B-8D8A-3CD8A5F99627}"/>
    <cellStyle name="Migliaia 4 4 3 2 3 4" xfId="17652" xr:uid="{23020B2F-D17D-4CB6-AF07-8DF4165E7FDE}"/>
    <cellStyle name="Migliaia 4 4 3 2 4" xfId="3330" xr:uid="{C9566396-AE34-48E9-A054-528346B4DAFA}"/>
    <cellStyle name="Migliaia 4 4 3 2 4 2" xfId="10818" xr:uid="{062FB6ED-2730-458A-A665-502B29487EBD}"/>
    <cellStyle name="Migliaia 4 4 3 2 4 2 2" xfId="14364" xr:uid="{8FAED624-7B40-41C0-93DB-43A0D4292130}"/>
    <cellStyle name="Migliaia 4 4 3 2 4 2 2 2" xfId="29541" xr:uid="{EC4155BC-DC1C-45ED-84E5-E977B690DFF3}"/>
    <cellStyle name="Migliaia 4 4 3 2 4 2 3" xfId="25996" xr:uid="{72A0E841-B137-40EE-984A-F71868301288}"/>
    <cellStyle name="Migliaia 4 4 3 2 4 3" xfId="6644" xr:uid="{0141DD16-A56C-4BD3-8E7E-471F2D6B2106}"/>
    <cellStyle name="Migliaia 4 4 3 2 4 3 2" xfId="21824" xr:uid="{26A98854-88AB-4399-8975-BF29FE45E9C6}"/>
    <cellStyle name="Migliaia 4 4 3 2 4 4" xfId="18536" xr:uid="{CBF9F6EF-4A05-4248-8D00-150F0F818CE5}"/>
    <cellStyle name="Migliaia 4 4 3 2 5" xfId="4625" xr:uid="{C5E900F6-F096-4FD9-B1B8-5A63059178E8}"/>
    <cellStyle name="Migliaia 4 4 3 2 5 2" xfId="12110" xr:uid="{7D810F33-7A14-470D-B318-BDD183F67111}"/>
    <cellStyle name="Migliaia 4 4 3 2 5 2 2" xfId="15656" xr:uid="{4C7B98CA-C1E7-43B9-B3F5-CFE9F8CE9D90}"/>
    <cellStyle name="Migliaia 4 4 3 2 5 2 2 2" xfId="30833" xr:uid="{345080B4-9A94-4543-9520-7C4167A24E2B}"/>
    <cellStyle name="Migliaia 4 4 3 2 5 2 3" xfId="27288" xr:uid="{D2B61C16-4EE8-4EBE-9C35-7C4E55866B3E}"/>
    <cellStyle name="Migliaia 4 4 3 2 5 3" xfId="7936" xr:uid="{E14CF17B-1487-49B8-BDBF-9A1CE95D6A63}"/>
    <cellStyle name="Migliaia 4 4 3 2 5 3 2" xfId="23116" xr:uid="{965D90A3-8764-4F54-ADA3-70D276720C87}"/>
    <cellStyle name="Migliaia 4 4 3 2 5 4" xfId="19828" xr:uid="{71CD00A5-C84E-4A30-B57F-8543DCCCA116}"/>
    <cellStyle name="Migliaia 4 4 3 2 6" xfId="5004" xr:uid="{B653A9C2-A90B-4814-8C61-9452A35970B4}"/>
    <cellStyle name="Migliaia 4 4 3 2 6 2" xfId="12488" xr:uid="{2E5EA8BF-31BB-46F8-BC49-9C843DBB6DCB}"/>
    <cellStyle name="Migliaia 4 4 3 2 6 2 2" xfId="16034" xr:uid="{399D9D65-94A2-4E8B-A30D-0D17DD533792}"/>
    <cellStyle name="Migliaia 4 4 3 2 6 2 2 2" xfId="31211" xr:uid="{93F44B31-EC30-4420-8173-C96F45ACEE58}"/>
    <cellStyle name="Migliaia 4 4 3 2 6 2 3" xfId="27666" xr:uid="{22C38EB8-D2A1-4997-803C-C2ED9BD87416}"/>
    <cellStyle name="Migliaia 4 4 3 2 6 3" xfId="8314" xr:uid="{5C9FCEB0-FFA6-4280-AD5E-3AA117ADA326}"/>
    <cellStyle name="Migliaia 4 4 3 2 6 3 2" xfId="23494" xr:uid="{34DF008F-5579-4013-A01A-371474624AC3}"/>
    <cellStyle name="Migliaia 4 4 3 2 6 4" xfId="20206" xr:uid="{3790ABB2-6221-4F95-B85A-C958D3DBD56D}"/>
    <cellStyle name="Migliaia 4 4 3 2 7" xfId="1825" xr:uid="{89A6E31D-66C1-4980-800A-A6395969F115}"/>
    <cellStyle name="Migliaia 4 4 3 2 7 2" xfId="9322" xr:uid="{187C790E-2823-4615-8B43-9FD598FFADB1}"/>
    <cellStyle name="Migliaia 4 4 3 2 7 2 2" xfId="24500" xr:uid="{A27D4D65-8837-4655-A946-955AEA905FFD}"/>
    <cellStyle name="Migliaia 4 4 3 2 7 3" xfId="17040" xr:uid="{67BAAE93-CD49-49CF-996A-C9C258759688}"/>
    <cellStyle name="Migliaia 4 4 3 2 8" xfId="8536" xr:uid="{4954891D-1DD9-48DB-8AB5-920C5512F8F4}"/>
    <cellStyle name="Migliaia 4 4 3 2 8 2" xfId="12709" xr:uid="{5E26A702-5973-4532-A363-9B3D032080EE}"/>
    <cellStyle name="Migliaia 4 4 3 2 8 2 2" xfId="27886" xr:uid="{6104C671-FDDE-4353-9609-62370545A84C}"/>
    <cellStyle name="Migliaia 4 4 3 2 8 3" xfId="23714" xr:uid="{4FC5DE86-B8DD-478B-8CAB-FDA9BE9585EF}"/>
    <cellStyle name="Migliaia 4 4 3 2 9" xfId="5148" xr:uid="{48F3965D-985A-49E0-8C2A-731CD7D298E5}"/>
    <cellStyle name="Migliaia 4 4 3 2 9 2" xfId="20328" xr:uid="{7BE484B8-B4DC-444E-9504-B7AA10E97197}"/>
    <cellStyle name="Migliaia 4 4 3 3" xfId="1027" xr:uid="{A356E1FC-71EC-4E79-AA9C-059CF27753DE}"/>
    <cellStyle name="Migliaia 4 4 3 3 10" xfId="31572" xr:uid="{396620C4-DB02-4FAB-8196-0A563AA4BBD9}"/>
    <cellStyle name="Migliaia 4 4 3 3 2" xfId="1387" xr:uid="{05E569D8-ADE0-4024-B62A-DDC93AD762BE}"/>
    <cellStyle name="Migliaia 4 4 3 3 2 2" xfId="3700" xr:uid="{2AE4BF73-EA6D-4166-92CD-7036B09CC092}"/>
    <cellStyle name="Migliaia 4 4 3 3 2 2 2" xfId="11188" xr:uid="{C2F8A439-128F-4461-A01B-3DF20B1F2A5E}"/>
    <cellStyle name="Migliaia 4 4 3 3 2 2 2 2" xfId="14734" xr:uid="{4821013A-7126-4F54-A9C8-12F71E6F7180}"/>
    <cellStyle name="Migliaia 4 4 3 3 2 2 2 2 2" xfId="29911" xr:uid="{B96D87D8-3555-4240-8F85-C3829D6BCC2E}"/>
    <cellStyle name="Migliaia 4 4 3 3 2 2 2 3" xfId="26366" xr:uid="{86CC8E5D-ED64-47A2-9757-3402779C8B34}"/>
    <cellStyle name="Migliaia 4 4 3 3 2 2 3" xfId="7014" xr:uid="{57E0077E-F676-41FE-86F0-4101F79CD5BF}"/>
    <cellStyle name="Migliaia 4 4 3 3 2 2 3 2" xfId="22194" xr:uid="{01E38FE9-479C-4966-A3E7-36B01631053F}"/>
    <cellStyle name="Migliaia 4 4 3 3 2 2 4" xfId="18906" xr:uid="{F5056C02-BC6D-440B-BEC0-7D55EE290FA9}"/>
    <cellStyle name="Migliaia 4 4 3 3 2 3" xfId="4626" xr:uid="{EA1D885E-8520-433A-BE06-7DCE4755ED1B}"/>
    <cellStyle name="Migliaia 4 4 3 3 2 3 2" xfId="12111" xr:uid="{36E46439-0E7E-4926-B99D-B8D81D4FB48C}"/>
    <cellStyle name="Migliaia 4 4 3 3 2 3 2 2" xfId="15657" xr:uid="{F7F4D4B8-96A8-4395-9637-62AB7F920D46}"/>
    <cellStyle name="Migliaia 4 4 3 3 2 3 2 2 2" xfId="30834" xr:uid="{3976D45D-7BD7-4BE7-8AFD-A825067F6697}"/>
    <cellStyle name="Migliaia 4 4 3 3 2 3 2 3" xfId="27289" xr:uid="{153A497B-5B3D-45A7-B287-BB61BD8C0153}"/>
    <cellStyle name="Migliaia 4 4 3 3 2 3 3" xfId="7937" xr:uid="{153EC7BD-1EA2-42F4-95E3-014FABB811BC}"/>
    <cellStyle name="Migliaia 4 4 3 3 2 3 3 2" xfId="23117" xr:uid="{5D5F47EE-A276-42EC-A7AF-06A379D1E07E}"/>
    <cellStyle name="Migliaia 4 4 3 3 2 3 4" xfId="19829" xr:uid="{18E9CC0F-D2B3-42DA-8379-7C3CF8E051DB}"/>
    <cellStyle name="Migliaia 4 4 3 3 2 4" xfId="2813" xr:uid="{E8A61242-29D5-4999-AF28-08E72FB3DF8E}"/>
    <cellStyle name="Migliaia 4 4 3 3 2 4 2" xfId="10304" xr:uid="{FEDF8029-C680-4EEA-B024-19A2958D0BC8}"/>
    <cellStyle name="Migliaia 4 4 3 3 2 4 2 2" xfId="25482" xr:uid="{D2098A89-B421-49BB-84BA-BB94B3156EFA}"/>
    <cellStyle name="Migliaia 4 4 3 3 2 4 3" xfId="18022" xr:uid="{25E68728-624A-4614-9EF9-985557DA9E17}"/>
    <cellStyle name="Migliaia 4 4 3 3 2 5" xfId="8906" xr:uid="{4A5E70BC-8979-4A5F-B49E-A7D8E9E61E17}"/>
    <cellStyle name="Migliaia 4 4 3 3 2 5 2" xfId="13079" xr:uid="{678866F0-F10B-4FDE-817C-9D809C9417BD}"/>
    <cellStyle name="Migliaia 4 4 3 3 2 5 2 2" xfId="28256" xr:uid="{6472CEB9-8C6C-4189-9894-10DBAAD29F6C}"/>
    <cellStyle name="Migliaia 4 4 3 3 2 5 3" xfId="24084" xr:uid="{D4AEAFC5-85EB-4744-99A0-AD474AA9C39B}"/>
    <cellStyle name="Migliaia 4 4 3 3 2 6" xfId="6130" xr:uid="{6FC9CC3E-A271-401B-B61A-DC62E945076B}"/>
    <cellStyle name="Migliaia 4 4 3 3 2 6 2" xfId="21310" xr:uid="{6C7D5116-6022-4471-8E59-0BDA69F0AD3A}"/>
    <cellStyle name="Migliaia 4 4 3 3 2 7" xfId="16624" xr:uid="{C62261C7-902B-4B8A-9EFD-BB6D9804CC0F}"/>
    <cellStyle name="Migliaia 4 4 3 3 3" xfId="2540" xr:uid="{EFB1EF08-9AD8-4BB3-8020-728D2B7B6717}"/>
    <cellStyle name="Migliaia 4 4 3 3 3 2" xfId="10032" xr:uid="{DAFD15F1-B5BF-43B3-B058-9596D8BAFB01}"/>
    <cellStyle name="Migliaia 4 4 3 3 3 2 2" xfId="13691" xr:uid="{898BD00C-E172-4F1C-B5E6-E1086B50FEA1}"/>
    <cellStyle name="Migliaia 4 4 3 3 3 2 2 2" xfId="28868" xr:uid="{E19CBEC4-D4E0-4952-B12D-855A597602AC}"/>
    <cellStyle name="Migliaia 4 4 3 3 3 2 3" xfId="25210" xr:uid="{09DF9F33-81AD-4DAD-AA3E-DDD533180D88}"/>
    <cellStyle name="Migliaia 4 4 3 3 3 3" xfId="5858" xr:uid="{DF6651EB-C6F7-4778-A43B-43055A8FD134}"/>
    <cellStyle name="Migliaia 4 4 3 3 3 3 2" xfId="21038" xr:uid="{CF0FFE11-BDBF-4F81-BCE9-2F8AD99D560D}"/>
    <cellStyle name="Migliaia 4 4 3 3 3 4" xfId="17750" xr:uid="{1DF8AAAB-1979-46B1-8464-3A2C2D8D34E4}"/>
    <cellStyle name="Migliaia 4 4 3 3 4" xfId="3428" xr:uid="{54F3675F-F897-4B1F-95D9-9FF4B44F2A94}"/>
    <cellStyle name="Migliaia 4 4 3 3 4 2" xfId="10916" xr:uid="{93801F81-D140-4AFE-912C-6EF10091D665}"/>
    <cellStyle name="Migliaia 4 4 3 3 4 2 2" xfId="14462" xr:uid="{A2B00D9D-D646-433F-9431-7A337E55076B}"/>
    <cellStyle name="Migliaia 4 4 3 3 4 2 2 2" xfId="29639" xr:uid="{07094A21-43E1-44CD-986B-3ED0E8932AC7}"/>
    <cellStyle name="Migliaia 4 4 3 3 4 2 3" xfId="26094" xr:uid="{AE321164-A1DA-4300-BD25-5ED72934DDCC}"/>
    <cellStyle name="Migliaia 4 4 3 3 4 3" xfId="6742" xr:uid="{DA2FA23B-6260-4C87-9CCC-443FF48A55D7}"/>
    <cellStyle name="Migliaia 4 4 3 3 4 3 2" xfId="21922" xr:uid="{1A9AD840-E089-4BD9-B393-758A6E058948}"/>
    <cellStyle name="Migliaia 4 4 3 3 4 4" xfId="18634" xr:uid="{6241CF78-AC78-4C86-BF23-59E969ADD0E6}"/>
    <cellStyle name="Migliaia 4 4 3 3 5" xfId="4627" xr:uid="{A718BE95-8A71-495F-A99C-576D5592157D}"/>
    <cellStyle name="Migliaia 4 4 3 3 5 2" xfId="12112" xr:uid="{AB057DC7-3AE8-405C-B1A4-85C0F9AEB76F}"/>
    <cellStyle name="Migliaia 4 4 3 3 5 2 2" xfId="15658" xr:uid="{55ED0F0A-CA58-43E0-81A9-E3A5F7FF0A0E}"/>
    <cellStyle name="Migliaia 4 4 3 3 5 2 2 2" xfId="30835" xr:uid="{ACF948F9-A5E3-4272-8059-A7608EEB1C88}"/>
    <cellStyle name="Migliaia 4 4 3 3 5 2 3" xfId="27290" xr:uid="{7F7F9BBE-554C-4932-BA47-8B25D6D2A63A}"/>
    <cellStyle name="Migliaia 4 4 3 3 5 3" xfId="7938" xr:uid="{548A79AD-548C-4FDD-9EE3-E96B498C3959}"/>
    <cellStyle name="Migliaia 4 4 3 3 5 3 2" xfId="23118" xr:uid="{9D3E1CED-9A90-48D6-A929-DB5AA793347C}"/>
    <cellStyle name="Migliaia 4 4 3 3 5 4" xfId="19830" xr:uid="{EA48606A-3931-4D42-A5BB-DBB2FD57EA3C}"/>
    <cellStyle name="Migliaia 4 4 3 3 6" xfId="1923" xr:uid="{C11601F0-D9AF-4804-9C86-FBEC492E7FB8}"/>
    <cellStyle name="Migliaia 4 4 3 3 6 2" xfId="9420" xr:uid="{B836036B-2937-4B9A-88D6-2947E20D80E1}"/>
    <cellStyle name="Migliaia 4 4 3 3 6 2 2" xfId="24598" xr:uid="{AE80BB81-FA2B-45BD-8A4B-E2A61AD4B860}"/>
    <cellStyle name="Migliaia 4 4 3 3 6 3" xfId="17138" xr:uid="{AEEA22D9-01FA-48A2-A111-956402E091AB}"/>
    <cellStyle name="Migliaia 4 4 3 3 7" xfId="8634" xr:uid="{6DDD9514-8F9B-4407-B78A-B3A9B38000ED}"/>
    <cellStyle name="Migliaia 4 4 3 3 7 2" xfId="12807" xr:uid="{3AA1FA41-C76A-432A-AD6F-FCC1BA827734}"/>
    <cellStyle name="Migliaia 4 4 3 3 7 2 2" xfId="27984" xr:uid="{08D9E0FA-327A-4293-8133-FDED60B20157}"/>
    <cellStyle name="Migliaia 4 4 3 3 7 3" xfId="23812" xr:uid="{6A9EE5A7-8B28-414E-B494-D71668333A14}"/>
    <cellStyle name="Migliaia 4 4 3 3 8" xfId="5246" xr:uid="{ECC6F668-C351-46F0-B922-F19D9BD65163}"/>
    <cellStyle name="Migliaia 4 4 3 3 8 2" xfId="20426" xr:uid="{95A4BD20-FF81-4E9E-A0CE-DE47772B6341}"/>
    <cellStyle name="Migliaia 4 4 3 3 9" xfId="16352" xr:uid="{A37039BA-7445-4BCD-8FB2-E7152ACE57A4}"/>
    <cellStyle name="Migliaia 4 4 3 4" xfId="1486" xr:uid="{2BF8ACC2-4C84-47B2-9F5A-571ADE17FC84}"/>
    <cellStyle name="Migliaia 4 4 3 4 2" xfId="2911" xr:uid="{8F480B6F-D8D7-4D2D-A10A-C92462B3177B}"/>
    <cellStyle name="Migliaia 4 4 3 4 2 2" xfId="10402" xr:uid="{5B64A693-8D66-4512-ACE2-1A441BAF8A73}"/>
    <cellStyle name="Migliaia 4 4 3 4 2 2 2" xfId="13948" xr:uid="{245B14D2-4F5A-4DB2-9997-9F894FA818A7}"/>
    <cellStyle name="Migliaia 4 4 3 4 2 2 2 2" xfId="29125" xr:uid="{AD39B568-C105-4060-A05D-EE898FB02CE7}"/>
    <cellStyle name="Migliaia 4 4 3 4 2 2 3" xfId="25580" xr:uid="{B7442D96-A80D-4EC6-9A0F-2037C4E0F555}"/>
    <cellStyle name="Migliaia 4 4 3 4 2 3" xfId="6228" xr:uid="{524CAB05-F046-4886-A7B3-86E22971E79C}"/>
    <cellStyle name="Migliaia 4 4 3 4 2 3 2" xfId="21408" xr:uid="{B7C9BE0A-9995-4BF0-85CD-C85840DF728A}"/>
    <cellStyle name="Migliaia 4 4 3 4 2 4" xfId="18120" xr:uid="{FF623D01-1886-48A7-AB8A-C9FBDE280B26}"/>
    <cellStyle name="Migliaia 4 4 3 4 3" xfId="3798" xr:uid="{A68A2137-4047-4EF4-AE61-0A1B851ECB88}"/>
    <cellStyle name="Migliaia 4 4 3 4 3 2" xfId="11286" xr:uid="{12DCF1D7-F019-4DDC-B8E7-A9B63BB89E6A}"/>
    <cellStyle name="Migliaia 4 4 3 4 3 2 2" xfId="14832" xr:uid="{ADA937C6-2D02-478C-BD3F-E6F566926473}"/>
    <cellStyle name="Migliaia 4 4 3 4 3 2 2 2" xfId="30009" xr:uid="{AA061833-A16D-465D-B601-ABC2B3BD22FB}"/>
    <cellStyle name="Migliaia 4 4 3 4 3 2 3" xfId="26464" xr:uid="{B9481CA8-2DE8-42AE-8CC3-771E21566A3C}"/>
    <cellStyle name="Migliaia 4 4 3 4 3 3" xfId="7112" xr:uid="{2F3EABC7-6AE1-4B84-836A-153EBB0AFCFA}"/>
    <cellStyle name="Migliaia 4 4 3 4 3 3 2" xfId="22292" xr:uid="{6D1F4837-2CDA-4362-9DA2-6A28D4374281}"/>
    <cellStyle name="Migliaia 4 4 3 4 3 4" xfId="19004" xr:uid="{751DF73C-BCF7-42F9-89E5-CEC1C8793D27}"/>
    <cellStyle name="Migliaia 4 4 3 4 4" xfId="4628" xr:uid="{E75BC1E7-A337-4042-9FD4-24760C6A53EA}"/>
    <cellStyle name="Migliaia 4 4 3 4 4 2" xfId="12113" xr:uid="{600E483B-51DC-4819-AB03-3E9E98B3F295}"/>
    <cellStyle name="Migliaia 4 4 3 4 4 2 2" xfId="15659" xr:uid="{3946237B-E3E3-4A2C-8E41-46A67798F498}"/>
    <cellStyle name="Migliaia 4 4 3 4 4 2 2 2" xfId="30836" xr:uid="{D4038021-C85F-422D-9E44-A35DA2452C1C}"/>
    <cellStyle name="Migliaia 4 4 3 4 4 2 3" xfId="27291" xr:uid="{E9C1C355-17E9-40F5-84F9-8A544DE25089}"/>
    <cellStyle name="Migliaia 4 4 3 4 4 3" xfId="7939" xr:uid="{4A5E2691-7B24-4D57-9818-5B43379B9961}"/>
    <cellStyle name="Migliaia 4 4 3 4 4 3 2" xfId="23119" xr:uid="{59BC155A-0457-4485-A271-08DED4372F15}"/>
    <cellStyle name="Migliaia 4 4 3 4 4 4" xfId="19831" xr:uid="{949BF417-A328-4254-AF25-FEFD53215B31}"/>
    <cellStyle name="Migliaia 4 4 3 4 5" xfId="2021" xr:uid="{70A9A627-3F12-47AC-89BB-88C5B39AD185}"/>
    <cellStyle name="Migliaia 4 4 3 4 5 2" xfId="9518" xr:uid="{748C8DB0-655E-4010-B0A5-3F7F73F1A102}"/>
    <cellStyle name="Migliaia 4 4 3 4 5 2 2" xfId="24696" xr:uid="{3A1C9E6A-3CFC-4116-893A-1F532E022BB9}"/>
    <cellStyle name="Migliaia 4 4 3 4 5 3" xfId="17236" xr:uid="{FF2470A1-9534-457F-8397-67B39A2085BB}"/>
    <cellStyle name="Migliaia 4 4 3 4 6" xfId="9004" xr:uid="{F3C378CF-14E3-4667-A1CA-1EA33D87AD7A}"/>
    <cellStyle name="Migliaia 4 4 3 4 6 2" xfId="13177" xr:uid="{FCB0CC43-CB53-485E-9705-C40830496280}"/>
    <cellStyle name="Migliaia 4 4 3 4 6 2 2" xfId="28354" xr:uid="{8289B678-CE4B-48E5-BADC-6AACDBC03B46}"/>
    <cellStyle name="Migliaia 4 4 3 4 6 3" xfId="24182" xr:uid="{99FA6DF8-D290-4F5E-AA70-E1A7023E3051}"/>
    <cellStyle name="Migliaia 4 4 3 4 7" xfId="5344" xr:uid="{BA8C5B38-5A80-4234-ABDB-AA64D97FACE2}"/>
    <cellStyle name="Migliaia 4 4 3 4 7 2" xfId="20524" xr:uid="{6C8015BC-7D08-44DD-A491-B87D5351B2A7}"/>
    <cellStyle name="Migliaia 4 4 3 4 8" xfId="16722" xr:uid="{2F0C0563-AD8D-4A17-BF8B-9F7B6E6AE23F}"/>
    <cellStyle name="Migliaia 4 4 3 5" xfId="1589" xr:uid="{F0B9E291-7670-4641-912B-2121CFBF359F}"/>
    <cellStyle name="Migliaia 4 4 3 5 2" xfId="3009" xr:uid="{42FC8380-FCB7-40A3-BEFF-7874CBE95B33}"/>
    <cellStyle name="Migliaia 4 4 3 5 2 2" xfId="10500" xr:uid="{2D25D2D8-038A-442A-8D50-A0CE7D8E4C5C}"/>
    <cellStyle name="Migliaia 4 4 3 5 2 2 2" xfId="14046" xr:uid="{3F07F29F-89CD-4DFE-A60B-CF61BD41392C}"/>
    <cellStyle name="Migliaia 4 4 3 5 2 2 2 2" xfId="29223" xr:uid="{A15B09EE-74D3-459A-A81B-B0C26238DD98}"/>
    <cellStyle name="Migliaia 4 4 3 5 2 2 3" xfId="25678" xr:uid="{DD8A9A17-D298-4516-9F86-D9D35D8A1BB4}"/>
    <cellStyle name="Migliaia 4 4 3 5 2 3" xfId="6326" xr:uid="{CB2E108A-3C8D-4A8D-BDF1-CBEBFE3B531E}"/>
    <cellStyle name="Migliaia 4 4 3 5 2 3 2" xfId="21506" xr:uid="{6CC68AF5-D377-47C7-BF50-25B63529C414}"/>
    <cellStyle name="Migliaia 4 4 3 5 2 4" xfId="18218" xr:uid="{E11B4AC8-5FC4-4E9F-9D6B-82732D08AA3B}"/>
    <cellStyle name="Migliaia 4 4 3 5 3" xfId="3896" xr:uid="{71C91DAC-D596-4351-8674-A9CB22B56C4E}"/>
    <cellStyle name="Migliaia 4 4 3 5 3 2" xfId="11384" xr:uid="{9217CC7D-2B5F-4DF7-92F2-283CA45D2DEA}"/>
    <cellStyle name="Migliaia 4 4 3 5 3 2 2" xfId="14930" xr:uid="{9471BCB3-623E-4DC8-A788-FD0F48C2165D}"/>
    <cellStyle name="Migliaia 4 4 3 5 3 2 2 2" xfId="30107" xr:uid="{E4506076-24E1-425F-BA17-19B767F535D0}"/>
    <cellStyle name="Migliaia 4 4 3 5 3 2 3" xfId="26562" xr:uid="{E56995DB-09E9-4950-8992-606BA061BCCF}"/>
    <cellStyle name="Migliaia 4 4 3 5 3 3" xfId="7210" xr:uid="{E61ED3CA-3FCB-40E3-B43E-05C4FDBD46C2}"/>
    <cellStyle name="Migliaia 4 4 3 5 3 3 2" xfId="22390" xr:uid="{4196958A-31B1-4434-B5BC-BB374754E97A}"/>
    <cellStyle name="Migliaia 4 4 3 5 3 4" xfId="19102" xr:uid="{15F629BD-1AD9-4631-9639-69C3500B1379}"/>
    <cellStyle name="Migliaia 4 4 3 5 4" xfId="4629" xr:uid="{337FBEAF-97F3-4CCE-9B46-DD4921BE5A2C}"/>
    <cellStyle name="Migliaia 4 4 3 5 4 2" xfId="12114" xr:uid="{1145399A-90AD-4D15-9026-71A3DAA10A61}"/>
    <cellStyle name="Migliaia 4 4 3 5 4 2 2" xfId="15660" xr:uid="{AA8E040C-959A-4DC7-8E19-059C86678F9C}"/>
    <cellStyle name="Migliaia 4 4 3 5 4 2 2 2" xfId="30837" xr:uid="{F7CFBC83-46E9-41D8-A429-021D45256546}"/>
    <cellStyle name="Migliaia 4 4 3 5 4 2 3" xfId="27292" xr:uid="{9A2B717A-3C12-4494-A63A-9BDF9FBFF748}"/>
    <cellStyle name="Migliaia 4 4 3 5 4 3" xfId="7940" xr:uid="{CDA05BFA-1D11-4A73-9A65-E559B7DC3480}"/>
    <cellStyle name="Migliaia 4 4 3 5 4 3 2" xfId="23120" xr:uid="{9DFF88DA-CB12-47D2-A93E-439F6431710D}"/>
    <cellStyle name="Migliaia 4 4 3 5 4 4" xfId="19832" xr:uid="{ED825373-159F-4847-BA50-C87192EF15C3}"/>
    <cellStyle name="Migliaia 4 4 3 5 5" xfId="2119" xr:uid="{F85086E9-8F7E-4A27-A0B0-64D5E7775F7A}"/>
    <cellStyle name="Migliaia 4 4 3 5 5 2" xfId="9616" xr:uid="{41A04419-1B19-4F48-8638-708E86C9D77A}"/>
    <cellStyle name="Migliaia 4 4 3 5 5 2 2" xfId="24794" xr:uid="{BB11D0B7-D77C-4EF8-B728-3D664E792E78}"/>
    <cellStyle name="Migliaia 4 4 3 5 5 3" xfId="17334" xr:uid="{4734832B-B5D5-472E-B087-97EE775CA071}"/>
    <cellStyle name="Migliaia 4 4 3 5 6" xfId="9102" xr:uid="{BC6F4808-D98F-4F1F-B19A-29E27D43A327}"/>
    <cellStyle name="Migliaia 4 4 3 5 6 2" xfId="13275" xr:uid="{6387B008-D890-4329-8BFB-4788054ADAED}"/>
    <cellStyle name="Migliaia 4 4 3 5 6 2 2" xfId="28452" xr:uid="{43AF58CE-9083-4465-9023-64F2878985AA}"/>
    <cellStyle name="Migliaia 4 4 3 5 6 3" xfId="24280" xr:uid="{1A6F3A31-5A41-46D0-8A2B-20D7FA6F72DF}"/>
    <cellStyle name="Migliaia 4 4 3 5 7" xfId="5442" xr:uid="{35D57254-6549-4EB2-ACAF-645785EED348}"/>
    <cellStyle name="Migliaia 4 4 3 5 7 2" xfId="20622" xr:uid="{858D63C1-3A2D-4C07-BE7B-522A54BDF9EE}"/>
    <cellStyle name="Migliaia 4 4 3 5 8" xfId="16820" xr:uid="{329B1CE3-63F3-4CD7-A833-899EAAE118E9}"/>
    <cellStyle name="Migliaia 4 4 3 6" xfId="1688" xr:uid="{729CD9B8-4A01-4744-830F-24FCC896C687}"/>
    <cellStyle name="Migliaia 4 4 3 6 2" xfId="3107" xr:uid="{F0743A3F-5E94-4905-AEDA-83C40D0D8BC2}"/>
    <cellStyle name="Migliaia 4 4 3 6 2 2" xfId="10598" xr:uid="{B8613FFF-6215-4C15-BD46-9AD1180D0DE1}"/>
    <cellStyle name="Migliaia 4 4 3 6 2 2 2" xfId="14144" xr:uid="{B7C9BC3A-7CD2-45E9-963C-248C09EA980C}"/>
    <cellStyle name="Migliaia 4 4 3 6 2 2 2 2" xfId="29321" xr:uid="{2E6C569C-667A-421B-819E-C9B4F7799ED4}"/>
    <cellStyle name="Migliaia 4 4 3 6 2 2 3" xfId="25776" xr:uid="{1D2E6282-EC8F-4A49-B53E-45F5CB9653DE}"/>
    <cellStyle name="Migliaia 4 4 3 6 2 3" xfId="6424" xr:uid="{17ED2773-45A4-4455-B6B6-8044271F562C}"/>
    <cellStyle name="Migliaia 4 4 3 6 2 3 2" xfId="21604" xr:uid="{53756473-13B3-42F9-9B48-5E98196DA293}"/>
    <cellStyle name="Migliaia 4 4 3 6 2 4" xfId="18316" xr:uid="{E4A85E4D-3E3E-4650-8F2E-6389B1E403CA}"/>
    <cellStyle name="Migliaia 4 4 3 6 3" xfId="3994" xr:uid="{A27C4E08-D4CA-4659-88BB-C4F880E97D92}"/>
    <cellStyle name="Migliaia 4 4 3 6 3 2" xfId="11482" xr:uid="{CFBCBFFF-8FE3-46DE-AAC3-6E1C948431F3}"/>
    <cellStyle name="Migliaia 4 4 3 6 3 2 2" xfId="15028" xr:uid="{4E9ACBE1-5AE5-455B-B5EC-29DF5645E71D}"/>
    <cellStyle name="Migliaia 4 4 3 6 3 2 2 2" xfId="30205" xr:uid="{375AE3C1-7833-40E6-984F-5912EAB74145}"/>
    <cellStyle name="Migliaia 4 4 3 6 3 2 3" xfId="26660" xr:uid="{4C90EC0B-A885-434D-A6EB-92EA5004487C}"/>
    <cellStyle name="Migliaia 4 4 3 6 3 3" xfId="7308" xr:uid="{0D8C7328-6EEB-47EF-8343-40463BEAE464}"/>
    <cellStyle name="Migliaia 4 4 3 6 3 3 2" xfId="22488" xr:uid="{7FB8AAC5-5ADC-48D1-91FF-A70A61553C84}"/>
    <cellStyle name="Migliaia 4 4 3 6 3 4" xfId="19200" xr:uid="{6D2E284C-B137-4EF6-8D9A-A77C1172932D}"/>
    <cellStyle name="Migliaia 4 4 3 6 4" xfId="4630" xr:uid="{62D8CE60-4FED-44C7-B594-0744AC86D558}"/>
    <cellStyle name="Migliaia 4 4 3 6 4 2" xfId="12115" xr:uid="{1141346B-26FB-41E1-9DE0-4CF915D83B3D}"/>
    <cellStyle name="Migliaia 4 4 3 6 4 2 2" xfId="15661" xr:uid="{3159AEEF-1460-4A5F-A25D-E03922BB71AA}"/>
    <cellStyle name="Migliaia 4 4 3 6 4 2 2 2" xfId="30838" xr:uid="{D4C7A2EB-6A15-4A0A-8650-6768FFCB06B9}"/>
    <cellStyle name="Migliaia 4 4 3 6 4 2 3" xfId="27293" xr:uid="{A4E6A159-24B2-4672-81FA-5EAA18C4F672}"/>
    <cellStyle name="Migliaia 4 4 3 6 4 3" xfId="7941" xr:uid="{645FE969-3AEA-4091-B002-42697E6624CD}"/>
    <cellStyle name="Migliaia 4 4 3 6 4 3 2" xfId="23121" xr:uid="{3244451F-1A36-4032-99B1-4067837EB12F}"/>
    <cellStyle name="Migliaia 4 4 3 6 4 4" xfId="19833" xr:uid="{B2EBA4B4-EBDC-4350-8EFB-D65F4FCEB717}"/>
    <cellStyle name="Migliaia 4 4 3 6 5" xfId="2217" xr:uid="{C3FA605C-A9F2-4662-8C94-C4B984058990}"/>
    <cellStyle name="Migliaia 4 4 3 6 5 2" xfId="9714" xr:uid="{E6F0BC53-D3D0-4105-A42F-E2BC09357F37}"/>
    <cellStyle name="Migliaia 4 4 3 6 5 2 2" xfId="24892" xr:uid="{5FD0E795-7383-4381-AE32-AA1AB952B0F3}"/>
    <cellStyle name="Migliaia 4 4 3 6 5 3" xfId="17432" xr:uid="{AF730E00-86EB-4EEF-9E55-4C134FB0993D}"/>
    <cellStyle name="Migliaia 4 4 3 6 6" xfId="9200" xr:uid="{20E8A4A2-5A8D-452C-BF68-1B205667E1CA}"/>
    <cellStyle name="Migliaia 4 4 3 6 6 2" xfId="13373" xr:uid="{8BB1FF84-3A22-414D-A3AD-F66B0F7A0024}"/>
    <cellStyle name="Migliaia 4 4 3 6 6 2 2" xfId="28550" xr:uid="{95A18D80-B64F-4E4D-B7B1-071573B2F193}"/>
    <cellStyle name="Migliaia 4 4 3 6 6 3" xfId="24378" xr:uid="{57D444DE-487C-490F-968C-9BAD0DB0D8F0}"/>
    <cellStyle name="Migliaia 4 4 3 6 7" xfId="5540" xr:uid="{5D5C2FE2-C447-4901-9F5C-9940D329C0C8}"/>
    <cellStyle name="Migliaia 4 4 3 6 7 2" xfId="20720" xr:uid="{5026F8FB-26FD-4A0F-88D2-4C2B55FAB0E0}"/>
    <cellStyle name="Migliaia 4 4 3 6 8" xfId="16918" xr:uid="{ACFDFFCC-C0E7-42DC-80ED-F8ACF398C6C6}"/>
    <cellStyle name="Migliaia 4 4 3 7" xfId="2317" xr:uid="{4365EDA9-9969-406C-A08C-C0014AE5254C}"/>
    <cellStyle name="Migliaia 4 4 3 7 2" xfId="9812" xr:uid="{228600A4-7081-49E0-9E36-5AF9CBA8641C}"/>
    <cellStyle name="Migliaia 4 4 3 7 2 2" xfId="13471" xr:uid="{9F1E23E5-399E-4EF5-836C-1C314EAEFE61}"/>
    <cellStyle name="Migliaia 4 4 3 7 2 2 2" xfId="28648" xr:uid="{F8EB33C3-30A1-4DCB-AC2E-BCC1EF304A2C}"/>
    <cellStyle name="Migliaia 4 4 3 7 2 3" xfId="24990" xr:uid="{A973DC89-CB45-4AD9-87F3-AE2B5853272B}"/>
    <cellStyle name="Migliaia 4 4 3 7 3" xfId="5638" xr:uid="{5F9E9D88-9E9F-457D-9962-F2FED13A3C87}"/>
    <cellStyle name="Migliaia 4 4 3 7 3 2" xfId="20818" xr:uid="{75B75CA0-6A16-440E-9527-394C62AE9102}"/>
    <cellStyle name="Migliaia 4 4 3 7 4" xfId="17530" xr:uid="{EB1A1093-CD21-40D8-8028-106FBBAA615D}"/>
    <cellStyle name="Migliaia 4 4 3 8" xfId="3207" xr:uid="{FA22C638-B3ED-46E5-80AF-DA5AD442C9F7}"/>
    <cellStyle name="Migliaia 4 4 3 8 2" xfId="10696" xr:uid="{8DC05D50-4066-4CFA-931D-8DC44DA5AE56}"/>
    <cellStyle name="Migliaia 4 4 3 8 2 2" xfId="14242" xr:uid="{39EE1A06-CCC4-4F1C-A036-2C2124EA9661}"/>
    <cellStyle name="Migliaia 4 4 3 8 2 2 2" xfId="29419" xr:uid="{DCA4C223-D213-4FD8-A433-93BE66C08FDF}"/>
    <cellStyle name="Migliaia 4 4 3 8 2 3" xfId="25874" xr:uid="{242CE37E-03DC-4BD7-A287-9B8035CBC3DE}"/>
    <cellStyle name="Migliaia 4 4 3 8 3" xfId="6522" xr:uid="{46BE9D18-4F34-4BEE-A003-C1EF75E7E682}"/>
    <cellStyle name="Migliaia 4 4 3 8 3 2" xfId="21702" xr:uid="{84406648-786B-4E28-AC8C-7775BA90706B}"/>
    <cellStyle name="Migliaia 4 4 3 8 4" xfId="18414" xr:uid="{F83C73FF-B335-4A01-90FC-7211FADD27A6}"/>
    <cellStyle name="Migliaia 4 4 3 9" xfId="4631" xr:uid="{98DF1C9E-85AE-4BCC-A372-430D6E25E6A6}"/>
    <cellStyle name="Migliaia 4 4 3 9 2" xfId="12116" xr:uid="{B8E807D3-0B6F-44BD-9911-9F753C39E0DC}"/>
    <cellStyle name="Migliaia 4 4 3 9 2 2" xfId="15662" xr:uid="{9B038475-B2E8-497F-A990-5F2EB0B93D5C}"/>
    <cellStyle name="Migliaia 4 4 3 9 2 2 2" xfId="30839" xr:uid="{9490A61A-8AEC-4B68-82A0-4206A96A9EDB}"/>
    <cellStyle name="Migliaia 4 4 3 9 2 3" xfId="27294" xr:uid="{119D87A4-CC45-4CF6-86C3-4C7E40F23BDF}"/>
    <cellStyle name="Migliaia 4 4 3 9 3" xfId="7942" xr:uid="{9A5B8664-7595-4BDF-A282-128D10FE889F}"/>
    <cellStyle name="Migliaia 4 4 3 9 3 2" xfId="23122" xr:uid="{9D42250D-4D0F-4E40-A863-4C12CACC8284}"/>
    <cellStyle name="Migliaia 4 4 3 9 4" xfId="19834" xr:uid="{7DF88777-86E7-4C9A-8518-9BA92BB6AEA1}"/>
    <cellStyle name="Migliaia 4 4 4" xfId="875" xr:uid="{D2ABCFFA-7BD1-4445-8023-5E51B34B3FF1}"/>
    <cellStyle name="Migliaia 4 4 4 2" xfId="2393" xr:uid="{88ECBC83-92D7-4F2E-B73E-6335E0B858B9}"/>
    <cellStyle name="Migliaia 4 4 4 2 2" xfId="9885" xr:uid="{FE786FA4-963A-4920-B3AC-DBA138AE644E}"/>
    <cellStyle name="Migliaia 4 4 4 2 2 2" xfId="13544" xr:uid="{B1792A33-693A-49B5-945B-724DA536DDDE}"/>
    <cellStyle name="Migliaia 4 4 4 2 2 2 2" xfId="28721" xr:uid="{85EC9DEB-9CFF-40F6-A38E-0E2561AD040B}"/>
    <cellStyle name="Migliaia 4 4 4 2 2 3" xfId="25063" xr:uid="{2A83F9F1-6EBE-4AA2-B550-D1F925B29624}"/>
    <cellStyle name="Migliaia 4 4 4 2 3" xfId="5711" xr:uid="{85EDBAAE-13B5-45C1-A2DD-B5DB03C7B919}"/>
    <cellStyle name="Migliaia 4 4 4 2 3 2" xfId="20891" xr:uid="{05746D8A-41EE-4C73-991E-E93FEB46EB3F}"/>
    <cellStyle name="Migliaia 4 4 4 2 4" xfId="17603" xr:uid="{A4A6524B-BBA4-43BB-BE45-05A50C9D8C87}"/>
    <cellStyle name="Migliaia 4 4 4 3" xfId="3281" xr:uid="{A8BA3F4A-501F-4522-9522-A3B47A381A00}"/>
    <cellStyle name="Migliaia 4 4 4 3 2" xfId="10769" xr:uid="{AE61ED49-B77B-411A-97F2-6087D7720C82}"/>
    <cellStyle name="Migliaia 4 4 4 3 2 2" xfId="14315" xr:uid="{90F190CA-E904-4F95-A21D-806F0C6F72AA}"/>
    <cellStyle name="Migliaia 4 4 4 3 2 2 2" xfId="29492" xr:uid="{C8BC4360-81D5-4B04-B9E2-132A2250AD4D}"/>
    <cellStyle name="Migliaia 4 4 4 3 2 3" xfId="25947" xr:uid="{C3A7840E-999D-4AB0-BF97-D87EB4674252}"/>
    <cellStyle name="Migliaia 4 4 4 3 3" xfId="6595" xr:uid="{259F6AB6-87FA-49F7-8409-DA4F094DBD5F}"/>
    <cellStyle name="Migliaia 4 4 4 3 3 2" xfId="21775" xr:uid="{CE852E83-8CC5-41FA-AAAF-DCE81B2BB271}"/>
    <cellStyle name="Migliaia 4 4 4 3 4" xfId="18487" xr:uid="{6826AC44-07BF-4DC8-B2D4-818CDA6A786A}"/>
    <cellStyle name="Migliaia 4 4 4 4" xfId="4632" xr:uid="{838A84B0-AB44-470A-81DB-F1267B583AB6}"/>
    <cellStyle name="Migliaia 4 4 4 4 2" xfId="12117" xr:uid="{30AEBB01-7A6D-4698-8F55-D287483E5858}"/>
    <cellStyle name="Migliaia 4 4 4 4 2 2" xfId="15663" xr:uid="{61AAB5C5-8C50-42D9-AC72-35BA77584F60}"/>
    <cellStyle name="Migliaia 4 4 4 4 2 2 2" xfId="30840" xr:uid="{7846B9F2-78BB-42F0-B439-6624E91397A6}"/>
    <cellStyle name="Migliaia 4 4 4 4 2 3" xfId="27295" xr:uid="{6CB2C234-8A33-45D0-A150-DCFE67A59A14}"/>
    <cellStyle name="Migliaia 4 4 4 4 3" xfId="7943" xr:uid="{39BF9289-F3D1-4F4D-9EA1-6151DEC1B9B6}"/>
    <cellStyle name="Migliaia 4 4 4 4 3 2" xfId="23123" xr:uid="{20D7D965-6D93-4640-B6B6-8E05C3062EC0}"/>
    <cellStyle name="Migliaia 4 4 4 4 4" xfId="19835" xr:uid="{363D4045-5C46-4716-AF9B-99C4E97815F2}"/>
    <cellStyle name="Migliaia 4 4 4 5" xfId="8487" xr:uid="{E5ED8309-1DAC-4546-972D-21BAB16F3C68}"/>
    <cellStyle name="Migliaia 4 4 4 5 2" xfId="12660" xr:uid="{57FB6CE9-5B2D-4342-8325-24899CC01A58}"/>
    <cellStyle name="Migliaia 4 4 4 5 2 2" xfId="27837" xr:uid="{B47D5311-2F85-4C4F-ABE4-A449B5EBE4A4}"/>
    <cellStyle name="Migliaia 4 4 4 5 3" xfId="23665" xr:uid="{237646C0-0809-4201-87E9-AE621B29A785}"/>
    <cellStyle name="Migliaia 4 4 4 6" xfId="16205" xr:uid="{6F836F6D-E168-41BA-84DE-81CA6DEF4189}"/>
    <cellStyle name="Migliaia 4 4 4 7" xfId="31645" xr:uid="{133EF7F8-DCB6-458D-8F44-2530C892B354}"/>
    <cellStyle name="Migliaia 4 4 5" xfId="978" xr:uid="{926E5ADB-60A7-43B4-BA09-8CE305D71471}"/>
    <cellStyle name="Migliaia 4 4 5 2" xfId="2491" xr:uid="{85562494-8065-4000-B5FD-C7B61A656CB6}"/>
    <cellStyle name="Migliaia 4 4 5 2 2" xfId="9983" xr:uid="{F6E916D0-5FE2-4A11-953B-872A29C56892}"/>
    <cellStyle name="Migliaia 4 4 5 2 2 2" xfId="13642" xr:uid="{BEF3A4E7-0FB2-46FA-9372-5AE7F65A24C1}"/>
    <cellStyle name="Migliaia 4 4 5 2 2 2 2" xfId="28819" xr:uid="{B75713CA-B347-450A-92C3-F3E0F94FFD50}"/>
    <cellStyle name="Migliaia 4 4 5 2 2 3" xfId="25161" xr:uid="{4C64A78E-3DFE-4B00-9A31-E72EF673B7B1}"/>
    <cellStyle name="Migliaia 4 4 5 2 3" xfId="5809" xr:uid="{1C822E3C-B02D-4ABE-B8BE-D6A5B3A7B023}"/>
    <cellStyle name="Migliaia 4 4 5 2 3 2" xfId="20989" xr:uid="{9EE0E418-FCF9-401B-A6FC-B861B6642961}"/>
    <cellStyle name="Migliaia 4 4 5 2 4" xfId="17701" xr:uid="{D3055405-0ECE-4B48-83E3-443BAC2E5287}"/>
    <cellStyle name="Migliaia 4 4 5 3" xfId="3379" xr:uid="{67AD62A9-CE1A-41BA-BF04-BA1B988CC849}"/>
    <cellStyle name="Migliaia 4 4 5 3 2" xfId="10867" xr:uid="{F8C07BC9-CAAC-4E49-AB8A-1462D0EF3B50}"/>
    <cellStyle name="Migliaia 4 4 5 3 2 2" xfId="14413" xr:uid="{A28DAF4E-0BF6-4535-B958-09F624A3C3C6}"/>
    <cellStyle name="Migliaia 4 4 5 3 2 2 2" xfId="29590" xr:uid="{AAB8E37D-25F9-4CC9-AF3D-AAB073BD5EFE}"/>
    <cellStyle name="Migliaia 4 4 5 3 2 3" xfId="26045" xr:uid="{05ED233A-E3C4-4127-80C9-E089A605A8F7}"/>
    <cellStyle name="Migliaia 4 4 5 3 3" xfId="6693" xr:uid="{3EBD759A-C4BB-4498-922B-1B87590B40D0}"/>
    <cellStyle name="Migliaia 4 4 5 3 3 2" xfId="21873" xr:uid="{9F1577C5-9CEA-4D1D-BF3F-BE7147EBED04}"/>
    <cellStyle name="Migliaia 4 4 5 3 4" xfId="18585" xr:uid="{CD2B8FC0-7213-424B-871A-6E4C5704E6F0}"/>
    <cellStyle name="Migliaia 4 4 5 4" xfId="4633" xr:uid="{8BE5A245-7E62-4D76-8078-6B48AC6AC3B8}"/>
    <cellStyle name="Migliaia 4 4 5 4 2" xfId="12118" xr:uid="{6E46F31E-DECC-45EF-B1F7-4085A6113DDE}"/>
    <cellStyle name="Migliaia 4 4 5 4 2 2" xfId="15664" xr:uid="{6147FF7A-FB74-4EFA-B649-22F59FC79656}"/>
    <cellStyle name="Migliaia 4 4 5 4 2 2 2" xfId="30841" xr:uid="{0A1E1ADD-145B-4CDA-9837-72A834994FFB}"/>
    <cellStyle name="Migliaia 4 4 5 4 2 3" xfId="27296" xr:uid="{284A730A-131E-4613-810D-768E12124FFC}"/>
    <cellStyle name="Migliaia 4 4 5 4 3" xfId="7944" xr:uid="{3F6C972F-4D70-414A-9C89-1516B7716800}"/>
    <cellStyle name="Migliaia 4 4 5 4 3 2" xfId="23124" xr:uid="{17611888-991B-4E07-A7AD-B47EE1D8B189}"/>
    <cellStyle name="Migliaia 4 4 5 4 4" xfId="19836" xr:uid="{A0C7CA20-474E-4E15-A25E-ECD807894DF5}"/>
    <cellStyle name="Migliaia 4 4 5 5" xfId="8585" xr:uid="{13BEE0F7-1F20-4B50-AD69-02880DF5379B}"/>
    <cellStyle name="Migliaia 4 4 5 5 2" xfId="12758" xr:uid="{0A6F730A-7B9D-4A90-B283-4D6D49844E79}"/>
    <cellStyle name="Migliaia 4 4 5 5 2 2" xfId="27935" xr:uid="{5A5C1D3E-BF00-4633-94BA-E0C0EB353668}"/>
    <cellStyle name="Migliaia 4 4 5 5 3" xfId="23763" xr:uid="{FE7AE005-8CD8-4FE1-B845-BB08BE407762}"/>
    <cellStyle name="Migliaia 4 4 5 6" xfId="16303" xr:uid="{3F770D3C-1E46-41B9-97DE-519061F727DA}"/>
    <cellStyle name="Migliaia 4 4 5 7" xfId="31523" xr:uid="{9F83CFF1-B69F-44E3-973F-0ED0362EDD47}"/>
    <cellStyle name="Migliaia 4 4 6" xfId="1161" xr:uid="{C9AA4D69-203A-4D59-BDB2-A152CD1B6569}"/>
    <cellStyle name="Migliaia 4 4 6 2" xfId="2594" xr:uid="{AAEE6D1E-93E9-4CD0-A503-8A341B28F367}"/>
    <cellStyle name="Migliaia 4 4 6 2 2" xfId="10085" xr:uid="{C5B569CF-A7BB-4BB7-91F1-65F51A47A30D}"/>
    <cellStyle name="Migliaia 4 4 6 2 2 2" xfId="13743" xr:uid="{09EA86DE-4DB7-44D6-BA5E-F15C53D70470}"/>
    <cellStyle name="Migliaia 4 4 6 2 2 2 2" xfId="28920" xr:uid="{9CBA554F-E297-4986-AF84-0FF7F543275A}"/>
    <cellStyle name="Migliaia 4 4 6 2 2 3" xfId="25263" xr:uid="{32C54C75-ACE3-410F-8256-04E2B436DC01}"/>
    <cellStyle name="Migliaia 4 4 6 2 3" xfId="5911" xr:uid="{0AE2959B-5F3D-4AF3-B507-02DFDD686B4A}"/>
    <cellStyle name="Migliaia 4 4 6 2 3 2" xfId="21091" xr:uid="{EF4FEC66-1225-45EA-8A7C-0D9C6817E51B}"/>
    <cellStyle name="Migliaia 4 4 6 2 4" xfId="17803" xr:uid="{3981D31F-75E8-4102-9402-1FF76885BFCD}"/>
    <cellStyle name="Migliaia 4 4 6 3" xfId="3481" xr:uid="{A1D7026A-A756-4A60-A2C3-49190092143A}"/>
    <cellStyle name="Migliaia 4 4 6 3 2" xfId="10969" xr:uid="{225C3ABC-10E1-4CFB-AB39-53AFA81351D6}"/>
    <cellStyle name="Migliaia 4 4 6 3 2 2" xfId="14515" xr:uid="{6D49D0E8-7365-47B3-89F7-C0D9C68F772A}"/>
    <cellStyle name="Migliaia 4 4 6 3 2 2 2" xfId="29692" xr:uid="{8F77BC84-CF2C-4084-9CA2-35F7269E734F}"/>
    <cellStyle name="Migliaia 4 4 6 3 2 3" xfId="26147" xr:uid="{D8DE07F9-7CB0-404B-A85D-2E239437352D}"/>
    <cellStyle name="Migliaia 4 4 6 3 3" xfId="6795" xr:uid="{5287FC2F-F47A-40D1-B1DA-C58E400360B0}"/>
    <cellStyle name="Migliaia 4 4 6 3 3 2" xfId="21975" xr:uid="{F1BF5608-C1CE-420F-8274-A0C08F8DDCDA}"/>
    <cellStyle name="Migliaia 4 4 6 3 4" xfId="18687" xr:uid="{3483DF92-B782-4880-ADC0-BBD1B4AD05AF}"/>
    <cellStyle name="Migliaia 4 4 6 4" xfId="4634" xr:uid="{C857BBF3-E508-4DE2-8DBE-FFD83582A9D9}"/>
    <cellStyle name="Migliaia 4 4 6 4 2" xfId="12119" xr:uid="{75960719-B43F-47BD-B5A8-48F9E567EF18}"/>
    <cellStyle name="Migliaia 4 4 6 4 2 2" xfId="15665" xr:uid="{DF8655CE-5BF8-4F3E-B462-85AAC5CA27E5}"/>
    <cellStyle name="Migliaia 4 4 6 4 2 2 2" xfId="30842" xr:uid="{6CF43E21-2DFB-4D63-81EB-F850D499EF0C}"/>
    <cellStyle name="Migliaia 4 4 6 4 2 3" xfId="27297" xr:uid="{F0B4C91B-642A-417E-B67A-0952FEBD6C5F}"/>
    <cellStyle name="Migliaia 4 4 6 4 3" xfId="7945" xr:uid="{0C7653EB-587F-4908-88D6-ED1B8DC6975D}"/>
    <cellStyle name="Migliaia 4 4 6 4 3 2" xfId="23125" xr:uid="{6E846C61-F795-41A8-A025-CF91C492C316}"/>
    <cellStyle name="Migliaia 4 4 6 4 4" xfId="19837" xr:uid="{FBA8F212-4482-47CB-BD84-DE9A544C7F7E}"/>
    <cellStyle name="Migliaia 4 4 6 5" xfId="8687" xr:uid="{AF82BF79-4A36-4281-90C5-271F791C7998}"/>
    <cellStyle name="Migliaia 4 4 6 5 2" xfId="12860" xr:uid="{483EF770-D27A-40EE-A3D2-99F9D367A348}"/>
    <cellStyle name="Migliaia 4 4 6 5 2 2" xfId="28037" xr:uid="{81C7CB22-4189-4E0F-B8B6-A474CC342B2E}"/>
    <cellStyle name="Migliaia 4 4 6 5 3" xfId="23865" xr:uid="{C5858F40-73F0-487F-A642-B9946C67674B}"/>
    <cellStyle name="Migliaia 4 4 6 6" xfId="16405" xr:uid="{5F7AD805-4EAE-4110-BB99-41FDA579BE62}"/>
    <cellStyle name="Migliaia 4 4 7" xfId="1187" xr:uid="{C4B53087-AA68-482C-BAB2-DBA06E5C7F58}"/>
    <cellStyle name="Migliaia 4 4 7 2" xfId="2618" xr:uid="{198FFCF0-7781-468B-807B-0AAE4B7ADD33}"/>
    <cellStyle name="Migliaia 4 4 7 2 2" xfId="10109" xr:uid="{B2DBE477-909E-4CCB-9EE2-662668D1D176}"/>
    <cellStyle name="Migliaia 4 4 7 2 2 2" xfId="13767" xr:uid="{213853C6-923A-463C-8E1F-D3EC2330F646}"/>
    <cellStyle name="Migliaia 4 4 7 2 2 2 2" xfId="28944" xr:uid="{C83B6E7C-1DA5-49A5-A25E-22CD7C4F8E8A}"/>
    <cellStyle name="Migliaia 4 4 7 2 2 3" xfId="25287" xr:uid="{1E3DAAA1-4A4A-4833-94DD-D692B757DC6F}"/>
    <cellStyle name="Migliaia 4 4 7 2 3" xfId="5935" xr:uid="{408F663B-858B-44C1-8281-3575D610D6BF}"/>
    <cellStyle name="Migliaia 4 4 7 2 3 2" xfId="21115" xr:uid="{D19E7E16-91E5-45E4-829E-45F0AEEDACA1}"/>
    <cellStyle name="Migliaia 4 4 7 2 4" xfId="17827" xr:uid="{49F7C9C1-1EDE-4BA7-B419-984E696D3B06}"/>
    <cellStyle name="Migliaia 4 4 7 3" xfId="3505" xr:uid="{6841F554-C5A4-4CE0-893E-5F6110FD9A08}"/>
    <cellStyle name="Migliaia 4 4 7 3 2" xfId="10993" xr:uid="{93CFEC52-BCB0-4619-979E-C479ADC68465}"/>
    <cellStyle name="Migliaia 4 4 7 3 2 2" xfId="14539" xr:uid="{43F28552-208A-4FBE-BF9D-9ADEBDCDC38D}"/>
    <cellStyle name="Migliaia 4 4 7 3 2 2 2" xfId="29716" xr:uid="{38872106-69A6-42CD-BC26-0C0D075F4585}"/>
    <cellStyle name="Migliaia 4 4 7 3 2 3" xfId="26171" xr:uid="{7AE8802A-49DD-41B2-B3CF-47F2990B0F63}"/>
    <cellStyle name="Migliaia 4 4 7 3 3" xfId="6819" xr:uid="{5F0F4DC2-9F7F-441B-BBA9-88C12F2D10B1}"/>
    <cellStyle name="Migliaia 4 4 7 3 3 2" xfId="21999" xr:uid="{BF49295A-B9D0-472E-88DB-E80FB2CEAA62}"/>
    <cellStyle name="Migliaia 4 4 7 3 4" xfId="18711" xr:uid="{298649F4-E29F-4B67-977A-BD7303861ABA}"/>
    <cellStyle name="Migliaia 4 4 7 4" xfId="4635" xr:uid="{BCBAD7E1-24B8-4E7D-8C9B-D5072EBAF8E5}"/>
    <cellStyle name="Migliaia 4 4 7 4 2" xfId="12120" xr:uid="{1D6ECDFE-0E5C-4745-BE97-EA976B6998CD}"/>
    <cellStyle name="Migliaia 4 4 7 4 2 2" xfId="15666" xr:uid="{F56FF620-327B-4D54-90B1-3B51F6AA0A8F}"/>
    <cellStyle name="Migliaia 4 4 7 4 2 2 2" xfId="30843" xr:uid="{C27552F4-FDE1-4ACA-9517-D6BF803071EF}"/>
    <cellStyle name="Migliaia 4 4 7 4 2 3" xfId="27298" xr:uid="{6EDF0DA6-CAE8-4F4B-8E42-62CC0BE45331}"/>
    <cellStyle name="Migliaia 4 4 7 4 3" xfId="7946" xr:uid="{E418013A-38EE-42B5-87C6-1A3E1396A69D}"/>
    <cellStyle name="Migliaia 4 4 7 4 3 2" xfId="23126" xr:uid="{8940BF60-624A-4875-A578-775292249683}"/>
    <cellStyle name="Migliaia 4 4 7 4 4" xfId="19838" xr:uid="{93FAB8FC-FB21-4ABF-976B-6DDD1A92B9B7}"/>
    <cellStyle name="Migliaia 4 4 7 5" xfId="8711" xr:uid="{3F04EB5F-F48B-42FE-BAF9-16E757BEDED5}"/>
    <cellStyle name="Migliaia 4 4 7 5 2" xfId="12884" xr:uid="{B8E67B16-D9C7-4295-870B-596D2457F4ED}"/>
    <cellStyle name="Migliaia 4 4 7 5 2 2" xfId="28061" xr:uid="{89D9C62D-7626-421B-B251-82DE80671287}"/>
    <cellStyle name="Migliaia 4 4 7 5 3" xfId="23889" xr:uid="{DB0F0455-9215-4E04-952B-C0207CF99755}"/>
    <cellStyle name="Migliaia 4 4 7 6" xfId="16429" xr:uid="{781E8A19-08FB-4110-8748-ADC8B62C6398}"/>
    <cellStyle name="Migliaia 4 4 8" xfId="1236" xr:uid="{7835074A-A05E-4969-9AD6-DE9FBAB380D8}"/>
    <cellStyle name="Migliaia 4 4 8 10" xfId="31295" xr:uid="{9117092B-BC55-402A-9F9D-0DA86B5BC883}"/>
    <cellStyle name="Migliaia 4 4 8 2" xfId="2666" xr:uid="{597C9D84-18BD-4F9C-85C9-1D086CFFE530}"/>
    <cellStyle name="Migliaia 4 4 8 2 2" xfId="10157" xr:uid="{A01B5F5B-2A78-4EC8-93D4-1DF05090DBCE}"/>
    <cellStyle name="Migliaia 4 4 8 2 2 2" xfId="13801" xr:uid="{D21A72D6-454D-4DC0-912D-C9B4A11D45CE}"/>
    <cellStyle name="Migliaia 4 4 8 2 2 2 2" xfId="28978" xr:uid="{341C8DC8-1843-4107-8983-E0B5026A3535}"/>
    <cellStyle name="Migliaia 4 4 8 2 2 3" xfId="25335" xr:uid="{53BA8700-5DFB-4433-A676-55B4A352439F}"/>
    <cellStyle name="Migliaia 4 4 8 2 3" xfId="5983" xr:uid="{F4BD1FDD-7120-4BDC-817F-F6E07599BEC2}"/>
    <cellStyle name="Migliaia 4 4 8 2 3 2" xfId="21163" xr:uid="{B932764F-BB3A-4617-946F-BBDAEB3D3BF8}"/>
    <cellStyle name="Migliaia 4 4 8 2 4" xfId="17875" xr:uid="{6CE4CED0-84A2-4690-8145-EDE8335E85FA}"/>
    <cellStyle name="Migliaia 4 4 8 3" xfId="3553" xr:uid="{19DE3AC7-D4E0-49C1-B376-9AA7EB318C4C}"/>
    <cellStyle name="Migliaia 4 4 8 3 2" xfId="11041" xr:uid="{836C54B0-178F-42E3-903B-13ED4334E1A0}"/>
    <cellStyle name="Migliaia 4 4 8 3 2 2" xfId="14587" xr:uid="{B014F94D-7DAF-45A8-A4DF-4400BFE7A236}"/>
    <cellStyle name="Migliaia 4 4 8 3 2 2 2" xfId="29764" xr:uid="{CC64B80E-FA49-49A9-A164-F6D84B6A2AA6}"/>
    <cellStyle name="Migliaia 4 4 8 3 2 3" xfId="26219" xr:uid="{7A4994A5-D2FF-48DD-B9A9-281700748880}"/>
    <cellStyle name="Migliaia 4 4 8 3 3" xfId="6867" xr:uid="{D63AA74A-C401-4BF5-BA6E-A42A10ABF2B9}"/>
    <cellStyle name="Migliaia 4 4 8 3 3 2" xfId="22047" xr:uid="{63BA727C-659C-4F73-BC04-CCEC22E556B0}"/>
    <cellStyle name="Migliaia 4 4 8 3 4" xfId="18759" xr:uid="{E9C87657-493E-4D45-AB0C-29D3F5A84B36}"/>
    <cellStyle name="Migliaia 4 4 8 4" xfId="4636" xr:uid="{ED817919-9FA6-4B6D-BF37-31A8FD2BC90F}"/>
    <cellStyle name="Migliaia 4 4 8 4 2" xfId="12121" xr:uid="{F956B7DE-60CC-4FD5-B019-6DEB773E7E81}"/>
    <cellStyle name="Migliaia 4 4 8 4 2 2" xfId="15667" xr:uid="{C9960B1D-B4E3-4476-9621-086CA76E062A}"/>
    <cellStyle name="Migliaia 4 4 8 4 2 2 2" xfId="30844" xr:uid="{8BDA421F-9ABB-4AF9-8407-4EDF1EEEAEE2}"/>
    <cellStyle name="Migliaia 4 4 8 4 2 3" xfId="27299" xr:uid="{FEB29D50-13AF-49B6-9AD4-A0CC415796D0}"/>
    <cellStyle name="Migliaia 4 4 8 4 3" xfId="7947" xr:uid="{77C1857C-5EF4-4360-ABE4-F274AE9ADA6F}"/>
    <cellStyle name="Migliaia 4 4 8 4 3 2" xfId="23127" xr:uid="{EA6EC439-0103-419D-A5FD-5458E1571916}"/>
    <cellStyle name="Migliaia 4 4 8 4 4" xfId="19839" xr:uid="{8168704C-4652-44F0-83C5-3A7DBF09F5D9}"/>
    <cellStyle name="Migliaia 4 4 8 5" xfId="4955" xr:uid="{5B664653-588A-474D-90C8-3F24B5FE42FF}"/>
    <cellStyle name="Migliaia 4 4 8 5 2" xfId="12439" xr:uid="{3E6BBBEA-7773-43BB-B915-B5D50B72C427}"/>
    <cellStyle name="Migliaia 4 4 8 5 2 2" xfId="15985" xr:uid="{FE60F4F0-4782-48B2-A3D2-9BBFD746DD52}"/>
    <cellStyle name="Migliaia 4 4 8 5 2 2 2" xfId="31162" xr:uid="{D791CE60-5BC6-439E-B537-B658C3F1F8E9}"/>
    <cellStyle name="Migliaia 4 4 8 5 2 3" xfId="27617" xr:uid="{D9609B21-6421-4315-B2E4-49A2AAA19257}"/>
    <cellStyle name="Migliaia 4 4 8 5 3" xfId="8265" xr:uid="{B9B7B28A-6B95-4FB4-BA7E-4057EE2145DB}"/>
    <cellStyle name="Migliaia 4 4 8 5 3 2" xfId="23445" xr:uid="{FECDE902-E3C6-4850-BF1B-DB9AAAB2FD27}"/>
    <cellStyle name="Migliaia 4 4 8 5 4" xfId="20157" xr:uid="{162FF287-8201-435C-AEDF-E3BC8A0B84AC}"/>
    <cellStyle name="Migliaia 4 4 8 6" xfId="1776" xr:uid="{601EE9D0-2559-46A7-B682-7AC49488B2CF}"/>
    <cellStyle name="Migliaia 4 4 8 6 2" xfId="9273" xr:uid="{68D6F16B-F3AA-4142-B58F-3A9DF393DAF1}"/>
    <cellStyle name="Migliaia 4 4 8 6 2 2" xfId="24451" xr:uid="{8A05D3CC-E64B-40AE-B715-E20E1DBC9029}"/>
    <cellStyle name="Migliaia 4 4 8 6 3" xfId="16991" xr:uid="{8EF39E19-9FBC-4E65-99BC-712BCD3746BE}"/>
    <cellStyle name="Migliaia 4 4 8 7" xfId="8759" xr:uid="{703A1EB1-827A-4CEB-BCEA-D9AAFB4EE48D}"/>
    <cellStyle name="Migliaia 4 4 8 7 2" xfId="12932" xr:uid="{07C5726C-C7AC-40BA-A390-BEF81F0DF3D7}"/>
    <cellStyle name="Migliaia 4 4 8 7 2 2" xfId="28109" xr:uid="{59ECDAF4-BCDF-4430-B232-060EE4DC1E3D}"/>
    <cellStyle name="Migliaia 4 4 8 7 3" xfId="23937" xr:uid="{0BDBAEEE-2E72-4657-8243-3DE7437900E8}"/>
    <cellStyle name="Migliaia 4 4 8 8" xfId="5099" xr:uid="{9801B422-D018-47AE-9EF5-B714A9B6DECE}"/>
    <cellStyle name="Migliaia 4 4 8 8 2" xfId="20279" xr:uid="{8BEED0AD-0D26-4A9A-B18A-BA203E6A4928}"/>
    <cellStyle name="Migliaia 4 4 8 9" xfId="16477" xr:uid="{BE7FC4E1-46E5-4217-8578-0B130174F8A0}"/>
    <cellStyle name="Migliaia 4 4 9" xfId="1338" xr:uid="{2AC82083-FA45-4DD6-B7D4-BA5ADED10850}"/>
    <cellStyle name="Migliaia 4 4 9 2" xfId="2764" xr:uid="{A4A19FE6-4319-4358-99EF-7C4D15EB96BB}"/>
    <cellStyle name="Migliaia 4 4 9 2 2" xfId="10255" xr:uid="{1A169159-3369-41FE-8DE5-0FB0BD5071A9}"/>
    <cellStyle name="Migliaia 4 4 9 2 2 2" xfId="13850" xr:uid="{F5A27C06-BF71-47DE-9AC0-01024348EA7C}"/>
    <cellStyle name="Migliaia 4 4 9 2 2 2 2" xfId="29027" xr:uid="{0D4A9BC4-2E12-473D-B248-112D0223A367}"/>
    <cellStyle name="Migliaia 4 4 9 2 2 3" xfId="25433" xr:uid="{901F1E52-5EA2-4ABD-9196-84B8A875F11F}"/>
    <cellStyle name="Migliaia 4 4 9 2 3" xfId="6081" xr:uid="{24DD62D0-A32D-430F-9B27-E64E5E78EEC0}"/>
    <cellStyle name="Migliaia 4 4 9 2 3 2" xfId="21261" xr:uid="{A8895319-485B-4B08-9214-37C9292FD183}"/>
    <cellStyle name="Migliaia 4 4 9 2 4" xfId="17973" xr:uid="{B694BCF9-46A1-436D-9310-588083D3DC0F}"/>
    <cellStyle name="Migliaia 4 4 9 3" xfId="3651" xr:uid="{42C27C93-5ED3-44E7-BB57-A293F0871E76}"/>
    <cellStyle name="Migliaia 4 4 9 3 2" xfId="11139" xr:uid="{4B96D835-2702-419A-AEE1-CE3BF76DBEBC}"/>
    <cellStyle name="Migliaia 4 4 9 3 2 2" xfId="14685" xr:uid="{416F4A38-C47B-4D07-809F-9C89063DCE69}"/>
    <cellStyle name="Migliaia 4 4 9 3 2 2 2" xfId="29862" xr:uid="{F8628772-7243-4E6E-877F-DED5D4934A7E}"/>
    <cellStyle name="Migliaia 4 4 9 3 2 3" xfId="26317" xr:uid="{E1EB3E70-D059-44DA-9120-DD96934FED67}"/>
    <cellStyle name="Migliaia 4 4 9 3 3" xfId="6965" xr:uid="{46FF7F09-5691-41F4-91DF-77E8D532F932}"/>
    <cellStyle name="Migliaia 4 4 9 3 3 2" xfId="22145" xr:uid="{0EC150AD-2A00-458C-B054-8E92DD25CE30}"/>
    <cellStyle name="Migliaia 4 4 9 3 4" xfId="18857" xr:uid="{C7361897-2083-4154-842C-27E2852FBFD0}"/>
    <cellStyle name="Migliaia 4 4 9 4" xfId="4637" xr:uid="{3C2634C6-E919-4E6E-9A24-968ED9F59319}"/>
    <cellStyle name="Migliaia 4 4 9 4 2" xfId="12122" xr:uid="{DFCD6F99-1A96-4CC0-B864-793A005350EE}"/>
    <cellStyle name="Migliaia 4 4 9 4 2 2" xfId="15668" xr:uid="{62CEA921-7E7E-4F94-A60E-240E5E10B4BE}"/>
    <cellStyle name="Migliaia 4 4 9 4 2 2 2" xfId="30845" xr:uid="{FE7D6988-88A3-4EFA-AE38-93499393BC42}"/>
    <cellStyle name="Migliaia 4 4 9 4 2 3" xfId="27300" xr:uid="{B9175882-BC76-4FA4-98D6-6F14648FA2F9}"/>
    <cellStyle name="Migliaia 4 4 9 4 3" xfId="7948" xr:uid="{2B90DEF0-881D-475C-A8AE-029F05356CA3}"/>
    <cellStyle name="Migliaia 4 4 9 4 3 2" xfId="23128" xr:uid="{EAC513AD-2B1C-4789-B706-CE979D6B4F73}"/>
    <cellStyle name="Migliaia 4 4 9 4 4" xfId="19840" xr:uid="{5714E77E-3C5C-4746-AB45-81E7931113B7}"/>
    <cellStyle name="Migliaia 4 4 9 5" xfId="1874" xr:uid="{086A0B53-3C29-4C1D-B7D9-19FF11140A1D}"/>
    <cellStyle name="Migliaia 4 4 9 5 2" xfId="9371" xr:uid="{05E791E0-3ED3-4C99-A895-D810588C4502}"/>
    <cellStyle name="Migliaia 4 4 9 5 2 2" xfId="24549" xr:uid="{741132B4-BE38-468C-B000-BFF85F2132B7}"/>
    <cellStyle name="Migliaia 4 4 9 5 3" xfId="17089" xr:uid="{6452D4B2-B68A-49C5-B12A-943F2A6363F1}"/>
    <cellStyle name="Migliaia 4 4 9 6" xfId="8857" xr:uid="{BCF686C4-06F5-490E-B3D0-12A8CA44B96D}"/>
    <cellStyle name="Migliaia 4 4 9 6 2" xfId="13030" xr:uid="{DE87C21B-EEA2-4273-81F5-FD3E92D34CED}"/>
    <cellStyle name="Migliaia 4 4 9 6 2 2" xfId="28207" xr:uid="{71294A14-E80A-439B-9311-9C1B3A7E5024}"/>
    <cellStyle name="Migliaia 4 4 9 6 3" xfId="24035" xr:uid="{ADBCEC46-5D03-4121-A53B-177BCFC7F279}"/>
    <cellStyle name="Migliaia 4 4 9 7" xfId="5197" xr:uid="{34EA03AD-447D-4E05-BBB2-2649F1E0C3DE}"/>
    <cellStyle name="Migliaia 4 4 9 7 2" xfId="20377" xr:uid="{BE320F9B-7E77-4C36-8D8D-8C2337444B4E}"/>
    <cellStyle name="Migliaia 4 4 9 8" xfId="16575" xr:uid="{857E6F2A-4AA6-4B80-8618-F81E9D52460A}"/>
    <cellStyle name="Migliaia 4 5" xfId="470" xr:uid="{A4E785EC-9F7C-43C9-90CA-68213BD87174}"/>
    <cellStyle name="Migliaia 4 5 2" xfId="583" xr:uid="{D24072AD-D4D4-414A-A20C-1A45C8A3B351}"/>
    <cellStyle name="Migliaia 4 5 2 2" xfId="9861" xr:uid="{F0F19742-80D8-4B15-A135-A6F0093F39AE}"/>
    <cellStyle name="Migliaia 4 5 2 2 2" xfId="13520" xr:uid="{2AA125AD-1DC0-480A-9B8D-5FF5A1FF77DF}"/>
    <cellStyle name="Migliaia 4 5 2 2 2 2" xfId="28697" xr:uid="{7032A1C1-9F5D-442D-8EA7-7E64FEF30C06}"/>
    <cellStyle name="Migliaia 4 5 2 2 3" xfId="25039" xr:uid="{3F17A416-740A-43C4-9D01-4E9A6865AB8A}"/>
    <cellStyle name="Migliaia 4 5 2 3" xfId="5687" xr:uid="{E7F1B0FD-D734-4EB2-90BB-BF129D8C866E}"/>
    <cellStyle name="Migliaia 4 5 2 3 2" xfId="20867" xr:uid="{F5EDF86E-4458-4D29-A74D-059C79DE1C3D}"/>
    <cellStyle name="Migliaia 4 5 2 4" xfId="17579" xr:uid="{7E5E94B3-AD0B-4839-9EEE-CF8106292E74}"/>
    <cellStyle name="Migliaia 4 5 2 5" xfId="2367" xr:uid="{C4A5A677-902F-4451-9C16-554443394495}"/>
    <cellStyle name="Migliaia 4 5 3" xfId="3257" xr:uid="{39DE9D8E-62C2-4189-A5B0-3699F577AE61}"/>
    <cellStyle name="Migliaia 4 5 3 2" xfId="10745" xr:uid="{E181D5A5-7543-40BA-8C51-FBBF2D0A9B1A}"/>
    <cellStyle name="Migliaia 4 5 3 2 2" xfId="14291" xr:uid="{B715BA84-B61D-496A-91E3-09E983DA2CFE}"/>
    <cellStyle name="Migliaia 4 5 3 2 2 2" xfId="29468" xr:uid="{65BFD4C4-C981-4B82-AF05-12DE66CA26AC}"/>
    <cellStyle name="Migliaia 4 5 3 2 3" xfId="25923" xr:uid="{8D24459E-0DC2-4E22-BF81-4AB4905F772D}"/>
    <cellStyle name="Migliaia 4 5 3 3" xfId="6571" xr:uid="{77AF597E-9D21-44F3-B603-B77625BBC6D9}"/>
    <cellStyle name="Migliaia 4 5 3 3 2" xfId="21751" xr:uid="{F941D8BA-FDDF-4EC0-91F5-82D9F38DF899}"/>
    <cellStyle name="Migliaia 4 5 3 4" xfId="18463" xr:uid="{E6B24704-3EEA-4A52-A34F-066F271B6F2E}"/>
    <cellStyle name="Migliaia 4 5 4" xfId="4638" xr:uid="{B88413C2-F10C-4F40-BE12-CA9E0B44AFA1}"/>
    <cellStyle name="Migliaia 4 5 4 2" xfId="12123" xr:uid="{6E041D09-5B35-4420-A2F0-B738D2DF5190}"/>
    <cellStyle name="Migliaia 4 5 4 2 2" xfId="15669" xr:uid="{73407C8C-B60F-457C-B320-53DF022B97AE}"/>
    <cellStyle name="Migliaia 4 5 4 2 2 2" xfId="30846" xr:uid="{5AF6BD3E-C002-4884-A959-1F0727372F71}"/>
    <cellStyle name="Migliaia 4 5 4 2 3" xfId="27301" xr:uid="{2ED3430A-5BB3-4495-882E-614C254E71D6}"/>
    <cellStyle name="Migliaia 4 5 4 3" xfId="7949" xr:uid="{A0D613F4-134F-4A9B-BFFB-EAF39B97DF4C}"/>
    <cellStyle name="Migliaia 4 5 4 3 2" xfId="23129" xr:uid="{1D14CF91-2587-4FCC-8E8B-26284B02484D}"/>
    <cellStyle name="Migliaia 4 5 4 4" xfId="19841" xr:uid="{0EDD59D2-6FB2-4EF2-AC64-A17572797362}"/>
    <cellStyle name="Migliaia 4 5 5" xfId="8463" xr:uid="{54A4371B-0FCD-4E37-B736-9F26EA888473}"/>
    <cellStyle name="Migliaia 4 5 5 2" xfId="12636" xr:uid="{2E1A8B49-03BB-43F0-840D-58EE60ECCFE7}"/>
    <cellStyle name="Migliaia 4 5 5 2 2" xfId="27813" xr:uid="{A2804DF3-050B-4F91-8305-48B56B3F1EA6}"/>
    <cellStyle name="Migliaia 4 5 5 3" xfId="23641" xr:uid="{8B7FEDCB-8A34-41B8-BA60-21C739E34B26}"/>
    <cellStyle name="Migliaia 4 5 6" xfId="16181" xr:uid="{57276503-CBB1-4107-9502-5FAA6D0FD054}"/>
    <cellStyle name="Migliaia 4 5 7" xfId="31621" xr:uid="{C5DD80F5-52F2-445A-BB1F-390E0FB832ED}"/>
    <cellStyle name="Migliaia 4 5 8" xfId="849" xr:uid="{1F6F5D27-5AD7-4F9A-A14E-8166FB1E9BD4}"/>
    <cellStyle name="Migliaia 4 6" xfId="546" xr:uid="{7840A00B-0B6F-4A62-A93E-3FBD4B856F8D}"/>
    <cellStyle name="Migliaia 4 6 10" xfId="31271" xr:uid="{F426E40A-E84E-41E7-85FA-DB0750713A67}"/>
    <cellStyle name="Migliaia 4 6 11" xfId="1212" xr:uid="{639CD193-5ACD-4B21-A8CA-D5A3EDDE7D73}"/>
    <cellStyle name="Migliaia 4 6 2" xfId="2642" xr:uid="{5F378F5B-20CF-44CF-9D0D-1DBF7E73CBA9}"/>
    <cellStyle name="Migliaia 4 6 2 2" xfId="10133" xr:uid="{7A015FBA-4DD2-4B4C-9FD4-7CB7E71B1B8F}"/>
    <cellStyle name="Migliaia 4 6 2 2 2" xfId="13791" xr:uid="{4A8480BB-79D2-4009-8DBD-987D72725F88}"/>
    <cellStyle name="Migliaia 4 6 2 2 2 2" xfId="28968" xr:uid="{E156FA32-A8B5-44A9-A412-23B77135D9BD}"/>
    <cellStyle name="Migliaia 4 6 2 2 3" xfId="25311" xr:uid="{21D4E5C1-7481-4DD5-A3EA-812622EF06AC}"/>
    <cellStyle name="Migliaia 4 6 2 3" xfId="5959" xr:uid="{9D4A832B-2407-491C-BC23-B0FAFCB10C66}"/>
    <cellStyle name="Migliaia 4 6 2 3 2" xfId="21139" xr:uid="{E4E3D541-FE80-45BC-94B7-89C397E48408}"/>
    <cellStyle name="Migliaia 4 6 2 4" xfId="17851" xr:uid="{6DF588AE-46D4-4553-B192-89E60D15E497}"/>
    <cellStyle name="Migliaia 4 6 3" xfId="3529" xr:uid="{DD93975D-BC1A-4FBD-BBAF-EFB98D84012E}"/>
    <cellStyle name="Migliaia 4 6 3 2" xfId="11017" xr:uid="{A8389F34-1147-414E-AE78-BC683D295FB7}"/>
    <cellStyle name="Migliaia 4 6 3 2 2" xfId="14563" xr:uid="{EDA5B67F-D553-4BF0-9C7C-984D5927D72A}"/>
    <cellStyle name="Migliaia 4 6 3 2 2 2" xfId="29740" xr:uid="{83CF8543-1C5A-4FAE-8750-8C12543D1991}"/>
    <cellStyle name="Migliaia 4 6 3 2 3" xfId="26195" xr:uid="{89FB0BA4-3724-43D3-BE79-E1CB801C9022}"/>
    <cellStyle name="Migliaia 4 6 3 3" xfId="6843" xr:uid="{5D7871C5-D176-4F4A-8F05-632AECE4F722}"/>
    <cellStyle name="Migliaia 4 6 3 3 2" xfId="22023" xr:uid="{9FE86F84-EF90-4220-964F-5181B971B341}"/>
    <cellStyle name="Migliaia 4 6 3 4" xfId="18735" xr:uid="{9D29AB2E-D1FF-4FB5-85A8-09BE10E0B6D0}"/>
    <cellStyle name="Migliaia 4 6 4" xfId="4639" xr:uid="{82B7E7B8-4887-4B9C-86DB-2FD2A21E826A}"/>
    <cellStyle name="Migliaia 4 6 4 2" xfId="12124" xr:uid="{852F1AD6-48C4-4622-90E3-8C2A8A009D65}"/>
    <cellStyle name="Migliaia 4 6 4 2 2" xfId="15670" xr:uid="{4E1CDF9D-C7A4-4E38-85EF-F781DE92CF08}"/>
    <cellStyle name="Migliaia 4 6 4 2 2 2" xfId="30847" xr:uid="{D1D4C46B-A699-4BE5-A91C-982256A58A4A}"/>
    <cellStyle name="Migliaia 4 6 4 2 3" xfId="27302" xr:uid="{0DFAB73F-EC5E-47B5-89AB-CD52660FBEB7}"/>
    <cellStyle name="Migliaia 4 6 4 3" xfId="7950" xr:uid="{52520A9A-A55A-40D9-8E47-E67175E2676E}"/>
    <cellStyle name="Migliaia 4 6 4 3 2" xfId="23130" xr:uid="{89318208-F457-40A4-9D27-90E613DCE0D6}"/>
    <cellStyle name="Migliaia 4 6 4 4" xfId="19842" xr:uid="{741566DE-257C-48ED-8BA4-0677311B24ED}"/>
    <cellStyle name="Migliaia 4 6 5" xfId="4931" xr:uid="{865686D9-9639-4EAD-BF91-AD21B1F74E59}"/>
    <cellStyle name="Migliaia 4 6 5 2" xfId="12415" xr:uid="{A45DDE56-B611-48DB-963D-CAAFA2799EE9}"/>
    <cellStyle name="Migliaia 4 6 5 2 2" xfId="15961" xr:uid="{988E364A-691F-4A20-A91A-E5CFB35555F1}"/>
    <cellStyle name="Migliaia 4 6 5 2 2 2" xfId="31138" xr:uid="{DFD61589-BFE7-470D-B01B-1F9AA92A3A76}"/>
    <cellStyle name="Migliaia 4 6 5 2 3" xfId="27593" xr:uid="{403BDA97-5079-41DE-AA84-F5377282C148}"/>
    <cellStyle name="Migliaia 4 6 5 3" xfId="8241" xr:uid="{A0688903-6AD8-4803-B986-6E95644BDF65}"/>
    <cellStyle name="Migliaia 4 6 5 3 2" xfId="23421" xr:uid="{1C1546CB-3AE7-4BB6-ABFD-9D5A19D0CFF1}"/>
    <cellStyle name="Migliaia 4 6 5 4" xfId="20133" xr:uid="{E2531358-4455-4229-AF44-1F5634A5A632}"/>
    <cellStyle name="Migliaia 4 6 6" xfId="1752" xr:uid="{8BC73679-F321-4545-842F-9EDAEB494E39}"/>
    <cellStyle name="Migliaia 4 6 6 2" xfId="9249" xr:uid="{475D0FF1-DDB8-426E-AF82-0A6B5EDA5BD9}"/>
    <cellStyle name="Migliaia 4 6 6 2 2" xfId="24427" xr:uid="{01054FD8-C91D-49FA-A9ED-6EC32D4976F3}"/>
    <cellStyle name="Migliaia 4 6 6 3" xfId="16967" xr:uid="{D1F83DF6-4817-49B6-BB2F-658A828D21E0}"/>
    <cellStyle name="Migliaia 4 6 7" xfId="8735" xr:uid="{3D88302B-A65F-4CB2-90D5-E1AE3648592B}"/>
    <cellStyle name="Migliaia 4 6 7 2" xfId="12908" xr:uid="{9E702F06-2A13-4DF2-9E0B-4246E65D7400}"/>
    <cellStyle name="Migliaia 4 6 7 2 2" xfId="28085" xr:uid="{3E900356-6B92-477D-B8B0-1755AF3529D4}"/>
    <cellStyle name="Migliaia 4 6 7 3" xfId="23913" xr:uid="{9A45BE29-141B-4BD7-BA5D-1AE38D5B2FB6}"/>
    <cellStyle name="Migliaia 4 6 8" xfId="5075" xr:uid="{6FFCBB07-E3C2-48DC-AB6B-47CC6EB7E192}"/>
    <cellStyle name="Migliaia 4 6 8 2" xfId="20255" xr:uid="{8DDB61E6-E6E0-40F9-94B7-89F7FC3B41AA}"/>
    <cellStyle name="Migliaia 4 6 9" xfId="16453" xr:uid="{BC583668-EAED-426A-99D1-CA4EE00ED4F3}"/>
    <cellStyle name="Migliaia 4 7" xfId="31401" xr:uid="{C141F9C0-0D0F-4E63-83CF-6933A0AEC01B}"/>
    <cellStyle name="Migliaia 4 8" xfId="609" xr:uid="{6B5FB13A-B13C-4043-8E52-B876444BF947}"/>
    <cellStyle name="Migliaia 5" xfId="181" xr:uid="{F65DF494-0F29-47F8-AF5D-B8932151090E}"/>
    <cellStyle name="Migliaia 5 2" xfId="254" xr:uid="{CE8283C8-733C-4890-87E3-9C088B1D8450}"/>
    <cellStyle name="Migliaia 5 2 2" xfId="404" xr:uid="{C8F3B41B-D54F-48AC-835D-C8B8844CBD25}"/>
    <cellStyle name="Migliaia 5 2 2 2" xfId="493" xr:uid="{ED95B1A0-9C11-4EB6-8D79-5CCD07FEE373}"/>
    <cellStyle name="Migliaia 5 2 2 2 10" xfId="1459" xr:uid="{E3AF225D-9227-49C0-B407-06BE39DF33BB}"/>
    <cellStyle name="Migliaia 5 2 2 2 10 2" xfId="2884" xr:uid="{85DF55CE-4F40-48D0-B570-FB4CC0B0E6B6}"/>
    <cellStyle name="Migliaia 5 2 2 2 10 2 2" xfId="10375" xr:uid="{E37000DD-5122-402F-891F-27CF29578688}"/>
    <cellStyle name="Migliaia 5 2 2 2 10 2 2 2" xfId="13921" xr:uid="{C518C656-AF71-432C-B118-DE69B1BA09B5}"/>
    <cellStyle name="Migliaia 5 2 2 2 10 2 2 2 2" xfId="29098" xr:uid="{A37F4016-15FA-4297-9667-2E8EEB3A7D63}"/>
    <cellStyle name="Migliaia 5 2 2 2 10 2 2 3" xfId="25553" xr:uid="{34FA122A-1272-4960-ADD8-F722944AF9CF}"/>
    <cellStyle name="Migliaia 5 2 2 2 10 2 3" xfId="6201" xr:uid="{439270CA-7AF7-4B49-ACAC-6248F0800CEE}"/>
    <cellStyle name="Migliaia 5 2 2 2 10 2 3 2" xfId="21381" xr:uid="{C0C204D5-8CB9-4ADB-A16C-061D5EACF952}"/>
    <cellStyle name="Migliaia 5 2 2 2 10 2 4" xfId="18093" xr:uid="{A9DFCE20-4D92-4FC3-B759-2DE2D4E46B54}"/>
    <cellStyle name="Migliaia 5 2 2 2 10 3" xfId="3771" xr:uid="{BB086E30-B27E-4CB8-B172-05A18755CAA5}"/>
    <cellStyle name="Migliaia 5 2 2 2 10 3 2" xfId="11259" xr:uid="{3B04E5CB-A9E2-4D99-8A19-6D97B38EC199}"/>
    <cellStyle name="Migliaia 5 2 2 2 10 3 2 2" xfId="14805" xr:uid="{B00480C8-B517-453C-AE70-8487E60E9EC3}"/>
    <cellStyle name="Migliaia 5 2 2 2 10 3 2 2 2" xfId="29982" xr:uid="{C11E3B97-4C05-42A4-A4E5-15C40345E90C}"/>
    <cellStyle name="Migliaia 5 2 2 2 10 3 2 3" xfId="26437" xr:uid="{A0097965-2775-492C-A545-54852BB96141}"/>
    <cellStyle name="Migliaia 5 2 2 2 10 3 3" xfId="7085" xr:uid="{513030DD-4DE8-4D02-A4EE-57AA8BC94A27}"/>
    <cellStyle name="Migliaia 5 2 2 2 10 3 3 2" xfId="22265" xr:uid="{1F55F3AD-78CE-4484-83C5-163FDA016515}"/>
    <cellStyle name="Migliaia 5 2 2 2 10 3 4" xfId="18977" xr:uid="{C20E5B19-2ADE-41E4-A71A-EB1F66E9EF4C}"/>
    <cellStyle name="Migliaia 5 2 2 2 10 4" xfId="4640" xr:uid="{311A6391-6010-4800-B39B-49832A192A6D}"/>
    <cellStyle name="Migliaia 5 2 2 2 10 4 2" xfId="12125" xr:uid="{3EDFDB67-D116-434C-B129-3340A6AAE29F}"/>
    <cellStyle name="Migliaia 5 2 2 2 10 4 2 2" xfId="15671" xr:uid="{D622411F-FBC1-4EB2-8F0A-FD535BBBABBE}"/>
    <cellStyle name="Migliaia 5 2 2 2 10 4 2 2 2" xfId="30848" xr:uid="{B6960D22-7A67-4BF0-829F-4911C1AC3FB9}"/>
    <cellStyle name="Migliaia 5 2 2 2 10 4 2 3" xfId="27303" xr:uid="{A129728A-2439-405F-A979-A04FE525771A}"/>
    <cellStyle name="Migliaia 5 2 2 2 10 4 3" xfId="7951" xr:uid="{0A70D136-D2A0-411A-AE27-C2B6D7316D2E}"/>
    <cellStyle name="Migliaia 5 2 2 2 10 4 3 2" xfId="23131" xr:uid="{11F3DE1D-C835-435F-BEE1-DC73E4267D7A}"/>
    <cellStyle name="Migliaia 5 2 2 2 10 4 4" xfId="19843" xr:uid="{2B164932-0A8B-497C-8935-0F8546CB4CF2}"/>
    <cellStyle name="Migliaia 5 2 2 2 10 5" xfId="1994" xr:uid="{FCBDE2EF-949B-49E6-BB07-B993E8FF04FD}"/>
    <cellStyle name="Migliaia 5 2 2 2 10 5 2" xfId="9491" xr:uid="{7C732437-E0F5-4A96-ADC7-AE3DDA20C8CD}"/>
    <cellStyle name="Migliaia 5 2 2 2 10 5 2 2" xfId="24669" xr:uid="{2ABC1498-A163-462D-BFA7-D153A1093853}"/>
    <cellStyle name="Migliaia 5 2 2 2 10 5 3" xfId="17209" xr:uid="{1E5295CC-1724-4A6D-B88A-DC18C5DCD49D}"/>
    <cellStyle name="Migliaia 5 2 2 2 10 6" xfId="8977" xr:uid="{DEC9C8DB-3DC5-4DEF-959B-19FEB1C27FBC}"/>
    <cellStyle name="Migliaia 5 2 2 2 10 6 2" xfId="13150" xr:uid="{0ADF88EA-0ED9-4C94-8564-E4E526F09D94}"/>
    <cellStyle name="Migliaia 5 2 2 2 10 6 2 2" xfId="28327" xr:uid="{4E3199C7-C4FD-443F-8985-BDC1247CDE1D}"/>
    <cellStyle name="Migliaia 5 2 2 2 10 6 3" xfId="24155" xr:uid="{749203BE-FEAB-4A15-A768-822445BEA9B0}"/>
    <cellStyle name="Migliaia 5 2 2 2 10 7" xfId="5317" xr:uid="{5FF287E9-FAF6-457F-A017-3F2A9E26BF74}"/>
    <cellStyle name="Migliaia 5 2 2 2 10 7 2" xfId="20497" xr:uid="{C7D8C9FE-9A20-44A6-A0F8-536EAC235424}"/>
    <cellStyle name="Migliaia 5 2 2 2 10 8" xfId="16695" xr:uid="{2067CC97-8578-4063-8E7D-D94AF0D56501}"/>
    <cellStyle name="Migliaia 5 2 2 2 11" xfId="1562" xr:uid="{1FBB2C82-6398-43EB-8E46-2FD569E25C2A}"/>
    <cellStyle name="Migliaia 5 2 2 2 11 2" xfId="2982" xr:uid="{801E791F-64A3-4B23-9685-02279F897EA0}"/>
    <cellStyle name="Migliaia 5 2 2 2 11 2 2" xfId="10473" xr:uid="{FE7F20DA-A74E-421D-915B-15DB9DF4FAA9}"/>
    <cellStyle name="Migliaia 5 2 2 2 11 2 2 2" xfId="14019" xr:uid="{BAE1ECA0-8CFC-4776-86F9-14262FD7ABA0}"/>
    <cellStyle name="Migliaia 5 2 2 2 11 2 2 2 2" xfId="29196" xr:uid="{D211CDD7-9B26-467D-958F-6376B7FD90D5}"/>
    <cellStyle name="Migliaia 5 2 2 2 11 2 2 3" xfId="25651" xr:uid="{75F869B2-4459-486B-9F2D-5C08A9ABDCB2}"/>
    <cellStyle name="Migliaia 5 2 2 2 11 2 3" xfId="6299" xr:uid="{8110AA74-079F-44F6-87AE-489409B31244}"/>
    <cellStyle name="Migliaia 5 2 2 2 11 2 3 2" xfId="21479" xr:uid="{56A968BD-530A-4033-8D52-0C1DE00986EF}"/>
    <cellStyle name="Migliaia 5 2 2 2 11 2 4" xfId="18191" xr:uid="{877A4562-322D-47BA-AA7F-9FEBD258BDAF}"/>
    <cellStyle name="Migliaia 5 2 2 2 11 3" xfId="3869" xr:uid="{0B8A3CAC-31F0-48C9-BEA5-766EC42C2831}"/>
    <cellStyle name="Migliaia 5 2 2 2 11 3 2" xfId="11357" xr:uid="{D0180449-CC74-4CA6-80E9-B1D246670C66}"/>
    <cellStyle name="Migliaia 5 2 2 2 11 3 2 2" xfId="14903" xr:uid="{E27F964A-E311-49D5-A8C8-010C1C2B07B3}"/>
    <cellStyle name="Migliaia 5 2 2 2 11 3 2 2 2" xfId="30080" xr:uid="{3E43D759-09E8-4C6A-B50A-C7683C40648E}"/>
    <cellStyle name="Migliaia 5 2 2 2 11 3 2 3" xfId="26535" xr:uid="{22590861-A196-49DE-9BAD-B21C1D466767}"/>
    <cellStyle name="Migliaia 5 2 2 2 11 3 3" xfId="7183" xr:uid="{1EEE0C74-B123-48A6-BAE4-F0ADBD999688}"/>
    <cellStyle name="Migliaia 5 2 2 2 11 3 3 2" xfId="22363" xr:uid="{7288EAC2-B089-42FD-9F34-E1C3DC6B386D}"/>
    <cellStyle name="Migliaia 5 2 2 2 11 3 4" xfId="19075" xr:uid="{1AF58F77-5DC4-40AC-BD2A-E2230D8D20F6}"/>
    <cellStyle name="Migliaia 5 2 2 2 11 4" xfId="4641" xr:uid="{6945A247-2975-4493-BE60-A7ED74AA7BB7}"/>
    <cellStyle name="Migliaia 5 2 2 2 11 4 2" xfId="12126" xr:uid="{815AF0FB-9402-4FF2-853C-D772F6606514}"/>
    <cellStyle name="Migliaia 5 2 2 2 11 4 2 2" xfId="15672" xr:uid="{D43C0E43-C2B5-471B-8B85-EFBB1B42452A}"/>
    <cellStyle name="Migliaia 5 2 2 2 11 4 2 2 2" xfId="30849" xr:uid="{C0E86778-D6B7-4B60-91AF-7D0E8190EAB5}"/>
    <cellStyle name="Migliaia 5 2 2 2 11 4 2 3" xfId="27304" xr:uid="{3CD586C0-AAA4-45F8-A831-61E3769347E5}"/>
    <cellStyle name="Migliaia 5 2 2 2 11 4 3" xfId="7952" xr:uid="{713DF7D6-6CE5-4ADF-BAF2-73767F10E319}"/>
    <cellStyle name="Migliaia 5 2 2 2 11 4 3 2" xfId="23132" xr:uid="{E6F4E3AB-A380-4E8B-BE7B-1F620DB6C44A}"/>
    <cellStyle name="Migliaia 5 2 2 2 11 4 4" xfId="19844" xr:uid="{EF79E091-E5C8-4095-8375-E3A14B30A45F}"/>
    <cellStyle name="Migliaia 5 2 2 2 11 5" xfId="2092" xr:uid="{3BB84A23-E7F8-4FDF-984E-A54A911563B7}"/>
    <cellStyle name="Migliaia 5 2 2 2 11 5 2" xfId="9589" xr:uid="{DF5F91F9-F20D-4A58-854B-4BC12A954801}"/>
    <cellStyle name="Migliaia 5 2 2 2 11 5 2 2" xfId="24767" xr:uid="{A57EF1D8-A05B-4FEB-873B-A3BCF77E5789}"/>
    <cellStyle name="Migliaia 5 2 2 2 11 5 3" xfId="17307" xr:uid="{EF53151B-CAD9-4642-8C7A-20E80AB19AC5}"/>
    <cellStyle name="Migliaia 5 2 2 2 11 6" xfId="9075" xr:uid="{C7AC2026-253C-42C1-BD3E-5F57481711ED}"/>
    <cellStyle name="Migliaia 5 2 2 2 11 6 2" xfId="13248" xr:uid="{7A825022-EA29-4B40-A14E-517810A54543}"/>
    <cellStyle name="Migliaia 5 2 2 2 11 6 2 2" xfId="28425" xr:uid="{9F88C44D-0854-4AFE-A666-BB285BB5E11A}"/>
    <cellStyle name="Migliaia 5 2 2 2 11 6 3" xfId="24253" xr:uid="{91622A7D-2517-48D0-B4B6-03369DF592E3}"/>
    <cellStyle name="Migliaia 5 2 2 2 11 7" xfId="5415" xr:uid="{D3F06777-AD94-40F1-8081-EAC7CB6F6FC8}"/>
    <cellStyle name="Migliaia 5 2 2 2 11 7 2" xfId="20595" xr:uid="{99B8322A-CFF7-4F57-911B-8FEE985B37C0}"/>
    <cellStyle name="Migliaia 5 2 2 2 11 8" xfId="16793" xr:uid="{65DFAABD-091A-4069-BDF1-0E42AEE2A569}"/>
    <cellStyle name="Migliaia 5 2 2 2 12" xfId="1661" xr:uid="{D40DA82D-4BC5-4A4B-9E86-45ACCB4880D8}"/>
    <cellStyle name="Migliaia 5 2 2 2 12 2" xfId="3080" xr:uid="{F28A2891-4AE7-4B78-8E22-3918FA4E48BE}"/>
    <cellStyle name="Migliaia 5 2 2 2 12 2 2" xfId="10571" xr:uid="{9AE9C703-E770-45E4-858B-86DBE44D73E8}"/>
    <cellStyle name="Migliaia 5 2 2 2 12 2 2 2" xfId="14117" xr:uid="{8A7435CA-876E-4E83-8215-6899EC1FBDDD}"/>
    <cellStyle name="Migliaia 5 2 2 2 12 2 2 2 2" xfId="29294" xr:uid="{95A6E0C6-271E-41C7-B88C-A5012F9E46E6}"/>
    <cellStyle name="Migliaia 5 2 2 2 12 2 2 3" xfId="25749" xr:uid="{59C7F7A0-BD82-4B0F-B870-EEE17D6AF3AF}"/>
    <cellStyle name="Migliaia 5 2 2 2 12 2 3" xfId="6397" xr:uid="{57AFA95E-D330-4C3D-9BC4-0B20954A37F2}"/>
    <cellStyle name="Migliaia 5 2 2 2 12 2 3 2" xfId="21577" xr:uid="{9D7F596F-8AC6-4C8E-9375-8D24956FF4FC}"/>
    <cellStyle name="Migliaia 5 2 2 2 12 2 4" xfId="18289" xr:uid="{C0379E95-FBB6-45BD-95AC-495A35732E5C}"/>
    <cellStyle name="Migliaia 5 2 2 2 12 3" xfId="3967" xr:uid="{6B0E2F34-61F9-47CC-9818-0F99995507DE}"/>
    <cellStyle name="Migliaia 5 2 2 2 12 3 2" xfId="11455" xr:uid="{D91DF727-2A59-4109-AFD3-E42EC6BCCD45}"/>
    <cellStyle name="Migliaia 5 2 2 2 12 3 2 2" xfId="15001" xr:uid="{9838D761-C78B-416C-813D-BC306B4D24F8}"/>
    <cellStyle name="Migliaia 5 2 2 2 12 3 2 2 2" xfId="30178" xr:uid="{6A6DAB5C-8BD0-4D38-A74A-CFCDD4AC5C3B}"/>
    <cellStyle name="Migliaia 5 2 2 2 12 3 2 3" xfId="26633" xr:uid="{0BD8C3E5-9C34-4655-8E77-23D015956978}"/>
    <cellStyle name="Migliaia 5 2 2 2 12 3 3" xfId="7281" xr:uid="{CFF28370-14BC-4BAD-BC48-6513226A8258}"/>
    <cellStyle name="Migliaia 5 2 2 2 12 3 3 2" xfId="22461" xr:uid="{87DFDAB3-6775-4E78-B87B-CB5C460DBAD4}"/>
    <cellStyle name="Migliaia 5 2 2 2 12 3 4" xfId="19173" xr:uid="{1961652C-6EA4-4B06-BF4C-AE43598DB8A7}"/>
    <cellStyle name="Migliaia 5 2 2 2 12 4" xfId="4642" xr:uid="{010C3C7F-48E2-4DB5-86A8-F1B59B485134}"/>
    <cellStyle name="Migliaia 5 2 2 2 12 4 2" xfId="12127" xr:uid="{B4F34D22-E8F0-4013-86E7-35A552FE576E}"/>
    <cellStyle name="Migliaia 5 2 2 2 12 4 2 2" xfId="15673" xr:uid="{6CCE79BC-1E99-4E8B-8967-BF967808F98A}"/>
    <cellStyle name="Migliaia 5 2 2 2 12 4 2 2 2" xfId="30850" xr:uid="{B69445EA-54DE-4ED2-881D-819FE7C657A8}"/>
    <cellStyle name="Migliaia 5 2 2 2 12 4 2 3" xfId="27305" xr:uid="{20CA4ACC-1101-4737-A319-F8FE597AC315}"/>
    <cellStyle name="Migliaia 5 2 2 2 12 4 3" xfId="7953" xr:uid="{008865FD-EA9F-4926-8EDE-C9E1736DA964}"/>
    <cellStyle name="Migliaia 5 2 2 2 12 4 3 2" xfId="23133" xr:uid="{D17A2EB1-E696-4D60-8766-92774DDAB622}"/>
    <cellStyle name="Migliaia 5 2 2 2 12 4 4" xfId="19845" xr:uid="{C9D9AD89-A707-4711-9DDA-C98C13191CC0}"/>
    <cellStyle name="Migliaia 5 2 2 2 12 5" xfId="2190" xr:uid="{1103311F-FB91-4386-ADAF-E37800BD6488}"/>
    <cellStyle name="Migliaia 5 2 2 2 12 5 2" xfId="9687" xr:uid="{DBB739AD-A9AF-4953-87E5-DE5EBDBAC351}"/>
    <cellStyle name="Migliaia 5 2 2 2 12 5 2 2" xfId="24865" xr:uid="{3A3BFADB-441A-4FA2-9927-7ADF12583752}"/>
    <cellStyle name="Migliaia 5 2 2 2 12 5 3" xfId="17405" xr:uid="{217564DA-43B5-4956-8CF8-A121166CC0AB}"/>
    <cellStyle name="Migliaia 5 2 2 2 12 6" xfId="9173" xr:uid="{D8664AE6-8DFA-4EE8-A68B-65563B27130B}"/>
    <cellStyle name="Migliaia 5 2 2 2 12 6 2" xfId="13346" xr:uid="{3FB11026-801D-4F68-B5BE-B658AF4525F4}"/>
    <cellStyle name="Migliaia 5 2 2 2 12 6 2 2" xfId="28523" xr:uid="{F868D4DA-93DA-4007-AE8A-F139CFFB10A0}"/>
    <cellStyle name="Migliaia 5 2 2 2 12 6 3" xfId="24351" xr:uid="{51835888-157A-4FAC-915A-8CEE966C47F5}"/>
    <cellStyle name="Migliaia 5 2 2 2 12 7" xfId="5513" xr:uid="{F6F96126-275E-475C-A49D-D43D2171D874}"/>
    <cellStyle name="Migliaia 5 2 2 2 12 7 2" xfId="20693" xr:uid="{6179FB39-BA37-4838-8518-74A4CA03D505}"/>
    <cellStyle name="Migliaia 5 2 2 2 12 8" xfId="16891" xr:uid="{79B3036C-7963-4701-869A-5F3BB8A7D6B1}"/>
    <cellStyle name="Migliaia 5 2 2 2 13" xfId="2290" xr:uid="{3A943C10-82DF-428D-B6AC-32F4644B186B}"/>
    <cellStyle name="Migliaia 5 2 2 2 13 2" xfId="9785" xr:uid="{EB057AE6-AFCD-491F-9C06-D5DE0FDEFAD6}"/>
    <cellStyle name="Migliaia 5 2 2 2 13 2 2" xfId="13444" xr:uid="{FD5888F8-9DE3-4FF2-9471-5D1171806215}"/>
    <cellStyle name="Migliaia 5 2 2 2 13 2 2 2" xfId="28621" xr:uid="{A2CB9026-5E1F-4B69-B64A-619CDF3D6523}"/>
    <cellStyle name="Migliaia 5 2 2 2 13 2 3" xfId="24963" xr:uid="{735017B6-0DAD-4C21-B003-508493A6DAB4}"/>
    <cellStyle name="Migliaia 5 2 2 2 13 3" xfId="5611" xr:uid="{AC452C4B-6671-4D31-9642-929B2B7C5231}"/>
    <cellStyle name="Migliaia 5 2 2 2 13 3 2" xfId="20791" xr:uid="{3686924E-4E21-46F1-9321-AE34DBDC87E0}"/>
    <cellStyle name="Migliaia 5 2 2 2 13 4" xfId="17503" xr:uid="{606C48B1-B092-4362-A709-5D97118B72F4}"/>
    <cellStyle name="Migliaia 5 2 2 2 14" xfId="3180" xr:uid="{10718D19-074B-41ED-9305-2AA7C6622F04}"/>
    <cellStyle name="Migliaia 5 2 2 2 14 2" xfId="10669" xr:uid="{21AC86D3-AB2E-403D-B0DF-22D694073759}"/>
    <cellStyle name="Migliaia 5 2 2 2 14 2 2" xfId="14215" xr:uid="{1A28AB11-6BFF-4B44-A062-E066913A5E9E}"/>
    <cellStyle name="Migliaia 5 2 2 2 14 2 2 2" xfId="29392" xr:uid="{CD15BA7C-CF11-4231-9F44-2AEE385C6468}"/>
    <cellStyle name="Migliaia 5 2 2 2 14 2 3" xfId="25847" xr:uid="{27419FBD-D70A-407F-94DC-59DBAE9F1231}"/>
    <cellStyle name="Migliaia 5 2 2 2 14 3" xfId="6495" xr:uid="{1F15118E-FE21-4BF5-A28A-B6F06CA4E20B}"/>
    <cellStyle name="Migliaia 5 2 2 2 14 3 2" xfId="21675" xr:uid="{FEF0671E-6B64-4191-895F-D9D4C65063A3}"/>
    <cellStyle name="Migliaia 5 2 2 2 14 4" xfId="18387" xr:uid="{789BA734-AD8C-4729-90FA-3B165BC82747}"/>
    <cellStyle name="Migliaia 5 2 2 2 15" xfId="4643" xr:uid="{A8191107-1A5D-48E3-859F-39C61F704F63}"/>
    <cellStyle name="Migliaia 5 2 2 2 15 2" xfId="12128" xr:uid="{C545F520-39CE-40BD-AA36-CD0590544CCC}"/>
    <cellStyle name="Migliaia 5 2 2 2 15 2 2" xfId="15674" xr:uid="{7A019A2B-7BDC-4966-B409-678E901368EB}"/>
    <cellStyle name="Migliaia 5 2 2 2 15 2 2 2" xfId="30851" xr:uid="{F4B3C492-300E-4A29-A935-C127ECAA3E56}"/>
    <cellStyle name="Migliaia 5 2 2 2 15 2 3" xfId="27306" xr:uid="{AC193856-3421-4F4F-BFFA-BEDC1A39AD00}"/>
    <cellStyle name="Migliaia 5 2 2 2 15 3" xfId="7954" xr:uid="{84DE7710-69D8-41A6-9257-860A68ABA8D5}"/>
    <cellStyle name="Migliaia 5 2 2 2 15 3 2" xfId="23134" xr:uid="{78C1D2E2-5781-442B-8787-21A4ED2E7339}"/>
    <cellStyle name="Migliaia 5 2 2 2 15 4" xfId="19846" xr:uid="{DDE9F203-EBFB-489B-B3AE-61B147961DBA}"/>
    <cellStyle name="Migliaia 5 2 2 2 16" xfId="8386" xr:uid="{2F88496D-5F19-480C-9B99-EF8414EE2364}"/>
    <cellStyle name="Migliaia 5 2 2 2 16 2" xfId="12560" xr:uid="{91BBF3F3-2540-4AA5-AA02-B0747832B5F7}"/>
    <cellStyle name="Migliaia 5 2 2 2 16 2 2" xfId="27737" xr:uid="{2BB702B1-ABA4-4B4D-8017-256FB0C04325}"/>
    <cellStyle name="Migliaia 5 2 2 2 16 3" xfId="23565" xr:uid="{15D7278A-647A-49E2-BE6E-9E579944189F}"/>
    <cellStyle name="Migliaia 5 2 2 2 17" xfId="16105" xr:uid="{00BBE42D-FAF6-431F-B47D-E9F6C0666736}"/>
    <cellStyle name="Migliaia 5 2 2 2 18" xfId="31447" xr:uid="{B60B160B-F4C2-49C4-9C11-5F8353BB9F1B}"/>
    <cellStyle name="Migliaia 5 2 2 2 19" xfId="707" xr:uid="{6713DD8B-389B-4C2F-8A7C-4708425CE32F}"/>
    <cellStyle name="Migliaia 5 2 2 2 2" xfId="605" xr:uid="{0C151554-E5FB-47C1-A40B-52D95EFDCFC0}"/>
    <cellStyle name="Migliaia 5 2 2 2 2 10" xfId="2315" xr:uid="{DFD62A4D-2BCD-4250-91A1-69393F8A13B1}"/>
    <cellStyle name="Migliaia 5 2 2 2 2 10 2" xfId="9810" xr:uid="{2FD41EF3-2CC6-4F9C-A00C-66059276DB29}"/>
    <cellStyle name="Migliaia 5 2 2 2 2 10 2 2" xfId="13469" xr:uid="{1538BDFB-8DE8-4EF6-A2AD-0D169AAD6362}"/>
    <cellStyle name="Migliaia 5 2 2 2 2 10 2 2 2" xfId="28646" xr:uid="{0AE1F4B3-8DA1-406D-9CB4-C6EBC8EAD87F}"/>
    <cellStyle name="Migliaia 5 2 2 2 2 10 2 3" xfId="24988" xr:uid="{804F95DF-B64B-4AA0-9868-61EBD8FBCFAA}"/>
    <cellStyle name="Migliaia 5 2 2 2 2 10 3" xfId="5636" xr:uid="{EB3A0DAF-E18C-44BC-AE30-5F6CD79250CB}"/>
    <cellStyle name="Migliaia 5 2 2 2 2 10 3 2" xfId="20816" xr:uid="{9E0D9471-A36E-46AD-B138-D308F5095730}"/>
    <cellStyle name="Migliaia 5 2 2 2 2 10 4" xfId="17528" xr:uid="{C316C5CB-A259-44C1-8C58-6B3873B92975}"/>
    <cellStyle name="Migliaia 5 2 2 2 2 11" xfId="3205" xr:uid="{5D1B250E-2D57-4B2E-9BCA-7A54900233E1}"/>
    <cellStyle name="Migliaia 5 2 2 2 2 11 2" xfId="10694" xr:uid="{554DD9F7-43FF-4F9A-837C-B38B9A01D0F5}"/>
    <cellStyle name="Migliaia 5 2 2 2 2 11 2 2" xfId="14240" xr:uid="{398FCCBB-D7C8-4654-81CB-8E928D9CB6F0}"/>
    <cellStyle name="Migliaia 5 2 2 2 2 11 2 2 2" xfId="29417" xr:uid="{E65CB146-3AC4-4A38-87AC-8C9FE0B8F604}"/>
    <cellStyle name="Migliaia 5 2 2 2 2 11 2 3" xfId="25872" xr:uid="{2B94351E-A1D2-4A6A-9740-D05E72F985DB}"/>
    <cellStyle name="Migliaia 5 2 2 2 2 11 3" xfId="6520" xr:uid="{8A9763D8-9EB5-4816-8795-F4A85F5D3707}"/>
    <cellStyle name="Migliaia 5 2 2 2 2 11 3 2" xfId="21700" xr:uid="{8758DB90-0527-4579-AD3E-D64CC898D773}"/>
    <cellStyle name="Migliaia 5 2 2 2 2 11 4" xfId="18412" xr:uid="{86155161-B684-4420-9C46-935A383EC15E}"/>
    <cellStyle name="Migliaia 5 2 2 2 2 12" xfId="4644" xr:uid="{68FE60BC-0FD6-41DF-86F9-817F2EC99786}"/>
    <cellStyle name="Migliaia 5 2 2 2 2 12 2" xfId="12129" xr:uid="{7B6FFB64-1BCC-46BF-848C-B42924D230D2}"/>
    <cellStyle name="Migliaia 5 2 2 2 2 12 2 2" xfId="15675" xr:uid="{BAA45786-BD70-494A-9E39-D87058C1B8F8}"/>
    <cellStyle name="Migliaia 5 2 2 2 2 12 2 2 2" xfId="30852" xr:uid="{90E15A4D-1FAA-42BC-9692-65443AEC6386}"/>
    <cellStyle name="Migliaia 5 2 2 2 2 12 2 3" xfId="27307" xr:uid="{EB48FCD9-0909-49D8-874B-37A8A3517CCD}"/>
    <cellStyle name="Migliaia 5 2 2 2 2 12 3" xfId="7955" xr:uid="{0E89E8E1-4854-43E8-99EF-EA136A01E687}"/>
    <cellStyle name="Migliaia 5 2 2 2 2 12 3 2" xfId="23135" xr:uid="{852C1F46-E783-433D-AC95-FD50D1D3FB35}"/>
    <cellStyle name="Migliaia 5 2 2 2 2 12 4" xfId="19847" xr:uid="{51E17204-6C51-45F8-A845-839967BF6C00}"/>
    <cellStyle name="Migliaia 5 2 2 2 2 13" xfId="8411" xr:uid="{1CB265D9-6114-4D71-B4DD-1CCF15044217}"/>
    <cellStyle name="Migliaia 5 2 2 2 2 13 2" xfId="12585" xr:uid="{853A0A40-3B3E-4B03-97DB-BC555F90C9C3}"/>
    <cellStyle name="Migliaia 5 2 2 2 2 13 2 2" xfId="27762" xr:uid="{70418E02-996A-4EBC-981A-766470A1E494}"/>
    <cellStyle name="Migliaia 5 2 2 2 2 13 3" xfId="23590" xr:uid="{1ABEE307-753D-48B8-85DD-83D54BA1EFC1}"/>
    <cellStyle name="Migliaia 5 2 2 2 2 14" xfId="16130" xr:uid="{BAB4E0C2-ED7D-4969-828C-20AB32A12C50}"/>
    <cellStyle name="Migliaia 5 2 2 2 2 15" xfId="31472" xr:uid="{056CC25E-A23A-46D4-B6B5-955F84D961F1}"/>
    <cellStyle name="Migliaia 5 2 2 2 2 16" xfId="742" xr:uid="{9E05C74E-2430-4A17-B1EE-BFEB828F01EF}"/>
    <cellStyle name="Migliaia 5 2 2 2 2 2" xfId="794" xr:uid="{9CE9AAA5-7EE0-4921-9BF9-345D3704BEAD}"/>
    <cellStyle name="Migliaia 5 2 2 2 2 2 10" xfId="8460" xr:uid="{8CD0170A-2D0C-4267-A992-FED8796A8198}"/>
    <cellStyle name="Migliaia 5 2 2 2 2 2 10 2" xfId="12634" xr:uid="{5D537B12-0C2A-44EB-8369-5A4FCD925746}"/>
    <cellStyle name="Migliaia 5 2 2 2 2 2 10 2 2" xfId="27811" xr:uid="{CC8A879D-FFB0-4EBB-9FC3-8FABB8B5E455}"/>
    <cellStyle name="Migliaia 5 2 2 2 2 2 10 3" xfId="23639" xr:uid="{891225B3-E89F-4EAB-A58A-BD64D3EFF6FC}"/>
    <cellStyle name="Migliaia 5 2 2 2 2 2 11" xfId="16179" xr:uid="{36C636BF-C2E7-4922-AB1B-763B37DF0B08}"/>
    <cellStyle name="Migliaia 5 2 2 2 2 2 12" xfId="31521" xr:uid="{B98B59F4-5A41-4306-BB80-F59BF75366C2}"/>
    <cellStyle name="Migliaia 5 2 2 2 2 2 2" xfId="971" xr:uid="{547CB3BC-2613-4A1E-889D-CC6359827970}"/>
    <cellStyle name="Migliaia 5 2 2 2 2 2 2 10" xfId="16301" xr:uid="{F6AAE215-2067-428F-8E4A-42BEF651D8B9}"/>
    <cellStyle name="Migliaia 5 2 2 2 2 2 2 11" xfId="31391" xr:uid="{8476054E-9486-430F-A0C2-8B3D14D0EEBA}"/>
    <cellStyle name="Migliaia 5 2 2 2 2 2 2 12" xfId="31741" xr:uid="{6088B357-2CEC-4DBB-8E43-B379863B0F99}"/>
    <cellStyle name="Migliaia 5 2 2 2 2 2 2 2" xfId="1332" xr:uid="{D2D29FB2-13F5-47B3-803B-9D00670B81FB}"/>
    <cellStyle name="Migliaia 5 2 2 2 2 2 2 2 2" xfId="3649" xr:uid="{D75E7C20-9D09-4269-97F9-D56576C9DE05}"/>
    <cellStyle name="Migliaia 5 2 2 2 2 2 2 2 2 2" xfId="11137" xr:uid="{1F7D0899-9D47-4CF1-B35D-BD9144E63CDB}"/>
    <cellStyle name="Migliaia 5 2 2 2 2 2 2 2 2 2 2" xfId="14683" xr:uid="{6932B65D-0B33-4565-A1FB-F83F5C1A2E47}"/>
    <cellStyle name="Migliaia 5 2 2 2 2 2 2 2 2 2 2 2" xfId="29860" xr:uid="{E012E9EB-1B25-4901-AE91-39CEBA0C6127}"/>
    <cellStyle name="Migliaia 5 2 2 2 2 2 2 2 2 2 3" xfId="26315" xr:uid="{8DD193B6-3414-4078-88D9-3AD02FFCE22C}"/>
    <cellStyle name="Migliaia 5 2 2 2 2 2 2 2 2 3" xfId="6963" xr:uid="{838118B4-8483-4B44-BA6A-EA6F20A1B219}"/>
    <cellStyle name="Migliaia 5 2 2 2 2 2 2 2 2 3 2" xfId="22143" xr:uid="{5C56A92D-291D-4FFA-BAB9-D303FC217B01}"/>
    <cellStyle name="Migliaia 5 2 2 2 2 2 2 2 2 4" xfId="18855" xr:uid="{40B032DE-06D5-49DE-A424-2F468B761517}"/>
    <cellStyle name="Migliaia 5 2 2 2 2 2 2 2 3" xfId="4645" xr:uid="{3DC51E64-B89F-4557-94E7-7E181745D9C9}"/>
    <cellStyle name="Migliaia 5 2 2 2 2 2 2 2 3 2" xfId="12130" xr:uid="{59A3DE24-6CBD-4C10-9FC8-4904A83952EC}"/>
    <cellStyle name="Migliaia 5 2 2 2 2 2 2 2 3 2 2" xfId="15676" xr:uid="{026A28DE-4B87-4E33-A6C6-E47211A1C8CF}"/>
    <cellStyle name="Migliaia 5 2 2 2 2 2 2 2 3 2 2 2" xfId="30853" xr:uid="{DB5F34DA-102C-4DA0-BF20-930518DBDBAA}"/>
    <cellStyle name="Migliaia 5 2 2 2 2 2 2 2 3 2 3" xfId="27308" xr:uid="{6C1DC9D8-6EFE-4B35-BCDF-DE22187FD32D}"/>
    <cellStyle name="Migliaia 5 2 2 2 2 2 2 2 3 3" xfId="7956" xr:uid="{40CEEB0F-B5B5-4B67-B8C5-E981B50DCD90}"/>
    <cellStyle name="Migliaia 5 2 2 2 2 2 2 2 3 3 2" xfId="23136" xr:uid="{36ECEB96-C998-466A-8757-A9788A074160}"/>
    <cellStyle name="Migliaia 5 2 2 2 2 2 2 2 3 4" xfId="19848" xr:uid="{AA3D8436-7A53-4610-831F-70B782DC8388}"/>
    <cellStyle name="Migliaia 5 2 2 2 2 2 2 2 4" xfId="2762" xr:uid="{BE3906C0-D7E7-48DF-8F19-D94664DFC048}"/>
    <cellStyle name="Migliaia 5 2 2 2 2 2 2 2 4 2" xfId="10253" xr:uid="{96225296-E932-44A5-BA8F-2EB912A6FC42}"/>
    <cellStyle name="Migliaia 5 2 2 2 2 2 2 2 4 2 2" xfId="25431" xr:uid="{2EE61DE0-CA4C-4210-B83F-78C4EB617605}"/>
    <cellStyle name="Migliaia 5 2 2 2 2 2 2 2 4 3" xfId="17971" xr:uid="{EC072C36-0B65-425A-87C9-7D3F1749E3CC}"/>
    <cellStyle name="Migliaia 5 2 2 2 2 2 2 2 5" xfId="8855" xr:uid="{25E62FDA-6367-4080-896C-1274A4F31A58}"/>
    <cellStyle name="Migliaia 5 2 2 2 2 2 2 2 5 2" xfId="13028" xr:uid="{F443FA18-EA1C-4F65-ABC9-8C378EF4D718}"/>
    <cellStyle name="Migliaia 5 2 2 2 2 2 2 2 5 2 2" xfId="28205" xr:uid="{D213272D-049C-439A-8155-E58A90F8F4E1}"/>
    <cellStyle name="Migliaia 5 2 2 2 2 2 2 2 5 3" xfId="24033" xr:uid="{2C050904-D299-427F-90F6-98D5C1E533AD}"/>
    <cellStyle name="Migliaia 5 2 2 2 2 2 2 2 6" xfId="6079" xr:uid="{EAB5A083-7E5B-419B-AACC-4C9865A07B6C}"/>
    <cellStyle name="Migliaia 5 2 2 2 2 2 2 2 6 2" xfId="21259" xr:uid="{47CE4AD0-F345-4A85-A69E-80E0E9947D64}"/>
    <cellStyle name="Migliaia 5 2 2 2 2 2 2 2 7" xfId="16573" xr:uid="{A11969D2-FFE2-40FA-BBD4-4ABCB6BBF58E}"/>
    <cellStyle name="Migliaia 5 2 2 2 2 2 2 3" xfId="2489" xr:uid="{E575281C-B75A-40A4-BDC8-7A8569C70176}"/>
    <cellStyle name="Migliaia 5 2 2 2 2 2 2 3 2" xfId="9981" xr:uid="{37ACAD5A-77A0-442B-BD91-BC5D3549DE45}"/>
    <cellStyle name="Migliaia 5 2 2 2 2 2 2 3 2 2" xfId="13640" xr:uid="{D0558A8C-B366-4F37-88F5-3725CD17ADCA}"/>
    <cellStyle name="Migliaia 5 2 2 2 2 2 2 3 2 2 2" xfId="28817" xr:uid="{40344540-0480-456A-8161-C16814C87796}"/>
    <cellStyle name="Migliaia 5 2 2 2 2 2 2 3 2 3" xfId="25159" xr:uid="{BA53785C-56D2-45D7-B5BB-C279943BAAB4}"/>
    <cellStyle name="Migliaia 5 2 2 2 2 2 2 3 3" xfId="5807" xr:uid="{272DF17C-D07C-41A1-B16D-175B0EE4CF63}"/>
    <cellStyle name="Migliaia 5 2 2 2 2 2 2 3 3 2" xfId="20987" xr:uid="{6B3F18FA-36FD-43C7-9938-A5422430E7D1}"/>
    <cellStyle name="Migliaia 5 2 2 2 2 2 2 3 4" xfId="17699" xr:uid="{E6D939CA-C198-4206-9261-C72A258E09DB}"/>
    <cellStyle name="Migliaia 5 2 2 2 2 2 2 4" xfId="3377" xr:uid="{677441FA-7340-4B68-B10F-A8544B1E29BC}"/>
    <cellStyle name="Migliaia 5 2 2 2 2 2 2 4 2" xfId="10865" xr:uid="{CC371419-2BE9-4954-9BAE-596A91607555}"/>
    <cellStyle name="Migliaia 5 2 2 2 2 2 2 4 2 2" xfId="14411" xr:uid="{7EED4B57-19C2-4D83-AC1A-4D0716D18823}"/>
    <cellStyle name="Migliaia 5 2 2 2 2 2 2 4 2 2 2" xfId="29588" xr:uid="{945AD886-D2E5-40FE-8CD9-C8EFDE12C440}"/>
    <cellStyle name="Migliaia 5 2 2 2 2 2 2 4 2 3" xfId="26043" xr:uid="{946C4DB2-3840-4846-9707-54E0859E0512}"/>
    <cellStyle name="Migliaia 5 2 2 2 2 2 2 4 3" xfId="6691" xr:uid="{15831961-A6EE-4629-8896-A73E11268B26}"/>
    <cellStyle name="Migliaia 5 2 2 2 2 2 2 4 3 2" xfId="21871" xr:uid="{986CB83B-1B0F-4B15-91E2-E21266FEEF27}"/>
    <cellStyle name="Migliaia 5 2 2 2 2 2 2 4 4" xfId="18583" xr:uid="{F258A4B0-3218-4218-B15E-6B2540C9D4C9}"/>
    <cellStyle name="Migliaia 5 2 2 2 2 2 2 5" xfId="4646" xr:uid="{52D119AC-6A61-4512-9534-5F84C7C1FC6B}"/>
    <cellStyle name="Migliaia 5 2 2 2 2 2 2 5 2" xfId="12131" xr:uid="{9C1527B8-F147-4D08-9B7C-1594F36CBEE5}"/>
    <cellStyle name="Migliaia 5 2 2 2 2 2 2 5 2 2" xfId="15677" xr:uid="{01A72E3B-402F-4012-A8EF-33C3DBAF04C2}"/>
    <cellStyle name="Migliaia 5 2 2 2 2 2 2 5 2 2 2" xfId="30854" xr:uid="{DD7039E2-9D78-462A-8175-E7B54C5249FE}"/>
    <cellStyle name="Migliaia 5 2 2 2 2 2 2 5 2 3" xfId="27309" xr:uid="{D4022643-DBCB-4385-A72B-9FDB96758F15}"/>
    <cellStyle name="Migliaia 5 2 2 2 2 2 2 5 3" xfId="7957" xr:uid="{B63C7E60-B06F-4FAE-846C-B7B97757D9BC}"/>
    <cellStyle name="Migliaia 5 2 2 2 2 2 2 5 3 2" xfId="23137" xr:uid="{FB3AB54E-242E-4F01-A731-2325F3DBFED2}"/>
    <cellStyle name="Migliaia 5 2 2 2 2 2 2 5 4" xfId="19849" xr:uid="{26DE5E88-851C-4637-8E14-DB2BCCB5995F}"/>
    <cellStyle name="Migliaia 5 2 2 2 2 2 2 6" xfId="5051" xr:uid="{8AFE0750-89BC-4550-83A2-724A2D83A208}"/>
    <cellStyle name="Migliaia 5 2 2 2 2 2 2 6 2" xfId="12535" xr:uid="{F5C1FD6F-19E2-445A-83DB-04A1FD2D2DA4}"/>
    <cellStyle name="Migliaia 5 2 2 2 2 2 2 6 2 2" xfId="16081" xr:uid="{ADA428B3-3FD1-44F5-BD4E-02223A00987D}"/>
    <cellStyle name="Migliaia 5 2 2 2 2 2 2 6 2 2 2" xfId="31258" xr:uid="{8FBA198A-1D7F-4336-9707-1AEA1B815491}"/>
    <cellStyle name="Migliaia 5 2 2 2 2 2 2 6 2 3" xfId="27713" xr:uid="{AB7AD1DD-2BC0-4973-8817-BCA6912302F1}"/>
    <cellStyle name="Migliaia 5 2 2 2 2 2 2 6 3" xfId="8361" xr:uid="{5B8D9B43-4323-419E-8EBA-4EBCCCBFC6E0}"/>
    <cellStyle name="Migliaia 5 2 2 2 2 2 2 6 3 2" xfId="23541" xr:uid="{E71927B7-0AC2-4F10-9B35-E88F2B3CBB00}"/>
    <cellStyle name="Migliaia 5 2 2 2 2 2 2 6 4" xfId="20253" xr:uid="{31EFC381-B3E6-4B7F-AF1B-B44EAA7BF226}"/>
    <cellStyle name="Migliaia 5 2 2 2 2 2 2 7" xfId="1872" xr:uid="{0B2BE158-48FB-4DBE-91F6-062E3F54EEB9}"/>
    <cellStyle name="Migliaia 5 2 2 2 2 2 2 7 2" xfId="9369" xr:uid="{8314C8B5-343B-4AB6-9EDA-E88A440C310D}"/>
    <cellStyle name="Migliaia 5 2 2 2 2 2 2 7 2 2" xfId="24547" xr:uid="{FDABC674-7753-4139-B93C-1804E824FA94}"/>
    <cellStyle name="Migliaia 5 2 2 2 2 2 2 7 3" xfId="17087" xr:uid="{B2FB5FAA-6B8E-4EAE-8484-4C0B43563A8F}"/>
    <cellStyle name="Migliaia 5 2 2 2 2 2 2 8" xfId="8583" xr:uid="{07027BF4-8DC9-49E4-8368-3F3A30EBAF93}"/>
    <cellStyle name="Migliaia 5 2 2 2 2 2 2 8 2" xfId="12756" xr:uid="{7E8E871B-5A21-42F5-8A0B-1A32345A5856}"/>
    <cellStyle name="Migliaia 5 2 2 2 2 2 2 8 2 2" xfId="27933" xr:uid="{330FBCE9-3DB6-4167-BBDF-BB57BE6C1506}"/>
    <cellStyle name="Migliaia 5 2 2 2 2 2 2 8 3" xfId="23761" xr:uid="{9B63A28B-A956-4269-B011-2C8614E3BFDA}"/>
    <cellStyle name="Migliaia 5 2 2 2 2 2 2 9" xfId="5195" xr:uid="{35AF9828-D733-4384-8D75-988A594CDACD}"/>
    <cellStyle name="Migliaia 5 2 2 2 2 2 2 9 2" xfId="20375" xr:uid="{FDECE3C4-ED82-468A-95B9-AE604D0584A6}"/>
    <cellStyle name="Migliaia 5 2 2 2 2 2 3" xfId="1074" xr:uid="{21F560B0-9B55-4195-B03A-9CA795EFAF1A}"/>
    <cellStyle name="Migliaia 5 2 2 2 2 2 3 10" xfId="31619" xr:uid="{883BAF53-859B-43A7-8429-8F1821BC8681}"/>
    <cellStyle name="Migliaia 5 2 2 2 2 2 3 2" xfId="1434" xr:uid="{8C0DCADC-1CB6-48BE-8012-F1804FFA1502}"/>
    <cellStyle name="Migliaia 5 2 2 2 2 2 3 2 2" xfId="3747" xr:uid="{3196147B-643D-41DB-8DB1-98E27A2A2BAB}"/>
    <cellStyle name="Migliaia 5 2 2 2 2 2 3 2 2 2" xfId="11235" xr:uid="{6F8B3293-AC1B-4293-AB47-CE079B79F7A1}"/>
    <cellStyle name="Migliaia 5 2 2 2 2 2 3 2 2 2 2" xfId="14781" xr:uid="{4A05CAA3-7FF6-4539-9183-A6DF4110EBA6}"/>
    <cellStyle name="Migliaia 5 2 2 2 2 2 3 2 2 2 2 2" xfId="29958" xr:uid="{3013C57A-E7F3-4F1A-B33B-57DD30C9CEE4}"/>
    <cellStyle name="Migliaia 5 2 2 2 2 2 3 2 2 2 3" xfId="26413" xr:uid="{9C4FEE29-9908-4676-8860-E497E19024F9}"/>
    <cellStyle name="Migliaia 5 2 2 2 2 2 3 2 2 3" xfId="7061" xr:uid="{CA777A68-E39E-4CB8-9927-62791B1AC294}"/>
    <cellStyle name="Migliaia 5 2 2 2 2 2 3 2 2 3 2" xfId="22241" xr:uid="{1FB0AE96-2573-493A-8171-9B04824B6AB6}"/>
    <cellStyle name="Migliaia 5 2 2 2 2 2 3 2 2 4" xfId="18953" xr:uid="{E8D489C8-E8C1-4A2A-AA2F-F8176E744164}"/>
    <cellStyle name="Migliaia 5 2 2 2 2 2 3 2 3" xfId="4647" xr:uid="{6AD602B7-6EA0-4CC0-B38D-2332CF663D3C}"/>
    <cellStyle name="Migliaia 5 2 2 2 2 2 3 2 3 2" xfId="12132" xr:uid="{205F0D15-71AE-4415-8CF5-CD3718B8AA63}"/>
    <cellStyle name="Migliaia 5 2 2 2 2 2 3 2 3 2 2" xfId="15678" xr:uid="{FA182D46-DA46-4E06-BF98-54183E9D06CA}"/>
    <cellStyle name="Migliaia 5 2 2 2 2 2 3 2 3 2 2 2" xfId="30855" xr:uid="{920367C2-032A-4532-B42D-6EF2CDB1E5BB}"/>
    <cellStyle name="Migliaia 5 2 2 2 2 2 3 2 3 2 3" xfId="27310" xr:uid="{47A3CEF8-9D47-4D90-9E48-FCE7C719486B}"/>
    <cellStyle name="Migliaia 5 2 2 2 2 2 3 2 3 3" xfId="7958" xr:uid="{87CDB848-E5A9-424C-990A-44571AB998F5}"/>
    <cellStyle name="Migliaia 5 2 2 2 2 2 3 2 3 3 2" xfId="23138" xr:uid="{0F7DA21B-1358-4DA2-99D7-1620940C3CDF}"/>
    <cellStyle name="Migliaia 5 2 2 2 2 2 3 2 3 4" xfId="19850" xr:uid="{FD380C28-61B0-4B6C-ADE4-FD9C2EC4A417}"/>
    <cellStyle name="Migliaia 5 2 2 2 2 2 3 2 4" xfId="2860" xr:uid="{3AB93714-DED7-450F-AD7B-85A3BA06BF32}"/>
    <cellStyle name="Migliaia 5 2 2 2 2 2 3 2 4 2" xfId="10351" xr:uid="{4B50DCC7-FB28-4100-BDFF-150A87A2A3E1}"/>
    <cellStyle name="Migliaia 5 2 2 2 2 2 3 2 4 2 2" xfId="25529" xr:uid="{8A24E5D5-6A84-41A0-B81D-4E16572D63FA}"/>
    <cellStyle name="Migliaia 5 2 2 2 2 2 3 2 4 3" xfId="18069" xr:uid="{F0EF0F35-5D90-4449-8449-BE7A07581E8E}"/>
    <cellStyle name="Migliaia 5 2 2 2 2 2 3 2 5" xfId="8953" xr:uid="{67BD8080-F9FF-4995-A498-237AC5CEB50D}"/>
    <cellStyle name="Migliaia 5 2 2 2 2 2 3 2 5 2" xfId="13126" xr:uid="{CE3EBB1E-4895-4CDF-B245-B3A24986A317}"/>
    <cellStyle name="Migliaia 5 2 2 2 2 2 3 2 5 2 2" xfId="28303" xr:uid="{D00F090C-A1EF-45BC-A38D-6EA8713370CF}"/>
    <cellStyle name="Migliaia 5 2 2 2 2 2 3 2 5 3" xfId="24131" xr:uid="{A975B486-48D6-47E5-B190-608C6D13F79E}"/>
    <cellStyle name="Migliaia 5 2 2 2 2 2 3 2 6" xfId="6177" xr:uid="{E9DEDA70-30C7-47D6-8501-4B6B05D24960}"/>
    <cellStyle name="Migliaia 5 2 2 2 2 2 3 2 6 2" xfId="21357" xr:uid="{E2344D6F-DAC9-4F61-930B-3EF82DCE69B3}"/>
    <cellStyle name="Migliaia 5 2 2 2 2 2 3 2 7" xfId="16671" xr:uid="{F6A0137A-83DD-4B02-BABD-01BFC3BBA091}"/>
    <cellStyle name="Migliaia 5 2 2 2 2 2 3 3" xfId="2587" xr:uid="{64435908-B118-4815-BF38-47DCE8B49846}"/>
    <cellStyle name="Migliaia 5 2 2 2 2 2 3 3 2" xfId="10079" xr:uid="{C7F7F5A3-0ADF-4F92-8A97-A863F59B4055}"/>
    <cellStyle name="Migliaia 5 2 2 2 2 2 3 3 2 2" xfId="13738" xr:uid="{640A66B1-2358-433E-B71F-4D3DE8EA3447}"/>
    <cellStyle name="Migliaia 5 2 2 2 2 2 3 3 2 2 2" xfId="28915" xr:uid="{7B2A9FF6-B06F-4A63-89CC-3214872DB077}"/>
    <cellStyle name="Migliaia 5 2 2 2 2 2 3 3 2 3" xfId="25257" xr:uid="{CB91D2CD-6667-403D-9EF8-13F80B03F9B5}"/>
    <cellStyle name="Migliaia 5 2 2 2 2 2 3 3 3" xfId="5905" xr:uid="{9374C017-6BC6-45B4-A043-21C0848B7613}"/>
    <cellStyle name="Migliaia 5 2 2 2 2 2 3 3 3 2" xfId="21085" xr:uid="{405091A5-C8B0-482B-A1A5-38B8049C3323}"/>
    <cellStyle name="Migliaia 5 2 2 2 2 2 3 3 4" xfId="17797" xr:uid="{7E8ED642-D16D-42CB-9DA1-5E03A085E13E}"/>
    <cellStyle name="Migliaia 5 2 2 2 2 2 3 4" xfId="3475" xr:uid="{22EC53CD-0829-408F-960E-C17ED76234F2}"/>
    <cellStyle name="Migliaia 5 2 2 2 2 2 3 4 2" xfId="10963" xr:uid="{7A407812-94A6-4C27-959C-892F39A9C532}"/>
    <cellStyle name="Migliaia 5 2 2 2 2 2 3 4 2 2" xfId="14509" xr:uid="{BB4A8F9D-5AC1-4AF6-9718-967C0E886094}"/>
    <cellStyle name="Migliaia 5 2 2 2 2 2 3 4 2 2 2" xfId="29686" xr:uid="{26879637-3231-4674-8CB3-C32A90E171B5}"/>
    <cellStyle name="Migliaia 5 2 2 2 2 2 3 4 2 3" xfId="26141" xr:uid="{B6A1F235-C418-4957-B8F7-4DAF49E4FDA9}"/>
    <cellStyle name="Migliaia 5 2 2 2 2 2 3 4 3" xfId="6789" xr:uid="{D3E2A565-928C-4420-9A1E-3ECBA454237D}"/>
    <cellStyle name="Migliaia 5 2 2 2 2 2 3 4 3 2" xfId="21969" xr:uid="{EE1AF351-A0FF-459B-864A-16681B1B6DE5}"/>
    <cellStyle name="Migliaia 5 2 2 2 2 2 3 4 4" xfId="18681" xr:uid="{0F20CA8F-7F96-4B23-BE9D-3A232A86EC76}"/>
    <cellStyle name="Migliaia 5 2 2 2 2 2 3 5" xfId="4648" xr:uid="{5C58A565-30D2-4F14-A380-062C5D12581C}"/>
    <cellStyle name="Migliaia 5 2 2 2 2 2 3 5 2" xfId="12133" xr:uid="{6709DEAC-75CD-48D3-A801-EDEAEA85E167}"/>
    <cellStyle name="Migliaia 5 2 2 2 2 2 3 5 2 2" xfId="15679" xr:uid="{60152890-EBB2-43F7-A27C-1D123E82D5BB}"/>
    <cellStyle name="Migliaia 5 2 2 2 2 2 3 5 2 2 2" xfId="30856" xr:uid="{29886738-0183-4AE2-B3C7-5414B2819542}"/>
    <cellStyle name="Migliaia 5 2 2 2 2 2 3 5 2 3" xfId="27311" xr:uid="{63BF223A-E782-493C-B8CB-35A6FB86546B}"/>
    <cellStyle name="Migliaia 5 2 2 2 2 2 3 5 3" xfId="7959" xr:uid="{9043E80F-008C-4546-A1DF-29EA818AECE1}"/>
    <cellStyle name="Migliaia 5 2 2 2 2 2 3 5 3 2" xfId="23139" xr:uid="{22FE8A47-1076-408D-9CE4-9E0EC3D87FEB}"/>
    <cellStyle name="Migliaia 5 2 2 2 2 2 3 5 4" xfId="19851" xr:uid="{D143EE69-0B02-4A62-AF7F-E549E0EEE9CF}"/>
    <cellStyle name="Migliaia 5 2 2 2 2 2 3 6" xfId="1970" xr:uid="{F3573AA0-CC6B-4898-9F6A-7E7FEC47BF7F}"/>
    <cellStyle name="Migliaia 5 2 2 2 2 2 3 6 2" xfId="9467" xr:uid="{E8782DE9-BB0A-434F-A8DD-75CCA66196F7}"/>
    <cellStyle name="Migliaia 5 2 2 2 2 2 3 6 2 2" xfId="24645" xr:uid="{A307FBE9-88B5-491E-B97A-8A79D5554C6F}"/>
    <cellStyle name="Migliaia 5 2 2 2 2 2 3 6 3" xfId="17185" xr:uid="{8796987E-047C-4EB3-B1FC-0E0B44553461}"/>
    <cellStyle name="Migliaia 5 2 2 2 2 2 3 7" xfId="8681" xr:uid="{9C9376EA-69CC-44DA-B94D-CE412AE2F05E}"/>
    <cellStyle name="Migliaia 5 2 2 2 2 2 3 7 2" xfId="12854" xr:uid="{05D0E8B9-E34B-4BCB-A3F1-767320C211B5}"/>
    <cellStyle name="Migliaia 5 2 2 2 2 2 3 7 2 2" xfId="28031" xr:uid="{ABAD5034-8E79-4106-817D-DC572ABBBF29}"/>
    <cellStyle name="Migliaia 5 2 2 2 2 2 3 7 3" xfId="23859" xr:uid="{EE39C94E-B63B-4087-B1D1-F3CA97451FFA}"/>
    <cellStyle name="Migliaia 5 2 2 2 2 2 3 8" xfId="5293" xr:uid="{B53D9B01-1198-49CF-A073-5C5B19D429E1}"/>
    <cellStyle name="Migliaia 5 2 2 2 2 2 3 8 2" xfId="20473" xr:uid="{075ADB1B-EF64-4A80-9D9A-4A30A5D20C85}"/>
    <cellStyle name="Migliaia 5 2 2 2 2 2 3 9" xfId="16399" xr:uid="{9F43D894-D9A8-4A86-8F4F-79B5E4AC3685}"/>
    <cellStyle name="Migliaia 5 2 2 2 2 2 4" xfId="1533" xr:uid="{099CEB42-3BDE-4FBA-B47C-8E6A78539702}"/>
    <cellStyle name="Migliaia 5 2 2 2 2 2 4 2" xfId="2958" xr:uid="{CDA384B4-A58F-4AA6-B6C5-3DE9739A02CC}"/>
    <cellStyle name="Migliaia 5 2 2 2 2 2 4 2 2" xfId="10449" xr:uid="{0F8C4925-F43D-4739-B1BB-7A5A26A768BB}"/>
    <cellStyle name="Migliaia 5 2 2 2 2 2 4 2 2 2" xfId="13995" xr:uid="{7F5E55DD-081E-4DC2-909B-F833E34F95A9}"/>
    <cellStyle name="Migliaia 5 2 2 2 2 2 4 2 2 2 2" xfId="29172" xr:uid="{5D232E6E-7ACE-416D-B33C-F583F1594804}"/>
    <cellStyle name="Migliaia 5 2 2 2 2 2 4 2 2 3" xfId="25627" xr:uid="{1A5E622D-6864-484F-A64C-AA4D554F7784}"/>
    <cellStyle name="Migliaia 5 2 2 2 2 2 4 2 3" xfId="6275" xr:uid="{BDE91307-2968-4715-8076-D1CEDEE5787B}"/>
    <cellStyle name="Migliaia 5 2 2 2 2 2 4 2 3 2" xfId="21455" xr:uid="{27C11CAF-2C21-46E8-972A-29043796305B}"/>
    <cellStyle name="Migliaia 5 2 2 2 2 2 4 2 4" xfId="18167" xr:uid="{8B75A064-0CD1-424E-B0E9-A0C5D3839F5A}"/>
    <cellStyle name="Migliaia 5 2 2 2 2 2 4 3" xfId="3845" xr:uid="{62214310-C82C-48B4-ABB0-07185560BFC6}"/>
    <cellStyle name="Migliaia 5 2 2 2 2 2 4 3 2" xfId="11333" xr:uid="{F8FDCD81-3409-46B2-830D-086A6F6960E8}"/>
    <cellStyle name="Migliaia 5 2 2 2 2 2 4 3 2 2" xfId="14879" xr:uid="{EA36B86C-EDFE-43C4-B93F-5B5662559CCB}"/>
    <cellStyle name="Migliaia 5 2 2 2 2 2 4 3 2 2 2" xfId="30056" xr:uid="{48B98CCB-5C7F-4449-88A4-41D6E84FC573}"/>
    <cellStyle name="Migliaia 5 2 2 2 2 2 4 3 2 3" xfId="26511" xr:uid="{9E34F8F7-9BAA-4528-BCED-2DC65863BF4E}"/>
    <cellStyle name="Migliaia 5 2 2 2 2 2 4 3 3" xfId="7159" xr:uid="{52F26528-91BA-4693-B548-2899FA2BBBBA}"/>
    <cellStyle name="Migliaia 5 2 2 2 2 2 4 3 3 2" xfId="22339" xr:uid="{BEA20BAA-5958-49D4-9A0C-5BB254411F78}"/>
    <cellStyle name="Migliaia 5 2 2 2 2 2 4 3 4" xfId="19051" xr:uid="{3BDE0524-E7F6-4541-96D3-26F78D6510CD}"/>
    <cellStyle name="Migliaia 5 2 2 2 2 2 4 4" xfId="4649" xr:uid="{E5A79467-7781-4E4F-9FB8-9690A6067C8A}"/>
    <cellStyle name="Migliaia 5 2 2 2 2 2 4 4 2" xfId="12134" xr:uid="{4E810D82-B364-4AB6-8E6D-AE7849DF15D3}"/>
    <cellStyle name="Migliaia 5 2 2 2 2 2 4 4 2 2" xfId="15680" xr:uid="{DB118994-9473-4A6D-8873-06EC1F005C7C}"/>
    <cellStyle name="Migliaia 5 2 2 2 2 2 4 4 2 2 2" xfId="30857" xr:uid="{98A5EBA3-D639-4780-BDB3-947440BE8AE8}"/>
    <cellStyle name="Migliaia 5 2 2 2 2 2 4 4 2 3" xfId="27312" xr:uid="{E651A212-96FC-45DD-A54F-780F7D36447D}"/>
    <cellStyle name="Migliaia 5 2 2 2 2 2 4 4 3" xfId="7960" xr:uid="{25350322-822A-4707-8DFA-3DBF34865FCE}"/>
    <cellStyle name="Migliaia 5 2 2 2 2 2 4 4 3 2" xfId="23140" xr:uid="{223701F1-3B5A-4FF4-8873-FA8F0610A9EA}"/>
    <cellStyle name="Migliaia 5 2 2 2 2 2 4 4 4" xfId="19852" xr:uid="{C70EAFA0-AFC1-4C4B-A0A0-13873A491D2F}"/>
    <cellStyle name="Migliaia 5 2 2 2 2 2 4 5" xfId="2068" xr:uid="{5AD4691F-D64E-4900-B3A3-739077CE2FDF}"/>
    <cellStyle name="Migliaia 5 2 2 2 2 2 4 5 2" xfId="9565" xr:uid="{F43DC6C8-A37E-405C-BBDA-5F2956755319}"/>
    <cellStyle name="Migliaia 5 2 2 2 2 2 4 5 2 2" xfId="24743" xr:uid="{060AC904-9B30-4676-B54F-235211EB6505}"/>
    <cellStyle name="Migliaia 5 2 2 2 2 2 4 5 3" xfId="17283" xr:uid="{E7D2D762-37CC-4966-AE9C-E9573ED8FEC4}"/>
    <cellStyle name="Migliaia 5 2 2 2 2 2 4 6" xfId="9051" xr:uid="{A75C2EBD-4409-4E71-BB82-EA816DACB52F}"/>
    <cellStyle name="Migliaia 5 2 2 2 2 2 4 6 2" xfId="13224" xr:uid="{8AA995F4-2293-422D-9563-0121BD6D601D}"/>
    <cellStyle name="Migliaia 5 2 2 2 2 2 4 6 2 2" xfId="28401" xr:uid="{05FC6D15-A248-475E-96AD-8181A816A0EB}"/>
    <cellStyle name="Migliaia 5 2 2 2 2 2 4 6 3" xfId="24229" xr:uid="{81641FA5-309D-4604-A5D3-A89D29A93BA6}"/>
    <cellStyle name="Migliaia 5 2 2 2 2 2 4 7" xfId="5391" xr:uid="{86896974-2942-4A5E-BC58-92017DBC984B}"/>
    <cellStyle name="Migliaia 5 2 2 2 2 2 4 7 2" xfId="20571" xr:uid="{E0D7BAF4-D22D-48F1-BAC7-1E6843F04EEA}"/>
    <cellStyle name="Migliaia 5 2 2 2 2 2 4 8" xfId="16769" xr:uid="{CB5ADDCB-1900-4ED9-8E12-424DE7E605AE}"/>
    <cellStyle name="Migliaia 5 2 2 2 2 2 5" xfId="1636" xr:uid="{48164BF0-7BC2-47C0-B39C-DE50B0438B3F}"/>
    <cellStyle name="Migliaia 5 2 2 2 2 2 5 2" xfId="3056" xr:uid="{15A6E296-D876-4546-8853-B4AD4C4D5876}"/>
    <cellStyle name="Migliaia 5 2 2 2 2 2 5 2 2" xfId="10547" xr:uid="{4631FE57-E6CA-4B95-A1C8-49DB3B1D048A}"/>
    <cellStyle name="Migliaia 5 2 2 2 2 2 5 2 2 2" xfId="14093" xr:uid="{6BA57BD5-04C5-4F48-8C48-8E9C4F9025CF}"/>
    <cellStyle name="Migliaia 5 2 2 2 2 2 5 2 2 2 2" xfId="29270" xr:uid="{58F6F6AE-02F6-4B5C-B3C7-D49F71451579}"/>
    <cellStyle name="Migliaia 5 2 2 2 2 2 5 2 2 3" xfId="25725" xr:uid="{A728FF9C-F5F9-4B60-B2B4-4B7C85D63C81}"/>
    <cellStyle name="Migliaia 5 2 2 2 2 2 5 2 3" xfId="6373" xr:uid="{80268ACF-0A4E-4430-A7E4-E2486B8C2781}"/>
    <cellStyle name="Migliaia 5 2 2 2 2 2 5 2 3 2" xfId="21553" xr:uid="{7E42A244-38F9-400C-B15E-5D0AAB61B445}"/>
    <cellStyle name="Migliaia 5 2 2 2 2 2 5 2 4" xfId="18265" xr:uid="{1497386B-1122-49CB-A8C2-A694D3D9C161}"/>
    <cellStyle name="Migliaia 5 2 2 2 2 2 5 3" xfId="3943" xr:uid="{4817FA05-61FF-4AC7-A7AD-D1A9248F9AA7}"/>
    <cellStyle name="Migliaia 5 2 2 2 2 2 5 3 2" xfId="11431" xr:uid="{E3B8AFFC-2E70-415E-80FC-B57A0A025192}"/>
    <cellStyle name="Migliaia 5 2 2 2 2 2 5 3 2 2" xfId="14977" xr:uid="{619CD8CD-65CE-447E-A091-ACDF7D420041}"/>
    <cellStyle name="Migliaia 5 2 2 2 2 2 5 3 2 2 2" xfId="30154" xr:uid="{820D0969-187D-46E8-A885-AD66066BE291}"/>
    <cellStyle name="Migliaia 5 2 2 2 2 2 5 3 2 3" xfId="26609" xr:uid="{81C4E62B-D58A-459F-B920-78D03DE13FB0}"/>
    <cellStyle name="Migliaia 5 2 2 2 2 2 5 3 3" xfId="7257" xr:uid="{493C27B5-F93D-4C77-B689-E3BB96A4A016}"/>
    <cellStyle name="Migliaia 5 2 2 2 2 2 5 3 3 2" xfId="22437" xr:uid="{D84EF7C2-79B5-4B9A-8DD9-DA9849D2D878}"/>
    <cellStyle name="Migliaia 5 2 2 2 2 2 5 3 4" xfId="19149" xr:uid="{8BB2BC6E-7F35-4785-9FF9-836299B1121B}"/>
    <cellStyle name="Migliaia 5 2 2 2 2 2 5 4" xfId="4650" xr:uid="{9A3A9F3A-770F-45FA-8522-D2D7B28D4075}"/>
    <cellStyle name="Migliaia 5 2 2 2 2 2 5 4 2" xfId="12135" xr:uid="{4F8C1F19-D0A3-448F-8C56-F868B7B14696}"/>
    <cellStyle name="Migliaia 5 2 2 2 2 2 5 4 2 2" xfId="15681" xr:uid="{07A8B20B-93E0-4E2A-8127-F038FB0A0D54}"/>
    <cellStyle name="Migliaia 5 2 2 2 2 2 5 4 2 2 2" xfId="30858" xr:uid="{F1F954B9-9583-41B4-85F2-78D85C8A76F8}"/>
    <cellStyle name="Migliaia 5 2 2 2 2 2 5 4 2 3" xfId="27313" xr:uid="{9075B9D9-B612-441E-9329-7B3B2D0B783F}"/>
    <cellStyle name="Migliaia 5 2 2 2 2 2 5 4 3" xfId="7961" xr:uid="{2C0E77BB-B4EB-4C18-AED4-C15E265CA480}"/>
    <cellStyle name="Migliaia 5 2 2 2 2 2 5 4 3 2" xfId="23141" xr:uid="{6284F91F-E9C7-4A0F-8606-8DCF6340EA66}"/>
    <cellStyle name="Migliaia 5 2 2 2 2 2 5 4 4" xfId="19853" xr:uid="{D22E39A4-34FA-4A02-84B7-FF8B499223D8}"/>
    <cellStyle name="Migliaia 5 2 2 2 2 2 5 5" xfId="2166" xr:uid="{52CA77DE-E6F9-407B-8F4D-7A202AFFE846}"/>
    <cellStyle name="Migliaia 5 2 2 2 2 2 5 5 2" xfId="9663" xr:uid="{7A4038C7-8D93-432B-8FFE-FB4C51242632}"/>
    <cellStyle name="Migliaia 5 2 2 2 2 2 5 5 2 2" xfId="24841" xr:uid="{D047A6F0-74AE-496D-BCA7-4ABB1725CCD6}"/>
    <cellStyle name="Migliaia 5 2 2 2 2 2 5 5 3" xfId="17381" xr:uid="{0602475B-C8D3-45B2-B5A3-02E5C04CF6C2}"/>
    <cellStyle name="Migliaia 5 2 2 2 2 2 5 6" xfId="9149" xr:uid="{7D6C885B-F205-4E0E-A5EB-0BB293ACB2A2}"/>
    <cellStyle name="Migliaia 5 2 2 2 2 2 5 6 2" xfId="13322" xr:uid="{E765D55F-EA1B-400A-A443-1CBA5A1F2E94}"/>
    <cellStyle name="Migliaia 5 2 2 2 2 2 5 6 2 2" xfId="28499" xr:uid="{4B3078CF-EC1F-44A1-899C-DF954024E8FA}"/>
    <cellStyle name="Migliaia 5 2 2 2 2 2 5 6 3" xfId="24327" xr:uid="{D1CFD0D0-8E39-45FC-B80F-E96E5380083F}"/>
    <cellStyle name="Migliaia 5 2 2 2 2 2 5 7" xfId="5489" xr:uid="{02AD6E8A-F0B9-4ECB-8E80-221F8359033B}"/>
    <cellStyle name="Migliaia 5 2 2 2 2 2 5 7 2" xfId="20669" xr:uid="{C8401CA0-A988-4D3C-9F52-B9888E07745B}"/>
    <cellStyle name="Migliaia 5 2 2 2 2 2 5 8" xfId="16867" xr:uid="{1111179D-C6FC-4AAB-8FBC-0599D09CF575}"/>
    <cellStyle name="Migliaia 5 2 2 2 2 2 6" xfId="1735" xr:uid="{26450260-1D38-460F-91AF-1150FD7DD2CC}"/>
    <cellStyle name="Migliaia 5 2 2 2 2 2 6 2" xfId="3154" xr:uid="{5A81B776-53C2-4DD5-B4FD-92095139B2BD}"/>
    <cellStyle name="Migliaia 5 2 2 2 2 2 6 2 2" xfId="10645" xr:uid="{5C7C787E-F0CC-4865-B4B1-75B102905627}"/>
    <cellStyle name="Migliaia 5 2 2 2 2 2 6 2 2 2" xfId="14191" xr:uid="{0D5D09E2-E5B9-42F6-B972-D01659466A60}"/>
    <cellStyle name="Migliaia 5 2 2 2 2 2 6 2 2 2 2" xfId="29368" xr:uid="{BF36475C-918A-48A4-9BA7-CBAF7E959705}"/>
    <cellStyle name="Migliaia 5 2 2 2 2 2 6 2 2 3" xfId="25823" xr:uid="{FDFC8C48-236D-4CCC-8130-AE203B7200ED}"/>
    <cellStyle name="Migliaia 5 2 2 2 2 2 6 2 3" xfId="6471" xr:uid="{C6239EEA-94CC-442C-98BA-DCE53EF43412}"/>
    <cellStyle name="Migliaia 5 2 2 2 2 2 6 2 3 2" xfId="21651" xr:uid="{A0557589-5DE0-401A-8F79-A5B2343BBA64}"/>
    <cellStyle name="Migliaia 5 2 2 2 2 2 6 2 4" xfId="18363" xr:uid="{577A4072-C2D3-4013-958E-4497FEDC54F1}"/>
    <cellStyle name="Migliaia 5 2 2 2 2 2 6 3" xfId="4041" xr:uid="{6110046F-543A-4523-A07B-1EB5C146B635}"/>
    <cellStyle name="Migliaia 5 2 2 2 2 2 6 3 2" xfId="11529" xr:uid="{85F373D8-5B73-4984-A153-491B1E30C6B1}"/>
    <cellStyle name="Migliaia 5 2 2 2 2 2 6 3 2 2" xfId="15075" xr:uid="{BF56B454-AC7D-4278-8E3A-D8E1F21C100D}"/>
    <cellStyle name="Migliaia 5 2 2 2 2 2 6 3 2 2 2" xfId="30252" xr:uid="{8CE2AC9E-1DB9-4B1D-B33B-AAD6D556EAD6}"/>
    <cellStyle name="Migliaia 5 2 2 2 2 2 6 3 2 3" xfId="26707" xr:uid="{584BEF57-7A0E-4E5D-AF93-49DA5BA13FE4}"/>
    <cellStyle name="Migliaia 5 2 2 2 2 2 6 3 3" xfId="7355" xr:uid="{5B07416B-9A97-4B5C-90CC-ADA844DF039C}"/>
    <cellStyle name="Migliaia 5 2 2 2 2 2 6 3 3 2" xfId="22535" xr:uid="{E0F1B4B8-2E7A-4BC2-9434-540CEE45A4EC}"/>
    <cellStyle name="Migliaia 5 2 2 2 2 2 6 3 4" xfId="19247" xr:uid="{9CFE8832-3C80-428E-BB94-D3A53482628C}"/>
    <cellStyle name="Migliaia 5 2 2 2 2 2 6 4" xfId="4651" xr:uid="{BE7FC7D6-6803-4B99-BD5A-FA1D0AC2C6A0}"/>
    <cellStyle name="Migliaia 5 2 2 2 2 2 6 4 2" xfId="12136" xr:uid="{84B48281-F921-46A6-A283-04775346F9DA}"/>
    <cellStyle name="Migliaia 5 2 2 2 2 2 6 4 2 2" xfId="15682" xr:uid="{28C1C6BF-AFAD-4E59-9A4C-D90095A611D7}"/>
    <cellStyle name="Migliaia 5 2 2 2 2 2 6 4 2 2 2" xfId="30859" xr:uid="{96A0DF5C-C3B5-42EF-A2E7-56386BFB380B}"/>
    <cellStyle name="Migliaia 5 2 2 2 2 2 6 4 2 3" xfId="27314" xr:uid="{6051E9F3-2FFC-413E-A37A-2F1E217B54D0}"/>
    <cellStyle name="Migliaia 5 2 2 2 2 2 6 4 3" xfId="7962" xr:uid="{357CE765-E0A5-444C-AA0E-7C989152AB49}"/>
    <cellStyle name="Migliaia 5 2 2 2 2 2 6 4 3 2" xfId="23142" xr:uid="{5F026219-E892-4ED9-B5E3-7643D2115214}"/>
    <cellStyle name="Migliaia 5 2 2 2 2 2 6 4 4" xfId="19854" xr:uid="{153AB667-AC25-47DA-A7DF-8D04F5FAF3C9}"/>
    <cellStyle name="Migliaia 5 2 2 2 2 2 6 5" xfId="2264" xr:uid="{B85F015A-5005-4C38-869C-6B8EC835F56E}"/>
    <cellStyle name="Migliaia 5 2 2 2 2 2 6 5 2" xfId="9761" xr:uid="{6C22792C-11E7-43EB-B426-7A94E578CD13}"/>
    <cellStyle name="Migliaia 5 2 2 2 2 2 6 5 2 2" xfId="24939" xr:uid="{8F0181EC-8456-44AA-ADD6-D9CE5C826550}"/>
    <cellStyle name="Migliaia 5 2 2 2 2 2 6 5 3" xfId="17479" xr:uid="{8EF9744F-58BB-4733-8686-7BF1EFA97F0F}"/>
    <cellStyle name="Migliaia 5 2 2 2 2 2 6 6" xfId="9247" xr:uid="{C72C6202-90F7-4C21-A3F7-D890A53FEB39}"/>
    <cellStyle name="Migliaia 5 2 2 2 2 2 6 6 2" xfId="13420" xr:uid="{BC5E202A-477B-4837-B3CE-B5B9C9A061BB}"/>
    <cellStyle name="Migliaia 5 2 2 2 2 2 6 6 2 2" xfId="28597" xr:uid="{8ABDECEF-91B6-4641-86A5-4F5069BC7279}"/>
    <cellStyle name="Migliaia 5 2 2 2 2 2 6 6 3" xfId="24425" xr:uid="{C3D32ACD-035E-4819-8053-583FC21EF910}"/>
    <cellStyle name="Migliaia 5 2 2 2 2 2 6 7" xfId="5587" xr:uid="{BEEC5BAE-824D-468B-AF90-4731596629B3}"/>
    <cellStyle name="Migliaia 5 2 2 2 2 2 6 7 2" xfId="20767" xr:uid="{0F208D39-9A27-4E6A-89CE-B9A9D4A9C394}"/>
    <cellStyle name="Migliaia 5 2 2 2 2 2 6 8" xfId="16965" xr:uid="{AC5A90EB-CF48-49C4-B4B1-4178F8E6310D}"/>
    <cellStyle name="Migliaia 5 2 2 2 2 2 7" xfId="2364" xr:uid="{72044D18-715D-49CF-AF0B-D81841126C49}"/>
    <cellStyle name="Migliaia 5 2 2 2 2 2 7 2" xfId="9859" xr:uid="{61E658A8-10DB-45A5-B89C-D356977BC0BA}"/>
    <cellStyle name="Migliaia 5 2 2 2 2 2 7 2 2" xfId="13518" xr:uid="{4367B613-7D27-4505-9977-B35676B8B6F4}"/>
    <cellStyle name="Migliaia 5 2 2 2 2 2 7 2 2 2" xfId="28695" xr:uid="{B26564DB-2DC3-4192-A819-D3916F0B0130}"/>
    <cellStyle name="Migliaia 5 2 2 2 2 2 7 2 3" xfId="25037" xr:uid="{642AFA2C-C942-4EF9-B8E6-E3FC8D979D81}"/>
    <cellStyle name="Migliaia 5 2 2 2 2 2 7 3" xfId="5685" xr:uid="{06E64D2B-0F18-45F7-9A5E-23879A1F9C01}"/>
    <cellStyle name="Migliaia 5 2 2 2 2 2 7 3 2" xfId="20865" xr:uid="{94CA9253-53D2-46B3-BFAF-7FB19E23C3D6}"/>
    <cellStyle name="Migliaia 5 2 2 2 2 2 7 4" xfId="17577" xr:uid="{5E5768BA-3996-455D-8E04-F04D7011841E}"/>
    <cellStyle name="Migliaia 5 2 2 2 2 2 8" xfId="3254" xr:uid="{037696E7-029D-4890-B3B8-B85FDC81E98F}"/>
    <cellStyle name="Migliaia 5 2 2 2 2 2 8 2" xfId="10743" xr:uid="{9C4B971C-80EE-4070-8F9B-127D7FC5710E}"/>
    <cellStyle name="Migliaia 5 2 2 2 2 2 8 2 2" xfId="14289" xr:uid="{BA1E9F62-85F9-449F-8C82-C6B1F3174483}"/>
    <cellStyle name="Migliaia 5 2 2 2 2 2 8 2 2 2" xfId="29466" xr:uid="{3CCDB151-2103-497F-B090-D85EB4555C46}"/>
    <cellStyle name="Migliaia 5 2 2 2 2 2 8 2 3" xfId="25921" xr:uid="{2A29A7D0-D022-4F1F-A9C8-ADF55956496B}"/>
    <cellStyle name="Migliaia 5 2 2 2 2 2 8 3" xfId="6569" xr:uid="{9E55AFDC-2BD8-448C-892B-EF57FE78E4F6}"/>
    <cellStyle name="Migliaia 5 2 2 2 2 2 8 3 2" xfId="21749" xr:uid="{AB27F652-1D54-4867-9A8E-77BB14EC9BA1}"/>
    <cellStyle name="Migliaia 5 2 2 2 2 2 8 4" xfId="18461" xr:uid="{27F614EB-1167-46CF-8270-BCC32B7B1481}"/>
    <cellStyle name="Migliaia 5 2 2 2 2 2 9" xfId="4652" xr:uid="{0CDF35E3-3CC3-437D-B498-B476FAC0C298}"/>
    <cellStyle name="Migliaia 5 2 2 2 2 2 9 2" xfId="12137" xr:uid="{AED89D9C-E771-4BF0-91D2-E1C913902665}"/>
    <cellStyle name="Migliaia 5 2 2 2 2 2 9 2 2" xfId="15683" xr:uid="{2384EC59-936F-48C2-B9D0-843067C248F9}"/>
    <cellStyle name="Migliaia 5 2 2 2 2 2 9 2 2 2" xfId="30860" xr:uid="{C820B602-B1B8-49D2-A043-0D9824D16A4C}"/>
    <cellStyle name="Migliaia 5 2 2 2 2 2 9 2 3" xfId="27315" xr:uid="{BDE7B99A-011F-4001-BB71-96BE3AA9AC19}"/>
    <cellStyle name="Migliaia 5 2 2 2 2 2 9 3" xfId="7963" xr:uid="{C214EDA3-9E31-49EF-9B04-3D14E73C54C1}"/>
    <cellStyle name="Migliaia 5 2 2 2 2 2 9 3 2" xfId="23143" xr:uid="{3A3BA958-7844-408C-9CF2-D46D2D92E844}"/>
    <cellStyle name="Migliaia 5 2 2 2 2 2 9 4" xfId="19855" xr:uid="{0509A95B-36F2-4CD1-BC32-961344B32D23}"/>
    <cellStyle name="Migliaia 5 2 2 2 2 3" xfId="922" xr:uid="{D44C12AB-F5BA-4AC5-ACE8-CD520E8A9A18}"/>
    <cellStyle name="Migliaia 5 2 2 2 2 3 2" xfId="2440" xr:uid="{F743DFAF-CA0D-470D-BAF7-310A827B6D2E}"/>
    <cellStyle name="Migliaia 5 2 2 2 2 3 2 2" xfId="9932" xr:uid="{2E15FC9C-D049-4DCD-962D-3202A1851AD0}"/>
    <cellStyle name="Migliaia 5 2 2 2 2 3 2 2 2" xfId="13591" xr:uid="{18CE5C80-2750-49D2-9F4F-B1FCE9EDFCD1}"/>
    <cellStyle name="Migliaia 5 2 2 2 2 3 2 2 2 2" xfId="28768" xr:uid="{948B0D3B-E50C-4061-962B-0B9A05818C42}"/>
    <cellStyle name="Migliaia 5 2 2 2 2 3 2 2 3" xfId="25110" xr:uid="{173A6985-1CF2-4EB9-9248-C1B831AD60ED}"/>
    <cellStyle name="Migliaia 5 2 2 2 2 3 2 3" xfId="5758" xr:uid="{23127EF4-4BB3-49C4-962C-F81A676C0128}"/>
    <cellStyle name="Migliaia 5 2 2 2 2 3 2 3 2" xfId="20938" xr:uid="{96E2F91A-455D-4D72-A22D-4DADEE694E6D}"/>
    <cellStyle name="Migliaia 5 2 2 2 2 3 2 4" xfId="17650" xr:uid="{57368246-D795-4D67-AA4B-B89951E0D7CE}"/>
    <cellStyle name="Migliaia 5 2 2 2 2 3 3" xfId="3328" xr:uid="{25A69F5F-E796-4911-882E-CDC6A82FFDB6}"/>
    <cellStyle name="Migliaia 5 2 2 2 2 3 3 2" xfId="10816" xr:uid="{44123EA4-8376-4B37-B026-556BD88C920F}"/>
    <cellStyle name="Migliaia 5 2 2 2 2 3 3 2 2" xfId="14362" xr:uid="{2F7DDC5A-4C6D-4FD7-9FCE-0C1932EB540C}"/>
    <cellStyle name="Migliaia 5 2 2 2 2 3 3 2 2 2" xfId="29539" xr:uid="{AE223610-9B03-4D2E-B9AC-96A51BEC99D5}"/>
    <cellStyle name="Migliaia 5 2 2 2 2 3 3 2 3" xfId="25994" xr:uid="{59D3BBAC-69EB-4127-BFE5-6C7E8D8C585B}"/>
    <cellStyle name="Migliaia 5 2 2 2 2 3 3 3" xfId="6642" xr:uid="{262293CB-EE9B-4CDB-B2D5-FB20743E31F4}"/>
    <cellStyle name="Migliaia 5 2 2 2 2 3 3 3 2" xfId="21822" xr:uid="{023984D0-7A9C-45BD-91D4-3FB4A37F4D6A}"/>
    <cellStyle name="Migliaia 5 2 2 2 2 3 3 4" xfId="18534" xr:uid="{AE8A19B3-26A4-4EE3-BFD8-57D3A1C2BDD6}"/>
    <cellStyle name="Migliaia 5 2 2 2 2 3 4" xfId="4653" xr:uid="{AB51C27D-E72C-4387-8BD2-C80B0DEAB27A}"/>
    <cellStyle name="Migliaia 5 2 2 2 2 3 4 2" xfId="12138" xr:uid="{FBB744F6-06A9-4FDF-A131-87132B21528D}"/>
    <cellStyle name="Migliaia 5 2 2 2 2 3 4 2 2" xfId="15684" xr:uid="{B0C898D7-2DD5-4D80-B317-30993D15A6B7}"/>
    <cellStyle name="Migliaia 5 2 2 2 2 3 4 2 2 2" xfId="30861" xr:uid="{B33A4262-1F8F-47BF-B115-48D4ED7C95B0}"/>
    <cellStyle name="Migliaia 5 2 2 2 2 3 4 2 3" xfId="27316" xr:uid="{B6E15911-7409-43D9-B873-03F7189A6ACB}"/>
    <cellStyle name="Migliaia 5 2 2 2 2 3 4 3" xfId="7964" xr:uid="{6F0BC640-FB87-4E40-8FFD-FDEC5125A1CF}"/>
    <cellStyle name="Migliaia 5 2 2 2 2 3 4 3 2" xfId="23144" xr:uid="{F5021912-D4AE-461E-A519-3C985F8C64F1}"/>
    <cellStyle name="Migliaia 5 2 2 2 2 3 4 4" xfId="19856" xr:uid="{44D2AE9D-132E-4D45-8901-42562795062E}"/>
    <cellStyle name="Migliaia 5 2 2 2 2 3 5" xfId="8534" xr:uid="{5B3E1502-3575-47EC-A23E-F815900CFC3F}"/>
    <cellStyle name="Migliaia 5 2 2 2 2 3 5 2" xfId="12707" xr:uid="{BD1C770C-A1FF-4D53-939F-B9438CF5BF1C}"/>
    <cellStyle name="Migliaia 5 2 2 2 2 3 5 2 2" xfId="27884" xr:uid="{32D32DDA-CB2A-4053-961B-BA6B643A252D}"/>
    <cellStyle name="Migliaia 5 2 2 2 2 3 5 3" xfId="23712" xr:uid="{9A25E656-CFBF-4632-AE59-F9D3A4D7603A}"/>
    <cellStyle name="Migliaia 5 2 2 2 2 3 6" xfId="16252" xr:uid="{0BCF1A40-E9B2-4EC5-AFEB-65D70243D8E1}"/>
    <cellStyle name="Migliaia 5 2 2 2 2 3 7" xfId="31692" xr:uid="{304481A4-E28B-4189-8F02-1DC916CD3F5E}"/>
    <cellStyle name="Migliaia 5 2 2 2 2 4" xfId="1025" xr:uid="{CC20B8A0-7FF3-4B00-8940-6A1418B63BB1}"/>
    <cellStyle name="Migliaia 5 2 2 2 2 4 2" xfId="2538" xr:uid="{D474A20F-82DE-4459-A2DF-AE92AFDE0A96}"/>
    <cellStyle name="Migliaia 5 2 2 2 2 4 2 2" xfId="10030" xr:uid="{48EE4600-3327-4EAF-8781-B8B963E19CF4}"/>
    <cellStyle name="Migliaia 5 2 2 2 2 4 2 2 2" xfId="13689" xr:uid="{189F674B-C6C3-467D-B869-DF1F21421A4C}"/>
    <cellStyle name="Migliaia 5 2 2 2 2 4 2 2 2 2" xfId="28866" xr:uid="{E83D1CA9-EB21-4738-B5A7-0ABEB5D91620}"/>
    <cellStyle name="Migliaia 5 2 2 2 2 4 2 2 3" xfId="25208" xr:uid="{25F33BE0-2128-46B5-B657-6490938AE864}"/>
    <cellStyle name="Migliaia 5 2 2 2 2 4 2 3" xfId="5856" xr:uid="{CD444EBD-826F-4A94-B9C4-587216652424}"/>
    <cellStyle name="Migliaia 5 2 2 2 2 4 2 3 2" xfId="21036" xr:uid="{07059D82-5B83-4853-8557-724DE2B47D69}"/>
    <cellStyle name="Migliaia 5 2 2 2 2 4 2 4" xfId="17748" xr:uid="{2AD8F33D-AA9E-4F12-AFCE-4694E9440236}"/>
    <cellStyle name="Migliaia 5 2 2 2 2 4 3" xfId="3426" xr:uid="{CA12BC26-969B-46A1-9874-56EE2C84146A}"/>
    <cellStyle name="Migliaia 5 2 2 2 2 4 3 2" xfId="10914" xr:uid="{C0224CC5-371B-4EAD-8A88-2A1EC4EBBB28}"/>
    <cellStyle name="Migliaia 5 2 2 2 2 4 3 2 2" xfId="14460" xr:uid="{FD0F180D-086C-4D71-B65C-0FEF36CE0DE4}"/>
    <cellStyle name="Migliaia 5 2 2 2 2 4 3 2 2 2" xfId="29637" xr:uid="{66A85038-7D10-470F-BF6A-20F10D27EDDE}"/>
    <cellStyle name="Migliaia 5 2 2 2 2 4 3 2 3" xfId="26092" xr:uid="{42EB6892-58A0-43A6-9261-1495A5688AA4}"/>
    <cellStyle name="Migliaia 5 2 2 2 2 4 3 3" xfId="6740" xr:uid="{F9A3F6A7-B003-4301-9F52-FC02BE4641AB}"/>
    <cellStyle name="Migliaia 5 2 2 2 2 4 3 3 2" xfId="21920" xr:uid="{C24F04FF-6D8D-4397-8A2B-C0D7F1630B68}"/>
    <cellStyle name="Migliaia 5 2 2 2 2 4 3 4" xfId="18632" xr:uid="{F7285059-2357-42C7-B540-40F7344C0C53}"/>
    <cellStyle name="Migliaia 5 2 2 2 2 4 4" xfId="4654" xr:uid="{23213AF9-5402-4466-9FB1-F892B9A115F6}"/>
    <cellStyle name="Migliaia 5 2 2 2 2 4 4 2" xfId="12139" xr:uid="{3CD23334-3620-4BB3-AE97-628B4D2638CE}"/>
    <cellStyle name="Migliaia 5 2 2 2 2 4 4 2 2" xfId="15685" xr:uid="{B28C4CDB-22AB-4E5A-AA8A-CB678793E22C}"/>
    <cellStyle name="Migliaia 5 2 2 2 2 4 4 2 2 2" xfId="30862" xr:uid="{715FAB44-102C-492B-8859-8E8B3501DE9B}"/>
    <cellStyle name="Migliaia 5 2 2 2 2 4 4 2 3" xfId="27317" xr:uid="{9B3707C5-8026-4C5E-BB05-9F9D343048EB}"/>
    <cellStyle name="Migliaia 5 2 2 2 2 4 4 3" xfId="7965" xr:uid="{FDCF18BD-4F59-4F76-A39F-72C41F9F0D0B}"/>
    <cellStyle name="Migliaia 5 2 2 2 2 4 4 3 2" xfId="23145" xr:uid="{A95A772D-4ED8-4189-B902-073B7ADDD097}"/>
    <cellStyle name="Migliaia 5 2 2 2 2 4 4 4" xfId="19857" xr:uid="{A5186B6C-66D7-4740-AC37-9D9FF0604019}"/>
    <cellStyle name="Migliaia 5 2 2 2 2 4 5" xfId="8632" xr:uid="{81C753B2-98B3-4C5B-806B-4E434F1393E8}"/>
    <cellStyle name="Migliaia 5 2 2 2 2 4 5 2" xfId="12805" xr:uid="{30E22C4A-6098-4031-86FF-FCDFB72C2803}"/>
    <cellStyle name="Migliaia 5 2 2 2 2 4 5 2 2" xfId="27982" xr:uid="{F41577E7-B7E1-4F53-98C4-FC8A2FB3822A}"/>
    <cellStyle name="Migliaia 5 2 2 2 2 4 5 3" xfId="23810" xr:uid="{6D96B38A-CA30-41CB-BB20-AC13735BED67}"/>
    <cellStyle name="Migliaia 5 2 2 2 2 4 6" xfId="16350" xr:uid="{E029276B-170E-4A1C-A7BB-3636DDF710FB}"/>
    <cellStyle name="Migliaia 5 2 2 2 2 4 7" xfId="31570" xr:uid="{46282780-04A3-4906-B6E4-FA47C5F3B600}"/>
    <cellStyle name="Migliaia 5 2 2 2 2 5" xfId="1283" xr:uid="{3BED0F21-1293-42DD-A71E-A9433043FA97}"/>
    <cellStyle name="Migliaia 5 2 2 2 2 5 10" xfId="31342" xr:uid="{3237FED8-5139-47E7-8A46-275B1E59BB9A}"/>
    <cellStyle name="Migliaia 5 2 2 2 2 5 2" xfId="2713" xr:uid="{26365479-7944-4C2A-B927-543A2A15791D}"/>
    <cellStyle name="Migliaia 5 2 2 2 2 5 2 2" xfId="10204" xr:uid="{B5E80493-7143-494C-8CB5-49A1F08ABB01}"/>
    <cellStyle name="Migliaia 5 2 2 2 2 5 2 2 2" xfId="13848" xr:uid="{83C21A09-AD09-49F2-9FC0-AD588DE98ABA}"/>
    <cellStyle name="Migliaia 5 2 2 2 2 5 2 2 2 2" xfId="29025" xr:uid="{D3C955D3-D893-40E9-AB24-B29C5DEDE243}"/>
    <cellStyle name="Migliaia 5 2 2 2 2 5 2 2 3" xfId="25382" xr:uid="{1FF33E44-2E74-4DAC-9686-B6E2486B7FF9}"/>
    <cellStyle name="Migliaia 5 2 2 2 2 5 2 3" xfId="6030" xr:uid="{A2D388B8-F7B0-4CBF-A220-DB263C61F4E8}"/>
    <cellStyle name="Migliaia 5 2 2 2 2 5 2 3 2" xfId="21210" xr:uid="{4C95D72D-B979-44E9-8AF7-49511B17D14F}"/>
    <cellStyle name="Migliaia 5 2 2 2 2 5 2 4" xfId="17922" xr:uid="{87CAF638-6C2D-4504-A1BE-FA5AFF7FC91E}"/>
    <cellStyle name="Migliaia 5 2 2 2 2 5 3" xfId="3600" xr:uid="{363BA61D-E2A1-4D56-B998-7E5C8B3768A0}"/>
    <cellStyle name="Migliaia 5 2 2 2 2 5 3 2" xfId="11088" xr:uid="{AE65F464-CB4A-46C6-8B57-2D3B31C9978E}"/>
    <cellStyle name="Migliaia 5 2 2 2 2 5 3 2 2" xfId="14634" xr:uid="{E262F792-A373-4339-AA80-42328E6467C2}"/>
    <cellStyle name="Migliaia 5 2 2 2 2 5 3 2 2 2" xfId="29811" xr:uid="{E57D0024-8482-449C-B80D-BCC6C28605B6}"/>
    <cellStyle name="Migliaia 5 2 2 2 2 5 3 2 3" xfId="26266" xr:uid="{6B6C1C54-916D-454D-BF6A-6BBF189779E7}"/>
    <cellStyle name="Migliaia 5 2 2 2 2 5 3 3" xfId="6914" xr:uid="{E1D9432D-5F65-400C-98C7-E4AD115B0EEE}"/>
    <cellStyle name="Migliaia 5 2 2 2 2 5 3 3 2" xfId="22094" xr:uid="{738614D7-12A7-4C0A-8345-BB93288A0A1B}"/>
    <cellStyle name="Migliaia 5 2 2 2 2 5 3 4" xfId="18806" xr:uid="{A36F7139-0912-418F-9E9B-5243E48A8A46}"/>
    <cellStyle name="Migliaia 5 2 2 2 2 5 4" xfId="4655" xr:uid="{DF3BD0DC-AB88-44B5-803F-F5974A689B7E}"/>
    <cellStyle name="Migliaia 5 2 2 2 2 5 4 2" xfId="12140" xr:uid="{5D1CA66C-58BC-4BCD-878A-292915726052}"/>
    <cellStyle name="Migliaia 5 2 2 2 2 5 4 2 2" xfId="15686" xr:uid="{12157B1A-BE94-480E-AD83-5E007A1B5D63}"/>
    <cellStyle name="Migliaia 5 2 2 2 2 5 4 2 2 2" xfId="30863" xr:uid="{5118B424-24FF-4EAA-908C-CB8C49F2C539}"/>
    <cellStyle name="Migliaia 5 2 2 2 2 5 4 2 3" xfId="27318" xr:uid="{B809C7E3-F38C-4966-BFC9-8231E7E8B0AD}"/>
    <cellStyle name="Migliaia 5 2 2 2 2 5 4 3" xfId="7966" xr:uid="{9147277D-D276-4A7C-B0E7-A025A30E999A}"/>
    <cellStyle name="Migliaia 5 2 2 2 2 5 4 3 2" xfId="23146" xr:uid="{100B02C6-0FD0-4D91-9133-C563C940E1FD}"/>
    <cellStyle name="Migliaia 5 2 2 2 2 5 4 4" xfId="19858" xr:uid="{2472B972-C364-436C-8AEB-74198E3AD41B}"/>
    <cellStyle name="Migliaia 5 2 2 2 2 5 5" xfId="5002" xr:uid="{879909DE-8D09-474A-8316-040D5891A36C}"/>
    <cellStyle name="Migliaia 5 2 2 2 2 5 5 2" xfId="12486" xr:uid="{C12D0A27-CF79-4A7A-8987-BE2401AE5F77}"/>
    <cellStyle name="Migliaia 5 2 2 2 2 5 5 2 2" xfId="16032" xr:uid="{56B4BFAB-EC1D-4313-8609-F422943B2927}"/>
    <cellStyle name="Migliaia 5 2 2 2 2 5 5 2 2 2" xfId="31209" xr:uid="{C91A5E2C-76E0-42E1-9CE1-520237AC4B0A}"/>
    <cellStyle name="Migliaia 5 2 2 2 2 5 5 2 3" xfId="27664" xr:uid="{32584E28-8F24-43EE-8540-7A1691798FCF}"/>
    <cellStyle name="Migliaia 5 2 2 2 2 5 5 3" xfId="8312" xr:uid="{AFC85C6A-B0A9-4092-B556-E4A9FB8D8449}"/>
    <cellStyle name="Migliaia 5 2 2 2 2 5 5 3 2" xfId="23492" xr:uid="{EB6C6684-4213-4A2A-AF92-130FD2C48CC5}"/>
    <cellStyle name="Migliaia 5 2 2 2 2 5 5 4" xfId="20204" xr:uid="{E43F6040-525E-4C48-8FBF-25C39ACB6C5E}"/>
    <cellStyle name="Migliaia 5 2 2 2 2 5 6" xfId="1823" xr:uid="{B101DD9B-B75D-4B76-81B9-A609B5A591EA}"/>
    <cellStyle name="Migliaia 5 2 2 2 2 5 6 2" xfId="9320" xr:uid="{160B7E69-269A-4984-A99C-DC7CD737045F}"/>
    <cellStyle name="Migliaia 5 2 2 2 2 5 6 2 2" xfId="24498" xr:uid="{03A862C5-40B1-4043-85BA-0D4B2C86CA9D}"/>
    <cellStyle name="Migliaia 5 2 2 2 2 5 6 3" xfId="17038" xr:uid="{F34DDCEF-60DE-4BDE-9B4C-1DEE0520A540}"/>
    <cellStyle name="Migliaia 5 2 2 2 2 5 7" xfId="8806" xr:uid="{B29156AA-F646-4D71-9931-54F9AFB88036}"/>
    <cellStyle name="Migliaia 5 2 2 2 2 5 7 2" xfId="12979" xr:uid="{0CA5F0CE-6DE3-433E-8441-A4DBAD231B7C}"/>
    <cellStyle name="Migliaia 5 2 2 2 2 5 7 2 2" xfId="28156" xr:uid="{E7D90E60-E7D3-411F-984F-AE0ED15F26FC}"/>
    <cellStyle name="Migliaia 5 2 2 2 2 5 7 3" xfId="23984" xr:uid="{CBEE4779-0C8C-4787-9201-058BF9097157}"/>
    <cellStyle name="Migliaia 5 2 2 2 2 5 8" xfId="5146" xr:uid="{971ABCCC-B2DC-405D-A839-90B1C03EB21A}"/>
    <cellStyle name="Migliaia 5 2 2 2 2 5 8 2" xfId="20326" xr:uid="{1C72EA3D-52BA-432E-B773-4206F2DDB0A3}"/>
    <cellStyle name="Migliaia 5 2 2 2 2 5 9" xfId="16524" xr:uid="{68FFF62E-499D-4C9D-9BA0-ABFACABBBE53}"/>
    <cellStyle name="Migliaia 5 2 2 2 2 6" xfId="1385" xr:uid="{765099A0-C575-4710-8EB8-F091C2841D77}"/>
    <cellStyle name="Migliaia 5 2 2 2 2 6 2" xfId="2811" xr:uid="{4A58B60B-A6E0-482B-90D0-03D240521E10}"/>
    <cellStyle name="Migliaia 5 2 2 2 2 6 2 2" xfId="10302" xr:uid="{9716F3EB-61F8-42F0-ACAD-25C408C47D6E}"/>
    <cellStyle name="Migliaia 5 2 2 2 2 6 2 2 2" xfId="13897" xr:uid="{20FB3B9C-D947-4D83-BF3B-23DA898664E7}"/>
    <cellStyle name="Migliaia 5 2 2 2 2 6 2 2 2 2" xfId="29074" xr:uid="{A75E969D-F17C-44A7-A80C-99CB3135ED6A}"/>
    <cellStyle name="Migliaia 5 2 2 2 2 6 2 2 3" xfId="25480" xr:uid="{A869876B-9A6A-4BAF-9DC7-C4B154BE93A5}"/>
    <cellStyle name="Migliaia 5 2 2 2 2 6 2 3" xfId="6128" xr:uid="{92ABAEE1-7384-48F0-BFAE-DEE1784133D3}"/>
    <cellStyle name="Migliaia 5 2 2 2 2 6 2 3 2" xfId="21308" xr:uid="{EC5BF043-F9CC-41C6-AADB-350D60A2C00D}"/>
    <cellStyle name="Migliaia 5 2 2 2 2 6 2 4" xfId="18020" xr:uid="{C61A61BF-5F0F-418C-B7D5-F442B90FBEBE}"/>
    <cellStyle name="Migliaia 5 2 2 2 2 6 3" xfId="3698" xr:uid="{CE14D530-5F14-4E18-A57B-F3D5CEC3B5AC}"/>
    <cellStyle name="Migliaia 5 2 2 2 2 6 3 2" xfId="11186" xr:uid="{A6DA583A-0AD7-4FFB-98B4-BC59CCC4ECA7}"/>
    <cellStyle name="Migliaia 5 2 2 2 2 6 3 2 2" xfId="14732" xr:uid="{1A2AB5F5-A682-4691-A37C-BEA3408A03EA}"/>
    <cellStyle name="Migliaia 5 2 2 2 2 6 3 2 2 2" xfId="29909" xr:uid="{8E413E61-9665-4A2C-A0B5-8819F88DE0AC}"/>
    <cellStyle name="Migliaia 5 2 2 2 2 6 3 2 3" xfId="26364" xr:uid="{A7DFDBCC-B439-45A5-8684-8B1A370A43FF}"/>
    <cellStyle name="Migliaia 5 2 2 2 2 6 3 3" xfId="7012" xr:uid="{756F258D-1F71-45F6-A720-D0F03080132A}"/>
    <cellStyle name="Migliaia 5 2 2 2 2 6 3 3 2" xfId="22192" xr:uid="{57763CD9-7434-49BB-A474-FF75338A2F38}"/>
    <cellStyle name="Migliaia 5 2 2 2 2 6 3 4" xfId="18904" xr:uid="{46DB80D0-CC9B-4CDD-92F7-724632096B0C}"/>
    <cellStyle name="Migliaia 5 2 2 2 2 6 4" xfId="4656" xr:uid="{DA595C71-1C1E-45BD-9571-5B56323A6504}"/>
    <cellStyle name="Migliaia 5 2 2 2 2 6 4 2" xfId="12141" xr:uid="{152DEF02-653A-4982-81D8-C8EFB1A4E75A}"/>
    <cellStyle name="Migliaia 5 2 2 2 2 6 4 2 2" xfId="15687" xr:uid="{0EC0D1FA-E075-4AEF-A342-90CE6E879708}"/>
    <cellStyle name="Migliaia 5 2 2 2 2 6 4 2 2 2" xfId="30864" xr:uid="{FDEE64E0-20EE-4DA5-8FA8-361E51849BE2}"/>
    <cellStyle name="Migliaia 5 2 2 2 2 6 4 2 3" xfId="27319" xr:uid="{63C65AE2-81E6-4161-9FF8-B57C0059F695}"/>
    <cellStyle name="Migliaia 5 2 2 2 2 6 4 3" xfId="7967" xr:uid="{F337FB05-2E7A-406F-8E0B-23F1C754109D}"/>
    <cellStyle name="Migliaia 5 2 2 2 2 6 4 3 2" xfId="23147" xr:uid="{59848281-8BDD-4003-A720-FC4EF7367313}"/>
    <cellStyle name="Migliaia 5 2 2 2 2 6 4 4" xfId="19859" xr:uid="{4C87C152-845E-498E-A4E3-C794EC2FA14A}"/>
    <cellStyle name="Migliaia 5 2 2 2 2 6 5" xfId="1921" xr:uid="{14D57B57-270C-46F3-944B-0DDE82E97554}"/>
    <cellStyle name="Migliaia 5 2 2 2 2 6 5 2" xfId="9418" xr:uid="{FAE94C24-D3E2-4C23-8F5F-D18FE07CF740}"/>
    <cellStyle name="Migliaia 5 2 2 2 2 6 5 2 2" xfId="24596" xr:uid="{F76E64F9-A3CC-488C-954C-4555FEB22A5E}"/>
    <cellStyle name="Migliaia 5 2 2 2 2 6 5 3" xfId="17136" xr:uid="{D3B5D2BF-8011-4130-A643-9140BA9197C8}"/>
    <cellStyle name="Migliaia 5 2 2 2 2 6 6" xfId="8904" xr:uid="{CCEB02E0-EB06-4C03-8647-E16331CDFEA3}"/>
    <cellStyle name="Migliaia 5 2 2 2 2 6 6 2" xfId="13077" xr:uid="{13E79F0B-16F4-4936-84D5-5A85CEFA612A}"/>
    <cellStyle name="Migliaia 5 2 2 2 2 6 6 2 2" xfId="28254" xr:uid="{6085C238-766D-4309-83DE-4DE137EC21AF}"/>
    <cellStyle name="Migliaia 5 2 2 2 2 6 6 3" xfId="24082" xr:uid="{9B5BC780-C24E-4768-97AF-FE96C0A6D34C}"/>
    <cellStyle name="Migliaia 5 2 2 2 2 6 7" xfId="5244" xr:uid="{7F73661A-CB20-4B85-BEBA-2E077B5E077C}"/>
    <cellStyle name="Migliaia 5 2 2 2 2 6 7 2" xfId="20424" xr:uid="{7B61F90D-0015-44E7-9EC4-91B5527F4F4A}"/>
    <cellStyle name="Migliaia 5 2 2 2 2 6 8" xfId="16622" xr:uid="{058B8FE8-DA08-4211-8A73-3008A4EBD184}"/>
    <cellStyle name="Migliaia 5 2 2 2 2 7" xfId="1484" xr:uid="{B4EDAB08-3163-44C8-A254-F5E364DDB5CA}"/>
    <cellStyle name="Migliaia 5 2 2 2 2 7 2" xfId="2909" xr:uid="{75DFA259-86E5-4F3C-89E0-F279626606FB}"/>
    <cellStyle name="Migliaia 5 2 2 2 2 7 2 2" xfId="10400" xr:uid="{B6C9A2C5-EAED-4565-B945-4EF8CBC365D5}"/>
    <cellStyle name="Migliaia 5 2 2 2 2 7 2 2 2" xfId="13946" xr:uid="{B637E58A-7F7C-4C5A-8F9A-05CBF7DFA812}"/>
    <cellStyle name="Migliaia 5 2 2 2 2 7 2 2 2 2" xfId="29123" xr:uid="{F8988684-4949-4D87-A2E4-8F632EE6C6BC}"/>
    <cellStyle name="Migliaia 5 2 2 2 2 7 2 2 3" xfId="25578" xr:uid="{49A51EC4-2B06-49B6-B7CE-EC5C60DFB142}"/>
    <cellStyle name="Migliaia 5 2 2 2 2 7 2 3" xfId="6226" xr:uid="{279CD7DC-571E-4528-BF1D-D54903C06F90}"/>
    <cellStyle name="Migliaia 5 2 2 2 2 7 2 3 2" xfId="21406" xr:uid="{35CE237F-4CAB-4065-93DB-DBAE2A110B79}"/>
    <cellStyle name="Migliaia 5 2 2 2 2 7 2 4" xfId="18118" xr:uid="{F79AADA6-1BB4-4700-AA53-3DF797BA1EE9}"/>
    <cellStyle name="Migliaia 5 2 2 2 2 7 3" xfId="3796" xr:uid="{FBEA20D1-BB7B-4A03-A27C-484F4A27C467}"/>
    <cellStyle name="Migliaia 5 2 2 2 2 7 3 2" xfId="11284" xr:uid="{7C52A8C8-59BD-4F4C-96D5-561E0AB82D75}"/>
    <cellStyle name="Migliaia 5 2 2 2 2 7 3 2 2" xfId="14830" xr:uid="{C196D66A-44AD-416B-A199-B39AFAA93082}"/>
    <cellStyle name="Migliaia 5 2 2 2 2 7 3 2 2 2" xfId="30007" xr:uid="{2BF98B89-F6FB-40EF-A68B-0426BBECE151}"/>
    <cellStyle name="Migliaia 5 2 2 2 2 7 3 2 3" xfId="26462" xr:uid="{4AA958CF-B8D9-4D6B-92AA-FDF3DAB8338E}"/>
    <cellStyle name="Migliaia 5 2 2 2 2 7 3 3" xfId="7110" xr:uid="{00E9F942-EC32-43E4-B0A9-DFF9E9AFE688}"/>
    <cellStyle name="Migliaia 5 2 2 2 2 7 3 3 2" xfId="22290" xr:uid="{3C78FE73-2DA7-41F3-A3C1-50BC97066EDD}"/>
    <cellStyle name="Migliaia 5 2 2 2 2 7 3 4" xfId="19002" xr:uid="{911E902E-E5A5-4E10-B804-B0696E74EAE3}"/>
    <cellStyle name="Migliaia 5 2 2 2 2 7 4" xfId="4657" xr:uid="{9292D95D-FE30-4105-B848-C5B5D73DB91C}"/>
    <cellStyle name="Migliaia 5 2 2 2 2 7 4 2" xfId="12142" xr:uid="{BB6D3A7A-3F9A-464F-B7A3-6C18BF6CD75A}"/>
    <cellStyle name="Migliaia 5 2 2 2 2 7 4 2 2" xfId="15688" xr:uid="{54B1BF1A-95A5-4600-8777-2092A87A43E4}"/>
    <cellStyle name="Migliaia 5 2 2 2 2 7 4 2 2 2" xfId="30865" xr:uid="{00547234-7007-407A-AB45-7B7106B32C47}"/>
    <cellStyle name="Migliaia 5 2 2 2 2 7 4 2 3" xfId="27320" xr:uid="{9234C2C2-D0CA-445D-855F-106DCA5E1A41}"/>
    <cellStyle name="Migliaia 5 2 2 2 2 7 4 3" xfId="7968" xr:uid="{D5516265-03ED-4215-B41F-70AEF743F735}"/>
    <cellStyle name="Migliaia 5 2 2 2 2 7 4 3 2" xfId="23148" xr:uid="{83654D2D-2C8A-4B9A-B16C-12CDCE4AB155}"/>
    <cellStyle name="Migliaia 5 2 2 2 2 7 4 4" xfId="19860" xr:uid="{C5D476BB-EF86-4794-AE1D-6BC33CAA5390}"/>
    <cellStyle name="Migliaia 5 2 2 2 2 7 5" xfId="2019" xr:uid="{0F20E9BC-083F-42CF-B695-8B73D1979F2D}"/>
    <cellStyle name="Migliaia 5 2 2 2 2 7 5 2" xfId="9516" xr:uid="{56A24CFD-1824-4411-8174-5DDB4E3E5835}"/>
    <cellStyle name="Migliaia 5 2 2 2 2 7 5 2 2" xfId="24694" xr:uid="{2DB2E6C7-853C-484A-AB3F-2503C080E729}"/>
    <cellStyle name="Migliaia 5 2 2 2 2 7 5 3" xfId="17234" xr:uid="{17D84B56-5169-4036-A190-9FD2C81974D9}"/>
    <cellStyle name="Migliaia 5 2 2 2 2 7 6" xfId="9002" xr:uid="{72F78FD1-040D-42C4-BFC3-4A0C3FDFF08E}"/>
    <cellStyle name="Migliaia 5 2 2 2 2 7 6 2" xfId="13175" xr:uid="{049F7DA2-0B3A-428B-9A9D-72AA4E6215A1}"/>
    <cellStyle name="Migliaia 5 2 2 2 2 7 6 2 2" xfId="28352" xr:uid="{77C0B4F7-4235-4429-8A81-EED788834075}"/>
    <cellStyle name="Migliaia 5 2 2 2 2 7 6 3" xfId="24180" xr:uid="{A97794EE-6E54-407C-9523-013CE1660E1E}"/>
    <cellStyle name="Migliaia 5 2 2 2 2 7 7" xfId="5342" xr:uid="{F0941910-BDBF-4A22-BD35-1A53B99CD499}"/>
    <cellStyle name="Migliaia 5 2 2 2 2 7 7 2" xfId="20522" xr:uid="{3D083546-A3CE-4C52-9B73-413CB0BDCB94}"/>
    <cellStyle name="Migliaia 5 2 2 2 2 7 8" xfId="16720" xr:uid="{6E1D22CA-354A-4234-B158-BBDD3296B023}"/>
    <cellStyle name="Migliaia 5 2 2 2 2 8" xfId="1587" xr:uid="{C763DDE8-B5D2-436B-8311-47AD280CBB00}"/>
    <cellStyle name="Migliaia 5 2 2 2 2 8 2" xfId="3007" xr:uid="{0ABAE3A1-8573-4507-9282-1085BB455F50}"/>
    <cellStyle name="Migliaia 5 2 2 2 2 8 2 2" xfId="10498" xr:uid="{45D9B24A-BEEA-4221-9B63-A24267DA403A}"/>
    <cellStyle name="Migliaia 5 2 2 2 2 8 2 2 2" xfId="14044" xr:uid="{CD5E8434-1BB3-47F7-B1A3-7DA3CD07BD6A}"/>
    <cellStyle name="Migliaia 5 2 2 2 2 8 2 2 2 2" xfId="29221" xr:uid="{A26D5361-D621-4F52-A256-916D709BF9C9}"/>
    <cellStyle name="Migliaia 5 2 2 2 2 8 2 2 3" xfId="25676" xr:uid="{B6D2936C-A9C8-46A3-9281-1951E23ADB5B}"/>
    <cellStyle name="Migliaia 5 2 2 2 2 8 2 3" xfId="6324" xr:uid="{52A9BAD7-40F7-43C6-A6D7-4C028CD195AB}"/>
    <cellStyle name="Migliaia 5 2 2 2 2 8 2 3 2" xfId="21504" xr:uid="{3AABF04F-A54F-4538-ACFB-A0C1B2599CEC}"/>
    <cellStyle name="Migliaia 5 2 2 2 2 8 2 4" xfId="18216" xr:uid="{78DEFFAA-F177-47AD-B5B8-CED53478BA91}"/>
    <cellStyle name="Migliaia 5 2 2 2 2 8 3" xfId="3894" xr:uid="{DFDF3FD9-BD7E-4AB9-A486-E0AC195CD3CE}"/>
    <cellStyle name="Migliaia 5 2 2 2 2 8 3 2" xfId="11382" xr:uid="{7C964CBB-40F8-41B7-ABC9-D10903CA87AF}"/>
    <cellStyle name="Migliaia 5 2 2 2 2 8 3 2 2" xfId="14928" xr:uid="{E9E9ABC8-35E1-473E-854D-FE3CDB40E5D5}"/>
    <cellStyle name="Migliaia 5 2 2 2 2 8 3 2 2 2" xfId="30105" xr:uid="{5497B029-C304-4F88-A4AB-B3080C5AE119}"/>
    <cellStyle name="Migliaia 5 2 2 2 2 8 3 2 3" xfId="26560" xr:uid="{55C9550A-2A37-43C0-B6B7-C40FEC862DB5}"/>
    <cellStyle name="Migliaia 5 2 2 2 2 8 3 3" xfId="7208" xr:uid="{AB312AC1-F763-4D13-9736-49C2D32F50EC}"/>
    <cellStyle name="Migliaia 5 2 2 2 2 8 3 3 2" xfId="22388" xr:uid="{0CF30B38-C759-42DA-9211-C8F85D24FABD}"/>
    <cellStyle name="Migliaia 5 2 2 2 2 8 3 4" xfId="19100" xr:uid="{C9EF9C7A-1FD8-470E-B730-14C8874C9A6C}"/>
    <cellStyle name="Migliaia 5 2 2 2 2 8 4" xfId="4658" xr:uid="{0B265CA3-F1BE-4014-85EE-BE57F390EED9}"/>
    <cellStyle name="Migliaia 5 2 2 2 2 8 4 2" xfId="12143" xr:uid="{2D125527-3D23-400B-BDB9-A9552F105A3E}"/>
    <cellStyle name="Migliaia 5 2 2 2 2 8 4 2 2" xfId="15689" xr:uid="{C6CD7D34-0B6F-43BA-AB66-B8A17078A14A}"/>
    <cellStyle name="Migliaia 5 2 2 2 2 8 4 2 2 2" xfId="30866" xr:uid="{23F1459B-A604-4D9A-AF8B-9CE39A43E404}"/>
    <cellStyle name="Migliaia 5 2 2 2 2 8 4 2 3" xfId="27321" xr:uid="{74806340-09C4-4E7E-AA4C-BE6D13268579}"/>
    <cellStyle name="Migliaia 5 2 2 2 2 8 4 3" xfId="7969" xr:uid="{B1EE067A-EEBF-477B-AB31-D8C7438AE504}"/>
    <cellStyle name="Migliaia 5 2 2 2 2 8 4 3 2" xfId="23149" xr:uid="{59A7652A-2B42-4C93-BAA7-ECFAEB636A4A}"/>
    <cellStyle name="Migliaia 5 2 2 2 2 8 4 4" xfId="19861" xr:uid="{860363B3-1852-4221-AF34-B23A27F7B788}"/>
    <cellStyle name="Migliaia 5 2 2 2 2 8 5" xfId="2117" xr:uid="{46CE8A6C-C9A7-457E-BA38-AD4496C66E56}"/>
    <cellStyle name="Migliaia 5 2 2 2 2 8 5 2" xfId="9614" xr:uid="{B19B49B9-7BF7-4962-8E5D-5FDD3ECBB06C}"/>
    <cellStyle name="Migliaia 5 2 2 2 2 8 5 2 2" xfId="24792" xr:uid="{3B286BFF-76EE-4AFE-BA05-074237DBE1F8}"/>
    <cellStyle name="Migliaia 5 2 2 2 2 8 5 3" xfId="17332" xr:uid="{86616B38-7E0A-4262-ADE2-34BFAD1FD88A}"/>
    <cellStyle name="Migliaia 5 2 2 2 2 8 6" xfId="9100" xr:uid="{9CBAE216-786B-4EBD-B9B7-7957BE6BEF21}"/>
    <cellStyle name="Migliaia 5 2 2 2 2 8 6 2" xfId="13273" xr:uid="{8C9D77E1-E3DE-4C83-B350-2EC2C7A5CBE5}"/>
    <cellStyle name="Migliaia 5 2 2 2 2 8 6 2 2" xfId="28450" xr:uid="{9813BB04-1D86-48F3-8924-ABE714F332D9}"/>
    <cellStyle name="Migliaia 5 2 2 2 2 8 6 3" xfId="24278" xr:uid="{60EA5D13-657C-4D51-878F-8E2762771113}"/>
    <cellStyle name="Migliaia 5 2 2 2 2 8 7" xfId="5440" xr:uid="{562DE948-CA4F-45E0-B6A5-44B00A1B79FC}"/>
    <cellStyle name="Migliaia 5 2 2 2 2 8 7 2" xfId="20620" xr:uid="{3132BC5A-D70C-4FEC-984D-4CF48D9ED595}"/>
    <cellStyle name="Migliaia 5 2 2 2 2 8 8" xfId="16818" xr:uid="{BB1A6BF6-BD07-46EC-85FD-7E6ED4CAB121}"/>
    <cellStyle name="Migliaia 5 2 2 2 2 9" xfId="1686" xr:uid="{75B52FC3-BFA8-4261-953B-EC081A27D27B}"/>
    <cellStyle name="Migliaia 5 2 2 2 2 9 2" xfId="3105" xr:uid="{59347CFD-2B83-4361-ADB4-CD3E3C4B8B3C}"/>
    <cellStyle name="Migliaia 5 2 2 2 2 9 2 2" xfId="10596" xr:uid="{24E56208-F576-4528-89AE-9F332BFCAE5C}"/>
    <cellStyle name="Migliaia 5 2 2 2 2 9 2 2 2" xfId="14142" xr:uid="{D1844C30-A29A-4395-B625-9DBB98EC3532}"/>
    <cellStyle name="Migliaia 5 2 2 2 2 9 2 2 2 2" xfId="29319" xr:uid="{1F5C50B4-FDBD-45CC-9879-D1305CD5D77F}"/>
    <cellStyle name="Migliaia 5 2 2 2 2 9 2 2 3" xfId="25774" xr:uid="{65895697-B4EC-48A4-866E-14E4304AF725}"/>
    <cellStyle name="Migliaia 5 2 2 2 2 9 2 3" xfId="6422" xr:uid="{364359C7-8463-4AFB-AF2E-99DA95E6FA77}"/>
    <cellStyle name="Migliaia 5 2 2 2 2 9 2 3 2" xfId="21602" xr:uid="{93EB47C0-A0E0-4952-BD35-73FBA0279EEE}"/>
    <cellStyle name="Migliaia 5 2 2 2 2 9 2 4" xfId="18314" xr:uid="{3212F01B-E057-48DE-8A92-94EF7B01F5E9}"/>
    <cellStyle name="Migliaia 5 2 2 2 2 9 3" xfId="3992" xr:uid="{28D8C3D0-8EB3-4EE4-B557-71001539FACD}"/>
    <cellStyle name="Migliaia 5 2 2 2 2 9 3 2" xfId="11480" xr:uid="{24B02E8A-B3F5-40B6-9146-927583D61D6E}"/>
    <cellStyle name="Migliaia 5 2 2 2 2 9 3 2 2" xfId="15026" xr:uid="{187C1F1B-E1DA-4292-8D28-B7D4A14B1C8C}"/>
    <cellStyle name="Migliaia 5 2 2 2 2 9 3 2 2 2" xfId="30203" xr:uid="{3C011E7A-32AF-4885-B6D4-686AE2008A73}"/>
    <cellStyle name="Migliaia 5 2 2 2 2 9 3 2 3" xfId="26658" xr:uid="{D9A6F756-E8D0-4D7B-9AA5-25EA37C1E65A}"/>
    <cellStyle name="Migliaia 5 2 2 2 2 9 3 3" xfId="7306" xr:uid="{F939793D-187A-48DA-B118-E822251F980B}"/>
    <cellStyle name="Migliaia 5 2 2 2 2 9 3 3 2" xfId="22486" xr:uid="{902F4C5A-690F-4FDF-BDD4-8E7463A0E2FE}"/>
    <cellStyle name="Migliaia 5 2 2 2 2 9 3 4" xfId="19198" xr:uid="{9CB1543E-F5E4-4243-8103-2465306AA7FA}"/>
    <cellStyle name="Migliaia 5 2 2 2 2 9 4" xfId="4659" xr:uid="{EDE47C06-4D61-4807-ACCA-F7D1F2C128D5}"/>
    <cellStyle name="Migliaia 5 2 2 2 2 9 4 2" xfId="12144" xr:uid="{1BE6CD8E-290B-4383-85B2-027065F1CFFB}"/>
    <cellStyle name="Migliaia 5 2 2 2 2 9 4 2 2" xfId="15690" xr:uid="{BC7459A1-B38C-4101-A647-7853A58A8E12}"/>
    <cellStyle name="Migliaia 5 2 2 2 2 9 4 2 2 2" xfId="30867" xr:uid="{ACD75866-207B-426D-BBB9-F620D44033A2}"/>
    <cellStyle name="Migliaia 5 2 2 2 2 9 4 2 3" xfId="27322" xr:uid="{44E38542-2CDD-4CF4-AC3F-D6B56BF66953}"/>
    <cellStyle name="Migliaia 5 2 2 2 2 9 4 3" xfId="7970" xr:uid="{4C563AC4-E0B9-4E64-85BC-782546633323}"/>
    <cellStyle name="Migliaia 5 2 2 2 2 9 4 3 2" xfId="23150" xr:uid="{38F5BD1E-B4DE-4727-AB05-73F3BD5DDE5A}"/>
    <cellStyle name="Migliaia 5 2 2 2 2 9 4 4" xfId="19862" xr:uid="{DF7AA1E3-CCD0-4AA4-BBB4-8494CB7498FF}"/>
    <cellStyle name="Migliaia 5 2 2 2 2 9 5" xfId="2215" xr:uid="{B7417596-FDD9-44C0-850A-C8DE3E36EB19}"/>
    <cellStyle name="Migliaia 5 2 2 2 2 9 5 2" xfId="9712" xr:uid="{53633C37-17E1-4FC6-904A-5AE39EADB8FA}"/>
    <cellStyle name="Migliaia 5 2 2 2 2 9 5 2 2" xfId="24890" xr:uid="{70BCD49C-58B8-4E8B-A27A-AE161E1C9852}"/>
    <cellStyle name="Migliaia 5 2 2 2 2 9 5 3" xfId="17430" xr:uid="{2B237E3F-C331-4D34-9630-569D109A9217}"/>
    <cellStyle name="Migliaia 5 2 2 2 2 9 6" xfId="9198" xr:uid="{BE6EEF79-297A-4E6E-B63E-3D435211FC77}"/>
    <cellStyle name="Migliaia 5 2 2 2 2 9 6 2" xfId="13371" xr:uid="{15ABDCB4-77FD-4F7E-ADC7-B379DFA15FBF}"/>
    <cellStyle name="Migliaia 5 2 2 2 2 9 6 2 2" xfId="28548" xr:uid="{D38C4C43-1DF3-4786-80E4-3F97721A91FB}"/>
    <cellStyle name="Migliaia 5 2 2 2 2 9 6 3" xfId="24376" xr:uid="{1F241490-5AE8-4D21-B97C-63CE84C04B02}"/>
    <cellStyle name="Migliaia 5 2 2 2 2 9 7" xfId="5538" xr:uid="{0E00C724-A338-49C7-A01F-442B65D1EF6C}"/>
    <cellStyle name="Migliaia 5 2 2 2 2 9 7 2" xfId="20718" xr:uid="{5A4F64F5-64E5-4237-9ABB-5899B290439B}"/>
    <cellStyle name="Migliaia 5 2 2 2 2 9 8" xfId="16916" xr:uid="{A64E1798-3EBD-407F-96D2-038F627FEA04}"/>
    <cellStyle name="Migliaia 5 2 2 2 3" xfId="769" xr:uid="{D5412C48-A6E0-4A7F-AEAD-F5FDF7FB7C34}"/>
    <cellStyle name="Migliaia 5 2 2 2 3 10" xfId="8435" xr:uid="{DB9BA4CE-2740-449E-8D39-0CDA332307D5}"/>
    <cellStyle name="Migliaia 5 2 2 2 3 10 2" xfId="12609" xr:uid="{AFD418B3-28A3-43B8-AFD1-ACEF425F7D36}"/>
    <cellStyle name="Migliaia 5 2 2 2 3 10 2 2" xfId="27786" xr:uid="{DF3C9896-82A6-46C8-BCDB-C8BCD8CF8ED1}"/>
    <cellStyle name="Migliaia 5 2 2 2 3 10 3" xfId="23614" xr:uid="{36E19529-2D55-4075-9A48-E2F9F2BD7D4D}"/>
    <cellStyle name="Migliaia 5 2 2 2 3 11" xfId="16154" xr:uid="{882FDD10-A435-4309-8D12-9C7B1DF1A77B}"/>
    <cellStyle name="Migliaia 5 2 2 2 3 12" xfId="31496" xr:uid="{CD3DA97F-CCC2-43A7-9419-2DA9355B39CA}"/>
    <cellStyle name="Migliaia 5 2 2 2 3 2" xfId="946" xr:uid="{3DCE8A74-141C-4D04-BF82-E1BA8EEA217D}"/>
    <cellStyle name="Migliaia 5 2 2 2 3 2 10" xfId="16276" xr:uid="{A5D70ECB-6874-470A-AC01-C1A9AEE941E5}"/>
    <cellStyle name="Migliaia 5 2 2 2 3 2 11" xfId="31366" xr:uid="{5D9565A7-0316-4BDD-AB3D-E47943DA0445}"/>
    <cellStyle name="Migliaia 5 2 2 2 3 2 12" xfId="31716" xr:uid="{4D0AB3F2-1B2A-4AD5-8DD3-36430BFBF058}"/>
    <cellStyle name="Migliaia 5 2 2 2 3 2 2" xfId="1307" xr:uid="{C1DCA7F8-9DC5-4F7D-880C-2E2AEC8F0FFA}"/>
    <cellStyle name="Migliaia 5 2 2 2 3 2 2 2" xfId="3624" xr:uid="{E6C65306-6929-481E-9207-CDFD4C0EB03C}"/>
    <cellStyle name="Migliaia 5 2 2 2 3 2 2 2 2" xfId="11112" xr:uid="{CD9440D4-B436-46B2-A938-378B9C8E3E9E}"/>
    <cellStyle name="Migliaia 5 2 2 2 3 2 2 2 2 2" xfId="14658" xr:uid="{36E26C91-E749-4070-A5F5-F57592A92DF4}"/>
    <cellStyle name="Migliaia 5 2 2 2 3 2 2 2 2 2 2" xfId="29835" xr:uid="{939C4528-64C4-4FA1-9E1C-BE64ED9CC35D}"/>
    <cellStyle name="Migliaia 5 2 2 2 3 2 2 2 2 3" xfId="26290" xr:uid="{D9DC43A7-146E-434A-90E2-F1004E45648C}"/>
    <cellStyle name="Migliaia 5 2 2 2 3 2 2 2 3" xfId="6938" xr:uid="{143A7491-D108-45EA-8D39-DA0F7001A22B}"/>
    <cellStyle name="Migliaia 5 2 2 2 3 2 2 2 3 2" xfId="22118" xr:uid="{EE1D94AD-EF3E-48B6-8120-950571481649}"/>
    <cellStyle name="Migliaia 5 2 2 2 3 2 2 2 4" xfId="18830" xr:uid="{DB357279-F924-4C3E-93AD-CE574CF4D59B}"/>
    <cellStyle name="Migliaia 5 2 2 2 3 2 2 3" xfId="4660" xr:uid="{544A3298-05FF-4710-B0D8-29539C92FA4D}"/>
    <cellStyle name="Migliaia 5 2 2 2 3 2 2 3 2" xfId="12145" xr:uid="{00501B7F-5979-4196-9322-6B9FF750CCCF}"/>
    <cellStyle name="Migliaia 5 2 2 2 3 2 2 3 2 2" xfId="15691" xr:uid="{DFF66B13-57E4-4DDB-876E-A7807E55D965}"/>
    <cellStyle name="Migliaia 5 2 2 2 3 2 2 3 2 2 2" xfId="30868" xr:uid="{69B02EE7-AC88-402B-B21F-BD3BC57E511E}"/>
    <cellStyle name="Migliaia 5 2 2 2 3 2 2 3 2 3" xfId="27323" xr:uid="{B7436EC4-D1FC-4EFD-9D58-3C122CB6D3FF}"/>
    <cellStyle name="Migliaia 5 2 2 2 3 2 2 3 3" xfId="7971" xr:uid="{AC963389-B1CD-4302-8618-7BA27800F36A}"/>
    <cellStyle name="Migliaia 5 2 2 2 3 2 2 3 3 2" xfId="23151" xr:uid="{8655E168-40D1-4EA3-B62B-2D149FBB5458}"/>
    <cellStyle name="Migliaia 5 2 2 2 3 2 2 3 4" xfId="19863" xr:uid="{5079C5D9-DD92-41F5-BF1C-839FBA50FE56}"/>
    <cellStyle name="Migliaia 5 2 2 2 3 2 2 4" xfId="2737" xr:uid="{5AB36E75-8D59-4E36-8889-70FE3998A390}"/>
    <cellStyle name="Migliaia 5 2 2 2 3 2 2 4 2" xfId="10228" xr:uid="{0662B529-63A8-4D7D-85D5-F8931B7E9FF0}"/>
    <cellStyle name="Migliaia 5 2 2 2 3 2 2 4 2 2" xfId="25406" xr:uid="{5328F301-AAA1-4B78-858A-6EE0D95A5160}"/>
    <cellStyle name="Migliaia 5 2 2 2 3 2 2 4 3" xfId="17946" xr:uid="{0A66ADD1-73E9-436D-A7B8-920C762B14C1}"/>
    <cellStyle name="Migliaia 5 2 2 2 3 2 2 5" xfId="8830" xr:uid="{C7064F09-9925-4DEB-B971-4A1919DFCDB8}"/>
    <cellStyle name="Migliaia 5 2 2 2 3 2 2 5 2" xfId="13003" xr:uid="{149DD81E-E393-476B-A842-9343768C18FE}"/>
    <cellStyle name="Migliaia 5 2 2 2 3 2 2 5 2 2" xfId="28180" xr:uid="{19C08131-B39B-4EA3-91E7-869A6BBE790F}"/>
    <cellStyle name="Migliaia 5 2 2 2 3 2 2 5 3" xfId="24008" xr:uid="{1DD54AAD-99A7-4FF9-9EA7-163EAED28DC5}"/>
    <cellStyle name="Migliaia 5 2 2 2 3 2 2 6" xfId="6054" xr:uid="{9481AD66-7FC6-4ADB-B3F5-980C1621C250}"/>
    <cellStyle name="Migliaia 5 2 2 2 3 2 2 6 2" xfId="21234" xr:uid="{D65B08C7-0544-4F63-AF74-C0A6E4AFC0D6}"/>
    <cellStyle name="Migliaia 5 2 2 2 3 2 2 7" xfId="16548" xr:uid="{166AC649-A6A1-48FF-9216-BDB766BA8F70}"/>
    <cellStyle name="Migliaia 5 2 2 2 3 2 3" xfId="2464" xr:uid="{E6FB2F6D-4D12-43F6-A2D9-5E76CF09F664}"/>
    <cellStyle name="Migliaia 5 2 2 2 3 2 3 2" xfId="9956" xr:uid="{BC4B0119-2166-4B28-8DD6-17FFE8AE4B87}"/>
    <cellStyle name="Migliaia 5 2 2 2 3 2 3 2 2" xfId="13615" xr:uid="{5D6ECFA8-8DA3-4DBD-A52D-1E4F47F688A2}"/>
    <cellStyle name="Migliaia 5 2 2 2 3 2 3 2 2 2" xfId="28792" xr:uid="{AF39E6C9-5442-4BCD-A96A-77CF4EDFA996}"/>
    <cellStyle name="Migliaia 5 2 2 2 3 2 3 2 3" xfId="25134" xr:uid="{08FEFE43-0EEE-44FA-B879-E8D271BFC041}"/>
    <cellStyle name="Migliaia 5 2 2 2 3 2 3 3" xfId="5782" xr:uid="{A7881D66-5E02-481D-87C4-9EAE2F85515D}"/>
    <cellStyle name="Migliaia 5 2 2 2 3 2 3 3 2" xfId="20962" xr:uid="{4FBAF971-C5EE-4D68-A691-D58D21811B93}"/>
    <cellStyle name="Migliaia 5 2 2 2 3 2 3 4" xfId="17674" xr:uid="{6A026993-1F13-4961-8BA9-6AB4CF3C0E07}"/>
    <cellStyle name="Migliaia 5 2 2 2 3 2 4" xfId="3352" xr:uid="{F11DC0A9-B1B9-4515-848E-4BDC47962DB2}"/>
    <cellStyle name="Migliaia 5 2 2 2 3 2 4 2" xfId="10840" xr:uid="{61DADC08-DF5A-4D37-96A3-9CB677E08690}"/>
    <cellStyle name="Migliaia 5 2 2 2 3 2 4 2 2" xfId="14386" xr:uid="{5917AE0C-92B8-4C2F-9EB1-90DDF5978DDA}"/>
    <cellStyle name="Migliaia 5 2 2 2 3 2 4 2 2 2" xfId="29563" xr:uid="{9B7263E9-59A2-443A-8FB8-E7D5EFECE13A}"/>
    <cellStyle name="Migliaia 5 2 2 2 3 2 4 2 3" xfId="26018" xr:uid="{27F4C2BD-B010-4DC9-BFE6-533BBC614766}"/>
    <cellStyle name="Migliaia 5 2 2 2 3 2 4 3" xfId="6666" xr:uid="{1A452C37-F204-45FA-9915-1651C64BAC9E}"/>
    <cellStyle name="Migliaia 5 2 2 2 3 2 4 3 2" xfId="21846" xr:uid="{7FCB40CF-C5FF-4505-8696-865F54924467}"/>
    <cellStyle name="Migliaia 5 2 2 2 3 2 4 4" xfId="18558" xr:uid="{C14C1F79-E1E1-4FBB-83A6-777AFFBA8426}"/>
    <cellStyle name="Migliaia 5 2 2 2 3 2 5" xfId="4661" xr:uid="{A56FC082-DA9A-4EEC-9F75-E11E8499BE7C}"/>
    <cellStyle name="Migliaia 5 2 2 2 3 2 5 2" xfId="12146" xr:uid="{ADA8A100-3655-42C9-A88D-58A95ABC24E3}"/>
    <cellStyle name="Migliaia 5 2 2 2 3 2 5 2 2" xfId="15692" xr:uid="{B2D92C11-A781-42FA-8255-5321933A0BE0}"/>
    <cellStyle name="Migliaia 5 2 2 2 3 2 5 2 2 2" xfId="30869" xr:uid="{683990CF-7192-4596-AE8D-F24340F72772}"/>
    <cellStyle name="Migliaia 5 2 2 2 3 2 5 2 3" xfId="27324" xr:uid="{9A7E77A8-A8AC-497D-AE84-BA49F1CA6838}"/>
    <cellStyle name="Migliaia 5 2 2 2 3 2 5 3" xfId="7972" xr:uid="{EE5AA0C7-29E7-4B4A-92C3-B9C6487D1349}"/>
    <cellStyle name="Migliaia 5 2 2 2 3 2 5 3 2" xfId="23152" xr:uid="{1E4767E9-8CA5-4609-AB9F-800519FA470D}"/>
    <cellStyle name="Migliaia 5 2 2 2 3 2 5 4" xfId="19864" xr:uid="{D4FC367E-B0F7-487B-8FD7-8271211A58E1}"/>
    <cellStyle name="Migliaia 5 2 2 2 3 2 6" xfId="5026" xr:uid="{1365678E-B30D-4711-87D1-BFEE0A7FF172}"/>
    <cellStyle name="Migliaia 5 2 2 2 3 2 6 2" xfId="12510" xr:uid="{7B916C0C-9D1F-43D8-9B54-CBD4BAE0AF5F}"/>
    <cellStyle name="Migliaia 5 2 2 2 3 2 6 2 2" xfId="16056" xr:uid="{A2080438-A551-48E7-BDB3-41185B73CD88}"/>
    <cellStyle name="Migliaia 5 2 2 2 3 2 6 2 2 2" xfId="31233" xr:uid="{2A53487F-02E5-478B-B65B-C738F4214549}"/>
    <cellStyle name="Migliaia 5 2 2 2 3 2 6 2 3" xfId="27688" xr:uid="{8ECB9485-1DE6-4E00-A8DE-CD2EFA7B631E}"/>
    <cellStyle name="Migliaia 5 2 2 2 3 2 6 3" xfId="8336" xr:uid="{47A92F57-12B1-4663-A099-5981A41684F9}"/>
    <cellStyle name="Migliaia 5 2 2 2 3 2 6 3 2" xfId="23516" xr:uid="{60B6829C-3700-4073-AD4B-EB02D817AD1A}"/>
    <cellStyle name="Migliaia 5 2 2 2 3 2 6 4" xfId="20228" xr:uid="{8E9A9CF8-9AB1-49F2-88C2-583DEAEE90BA}"/>
    <cellStyle name="Migliaia 5 2 2 2 3 2 7" xfId="1847" xr:uid="{EAB684D4-1A75-4904-91C5-75F22030ADFA}"/>
    <cellStyle name="Migliaia 5 2 2 2 3 2 7 2" xfId="9344" xr:uid="{391C0695-F7CC-45D8-A6F2-7FC5DAEB0212}"/>
    <cellStyle name="Migliaia 5 2 2 2 3 2 7 2 2" xfId="24522" xr:uid="{3DAC1605-8A50-4B55-BFE5-BBE4AA783C21}"/>
    <cellStyle name="Migliaia 5 2 2 2 3 2 7 3" xfId="17062" xr:uid="{136F2416-C54B-450A-AA80-1F4F384961FB}"/>
    <cellStyle name="Migliaia 5 2 2 2 3 2 8" xfId="8558" xr:uid="{E8542CE4-F269-4954-A652-4C1B45F63B34}"/>
    <cellStyle name="Migliaia 5 2 2 2 3 2 8 2" xfId="12731" xr:uid="{7B9F0E9E-1B22-4685-8B1B-EF236E152D01}"/>
    <cellStyle name="Migliaia 5 2 2 2 3 2 8 2 2" xfId="27908" xr:uid="{20323F58-C1DE-4AF4-8B86-468AC47710F6}"/>
    <cellStyle name="Migliaia 5 2 2 2 3 2 8 3" xfId="23736" xr:uid="{7AC4EAC6-6C42-49B7-B774-9DAF310B572D}"/>
    <cellStyle name="Migliaia 5 2 2 2 3 2 9" xfId="5170" xr:uid="{F0288DB4-A672-40EE-9A55-2F760D292FC2}"/>
    <cellStyle name="Migliaia 5 2 2 2 3 2 9 2" xfId="20350" xr:uid="{58DA21A1-3128-4260-8F0B-712D33A8DF0E}"/>
    <cellStyle name="Migliaia 5 2 2 2 3 3" xfId="1049" xr:uid="{B32970C0-C3B3-4DA7-A408-73E74430A820}"/>
    <cellStyle name="Migliaia 5 2 2 2 3 3 10" xfId="31594" xr:uid="{4CDD71C3-8A08-4F6C-BE90-F945BB5DACEB}"/>
    <cellStyle name="Migliaia 5 2 2 2 3 3 2" xfId="1409" xr:uid="{2900D100-956A-477E-8C22-DCB8331CF5E4}"/>
    <cellStyle name="Migliaia 5 2 2 2 3 3 2 2" xfId="3722" xr:uid="{A10C47A5-5B8D-4FC8-B7C3-CEA31DACEC2A}"/>
    <cellStyle name="Migliaia 5 2 2 2 3 3 2 2 2" xfId="11210" xr:uid="{5F9E1160-296F-4F9A-B34C-FD7392A2F05A}"/>
    <cellStyle name="Migliaia 5 2 2 2 3 3 2 2 2 2" xfId="14756" xr:uid="{7FEDD371-3A80-4CFF-98A1-08B1F7F06ABB}"/>
    <cellStyle name="Migliaia 5 2 2 2 3 3 2 2 2 2 2" xfId="29933" xr:uid="{A281FF7E-7677-4B11-8A45-E7BE2E731E8A}"/>
    <cellStyle name="Migliaia 5 2 2 2 3 3 2 2 2 3" xfId="26388" xr:uid="{B9303845-9844-4EE0-B5BD-324703F655A7}"/>
    <cellStyle name="Migliaia 5 2 2 2 3 3 2 2 3" xfId="7036" xr:uid="{F80A91F6-4F5F-4066-B2B9-B8704D11131C}"/>
    <cellStyle name="Migliaia 5 2 2 2 3 3 2 2 3 2" xfId="22216" xr:uid="{56A4E4C7-1300-4D17-90D5-70CD5565C710}"/>
    <cellStyle name="Migliaia 5 2 2 2 3 3 2 2 4" xfId="18928" xr:uid="{94D0900C-D168-4919-A4F9-DA6570C22D00}"/>
    <cellStyle name="Migliaia 5 2 2 2 3 3 2 3" xfId="4662" xr:uid="{02358992-4AC6-485B-A544-043EA812E969}"/>
    <cellStyle name="Migliaia 5 2 2 2 3 3 2 3 2" xfId="12147" xr:uid="{01B58ECD-D312-4B82-867C-52D454E38601}"/>
    <cellStyle name="Migliaia 5 2 2 2 3 3 2 3 2 2" xfId="15693" xr:uid="{2394A176-9BAB-4C1A-A197-183F629A2DC8}"/>
    <cellStyle name="Migliaia 5 2 2 2 3 3 2 3 2 2 2" xfId="30870" xr:uid="{9575EDFE-1F71-49F0-8B4F-FE764E6C657C}"/>
    <cellStyle name="Migliaia 5 2 2 2 3 3 2 3 2 3" xfId="27325" xr:uid="{DDBE4B02-ADBB-4873-BEC7-54E93710C969}"/>
    <cellStyle name="Migliaia 5 2 2 2 3 3 2 3 3" xfId="7973" xr:uid="{F18301F4-AC11-44BA-9F9D-9D6DF600C752}"/>
    <cellStyle name="Migliaia 5 2 2 2 3 3 2 3 3 2" xfId="23153" xr:uid="{B53913A3-5C3F-4DBA-AB08-3EC188C1D1C3}"/>
    <cellStyle name="Migliaia 5 2 2 2 3 3 2 3 4" xfId="19865" xr:uid="{8B7150EA-F6A8-4E19-9343-7B93B8295DFF}"/>
    <cellStyle name="Migliaia 5 2 2 2 3 3 2 4" xfId="2835" xr:uid="{358B8396-6B04-4977-9D49-80C4AF6F1DD8}"/>
    <cellStyle name="Migliaia 5 2 2 2 3 3 2 4 2" xfId="10326" xr:uid="{4E971227-AB06-43C7-8049-DB523E594E68}"/>
    <cellStyle name="Migliaia 5 2 2 2 3 3 2 4 2 2" xfId="25504" xr:uid="{0FD7AFEF-7306-43F5-9B1C-7A39309D29EF}"/>
    <cellStyle name="Migliaia 5 2 2 2 3 3 2 4 3" xfId="18044" xr:uid="{28D84FA4-4726-4940-8591-DC349B8CB9EE}"/>
    <cellStyle name="Migliaia 5 2 2 2 3 3 2 5" xfId="8928" xr:uid="{E1BBD16C-230A-4CF0-95BE-B4E2BD38A19A}"/>
    <cellStyle name="Migliaia 5 2 2 2 3 3 2 5 2" xfId="13101" xr:uid="{D197D746-9500-43A7-B1B1-E2B76891564F}"/>
    <cellStyle name="Migliaia 5 2 2 2 3 3 2 5 2 2" xfId="28278" xr:uid="{BDC03469-5F8B-4BEE-8B05-C4C9448245E3}"/>
    <cellStyle name="Migliaia 5 2 2 2 3 3 2 5 3" xfId="24106" xr:uid="{783B4285-2A01-4E3B-8072-D96EEF166A86}"/>
    <cellStyle name="Migliaia 5 2 2 2 3 3 2 6" xfId="6152" xr:uid="{59860A0E-C14D-476E-BA8B-73FC7EE8339A}"/>
    <cellStyle name="Migliaia 5 2 2 2 3 3 2 6 2" xfId="21332" xr:uid="{05FDFDE0-40E8-4BAD-A769-5E3ED420A92A}"/>
    <cellStyle name="Migliaia 5 2 2 2 3 3 2 7" xfId="16646" xr:uid="{7AE67B36-A08C-44E9-95E3-30BF3599E068}"/>
    <cellStyle name="Migliaia 5 2 2 2 3 3 3" xfId="2562" xr:uid="{CB8F9545-8DC7-4DF3-BE78-35FAFF31FD54}"/>
    <cellStyle name="Migliaia 5 2 2 2 3 3 3 2" xfId="10054" xr:uid="{3BAD535B-51E9-4775-A957-26689C35B521}"/>
    <cellStyle name="Migliaia 5 2 2 2 3 3 3 2 2" xfId="13713" xr:uid="{6FA01AED-188C-4118-B93F-A2D109597607}"/>
    <cellStyle name="Migliaia 5 2 2 2 3 3 3 2 2 2" xfId="28890" xr:uid="{A08551FB-C24C-4384-88DF-1D9BAE195BEA}"/>
    <cellStyle name="Migliaia 5 2 2 2 3 3 3 2 3" xfId="25232" xr:uid="{82459AE4-9584-4DE3-BC34-99A674781E52}"/>
    <cellStyle name="Migliaia 5 2 2 2 3 3 3 3" xfId="5880" xr:uid="{16AEB945-D0BA-49E5-A0FB-D8089833D496}"/>
    <cellStyle name="Migliaia 5 2 2 2 3 3 3 3 2" xfId="21060" xr:uid="{4C66D777-0433-4E78-8075-43EDE9D994D3}"/>
    <cellStyle name="Migliaia 5 2 2 2 3 3 3 4" xfId="17772" xr:uid="{DD6A1A84-8217-41D1-8F26-25D23798DC80}"/>
    <cellStyle name="Migliaia 5 2 2 2 3 3 4" xfId="3450" xr:uid="{BE93FD28-F6E7-4BD9-9147-A2B0527269C0}"/>
    <cellStyle name="Migliaia 5 2 2 2 3 3 4 2" xfId="10938" xr:uid="{D6B96B88-B2B0-4A5D-A0AE-D63E2818CBCA}"/>
    <cellStyle name="Migliaia 5 2 2 2 3 3 4 2 2" xfId="14484" xr:uid="{0E10D12A-8829-4958-B79C-A32676F3DCE8}"/>
    <cellStyle name="Migliaia 5 2 2 2 3 3 4 2 2 2" xfId="29661" xr:uid="{A2ADA777-B917-4BE6-9B1A-B7FAF0A1F744}"/>
    <cellStyle name="Migliaia 5 2 2 2 3 3 4 2 3" xfId="26116" xr:uid="{F2310285-EF40-4BFC-B7AA-701E2E81784C}"/>
    <cellStyle name="Migliaia 5 2 2 2 3 3 4 3" xfId="6764" xr:uid="{D103A59B-124F-4DF6-BB78-C70931B0E6A0}"/>
    <cellStyle name="Migliaia 5 2 2 2 3 3 4 3 2" xfId="21944" xr:uid="{6682EC6B-7850-4767-9309-B80CED3E4233}"/>
    <cellStyle name="Migliaia 5 2 2 2 3 3 4 4" xfId="18656" xr:uid="{99F99BF7-9DB9-4D76-B2AF-C9F017DC945C}"/>
    <cellStyle name="Migliaia 5 2 2 2 3 3 5" xfId="4663" xr:uid="{7C25AB18-0A19-4F76-9F7F-54C42BD5E024}"/>
    <cellStyle name="Migliaia 5 2 2 2 3 3 5 2" xfId="12148" xr:uid="{F1859A6E-CC67-4623-A5E8-9E72F75CE9E2}"/>
    <cellStyle name="Migliaia 5 2 2 2 3 3 5 2 2" xfId="15694" xr:uid="{B9E8189E-8FEC-48D4-B41B-335E5B718EFA}"/>
    <cellStyle name="Migliaia 5 2 2 2 3 3 5 2 2 2" xfId="30871" xr:uid="{DF29B70F-7B10-477B-8D75-256E293C1B95}"/>
    <cellStyle name="Migliaia 5 2 2 2 3 3 5 2 3" xfId="27326" xr:uid="{0D5EF9A0-32F2-490E-B53C-9D4A9A3F06D9}"/>
    <cellStyle name="Migliaia 5 2 2 2 3 3 5 3" xfId="7974" xr:uid="{220D7496-B2BA-48DB-A912-B5C34B612D86}"/>
    <cellStyle name="Migliaia 5 2 2 2 3 3 5 3 2" xfId="23154" xr:uid="{A96CE94E-2505-47BD-A6BF-C84064DE062E}"/>
    <cellStyle name="Migliaia 5 2 2 2 3 3 5 4" xfId="19866" xr:uid="{24952A0C-221C-44E1-BFD5-1FFD497FB168}"/>
    <cellStyle name="Migliaia 5 2 2 2 3 3 6" xfId="1945" xr:uid="{9233C2F5-A001-4063-93D1-1405D5D3FB25}"/>
    <cellStyle name="Migliaia 5 2 2 2 3 3 6 2" xfId="9442" xr:uid="{EC388511-85CC-4A2E-9A31-7A9E4BBB103C}"/>
    <cellStyle name="Migliaia 5 2 2 2 3 3 6 2 2" xfId="24620" xr:uid="{566FF018-FEDB-4CC7-9C94-F877E25A153D}"/>
    <cellStyle name="Migliaia 5 2 2 2 3 3 6 3" xfId="17160" xr:uid="{C9314FE3-DA45-4A7B-893D-15848B3621EC}"/>
    <cellStyle name="Migliaia 5 2 2 2 3 3 7" xfId="8656" xr:uid="{FA3F86C3-B0D1-4E94-B3F2-ABF9AC2694BB}"/>
    <cellStyle name="Migliaia 5 2 2 2 3 3 7 2" xfId="12829" xr:uid="{8E9757EB-F7EB-4C82-8D77-6A581499E0B9}"/>
    <cellStyle name="Migliaia 5 2 2 2 3 3 7 2 2" xfId="28006" xr:uid="{6E400B8C-7CA3-401D-822D-AA37C0FFFA51}"/>
    <cellStyle name="Migliaia 5 2 2 2 3 3 7 3" xfId="23834" xr:uid="{E453878B-29B6-4630-B495-7890CF109C62}"/>
    <cellStyle name="Migliaia 5 2 2 2 3 3 8" xfId="5268" xr:uid="{79E22AAF-3813-4978-BE8F-7A65D8A56866}"/>
    <cellStyle name="Migliaia 5 2 2 2 3 3 8 2" xfId="20448" xr:uid="{8E7A6D5E-1E36-45CE-B61F-A6169F1B214B}"/>
    <cellStyle name="Migliaia 5 2 2 2 3 3 9" xfId="16374" xr:uid="{582DC1A4-C9D0-4703-A2BC-2E4EC4685DDF}"/>
    <cellStyle name="Migliaia 5 2 2 2 3 4" xfId="1508" xr:uid="{E1C6290F-2D7A-463C-9AC4-08008BD8D5DE}"/>
    <cellStyle name="Migliaia 5 2 2 2 3 4 2" xfId="2933" xr:uid="{D87459BB-DDEA-405D-AE84-A5B6EF074520}"/>
    <cellStyle name="Migliaia 5 2 2 2 3 4 2 2" xfId="10424" xr:uid="{346D2267-E244-41C7-AC4F-1EA130D79CE2}"/>
    <cellStyle name="Migliaia 5 2 2 2 3 4 2 2 2" xfId="13970" xr:uid="{F43AEA9E-ABE8-4C64-A184-D801AB9899CA}"/>
    <cellStyle name="Migliaia 5 2 2 2 3 4 2 2 2 2" xfId="29147" xr:uid="{B5428EA6-ADBA-4E3D-955F-47639D1B89BB}"/>
    <cellStyle name="Migliaia 5 2 2 2 3 4 2 2 3" xfId="25602" xr:uid="{7488A0B6-05D7-454A-A14D-D65044C92EBD}"/>
    <cellStyle name="Migliaia 5 2 2 2 3 4 2 3" xfId="6250" xr:uid="{7C0CFA78-7C59-42DD-8799-9B937B8B4A96}"/>
    <cellStyle name="Migliaia 5 2 2 2 3 4 2 3 2" xfId="21430" xr:uid="{2A7FDA36-A1D1-4D74-8998-8FCA34B8D41D}"/>
    <cellStyle name="Migliaia 5 2 2 2 3 4 2 4" xfId="18142" xr:uid="{8AABBE8A-B343-4B72-BEAD-1C1FB8C6DBA1}"/>
    <cellStyle name="Migliaia 5 2 2 2 3 4 3" xfId="3820" xr:uid="{84804E3A-0F98-4209-9372-9010A71AABCB}"/>
    <cellStyle name="Migliaia 5 2 2 2 3 4 3 2" xfId="11308" xr:uid="{AAD6B60E-7127-4046-929F-0638E384C7F4}"/>
    <cellStyle name="Migliaia 5 2 2 2 3 4 3 2 2" xfId="14854" xr:uid="{0A17D0D4-44D6-4338-AB7E-CA68BBBDD881}"/>
    <cellStyle name="Migliaia 5 2 2 2 3 4 3 2 2 2" xfId="30031" xr:uid="{684775F6-86C5-42AB-9789-3259FD0A764E}"/>
    <cellStyle name="Migliaia 5 2 2 2 3 4 3 2 3" xfId="26486" xr:uid="{3BF72281-D958-47EB-A140-A65CE8FF459E}"/>
    <cellStyle name="Migliaia 5 2 2 2 3 4 3 3" xfId="7134" xr:uid="{C4974466-01A7-4247-8D15-48122194AC86}"/>
    <cellStyle name="Migliaia 5 2 2 2 3 4 3 3 2" xfId="22314" xr:uid="{8266509C-8831-4043-8886-B253AF728CB5}"/>
    <cellStyle name="Migliaia 5 2 2 2 3 4 3 4" xfId="19026" xr:uid="{E8B2B2FC-CDB4-47CB-8353-E8E005BA87FE}"/>
    <cellStyle name="Migliaia 5 2 2 2 3 4 4" xfId="4664" xr:uid="{78705FD6-E724-4455-8196-F1AD6C17AFF5}"/>
    <cellStyle name="Migliaia 5 2 2 2 3 4 4 2" xfId="12149" xr:uid="{BD697552-8930-4497-94BA-B9FC33E223AA}"/>
    <cellStyle name="Migliaia 5 2 2 2 3 4 4 2 2" xfId="15695" xr:uid="{54066B34-CB5E-4760-B5FB-E9F02C5CA7C0}"/>
    <cellStyle name="Migliaia 5 2 2 2 3 4 4 2 2 2" xfId="30872" xr:uid="{B912ADBC-9510-4B74-A68F-B1C67AB1CCC0}"/>
    <cellStyle name="Migliaia 5 2 2 2 3 4 4 2 3" xfId="27327" xr:uid="{354F9243-1CDE-43EE-8041-15E53C2ADD4B}"/>
    <cellStyle name="Migliaia 5 2 2 2 3 4 4 3" xfId="7975" xr:uid="{2993ABCE-4A17-4575-84D2-614886A6EAAE}"/>
    <cellStyle name="Migliaia 5 2 2 2 3 4 4 3 2" xfId="23155" xr:uid="{D063BD87-21AF-4398-BF5D-13CEBC7A1FBF}"/>
    <cellStyle name="Migliaia 5 2 2 2 3 4 4 4" xfId="19867" xr:uid="{3DAF01F8-7C9B-453F-ADE1-78E8A5A66066}"/>
    <cellStyle name="Migliaia 5 2 2 2 3 4 5" xfId="2043" xr:uid="{553C026B-17F9-4E9D-8AAC-61A16C9D7FBA}"/>
    <cellStyle name="Migliaia 5 2 2 2 3 4 5 2" xfId="9540" xr:uid="{2E1C7367-8861-4188-AE06-45A461CE795C}"/>
    <cellStyle name="Migliaia 5 2 2 2 3 4 5 2 2" xfId="24718" xr:uid="{4F4C37C7-2056-463A-8D16-8A118E3CC241}"/>
    <cellStyle name="Migliaia 5 2 2 2 3 4 5 3" xfId="17258" xr:uid="{3AF99B91-6278-4412-99F7-0F66897F03D7}"/>
    <cellStyle name="Migliaia 5 2 2 2 3 4 6" xfId="9026" xr:uid="{F15EEBC4-5E85-4BDD-8B9A-4C0775DD9629}"/>
    <cellStyle name="Migliaia 5 2 2 2 3 4 6 2" xfId="13199" xr:uid="{E24DE626-8631-431D-BFD3-B8755FF973B8}"/>
    <cellStyle name="Migliaia 5 2 2 2 3 4 6 2 2" xfId="28376" xr:uid="{8186439B-3FCF-4215-A6EE-3482FABBDBD8}"/>
    <cellStyle name="Migliaia 5 2 2 2 3 4 6 3" xfId="24204" xr:uid="{4DC38CDC-D1A0-40A9-B133-E29559E371CF}"/>
    <cellStyle name="Migliaia 5 2 2 2 3 4 7" xfId="5366" xr:uid="{61161EFD-3097-4F3B-A7F5-9F4BD85FBC0A}"/>
    <cellStyle name="Migliaia 5 2 2 2 3 4 7 2" xfId="20546" xr:uid="{28628B94-1927-41F6-9051-095173F9C366}"/>
    <cellStyle name="Migliaia 5 2 2 2 3 4 8" xfId="16744" xr:uid="{A48F7399-7557-4F10-823F-A38F74A5E730}"/>
    <cellStyle name="Migliaia 5 2 2 2 3 5" xfId="1611" xr:uid="{9B5790D9-C2DC-41B6-9AED-8B6CC9AEEFD8}"/>
    <cellStyle name="Migliaia 5 2 2 2 3 5 2" xfId="3031" xr:uid="{80D8AFAF-1667-40D9-840D-462326512B70}"/>
    <cellStyle name="Migliaia 5 2 2 2 3 5 2 2" xfId="10522" xr:uid="{B5AB0696-9386-488C-A30A-64A8A6CD8F9E}"/>
    <cellStyle name="Migliaia 5 2 2 2 3 5 2 2 2" xfId="14068" xr:uid="{FC93EA34-A3EA-440F-843F-09E8FD9F5D22}"/>
    <cellStyle name="Migliaia 5 2 2 2 3 5 2 2 2 2" xfId="29245" xr:uid="{5B0A54A4-2A80-4BF7-B2AD-9B8A7F2E6C59}"/>
    <cellStyle name="Migliaia 5 2 2 2 3 5 2 2 3" xfId="25700" xr:uid="{34CF604F-82D1-43FD-BFC0-5B642648C97C}"/>
    <cellStyle name="Migliaia 5 2 2 2 3 5 2 3" xfId="6348" xr:uid="{EA13A11A-7798-4E5D-ACE2-79584AEEC1E3}"/>
    <cellStyle name="Migliaia 5 2 2 2 3 5 2 3 2" xfId="21528" xr:uid="{1BB0B7B8-5ECB-4EC0-9871-1D098B0C88FD}"/>
    <cellStyle name="Migliaia 5 2 2 2 3 5 2 4" xfId="18240" xr:uid="{5A90AC7E-12A7-4992-9364-F22FF12997E6}"/>
    <cellStyle name="Migliaia 5 2 2 2 3 5 3" xfId="3918" xr:uid="{233E8073-B174-4812-912B-C6D3520F7581}"/>
    <cellStyle name="Migliaia 5 2 2 2 3 5 3 2" xfId="11406" xr:uid="{DF00ED53-808A-46DC-BCA6-7C3EC56133F8}"/>
    <cellStyle name="Migliaia 5 2 2 2 3 5 3 2 2" xfId="14952" xr:uid="{9949B7C6-2F7F-43A9-A335-493D420DBCA1}"/>
    <cellStyle name="Migliaia 5 2 2 2 3 5 3 2 2 2" xfId="30129" xr:uid="{9D547651-31D5-42C8-99F5-E7A8D602BE65}"/>
    <cellStyle name="Migliaia 5 2 2 2 3 5 3 2 3" xfId="26584" xr:uid="{D289368E-BF26-4164-9661-74CB4409191B}"/>
    <cellStyle name="Migliaia 5 2 2 2 3 5 3 3" xfId="7232" xr:uid="{2D9BD3D3-3743-4CB0-A732-89C2A07FC89A}"/>
    <cellStyle name="Migliaia 5 2 2 2 3 5 3 3 2" xfId="22412" xr:uid="{3720DD8F-56CE-46C8-9D5A-5F4F4A9C49E0}"/>
    <cellStyle name="Migliaia 5 2 2 2 3 5 3 4" xfId="19124" xr:uid="{5BA6F8D9-156C-41CC-A918-DAE30D4E6317}"/>
    <cellStyle name="Migliaia 5 2 2 2 3 5 4" xfId="4665" xr:uid="{A0E926BB-091A-44B5-8377-236422AAA5E1}"/>
    <cellStyle name="Migliaia 5 2 2 2 3 5 4 2" xfId="12150" xr:uid="{DB779B89-06C9-4AA4-B8AC-4C913B888972}"/>
    <cellStyle name="Migliaia 5 2 2 2 3 5 4 2 2" xfId="15696" xr:uid="{7F197D1B-92C2-46EA-B599-7A792CF75BE2}"/>
    <cellStyle name="Migliaia 5 2 2 2 3 5 4 2 2 2" xfId="30873" xr:uid="{299F0567-F318-4BC5-8F72-515421213AFD}"/>
    <cellStyle name="Migliaia 5 2 2 2 3 5 4 2 3" xfId="27328" xr:uid="{787F389B-910C-4F3A-9300-7C5C9A368921}"/>
    <cellStyle name="Migliaia 5 2 2 2 3 5 4 3" xfId="7976" xr:uid="{1BEB93A4-155F-4C1B-BB27-F132B194F63A}"/>
    <cellStyle name="Migliaia 5 2 2 2 3 5 4 3 2" xfId="23156" xr:uid="{F5AB08DB-0FAD-43E1-A46F-6412089C8315}"/>
    <cellStyle name="Migliaia 5 2 2 2 3 5 4 4" xfId="19868" xr:uid="{AF1F96E0-CC6D-44BA-BF44-E0530BD99403}"/>
    <cellStyle name="Migliaia 5 2 2 2 3 5 5" xfId="2141" xr:uid="{67CEE591-2A06-4ED8-87DE-A53BF8EB4E82}"/>
    <cellStyle name="Migliaia 5 2 2 2 3 5 5 2" xfId="9638" xr:uid="{7EB16B56-3D56-4391-A307-3C5149F418F1}"/>
    <cellStyle name="Migliaia 5 2 2 2 3 5 5 2 2" xfId="24816" xr:uid="{9772F190-6B63-441F-9DDB-2A4F4E850C7C}"/>
    <cellStyle name="Migliaia 5 2 2 2 3 5 5 3" xfId="17356" xr:uid="{C4C2A365-17F0-4E02-AAC0-E686453EAA03}"/>
    <cellStyle name="Migliaia 5 2 2 2 3 5 6" xfId="9124" xr:uid="{3CA1325E-DB07-4A9F-B4FE-DD9AAE015FFF}"/>
    <cellStyle name="Migliaia 5 2 2 2 3 5 6 2" xfId="13297" xr:uid="{7B067D2A-7350-434E-9395-4FADF6805D51}"/>
    <cellStyle name="Migliaia 5 2 2 2 3 5 6 2 2" xfId="28474" xr:uid="{E2C41F07-0871-43D5-95CE-D5736F76AE51}"/>
    <cellStyle name="Migliaia 5 2 2 2 3 5 6 3" xfId="24302" xr:uid="{9C492C3F-832A-4BDC-856D-E3475376A2B1}"/>
    <cellStyle name="Migliaia 5 2 2 2 3 5 7" xfId="5464" xr:uid="{F740D7FF-1964-40F9-84F7-6D51584B4C94}"/>
    <cellStyle name="Migliaia 5 2 2 2 3 5 7 2" xfId="20644" xr:uid="{8A175F13-7A48-4E01-A48D-9BA0457C9598}"/>
    <cellStyle name="Migliaia 5 2 2 2 3 5 8" xfId="16842" xr:uid="{D13AF569-33B1-46B5-9B39-D1D00A0E40E2}"/>
    <cellStyle name="Migliaia 5 2 2 2 3 6" xfId="1710" xr:uid="{0D456C7F-DE21-4F0E-9A4B-A8D6EF4191EF}"/>
    <cellStyle name="Migliaia 5 2 2 2 3 6 2" xfId="3129" xr:uid="{3D93B4EA-8AD4-40B7-B494-E06378AF57C2}"/>
    <cellStyle name="Migliaia 5 2 2 2 3 6 2 2" xfId="10620" xr:uid="{C3249046-6D0C-4D35-9653-F5687DB92007}"/>
    <cellStyle name="Migliaia 5 2 2 2 3 6 2 2 2" xfId="14166" xr:uid="{6D069D01-2661-45F3-A28D-2A9491C54665}"/>
    <cellStyle name="Migliaia 5 2 2 2 3 6 2 2 2 2" xfId="29343" xr:uid="{5A00FCC7-F687-40CD-A8DF-0E13DDCED442}"/>
    <cellStyle name="Migliaia 5 2 2 2 3 6 2 2 3" xfId="25798" xr:uid="{2CB3BCEC-8702-4371-8694-39A82A25FBC7}"/>
    <cellStyle name="Migliaia 5 2 2 2 3 6 2 3" xfId="6446" xr:uid="{CFADCE0B-6C4D-4BF0-B5F7-9942C8BCE5BE}"/>
    <cellStyle name="Migliaia 5 2 2 2 3 6 2 3 2" xfId="21626" xr:uid="{F7881F26-5BF1-4C66-9454-2DCA27D90B96}"/>
    <cellStyle name="Migliaia 5 2 2 2 3 6 2 4" xfId="18338" xr:uid="{3183DC03-24EC-4EBD-8807-D8D54ADB224C}"/>
    <cellStyle name="Migliaia 5 2 2 2 3 6 3" xfId="4016" xr:uid="{F9DC0A2E-65D0-4DB5-9859-9302B8C2FF67}"/>
    <cellStyle name="Migliaia 5 2 2 2 3 6 3 2" xfId="11504" xr:uid="{82D9AFB3-E447-4728-AAA7-58B0D341F524}"/>
    <cellStyle name="Migliaia 5 2 2 2 3 6 3 2 2" xfId="15050" xr:uid="{D1C275CC-8D67-4F6F-9B59-87F1616D4E94}"/>
    <cellStyle name="Migliaia 5 2 2 2 3 6 3 2 2 2" xfId="30227" xr:uid="{C5B3C786-9EB9-4F15-8948-2DB965D590E5}"/>
    <cellStyle name="Migliaia 5 2 2 2 3 6 3 2 3" xfId="26682" xr:uid="{2A74C135-74F4-4B9A-9778-361EEF0D1629}"/>
    <cellStyle name="Migliaia 5 2 2 2 3 6 3 3" xfId="7330" xr:uid="{3EC95188-F2E2-4AB3-AABC-C0C5F0A8EF06}"/>
    <cellStyle name="Migliaia 5 2 2 2 3 6 3 3 2" xfId="22510" xr:uid="{18F397AC-F535-4CBB-B410-0C0FE833D564}"/>
    <cellStyle name="Migliaia 5 2 2 2 3 6 3 4" xfId="19222" xr:uid="{1167A170-28D6-4CCF-9514-99399630B745}"/>
    <cellStyle name="Migliaia 5 2 2 2 3 6 4" xfId="4666" xr:uid="{171148A9-5B4D-4F8A-AA37-CA8219334AED}"/>
    <cellStyle name="Migliaia 5 2 2 2 3 6 4 2" xfId="12151" xr:uid="{2F5962DE-EE15-4D4D-AE56-5ECCD2393258}"/>
    <cellStyle name="Migliaia 5 2 2 2 3 6 4 2 2" xfId="15697" xr:uid="{0915D190-0C10-4CAC-ACE9-DEDA14AA1075}"/>
    <cellStyle name="Migliaia 5 2 2 2 3 6 4 2 2 2" xfId="30874" xr:uid="{A3D40307-83A0-4C61-8758-3C361F976C31}"/>
    <cellStyle name="Migliaia 5 2 2 2 3 6 4 2 3" xfId="27329" xr:uid="{16E5B0B1-7D64-401C-8D36-E3C8D604DFE8}"/>
    <cellStyle name="Migliaia 5 2 2 2 3 6 4 3" xfId="7977" xr:uid="{FA3AB2D5-5CC0-4129-BE93-233840B34E60}"/>
    <cellStyle name="Migliaia 5 2 2 2 3 6 4 3 2" xfId="23157" xr:uid="{D7578504-356E-42F6-8EB7-D1583B896531}"/>
    <cellStyle name="Migliaia 5 2 2 2 3 6 4 4" xfId="19869" xr:uid="{8D9DF9F0-D057-4598-8E6F-86EDB58D47D7}"/>
    <cellStyle name="Migliaia 5 2 2 2 3 6 5" xfId="2239" xr:uid="{2B962932-00C1-44AB-BD96-B9244F48B9A8}"/>
    <cellStyle name="Migliaia 5 2 2 2 3 6 5 2" xfId="9736" xr:uid="{A5A74B47-C4DD-4815-964F-7DD1E8CC61BE}"/>
    <cellStyle name="Migliaia 5 2 2 2 3 6 5 2 2" xfId="24914" xr:uid="{7CB20DAD-91A4-412A-84A9-3732C0FAD7D6}"/>
    <cellStyle name="Migliaia 5 2 2 2 3 6 5 3" xfId="17454" xr:uid="{86F6E033-CC4D-4185-A37D-B45C22C95B5B}"/>
    <cellStyle name="Migliaia 5 2 2 2 3 6 6" xfId="9222" xr:uid="{CE53070D-E154-4270-BC63-42D8DFC14A1F}"/>
    <cellStyle name="Migliaia 5 2 2 2 3 6 6 2" xfId="13395" xr:uid="{B4D76894-DC73-47AD-8C1F-7AC43352FA15}"/>
    <cellStyle name="Migliaia 5 2 2 2 3 6 6 2 2" xfId="28572" xr:uid="{D4822E14-F25C-4794-A9B1-856D32197259}"/>
    <cellStyle name="Migliaia 5 2 2 2 3 6 6 3" xfId="24400" xr:uid="{B4218533-78D1-4EBD-9318-60ED93522A01}"/>
    <cellStyle name="Migliaia 5 2 2 2 3 6 7" xfId="5562" xr:uid="{EEF90A96-65C5-42FB-AA03-FC0CFF568454}"/>
    <cellStyle name="Migliaia 5 2 2 2 3 6 7 2" xfId="20742" xr:uid="{8552D5D2-2559-4CF2-A469-1488437CAE5B}"/>
    <cellStyle name="Migliaia 5 2 2 2 3 6 8" xfId="16940" xr:uid="{52CCBFF3-EA6B-4153-B3FA-0AA396C9F629}"/>
    <cellStyle name="Migliaia 5 2 2 2 3 7" xfId="2339" xr:uid="{2992A5B2-D773-4FD8-92CE-2930F2BED052}"/>
    <cellStyle name="Migliaia 5 2 2 2 3 7 2" xfId="9834" xr:uid="{ADF5E46E-70DD-42B2-9AAB-5D32089BDE63}"/>
    <cellStyle name="Migliaia 5 2 2 2 3 7 2 2" xfId="13493" xr:uid="{23049530-A016-4D17-A945-11EA4F29DC2D}"/>
    <cellStyle name="Migliaia 5 2 2 2 3 7 2 2 2" xfId="28670" xr:uid="{90C3D68A-F35C-46D9-8330-07AA4507E123}"/>
    <cellStyle name="Migliaia 5 2 2 2 3 7 2 3" xfId="25012" xr:uid="{14AF4D48-8465-4614-9A62-91238F821A13}"/>
    <cellStyle name="Migliaia 5 2 2 2 3 7 3" xfId="5660" xr:uid="{E48423E0-8013-44C6-BBFB-D7DB85076630}"/>
    <cellStyle name="Migliaia 5 2 2 2 3 7 3 2" xfId="20840" xr:uid="{1F1F2585-0DDE-4752-A697-E6AB004352AE}"/>
    <cellStyle name="Migliaia 5 2 2 2 3 7 4" xfId="17552" xr:uid="{E7B9FB9A-21F3-4314-AD03-B0486918488A}"/>
    <cellStyle name="Migliaia 5 2 2 2 3 8" xfId="3229" xr:uid="{DC35FAFB-DBD8-4E13-8C81-90DCE3950395}"/>
    <cellStyle name="Migliaia 5 2 2 2 3 8 2" xfId="10718" xr:uid="{5912FD7D-C7B2-4E66-AD98-534B1889D576}"/>
    <cellStyle name="Migliaia 5 2 2 2 3 8 2 2" xfId="14264" xr:uid="{5621493F-842D-43E9-88C5-C8992ECBEA7F}"/>
    <cellStyle name="Migliaia 5 2 2 2 3 8 2 2 2" xfId="29441" xr:uid="{B2278F3B-F9F9-46F3-A177-66D303076BBC}"/>
    <cellStyle name="Migliaia 5 2 2 2 3 8 2 3" xfId="25896" xr:uid="{EF527FAD-3372-4CCC-B4A7-3388CD59D3D5}"/>
    <cellStyle name="Migliaia 5 2 2 2 3 8 3" xfId="6544" xr:uid="{D542834C-8082-4116-ACA6-08BF0BE32830}"/>
    <cellStyle name="Migliaia 5 2 2 2 3 8 3 2" xfId="21724" xr:uid="{80991CB5-C4E8-41FE-A20D-7269EF820C78}"/>
    <cellStyle name="Migliaia 5 2 2 2 3 8 4" xfId="18436" xr:uid="{8816F90C-CB6F-472B-AB9D-AB5799A4ED16}"/>
    <cellStyle name="Migliaia 5 2 2 2 3 9" xfId="4667" xr:uid="{18C7645F-6E0B-40D7-9914-B22F0169C2B4}"/>
    <cellStyle name="Migliaia 5 2 2 2 3 9 2" xfId="12152" xr:uid="{2FF23ADF-B1A4-4A86-9971-CCA6F95EC92E}"/>
    <cellStyle name="Migliaia 5 2 2 2 3 9 2 2" xfId="15698" xr:uid="{94545BA5-25F3-4BE9-93E2-132C3CC6DB33}"/>
    <cellStyle name="Migliaia 5 2 2 2 3 9 2 2 2" xfId="30875" xr:uid="{8B1A5E6D-69B6-4573-A5F4-D35CEBC34544}"/>
    <cellStyle name="Migliaia 5 2 2 2 3 9 2 3" xfId="27330" xr:uid="{7FB683F9-121E-4373-92BF-65456B63C6CC}"/>
    <cellStyle name="Migliaia 5 2 2 2 3 9 3" xfId="7978" xr:uid="{6A695B3F-48E0-46C7-B544-E99E4C33B22D}"/>
    <cellStyle name="Migliaia 5 2 2 2 3 9 3 2" xfId="23158" xr:uid="{A195092A-4C60-456C-B15A-BCD0B4558A18}"/>
    <cellStyle name="Migliaia 5 2 2 2 3 9 4" xfId="19870" xr:uid="{EFEF0A27-BF12-4DBD-AB9B-4F5E3F428B1F}"/>
    <cellStyle name="Migliaia 5 2 2 2 4" xfId="897" xr:uid="{DD50264B-9CE1-4FF1-AC92-E86664C60516}"/>
    <cellStyle name="Migliaia 5 2 2 2 4 2" xfId="2415" xr:uid="{06C7EDFF-F24D-4297-AB2E-6EDAB5AE4BD2}"/>
    <cellStyle name="Migliaia 5 2 2 2 4 2 2" xfId="9907" xr:uid="{D9A95E6B-64AD-46AF-8ACC-0E3E6D1B9830}"/>
    <cellStyle name="Migliaia 5 2 2 2 4 2 2 2" xfId="13566" xr:uid="{23488ED4-F857-43DE-866A-1F93367A0BC2}"/>
    <cellStyle name="Migliaia 5 2 2 2 4 2 2 2 2" xfId="28743" xr:uid="{6827E98E-2846-4722-9DB8-F701958D16EA}"/>
    <cellStyle name="Migliaia 5 2 2 2 4 2 2 3" xfId="25085" xr:uid="{9C691439-D667-44EE-8D19-DE6095F2EE24}"/>
    <cellStyle name="Migliaia 5 2 2 2 4 2 3" xfId="5733" xr:uid="{06F74161-32D5-4ED4-B3E4-88B293F314D6}"/>
    <cellStyle name="Migliaia 5 2 2 2 4 2 3 2" xfId="20913" xr:uid="{89CBF69E-DE72-4909-977D-A10D91522AD7}"/>
    <cellStyle name="Migliaia 5 2 2 2 4 2 4" xfId="17625" xr:uid="{2C19F624-C003-4912-8733-0115C375F1BB}"/>
    <cellStyle name="Migliaia 5 2 2 2 4 3" xfId="3303" xr:uid="{8C8230E3-51AA-4240-9D88-FC99D23FDB2D}"/>
    <cellStyle name="Migliaia 5 2 2 2 4 3 2" xfId="10791" xr:uid="{44B77997-D853-438F-A2E7-C137D3B6037E}"/>
    <cellStyle name="Migliaia 5 2 2 2 4 3 2 2" xfId="14337" xr:uid="{BD3E5E0F-2866-443C-BBB4-42D39F32C480}"/>
    <cellStyle name="Migliaia 5 2 2 2 4 3 2 2 2" xfId="29514" xr:uid="{3704A095-ABD8-4D92-B2C3-23493B62A88E}"/>
    <cellStyle name="Migliaia 5 2 2 2 4 3 2 3" xfId="25969" xr:uid="{BF04D3C6-92A7-4873-BBB1-9355A2212519}"/>
    <cellStyle name="Migliaia 5 2 2 2 4 3 3" xfId="6617" xr:uid="{CD9DFA2D-BC56-45D3-982D-9652BA1A7960}"/>
    <cellStyle name="Migliaia 5 2 2 2 4 3 3 2" xfId="21797" xr:uid="{A5AFB062-3236-49A6-A29A-A846AC426CF0}"/>
    <cellStyle name="Migliaia 5 2 2 2 4 3 4" xfId="18509" xr:uid="{FC5D0123-DD43-49AA-AC36-4A6F574A74E3}"/>
    <cellStyle name="Migliaia 5 2 2 2 4 4" xfId="4668" xr:uid="{D278FF95-D1DC-45C5-9DE8-A36AA08AE0A6}"/>
    <cellStyle name="Migliaia 5 2 2 2 4 4 2" xfId="12153" xr:uid="{51F33984-41E8-4E54-B81D-9D033CD417A0}"/>
    <cellStyle name="Migliaia 5 2 2 2 4 4 2 2" xfId="15699" xr:uid="{775F04F6-E0CE-4B33-9E70-8B60D3EE2522}"/>
    <cellStyle name="Migliaia 5 2 2 2 4 4 2 2 2" xfId="30876" xr:uid="{6A8289CD-2215-40FE-8437-C07A0D0A29C3}"/>
    <cellStyle name="Migliaia 5 2 2 2 4 4 2 3" xfId="27331" xr:uid="{A0D896A9-A4A0-44F4-927F-140F241A8C63}"/>
    <cellStyle name="Migliaia 5 2 2 2 4 4 3" xfId="7979" xr:uid="{62E682C1-5A84-4C89-865B-58933AEEBD6D}"/>
    <cellStyle name="Migliaia 5 2 2 2 4 4 3 2" xfId="23159" xr:uid="{B4085A04-BE76-42D7-B68B-75902F3964AD}"/>
    <cellStyle name="Migliaia 5 2 2 2 4 4 4" xfId="19871" xr:uid="{372D3C89-09D6-466D-8942-DC518EAADD21}"/>
    <cellStyle name="Migliaia 5 2 2 2 4 5" xfId="8509" xr:uid="{A866386D-CE52-4953-A44E-9C3D05B16C09}"/>
    <cellStyle name="Migliaia 5 2 2 2 4 5 2" xfId="12682" xr:uid="{6788E54F-3513-4322-BF46-10231443AB3B}"/>
    <cellStyle name="Migliaia 5 2 2 2 4 5 2 2" xfId="27859" xr:uid="{65E00233-6848-4017-8F89-814831B1F84B}"/>
    <cellStyle name="Migliaia 5 2 2 2 4 5 3" xfId="23687" xr:uid="{F4295620-9881-4F0B-8396-952FC589B360}"/>
    <cellStyle name="Migliaia 5 2 2 2 4 6" xfId="16227" xr:uid="{3652EB95-5950-463F-A378-63898A3BD336}"/>
    <cellStyle name="Migliaia 5 2 2 2 4 7" xfId="31667" xr:uid="{DE27570E-E39D-430D-A7F8-C2B079550999}"/>
    <cellStyle name="Migliaia 5 2 2 2 5" xfId="1000" xr:uid="{96549A71-A63D-44EB-AD94-8F1D1A2BFDAB}"/>
    <cellStyle name="Migliaia 5 2 2 2 5 2" xfId="2513" xr:uid="{1E688FBC-326D-4981-B46B-47538FFF3FAB}"/>
    <cellStyle name="Migliaia 5 2 2 2 5 2 2" xfId="10005" xr:uid="{A7DC2E28-9498-412E-8DA3-A2E3EC34C98A}"/>
    <cellStyle name="Migliaia 5 2 2 2 5 2 2 2" xfId="13664" xr:uid="{BEAF6982-EF5C-4C25-BF36-0529CE2FBD8E}"/>
    <cellStyle name="Migliaia 5 2 2 2 5 2 2 2 2" xfId="28841" xr:uid="{24A46059-8312-4FF7-AB65-D5FDE8513AA0}"/>
    <cellStyle name="Migliaia 5 2 2 2 5 2 2 3" xfId="25183" xr:uid="{14BD2CB3-B0C4-40E4-850E-927A9D08370B}"/>
    <cellStyle name="Migliaia 5 2 2 2 5 2 3" xfId="5831" xr:uid="{C3FC45C0-4FE6-4E30-B852-9FC75D37586E}"/>
    <cellStyle name="Migliaia 5 2 2 2 5 2 3 2" xfId="21011" xr:uid="{21C52FC9-D2BC-40B8-8315-19C192364157}"/>
    <cellStyle name="Migliaia 5 2 2 2 5 2 4" xfId="17723" xr:uid="{D94E993B-3FBF-49E6-8E47-1FA2328867F9}"/>
    <cellStyle name="Migliaia 5 2 2 2 5 3" xfId="3401" xr:uid="{E98603AC-B061-47A6-BAFE-6183A7394D43}"/>
    <cellStyle name="Migliaia 5 2 2 2 5 3 2" xfId="10889" xr:uid="{5E1B81E3-A37D-4F08-A613-E1CC2BDABABE}"/>
    <cellStyle name="Migliaia 5 2 2 2 5 3 2 2" xfId="14435" xr:uid="{BD2F14DB-FAE2-4963-8A05-F9AA4A167B36}"/>
    <cellStyle name="Migliaia 5 2 2 2 5 3 2 2 2" xfId="29612" xr:uid="{5F70E8E5-9D05-4478-B160-20A2FDDA8B3F}"/>
    <cellStyle name="Migliaia 5 2 2 2 5 3 2 3" xfId="26067" xr:uid="{CBB8627B-47E2-4446-BD76-2816290A6B92}"/>
    <cellStyle name="Migliaia 5 2 2 2 5 3 3" xfId="6715" xr:uid="{002E0365-5744-458D-89F9-60B35F5C6173}"/>
    <cellStyle name="Migliaia 5 2 2 2 5 3 3 2" xfId="21895" xr:uid="{594364B9-7DF2-4C73-A8BE-5CCB1306139F}"/>
    <cellStyle name="Migliaia 5 2 2 2 5 3 4" xfId="18607" xr:uid="{1DFEFB6D-2B34-491C-977D-B2E4213EA767}"/>
    <cellStyle name="Migliaia 5 2 2 2 5 4" xfId="4669" xr:uid="{E3F71AB4-E98B-4ECE-95FB-CC4E5C273006}"/>
    <cellStyle name="Migliaia 5 2 2 2 5 4 2" xfId="12154" xr:uid="{D7A90AC8-D1A6-49EA-8227-B79ADBC13127}"/>
    <cellStyle name="Migliaia 5 2 2 2 5 4 2 2" xfId="15700" xr:uid="{47FDBCF6-7761-4293-9F10-394E46B297F2}"/>
    <cellStyle name="Migliaia 5 2 2 2 5 4 2 2 2" xfId="30877" xr:uid="{B17B8BF4-2616-40E1-BFB0-A44E5618B1F0}"/>
    <cellStyle name="Migliaia 5 2 2 2 5 4 2 3" xfId="27332" xr:uid="{7212CD58-09B9-4A82-BC47-F958D7320CBC}"/>
    <cellStyle name="Migliaia 5 2 2 2 5 4 3" xfId="7980" xr:uid="{A1967CCB-F03E-48BF-84FA-D7A8F44E8B88}"/>
    <cellStyle name="Migliaia 5 2 2 2 5 4 3 2" xfId="23160" xr:uid="{677F5734-77CF-4399-B0EA-F2C0BAD62CF4}"/>
    <cellStyle name="Migliaia 5 2 2 2 5 4 4" xfId="19872" xr:uid="{BB1C7763-F03C-46D0-B9BF-BDAC65D6D97F}"/>
    <cellStyle name="Migliaia 5 2 2 2 5 5" xfId="8607" xr:uid="{D9D5AA57-53CA-4766-A4D6-9271C547F0A8}"/>
    <cellStyle name="Migliaia 5 2 2 2 5 5 2" xfId="12780" xr:uid="{49A93AB8-1E9D-4ABB-8340-2AF82BEB4C1F}"/>
    <cellStyle name="Migliaia 5 2 2 2 5 5 2 2" xfId="27957" xr:uid="{331D84E5-BBF6-44DD-B8FE-BE534FE44463}"/>
    <cellStyle name="Migliaia 5 2 2 2 5 5 3" xfId="23785" xr:uid="{A9C57F43-8BE4-4D8E-9934-900A63174157}"/>
    <cellStyle name="Migliaia 5 2 2 2 5 6" xfId="16325" xr:uid="{7718284C-0A10-4A55-AF88-83B36D905F66}"/>
    <cellStyle name="Migliaia 5 2 2 2 5 7" xfId="31545" xr:uid="{3E787781-04FD-4911-85C1-4566C6EFF8E8}"/>
    <cellStyle name="Migliaia 5 2 2 2 6" xfId="1183" xr:uid="{412A7D18-5E37-4C53-96DD-F5D9A50A67BF}"/>
    <cellStyle name="Migliaia 5 2 2 2 6 2" xfId="2616" xr:uid="{8618EE5D-22D6-4595-B511-0FA06505E945}"/>
    <cellStyle name="Migliaia 5 2 2 2 6 2 2" xfId="10107" xr:uid="{10600F6D-F331-4435-9C4E-ECFB59C3D485}"/>
    <cellStyle name="Migliaia 5 2 2 2 6 2 2 2" xfId="13765" xr:uid="{9B9F6AC0-3F61-48A8-9F2C-163E0A9C3D5A}"/>
    <cellStyle name="Migliaia 5 2 2 2 6 2 2 2 2" xfId="28942" xr:uid="{E80E4CAC-8F03-4780-8A2C-9C3015CDA51A}"/>
    <cellStyle name="Migliaia 5 2 2 2 6 2 2 3" xfId="25285" xr:uid="{029DEEC3-E995-40D7-A353-8CCF11E28E31}"/>
    <cellStyle name="Migliaia 5 2 2 2 6 2 3" xfId="5933" xr:uid="{2E2F0CDA-2394-4013-A472-35BCD1772865}"/>
    <cellStyle name="Migliaia 5 2 2 2 6 2 3 2" xfId="21113" xr:uid="{98A25657-9056-401A-866D-97F4F0871EF5}"/>
    <cellStyle name="Migliaia 5 2 2 2 6 2 4" xfId="17825" xr:uid="{35990567-08A0-4D2B-91A9-8763CD09A0E3}"/>
    <cellStyle name="Migliaia 5 2 2 2 6 3" xfId="3503" xr:uid="{154145FA-C10D-4475-8840-9C6BE18A3E7D}"/>
    <cellStyle name="Migliaia 5 2 2 2 6 3 2" xfId="10991" xr:uid="{FF7E7F7C-5541-439F-8109-5B40F4D96AD7}"/>
    <cellStyle name="Migliaia 5 2 2 2 6 3 2 2" xfId="14537" xr:uid="{2B2868FF-6805-4BB8-BADF-498F65F6DF52}"/>
    <cellStyle name="Migliaia 5 2 2 2 6 3 2 2 2" xfId="29714" xr:uid="{0FCD95F9-5F0E-45CC-A635-554084E9CF1E}"/>
    <cellStyle name="Migliaia 5 2 2 2 6 3 2 3" xfId="26169" xr:uid="{31C90963-22AB-4C82-B619-87622399BF61}"/>
    <cellStyle name="Migliaia 5 2 2 2 6 3 3" xfId="6817" xr:uid="{02B9C822-A147-437D-9E4D-59C7ACCCE52F}"/>
    <cellStyle name="Migliaia 5 2 2 2 6 3 3 2" xfId="21997" xr:uid="{ED64529E-1C70-4250-A8A8-4BEBB23AB06B}"/>
    <cellStyle name="Migliaia 5 2 2 2 6 3 4" xfId="18709" xr:uid="{9149C64D-E451-40DA-82AB-08461298B3CE}"/>
    <cellStyle name="Migliaia 5 2 2 2 6 4" xfId="4670" xr:uid="{49A60BC9-2163-4C2D-AD0E-47F8AC41FFD4}"/>
    <cellStyle name="Migliaia 5 2 2 2 6 4 2" xfId="12155" xr:uid="{05922E0D-7A0F-46EA-BEA4-AB9792D4D646}"/>
    <cellStyle name="Migliaia 5 2 2 2 6 4 2 2" xfId="15701" xr:uid="{568A759F-7EF0-4F06-95DF-F471C834F5FC}"/>
    <cellStyle name="Migliaia 5 2 2 2 6 4 2 2 2" xfId="30878" xr:uid="{C0203311-5A0E-4594-9D5E-4C81FF7C8CC0}"/>
    <cellStyle name="Migliaia 5 2 2 2 6 4 2 3" xfId="27333" xr:uid="{520E9390-7574-4533-858F-945EC7D815AC}"/>
    <cellStyle name="Migliaia 5 2 2 2 6 4 3" xfId="7981" xr:uid="{F79B4C48-EC29-463A-BAF6-FC76B868D0EC}"/>
    <cellStyle name="Migliaia 5 2 2 2 6 4 3 2" xfId="23161" xr:uid="{BA744E14-6E23-4E68-958B-C65D6ABFBFCF}"/>
    <cellStyle name="Migliaia 5 2 2 2 6 4 4" xfId="19873" xr:uid="{CAFA72F3-54BF-4D9A-8894-B884E4293C58}"/>
    <cellStyle name="Migliaia 5 2 2 2 6 5" xfId="8709" xr:uid="{B78C2487-BDCB-479E-A7DF-53E8A110963A}"/>
    <cellStyle name="Migliaia 5 2 2 2 6 5 2" xfId="12882" xr:uid="{00CA50E0-2544-487C-BC1B-7521AED52229}"/>
    <cellStyle name="Migliaia 5 2 2 2 6 5 2 2" xfId="28059" xr:uid="{D9B96180-8E7F-447F-BEFF-C96C3E24A624}"/>
    <cellStyle name="Migliaia 5 2 2 2 6 5 3" xfId="23887" xr:uid="{AF28BB2A-D426-4769-A1AF-073A84317DAD}"/>
    <cellStyle name="Migliaia 5 2 2 2 6 6" xfId="16427" xr:uid="{FF57E6FE-9D98-4CF1-B3A7-B8D308458DB0}"/>
    <cellStyle name="Migliaia 5 2 2 2 7" xfId="1209" xr:uid="{DD992E17-D585-4E73-B081-B773B181E3A5}"/>
    <cellStyle name="Migliaia 5 2 2 2 7 2" xfId="2640" xr:uid="{A44DE240-616F-4F85-A264-26005ED413DC}"/>
    <cellStyle name="Migliaia 5 2 2 2 7 2 2" xfId="10131" xr:uid="{320B0083-60FA-45B3-92C6-5D71EC748BE8}"/>
    <cellStyle name="Migliaia 5 2 2 2 7 2 2 2" xfId="13789" xr:uid="{04D929D6-40EE-4474-8095-F91820D00B49}"/>
    <cellStyle name="Migliaia 5 2 2 2 7 2 2 2 2" xfId="28966" xr:uid="{17643235-2114-4A6D-9D4D-DF0BE578B525}"/>
    <cellStyle name="Migliaia 5 2 2 2 7 2 2 3" xfId="25309" xr:uid="{7D136F3E-22B4-4AA5-9D0B-968FCC8C9F44}"/>
    <cellStyle name="Migliaia 5 2 2 2 7 2 3" xfId="5957" xr:uid="{0A223CA9-3BC5-43EB-AFE5-EEC6C3E504E9}"/>
    <cellStyle name="Migliaia 5 2 2 2 7 2 3 2" xfId="21137" xr:uid="{CC647DB4-6CF2-4C28-AD06-7C0723B4208D}"/>
    <cellStyle name="Migliaia 5 2 2 2 7 2 4" xfId="17849" xr:uid="{B230BFCC-DFAB-4349-A6D0-0320B60ADFBA}"/>
    <cellStyle name="Migliaia 5 2 2 2 7 3" xfId="3527" xr:uid="{509F97B3-833F-4AB2-9F67-896B55D4D07E}"/>
    <cellStyle name="Migliaia 5 2 2 2 7 3 2" xfId="11015" xr:uid="{5772FEC1-F0DF-46F9-840F-768847C27679}"/>
    <cellStyle name="Migliaia 5 2 2 2 7 3 2 2" xfId="14561" xr:uid="{03C0780C-02A6-4E4A-848C-0FEBAC93515F}"/>
    <cellStyle name="Migliaia 5 2 2 2 7 3 2 2 2" xfId="29738" xr:uid="{189228CD-C0DC-4823-80A6-73A3819A99B7}"/>
    <cellStyle name="Migliaia 5 2 2 2 7 3 2 3" xfId="26193" xr:uid="{C48E431B-63B7-49CB-941E-0B59809D3F2B}"/>
    <cellStyle name="Migliaia 5 2 2 2 7 3 3" xfId="6841" xr:uid="{A91D8D91-332E-4888-9012-DA5838FB2267}"/>
    <cellStyle name="Migliaia 5 2 2 2 7 3 3 2" xfId="22021" xr:uid="{0316AE6E-9490-4BE4-8A6A-14AE56DEBCFC}"/>
    <cellStyle name="Migliaia 5 2 2 2 7 3 4" xfId="18733" xr:uid="{54925E74-4F1A-4353-A468-BEEF984B4074}"/>
    <cellStyle name="Migliaia 5 2 2 2 7 4" xfId="4671" xr:uid="{104ABFBB-6538-40AF-8F54-B1524C91E5DA}"/>
    <cellStyle name="Migliaia 5 2 2 2 7 4 2" xfId="12156" xr:uid="{49DAD693-8FA3-4340-BF5C-D1ADCF96A6C3}"/>
    <cellStyle name="Migliaia 5 2 2 2 7 4 2 2" xfId="15702" xr:uid="{52D71ED7-C750-4AFD-880A-5C40444A9478}"/>
    <cellStyle name="Migliaia 5 2 2 2 7 4 2 2 2" xfId="30879" xr:uid="{D65D43B7-CBD4-47FC-AAA8-360C375915F8}"/>
    <cellStyle name="Migliaia 5 2 2 2 7 4 2 3" xfId="27334" xr:uid="{D56DFF5A-0B30-4D99-B79D-0281BDEF149C}"/>
    <cellStyle name="Migliaia 5 2 2 2 7 4 3" xfId="7982" xr:uid="{13298A0B-A7FB-45E3-B8A5-EE0DCDAAECF8}"/>
    <cellStyle name="Migliaia 5 2 2 2 7 4 3 2" xfId="23162" xr:uid="{1EB42A98-FE76-4876-BD86-BF8B5AC2716D}"/>
    <cellStyle name="Migliaia 5 2 2 2 7 4 4" xfId="19874" xr:uid="{DBE17D2D-1BA3-4C74-87F1-476E2D65C758}"/>
    <cellStyle name="Migliaia 5 2 2 2 7 5" xfId="8733" xr:uid="{882CFE83-71CD-49FA-9B71-FE5A41C576E0}"/>
    <cellStyle name="Migliaia 5 2 2 2 7 5 2" xfId="12906" xr:uid="{D3F773B3-58FD-446E-904A-349D72116920}"/>
    <cellStyle name="Migliaia 5 2 2 2 7 5 2 2" xfId="28083" xr:uid="{7F019586-8AF0-4606-AE23-D5C4DFA19255}"/>
    <cellStyle name="Migliaia 5 2 2 2 7 5 3" xfId="23911" xr:uid="{FEEE4B03-1055-4A0C-877D-99E42B54FFAB}"/>
    <cellStyle name="Migliaia 5 2 2 2 7 6" xfId="16451" xr:uid="{A1C31B43-DCB8-4188-9A85-89EDB0E89A03}"/>
    <cellStyle name="Migliaia 5 2 2 2 8" xfId="1258" xr:uid="{FD64C5CA-77CC-429F-8597-229C8E05F6BF}"/>
    <cellStyle name="Migliaia 5 2 2 2 8 10" xfId="31317" xr:uid="{62D6AD4D-BAFA-4771-9946-499DBE12B4E2}"/>
    <cellStyle name="Migliaia 5 2 2 2 8 2" xfId="2688" xr:uid="{5D3FC252-9D1A-43B5-8670-95A1E2560AB7}"/>
    <cellStyle name="Migliaia 5 2 2 2 8 2 2" xfId="10179" xr:uid="{55AF3BB3-5267-445C-9F25-8FEF53883AB9}"/>
    <cellStyle name="Migliaia 5 2 2 2 8 2 2 2" xfId="13823" xr:uid="{AD4C49DF-4E41-49B5-B4CE-E0191E4BD2B5}"/>
    <cellStyle name="Migliaia 5 2 2 2 8 2 2 2 2" xfId="29000" xr:uid="{9E7237F6-A221-4104-A1D0-6F56BF17DEB5}"/>
    <cellStyle name="Migliaia 5 2 2 2 8 2 2 3" xfId="25357" xr:uid="{6E94EC03-C4FA-47CD-8034-0464791922DF}"/>
    <cellStyle name="Migliaia 5 2 2 2 8 2 3" xfId="6005" xr:uid="{8794E160-F4CE-4FBF-AC94-361EC4A3F096}"/>
    <cellStyle name="Migliaia 5 2 2 2 8 2 3 2" xfId="21185" xr:uid="{32D5CBAD-B67E-4D05-B554-84D70D36F955}"/>
    <cellStyle name="Migliaia 5 2 2 2 8 2 4" xfId="17897" xr:uid="{E3886B86-0293-4C3E-BBDA-1CB085EF12B0}"/>
    <cellStyle name="Migliaia 5 2 2 2 8 3" xfId="3575" xr:uid="{CF0D9F90-91FD-45D8-9829-C5B4F2D45158}"/>
    <cellStyle name="Migliaia 5 2 2 2 8 3 2" xfId="11063" xr:uid="{4079FB37-0EA6-45EC-9D56-B3B28B332488}"/>
    <cellStyle name="Migliaia 5 2 2 2 8 3 2 2" xfId="14609" xr:uid="{BBAFF617-CB77-4687-96E9-2EDD21DEB2A6}"/>
    <cellStyle name="Migliaia 5 2 2 2 8 3 2 2 2" xfId="29786" xr:uid="{0E147DE0-ECEE-4C97-9816-FFFE65854832}"/>
    <cellStyle name="Migliaia 5 2 2 2 8 3 2 3" xfId="26241" xr:uid="{0FC6A761-1902-4C5F-9CDD-3D87F8B2A1CC}"/>
    <cellStyle name="Migliaia 5 2 2 2 8 3 3" xfId="6889" xr:uid="{186D05FD-2510-4E6B-B1A4-87B709A217DB}"/>
    <cellStyle name="Migliaia 5 2 2 2 8 3 3 2" xfId="22069" xr:uid="{D260C612-FF42-495D-80B0-D243094D464B}"/>
    <cellStyle name="Migliaia 5 2 2 2 8 3 4" xfId="18781" xr:uid="{EBBDE1FF-B46E-4DFC-AEF0-F41946F40508}"/>
    <cellStyle name="Migliaia 5 2 2 2 8 4" xfId="4672" xr:uid="{52123C83-B142-4D8D-9988-CF1BCC1010EA}"/>
    <cellStyle name="Migliaia 5 2 2 2 8 4 2" xfId="12157" xr:uid="{A3568595-3268-4179-A0E3-3FC533E2F56A}"/>
    <cellStyle name="Migliaia 5 2 2 2 8 4 2 2" xfId="15703" xr:uid="{B5531143-9DFC-48E6-AC34-EF553335AC67}"/>
    <cellStyle name="Migliaia 5 2 2 2 8 4 2 2 2" xfId="30880" xr:uid="{1EF14ACF-EEE5-4ACD-BE07-B3C1BF7AC514}"/>
    <cellStyle name="Migliaia 5 2 2 2 8 4 2 3" xfId="27335" xr:uid="{1937861E-5C60-4710-9413-F151CCF271D5}"/>
    <cellStyle name="Migliaia 5 2 2 2 8 4 3" xfId="7983" xr:uid="{252BF5AB-F77C-4280-BF7C-F59533F18CE5}"/>
    <cellStyle name="Migliaia 5 2 2 2 8 4 3 2" xfId="23163" xr:uid="{7398F578-283F-42B3-BC7A-CF830EEA2612}"/>
    <cellStyle name="Migliaia 5 2 2 2 8 4 4" xfId="19875" xr:uid="{F525DF8D-BBF1-45F5-A7CB-771A43B9FBA4}"/>
    <cellStyle name="Migliaia 5 2 2 2 8 5" xfId="4977" xr:uid="{3C01059F-6251-417C-8503-F15F1914AB5B}"/>
    <cellStyle name="Migliaia 5 2 2 2 8 5 2" xfId="12461" xr:uid="{FFB2CA69-AF2E-405E-8DB1-56CCEB7499F4}"/>
    <cellStyle name="Migliaia 5 2 2 2 8 5 2 2" xfId="16007" xr:uid="{47B0ED95-EB6A-40BA-B351-B4E9C844CD18}"/>
    <cellStyle name="Migliaia 5 2 2 2 8 5 2 2 2" xfId="31184" xr:uid="{2C4F158C-7AC7-49A5-AEEE-0F003B41CC2A}"/>
    <cellStyle name="Migliaia 5 2 2 2 8 5 2 3" xfId="27639" xr:uid="{96D88AEE-8983-483D-84D9-FC74EC365935}"/>
    <cellStyle name="Migliaia 5 2 2 2 8 5 3" xfId="8287" xr:uid="{A4B2A883-5EBB-4139-BEDC-3D6958653B42}"/>
    <cellStyle name="Migliaia 5 2 2 2 8 5 3 2" xfId="23467" xr:uid="{C51C4888-4E31-4A1A-ABDD-75C95B33E3E9}"/>
    <cellStyle name="Migliaia 5 2 2 2 8 5 4" xfId="20179" xr:uid="{4BB93C7C-294F-44D6-9D39-53C1CBFC0672}"/>
    <cellStyle name="Migliaia 5 2 2 2 8 6" xfId="1798" xr:uid="{FCF6FF89-33C8-429E-85BE-9EC14B221FBB}"/>
    <cellStyle name="Migliaia 5 2 2 2 8 6 2" xfId="9295" xr:uid="{9BF4BA30-E6A1-445E-857B-11792C561C2E}"/>
    <cellStyle name="Migliaia 5 2 2 2 8 6 2 2" xfId="24473" xr:uid="{CDE1A818-C759-4450-95C9-51FBAE1509C9}"/>
    <cellStyle name="Migliaia 5 2 2 2 8 6 3" xfId="17013" xr:uid="{4BA5086B-ECBA-4A03-8B9C-274DF8C7BEC8}"/>
    <cellStyle name="Migliaia 5 2 2 2 8 7" xfId="8781" xr:uid="{9F5AD609-3804-455F-9F08-301DA7043370}"/>
    <cellStyle name="Migliaia 5 2 2 2 8 7 2" xfId="12954" xr:uid="{36F3689E-0B6C-4D8C-8FFC-FE8EAB53973C}"/>
    <cellStyle name="Migliaia 5 2 2 2 8 7 2 2" xfId="28131" xr:uid="{2BFC0149-897B-4BE4-BB7B-CF680FD0429C}"/>
    <cellStyle name="Migliaia 5 2 2 2 8 7 3" xfId="23959" xr:uid="{BAF635BF-0B2F-474C-9362-F052445CE77C}"/>
    <cellStyle name="Migliaia 5 2 2 2 8 8" xfId="5121" xr:uid="{42470DA9-4D1A-4317-85E6-4E7C5EE561C2}"/>
    <cellStyle name="Migliaia 5 2 2 2 8 8 2" xfId="20301" xr:uid="{5D26D3B9-421F-40A8-BF78-69F449B67320}"/>
    <cellStyle name="Migliaia 5 2 2 2 8 9" xfId="16499" xr:uid="{ED0D8B0E-404D-4E16-A822-5E9ED72AE359}"/>
    <cellStyle name="Migliaia 5 2 2 2 9" xfId="1360" xr:uid="{D045A3B4-C92E-4B2B-A75E-FD38CE4DB619}"/>
    <cellStyle name="Migliaia 5 2 2 2 9 2" xfId="2786" xr:uid="{F3551F9D-9272-4F67-9A2E-DA538C1C501E}"/>
    <cellStyle name="Migliaia 5 2 2 2 9 2 2" xfId="10277" xr:uid="{0D0888FB-126C-4AFC-BD03-82097935885F}"/>
    <cellStyle name="Migliaia 5 2 2 2 9 2 2 2" xfId="13872" xr:uid="{7A8A42B0-2AFC-4B24-8275-7020BFF0E2FC}"/>
    <cellStyle name="Migliaia 5 2 2 2 9 2 2 2 2" xfId="29049" xr:uid="{7E897B09-973C-4BCE-8CFB-E1F1404A4471}"/>
    <cellStyle name="Migliaia 5 2 2 2 9 2 2 3" xfId="25455" xr:uid="{EC93D896-EE63-4D5E-8E70-424FCEFD4873}"/>
    <cellStyle name="Migliaia 5 2 2 2 9 2 3" xfId="6103" xr:uid="{62E7CE0C-4655-4C89-8600-3203F491FD47}"/>
    <cellStyle name="Migliaia 5 2 2 2 9 2 3 2" xfId="21283" xr:uid="{515FD9A2-7BBD-4E77-818A-5AAC45F391C0}"/>
    <cellStyle name="Migliaia 5 2 2 2 9 2 4" xfId="17995" xr:uid="{3B9CBB90-F4D3-4581-91FF-8CE48B2F45CB}"/>
    <cellStyle name="Migliaia 5 2 2 2 9 3" xfId="3673" xr:uid="{9E2CBC4D-1B1A-44C4-80D8-ABBC216CCBA0}"/>
    <cellStyle name="Migliaia 5 2 2 2 9 3 2" xfId="11161" xr:uid="{642C1F43-2B8A-481F-B575-C4CEEAA3FF85}"/>
    <cellStyle name="Migliaia 5 2 2 2 9 3 2 2" xfId="14707" xr:uid="{5BE2FDFA-9F77-49F3-A708-BED1E173CF13}"/>
    <cellStyle name="Migliaia 5 2 2 2 9 3 2 2 2" xfId="29884" xr:uid="{E62029B9-80FB-4CEA-9E07-8A61DF35C874}"/>
    <cellStyle name="Migliaia 5 2 2 2 9 3 2 3" xfId="26339" xr:uid="{E943A1E8-2F1E-423A-B80F-87D8B091D1E3}"/>
    <cellStyle name="Migliaia 5 2 2 2 9 3 3" xfId="6987" xr:uid="{8CF75131-686A-4B6E-ABF4-1EF2F495BB6A}"/>
    <cellStyle name="Migliaia 5 2 2 2 9 3 3 2" xfId="22167" xr:uid="{30D8E0C8-2271-4ADE-985D-1A6919380F41}"/>
    <cellStyle name="Migliaia 5 2 2 2 9 3 4" xfId="18879" xr:uid="{EF6DB994-7E11-4F5F-BDB8-67609D35B231}"/>
    <cellStyle name="Migliaia 5 2 2 2 9 4" xfId="4673" xr:uid="{3C520C20-456C-4F8B-AAD7-E99C15616213}"/>
    <cellStyle name="Migliaia 5 2 2 2 9 4 2" xfId="12158" xr:uid="{57BF8495-04F3-4501-A14C-C31835FFE770}"/>
    <cellStyle name="Migliaia 5 2 2 2 9 4 2 2" xfId="15704" xr:uid="{2D8ABD44-0C45-48CE-8493-D5E8513008C9}"/>
    <cellStyle name="Migliaia 5 2 2 2 9 4 2 2 2" xfId="30881" xr:uid="{55625FD2-AA8F-459F-8FDC-95F7E3140849}"/>
    <cellStyle name="Migliaia 5 2 2 2 9 4 2 3" xfId="27336" xr:uid="{BBC67806-DBE1-4F15-977B-BD721330E84E}"/>
    <cellStyle name="Migliaia 5 2 2 2 9 4 3" xfId="7984" xr:uid="{27ADF8AF-3A0C-4ADE-B302-CDC4102E7CAB}"/>
    <cellStyle name="Migliaia 5 2 2 2 9 4 3 2" xfId="23164" xr:uid="{5C6555CB-B71B-4CE5-8642-6203920D5647}"/>
    <cellStyle name="Migliaia 5 2 2 2 9 4 4" xfId="19876" xr:uid="{E137D5DD-4AFA-4EA5-94BF-FC3402363DC4}"/>
    <cellStyle name="Migliaia 5 2 2 2 9 5" xfId="1896" xr:uid="{571987EC-FB51-46F0-BFA7-3CDE412594D1}"/>
    <cellStyle name="Migliaia 5 2 2 2 9 5 2" xfId="9393" xr:uid="{4A255C0E-9DD5-4A8F-869E-0C975C4992DE}"/>
    <cellStyle name="Migliaia 5 2 2 2 9 5 2 2" xfId="24571" xr:uid="{E00C937D-04F5-4A4D-A361-BCFE94C6DFA9}"/>
    <cellStyle name="Migliaia 5 2 2 2 9 5 3" xfId="17111" xr:uid="{A65DAC3F-BCA4-4EEC-92E0-0C0EADC1C701}"/>
    <cellStyle name="Migliaia 5 2 2 2 9 6" xfId="8879" xr:uid="{D93B8E80-F7FB-4A85-B07F-4E49BFE16C62}"/>
    <cellStyle name="Migliaia 5 2 2 2 9 6 2" xfId="13052" xr:uid="{71FD5AC6-AE93-49AF-B364-21736ABA8078}"/>
    <cellStyle name="Migliaia 5 2 2 2 9 6 2 2" xfId="28229" xr:uid="{D2B9E632-782D-4385-AB68-E82B4AEBE6AF}"/>
    <cellStyle name="Migliaia 5 2 2 2 9 6 3" xfId="24057" xr:uid="{E6306DA9-556A-4277-BEB1-114F986E5FF6}"/>
    <cellStyle name="Migliaia 5 2 2 2 9 7" xfId="5219" xr:uid="{633894F1-000A-47ED-9FB9-C765D0DAF499}"/>
    <cellStyle name="Migliaia 5 2 2 2 9 7 2" xfId="20399" xr:uid="{F514B17F-E4D7-4A0C-BC5E-64253524E429}"/>
    <cellStyle name="Migliaia 5 2 2 2 9 8" xfId="16597" xr:uid="{C481D66B-F0ED-48F2-8FA0-6CE2FCCB0401}"/>
    <cellStyle name="Migliaia 5 2 2 3" xfId="580" xr:uid="{13DD14F1-9B6E-4AE4-AC49-764CC9AEAF37}"/>
    <cellStyle name="Migliaia 5 2 2 3 10" xfId="16203" xr:uid="{AB4173D6-A208-4F15-B1FC-47D525F9A6E7}"/>
    <cellStyle name="Migliaia 5 2 2 3 11" xfId="31293" xr:uid="{58CF39F6-8F54-4A58-8EE8-8C3C47CD42D2}"/>
    <cellStyle name="Migliaia 5 2 2 3 12" xfId="31643" xr:uid="{00640983-7D07-479B-B69C-4BD047388EBC}"/>
    <cellStyle name="Migliaia 5 2 2 3 13" xfId="871" xr:uid="{13FDEEEE-C76F-4F43-8117-1374C2977A8E}"/>
    <cellStyle name="Migliaia 5 2 2 3 2" xfId="1234" xr:uid="{D3F38BFC-E82B-48E5-AF58-5624A87DB69C}"/>
    <cellStyle name="Migliaia 5 2 2 3 2 2" xfId="3551" xr:uid="{7589E934-FC52-4D11-856C-080E68EA8F3C}"/>
    <cellStyle name="Migliaia 5 2 2 3 2 2 2" xfId="11039" xr:uid="{CAEB2AC7-0E99-4B78-AEFB-103C8E141987}"/>
    <cellStyle name="Migliaia 5 2 2 3 2 2 2 2" xfId="14585" xr:uid="{6D157C4A-2A67-4C06-AB8E-ABB217DBB48E}"/>
    <cellStyle name="Migliaia 5 2 2 3 2 2 2 2 2" xfId="29762" xr:uid="{20F5A988-1C88-42D2-AF75-FBA3A8759893}"/>
    <cellStyle name="Migliaia 5 2 2 3 2 2 2 3" xfId="26217" xr:uid="{4E089FDC-3FC3-420D-83E8-AC653F001DFD}"/>
    <cellStyle name="Migliaia 5 2 2 3 2 2 3" xfId="6865" xr:uid="{6AF49DBD-9036-48DD-9F48-42647453E5FA}"/>
    <cellStyle name="Migliaia 5 2 2 3 2 2 3 2" xfId="22045" xr:uid="{4FBCB036-F660-4F0E-81F1-DCDD52113725}"/>
    <cellStyle name="Migliaia 5 2 2 3 2 2 4" xfId="18757" xr:uid="{9CE65280-7BB7-465B-BC20-7F8FABE94DF7}"/>
    <cellStyle name="Migliaia 5 2 2 3 2 3" xfId="4674" xr:uid="{A1DA55BB-0ACF-4D3C-B78D-B098214A3285}"/>
    <cellStyle name="Migliaia 5 2 2 3 2 3 2" xfId="12159" xr:uid="{CD666E9E-B6A4-40BE-B7E2-406ECBFB0BAA}"/>
    <cellStyle name="Migliaia 5 2 2 3 2 3 2 2" xfId="15705" xr:uid="{72D9B2C0-5174-4F78-A03C-B70FEBD04D7E}"/>
    <cellStyle name="Migliaia 5 2 2 3 2 3 2 2 2" xfId="30882" xr:uid="{CD433211-2DA2-40AC-9D5D-5132B5614E11}"/>
    <cellStyle name="Migliaia 5 2 2 3 2 3 2 3" xfId="27337" xr:uid="{4F4893E4-C2E0-4A8A-ABEB-70732A3AAE3C}"/>
    <cellStyle name="Migliaia 5 2 2 3 2 3 3" xfId="7985" xr:uid="{35C1948F-0A09-485A-B9B5-53DC2034F226}"/>
    <cellStyle name="Migliaia 5 2 2 3 2 3 3 2" xfId="23165" xr:uid="{D550EC35-BFA8-4F12-8401-FE57A6A86CBC}"/>
    <cellStyle name="Migliaia 5 2 2 3 2 3 4" xfId="19877" xr:uid="{EF0F872A-7127-4C28-912B-ABA2AA84918A}"/>
    <cellStyle name="Migliaia 5 2 2 3 2 4" xfId="2664" xr:uid="{F4C47481-A68A-4618-A075-77A4C87F2E59}"/>
    <cellStyle name="Migliaia 5 2 2 3 2 4 2" xfId="10155" xr:uid="{207D0C48-A1F1-4BA2-B3EE-B00A77516EED}"/>
    <cellStyle name="Migliaia 5 2 2 3 2 4 2 2" xfId="25333" xr:uid="{3A34720B-5516-460A-BF93-B0C9E1F7EB86}"/>
    <cellStyle name="Migliaia 5 2 2 3 2 4 3" xfId="17873" xr:uid="{D7E73361-0163-41E2-B849-BCFD2D50B0ED}"/>
    <cellStyle name="Migliaia 5 2 2 3 2 5" xfId="8757" xr:uid="{2E87DD7A-EFF5-415E-81E6-302D9BDF13A8}"/>
    <cellStyle name="Migliaia 5 2 2 3 2 5 2" xfId="12930" xr:uid="{FC715FE3-2DEF-498E-A669-77C618CC4DE1}"/>
    <cellStyle name="Migliaia 5 2 2 3 2 5 2 2" xfId="28107" xr:uid="{9CB58A7F-4D2F-476D-927B-656E3CA58C0C}"/>
    <cellStyle name="Migliaia 5 2 2 3 2 5 3" xfId="23935" xr:uid="{A906B78B-A466-4CE2-AA5F-91CAB2BADB80}"/>
    <cellStyle name="Migliaia 5 2 2 3 2 6" xfId="5981" xr:uid="{9F77A68A-4167-429A-994F-A66B1CE164D4}"/>
    <cellStyle name="Migliaia 5 2 2 3 2 6 2" xfId="21161" xr:uid="{061C8689-D9AB-4EDC-A011-728A19B2BFCA}"/>
    <cellStyle name="Migliaia 5 2 2 3 2 7" xfId="16475" xr:uid="{AD3FBE82-65C5-4040-8E81-77EA4D5063B7}"/>
    <cellStyle name="Migliaia 5 2 2 3 3" xfId="2389" xr:uid="{91707877-DF35-470E-AB6D-BFD2335C191B}"/>
    <cellStyle name="Migliaia 5 2 2 3 3 2" xfId="9883" xr:uid="{9EC1AFD0-875E-4248-B15C-CB1433EB9E99}"/>
    <cellStyle name="Migliaia 5 2 2 3 3 2 2" xfId="13542" xr:uid="{7FDC4B72-D4EE-4251-A65E-17C2908201D9}"/>
    <cellStyle name="Migliaia 5 2 2 3 3 2 2 2" xfId="28719" xr:uid="{45B90BF9-7BDC-4B21-BE11-72A4E58DBA12}"/>
    <cellStyle name="Migliaia 5 2 2 3 3 2 3" xfId="25061" xr:uid="{6A6C96B9-A4F9-485D-BF02-67E491B3E965}"/>
    <cellStyle name="Migliaia 5 2 2 3 3 3" xfId="5709" xr:uid="{E38E131A-A6FB-4C29-BD06-DE4DE99E14B4}"/>
    <cellStyle name="Migliaia 5 2 2 3 3 3 2" xfId="20889" xr:uid="{59903B28-6671-4A34-82A6-478E81FB9938}"/>
    <cellStyle name="Migliaia 5 2 2 3 3 4" xfId="17601" xr:uid="{A8701D28-36CC-4687-9819-208C86C52841}"/>
    <cellStyle name="Migliaia 5 2 2 3 4" xfId="3279" xr:uid="{089A9196-ACC1-4B0E-A239-A8BFA732DB94}"/>
    <cellStyle name="Migliaia 5 2 2 3 4 2" xfId="10767" xr:uid="{A3BFF3DC-82F6-4CFD-BFAD-B7C43663EA9C}"/>
    <cellStyle name="Migliaia 5 2 2 3 4 2 2" xfId="14313" xr:uid="{09D9215D-93B9-4FCE-96DD-1257C38DDF2E}"/>
    <cellStyle name="Migliaia 5 2 2 3 4 2 2 2" xfId="29490" xr:uid="{1FDC8703-0AE2-4C80-8293-FCA68E0EF14A}"/>
    <cellStyle name="Migliaia 5 2 2 3 4 2 3" xfId="25945" xr:uid="{8B3F02D6-D7AA-4602-BBC9-C454190D7742}"/>
    <cellStyle name="Migliaia 5 2 2 3 4 3" xfId="6593" xr:uid="{619408F3-9438-48E0-BEC0-851EB0601DA2}"/>
    <cellStyle name="Migliaia 5 2 2 3 4 3 2" xfId="21773" xr:uid="{6D418189-DA86-485B-A551-296C9BBBE220}"/>
    <cellStyle name="Migliaia 5 2 2 3 4 4" xfId="18485" xr:uid="{ABDD5165-5D33-4E05-A1B2-6612169F526D}"/>
    <cellStyle name="Migliaia 5 2 2 3 5" xfId="4675" xr:uid="{A7D01CD5-3D0B-4EFD-8444-9A86667184C2}"/>
    <cellStyle name="Migliaia 5 2 2 3 5 2" xfId="12160" xr:uid="{B0436AAE-F051-470F-AC86-4B6E7D98D813}"/>
    <cellStyle name="Migliaia 5 2 2 3 5 2 2" xfId="15706" xr:uid="{9789B1E8-F832-461A-B591-61905828AA52}"/>
    <cellStyle name="Migliaia 5 2 2 3 5 2 2 2" xfId="30883" xr:uid="{4FEDE590-CD27-4F0D-BB3A-8BA0DB13D3DD}"/>
    <cellStyle name="Migliaia 5 2 2 3 5 2 3" xfId="27338" xr:uid="{ADC82DAE-045D-480F-A1D4-48B063F3A110}"/>
    <cellStyle name="Migliaia 5 2 2 3 5 3" xfId="7986" xr:uid="{5DAC6B99-38F5-4899-B4E2-0DF16BC62261}"/>
    <cellStyle name="Migliaia 5 2 2 3 5 3 2" xfId="23166" xr:uid="{990E520A-6FC4-4BEA-A46B-33683F3BCF7E}"/>
    <cellStyle name="Migliaia 5 2 2 3 5 4" xfId="19878" xr:uid="{59752F77-F662-4D33-ABB7-8FE0B2942E85}"/>
    <cellStyle name="Migliaia 5 2 2 3 6" xfId="4953" xr:uid="{8B47B6F7-C91C-4285-8455-10538ED709F2}"/>
    <cellStyle name="Migliaia 5 2 2 3 6 2" xfId="12437" xr:uid="{8EC931C2-F540-415E-805D-90B8A4DB11CD}"/>
    <cellStyle name="Migliaia 5 2 2 3 6 2 2" xfId="15983" xr:uid="{01056C9F-76E4-4591-B5ED-7F1916B4796E}"/>
    <cellStyle name="Migliaia 5 2 2 3 6 2 2 2" xfId="31160" xr:uid="{C56BDDC7-457E-489F-816E-13B8F865F2A3}"/>
    <cellStyle name="Migliaia 5 2 2 3 6 2 3" xfId="27615" xr:uid="{0AB92103-00B0-4A9E-88E1-11876DBD55AB}"/>
    <cellStyle name="Migliaia 5 2 2 3 6 3" xfId="8263" xr:uid="{2DD39C48-B32A-40FC-8479-A090BB506250}"/>
    <cellStyle name="Migliaia 5 2 2 3 6 3 2" xfId="23443" xr:uid="{CD3D526F-BE66-48DE-AE0A-E87A157A0627}"/>
    <cellStyle name="Migliaia 5 2 2 3 6 4" xfId="20155" xr:uid="{769E82D4-01CF-44AE-A186-78D240F4454F}"/>
    <cellStyle name="Migliaia 5 2 2 3 7" xfId="1774" xr:uid="{6E241129-5D45-4826-A40A-482AC28463AF}"/>
    <cellStyle name="Migliaia 5 2 2 3 7 2" xfId="9271" xr:uid="{38F284CE-FC57-4CB7-AEAF-89ABC8255983}"/>
    <cellStyle name="Migliaia 5 2 2 3 7 2 2" xfId="24449" xr:uid="{6669B5B0-2AE0-462B-A2B3-A7E5991EFEB1}"/>
    <cellStyle name="Migliaia 5 2 2 3 7 3" xfId="16989" xr:uid="{7550E377-6243-47B2-8EA0-C639AD8D8835}"/>
    <cellStyle name="Migliaia 5 2 2 3 8" xfId="8485" xr:uid="{7783AA55-644E-49DB-8CE4-67222BFC4379}"/>
    <cellStyle name="Migliaia 5 2 2 3 8 2" xfId="12658" xr:uid="{C5D737D4-0098-482E-8BF9-891B6049426A}"/>
    <cellStyle name="Migliaia 5 2 2 3 8 2 2" xfId="27835" xr:uid="{69812A96-E205-4804-AF78-AB2171D51101}"/>
    <cellStyle name="Migliaia 5 2 2 3 8 3" xfId="23663" xr:uid="{1D695CF0-DB71-4228-B835-7C31617147FF}"/>
    <cellStyle name="Migliaia 5 2 2 3 9" xfId="5097" xr:uid="{56F8E9BE-A736-418C-8ABF-F36F4511C78E}"/>
    <cellStyle name="Migliaia 5 2 2 3 9 2" xfId="20277" xr:uid="{A2C84F37-21B0-49F4-90FF-18E2C533E0C4}"/>
    <cellStyle name="Migliaia 5 2 2 4" xfId="31423" xr:uid="{2CE07A7A-A4C9-4909-B120-7A4D15BA2878}"/>
    <cellStyle name="Migliaia 5 2 2 5" xfId="631" xr:uid="{E6E11E4C-00D4-48AF-A7F7-CA4E4113082A}"/>
    <cellStyle name="Migliaia 5 2 3" xfId="282" xr:uid="{89E575DD-2E76-4035-9656-A182A3B83AB0}"/>
    <cellStyle name="Migliaia 5 2 3 10" xfId="1446" xr:uid="{F89CB113-4E19-47A4-B485-CEBEE96F4967}"/>
    <cellStyle name="Migliaia 5 2 3 10 2" xfId="2871" xr:uid="{469B03D5-E763-464C-97A0-3A129727C31A}"/>
    <cellStyle name="Migliaia 5 2 3 10 2 2" xfId="10362" xr:uid="{07FFD088-8D8F-408D-927C-B2AF6E4B9E08}"/>
    <cellStyle name="Migliaia 5 2 3 10 2 2 2" xfId="13908" xr:uid="{E17129F9-B3AB-4BAD-BDC4-094DEF549C04}"/>
    <cellStyle name="Migliaia 5 2 3 10 2 2 2 2" xfId="29085" xr:uid="{1BE18B04-F973-4F69-86CC-FACADB4F528D}"/>
    <cellStyle name="Migliaia 5 2 3 10 2 2 3" xfId="25540" xr:uid="{4A3CE700-1B5E-40CE-894A-8AC8D239687D}"/>
    <cellStyle name="Migliaia 5 2 3 10 2 3" xfId="6188" xr:uid="{E1E5BA10-8345-49D6-8532-90F0D87A7A6F}"/>
    <cellStyle name="Migliaia 5 2 3 10 2 3 2" xfId="21368" xr:uid="{9E75C9E1-CA79-4314-A03A-38F5745801F8}"/>
    <cellStyle name="Migliaia 5 2 3 10 2 4" xfId="18080" xr:uid="{6FEC3516-0CD6-4A5D-99D6-EC165ED78B2F}"/>
    <cellStyle name="Migliaia 5 2 3 10 3" xfId="3758" xr:uid="{1FC36627-713D-457B-B64A-C486AD032F9B}"/>
    <cellStyle name="Migliaia 5 2 3 10 3 2" xfId="11246" xr:uid="{5E8358C2-62B3-4AE9-B0F2-04A418A31C28}"/>
    <cellStyle name="Migliaia 5 2 3 10 3 2 2" xfId="14792" xr:uid="{E7D0F0E4-1DA8-453B-A270-F6FC12E8A2B6}"/>
    <cellStyle name="Migliaia 5 2 3 10 3 2 2 2" xfId="29969" xr:uid="{D1FFA916-6B2D-40CA-BAA1-87BC5994C3FF}"/>
    <cellStyle name="Migliaia 5 2 3 10 3 2 3" xfId="26424" xr:uid="{B19750C6-F74D-4F33-A330-E051A18231BC}"/>
    <cellStyle name="Migliaia 5 2 3 10 3 3" xfId="7072" xr:uid="{E22CC7B1-AAFC-4A92-ADD2-E24B82913DB4}"/>
    <cellStyle name="Migliaia 5 2 3 10 3 3 2" xfId="22252" xr:uid="{C35E157C-61FE-414A-9109-B7CD7AD0D2E8}"/>
    <cellStyle name="Migliaia 5 2 3 10 3 4" xfId="18964" xr:uid="{364328BE-C7BA-4395-B896-D704B72BC88B}"/>
    <cellStyle name="Migliaia 5 2 3 10 4" xfId="4676" xr:uid="{56F90A6F-04A3-4394-B6DF-AB610CD0E98C}"/>
    <cellStyle name="Migliaia 5 2 3 10 4 2" xfId="12161" xr:uid="{6C5E488C-BE6A-4A35-9B11-7E3222C1C3D1}"/>
    <cellStyle name="Migliaia 5 2 3 10 4 2 2" xfId="15707" xr:uid="{6A890CC2-BDB2-4609-8AC1-B49154B2B9AF}"/>
    <cellStyle name="Migliaia 5 2 3 10 4 2 2 2" xfId="30884" xr:uid="{9D711C29-D56B-47D7-BE94-EFE1B08AE63C}"/>
    <cellStyle name="Migliaia 5 2 3 10 4 2 3" xfId="27339" xr:uid="{5B818E0F-69C3-4856-8B90-48634C40B939}"/>
    <cellStyle name="Migliaia 5 2 3 10 4 3" xfId="7987" xr:uid="{D9AECE0F-99C9-4DDC-B336-9C1A6C8FBA25}"/>
    <cellStyle name="Migliaia 5 2 3 10 4 3 2" xfId="23167" xr:uid="{C969688F-3CA4-48C5-95CE-F828D4409288}"/>
    <cellStyle name="Migliaia 5 2 3 10 4 4" xfId="19879" xr:uid="{632C6358-C293-4860-819E-B74098A65FD3}"/>
    <cellStyle name="Migliaia 5 2 3 10 5" xfId="1981" xr:uid="{4FB1E6C9-E20A-41CB-8DA0-04CC6724CCA4}"/>
    <cellStyle name="Migliaia 5 2 3 10 5 2" xfId="9478" xr:uid="{A5E5881A-C6C0-4768-BC58-BF31B2620715}"/>
    <cellStyle name="Migliaia 5 2 3 10 5 2 2" xfId="24656" xr:uid="{F807D77E-BEBA-40F4-8CA4-F24D3B3F5E7E}"/>
    <cellStyle name="Migliaia 5 2 3 10 5 3" xfId="17196" xr:uid="{C72630CE-8B00-4DDC-A815-F470F20D82AB}"/>
    <cellStyle name="Migliaia 5 2 3 10 6" xfId="8964" xr:uid="{C77A9348-3303-4AD4-8F2D-DAE452F1DF55}"/>
    <cellStyle name="Migliaia 5 2 3 10 6 2" xfId="13137" xr:uid="{293816D9-4921-4C02-897C-DBAFFC687FF6}"/>
    <cellStyle name="Migliaia 5 2 3 10 6 2 2" xfId="28314" xr:uid="{90A7C567-6088-466D-B2D0-BDC2E893E144}"/>
    <cellStyle name="Migliaia 5 2 3 10 6 3" xfId="24142" xr:uid="{75237EC1-C5D4-4165-9D43-40AAC104F1C4}"/>
    <cellStyle name="Migliaia 5 2 3 10 7" xfId="5304" xr:uid="{0BAA7B4F-DAD1-4759-8791-1180755FE1D4}"/>
    <cellStyle name="Migliaia 5 2 3 10 7 2" xfId="20484" xr:uid="{36E8EDE1-7009-4A32-9F98-CE4CC5A43821}"/>
    <cellStyle name="Migliaia 5 2 3 10 8" xfId="16682" xr:uid="{4842BF70-4D8A-4F7C-A07A-9236B1796745}"/>
    <cellStyle name="Migliaia 5 2 3 11" xfId="1549" xr:uid="{13F833A2-EF61-4F43-BF3B-AE358CE052C3}"/>
    <cellStyle name="Migliaia 5 2 3 11 2" xfId="2969" xr:uid="{96763D8C-9FFD-481D-8854-77537461B203}"/>
    <cellStyle name="Migliaia 5 2 3 11 2 2" xfId="10460" xr:uid="{D3130E5D-FFA1-4DEF-8F8D-655F9B99E5FB}"/>
    <cellStyle name="Migliaia 5 2 3 11 2 2 2" xfId="14006" xr:uid="{B76F4E27-6E39-4BE0-9F73-BE427EF56134}"/>
    <cellStyle name="Migliaia 5 2 3 11 2 2 2 2" xfId="29183" xr:uid="{30977CAF-66D0-4C09-BF60-C006F59B3FD1}"/>
    <cellStyle name="Migliaia 5 2 3 11 2 2 3" xfId="25638" xr:uid="{57A635D2-5504-4F7F-AA4F-D055E7924CCE}"/>
    <cellStyle name="Migliaia 5 2 3 11 2 3" xfId="6286" xr:uid="{AD3471C6-CC7B-4A4D-A59E-2F41B1ED6912}"/>
    <cellStyle name="Migliaia 5 2 3 11 2 3 2" xfId="21466" xr:uid="{515203F0-9EA2-4971-B090-3B51B2F1E682}"/>
    <cellStyle name="Migliaia 5 2 3 11 2 4" xfId="18178" xr:uid="{90776BCB-7433-426E-88E8-8DD0723EFD4D}"/>
    <cellStyle name="Migliaia 5 2 3 11 3" xfId="3856" xr:uid="{8C11E417-A944-48BD-AD5F-EB7A583E8601}"/>
    <cellStyle name="Migliaia 5 2 3 11 3 2" xfId="11344" xr:uid="{4F38F255-8989-41E4-8214-AAD4F44594C2}"/>
    <cellStyle name="Migliaia 5 2 3 11 3 2 2" xfId="14890" xr:uid="{F52C62A2-690C-4D33-8F24-3A460AF08C0E}"/>
    <cellStyle name="Migliaia 5 2 3 11 3 2 2 2" xfId="30067" xr:uid="{EC5792B6-2F5F-4D9A-8823-9FC29B48641A}"/>
    <cellStyle name="Migliaia 5 2 3 11 3 2 3" xfId="26522" xr:uid="{D66B0E35-31BA-42E0-95AF-332E691AED1C}"/>
    <cellStyle name="Migliaia 5 2 3 11 3 3" xfId="7170" xr:uid="{FE451C3F-AAA5-4127-836C-3094EC44BBD5}"/>
    <cellStyle name="Migliaia 5 2 3 11 3 3 2" xfId="22350" xr:uid="{2CEEF21E-DB13-4C07-8C31-E53296171035}"/>
    <cellStyle name="Migliaia 5 2 3 11 3 4" xfId="19062" xr:uid="{532CFA5C-8781-44E9-BBEA-D48A300B13FA}"/>
    <cellStyle name="Migliaia 5 2 3 11 4" xfId="4677" xr:uid="{664C7B79-F0FB-47FC-9CE8-DFEDC55AFD9F}"/>
    <cellStyle name="Migliaia 5 2 3 11 4 2" xfId="12162" xr:uid="{5D30D6E1-A0B0-4A7D-AAAB-8588BC73857C}"/>
    <cellStyle name="Migliaia 5 2 3 11 4 2 2" xfId="15708" xr:uid="{409A7A5C-FEF4-40EC-BC33-F2F905E4DF26}"/>
    <cellStyle name="Migliaia 5 2 3 11 4 2 2 2" xfId="30885" xr:uid="{4C081E75-C8C5-4093-8C26-ACFC8246448D}"/>
    <cellStyle name="Migliaia 5 2 3 11 4 2 3" xfId="27340" xr:uid="{A7384674-0AEF-4B87-B269-88615C52D6AB}"/>
    <cellStyle name="Migliaia 5 2 3 11 4 3" xfId="7988" xr:uid="{3DF69E9D-76D4-4A1E-AD56-4773317BBE1C}"/>
    <cellStyle name="Migliaia 5 2 3 11 4 3 2" xfId="23168" xr:uid="{E5F07CE3-7305-4663-A900-094AD6B464F7}"/>
    <cellStyle name="Migliaia 5 2 3 11 4 4" xfId="19880" xr:uid="{477A44F3-DE1C-43D9-A66F-5E9C2000522D}"/>
    <cellStyle name="Migliaia 5 2 3 11 5" xfId="2079" xr:uid="{4EC1DA23-C57C-4AE5-8FFF-6369A5D6A0BF}"/>
    <cellStyle name="Migliaia 5 2 3 11 5 2" xfId="9576" xr:uid="{B1CEDA6E-DC95-43A2-9E3C-7CBB439AFE44}"/>
    <cellStyle name="Migliaia 5 2 3 11 5 2 2" xfId="24754" xr:uid="{291BD1ED-51E6-4F69-9A0D-667A31D6D33F}"/>
    <cellStyle name="Migliaia 5 2 3 11 5 3" xfId="17294" xr:uid="{CD42B960-0D3A-4F5D-8D84-A883FA14467D}"/>
    <cellStyle name="Migliaia 5 2 3 11 6" xfId="9062" xr:uid="{360F7524-14A0-4A7C-B6B8-053AD8A6DCF8}"/>
    <cellStyle name="Migliaia 5 2 3 11 6 2" xfId="13235" xr:uid="{F0C75176-BA18-4EBE-BFB6-67918F17EE9C}"/>
    <cellStyle name="Migliaia 5 2 3 11 6 2 2" xfId="28412" xr:uid="{D2A08467-256A-49D3-AC51-0F5F5AFEF763}"/>
    <cellStyle name="Migliaia 5 2 3 11 6 3" xfId="24240" xr:uid="{A4D32BB4-12A5-4AF9-ACB7-CD7EF906F133}"/>
    <cellStyle name="Migliaia 5 2 3 11 7" xfId="5402" xr:uid="{03FA46C6-F7CE-4571-89FA-E5206A99EC91}"/>
    <cellStyle name="Migliaia 5 2 3 11 7 2" xfId="20582" xr:uid="{F707B035-C2B1-4364-BDE5-7858F09801CA}"/>
    <cellStyle name="Migliaia 5 2 3 11 8" xfId="16780" xr:uid="{FD1874DE-724E-4001-A252-E3B49B3B69FD}"/>
    <cellStyle name="Migliaia 5 2 3 12" xfId="1648" xr:uid="{8B525DA0-256F-4EFC-A189-497C533EFC13}"/>
    <cellStyle name="Migliaia 5 2 3 12 2" xfId="3067" xr:uid="{B707F147-565C-4226-9520-990B4662ED26}"/>
    <cellStyle name="Migliaia 5 2 3 12 2 2" xfId="10558" xr:uid="{E761002F-21C6-444F-BBB5-F67E7A28DE5F}"/>
    <cellStyle name="Migliaia 5 2 3 12 2 2 2" xfId="14104" xr:uid="{567D61F3-EA54-44A9-AFC5-6B9EE4B1BD8D}"/>
    <cellStyle name="Migliaia 5 2 3 12 2 2 2 2" xfId="29281" xr:uid="{567F1262-EBB2-4C3B-BECD-E22C901BBD11}"/>
    <cellStyle name="Migliaia 5 2 3 12 2 2 3" xfId="25736" xr:uid="{EEE37DD0-9D92-4C70-B199-B0FA889EBE99}"/>
    <cellStyle name="Migliaia 5 2 3 12 2 3" xfId="6384" xr:uid="{2709367A-4ACD-4922-8BB1-2203BB5AAB0C}"/>
    <cellStyle name="Migliaia 5 2 3 12 2 3 2" xfId="21564" xr:uid="{0D1194B9-AC18-4EBB-BEC3-BDDC93713C32}"/>
    <cellStyle name="Migliaia 5 2 3 12 2 4" xfId="18276" xr:uid="{448CA470-15E2-446E-B08E-B1090AFFB1AC}"/>
    <cellStyle name="Migliaia 5 2 3 12 3" xfId="3954" xr:uid="{ACDD4CEE-EB01-4BBF-B139-913165E78C51}"/>
    <cellStyle name="Migliaia 5 2 3 12 3 2" xfId="11442" xr:uid="{2C3006AB-565F-4916-BE08-BCF99B381788}"/>
    <cellStyle name="Migliaia 5 2 3 12 3 2 2" xfId="14988" xr:uid="{5ED88C3F-CA1E-49F8-A236-B1786129EC7B}"/>
    <cellStyle name="Migliaia 5 2 3 12 3 2 2 2" xfId="30165" xr:uid="{BA2FBF71-82A8-46F7-BA81-A8AA3B11F8C2}"/>
    <cellStyle name="Migliaia 5 2 3 12 3 2 3" xfId="26620" xr:uid="{6293790F-C91D-4FE9-B477-A37BDE3366C1}"/>
    <cellStyle name="Migliaia 5 2 3 12 3 3" xfId="7268" xr:uid="{18B8327A-EB3E-435A-9531-E37ABF484A21}"/>
    <cellStyle name="Migliaia 5 2 3 12 3 3 2" xfId="22448" xr:uid="{2A6CB082-9634-416B-93A6-5B1C2304FF2B}"/>
    <cellStyle name="Migliaia 5 2 3 12 3 4" xfId="19160" xr:uid="{8FD4C683-8D37-4EA4-9D02-FAE3EDED4BAA}"/>
    <cellStyle name="Migliaia 5 2 3 12 4" xfId="4678" xr:uid="{41B4BE4D-286A-4A05-8A8C-2906082B3762}"/>
    <cellStyle name="Migliaia 5 2 3 12 4 2" xfId="12163" xr:uid="{93DB9BF0-346F-42F6-9CDF-E4FB6E89CF42}"/>
    <cellStyle name="Migliaia 5 2 3 12 4 2 2" xfId="15709" xr:uid="{83DBF074-CCB6-498E-94E7-D3B81F0C6E32}"/>
    <cellStyle name="Migliaia 5 2 3 12 4 2 2 2" xfId="30886" xr:uid="{A3BE557D-4AED-4D7E-AABC-1110DEF1E81B}"/>
    <cellStyle name="Migliaia 5 2 3 12 4 2 3" xfId="27341" xr:uid="{D015A181-28B4-40F6-9AA3-830B8FF3D23A}"/>
    <cellStyle name="Migliaia 5 2 3 12 4 3" xfId="7989" xr:uid="{10F27D77-D4BA-4C1A-8D33-AAF3D70E1951}"/>
    <cellStyle name="Migliaia 5 2 3 12 4 3 2" xfId="23169" xr:uid="{11FA34D1-25D6-427B-B167-397EB015EA8C}"/>
    <cellStyle name="Migliaia 5 2 3 12 4 4" xfId="19881" xr:uid="{69459D9E-F49E-4621-AA65-4163CE48C4F2}"/>
    <cellStyle name="Migliaia 5 2 3 12 5" xfId="2177" xr:uid="{70A73E52-30E1-4A77-A38D-0CD5DDFE4C6F}"/>
    <cellStyle name="Migliaia 5 2 3 12 5 2" xfId="9674" xr:uid="{CC7CE465-42C7-4BA0-A66E-33B7E0CE455F}"/>
    <cellStyle name="Migliaia 5 2 3 12 5 2 2" xfId="24852" xr:uid="{8C5D8906-D84F-4DAE-A20C-542DBFB53933}"/>
    <cellStyle name="Migliaia 5 2 3 12 5 3" xfId="17392" xr:uid="{4B7431C8-A447-4E92-8A1D-04C18504DE8C}"/>
    <cellStyle name="Migliaia 5 2 3 12 6" xfId="9160" xr:uid="{3B19B2E8-95F8-4BD8-9AE0-2249E49669F2}"/>
    <cellStyle name="Migliaia 5 2 3 12 6 2" xfId="13333" xr:uid="{FA03B197-5017-4313-8E1F-8DD11D5C206B}"/>
    <cellStyle name="Migliaia 5 2 3 12 6 2 2" xfId="28510" xr:uid="{35BB03D9-200B-439D-985E-A2F6182E8B84}"/>
    <cellStyle name="Migliaia 5 2 3 12 6 3" xfId="24338" xr:uid="{EFEE2454-8367-4327-9C5E-0111D110E84B}"/>
    <cellStyle name="Migliaia 5 2 3 12 7" xfId="5500" xr:uid="{3CD7F5E5-831B-43BC-9830-224E2644F7D0}"/>
    <cellStyle name="Migliaia 5 2 3 12 7 2" xfId="20680" xr:uid="{1EEC90EC-4E94-49B6-BCCC-C5EFB23A95CB}"/>
    <cellStyle name="Migliaia 5 2 3 12 8" xfId="16878" xr:uid="{708BBF7E-58CF-4668-A102-DD234F40F112}"/>
    <cellStyle name="Migliaia 5 2 3 13" xfId="2277" xr:uid="{262DB8A2-C52A-4653-82CE-E14EE7686332}"/>
    <cellStyle name="Migliaia 5 2 3 13 2" xfId="9772" xr:uid="{88A2A14D-32BA-4A7C-A911-0DA7C986FFB3}"/>
    <cellStyle name="Migliaia 5 2 3 13 2 2" xfId="13431" xr:uid="{3B8D7925-0AAC-46B1-B58E-6976E7D947FC}"/>
    <cellStyle name="Migliaia 5 2 3 13 2 2 2" xfId="28608" xr:uid="{F3D4F22C-8C85-451E-B95F-72188B68B974}"/>
    <cellStyle name="Migliaia 5 2 3 13 2 3" xfId="24950" xr:uid="{36730813-50DF-4049-83E5-8EB212D65247}"/>
    <cellStyle name="Migliaia 5 2 3 13 3" xfId="5598" xr:uid="{7626E897-ABE9-4421-983E-FBD08E909416}"/>
    <cellStyle name="Migliaia 5 2 3 13 3 2" xfId="20778" xr:uid="{885D100E-9957-4AD1-954F-281C5CBD7673}"/>
    <cellStyle name="Migliaia 5 2 3 13 4" xfId="17490" xr:uid="{9D34BD38-16C5-4093-90DB-788DE6F65EF7}"/>
    <cellStyle name="Migliaia 5 2 3 14" xfId="3167" xr:uid="{6F035ED8-3CC6-42B8-8D76-5BB41905DA15}"/>
    <cellStyle name="Migliaia 5 2 3 14 2" xfId="10656" xr:uid="{E45B1176-9354-47AA-AC38-F9E174E70B47}"/>
    <cellStyle name="Migliaia 5 2 3 14 2 2" xfId="14202" xr:uid="{CD380B70-5806-4A56-BF99-EACF00096297}"/>
    <cellStyle name="Migliaia 5 2 3 14 2 2 2" xfId="29379" xr:uid="{A2C82222-C160-4644-94B0-4FD79A7FCA71}"/>
    <cellStyle name="Migliaia 5 2 3 14 2 3" xfId="25834" xr:uid="{E4F8B469-E5D8-4CCD-9278-FE2377E32CFD}"/>
    <cellStyle name="Migliaia 5 2 3 14 3" xfId="6482" xr:uid="{895AC083-E723-4971-8039-A11ED521A4E6}"/>
    <cellStyle name="Migliaia 5 2 3 14 3 2" xfId="21662" xr:uid="{2A79F2F3-9FE7-448E-9F32-B7BEC1F55BB7}"/>
    <cellStyle name="Migliaia 5 2 3 14 4" xfId="18374" xr:uid="{5D9871FE-9EF7-424B-950D-069F6ACE519E}"/>
    <cellStyle name="Migliaia 5 2 3 15" xfId="4679" xr:uid="{89C6C6B3-F95F-4563-B241-8585D0C54A24}"/>
    <cellStyle name="Migliaia 5 2 3 15 2" xfId="12164" xr:uid="{038C8D2C-EF6D-479C-9844-2A00E682BAB3}"/>
    <cellStyle name="Migliaia 5 2 3 15 2 2" xfId="15710" xr:uid="{C35A4533-6EB9-4F95-A24F-FF12E869B1A7}"/>
    <cellStyle name="Migliaia 5 2 3 15 2 2 2" xfId="30887" xr:uid="{15149851-DF1B-489F-8104-7AC21129AF4A}"/>
    <cellStyle name="Migliaia 5 2 3 15 2 3" xfId="27342" xr:uid="{36DBA2B4-1353-4AA4-8DB4-A775718892EE}"/>
    <cellStyle name="Migliaia 5 2 3 15 3" xfId="7990" xr:uid="{A712A759-3448-4265-968A-E261399A7CC6}"/>
    <cellStyle name="Migliaia 5 2 3 15 3 2" xfId="23170" xr:uid="{38359B78-2AF2-4273-A775-10C18FAF850D}"/>
    <cellStyle name="Migliaia 5 2 3 15 4" xfId="19882" xr:uid="{106DFF33-EB58-4A04-A4DD-900F5D45562D}"/>
    <cellStyle name="Migliaia 5 2 3 16" xfId="8373" xr:uid="{FDEF17FF-B51F-433F-A3F7-7CFADCEEFB32}"/>
    <cellStyle name="Migliaia 5 2 3 16 2" xfId="12547" xr:uid="{E39F254A-CEC0-4182-A123-614D7B414A16}"/>
    <cellStyle name="Migliaia 5 2 3 16 2 2" xfId="27724" xr:uid="{7DFFF452-C740-481F-889D-925567ED0190}"/>
    <cellStyle name="Migliaia 5 2 3 16 3" xfId="23552" xr:uid="{60A22297-27B5-475A-A054-1047549B01D7}"/>
    <cellStyle name="Migliaia 5 2 3 17" xfId="16092" xr:uid="{627CDC48-820F-4CDD-A8E0-41C238C27E7C}"/>
    <cellStyle name="Migliaia 5 2 3 18" xfId="31434" xr:uid="{1BFAFD84-8623-4713-A7F8-799EDE0565F0}"/>
    <cellStyle name="Migliaia 5 2 3 19" xfId="694" xr:uid="{A9D1879F-5B8A-4B41-9888-75509F9542B6}"/>
    <cellStyle name="Migliaia 5 2 3 2" xfId="567" xr:uid="{0FC9ED69-D500-4445-89EE-282BD45A623E}"/>
    <cellStyle name="Migliaia 5 2 3 2 10" xfId="2302" xr:uid="{25E2457F-2DB2-46A0-A4BB-E1A52E62F7A3}"/>
    <cellStyle name="Migliaia 5 2 3 2 10 2" xfId="9797" xr:uid="{4C285D64-101F-443D-9EEC-FBAE4B30EB75}"/>
    <cellStyle name="Migliaia 5 2 3 2 10 2 2" xfId="13456" xr:uid="{3B9FFC58-ACA4-4C0B-857E-FE395A49FF51}"/>
    <cellStyle name="Migliaia 5 2 3 2 10 2 2 2" xfId="28633" xr:uid="{646FFC69-7721-49B3-8552-B85BA0879C33}"/>
    <cellStyle name="Migliaia 5 2 3 2 10 2 3" xfId="24975" xr:uid="{0331DEB9-8550-40B2-9582-B14CA917BEB4}"/>
    <cellStyle name="Migliaia 5 2 3 2 10 3" xfId="5623" xr:uid="{07979A0F-2403-4F33-BFFB-033ADAB4D203}"/>
    <cellStyle name="Migliaia 5 2 3 2 10 3 2" xfId="20803" xr:uid="{D8A5CEC4-C16A-4BFC-ADFE-93BCF7971EA0}"/>
    <cellStyle name="Migliaia 5 2 3 2 10 4" xfId="17515" xr:uid="{01373F6C-FAD9-4504-828C-DB86A69F5888}"/>
    <cellStyle name="Migliaia 5 2 3 2 11" xfId="3192" xr:uid="{B4890B10-197E-4FD6-8101-EE8B56467DB9}"/>
    <cellStyle name="Migliaia 5 2 3 2 11 2" xfId="10681" xr:uid="{05A88824-5693-4DBC-870F-20A28D93A7E7}"/>
    <cellStyle name="Migliaia 5 2 3 2 11 2 2" xfId="14227" xr:uid="{F72A1F22-2B09-4A34-B441-D53890A2503C}"/>
    <cellStyle name="Migliaia 5 2 3 2 11 2 2 2" xfId="29404" xr:uid="{53DF4E63-E51F-4A1D-B9F4-5E8532161854}"/>
    <cellStyle name="Migliaia 5 2 3 2 11 2 3" xfId="25859" xr:uid="{9EB5467D-9ADA-45B6-B436-694221280B47}"/>
    <cellStyle name="Migliaia 5 2 3 2 11 3" xfId="6507" xr:uid="{247EF2D5-6419-4DC9-9ABF-2B5B4D2906A7}"/>
    <cellStyle name="Migliaia 5 2 3 2 11 3 2" xfId="21687" xr:uid="{1E3BE5E3-0A25-4071-9268-4FB72B224F24}"/>
    <cellStyle name="Migliaia 5 2 3 2 11 4" xfId="18399" xr:uid="{CB275E43-8513-448B-83FB-B37C31C362E2}"/>
    <cellStyle name="Migliaia 5 2 3 2 12" xfId="4680" xr:uid="{E912702F-3861-4307-BAC4-A921C2A73CA8}"/>
    <cellStyle name="Migliaia 5 2 3 2 12 2" xfId="12165" xr:uid="{43A90EAB-A941-4556-AD47-AFFFEF0113F8}"/>
    <cellStyle name="Migliaia 5 2 3 2 12 2 2" xfId="15711" xr:uid="{FD2665A6-4721-422F-B80C-2D6C41F5A746}"/>
    <cellStyle name="Migliaia 5 2 3 2 12 2 2 2" xfId="30888" xr:uid="{0A26FD67-0B5B-467B-8F81-C6C88B98ECE9}"/>
    <cellStyle name="Migliaia 5 2 3 2 12 2 3" xfId="27343" xr:uid="{AC4FFB53-FAE9-4802-8E11-33CF6EAAA34F}"/>
    <cellStyle name="Migliaia 5 2 3 2 12 3" xfId="7991" xr:uid="{C99B0B06-C00C-4B13-8945-9A57198804A8}"/>
    <cellStyle name="Migliaia 5 2 3 2 12 3 2" xfId="23171" xr:uid="{B9EFBE9C-79E2-4AF1-9105-DC04FC19BF40}"/>
    <cellStyle name="Migliaia 5 2 3 2 12 4" xfId="19883" xr:uid="{5C18FC9E-B2DC-4EEF-9537-01B0D866ABC3}"/>
    <cellStyle name="Migliaia 5 2 3 2 13" xfId="8398" xr:uid="{11132A57-B5DA-4E7E-B894-EC532B38BB25}"/>
    <cellStyle name="Migliaia 5 2 3 2 13 2" xfId="12572" xr:uid="{F64A2EAA-D51E-4D70-9D51-25B7CD5EE869}"/>
    <cellStyle name="Migliaia 5 2 3 2 13 2 2" xfId="27749" xr:uid="{316F73FA-5D45-45DA-806E-C1D59DD32827}"/>
    <cellStyle name="Migliaia 5 2 3 2 13 3" xfId="23577" xr:uid="{60BEB740-C6F2-462B-A039-15805F2913D6}"/>
    <cellStyle name="Migliaia 5 2 3 2 14" xfId="16117" xr:uid="{B751F925-7A9A-436A-A19D-EA1D49EA2576}"/>
    <cellStyle name="Migliaia 5 2 3 2 15" xfId="31459" xr:uid="{64E4548B-CF56-4178-A92E-0F669D5A6CB1}"/>
    <cellStyle name="Migliaia 5 2 3 2 16" xfId="729" xr:uid="{CBF86D73-846D-4D90-8F35-439E8D58CE91}"/>
    <cellStyle name="Migliaia 5 2 3 2 2" xfId="781" xr:uid="{8AD92976-5A3E-40E5-B089-2F4728A9A5EE}"/>
    <cellStyle name="Migliaia 5 2 3 2 2 10" xfId="8447" xr:uid="{59A57606-FA8D-40FF-804A-35DEE534AA03}"/>
    <cellStyle name="Migliaia 5 2 3 2 2 10 2" xfId="12621" xr:uid="{8780D56C-E16E-4D2E-ADF5-DB746A5D4DEA}"/>
    <cellStyle name="Migliaia 5 2 3 2 2 10 2 2" xfId="27798" xr:uid="{38E1113B-FB38-40C5-9A94-C729E72C0734}"/>
    <cellStyle name="Migliaia 5 2 3 2 2 10 3" xfId="23626" xr:uid="{9084090D-80FE-4601-AFA2-C80C908768BC}"/>
    <cellStyle name="Migliaia 5 2 3 2 2 11" xfId="16166" xr:uid="{03A2BF4D-CE06-4F02-AC01-A342F59E8471}"/>
    <cellStyle name="Migliaia 5 2 3 2 2 12" xfId="31508" xr:uid="{21C63615-0074-4510-B6D9-CE048229895D}"/>
    <cellStyle name="Migliaia 5 2 3 2 2 2" xfId="958" xr:uid="{F9437481-1C98-4D1F-BE5F-DDDA4F174E51}"/>
    <cellStyle name="Migliaia 5 2 3 2 2 2 10" xfId="16288" xr:uid="{B0876613-7930-49B5-8F3D-4AB9F3290E2B}"/>
    <cellStyle name="Migliaia 5 2 3 2 2 2 11" xfId="31378" xr:uid="{60C775E0-734D-4538-B530-0B6923B9C3F2}"/>
    <cellStyle name="Migliaia 5 2 3 2 2 2 12" xfId="31728" xr:uid="{C572DBE1-74B7-437C-9334-2D9DBB8C9B35}"/>
    <cellStyle name="Migliaia 5 2 3 2 2 2 2" xfId="1319" xr:uid="{C96C8E8F-C067-4BE3-968A-27D01D1A70EE}"/>
    <cellStyle name="Migliaia 5 2 3 2 2 2 2 2" xfId="3636" xr:uid="{F9DF7B0C-C362-4451-8191-C7BB62E5BEDB}"/>
    <cellStyle name="Migliaia 5 2 3 2 2 2 2 2 2" xfId="11124" xr:uid="{3947A1A7-D03A-4B62-8E66-587761BB69F1}"/>
    <cellStyle name="Migliaia 5 2 3 2 2 2 2 2 2 2" xfId="14670" xr:uid="{87CE1C23-D086-4426-B244-BEF54AB7FC99}"/>
    <cellStyle name="Migliaia 5 2 3 2 2 2 2 2 2 2 2" xfId="29847" xr:uid="{7D0EE19B-DF82-425C-91AA-C084F1C0F878}"/>
    <cellStyle name="Migliaia 5 2 3 2 2 2 2 2 2 3" xfId="26302" xr:uid="{55AB553D-FBC9-45DA-85D6-DA5CB81480C1}"/>
    <cellStyle name="Migliaia 5 2 3 2 2 2 2 2 3" xfId="6950" xr:uid="{B51DE387-4295-4457-9692-C4DAF0BCDC6C}"/>
    <cellStyle name="Migliaia 5 2 3 2 2 2 2 2 3 2" xfId="22130" xr:uid="{CF5D541B-C54C-4F03-A546-E3926D214472}"/>
    <cellStyle name="Migliaia 5 2 3 2 2 2 2 2 4" xfId="18842" xr:uid="{C82A9DDA-EAD3-4F84-9DFE-2BFC55B6B2D8}"/>
    <cellStyle name="Migliaia 5 2 3 2 2 2 2 3" xfId="4681" xr:uid="{9E2B46B7-FBAC-4F52-86A7-55F61500CBEA}"/>
    <cellStyle name="Migliaia 5 2 3 2 2 2 2 3 2" xfId="12166" xr:uid="{6E123A7C-8BA6-4001-BA9D-9B1AB2E846DB}"/>
    <cellStyle name="Migliaia 5 2 3 2 2 2 2 3 2 2" xfId="15712" xr:uid="{FEEBB0BB-AE0A-4EC5-89E5-B9E98DFA5B2B}"/>
    <cellStyle name="Migliaia 5 2 3 2 2 2 2 3 2 2 2" xfId="30889" xr:uid="{F54C7F5F-0FEE-487D-8F3C-998E7A43A6D1}"/>
    <cellStyle name="Migliaia 5 2 3 2 2 2 2 3 2 3" xfId="27344" xr:uid="{FEF9137C-0303-4673-9894-8065B8EA2A6D}"/>
    <cellStyle name="Migliaia 5 2 3 2 2 2 2 3 3" xfId="7992" xr:uid="{1D862980-D0D8-49FF-A59B-F7EB95535F6A}"/>
    <cellStyle name="Migliaia 5 2 3 2 2 2 2 3 3 2" xfId="23172" xr:uid="{D79881FB-7104-4FE6-B6F9-1785F6EF7700}"/>
    <cellStyle name="Migliaia 5 2 3 2 2 2 2 3 4" xfId="19884" xr:uid="{132FE175-0C09-460C-B6EF-31369ABBF583}"/>
    <cellStyle name="Migliaia 5 2 3 2 2 2 2 4" xfId="2749" xr:uid="{31E97EE7-E813-4A68-B5F5-6A7AA7D89A78}"/>
    <cellStyle name="Migliaia 5 2 3 2 2 2 2 4 2" xfId="10240" xr:uid="{EE54FD74-6E62-4C50-9E83-202D27BFF7A7}"/>
    <cellStyle name="Migliaia 5 2 3 2 2 2 2 4 2 2" xfId="25418" xr:uid="{BB221108-8E63-4997-A275-237AE4CFD5B8}"/>
    <cellStyle name="Migliaia 5 2 3 2 2 2 2 4 3" xfId="17958" xr:uid="{F72F3BE2-B53F-456A-98A1-4B56EC779531}"/>
    <cellStyle name="Migliaia 5 2 3 2 2 2 2 5" xfId="8842" xr:uid="{0E8D4D76-1480-4223-9C5A-35B9DDE602A8}"/>
    <cellStyle name="Migliaia 5 2 3 2 2 2 2 5 2" xfId="13015" xr:uid="{3C0F7654-F0E3-4FAA-909C-411B562922D2}"/>
    <cellStyle name="Migliaia 5 2 3 2 2 2 2 5 2 2" xfId="28192" xr:uid="{7040C492-F909-443D-AAA7-4A2B88A49D99}"/>
    <cellStyle name="Migliaia 5 2 3 2 2 2 2 5 3" xfId="24020" xr:uid="{8CADA83C-10AA-4BC9-AA5D-6AAB383679D7}"/>
    <cellStyle name="Migliaia 5 2 3 2 2 2 2 6" xfId="6066" xr:uid="{FE05D771-52D2-4443-9E3D-634A64AAEF1E}"/>
    <cellStyle name="Migliaia 5 2 3 2 2 2 2 6 2" xfId="21246" xr:uid="{3A49C879-D95A-4F3F-A9F0-E931A8BC3FDE}"/>
    <cellStyle name="Migliaia 5 2 3 2 2 2 2 7" xfId="16560" xr:uid="{213BEBAD-4FBD-4A6D-A5FA-C03A2B9309EF}"/>
    <cellStyle name="Migliaia 5 2 3 2 2 2 3" xfId="2476" xr:uid="{4D61CC26-7E5C-4844-A9D3-7982379E34A4}"/>
    <cellStyle name="Migliaia 5 2 3 2 2 2 3 2" xfId="9968" xr:uid="{54BF794A-D6A2-48FE-A9DB-410C4DF38CF7}"/>
    <cellStyle name="Migliaia 5 2 3 2 2 2 3 2 2" xfId="13627" xr:uid="{0EDAAC33-EB1A-48DD-B184-A11857B0F66B}"/>
    <cellStyle name="Migliaia 5 2 3 2 2 2 3 2 2 2" xfId="28804" xr:uid="{2CE9A6E0-BA54-4CCE-B0FC-0C82BC466B0E}"/>
    <cellStyle name="Migliaia 5 2 3 2 2 2 3 2 3" xfId="25146" xr:uid="{126E38E4-7547-4EC1-BADB-0EA6C0A47D97}"/>
    <cellStyle name="Migliaia 5 2 3 2 2 2 3 3" xfId="5794" xr:uid="{6210713B-90DA-4029-89C5-DC78737E5BE8}"/>
    <cellStyle name="Migliaia 5 2 3 2 2 2 3 3 2" xfId="20974" xr:uid="{9A2EE65E-7F6D-42CD-8028-A4F67730552B}"/>
    <cellStyle name="Migliaia 5 2 3 2 2 2 3 4" xfId="17686" xr:uid="{FCDE34B9-5F15-4A25-AFA8-88F42E146EF7}"/>
    <cellStyle name="Migliaia 5 2 3 2 2 2 4" xfId="3364" xr:uid="{92E0B898-0E02-4442-842B-85563B44C255}"/>
    <cellStyle name="Migliaia 5 2 3 2 2 2 4 2" xfId="10852" xr:uid="{132D3B58-0E70-4821-A367-099BE12DD592}"/>
    <cellStyle name="Migliaia 5 2 3 2 2 2 4 2 2" xfId="14398" xr:uid="{17FFA872-2BF8-48BE-9661-962C975D5004}"/>
    <cellStyle name="Migliaia 5 2 3 2 2 2 4 2 2 2" xfId="29575" xr:uid="{58E7A5B6-2C90-4C86-BBC9-BB71E331D457}"/>
    <cellStyle name="Migliaia 5 2 3 2 2 2 4 2 3" xfId="26030" xr:uid="{3DFAF2C2-4112-4773-9522-4C7503FF0BB1}"/>
    <cellStyle name="Migliaia 5 2 3 2 2 2 4 3" xfId="6678" xr:uid="{9E4918E0-EFBF-446A-A6E0-7B75CDA927A2}"/>
    <cellStyle name="Migliaia 5 2 3 2 2 2 4 3 2" xfId="21858" xr:uid="{77BA9B10-0C7C-4518-8D5E-C651BB6DC797}"/>
    <cellStyle name="Migliaia 5 2 3 2 2 2 4 4" xfId="18570" xr:uid="{891AE8B7-CC6E-4E3D-B348-1EF4C142EDA6}"/>
    <cellStyle name="Migliaia 5 2 3 2 2 2 5" xfId="4682" xr:uid="{B2E6AA39-4851-4DE0-A561-D7E89E612C48}"/>
    <cellStyle name="Migliaia 5 2 3 2 2 2 5 2" xfId="12167" xr:uid="{4964B402-0557-4E34-83C2-0957A65EFBD7}"/>
    <cellStyle name="Migliaia 5 2 3 2 2 2 5 2 2" xfId="15713" xr:uid="{F99EFF59-BC21-44B2-A027-D2A24ED0ADDA}"/>
    <cellStyle name="Migliaia 5 2 3 2 2 2 5 2 2 2" xfId="30890" xr:uid="{1E99FAA2-A080-42E7-9225-C9643CAB883D}"/>
    <cellStyle name="Migliaia 5 2 3 2 2 2 5 2 3" xfId="27345" xr:uid="{ADA96732-1081-49BE-ABF4-7EDC2135A5EB}"/>
    <cellStyle name="Migliaia 5 2 3 2 2 2 5 3" xfId="7993" xr:uid="{4A130040-38F0-4DDC-A3CA-4E2AF88FD1A2}"/>
    <cellStyle name="Migliaia 5 2 3 2 2 2 5 3 2" xfId="23173" xr:uid="{82B24B82-66B0-46B4-9D8E-47771D95A2ED}"/>
    <cellStyle name="Migliaia 5 2 3 2 2 2 5 4" xfId="19885" xr:uid="{52849DA4-36FE-4C0F-9F98-74730B4CBF83}"/>
    <cellStyle name="Migliaia 5 2 3 2 2 2 6" xfId="5038" xr:uid="{9CDF3C0D-F5BF-44FA-BC8F-248BEEE5F77C}"/>
    <cellStyle name="Migliaia 5 2 3 2 2 2 6 2" xfId="12522" xr:uid="{D11691FA-F3F0-4F5D-A9FD-AE4298590BDB}"/>
    <cellStyle name="Migliaia 5 2 3 2 2 2 6 2 2" xfId="16068" xr:uid="{76645CC5-9497-411E-B78E-7961EF3F7312}"/>
    <cellStyle name="Migliaia 5 2 3 2 2 2 6 2 2 2" xfId="31245" xr:uid="{A75C38E6-6E46-470F-82FA-80E51336C2BC}"/>
    <cellStyle name="Migliaia 5 2 3 2 2 2 6 2 3" xfId="27700" xr:uid="{BF33AFE2-36B1-4F84-8CA6-A4675D77F59D}"/>
    <cellStyle name="Migliaia 5 2 3 2 2 2 6 3" xfId="8348" xr:uid="{EFFA7045-E9AF-42B9-BE0F-656DB7148D95}"/>
    <cellStyle name="Migliaia 5 2 3 2 2 2 6 3 2" xfId="23528" xr:uid="{A0B39D11-760C-4311-B46B-9C9A5640C18C}"/>
    <cellStyle name="Migliaia 5 2 3 2 2 2 6 4" xfId="20240" xr:uid="{F497C599-8530-4A51-87D5-2EE25A60DF0E}"/>
    <cellStyle name="Migliaia 5 2 3 2 2 2 7" xfId="1859" xr:uid="{1DB64D91-3973-4EA4-878C-EB182B2C6C4E}"/>
    <cellStyle name="Migliaia 5 2 3 2 2 2 7 2" xfId="9356" xr:uid="{E6704789-F1A1-449A-88A3-465E2C9E1FE1}"/>
    <cellStyle name="Migliaia 5 2 3 2 2 2 7 2 2" xfId="24534" xr:uid="{BB4BBCF1-2F3C-4354-B555-2DD8C1E6A91E}"/>
    <cellStyle name="Migliaia 5 2 3 2 2 2 7 3" xfId="17074" xr:uid="{7AFDF0E8-D77E-4E50-BF7E-F745D76D6CCA}"/>
    <cellStyle name="Migliaia 5 2 3 2 2 2 8" xfId="8570" xr:uid="{681FFE9C-7DA7-4A09-B27D-91593AF81A98}"/>
    <cellStyle name="Migliaia 5 2 3 2 2 2 8 2" xfId="12743" xr:uid="{06D4A447-58D9-4029-9279-2756FA4C9257}"/>
    <cellStyle name="Migliaia 5 2 3 2 2 2 8 2 2" xfId="27920" xr:uid="{E6468516-AD17-4699-BE68-79D69E9F7D46}"/>
    <cellStyle name="Migliaia 5 2 3 2 2 2 8 3" xfId="23748" xr:uid="{4E9BCEC7-AF72-4983-9988-0D5951DB92C8}"/>
    <cellStyle name="Migliaia 5 2 3 2 2 2 9" xfId="5182" xr:uid="{53FDF79A-48B1-4773-96FB-BB758301718A}"/>
    <cellStyle name="Migliaia 5 2 3 2 2 2 9 2" xfId="20362" xr:uid="{DE1CCF53-9712-4C48-A6E6-E839392EC709}"/>
    <cellStyle name="Migliaia 5 2 3 2 2 3" xfId="1061" xr:uid="{D95D769B-60E6-411B-893F-74F8B2D880D1}"/>
    <cellStyle name="Migliaia 5 2 3 2 2 3 10" xfId="31606" xr:uid="{1807CE6F-0830-41CA-BE8C-973A67847C14}"/>
    <cellStyle name="Migliaia 5 2 3 2 2 3 2" xfId="1421" xr:uid="{7FD1B288-656C-4729-9093-4D13C30398CE}"/>
    <cellStyle name="Migliaia 5 2 3 2 2 3 2 2" xfId="3734" xr:uid="{A32C323D-74D6-4B83-A135-34047850645C}"/>
    <cellStyle name="Migliaia 5 2 3 2 2 3 2 2 2" xfId="11222" xr:uid="{3CA00965-8EF2-4364-B3B5-F88A507F9AA9}"/>
    <cellStyle name="Migliaia 5 2 3 2 2 3 2 2 2 2" xfId="14768" xr:uid="{5DACB80F-B3F0-41EB-BCDA-2F5A7110ABF8}"/>
    <cellStyle name="Migliaia 5 2 3 2 2 3 2 2 2 2 2" xfId="29945" xr:uid="{E9E411BF-4C1E-45A6-B062-C640C5B8F7D7}"/>
    <cellStyle name="Migliaia 5 2 3 2 2 3 2 2 2 3" xfId="26400" xr:uid="{4E1E8699-5963-4C0C-9FB7-F761427504AA}"/>
    <cellStyle name="Migliaia 5 2 3 2 2 3 2 2 3" xfId="7048" xr:uid="{3698F036-BBC0-4BC4-9CBE-09EAB54E1C75}"/>
    <cellStyle name="Migliaia 5 2 3 2 2 3 2 2 3 2" xfId="22228" xr:uid="{AD5C1765-F4B5-4F20-B653-9E9DF834028C}"/>
    <cellStyle name="Migliaia 5 2 3 2 2 3 2 2 4" xfId="18940" xr:uid="{487E49D5-68E5-4B31-A929-8AAC2747691E}"/>
    <cellStyle name="Migliaia 5 2 3 2 2 3 2 3" xfId="4683" xr:uid="{98286EF6-17AD-45BF-8759-CF1B0DF8EF96}"/>
    <cellStyle name="Migliaia 5 2 3 2 2 3 2 3 2" xfId="12168" xr:uid="{F7CDDA68-AFCD-4FDD-8EC0-1EB7E2874C1D}"/>
    <cellStyle name="Migliaia 5 2 3 2 2 3 2 3 2 2" xfId="15714" xr:uid="{ACC2597E-157A-4C28-843D-E62A2E9F164D}"/>
    <cellStyle name="Migliaia 5 2 3 2 2 3 2 3 2 2 2" xfId="30891" xr:uid="{9B639E1E-87B6-47AC-86F4-ADBFAF53A51C}"/>
    <cellStyle name="Migliaia 5 2 3 2 2 3 2 3 2 3" xfId="27346" xr:uid="{36DD566E-091D-459D-A9F2-CB14F3255F75}"/>
    <cellStyle name="Migliaia 5 2 3 2 2 3 2 3 3" xfId="7994" xr:uid="{D13A0384-9B3B-420C-999A-2FA673C97A69}"/>
    <cellStyle name="Migliaia 5 2 3 2 2 3 2 3 3 2" xfId="23174" xr:uid="{C8EDBCA4-BF89-43AC-9288-08BECA6D1A27}"/>
    <cellStyle name="Migliaia 5 2 3 2 2 3 2 3 4" xfId="19886" xr:uid="{CED6941D-14CD-426C-B069-DF4CC110321A}"/>
    <cellStyle name="Migliaia 5 2 3 2 2 3 2 4" xfId="2847" xr:uid="{3346F385-7936-40BA-8F91-64C57C7DA881}"/>
    <cellStyle name="Migliaia 5 2 3 2 2 3 2 4 2" xfId="10338" xr:uid="{2D4EA62D-7D1F-412C-8CD1-E2976CA19ADD}"/>
    <cellStyle name="Migliaia 5 2 3 2 2 3 2 4 2 2" xfId="25516" xr:uid="{F1EB806B-CEA0-405B-AF59-395C5C833847}"/>
    <cellStyle name="Migliaia 5 2 3 2 2 3 2 4 3" xfId="18056" xr:uid="{C08BC36D-A6C4-4216-B6D6-23DC5748E5CA}"/>
    <cellStyle name="Migliaia 5 2 3 2 2 3 2 5" xfId="8940" xr:uid="{A95CAB5C-0E64-483F-80EF-02EC1DD29F53}"/>
    <cellStyle name="Migliaia 5 2 3 2 2 3 2 5 2" xfId="13113" xr:uid="{CEE5B969-DCA6-4AC1-8AE6-E97BEEBA9BF4}"/>
    <cellStyle name="Migliaia 5 2 3 2 2 3 2 5 2 2" xfId="28290" xr:uid="{9F63F25E-143B-4ACB-A105-3013685D5B05}"/>
    <cellStyle name="Migliaia 5 2 3 2 2 3 2 5 3" xfId="24118" xr:uid="{1DF59FD1-A7E1-4186-A175-978F7EDEAD39}"/>
    <cellStyle name="Migliaia 5 2 3 2 2 3 2 6" xfId="6164" xr:uid="{3528B8D1-11D4-493B-B0F3-E980B3E7951C}"/>
    <cellStyle name="Migliaia 5 2 3 2 2 3 2 6 2" xfId="21344" xr:uid="{AEF5E3E0-0CA7-431F-BB72-7640DF7E52DE}"/>
    <cellStyle name="Migliaia 5 2 3 2 2 3 2 7" xfId="16658" xr:uid="{44737BE7-F452-45A1-A47A-D0255B1B83DA}"/>
    <cellStyle name="Migliaia 5 2 3 2 2 3 3" xfId="2574" xr:uid="{538E5531-5135-445F-8141-57D1AA48D788}"/>
    <cellStyle name="Migliaia 5 2 3 2 2 3 3 2" xfId="10066" xr:uid="{5828AC22-64FB-445A-82AF-B686FB8EDFD2}"/>
    <cellStyle name="Migliaia 5 2 3 2 2 3 3 2 2" xfId="13725" xr:uid="{0C3ECA44-C534-47E4-8C81-C1D42D0942AA}"/>
    <cellStyle name="Migliaia 5 2 3 2 2 3 3 2 2 2" xfId="28902" xr:uid="{EF20E2B6-AB5F-41B9-816A-2C81712A0856}"/>
    <cellStyle name="Migliaia 5 2 3 2 2 3 3 2 3" xfId="25244" xr:uid="{3CB71A70-8DBC-4165-93A9-4CF2EF35F373}"/>
    <cellStyle name="Migliaia 5 2 3 2 2 3 3 3" xfId="5892" xr:uid="{019FFB9B-454C-4266-BDBC-8884910D9085}"/>
    <cellStyle name="Migliaia 5 2 3 2 2 3 3 3 2" xfId="21072" xr:uid="{874A9897-5D80-4A9B-A5E1-1F4D2CF7EBE1}"/>
    <cellStyle name="Migliaia 5 2 3 2 2 3 3 4" xfId="17784" xr:uid="{8EF3848A-1196-490A-99DF-FB854258B612}"/>
    <cellStyle name="Migliaia 5 2 3 2 2 3 4" xfId="3462" xr:uid="{474D9985-0EFA-46CF-882A-081BC9685128}"/>
    <cellStyle name="Migliaia 5 2 3 2 2 3 4 2" xfId="10950" xr:uid="{1F86F4F4-6B47-4D66-B45A-C62A554DB8E3}"/>
    <cellStyle name="Migliaia 5 2 3 2 2 3 4 2 2" xfId="14496" xr:uid="{938368D7-E3F2-46F3-93CF-CA250E9FDE05}"/>
    <cellStyle name="Migliaia 5 2 3 2 2 3 4 2 2 2" xfId="29673" xr:uid="{0E4A5DBE-34B2-42DB-8BAB-28042B041188}"/>
    <cellStyle name="Migliaia 5 2 3 2 2 3 4 2 3" xfId="26128" xr:uid="{393FD96E-4188-4B70-8C01-C102FD9D0861}"/>
    <cellStyle name="Migliaia 5 2 3 2 2 3 4 3" xfId="6776" xr:uid="{96DC263A-8125-4E25-9C59-039E76A82D3B}"/>
    <cellStyle name="Migliaia 5 2 3 2 2 3 4 3 2" xfId="21956" xr:uid="{0C556611-19AE-4FD2-8442-86D5F5D286E7}"/>
    <cellStyle name="Migliaia 5 2 3 2 2 3 4 4" xfId="18668" xr:uid="{F6ADA04E-073E-46FB-BAB4-C999B200D5DB}"/>
    <cellStyle name="Migliaia 5 2 3 2 2 3 5" xfId="4684" xr:uid="{FF51D78E-69F2-445C-913D-98FD392D6C82}"/>
    <cellStyle name="Migliaia 5 2 3 2 2 3 5 2" xfId="12169" xr:uid="{0C73BA65-04DF-4857-9DB5-1C7890871ABC}"/>
    <cellStyle name="Migliaia 5 2 3 2 2 3 5 2 2" xfId="15715" xr:uid="{6D734177-DD0C-4F85-BD29-4FC09FA883BE}"/>
    <cellStyle name="Migliaia 5 2 3 2 2 3 5 2 2 2" xfId="30892" xr:uid="{DD7997C5-8DC6-47A2-AF7F-9A9FF04EA88E}"/>
    <cellStyle name="Migliaia 5 2 3 2 2 3 5 2 3" xfId="27347" xr:uid="{6703C04D-2172-4156-BA24-12D2033488F4}"/>
    <cellStyle name="Migliaia 5 2 3 2 2 3 5 3" xfId="7995" xr:uid="{017A2954-0241-4062-AE39-519D2B7C7A89}"/>
    <cellStyle name="Migliaia 5 2 3 2 2 3 5 3 2" xfId="23175" xr:uid="{6B86D416-6FAE-4318-8A6E-093A448AFF91}"/>
    <cellStyle name="Migliaia 5 2 3 2 2 3 5 4" xfId="19887" xr:uid="{4F50AD1C-B17F-4D27-99BA-E90B903993AC}"/>
    <cellStyle name="Migliaia 5 2 3 2 2 3 6" xfId="1957" xr:uid="{112404FB-C23B-4311-BB16-688BF41A1630}"/>
    <cellStyle name="Migliaia 5 2 3 2 2 3 6 2" xfId="9454" xr:uid="{EA94D35C-76FE-4B0D-A56A-26804FA144DD}"/>
    <cellStyle name="Migliaia 5 2 3 2 2 3 6 2 2" xfId="24632" xr:uid="{02C5E92E-FB5D-4C04-B90B-53B6C4707F76}"/>
    <cellStyle name="Migliaia 5 2 3 2 2 3 6 3" xfId="17172" xr:uid="{46CAB893-6717-4529-8A63-B1F31997C4F5}"/>
    <cellStyle name="Migliaia 5 2 3 2 2 3 7" xfId="8668" xr:uid="{97B7D4C6-BABB-4469-AAEE-AE7B231873A0}"/>
    <cellStyle name="Migliaia 5 2 3 2 2 3 7 2" xfId="12841" xr:uid="{C079FBF7-4307-45F2-AB1B-9213A4CD7646}"/>
    <cellStyle name="Migliaia 5 2 3 2 2 3 7 2 2" xfId="28018" xr:uid="{48B72834-616C-4C4A-AC34-9672F6320A5E}"/>
    <cellStyle name="Migliaia 5 2 3 2 2 3 7 3" xfId="23846" xr:uid="{F84D7427-F87F-4E0C-AB65-BFF3CE1CC190}"/>
    <cellStyle name="Migliaia 5 2 3 2 2 3 8" xfId="5280" xr:uid="{FB152924-02B7-4F67-AD44-72103A9CAC8B}"/>
    <cellStyle name="Migliaia 5 2 3 2 2 3 8 2" xfId="20460" xr:uid="{C4D27865-076F-470B-9208-427E157FE871}"/>
    <cellStyle name="Migliaia 5 2 3 2 2 3 9" xfId="16386" xr:uid="{89E16339-1A71-488F-A271-8F4F46B7E4E5}"/>
    <cellStyle name="Migliaia 5 2 3 2 2 4" xfId="1520" xr:uid="{E7BB6911-FD7C-4AE8-98BC-A02152F36B79}"/>
    <cellStyle name="Migliaia 5 2 3 2 2 4 2" xfId="2945" xr:uid="{6BBB5CBA-EFD8-48D4-874D-CE7E0B47FC43}"/>
    <cellStyle name="Migliaia 5 2 3 2 2 4 2 2" xfId="10436" xr:uid="{CE7827FD-09A6-470F-B0B0-63CB15641637}"/>
    <cellStyle name="Migliaia 5 2 3 2 2 4 2 2 2" xfId="13982" xr:uid="{ADA0D2B8-7690-458F-9F86-E8B3F395455B}"/>
    <cellStyle name="Migliaia 5 2 3 2 2 4 2 2 2 2" xfId="29159" xr:uid="{63FA790C-95A5-4D84-B9E6-4B3E7FE4FEDE}"/>
    <cellStyle name="Migliaia 5 2 3 2 2 4 2 2 3" xfId="25614" xr:uid="{52F33803-5BC9-4B5F-8C02-01D6A59A6538}"/>
    <cellStyle name="Migliaia 5 2 3 2 2 4 2 3" xfId="6262" xr:uid="{8181137E-AA0E-439E-8EBA-06BB378CB4F2}"/>
    <cellStyle name="Migliaia 5 2 3 2 2 4 2 3 2" xfId="21442" xr:uid="{582A2EA8-9976-4BEE-B935-7D8182829951}"/>
    <cellStyle name="Migliaia 5 2 3 2 2 4 2 4" xfId="18154" xr:uid="{BDB19E97-077D-454B-ACCC-0EE827F7BEAA}"/>
    <cellStyle name="Migliaia 5 2 3 2 2 4 3" xfId="3832" xr:uid="{C44B7F5C-81CF-462D-9A50-24192D73283A}"/>
    <cellStyle name="Migliaia 5 2 3 2 2 4 3 2" xfId="11320" xr:uid="{23759263-6B12-447E-9DAB-19DDF32570D0}"/>
    <cellStyle name="Migliaia 5 2 3 2 2 4 3 2 2" xfId="14866" xr:uid="{1DD3B78C-9F8B-4D15-B4AA-88E317CCC941}"/>
    <cellStyle name="Migliaia 5 2 3 2 2 4 3 2 2 2" xfId="30043" xr:uid="{313026BB-5823-4A5E-AE15-0936A7A2618F}"/>
    <cellStyle name="Migliaia 5 2 3 2 2 4 3 2 3" xfId="26498" xr:uid="{B481E9AF-C3E7-4029-9CF8-D9FEB162661D}"/>
    <cellStyle name="Migliaia 5 2 3 2 2 4 3 3" xfId="7146" xr:uid="{4488FFBE-FC85-40AF-942A-8DEA3C14A1F1}"/>
    <cellStyle name="Migliaia 5 2 3 2 2 4 3 3 2" xfId="22326" xr:uid="{035ABD6F-FFCF-49E6-871F-5ECFFE89FF6F}"/>
    <cellStyle name="Migliaia 5 2 3 2 2 4 3 4" xfId="19038" xr:uid="{AC078D12-2F95-4023-B6D9-94EE89535D50}"/>
    <cellStyle name="Migliaia 5 2 3 2 2 4 4" xfId="4685" xr:uid="{ED498FFA-FD82-410E-BD83-C3831C55839A}"/>
    <cellStyle name="Migliaia 5 2 3 2 2 4 4 2" xfId="12170" xr:uid="{1D6F5A8E-623D-4745-8296-57DECE716D52}"/>
    <cellStyle name="Migliaia 5 2 3 2 2 4 4 2 2" xfId="15716" xr:uid="{E2086C1E-AB25-4CB7-BC03-E1AE232B0356}"/>
    <cellStyle name="Migliaia 5 2 3 2 2 4 4 2 2 2" xfId="30893" xr:uid="{25581273-2B86-43B4-B6C2-1A0B554FB3FD}"/>
    <cellStyle name="Migliaia 5 2 3 2 2 4 4 2 3" xfId="27348" xr:uid="{438CB2B9-545C-48D7-8E93-03BB3FF35CD7}"/>
    <cellStyle name="Migliaia 5 2 3 2 2 4 4 3" xfId="7996" xr:uid="{E154C013-2F0D-4A23-8C9E-82E9C6462988}"/>
    <cellStyle name="Migliaia 5 2 3 2 2 4 4 3 2" xfId="23176" xr:uid="{8E9E03A1-CEF2-4E06-8FD0-31A5D5B6E6CD}"/>
    <cellStyle name="Migliaia 5 2 3 2 2 4 4 4" xfId="19888" xr:uid="{E46DB2DA-1A2A-4997-9A9E-998DD85263DB}"/>
    <cellStyle name="Migliaia 5 2 3 2 2 4 5" xfId="2055" xr:uid="{0AFEEE2F-7934-46EC-8C44-C6AE47669BF7}"/>
    <cellStyle name="Migliaia 5 2 3 2 2 4 5 2" xfId="9552" xr:uid="{292795B6-2335-45F7-9347-5A9526AE0033}"/>
    <cellStyle name="Migliaia 5 2 3 2 2 4 5 2 2" xfId="24730" xr:uid="{5B6C7C50-19CC-4BA5-98D8-733A2576AD4A}"/>
    <cellStyle name="Migliaia 5 2 3 2 2 4 5 3" xfId="17270" xr:uid="{317C42DE-D14E-428F-9885-E8457C567212}"/>
    <cellStyle name="Migliaia 5 2 3 2 2 4 6" xfId="9038" xr:uid="{DBB9AC00-77C5-4863-AEAD-6801E775E41E}"/>
    <cellStyle name="Migliaia 5 2 3 2 2 4 6 2" xfId="13211" xr:uid="{C0B76FA0-B4EC-44D7-B42C-BD48B115A0B2}"/>
    <cellStyle name="Migliaia 5 2 3 2 2 4 6 2 2" xfId="28388" xr:uid="{A9D20986-DB00-4B2B-AA26-2568FE43C4E8}"/>
    <cellStyle name="Migliaia 5 2 3 2 2 4 6 3" xfId="24216" xr:uid="{6E4D30F9-9213-403E-AE82-6C46B06E4BE2}"/>
    <cellStyle name="Migliaia 5 2 3 2 2 4 7" xfId="5378" xr:uid="{AC536160-4F88-477E-9857-2460F53B2C70}"/>
    <cellStyle name="Migliaia 5 2 3 2 2 4 7 2" xfId="20558" xr:uid="{7055F7F2-4E50-4E37-9CD7-2C68109D6032}"/>
    <cellStyle name="Migliaia 5 2 3 2 2 4 8" xfId="16756" xr:uid="{E8982A08-AA1D-4BAC-B640-6D3969D79E33}"/>
    <cellStyle name="Migliaia 5 2 3 2 2 5" xfId="1623" xr:uid="{51F9B259-9869-4D88-8052-D52AF3338EAC}"/>
    <cellStyle name="Migliaia 5 2 3 2 2 5 2" xfId="3043" xr:uid="{826D80D9-CBC1-4F9B-968A-FB4AD4EAAA75}"/>
    <cellStyle name="Migliaia 5 2 3 2 2 5 2 2" xfId="10534" xr:uid="{52B59B99-4811-4969-ABB2-BF1B065A85D9}"/>
    <cellStyle name="Migliaia 5 2 3 2 2 5 2 2 2" xfId="14080" xr:uid="{060DADC1-A19B-4F9D-BFAA-FCFFF10E054A}"/>
    <cellStyle name="Migliaia 5 2 3 2 2 5 2 2 2 2" xfId="29257" xr:uid="{26027C37-2884-45AB-9E09-BB2B21EB6A16}"/>
    <cellStyle name="Migliaia 5 2 3 2 2 5 2 2 3" xfId="25712" xr:uid="{F3478930-ACCF-4833-917C-21654A4C8088}"/>
    <cellStyle name="Migliaia 5 2 3 2 2 5 2 3" xfId="6360" xr:uid="{3C76F142-607E-4FFA-834E-E26791C89E3E}"/>
    <cellStyle name="Migliaia 5 2 3 2 2 5 2 3 2" xfId="21540" xr:uid="{CD035770-F2A3-44CB-BA1B-1953EC65DCD5}"/>
    <cellStyle name="Migliaia 5 2 3 2 2 5 2 4" xfId="18252" xr:uid="{0B208EF2-F3E5-4C1D-8B24-3523E154E4DA}"/>
    <cellStyle name="Migliaia 5 2 3 2 2 5 3" xfId="3930" xr:uid="{00EECF38-6644-4105-87D3-FCAB49BEF688}"/>
    <cellStyle name="Migliaia 5 2 3 2 2 5 3 2" xfId="11418" xr:uid="{5AA91673-3CA9-416B-B7DB-2F72A2CD00CB}"/>
    <cellStyle name="Migliaia 5 2 3 2 2 5 3 2 2" xfId="14964" xr:uid="{036AB731-B31C-40B9-A0F1-AEEF63AACC36}"/>
    <cellStyle name="Migliaia 5 2 3 2 2 5 3 2 2 2" xfId="30141" xr:uid="{7E248B21-3525-43DF-89A4-FFF2A60AD2DA}"/>
    <cellStyle name="Migliaia 5 2 3 2 2 5 3 2 3" xfId="26596" xr:uid="{1BFB74E0-67A8-4A33-92FA-EAD0AAF9A813}"/>
    <cellStyle name="Migliaia 5 2 3 2 2 5 3 3" xfId="7244" xr:uid="{6683CEEF-D8D6-4268-AF62-3C64E379E7C4}"/>
    <cellStyle name="Migliaia 5 2 3 2 2 5 3 3 2" xfId="22424" xr:uid="{880CF2A2-2BB7-4A50-B992-37D7A6E4613C}"/>
    <cellStyle name="Migliaia 5 2 3 2 2 5 3 4" xfId="19136" xr:uid="{0B068CEA-5B8E-45DC-B874-2669F1DCE992}"/>
    <cellStyle name="Migliaia 5 2 3 2 2 5 4" xfId="4686" xr:uid="{77E0E3A3-06CC-474B-90AF-9F1D531E710F}"/>
    <cellStyle name="Migliaia 5 2 3 2 2 5 4 2" xfId="12171" xr:uid="{F8497567-915C-4A60-B34B-8D0A14CD28FB}"/>
    <cellStyle name="Migliaia 5 2 3 2 2 5 4 2 2" xfId="15717" xr:uid="{E54456A9-C5BF-45E2-A3FA-2382E9059931}"/>
    <cellStyle name="Migliaia 5 2 3 2 2 5 4 2 2 2" xfId="30894" xr:uid="{224AE219-BAA2-43BA-BA6D-E1836C8D951E}"/>
    <cellStyle name="Migliaia 5 2 3 2 2 5 4 2 3" xfId="27349" xr:uid="{7F4BE9DB-C53A-416C-B58B-FF76D02BE4DB}"/>
    <cellStyle name="Migliaia 5 2 3 2 2 5 4 3" xfId="7997" xr:uid="{EBFC03B7-DE9C-42F8-A0EB-F4CE0B614235}"/>
    <cellStyle name="Migliaia 5 2 3 2 2 5 4 3 2" xfId="23177" xr:uid="{01641FBB-4D80-4135-A159-6F98325A058E}"/>
    <cellStyle name="Migliaia 5 2 3 2 2 5 4 4" xfId="19889" xr:uid="{0B15B752-EDBB-468A-AAC1-6322518DF5EC}"/>
    <cellStyle name="Migliaia 5 2 3 2 2 5 5" xfId="2153" xr:uid="{BE713299-25EE-48CD-965F-C14983B338FF}"/>
    <cellStyle name="Migliaia 5 2 3 2 2 5 5 2" xfId="9650" xr:uid="{0DB960DC-E873-45E3-9CA5-944FDA072631}"/>
    <cellStyle name="Migliaia 5 2 3 2 2 5 5 2 2" xfId="24828" xr:uid="{95C12851-2AD9-4055-BCA2-44366D12E71D}"/>
    <cellStyle name="Migliaia 5 2 3 2 2 5 5 3" xfId="17368" xr:uid="{6C588567-7095-477B-96D7-FE248B993FDF}"/>
    <cellStyle name="Migliaia 5 2 3 2 2 5 6" xfId="9136" xr:uid="{AF815D69-939E-46C7-9936-18F0A0869960}"/>
    <cellStyle name="Migliaia 5 2 3 2 2 5 6 2" xfId="13309" xr:uid="{EBFFFF5F-F813-43BC-B3D4-A209502FB012}"/>
    <cellStyle name="Migliaia 5 2 3 2 2 5 6 2 2" xfId="28486" xr:uid="{EB410543-88B5-4467-BBC1-AC95998E4ACB}"/>
    <cellStyle name="Migliaia 5 2 3 2 2 5 6 3" xfId="24314" xr:uid="{1A6965AD-78D7-4319-B1A0-30FBB10223F1}"/>
    <cellStyle name="Migliaia 5 2 3 2 2 5 7" xfId="5476" xr:uid="{CD98627F-572B-4650-A84A-291F08812409}"/>
    <cellStyle name="Migliaia 5 2 3 2 2 5 7 2" xfId="20656" xr:uid="{51101F5B-4843-433A-8C7F-373C09BCBC51}"/>
    <cellStyle name="Migliaia 5 2 3 2 2 5 8" xfId="16854" xr:uid="{A1F0D075-A6E4-4DDE-A754-3462434F3F15}"/>
    <cellStyle name="Migliaia 5 2 3 2 2 6" xfId="1722" xr:uid="{001FDDD7-584E-4069-AE71-DCB9B41094BD}"/>
    <cellStyle name="Migliaia 5 2 3 2 2 6 2" xfId="3141" xr:uid="{9E79DC63-4B48-4FC2-BD6E-11C3483C0809}"/>
    <cellStyle name="Migliaia 5 2 3 2 2 6 2 2" xfId="10632" xr:uid="{DD078B60-FE6D-47BC-958D-E725CFA3C18E}"/>
    <cellStyle name="Migliaia 5 2 3 2 2 6 2 2 2" xfId="14178" xr:uid="{8BE992D7-5BDB-475A-BF10-578E2C48BD2C}"/>
    <cellStyle name="Migliaia 5 2 3 2 2 6 2 2 2 2" xfId="29355" xr:uid="{D6255748-6CB2-4359-809A-44350D37A837}"/>
    <cellStyle name="Migliaia 5 2 3 2 2 6 2 2 3" xfId="25810" xr:uid="{3ED7B7E6-9F5E-4620-B016-31D754EAEADF}"/>
    <cellStyle name="Migliaia 5 2 3 2 2 6 2 3" xfId="6458" xr:uid="{3F788B1D-4F7B-4FCC-A6FB-A909B7B3F0D5}"/>
    <cellStyle name="Migliaia 5 2 3 2 2 6 2 3 2" xfId="21638" xr:uid="{3D896AC5-6BCE-423F-9378-9E67127DA53B}"/>
    <cellStyle name="Migliaia 5 2 3 2 2 6 2 4" xfId="18350" xr:uid="{7858FEC8-E84E-47B3-B489-A985D58056FF}"/>
    <cellStyle name="Migliaia 5 2 3 2 2 6 3" xfId="4028" xr:uid="{989C6162-EC80-489B-A27B-06587F1BCF4A}"/>
    <cellStyle name="Migliaia 5 2 3 2 2 6 3 2" xfId="11516" xr:uid="{E858F81E-73DF-4C9A-AF15-4466DDD24A19}"/>
    <cellStyle name="Migliaia 5 2 3 2 2 6 3 2 2" xfId="15062" xr:uid="{040EEA8A-FC20-4D3A-9B28-943802D9E817}"/>
    <cellStyle name="Migliaia 5 2 3 2 2 6 3 2 2 2" xfId="30239" xr:uid="{B5ECC2A3-A077-4385-8CA3-641BE1D25009}"/>
    <cellStyle name="Migliaia 5 2 3 2 2 6 3 2 3" xfId="26694" xr:uid="{0639478D-9094-4170-A6D9-3445AD27C245}"/>
    <cellStyle name="Migliaia 5 2 3 2 2 6 3 3" xfId="7342" xr:uid="{3C32C54A-0A69-49A3-A36B-A7E71D3383A1}"/>
    <cellStyle name="Migliaia 5 2 3 2 2 6 3 3 2" xfId="22522" xr:uid="{8F4B5FE1-BB18-4C8B-990F-1D5B8211C2A8}"/>
    <cellStyle name="Migliaia 5 2 3 2 2 6 3 4" xfId="19234" xr:uid="{0F42F80E-BCA9-498C-A09F-525D3AD6C17C}"/>
    <cellStyle name="Migliaia 5 2 3 2 2 6 4" xfId="4687" xr:uid="{F9F3A9EA-2F0E-4500-8933-21882C4C6DDC}"/>
    <cellStyle name="Migliaia 5 2 3 2 2 6 4 2" xfId="12172" xr:uid="{CD08F5F0-F712-4CAE-990C-ECAAFF8F90C2}"/>
    <cellStyle name="Migliaia 5 2 3 2 2 6 4 2 2" xfId="15718" xr:uid="{2F60CDA1-3CBE-41A8-923F-A724E234AA01}"/>
    <cellStyle name="Migliaia 5 2 3 2 2 6 4 2 2 2" xfId="30895" xr:uid="{D4565FDB-5E9E-4D86-95AD-B8B7E59E98E7}"/>
    <cellStyle name="Migliaia 5 2 3 2 2 6 4 2 3" xfId="27350" xr:uid="{BB591F5B-A062-4D06-86CB-AF44B84402B8}"/>
    <cellStyle name="Migliaia 5 2 3 2 2 6 4 3" xfId="7998" xr:uid="{C67EA6F4-3868-4FEC-A71D-4B31CF415533}"/>
    <cellStyle name="Migliaia 5 2 3 2 2 6 4 3 2" xfId="23178" xr:uid="{14A9255D-049A-4EF9-A1AF-0619DE6579B9}"/>
    <cellStyle name="Migliaia 5 2 3 2 2 6 4 4" xfId="19890" xr:uid="{548B62B8-AFDB-43DF-902B-1AE3A723A338}"/>
    <cellStyle name="Migliaia 5 2 3 2 2 6 5" xfId="2251" xr:uid="{A9A734C1-3E87-4B20-B0A9-A38247CF70EF}"/>
    <cellStyle name="Migliaia 5 2 3 2 2 6 5 2" xfId="9748" xr:uid="{E3D74610-00C5-43DC-B3F8-BF26A0CB7557}"/>
    <cellStyle name="Migliaia 5 2 3 2 2 6 5 2 2" xfId="24926" xr:uid="{D01BBA5D-2356-4D20-9F17-26AB46CC2F71}"/>
    <cellStyle name="Migliaia 5 2 3 2 2 6 5 3" xfId="17466" xr:uid="{520239FB-5808-4D69-83FD-7283D013A328}"/>
    <cellStyle name="Migliaia 5 2 3 2 2 6 6" xfId="9234" xr:uid="{C090DDA4-7E30-451B-9C35-03202B1CC79C}"/>
    <cellStyle name="Migliaia 5 2 3 2 2 6 6 2" xfId="13407" xr:uid="{3887D37C-81F4-4430-B7BC-EEFB9BEA0187}"/>
    <cellStyle name="Migliaia 5 2 3 2 2 6 6 2 2" xfId="28584" xr:uid="{0DC7DD99-9212-4250-82B4-912581989543}"/>
    <cellStyle name="Migliaia 5 2 3 2 2 6 6 3" xfId="24412" xr:uid="{B308ED85-83D0-4D5B-A65B-F675B3D50BF8}"/>
    <cellStyle name="Migliaia 5 2 3 2 2 6 7" xfId="5574" xr:uid="{EBDC0AD1-F594-4B1F-B0F6-F1182675EC30}"/>
    <cellStyle name="Migliaia 5 2 3 2 2 6 7 2" xfId="20754" xr:uid="{C648D06F-5269-4560-B8A5-D662AED4ABF7}"/>
    <cellStyle name="Migliaia 5 2 3 2 2 6 8" xfId="16952" xr:uid="{23DBBEA3-2447-4977-BA69-4860EC82A4CB}"/>
    <cellStyle name="Migliaia 5 2 3 2 2 7" xfId="2351" xr:uid="{DCE2A38D-9240-4DD9-B858-5F0ECCF907CA}"/>
    <cellStyle name="Migliaia 5 2 3 2 2 7 2" xfId="9846" xr:uid="{2AAD6AE8-B169-489E-81B8-EDA8AB519562}"/>
    <cellStyle name="Migliaia 5 2 3 2 2 7 2 2" xfId="13505" xr:uid="{A758B2E5-870B-4498-8E1A-3E5986CBDEAF}"/>
    <cellStyle name="Migliaia 5 2 3 2 2 7 2 2 2" xfId="28682" xr:uid="{5EC587C5-3406-4226-BC32-683F8CE63BCB}"/>
    <cellStyle name="Migliaia 5 2 3 2 2 7 2 3" xfId="25024" xr:uid="{C4988A58-BE06-45AA-B294-FA65664BE098}"/>
    <cellStyle name="Migliaia 5 2 3 2 2 7 3" xfId="5672" xr:uid="{822AC40A-7AFB-4273-A29D-EA39DBDE4EA4}"/>
    <cellStyle name="Migliaia 5 2 3 2 2 7 3 2" xfId="20852" xr:uid="{D836E784-E803-4F5A-BF1F-D4DE800E5AF6}"/>
    <cellStyle name="Migliaia 5 2 3 2 2 7 4" xfId="17564" xr:uid="{63802A1D-32CF-4E55-B906-2DA085A9AC52}"/>
    <cellStyle name="Migliaia 5 2 3 2 2 8" xfId="3241" xr:uid="{1D84F422-3F99-4C04-A2FB-E443F1C4F89F}"/>
    <cellStyle name="Migliaia 5 2 3 2 2 8 2" xfId="10730" xr:uid="{0E57DB18-E48A-437D-BE63-96A67A6FBCEA}"/>
    <cellStyle name="Migliaia 5 2 3 2 2 8 2 2" xfId="14276" xr:uid="{087B1A64-5D1F-4357-9C1D-B18F8BE63FCF}"/>
    <cellStyle name="Migliaia 5 2 3 2 2 8 2 2 2" xfId="29453" xr:uid="{2B510321-876B-4658-98C7-9E018B248C13}"/>
    <cellStyle name="Migliaia 5 2 3 2 2 8 2 3" xfId="25908" xr:uid="{665B1F8E-F533-429B-A212-1BE1E5FE197B}"/>
    <cellStyle name="Migliaia 5 2 3 2 2 8 3" xfId="6556" xr:uid="{0CD85650-9D22-4D54-91B6-97AAB28CCABA}"/>
    <cellStyle name="Migliaia 5 2 3 2 2 8 3 2" xfId="21736" xr:uid="{2C18DA84-6389-488B-8028-052A732B929B}"/>
    <cellStyle name="Migliaia 5 2 3 2 2 8 4" xfId="18448" xr:uid="{08CC1979-610D-4484-B999-5876348CF15C}"/>
    <cellStyle name="Migliaia 5 2 3 2 2 9" xfId="4688" xr:uid="{A543D536-3AB4-4638-83D5-74404C6DA25C}"/>
    <cellStyle name="Migliaia 5 2 3 2 2 9 2" xfId="12173" xr:uid="{0185FF6D-0619-4F14-9CAA-CFFEA263C15D}"/>
    <cellStyle name="Migliaia 5 2 3 2 2 9 2 2" xfId="15719" xr:uid="{D47C026A-5BC3-43AA-8F52-00F8B582FABF}"/>
    <cellStyle name="Migliaia 5 2 3 2 2 9 2 2 2" xfId="30896" xr:uid="{0F567249-3BFA-4543-8C4A-AA42E69AFFF7}"/>
    <cellStyle name="Migliaia 5 2 3 2 2 9 2 3" xfId="27351" xr:uid="{564D0140-1AF0-418F-8318-D64A7BBD38B0}"/>
    <cellStyle name="Migliaia 5 2 3 2 2 9 3" xfId="7999" xr:uid="{91D07D56-3BF1-42F4-8B86-0EADCC3D7392}"/>
    <cellStyle name="Migliaia 5 2 3 2 2 9 3 2" xfId="23179" xr:uid="{30FD2AFC-5F74-4C6D-8012-7404DDB7B776}"/>
    <cellStyle name="Migliaia 5 2 3 2 2 9 4" xfId="19891" xr:uid="{19ECD38C-A07A-4393-92B7-2959064F7557}"/>
    <cellStyle name="Migliaia 5 2 3 2 3" xfId="909" xr:uid="{C44C1677-9538-4E0D-8D8F-2B63A62DBF5D}"/>
    <cellStyle name="Migliaia 5 2 3 2 3 2" xfId="2427" xr:uid="{92900015-E14D-461B-B3D5-C906F5DD9042}"/>
    <cellStyle name="Migliaia 5 2 3 2 3 2 2" xfId="9919" xr:uid="{FFCE610F-E5DD-4F8E-8B4B-92DF5916E955}"/>
    <cellStyle name="Migliaia 5 2 3 2 3 2 2 2" xfId="13578" xr:uid="{BD93ED1F-431D-4A53-A6B6-3A33CF789194}"/>
    <cellStyle name="Migliaia 5 2 3 2 3 2 2 2 2" xfId="28755" xr:uid="{2F866E87-5105-41B4-ABF2-83387C880546}"/>
    <cellStyle name="Migliaia 5 2 3 2 3 2 2 3" xfId="25097" xr:uid="{385390FB-2830-4EAD-8541-FE18BEAA6BEC}"/>
    <cellStyle name="Migliaia 5 2 3 2 3 2 3" xfId="5745" xr:uid="{2085E6DD-372E-4A92-94DC-83A6DB2EA294}"/>
    <cellStyle name="Migliaia 5 2 3 2 3 2 3 2" xfId="20925" xr:uid="{65C956D1-3DCB-4496-A334-205969F2BF57}"/>
    <cellStyle name="Migliaia 5 2 3 2 3 2 4" xfId="17637" xr:uid="{4F6031D6-A6BD-456A-B152-7803D2EEE29E}"/>
    <cellStyle name="Migliaia 5 2 3 2 3 3" xfId="3315" xr:uid="{64829B6E-AECD-4935-890D-04CF9C0FAB58}"/>
    <cellStyle name="Migliaia 5 2 3 2 3 3 2" xfId="10803" xr:uid="{DDB20D14-9AE0-4FF3-8D2C-1D48FC37F545}"/>
    <cellStyle name="Migliaia 5 2 3 2 3 3 2 2" xfId="14349" xr:uid="{061E8CCC-42C3-457A-87F2-E5F6D5B82545}"/>
    <cellStyle name="Migliaia 5 2 3 2 3 3 2 2 2" xfId="29526" xr:uid="{B969E461-7719-4C0B-9FB5-4A7CDAA87F4C}"/>
    <cellStyle name="Migliaia 5 2 3 2 3 3 2 3" xfId="25981" xr:uid="{7A39910E-F43E-443D-891A-8C0003D20E5D}"/>
    <cellStyle name="Migliaia 5 2 3 2 3 3 3" xfId="6629" xr:uid="{F565FEF3-4A4E-4726-B5FD-79A2A3B1DC35}"/>
    <cellStyle name="Migliaia 5 2 3 2 3 3 3 2" xfId="21809" xr:uid="{7541FBA0-7121-4CCB-A483-E6DE5EC76380}"/>
    <cellStyle name="Migliaia 5 2 3 2 3 3 4" xfId="18521" xr:uid="{E373021C-768C-4605-8FA2-50919903ACBD}"/>
    <cellStyle name="Migliaia 5 2 3 2 3 4" xfId="4689" xr:uid="{02C925A1-F5F6-4AA3-97EF-988C545095E3}"/>
    <cellStyle name="Migliaia 5 2 3 2 3 4 2" xfId="12174" xr:uid="{56354B35-25F9-47CC-8021-37ABB984E0BA}"/>
    <cellStyle name="Migliaia 5 2 3 2 3 4 2 2" xfId="15720" xr:uid="{F2724AF7-5414-49B1-ADB5-56981251A7AE}"/>
    <cellStyle name="Migliaia 5 2 3 2 3 4 2 2 2" xfId="30897" xr:uid="{BCA6C81C-EB8A-439A-BE89-3CB68E761E03}"/>
    <cellStyle name="Migliaia 5 2 3 2 3 4 2 3" xfId="27352" xr:uid="{4DF27852-8322-49E6-A984-1D3FC59E6571}"/>
    <cellStyle name="Migliaia 5 2 3 2 3 4 3" xfId="8000" xr:uid="{169DAB82-CCD2-4C29-98A4-72DA140E5E37}"/>
    <cellStyle name="Migliaia 5 2 3 2 3 4 3 2" xfId="23180" xr:uid="{C859D10A-AB73-43BE-84DB-303EB07D5EF8}"/>
    <cellStyle name="Migliaia 5 2 3 2 3 4 4" xfId="19892" xr:uid="{BECED518-E450-478A-B3EC-EF07E4D39E85}"/>
    <cellStyle name="Migliaia 5 2 3 2 3 5" xfId="8521" xr:uid="{B77EA106-4E60-457D-A955-1C369DEAAD6E}"/>
    <cellStyle name="Migliaia 5 2 3 2 3 5 2" xfId="12694" xr:uid="{0A0C6641-6661-483A-A2AF-D4CEC7926CF9}"/>
    <cellStyle name="Migliaia 5 2 3 2 3 5 2 2" xfId="27871" xr:uid="{1CD9FE0A-8AA6-43E1-A593-A7B8B49E9476}"/>
    <cellStyle name="Migliaia 5 2 3 2 3 5 3" xfId="23699" xr:uid="{0BA681ED-4769-4A82-B8AD-A766AF2DF432}"/>
    <cellStyle name="Migliaia 5 2 3 2 3 6" xfId="16239" xr:uid="{7D1AD3B1-D1BA-4118-8876-0B2DCCBFE1A4}"/>
    <cellStyle name="Migliaia 5 2 3 2 3 7" xfId="31679" xr:uid="{CB65CFC4-56B0-4E7E-93F4-19AD22F1DC88}"/>
    <cellStyle name="Migliaia 5 2 3 2 4" xfId="1012" xr:uid="{F9CC39EB-0266-450C-92EF-E3C64FBF70BD}"/>
    <cellStyle name="Migliaia 5 2 3 2 4 2" xfId="2525" xr:uid="{0B8456D6-735A-4C79-A9F7-44807612EE5D}"/>
    <cellStyle name="Migliaia 5 2 3 2 4 2 2" xfId="10017" xr:uid="{FA7A5D26-1DDD-443E-8621-926EA414DAD9}"/>
    <cellStyle name="Migliaia 5 2 3 2 4 2 2 2" xfId="13676" xr:uid="{5A5D2A20-46DF-4EF5-A04D-F5A7F4B247EF}"/>
    <cellStyle name="Migliaia 5 2 3 2 4 2 2 2 2" xfId="28853" xr:uid="{794CB2EA-7603-4320-B88B-FB8B080A5F05}"/>
    <cellStyle name="Migliaia 5 2 3 2 4 2 2 3" xfId="25195" xr:uid="{C811D12F-8A10-45AF-BD6D-3244CB374926}"/>
    <cellStyle name="Migliaia 5 2 3 2 4 2 3" xfId="5843" xr:uid="{4637CCFD-9777-4EF1-AEA2-BB2471D2A5E0}"/>
    <cellStyle name="Migliaia 5 2 3 2 4 2 3 2" xfId="21023" xr:uid="{D94109F8-6FEB-422F-BA46-70ECEB29CA99}"/>
    <cellStyle name="Migliaia 5 2 3 2 4 2 4" xfId="17735" xr:uid="{6EFB06AD-A092-4BBE-9410-FE9A8200C16C}"/>
    <cellStyle name="Migliaia 5 2 3 2 4 3" xfId="3413" xr:uid="{606876E7-3A14-43CF-A70D-CAC16B77A5CA}"/>
    <cellStyle name="Migliaia 5 2 3 2 4 3 2" xfId="10901" xr:uid="{83F655C4-E675-4E62-ABEB-CF01921AB9A5}"/>
    <cellStyle name="Migliaia 5 2 3 2 4 3 2 2" xfId="14447" xr:uid="{8C2D126B-6318-4FE6-844B-09E5FB928F30}"/>
    <cellStyle name="Migliaia 5 2 3 2 4 3 2 2 2" xfId="29624" xr:uid="{2C8F0443-D88F-478B-B8DA-D1896403ECF3}"/>
    <cellStyle name="Migliaia 5 2 3 2 4 3 2 3" xfId="26079" xr:uid="{6BBCC084-07D8-4E50-ACA5-997A14138782}"/>
    <cellStyle name="Migliaia 5 2 3 2 4 3 3" xfId="6727" xr:uid="{C94E76D4-7D7A-438C-AFB0-52270845C626}"/>
    <cellStyle name="Migliaia 5 2 3 2 4 3 3 2" xfId="21907" xr:uid="{7BD155D1-ADF7-4800-B580-AB5B5416BC08}"/>
    <cellStyle name="Migliaia 5 2 3 2 4 3 4" xfId="18619" xr:uid="{A2D46AEA-EE76-4A40-81BA-340FAD83D105}"/>
    <cellStyle name="Migliaia 5 2 3 2 4 4" xfId="4690" xr:uid="{1C6321CB-6338-40CC-B60D-647ADA1570DF}"/>
    <cellStyle name="Migliaia 5 2 3 2 4 4 2" xfId="12175" xr:uid="{AE90D615-353F-4124-B746-180006F3DCC5}"/>
    <cellStyle name="Migliaia 5 2 3 2 4 4 2 2" xfId="15721" xr:uid="{062D4885-A332-425A-81A1-E452B999C98F}"/>
    <cellStyle name="Migliaia 5 2 3 2 4 4 2 2 2" xfId="30898" xr:uid="{346783C6-9489-4ABC-8B10-B812A7A4C08E}"/>
    <cellStyle name="Migliaia 5 2 3 2 4 4 2 3" xfId="27353" xr:uid="{11651881-F2F6-42A0-8744-393F39D8900E}"/>
    <cellStyle name="Migliaia 5 2 3 2 4 4 3" xfId="8001" xr:uid="{DA0D178B-2D9E-43CA-B8D3-A787D9AC4915}"/>
    <cellStyle name="Migliaia 5 2 3 2 4 4 3 2" xfId="23181" xr:uid="{52CD96CA-8F5E-4095-949F-C255F05F9C40}"/>
    <cellStyle name="Migliaia 5 2 3 2 4 4 4" xfId="19893" xr:uid="{50B660DD-7EF8-462C-A0F3-971ED044E185}"/>
    <cellStyle name="Migliaia 5 2 3 2 4 5" xfId="8619" xr:uid="{3793F7B0-9C2A-48B8-9EC4-D5ADA4CE4917}"/>
    <cellStyle name="Migliaia 5 2 3 2 4 5 2" xfId="12792" xr:uid="{512EA888-A728-434C-894D-8B93C293B38B}"/>
    <cellStyle name="Migliaia 5 2 3 2 4 5 2 2" xfId="27969" xr:uid="{3BA39B30-7768-44B3-8ACE-6DFDEE339AA7}"/>
    <cellStyle name="Migliaia 5 2 3 2 4 5 3" xfId="23797" xr:uid="{44C2FBCC-5A51-472E-B061-50C101F1C12A}"/>
    <cellStyle name="Migliaia 5 2 3 2 4 6" xfId="16337" xr:uid="{B6FA2CDE-6F80-488E-9F7A-2F0BF88D614F}"/>
    <cellStyle name="Migliaia 5 2 3 2 4 7" xfId="31557" xr:uid="{96FAD543-5F40-4C74-B6B2-51E30F1E53A2}"/>
    <cellStyle name="Migliaia 5 2 3 2 5" xfId="1270" xr:uid="{FFD828A1-24EB-4C24-AD07-782457342BAA}"/>
    <cellStyle name="Migliaia 5 2 3 2 5 10" xfId="31329" xr:uid="{87B96013-7775-40E0-996E-21FCFBBCFE7D}"/>
    <cellStyle name="Migliaia 5 2 3 2 5 2" xfId="2700" xr:uid="{2A2623A8-2033-47C8-B0FF-B284832F0C12}"/>
    <cellStyle name="Migliaia 5 2 3 2 5 2 2" xfId="10191" xr:uid="{2905357A-48AF-4A24-98C1-89181002D359}"/>
    <cellStyle name="Migliaia 5 2 3 2 5 2 2 2" xfId="13835" xr:uid="{14E74012-7358-4C6E-B254-CB8745B4B84A}"/>
    <cellStyle name="Migliaia 5 2 3 2 5 2 2 2 2" xfId="29012" xr:uid="{35228177-26F5-401D-96B7-F7D5B21C7C66}"/>
    <cellStyle name="Migliaia 5 2 3 2 5 2 2 3" xfId="25369" xr:uid="{874597F9-9440-4AA8-B371-83CCCE1AFB07}"/>
    <cellStyle name="Migliaia 5 2 3 2 5 2 3" xfId="6017" xr:uid="{04B3DC51-8F01-45D3-AD51-5D249F632C05}"/>
    <cellStyle name="Migliaia 5 2 3 2 5 2 3 2" xfId="21197" xr:uid="{16276EA6-9F76-424E-85FA-B25832528928}"/>
    <cellStyle name="Migliaia 5 2 3 2 5 2 4" xfId="17909" xr:uid="{7FDF16E5-C66D-41BD-B4CB-F85D2625404C}"/>
    <cellStyle name="Migliaia 5 2 3 2 5 3" xfId="3587" xr:uid="{3379046B-3E72-49A0-B379-2DC7880CD247}"/>
    <cellStyle name="Migliaia 5 2 3 2 5 3 2" xfId="11075" xr:uid="{94E89768-19CC-4514-8A75-324134549E2C}"/>
    <cellStyle name="Migliaia 5 2 3 2 5 3 2 2" xfId="14621" xr:uid="{9DE0D6A0-81A7-4AEC-BE6A-FF40A7A2A4F0}"/>
    <cellStyle name="Migliaia 5 2 3 2 5 3 2 2 2" xfId="29798" xr:uid="{B68AA49B-BF42-4BB3-B4CF-C7AD7EEF92D0}"/>
    <cellStyle name="Migliaia 5 2 3 2 5 3 2 3" xfId="26253" xr:uid="{3D9E609E-5FB3-4DA6-B270-9E4F96571FEA}"/>
    <cellStyle name="Migliaia 5 2 3 2 5 3 3" xfId="6901" xr:uid="{34B0A377-2673-4BA8-9D1A-EB968B3965EE}"/>
    <cellStyle name="Migliaia 5 2 3 2 5 3 3 2" xfId="22081" xr:uid="{4E09672B-F5DE-4590-83B8-AFDA9FED0526}"/>
    <cellStyle name="Migliaia 5 2 3 2 5 3 4" xfId="18793" xr:uid="{88125C21-0C75-4820-8734-1D2E7050FE99}"/>
    <cellStyle name="Migliaia 5 2 3 2 5 4" xfId="4691" xr:uid="{97BDB77B-1A61-4BE1-A25A-9037A62ED7D1}"/>
    <cellStyle name="Migliaia 5 2 3 2 5 4 2" xfId="12176" xr:uid="{1D67CD6D-D9A7-40B6-ABBB-B5E692143D73}"/>
    <cellStyle name="Migliaia 5 2 3 2 5 4 2 2" xfId="15722" xr:uid="{4201267A-0BA0-4506-91A2-E7B3903C8ACE}"/>
    <cellStyle name="Migliaia 5 2 3 2 5 4 2 2 2" xfId="30899" xr:uid="{76C6AB9E-309B-449C-A4DB-8F73829C74BE}"/>
    <cellStyle name="Migliaia 5 2 3 2 5 4 2 3" xfId="27354" xr:uid="{733AA983-D0ED-4054-9F3F-D697D2AA9442}"/>
    <cellStyle name="Migliaia 5 2 3 2 5 4 3" xfId="8002" xr:uid="{B2E9157D-4B61-42AC-B3F9-5CC9D5225F1B}"/>
    <cellStyle name="Migliaia 5 2 3 2 5 4 3 2" xfId="23182" xr:uid="{E17904AB-9427-4032-81EB-714148A9DAEE}"/>
    <cellStyle name="Migliaia 5 2 3 2 5 4 4" xfId="19894" xr:uid="{55E51198-5F70-4F9E-8E80-49F21D9D154B}"/>
    <cellStyle name="Migliaia 5 2 3 2 5 5" xfId="4989" xr:uid="{25FA174F-FA98-4436-AFB3-C869C8783F19}"/>
    <cellStyle name="Migliaia 5 2 3 2 5 5 2" xfId="12473" xr:uid="{F2B84DA5-E11F-4778-B21D-9166BC5327B6}"/>
    <cellStyle name="Migliaia 5 2 3 2 5 5 2 2" xfId="16019" xr:uid="{5A6E919A-1F74-4D81-8703-55D77DC4AB25}"/>
    <cellStyle name="Migliaia 5 2 3 2 5 5 2 2 2" xfId="31196" xr:uid="{574079EF-EC11-470B-A839-D137B6543B61}"/>
    <cellStyle name="Migliaia 5 2 3 2 5 5 2 3" xfId="27651" xr:uid="{55667DF2-28EE-4FA2-BD1B-F6837DF2A217}"/>
    <cellStyle name="Migliaia 5 2 3 2 5 5 3" xfId="8299" xr:uid="{19D17F85-4ABF-47C3-9049-C9CE417B98D6}"/>
    <cellStyle name="Migliaia 5 2 3 2 5 5 3 2" xfId="23479" xr:uid="{350AB237-C9C1-4D70-8D74-EE1455776AD0}"/>
    <cellStyle name="Migliaia 5 2 3 2 5 5 4" xfId="20191" xr:uid="{D7F0626A-6502-4392-882E-B63676530A49}"/>
    <cellStyle name="Migliaia 5 2 3 2 5 6" xfId="1810" xr:uid="{81304917-15E7-497D-B968-F9FCE14B2A5E}"/>
    <cellStyle name="Migliaia 5 2 3 2 5 6 2" xfId="9307" xr:uid="{10F2AFA8-69CE-4270-A7FB-44ED60678B53}"/>
    <cellStyle name="Migliaia 5 2 3 2 5 6 2 2" xfId="24485" xr:uid="{F4DE4160-6632-4FA3-8BEB-D90AA41CEA6C}"/>
    <cellStyle name="Migliaia 5 2 3 2 5 6 3" xfId="17025" xr:uid="{9D47B18A-3C5F-4A53-A968-8660DD6C0951}"/>
    <cellStyle name="Migliaia 5 2 3 2 5 7" xfId="8793" xr:uid="{807D770B-33D8-47B9-A4D7-E5AD57D0522B}"/>
    <cellStyle name="Migliaia 5 2 3 2 5 7 2" xfId="12966" xr:uid="{5137BFE3-BB43-4E21-8E57-84F645387B3D}"/>
    <cellStyle name="Migliaia 5 2 3 2 5 7 2 2" xfId="28143" xr:uid="{63E06650-9116-4FFE-B1B3-CD6E97B74BE2}"/>
    <cellStyle name="Migliaia 5 2 3 2 5 7 3" xfId="23971" xr:uid="{548D1BE0-579A-46B0-8641-1BD550AE09F0}"/>
    <cellStyle name="Migliaia 5 2 3 2 5 8" xfId="5133" xr:uid="{ACD0937D-6CAC-4F21-9E85-C3E82C324D8F}"/>
    <cellStyle name="Migliaia 5 2 3 2 5 8 2" xfId="20313" xr:uid="{2D1BADED-1C53-4A38-9269-9259B4862192}"/>
    <cellStyle name="Migliaia 5 2 3 2 5 9" xfId="16511" xr:uid="{9DD2B1D9-8B62-4594-91C8-18AD55EC559A}"/>
    <cellStyle name="Migliaia 5 2 3 2 6" xfId="1372" xr:uid="{6BF3E3A0-85BD-4B58-A563-37D29892FC24}"/>
    <cellStyle name="Migliaia 5 2 3 2 6 2" xfId="2798" xr:uid="{732A9601-B38D-4967-942E-D10444F155FB}"/>
    <cellStyle name="Migliaia 5 2 3 2 6 2 2" xfId="10289" xr:uid="{547084EB-5102-4F7E-B42D-CB9BFED9DC92}"/>
    <cellStyle name="Migliaia 5 2 3 2 6 2 2 2" xfId="13884" xr:uid="{F67F5D64-26F9-46B1-ADC0-7692549CB2EF}"/>
    <cellStyle name="Migliaia 5 2 3 2 6 2 2 2 2" xfId="29061" xr:uid="{E4E4BA31-9FD2-491C-ABC4-7481BC377247}"/>
    <cellStyle name="Migliaia 5 2 3 2 6 2 2 3" xfId="25467" xr:uid="{018CA294-5321-4923-AAA6-8F46A9D009AA}"/>
    <cellStyle name="Migliaia 5 2 3 2 6 2 3" xfId="6115" xr:uid="{4EC02ABF-B505-4EAB-A418-5581B5A22515}"/>
    <cellStyle name="Migliaia 5 2 3 2 6 2 3 2" xfId="21295" xr:uid="{065664CE-5A42-4CFE-9F69-045DF3A52380}"/>
    <cellStyle name="Migliaia 5 2 3 2 6 2 4" xfId="18007" xr:uid="{DA4B8949-37C8-4612-8295-FF1918E1BBFD}"/>
    <cellStyle name="Migliaia 5 2 3 2 6 3" xfId="3685" xr:uid="{C9AE452A-414A-4A4A-B228-42AF1FD747F7}"/>
    <cellStyle name="Migliaia 5 2 3 2 6 3 2" xfId="11173" xr:uid="{6EE3ABDB-B152-49BE-8663-8131B1816E8D}"/>
    <cellStyle name="Migliaia 5 2 3 2 6 3 2 2" xfId="14719" xr:uid="{0F20865A-C319-43BE-933A-85223B8D9FD0}"/>
    <cellStyle name="Migliaia 5 2 3 2 6 3 2 2 2" xfId="29896" xr:uid="{1EDF9B41-4A7C-4725-A175-2C0F517A4989}"/>
    <cellStyle name="Migliaia 5 2 3 2 6 3 2 3" xfId="26351" xr:uid="{6B55E2E6-E9D4-48AC-800B-6917BDB95A38}"/>
    <cellStyle name="Migliaia 5 2 3 2 6 3 3" xfId="6999" xr:uid="{1B2607A6-08C9-4B05-A7CF-FF537A64CF59}"/>
    <cellStyle name="Migliaia 5 2 3 2 6 3 3 2" xfId="22179" xr:uid="{30A7FD8C-2D76-4C9A-A27B-546DB8DAA371}"/>
    <cellStyle name="Migliaia 5 2 3 2 6 3 4" xfId="18891" xr:uid="{EB391B4B-5F88-4EF2-898E-E169BB31DC43}"/>
    <cellStyle name="Migliaia 5 2 3 2 6 4" xfId="4692" xr:uid="{3D25F766-6967-4168-90D4-EA869121B668}"/>
    <cellStyle name="Migliaia 5 2 3 2 6 4 2" xfId="12177" xr:uid="{EAACAEFE-20F5-4402-9BDE-9E2F18BEA06E}"/>
    <cellStyle name="Migliaia 5 2 3 2 6 4 2 2" xfId="15723" xr:uid="{1F2AE26C-09F8-48B3-935E-E047CE6781E8}"/>
    <cellStyle name="Migliaia 5 2 3 2 6 4 2 2 2" xfId="30900" xr:uid="{C1C55C65-985A-4E40-99CA-8C0C98321044}"/>
    <cellStyle name="Migliaia 5 2 3 2 6 4 2 3" xfId="27355" xr:uid="{6F415C30-59F7-44FE-BDD8-36207C3440DA}"/>
    <cellStyle name="Migliaia 5 2 3 2 6 4 3" xfId="8003" xr:uid="{37C6C86C-0167-4FB3-AD36-F3B437B550BD}"/>
    <cellStyle name="Migliaia 5 2 3 2 6 4 3 2" xfId="23183" xr:uid="{E19D2AD2-3CAD-4A6C-9131-B0CE5ED9BB08}"/>
    <cellStyle name="Migliaia 5 2 3 2 6 4 4" xfId="19895" xr:uid="{A59036AB-A716-4629-AB31-D0C408A604C8}"/>
    <cellStyle name="Migliaia 5 2 3 2 6 5" xfId="1908" xr:uid="{C5D931FD-6FBA-4567-A1A3-42E909886F6E}"/>
    <cellStyle name="Migliaia 5 2 3 2 6 5 2" xfId="9405" xr:uid="{1E2F33F8-7031-46FA-8700-9026A90E0889}"/>
    <cellStyle name="Migliaia 5 2 3 2 6 5 2 2" xfId="24583" xr:uid="{3A477C6B-65EF-4FD7-8948-E6FD3630603E}"/>
    <cellStyle name="Migliaia 5 2 3 2 6 5 3" xfId="17123" xr:uid="{A8EA8510-F46B-45B2-B5FD-30E53AC7F73B}"/>
    <cellStyle name="Migliaia 5 2 3 2 6 6" xfId="8891" xr:uid="{8FC2A211-BC11-47C8-A000-094106C2F112}"/>
    <cellStyle name="Migliaia 5 2 3 2 6 6 2" xfId="13064" xr:uid="{9B8745F0-3EDC-4584-8B6D-45700F406E67}"/>
    <cellStyle name="Migliaia 5 2 3 2 6 6 2 2" xfId="28241" xr:uid="{ECCF8E53-B0B1-4F1F-B6C3-352DF890D84B}"/>
    <cellStyle name="Migliaia 5 2 3 2 6 6 3" xfId="24069" xr:uid="{E7736BEC-1D3B-4E58-BF9D-B965A4CF511E}"/>
    <cellStyle name="Migliaia 5 2 3 2 6 7" xfId="5231" xr:uid="{A5672FCB-69A5-4C66-B48E-556160375CB0}"/>
    <cellStyle name="Migliaia 5 2 3 2 6 7 2" xfId="20411" xr:uid="{ED959A5E-D85C-4C84-9F8D-95205205B800}"/>
    <cellStyle name="Migliaia 5 2 3 2 6 8" xfId="16609" xr:uid="{31C7CB7B-F632-415D-B4DD-4BA82613B1FF}"/>
    <cellStyle name="Migliaia 5 2 3 2 7" xfId="1471" xr:uid="{8E3D22C4-2B01-47BA-B282-E34CD2C539BE}"/>
    <cellStyle name="Migliaia 5 2 3 2 7 2" xfId="2896" xr:uid="{95BFF02B-4363-4943-962B-899DEC1AAEEC}"/>
    <cellStyle name="Migliaia 5 2 3 2 7 2 2" xfId="10387" xr:uid="{2743B905-496A-4FEF-9CDC-5C68675B138C}"/>
    <cellStyle name="Migliaia 5 2 3 2 7 2 2 2" xfId="13933" xr:uid="{41B5FFB9-AEFE-4B5B-9D9E-79420D1C8346}"/>
    <cellStyle name="Migliaia 5 2 3 2 7 2 2 2 2" xfId="29110" xr:uid="{A6C9E9D3-A7DD-4D6E-BF72-70B42CE9E7EC}"/>
    <cellStyle name="Migliaia 5 2 3 2 7 2 2 3" xfId="25565" xr:uid="{8726ACF3-3696-4DCC-9155-45599BB5BB4F}"/>
    <cellStyle name="Migliaia 5 2 3 2 7 2 3" xfId="6213" xr:uid="{EA47977D-05EA-4236-8D3A-C64C7E875E7F}"/>
    <cellStyle name="Migliaia 5 2 3 2 7 2 3 2" xfId="21393" xr:uid="{2489EED1-C8BD-4566-AD7E-F375F4ED2FA7}"/>
    <cellStyle name="Migliaia 5 2 3 2 7 2 4" xfId="18105" xr:uid="{F01810A1-E96E-453C-B384-7C400E914692}"/>
    <cellStyle name="Migliaia 5 2 3 2 7 3" xfId="3783" xr:uid="{8F8EEB1E-70B8-4D27-A659-1009D4D09E0A}"/>
    <cellStyle name="Migliaia 5 2 3 2 7 3 2" xfId="11271" xr:uid="{62169E2D-6F70-4963-9615-CF34588F5D64}"/>
    <cellStyle name="Migliaia 5 2 3 2 7 3 2 2" xfId="14817" xr:uid="{2E16DCB0-82FE-4F42-BE29-F00437809666}"/>
    <cellStyle name="Migliaia 5 2 3 2 7 3 2 2 2" xfId="29994" xr:uid="{7D586962-5F6C-4DE0-93A2-030A3E638C08}"/>
    <cellStyle name="Migliaia 5 2 3 2 7 3 2 3" xfId="26449" xr:uid="{49EF9D22-8CE0-44CB-AE81-E0E5E2E3FEFE}"/>
    <cellStyle name="Migliaia 5 2 3 2 7 3 3" xfId="7097" xr:uid="{136972E9-A163-4B19-A19B-83A8E376DF1B}"/>
    <cellStyle name="Migliaia 5 2 3 2 7 3 3 2" xfId="22277" xr:uid="{85E6A572-B06E-4687-AA70-C0E265A2F600}"/>
    <cellStyle name="Migliaia 5 2 3 2 7 3 4" xfId="18989" xr:uid="{70E2525F-B32B-40E3-BB74-1CD3B08736D5}"/>
    <cellStyle name="Migliaia 5 2 3 2 7 4" xfId="4693" xr:uid="{9E3D86B3-53FE-4B28-A2D4-5DFDB905E260}"/>
    <cellStyle name="Migliaia 5 2 3 2 7 4 2" xfId="12178" xr:uid="{1CE83708-1430-4CA7-9C00-180CA98D884B}"/>
    <cellStyle name="Migliaia 5 2 3 2 7 4 2 2" xfId="15724" xr:uid="{FBA201DF-BB28-4A5C-85E0-B1F4E373E9B6}"/>
    <cellStyle name="Migliaia 5 2 3 2 7 4 2 2 2" xfId="30901" xr:uid="{913AF036-7AC9-4B77-A846-3B347E3BC425}"/>
    <cellStyle name="Migliaia 5 2 3 2 7 4 2 3" xfId="27356" xr:uid="{F5938F47-DD7C-435B-8BDC-020AF207FDB1}"/>
    <cellStyle name="Migliaia 5 2 3 2 7 4 3" xfId="8004" xr:uid="{E9C5D15E-8AC5-4AE4-9D9F-BAB750C926CB}"/>
    <cellStyle name="Migliaia 5 2 3 2 7 4 3 2" xfId="23184" xr:uid="{B576B3A3-16F9-4756-AC12-8C240278BBF5}"/>
    <cellStyle name="Migliaia 5 2 3 2 7 4 4" xfId="19896" xr:uid="{4C07E668-2BFF-4F5B-8940-11826BC271C9}"/>
    <cellStyle name="Migliaia 5 2 3 2 7 5" xfId="2006" xr:uid="{95E0DDDE-2E67-4BA9-AA0A-287E2DA25DFE}"/>
    <cellStyle name="Migliaia 5 2 3 2 7 5 2" xfId="9503" xr:uid="{2D6E75EE-339A-4874-A321-7615E0973D2E}"/>
    <cellStyle name="Migliaia 5 2 3 2 7 5 2 2" xfId="24681" xr:uid="{05D95D56-0FFD-48E3-A374-CB61DB75C69C}"/>
    <cellStyle name="Migliaia 5 2 3 2 7 5 3" xfId="17221" xr:uid="{D37246DE-C7D4-476D-8AF4-832016E2905E}"/>
    <cellStyle name="Migliaia 5 2 3 2 7 6" xfId="8989" xr:uid="{A4593FE6-504E-4F80-88A1-EECD795A1AE8}"/>
    <cellStyle name="Migliaia 5 2 3 2 7 6 2" xfId="13162" xr:uid="{775EDC9E-DCE2-4FAC-8FD8-7CBB8A522F57}"/>
    <cellStyle name="Migliaia 5 2 3 2 7 6 2 2" xfId="28339" xr:uid="{0F832AC5-D165-4065-9CCF-BF480F793BE1}"/>
    <cellStyle name="Migliaia 5 2 3 2 7 6 3" xfId="24167" xr:uid="{A8698236-688F-4E25-AA15-0FFD3D3E80CB}"/>
    <cellStyle name="Migliaia 5 2 3 2 7 7" xfId="5329" xr:uid="{3D28DA60-F3D1-4333-8A6C-936AFD671FCC}"/>
    <cellStyle name="Migliaia 5 2 3 2 7 7 2" xfId="20509" xr:uid="{B9AA882B-781F-40BC-8EC1-FD29F1F83F33}"/>
    <cellStyle name="Migliaia 5 2 3 2 7 8" xfId="16707" xr:uid="{8ECCD4D9-D86F-436A-8CB2-7C0911613250}"/>
    <cellStyle name="Migliaia 5 2 3 2 8" xfId="1574" xr:uid="{9705D029-BD03-4F89-87A7-F3AA3CC36446}"/>
    <cellStyle name="Migliaia 5 2 3 2 8 2" xfId="2994" xr:uid="{50C0AEFB-4D92-4413-81E9-5AE8A446BE2C}"/>
    <cellStyle name="Migliaia 5 2 3 2 8 2 2" xfId="10485" xr:uid="{27B5B58F-2DAF-48F2-BF66-94558DC2A0D5}"/>
    <cellStyle name="Migliaia 5 2 3 2 8 2 2 2" xfId="14031" xr:uid="{E234B085-1BE4-43DC-909B-2F6CD9CCF597}"/>
    <cellStyle name="Migliaia 5 2 3 2 8 2 2 2 2" xfId="29208" xr:uid="{8EC2FF3A-C42C-4CE5-B82A-DBABB10F5184}"/>
    <cellStyle name="Migliaia 5 2 3 2 8 2 2 3" xfId="25663" xr:uid="{5620E6E3-8863-4F27-B447-2AC5E63CC2CE}"/>
    <cellStyle name="Migliaia 5 2 3 2 8 2 3" xfId="6311" xr:uid="{C3791F93-95C3-4B23-863A-5CB46A0526E9}"/>
    <cellStyle name="Migliaia 5 2 3 2 8 2 3 2" xfId="21491" xr:uid="{B85741BD-868E-46CB-A79B-EBC63BB37195}"/>
    <cellStyle name="Migliaia 5 2 3 2 8 2 4" xfId="18203" xr:uid="{D0F2EFBC-5174-4408-AD70-2627EA30142F}"/>
    <cellStyle name="Migliaia 5 2 3 2 8 3" xfId="3881" xr:uid="{D139482C-E05E-469A-BC77-21484A959547}"/>
    <cellStyle name="Migliaia 5 2 3 2 8 3 2" xfId="11369" xr:uid="{01E742CA-899A-495E-A2B8-B7677CE90F7E}"/>
    <cellStyle name="Migliaia 5 2 3 2 8 3 2 2" xfId="14915" xr:uid="{7C5F45B8-A287-4581-9984-0092EC91C9CE}"/>
    <cellStyle name="Migliaia 5 2 3 2 8 3 2 2 2" xfId="30092" xr:uid="{4D412A21-5C2E-4FA6-AF52-9F4BE883C86A}"/>
    <cellStyle name="Migliaia 5 2 3 2 8 3 2 3" xfId="26547" xr:uid="{85B83BD2-AF9D-45FE-9FDE-5EEC989D4A22}"/>
    <cellStyle name="Migliaia 5 2 3 2 8 3 3" xfId="7195" xr:uid="{586B9BC0-C390-49FF-A936-7AB1773707C8}"/>
    <cellStyle name="Migliaia 5 2 3 2 8 3 3 2" xfId="22375" xr:uid="{696E673A-31DA-49B5-B936-CAE26FB2B1CF}"/>
    <cellStyle name="Migliaia 5 2 3 2 8 3 4" xfId="19087" xr:uid="{CB027643-13A2-4095-B6CC-2932A1DC2364}"/>
    <cellStyle name="Migliaia 5 2 3 2 8 4" xfId="4694" xr:uid="{52B844DA-1CE3-4719-A981-7C5290A31D4F}"/>
    <cellStyle name="Migliaia 5 2 3 2 8 4 2" xfId="12179" xr:uid="{C050F5C6-E366-44A4-89C1-9BE8596E5971}"/>
    <cellStyle name="Migliaia 5 2 3 2 8 4 2 2" xfId="15725" xr:uid="{CEFBD8A7-4D47-444D-A648-69AFE9B348AA}"/>
    <cellStyle name="Migliaia 5 2 3 2 8 4 2 2 2" xfId="30902" xr:uid="{9977A39D-738C-4F30-A285-EDAEE7D398E3}"/>
    <cellStyle name="Migliaia 5 2 3 2 8 4 2 3" xfId="27357" xr:uid="{12E7B686-4FFA-40EC-A8BD-0BD987762F26}"/>
    <cellStyle name="Migliaia 5 2 3 2 8 4 3" xfId="8005" xr:uid="{4E822217-3A09-4F80-848A-1D15CCAFC9C3}"/>
    <cellStyle name="Migliaia 5 2 3 2 8 4 3 2" xfId="23185" xr:uid="{7277C746-FDE4-4CE4-8B9F-00A2C99A8C6D}"/>
    <cellStyle name="Migliaia 5 2 3 2 8 4 4" xfId="19897" xr:uid="{1B528C33-98F5-40F1-A32A-E529536C5155}"/>
    <cellStyle name="Migliaia 5 2 3 2 8 5" xfId="2104" xr:uid="{023111FA-2846-4788-94B2-691726AD2DF7}"/>
    <cellStyle name="Migliaia 5 2 3 2 8 5 2" xfId="9601" xr:uid="{86BD6BD1-7E1A-47A1-AEB1-0A4C0E4AAFB7}"/>
    <cellStyle name="Migliaia 5 2 3 2 8 5 2 2" xfId="24779" xr:uid="{189F91EB-06CA-4BD0-8691-4881DFD655FD}"/>
    <cellStyle name="Migliaia 5 2 3 2 8 5 3" xfId="17319" xr:uid="{6273DEF5-CFBF-4E2F-9F0A-12CCA4FF1103}"/>
    <cellStyle name="Migliaia 5 2 3 2 8 6" xfId="9087" xr:uid="{BD224B2F-A3F7-4F19-8C87-5BBC5730E8CE}"/>
    <cellStyle name="Migliaia 5 2 3 2 8 6 2" xfId="13260" xr:uid="{D1B8F117-8DE1-485D-8944-5BC5C2E7E1D0}"/>
    <cellStyle name="Migliaia 5 2 3 2 8 6 2 2" xfId="28437" xr:uid="{CE6036C1-E1F4-4EBA-B2BD-97024870CB25}"/>
    <cellStyle name="Migliaia 5 2 3 2 8 6 3" xfId="24265" xr:uid="{76FF8BC6-8D74-4397-A828-F4F72964FD1B}"/>
    <cellStyle name="Migliaia 5 2 3 2 8 7" xfId="5427" xr:uid="{DE4AFAB1-A6CA-48DA-8D26-796499DF9EEF}"/>
    <cellStyle name="Migliaia 5 2 3 2 8 7 2" xfId="20607" xr:uid="{80742925-70B2-4211-830A-5010B81938D1}"/>
    <cellStyle name="Migliaia 5 2 3 2 8 8" xfId="16805" xr:uid="{C8ABA40E-C9E2-4679-B4F9-482B96FC4467}"/>
    <cellStyle name="Migliaia 5 2 3 2 9" xfId="1673" xr:uid="{A8FD4473-023F-45A8-A9C7-3C5A0F472B7E}"/>
    <cellStyle name="Migliaia 5 2 3 2 9 2" xfId="3092" xr:uid="{5A045A29-7859-4419-9675-E61FBCA970DB}"/>
    <cellStyle name="Migliaia 5 2 3 2 9 2 2" xfId="10583" xr:uid="{0C253503-85ED-48B4-A4E9-37435975208F}"/>
    <cellStyle name="Migliaia 5 2 3 2 9 2 2 2" xfId="14129" xr:uid="{07F03EB8-D8C7-41B9-BB92-FE81A00FCFB5}"/>
    <cellStyle name="Migliaia 5 2 3 2 9 2 2 2 2" xfId="29306" xr:uid="{415E9803-2DB2-40FF-9405-6424BFFD2812}"/>
    <cellStyle name="Migliaia 5 2 3 2 9 2 2 3" xfId="25761" xr:uid="{48758D50-A6A0-4A77-99CF-7677632D7221}"/>
    <cellStyle name="Migliaia 5 2 3 2 9 2 3" xfId="6409" xr:uid="{62F17621-C7E9-4029-B773-397A59752FF8}"/>
    <cellStyle name="Migliaia 5 2 3 2 9 2 3 2" xfId="21589" xr:uid="{DF0141F1-940B-4A16-9667-B1984E229F23}"/>
    <cellStyle name="Migliaia 5 2 3 2 9 2 4" xfId="18301" xr:uid="{79408BF1-2101-45F7-B5B1-EFE901E0A142}"/>
    <cellStyle name="Migliaia 5 2 3 2 9 3" xfId="3979" xr:uid="{C196CF0C-252D-4A4C-82EB-BABCF2C91AB3}"/>
    <cellStyle name="Migliaia 5 2 3 2 9 3 2" xfId="11467" xr:uid="{A836E794-8C12-4DA7-A03C-69B134FB7F4E}"/>
    <cellStyle name="Migliaia 5 2 3 2 9 3 2 2" xfId="15013" xr:uid="{CD040F1C-B730-4FC9-9910-787FA2252A81}"/>
    <cellStyle name="Migliaia 5 2 3 2 9 3 2 2 2" xfId="30190" xr:uid="{FED28CBF-6DDB-468C-AF1B-BE34224EB99B}"/>
    <cellStyle name="Migliaia 5 2 3 2 9 3 2 3" xfId="26645" xr:uid="{EC691E6D-965B-43FE-A390-5EC1F2872A2F}"/>
    <cellStyle name="Migliaia 5 2 3 2 9 3 3" xfId="7293" xr:uid="{45385B75-B41E-4CE8-9062-10682924A829}"/>
    <cellStyle name="Migliaia 5 2 3 2 9 3 3 2" xfId="22473" xr:uid="{688B39CE-8AE0-4E37-8683-DB45ECB75F35}"/>
    <cellStyle name="Migliaia 5 2 3 2 9 3 4" xfId="19185" xr:uid="{F02806FF-3F4B-46BB-9523-1E30710E7D16}"/>
    <cellStyle name="Migliaia 5 2 3 2 9 4" xfId="4695" xr:uid="{0F4B3C82-44C2-4192-A9A7-09262BFAE2EF}"/>
    <cellStyle name="Migliaia 5 2 3 2 9 4 2" xfId="12180" xr:uid="{F3F7FFD8-4051-4D83-9511-355C0B167B23}"/>
    <cellStyle name="Migliaia 5 2 3 2 9 4 2 2" xfId="15726" xr:uid="{68029B23-25EB-42D4-BAE1-6F4AD7F9F9FA}"/>
    <cellStyle name="Migliaia 5 2 3 2 9 4 2 2 2" xfId="30903" xr:uid="{97EE5A2E-4FD2-4159-99E6-4C7CFC29D89D}"/>
    <cellStyle name="Migliaia 5 2 3 2 9 4 2 3" xfId="27358" xr:uid="{05386EF9-4880-4808-B20E-99F75E9690FA}"/>
    <cellStyle name="Migliaia 5 2 3 2 9 4 3" xfId="8006" xr:uid="{17FA2739-B58D-4F04-B8B1-34697648E269}"/>
    <cellStyle name="Migliaia 5 2 3 2 9 4 3 2" xfId="23186" xr:uid="{47422878-F1F4-45E2-8569-D20B45999EBE}"/>
    <cellStyle name="Migliaia 5 2 3 2 9 4 4" xfId="19898" xr:uid="{C358597E-C5B9-45C0-9379-26E5CCCD34A6}"/>
    <cellStyle name="Migliaia 5 2 3 2 9 5" xfId="2202" xr:uid="{5AB8C21E-A792-413F-9E22-2218A47DD864}"/>
    <cellStyle name="Migliaia 5 2 3 2 9 5 2" xfId="9699" xr:uid="{90E09C61-FDE6-4524-98B4-A5BB27C974B1}"/>
    <cellStyle name="Migliaia 5 2 3 2 9 5 2 2" xfId="24877" xr:uid="{A4C7F497-68DD-4994-83AA-4AB5A0FC2D1E}"/>
    <cellStyle name="Migliaia 5 2 3 2 9 5 3" xfId="17417" xr:uid="{6A1FD796-BA12-4BE4-91D4-4291F601EF61}"/>
    <cellStyle name="Migliaia 5 2 3 2 9 6" xfId="9185" xr:uid="{56FFEB0F-7676-4FC0-86D0-2EE7447960D8}"/>
    <cellStyle name="Migliaia 5 2 3 2 9 6 2" xfId="13358" xr:uid="{CF536D11-5E0B-4A73-B349-BBB8F8661676}"/>
    <cellStyle name="Migliaia 5 2 3 2 9 6 2 2" xfId="28535" xr:uid="{4492B551-3345-4F5D-864D-D28542C9D266}"/>
    <cellStyle name="Migliaia 5 2 3 2 9 6 3" xfId="24363" xr:uid="{01C97F71-6CAA-40B9-88B4-E6A1DF7F62B6}"/>
    <cellStyle name="Migliaia 5 2 3 2 9 7" xfId="5525" xr:uid="{470D2F2C-F91C-4D7D-977D-B97A23C59552}"/>
    <cellStyle name="Migliaia 5 2 3 2 9 7 2" xfId="20705" xr:uid="{F80B0569-C025-4BE3-992E-A8E9D80E44C0}"/>
    <cellStyle name="Migliaia 5 2 3 2 9 8" xfId="16903" xr:uid="{4B56F617-4F37-486C-A464-5F7B365C54AE}"/>
    <cellStyle name="Migliaia 5 2 3 3" xfId="756" xr:uid="{73B6B616-0DEF-499D-A46F-FCADC1B522EA}"/>
    <cellStyle name="Migliaia 5 2 3 3 10" xfId="8422" xr:uid="{1AD68E95-3B39-4220-8866-DF3F77B3E465}"/>
    <cellStyle name="Migliaia 5 2 3 3 10 2" xfId="12596" xr:uid="{7C425542-B4C2-43A3-B5D6-1A826ABA87B8}"/>
    <cellStyle name="Migliaia 5 2 3 3 10 2 2" xfId="27773" xr:uid="{F8B257E0-6550-492B-8DD5-7741414ADFBD}"/>
    <cellStyle name="Migliaia 5 2 3 3 10 3" xfId="23601" xr:uid="{0AAEED37-F468-4EF0-9B3B-59E3BA236E3E}"/>
    <cellStyle name="Migliaia 5 2 3 3 11" xfId="16141" xr:uid="{C996D437-CC2C-4F44-9850-171308F79528}"/>
    <cellStyle name="Migliaia 5 2 3 3 12" xfId="31483" xr:uid="{56DEF643-4502-45BA-847E-3E72B5A056B7}"/>
    <cellStyle name="Migliaia 5 2 3 3 2" xfId="933" xr:uid="{EAC68132-8074-48A9-B81F-A020A78CF7FA}"/>
    <cellStyle name="Migliaia 5 2 3 3 2 10" xfId="16263" xr:uid="{C05BA921-6988-4368-81A9-D8BC15E68999}"/>
    <cellStyle name="Migliaia 5 2 3 3 2 11" xfId="31353" xr:uid="{930A5CF4-ACB7-49E7-8CF7-EEB17BF46771}"/>
    <cellStyle name="Migliaia 5 2 3 3 2 12" xfId="31703" xr:uid="{43176B94-47FF-4D6F-A471-BB7034017665}"/>
    <cellStyle name="Migliaia 5 2 3 3 2 2" xfId="1294" xr:uid="{B54C7523-CF0D-4DE6-9F55-FA54913B7190}"/>
    <cellStyle name="Migliaia 5 2 3 3 2 2 2" xfId="3611" xr:uid="{8C1BE34F-EED9-4499-BFA0-EC175407C80D}"/>
    <cellStyle name="Migliaia 5 2 3 3 2 2 2 2" xfId="11099" xr:uid="{C4B5AA6B-47B3-4B62-8499-3820AA5765B9}"/>
    <cellStyle name="Migliaia 5 2 3 3 2 2 2 2 2" xfId="14645" xr:uid="{363DB24F-E9A9-4B93-9B25-F766EC2752DF}"/>
    <cellStyle name="Migliaia 5 2 3 3 2 2 2 2 2 2" xfId="29822" xr:uid="{07439820-0959-41A1-ACD2-C5C59E541119}"/>
    <cellStyle name="Migliaia 5 2 3 3 2 2 2 2 3" xfId="26277" xr:uid="{841966A5-1935-430B-9336-6540506782B4}"/>
    <cellStyle name="Migliaia 5 2 3 3 2 2 2 3" xfId="6925" xr:uid="{4A8E05E2-E8BF-4D1E-9C56-B559E3DE0953}"/>
    <cellStyle name="Migliaia 5 2 3 3 2 2 2 3 2" xfId="22105" xr:uid="{D109E18C-075F-4222-99A8-2A5FF0153E5C}"/>
    <cellStyle name="Migliaia 5 2 3 3 2 2 2 4" xfId="18817" xr:uid="{A34E74B7-552B-42EE-A04E-6023F00A5FBD}"/>
    <cellStyle name="Migliaia 5 2 3 3 2 2 3" xfId="4696" xr:uid="{19926FF6-2D26-4FDA-B20B-3DDB1187D310}"/>
    <cellStyle name="Migliaia 5 2 3 3 2 2 3 2" xfId="12181" xr:uid="{FAB4E32F-EE1E-49CE-A5B7-0BDF5F608586}"/>
    <cellStyle name="Migliaia 5 2 3 3 2 2 3 2 2" xfId="15727" xr:uid="{4DE4D0D2-3362-482E-9DB0-A3DD5C9C0916}"/>
    <cellStyle name="Migliaia 5 2 3 3 2 2 3 2 2 2" xfId="30904" xr:uid="{F639938A-E7CC-460A-9802-E81C42AD2BBF}"/>
    <cellStyle name="Migliaia 5 2 3 3 2 2 3 2 3" xfId="27359" xr:uid="{75A46416-0A01-45EF-903C-1E0A59C3B4A0}"/>
    <cellStyle name="Migliaia 5 2 3 3 2 2 3 3" xfId="8007" xr:uid="{17DA7D74-7224-459B-BB75-5A34CADC48DF}"/>
    <cellStyle name="Migliaia 5 2 3 3 2 2 3 3 2" xfId="23187" xr:uid="{B807AF83-1E16-4581-924C-333F7B06EE76}"/>
    <cellStyle name="Migliaia 5 2 3 3 2 2 3 4" xfId="19899" xr:uid="{DE6E92F4-AA65-4DF3-B091-E2B057EAF87A}"/>
    <cellStyle name="Migliaia 5 2 3 3 2 2 4" xfId="2724" xr:uid="{BA9B78AA-F23F-4BF8-A587-01138DBB9D75}"/>
    <cellStyle name="Migliaia 5 2 3 3 2 2 4 2" xfId="10215" xr:uid="{485B5118-81AE-4A82-B594-DABFD5EED245}"/>
    <cellStyle name="Migliaia 5 2 3 3 2 2 4 2 2" xfId="25393" xr:uid="{E1AD4908-18BD-4FFE-B411-83AD2555C1AA}"/>
    <cellStyle name="Migliaia 5 2 3 3 2 2 4 3" xfId="17933" xr:uid="{578D4054-9FF5-4B58-A309-5B0190AA05EF}"/>
    <cellStyle name="Migliaia 5 2 3 3 2 2 5" xfId="8817" xr:uid="{632A55A2-2A2B-43A3-AF1C-437F98AE72A1}"/>
    <cellStyle name="Migliaia 5 2 3 3 2 2 5 2" xfId="12990" xr:uid="{FE3915EB-29E9-448A-845C-ACFF5D7236B0}"/>
    <cellStyle name="Migliaia 5 2 3 3 2 2 5 2 2" xfId="28167" xr:uid="{3D12F2D0-8F77-4BF9-B4DC-D411A707CDCD}"/>
    <cellStyle name="Migliaia 5 2 3 3 2 2 5 3" xfId="23995" xr:uid="{22EC14AA-9373-4734-8D57-271670E0ADC1}"/>
    <cellStyle name="Migliaia 5 2 3 3 2 2 6" xfId="6041" xr:uid="{60D71476-E44C-48AF-9E16-CE662FB0DF01}"/>
    <cellStyle name="Migliaia 5 2 3 3 2 2 6 2" xfId="21221" xr:uid="{11AB0BEE-DF63-46E0-AE0F-2373AA5B52F6}"/>
    <cellStyle name="Migliaia 5 2 3 3 2 2 7" xfId="16535" xr:uid="{10E80454-E4BD-48F5-AAAE-070D86784349}"/>
    <cellStyle name="Migliaia 5 2 3 3 2 3" xfId="2451" xr:uid="{4D7E3D73-AB2D-4C63-9209-6D26089720E4}"/>
    <cellStyle name="Migliaia 5 2 3 3 2 3 2" xfId="9943" xr:uid="{6A2E3355-1BF7-4F21-B401-CEC2C8CF0E6B}"/>
    <cellStyle name="Migliaia 5 2 3 3 2 3 2 2" xfId="13602" xr:uid="{10C20BF5-9AF7-4F15-B0C3-4838FCB34C5C}"/>
    <cellStyle name="Migliaia 5 2 3 3 2 3 2 2 2" xfId="28779" xr:uid="{6CECFD80-E7D5-4F28-A604-A5ED68C9708C}"/>
    <cellStyle name="Migliaia 5 2 3 3 2 3 2 3" xfId="25121" xr:uid="{A9F977E1-1008-4984-ACB1-2BC43876C67C}"/>
    <cellStyle name="Migliaia 5 2 3 3 2 3 3" xfId="5769" xr:uid="{97825615-F6D4-4859-9DC7-0361071720BB}"/>
    <cellStyle name="Migliaia 5 2 3 3 2 3 3 2" xfId="20949" xr:uid="{DB85E6CB-1B0D-40B7-AF26-A0E6B9CAD6E8}"/>
    <cellStyle name="Migliaia 5 2 3 3 2 3 4" xfId="17661" xr:uid="{0919851A-2981-426C-AC65-7D4877E6EFEE}"/>
    <cellStyle name="Migliaia 5 2 3 3 2 4" xfId="3339" xr:uid="{F19BCDEE-8EF8-481A-B92D-B17BA6D5327C}"/>
    <cellStyle name="Migliaia 5 2 3 3 2 4 2" xfId="10827" xr:uid="{98CEB2D2-4EC6-43E3-96B8-6D66462506FF}"/>
    <cellStyle name="Migliaia 5 2 3 3 2 4 2 2" xfId="14373" xr:uid="{684B8417-3876-40EF-A305-5A3D967AFD08}"/>
    <cellStyle name="Migliaia 5 2 3 3 2 4 2 2 2" xfId="29550" xr:uid="{5DEFB4C8-2DE0-4B4F-83C3-908515138D13}"/>
    <cellStyle name="Migliaia 5 2 3 3 2 4 2 3" xfId="26005" xr:uid="{475E3EB6-F636-406E-8A89-C1129B4CAB2C}"/>
    <cellStyle name="Migliaia 5 2 3 3 2 4 3" xfId="6653" xr:uid="{5AE03655-A258-4CFA-906B-52120731974E}"/>
    <cellStyle name="Migliaia 5 2 3 3 2 4 3 2" xfId="21833" xr:uid="{8B089563-81D9-4E4C-8C59-A38E65CBF9A4}"/>
    <cellStyle name="Migliaia 5 2 3 3 2 4 4" xfId="18545" xr:uid="{B69EA561-FF08-42F6-A313-669E0DB49361}"/>
    <cellStyle name="Migliaia 5 2 3 3 2 5" xfId="4697" xr:uid="{3151D5C3-2D6A-4AC5-A01A-1F6E5FA8A2C4}"/>
    <cellStyle name="Migliaia 5 2 3 3 2 5 2" xfId="12182" xr:uid="{360E1F5A-6561-48F4-A214-5F25B6092B82}"/>
    <cellStyle name="Migliaia 5 2 3 3 2 5 2 2" xfId="15728" xr:uid="{1726379D-44B2-4353-AFB1-5D1E075CB731}"/>
    <cellStyle name="Migliaia 5 2 3 3 2 5 2 2 2" xfId="30905" xr:uid="{FDFE4985-BB4B-4C95-8EFF-B7A2088618F7}"/>
    <cellStyle name="Migliaia 5 2 3 3 2 5 2 3" xfId="27360" xr:uid="{02AA58D2-FAAB-464C-9EB0-6DB2028925F5}"/>
    <cellStyle name="Migliaia 5 2 3 3 2 5 3" xfId="8008" xr:uid="{82E1B7F1-D4DB-454B-A25C-90371B8DAC01}"/>
    <cellStyle name="Migliaia 5 2 3 3 2 5 3 2" xfId="23188" xr:uid="{AA5F6161-5F65-41F8-A3CB-FA381D45C4EF}"/>
    <cellStyle name="Migliaia 5 2 3 3 2 5 4" xfId="19900" xr:uid="{428ED8A0-EB5B-4FE3-B286-D42ABE7142FA}"/>
    <cellStyle name="Migliaia 5 2 3 3 2 6" xfId="5013" xr:uid="{CF4CB754-553F-4E13-86AF-E51D01B5C70F}"/>
    <cellStyle name="Migliaia 5 2 3 3 2 6 2" xfId="12497" xr:uid="{19248BA8-C8E5-4878-B983-BCDD4102F6E7}"/>
    <cellStyle name="Migliaia 5 2 3 3 2 6 2 2" xfId="16043" xr:uid="{CA8F75BE-7B37-4775-8814-0FD97DC1F80E}"/>
    <cellStyle name="Migliaia 5 2 3 3 2 6 2 2 2" xfId="31220" xr:uid="{796D74BC-973C-4E82-BE89-9D99E6CBC249}"/>
    <cellStyle name="Migliaia 5 2 3 3 2 6 2 3" xfId="27675" xr:uid="{6B444EA8-8E5E-4BCA-B871-22CC18068FD1}"/>
    <cellStyle name="Migliaia 5 2 3 3 2 6 3" xfId="8323" xr:uid="{69F82433-0886-4C7F-9A9A-7B4D30225E55}"/>
    <cellStyle name="Migliaia 5 2 3 3 2 6 3 2" xfId="23503" xr:uid="{4B0D3DAA-4B1C-47D2-83D1-120C5E522C9E}"/>
    <cellStyle name="Migliaia 5 2 3 3 2 6 4" xfId="20215" xr:uid="{DAA48E7D-B7B0-4A8E-A595-C284F1023EB0}"/>
    <cellStyle name="Migliaia 5 2 3 3 2 7" xfId="1834" xr:uid="{695D127A-09C5-465F-8299-A86906715DD3}"/>
    <cellStyle name="Migliaia 5 2 3 3 2 7 2" xfId="9331" xr:uid="{EB308A69-FA22-4551-A64C-BDE723B6D7FD}"/>
    <cellStyle name="Migliaia 5 2 3 3 2 7 2 2" xfId="24509" xr:uid="{67225895-3AC4-4234-9369-D887A88520DA}"/>
    <cellStyle name="Migliaia 5 2 3 3 2 7 3" xfId="17049" xr:uid="{CACF4D2A-3084-4CBD-972D-6D1EEA69B54B}"/>
    <cellStyle name="Migliaia 5 2 3 3 2 8" xfId="8545" xr:uid="{B87726DB-ED68-4E46-88D0-80AA295F31E3}"/>
    <cellStyle name="Migliaia 5 2 3 3 2 8 2" xfId="12718" xr:uid="{9ABF1586-DBE2-4CBE-AD9A-AE9DF98F8580}"/>
    <cellStyle name="Migliaia 5 2 3 3 2 8 2 2" xfId="27895" xr:uid="{434FB4BF-70B4-4342-A62B-A060A9E26835}"/>
    <cellStyle name="Migliaia 5 2 3 3 2 8 3" xfId="23723" xr:uid="{5164108A-AA0B-4324-B49B-1C393076A832}"/>
    <cellStyle name="Migliaia 5 2 3 3 2 9" xfId="5157" xr:uid="{87995437-CC93-4B49-A0A6-D6FC1E09BFAD}"/>
    <cellStyle name="Migliaia 5 2 3 3 2 9 2" xfId="20337" xr:uid="{AFA957A2-BAC6-4E32-A6D6-E66E071DB820}"/>
    <cellStyle name="Migliaia 5 2 3 3 3" xfId="1036" xr:uid="{6FC23A67-9334-4425-904C-2E7B34170D48}"/>
    <cellStyle name="Migliaia 5 2 3 3 3 10" xfId="31581" xr:uid="{B0C05293-9BC7-45E1-A078-3D4BF94C8E0C}"/>
    <cellStyle name="Migliaia 5 2 3 3 3 2" xfId="1396" xr:uid="{D6F7E710-08A1-4A05-99FA-B5F7064273C6}"/>
    <cellStyle name="Migliaia 5 2 3 3 3 2 2" xfId="3709" xr:uid="{41FD51A5-E4B1-4A7B-9104-12D819F167F1}"/>
    <cellStyle name="Migliaia 5 2 3 3 3 2 2 2" xfId="11197" xr:uid="{44D453A0-3FF4-486F-AD53-A9404610A82F}"/>
    <cellStyle name="Migliaia 5 2 3 3 3 2 2 2 2" xfId="14743" xr:uid="{CE2B5EC2-FF03-46F4-8655-29C2D2B3B9A8}"/>
    <cellStyle name="Migliaia 5 2 3 3 3 2 2 2 2 2" xfId="29920" xr:uid="{ACDC6B9C-9063-4AF0-80F1-3DB1B39F00D3}"/>
    <cellStyle name="Migliaia 5 2 3 3 3 2 2 2 3" xfId="26375" xr:uid="{52EA8058-BB53-4DFB-B18A-8B7B40A0B363}"/>
    <cellStyle name="Migliaia 5 2 3 3 3 2 2 3" xfId="7023" xr:uid="{ABD13665-D2E4-425D-8C84-95120DF0BA0C}"/>
    <cellStyle name="Migliaia 5 2 3 3 3 2 2 3 2" xfId="22203" xr:uid="{2A85453F-4631-414B-A2E6-98168B15C4CB}"/>
    <cellStyle name="Migliaia 5 2 3 3 3 2 2 4" xfId="18915" xr:uid="{F3691B55-389A-4B08-B994-DF20D8D4823A}"/>
    <cellStyle name="Migliaia 5 2 3 3 3 2 3" xfId="4698" xr:uid="{AC535377-4035-4FDE-A9B4-8010895A0F21}"/>
    <cellStyle name="Migliaia 5 2 3 3 3 2 3 2" xfId="12183" xr:uid="{59E542DF-B613-41E6-BBCC-C75D5BB3F595}"/>
    <cellStyle name="Migliaia 5 2 3 3 3 2 3 2 2" xfId="15729" xr:uid="{B0513A3C-599F-4A55-B947-7C45930502CD}"/>
    <cellStyle name="Migliaia 5 2 3 3 3 2 3 2 2 2" xfId="30906" xr:uid="{FABB2DF8-38FA-4EE6-ACF9-B64333BCAAA8}"/>
    <cellStyle name="Migliaia 5 2 3 3 3 2 3 2 3" xfId="27361" xr:uid="{0BA75AEA-CB39-49F1-AEA4-36F299A20E99}"/>
    <cellStyle name="Migliaia 5 2 3 3 3 2 3 3" xfId="8009" xr:uid="{B74E37EE-4174-45B1-A5F1-F196EB667555}"/>
    <cellStyle name="Migliaia 5 2 3 3 3 2 3 3 2" xfId="23189" xr:uid="{0F44349E-850E-4D77-A01D-116424D8DFB7}"/>
    <cellStyle name="Migliaia 5 2 3 3 3 2 3 4" xfId="19901" xr:uid="{4CE4DDC2-4F00-461A-9408-CB010A202D00}"/>
    <cellStyle name="Migliaia 5 2 3 3 3 2 4" xfId="2822" xr:uid="{4498A712-754E-471D-B9B1-C5CFE611D0BD}"/>
    <cellStyle name="Migliaia 5 2 3 3 3 2 4 2" xfId="10313" xr:uid="{81C75BC0-3CAA-42E6-AB3B-6A9A2E557371}"/>
    <cellStyle name="Migliaia 5 2 3 3 3 2 4 2 2" xfId="25491" xr:uid="{2A3213F0-F423-4587-A087-E1D6F9F93689}"/>
    <cellStyle name="Migliaia 5 2 3 3 3 2 4 3" xfId="18031" xr:uid="{D9DB1327-0054-46BF-A0D4-80C40D680423}"/>
    <cellStyle name="Migliaia 5 2 3 3 3 2 5" xfId="8915" xr:uid="{6FAB6F48-ABF6-4B8D-AA82-B6734ABF0011}"/>
    <cellStyle name="Migliaia 5 2 3 3 3 2 5 2" xfId="13088" xr:uid="{78DF3F56-D436-4D71-B79B-C2878A07B8E9}"/>
    <cellStyle name="Migliaia 5 2 3 3 3 2 5 2 2" xfId="28265" xr:uid="{0AA1AACD-72B7-4B92-834C-3EEC38DDCB55}"/>
    <cellStyle name="Migliaia 5 2 3 3 3 2 5 3" xfId="24093" xr:uid="{1CABDFD2-F94C-479F-89EE-8AEC6E7F6CD1}"/>
    <cellStyle name="Migliaia 5 2 3 3 3 2 6" xfId="6139" xr:uid="{E9A07090-9D9A-4AD6-AABD-B45E659C331D}"/>
    <cellStyle name="Migliaia 5 2 3 3 3 2 6 2" xfId="21319" xr:uid="{402C2EB4-747B-4F1F-B00A-FB89B95BBDDD}"/>
    <cellStyle name="Migliaia 5 2 3 3 3 2 7" xfId="16633" xr:uid="{7746EC53-9476-4BF8-9821-73A868C39A7B}"/>
    <cellStyle name="Migliaia 5 2 3 3 3 3" xfId="2549" xr:uid="{725036F0-079D-4AE7-A06E-3A4B52EA0819}"/>
    <cellStyle name="Migliaia 5 2 3 3 3 3 2" xfId="10041" xr:uid="{0EA5694E-8B0C-4607-84A1-AEA7241EA422}"/>
    <cellStyle name="Migliaia 5 2 3 3 3 3 2 2" xfId="13700" xr:uid="{C3473CFA-B1C1-4192-88B7-DA982BF7198C}"/>
    <cellStyle name="Migliaia 5 2 3 3 3 3 2 2 2" xfId="28877" xr:uid="{63A0A819-43CC-41DA-816A-808A66F064AD}"/>
    <cellStyle name="Migliaia 5 2 3 3 3 3 2 3" xfId="25219" xr:uid="{2F3A596C-7B5E-4022-A4BF-272E6413269C}"/>
    <cellStyle name="Migliaia 5 2 3 3 3 3 3" xfId="5867" xr:uid="{D7056711-2A2C-4B68-B89F-B19712D2D9A1}"/>
    <cellStyle name="Migliaia 5 2 3 3 3 3 3 2" xfId="21047" xr:uid="{DEE2224E-1559-4557-8B15-1888CCFCA468}"/>
    <cellStyle name="Migliaia 5 2 3 3 3 3 4" xfId="17759" xr:uid="{CEBB4384-4629-40E5-A30F-B31D79C71245}"/>
    <cellStyle name="Migliaia 5 2 3 3 3 4" xfId="3437" xr:uid="{F7D76D6F-CE55-45CB-8C96-12FDE3ED02D9}"/>
    <cellStyle name="Migliaia 5 2 3 3 3 4 2" xfId="10925" xr:uid="{3C17318F-6407-47E3-B19F-4094DC8ED678}"/>
    <cellStyle name="Migliaia 5 2 3 3 3 4 2 2" xfId="14471" xr:uid="{CD1F1453-F7A6-4F73-8F80-CD07A88462DC}"/>
    <cellStyle name="Migliaia 5 2 3 3 3 4 2 2 2" xfId="29648" xr:uid="{F530B949-EC9D-4A9B-A4BB-5AE9E7D68E93}"/>
    <cellStyle name="Migliaia 5 2 3 3 3 4 2 3" xfId="26103" xr:uid="{76ED1A32-4688-4FD0-BB45-B92BD7ABEC85}"/>
    <cellStyle name="Migliaia 5 2 3 3 3 4 3" xfId="6751" xr:uid="{EE28334B-8D84-41C7-B46B-AB0549B28F91}"/>
    <cellStyle name="Migliaia 5 2 3 3 3 4 3 2" xfId="21931" xr:uid="{7FA58336-2D5F-44F1-9E21-FA0AE952AB49}"/>
    <cellStyle name="Migliaia 5 2 3 3 3 4 4" xfId="18643" xr:uid="{EF23350C-12C8-4687-8FAC-B40BDA84125E}"/>
    <cellStyle name="Migliaia 5 2 3 3 3 5" xfId="4699" xr:uid="{7A896310-19ED-40D2-8117-EC64FD7C8F0C}"/>
    <cellStyle name="Migliaia 5 2 3 3 3 5 2" xfId="12184" xr:uid="{CAB65895-DB13-4A01-AF52-79FF69E0AFB8}"/>
    <cellStyle name="Migliaia 5 2 3 3 3 5 2 2" xfId="15730" xr:uid="{38702967-64FA-4B4C-A7D4-087FCBC1E353}"/>
    <cellStyle name="Migliaia 5 2 3 3 3 5 2 2 2" xfId="30907" xr:uid="{0B69CA64-40F1-4565-9861-BEF570448B7B}"/>
    <cellStyle name="Migliaia 5 2 3 3 3 5 2 3" xfId="27362" xr:uid="{BA0F9204-4C82-4B14-8EFA-8280177F20BC}"/>
    <cellStyle name="Migliaia 5 2 3 3 3 5 3" xfId="8010" xr:uid="{C49E3760-4AAE-4494-AC52-3855B1FDD505}"/>
    <cellStyle name="Migliaia 5 2 3 3 3 5 3 2" xfId="23190" xr:uid="{3D7B34A5-6D9D-4640-B51B-1AB606EA9129}"/>
    <cellStyle name="Migliaia 5 2 3 3 3 5 4" xfId="19902" xr:uid="{07D4B5AE-E6DA-492E-9326-3B6DD1B8359E}"/>
    <cellStyle name="Migliaia 5 2 3 3 3 6" xfId="1932" xr:uid="{58B8D7B5-1CA3-45DD-8A80-04849162FAFB}"/>
    <cellStyle name="Migliaia 5 2 3 3 3 6 2" xfId="9429" xr:uid="{1E4BCDF0-4132-49CF-9040-85DF08D9AE7C}"/>
    <cellStyle name="Migliaia 5 2 3 3 3 6 2 2" xfId="24607" xr:uid="{8C73F25E-13BD-4522-9D4E-A9238833E667}"/>
    <cellStyle name="Migliaia 5 2 3 3 3 6 3" xfId="17147" xr:uid="{788E212B-81D9-4C01-A909-0875E2177E4F}"/>
    <cellStyle name="Migliaia 5 2 3 3 3 7" xfId="8643" xr:uid="{DF94E2AC-6A55-4E7B-B20D-79009EF60E79}"/>
    <cellStyle name="Migliaia 5 2 3 3 3 7 2" xfId="12816" xr:uid="{0D53EF29-65A4-47F8-96A2-168F7C8D1A86}"/>
    <cellStyle name="Migliaia 5 2 3 3 3 7 2 2" xfId="27993" xr:uid="{E031C535-78BE-4597-A4A3-5BADB97098B0}"/>
    <cellStyle name="Migliaia 5 2 3 3 3 7 3" xfId="23821" xr:uid="{9EB6552F-E2E3-4EF2-9792-68BFAA0D445F}"/>
    <cellStyle name="Migliaia 5 2 3 3 3 8" xfId="5255" xr:uid="{C141D39C-F550-4F44-9F20-A39FBC06B886}"/>
    <cellStyle name="Migliaia 5 2 3 3 3 8 2" xfId="20435" xr:uid="{3B33B274-8BF1-4F9A-91D6-6E1568BFA005}"/>
    <cellStyle name="Migliaia 5 2 3 3 3 9" xfId="16361" xr:uid="{83AD049E-A86F-4717-B1FD-BB0349169FED}"/>
    <cellStyle name="Migliaia 5 2 3 3 4" xfId="1495" xr:uid="{49ED2854-E4B8-4783-A047-8759754B1B4D}"/>
    <cellStyle name="Migliaia 5 2 3 3 4 2" xfId="2920" xr:uid="{E989DF5E-E40B-4682-9F7C-498E28D25E9F}"/>
    <cellStyle name="Migliaia 5 2 3 3 4 2 2" xfId="10411" xr:uid="{3850C9DA-5F64-423C-AAFA-29DDBAC4E023}"/>
    <cellStyle name="Migliaia 5 2 3 3 4 2 2 2" xfId="13957" xr:uid="{A8835A84-BBDE-4583-B149-4A815D389D30}"/>
    <cellStyle name="Migliaia 5 2 3 3 4 2 2 2 2" xfId="29134" xr:uid="{A431F812-0D55-4E00-9AA1-6F48D5692D4A}"/>
    <cellStyle name="Migliaia 5 2 3 3 4 2 2 3" xfId="25589" xr:uid="{9DE9D62A-D630-4ADE-AE03-860CA43FD336}"/>
    <cellStyle name="Migliaia 5 2 3 3 4 2 3" xfId="6237" xr:uid="{060541CD-BB18-4FD1-B6E7-F819CBD3B4B2}"/>
    <cellStyle name="Migliaia 5 2 3 3 4 2 3 2" xfId="21417" xr:uid="{9EC1A0E3-0DF2-47B5-AC0E-D29F678EC4B3}"/>
    <cellStyle name="Migliaia 5 2 3 3 4 2 4" xfId="18129" xr:uid="{4041E5B6-BAD0-45E8-86C4-F8645CBE8EE6}"/>
    <cellStyle name="Migliaia 5 2 3 3 4 3" xfId="3807" xr:uid="{98954C73-28E0-47CF-A2F8-168870ED57AE}"/>
    <cellStyle name="Migliaia 5 2 3 3 4 3 2" xfId="11295" xr:uid="{9B247E05-0330-4F94-ABE1-AD086D78A938}"/>
    <cellStyle name="Migliaia 5 2 3 3 4 3 2 2" xfId="14841" xr:uid="{DE961251-F59B-428B-8A60-B8778D8E6610}"/>
    <cellStyle name="Migliaia 5 2 3 3 4 3 2 2 2" xfId="30018" xr:uid="{96812A66-3F51-4D66-8ADD-7C49FAB85602}"/>
    <cellStyle name="Migliaia 5 2 3 3 4 3 2 3" xfId="26473" xr:uid="{F9C8314E-19BF-457C-A8B2-99845476ED08}"/>
    <cellStyle name="Migliaia 5 2 3 3 4 3 3" xfId="7121" xr:uid="{DFEEF4BD-CFD1-410A-8F8B-FE531CAA1C9A}"/>
    <cellStyle name="Migliaia 5 2 3 3 4 3 3 2" xfId="22301" xr:uid="{DDAC4095-A413-406E-84DE-8EDC78BEBC7D}"/>
    <cellStyle name="Migliaia 5 2 3 3 4 3 4" xfId="19013" xr:uid="{AB51690F-A2E3-46F3-9626-817508360C78}"/>
    <cellStyle name="Migliaia 5 2 3 3 4 4" xfId="4700" xr:uid="{94023B13-90E3-4603-A676-7FB93853DED1}"/>
    <cellStyle name="Migliaia 5 2 3 3 4 4 2" xfId="12185" xr:uid="{C98DDC4E-6D6F-429C-96EF-26D242D71E02}"/>
    <cellStyle name="Migliaia 5 2 3 3 4 4 2 2" xfId="15731" xr:uid="{B2DE4965-223C-474A-8DA1-001634EB280B}"/>
    <cellStyle name="Migliaia 5 2 3 3 4 4 2 2 2" xfId="30908" xr:uid="{1A8F4D62-6151-4402-B1A2-DE90791266CC}"/>
    <cellStyle name="Migliaia 5 2 3 3 4 4 2 3" xfId="27363" xr:uid="{A5E9A39B-DDF1-49AB-9D71-48384A046241}"/>
    <cellStyle name="Migliaia 5 2 3 3 4 4 3" xfId="8011" xr:uid="{C752B416-0420-4F57-82C7-6987D26991D0}"/>
    <cellStyle name="Migliaia 5 2 3 3 4 4 3 2" xfId="23191" xr:uid="{9646B8B5-6AE0-4FE0-BBC2-2FCFCDE8B9C7}"/>
    <cellStyle name="Migliaia 5 2 3 3 4 4 4" xfId="19903" xr:uid="{611012A9-2EF0-4879-9619-2D971D69D9F1}"/>
    <cellStyle name="Migliaia 5 2 3 3 4 5" xfId="2030" xr:uid="{8A4EFC2B-3352-41F0-9879-EA0E121FD4B4}"/>
    <cellStyle name="Migliaia 5 2 3 3 4 5 2" xfId="9527" xr:uid="{4B780A7C-18B2-47B3-BE05-258761F0B063}"/>
    <cellStyle name="Migliaia 5 2 3 3 4 5 2 2" xfId="24705" xr:uid="{B7DCF7C1-7C11-465E-A5F3-A6F71D8E94B0}"/>
    <cellStyle name="Migliaia 5 2 3 3 4 5 3" xfId="17245" xr:uid="{6770D54E-13CE-4587-9456-9D24D648863D}"/>
    <cellStyle name="Migliaia 5 2 3 3 4 6" xfId="9013" xr:uid="{D8E36EC0-1331-4696-9804-75579E51EE96}"/>
    <cellStyle name="Migliaia 5 2 3 3 4 6 2" xfId="13186" xr:uid="{4956C408-34C6-4D84-A256-1C08826E1A4A}"/>
    <cellStyle name="Migliaia 5 2 3 3 4 6 2 2" xfId="28363" xr:uid="{DD973284-D7F8-47F0-9836-491FBAD8CCF9}"/>
    <cellStyle name="Migliaia 5 2 3 3 4 6 3" xfId="24191" xr:uid="{0FA2A37C-DBE7-42D9-BA54-D3116D1989AE}"/>
    <cellStyle name="Migliaia 5 2 3 3 4 7" xfId="5353" xr:uid="{E9DE6224-C182-44B0-9699-BB115D747281}"/>
    <cellStyle name="Migliaia 5 2 3 3 4 7 2" xfId="20533" xr:uid="{7F0B1CCD-67E9-420C-9E37-A78EEF7E5AF3}"/>
    <cellStyle name="Migliaia 5 2 3 3 4 8" xfId="16731" xr:uid="{CB40EC87-5B39-4661-AC9C-4866C8028AD9}"/>
    <cellStyle name="Migliaia 5 2 3 3 5" xfId="1598" xr:uid="{DDE94420-1D7E-4C48-8C27-C21A0D95CFA4}"/>
    <cellStyle name="Migliaia 5 2 3 3 5 2" xfId="3018" xr:uid="{22AF43D0-89FB-45AA-9B59-E5F3D6A719DA}"/>
    <cellStyle name="Migliaia 5 2 3 3 5 2 2" xfId="10509" xr:uid="{8893CC16-4A9F-4F0C-B25A-1A471D5A3573}"/>
    <cellStyle name="Migliaia 5 2 3 3 5 2 2 2" xfId="14055" xr:uid="{2E73C688-15BA-4FCE-AC2F-D755E4A2B104}"/>
    <cellStyle name="Migliaia 5 2 3 3 5 2 2 2 2" xfId="29232" xr:uid="{983EA58C-F483-4642-A520-04674BF6ABE1}"/>
    <cellStyle name="Migliaia 5 2 3 3 5 2 2 3" xfId="25687" xr:uid="{298E4E21-F39A-4C92-B10F-A89B776170A3}"/>
    <cellStyle name="Migliaia 5 2 3 3 5 2 3" xfId="6335" xr:uid="{093CDD45-ADBE-455F-BCEF-7F3CADDDF9AF}"/>
    <cellStyle name="Migliaia 5 2 3 3 5 2 3 2" xfId="21515" xr:uid="{3A5F6C5D-83A7-47B2-8A79-1C48FB2C8AF0}"/>
    <cellStyle name="Migliaia 5 2 3 3 5 2 4" xfId="18227" xr:uid="{D4237E98-9633-4FDD-BC51-243ACD26F89C}"/>
    <cellStyle name="Migliaia 5 2 3 3 5 3" xfId="3905" xr:uid="{4F1BC8C6-FCAA-46BF-A703-FC636DFB3F79}"/>
    <cellStyle name="Migliaia 5 2 3 3 5 3 2" xfId="11393" xr:uid="{221D7073-2726-4E29-B922-84EF1707CEB4}"/>
    <cellStyle name="Migliaia 5 2 3 3 5 3 2 2" xfId="14939" xr:uid="{8D48E2C7-5841-4469-BEC1-22D42E0ACECC}"/>
    <cellStyle name="Migliaia 5 2 3 3 5 3 2 2 2" xfId="30116" xr:uid="{B31E2678-A20C-49F7-9598-BCE9D494D032}"/>
    <cellStyle name="Migliaia 5 2 3 3 5 3 2 3" xfId="26571" xr:uid="{AFC17617-F1F3-47AB-B208-163C1A2BB75F}"/>
    <cellStyle name="Migliaia 5 2 3 3 5 3 3" xfId="7219" xr:uid="{645993F7-6046-405C-B518-C78394CF5FE4}"/>
    <cellStyle name="Migliaia 5 2 3 3 5 3 3 2" xfId="22399" xr:uid="{26B28B68-B4A9-492C-8162-DD846F65110C}"/>
    <cellStyle name="Migliaia 5 2 3 3 5 3 4" xfId="19111" xr:uid="{140E0194-7E98-42CF-8E8E-93B6DCCD16C9}"/>
    <cellStyle name="Migliaia 5 2 3 3 5 4" xfId="4701" xr:uid="{F2E91098-4173-4F73-910C-8D69A0CD3118}"/>
    <cellStyle name="Migliaia 5 2 3 3 5 4 2" xfId="12186" xr:uid="{EB2A493A-CC5D-4DC1-93D3-7372C5209B90}"/>
    <cellStyle name="Migliaia 5 2 3 3 5 4 2 2" xfId="15732" xr:uid="{5FD64024-E797-414E-A77B-2A58A4BC1FAD}"/>
    <cellStyle name="Migliaia 5 2 3 3 5 4 2 2 2" xfId="30909" xr:uid="{A04D95EA-6F38-48B4-99BA-D2A5C29B9E08}"/>
    <cellStyle name="Migliaia 5 2 3 3 5 4 2 3" xfId="27364" xr:uid="{96ADCBB7-0E17-4226-A73C-05981319011F}"/>
    <cellStyle name="Migliaia 5 2 3 3 5 4 3" xfId="8012" xr:uid="{4F1E0BE7-DB0D-4CB2-9CF5-E2CBE7E35B1D}"/>
    <cellStyle name="Migliaia 5 2 3 3 5 4 3 2" xfId="23192" xr:uid="{4867D1C0-5E59-458D-A611-919D17C941AD}"/>
    <cellStyle name="Migliaia 5 2 3 3 5 4 4" xfId="19904" xr:uid="{08FD1943-9E1D-43E4-BC5B-E968B147DC9D}"/>
    <cellStyle name="Migliaia 5 2 3 3 5 5" xfId="2128" xr:uid="{832A29BC-8364-44BC-A4E7-0CF0B056B0D9}"/>
    <cellStyle name="Migliaia 5 2 3 3 5 5 2" xfId="9625" xr:uid="{5B5BB1E6-5AC6-49DE-BEF0-2DF25268A577}"/>
    <cellStyle name="Migliaia 5 2 3 3 5 5 2 2" xfId="24803" xr:uid="{1702EDDD-EA37-4475-9B04-F6CD8810B7FC}"/>
    <cellStyle name="Migliaia 5 2 3 3 5 5 3" xfId="17343" xr:uid="{E9B35AF4-B7D4-474F-98C8-CBF90ABBA17B}"/>
    <cellStyle name="Migliaia 5 2 3 3 5 6" xfId="9111" xr:uid="{40E65003-A2D4-4ACB-953D-4BA959382FEC}"/>
    <cellStyle name="Migliaia 5 2 3 3 5 6 2" xfId="13284" xr:uid="{ADF9CAF7-B72A-471B-B42A-602F070D3DE4}"/>
    <cellStyle name="Migliaia 5 2 3 3 5 6 2 2" xfId="28461" xr:uid="{D82638FB-4CA3-4FD8-B742-DCB0EDD62755}"/>
    <cellStyle name="Migliaia 5 2 3 3 5 6 3" xfId="24289" xr:uid="{D987F3BE-5D2D-47A4-B995-3E22672721B6}"/>
    <cellStyle name="Migliaia 5 2 3 3 5 7" xfId="5451" xr:uid="{8D2D0CC4-51A7-4A73-892A-4D4C3C2BE4FE}"/>
    <cellStyle name="Migliaia 5 2 3 3 5 7 2" xfId="20631" xr:uid="{376CB038-F017-4A56-B916-A7659002150F}"/>
    <cellStyle name="Migliaia 5 2 3 3 5 8" xfId="16829" xr:uid="{CCA99A15-14E9-4F09-9DEB-D84C1138F30F}"/>
    <cellStyle name="Migliaia 5 2 3 3 6" xfId="1697" xr:uid="{EEC03116-EE31-4284-A4C0-DF3E7FF2F009}"/>
    <cellStyle name="Migliaia 5 2 3 3 6 2" xfId="3116" xr:uid="{299689B4-9107-4FFB-ADEA-5DD7DCB62C29}"/>
    <cellStyle name="Migliaia 5 2 3 3 6 2 2" xfId="10607" xr:uid="{D5D7560D-E77B-4FB6-8BD6-E0099E40047A}"/>
    <cellStyle name="Migliaia 5 2 3 3 6 2 2 2" xfId="14153" xr:uid="{081AA81B-8526-4C45-97AD-AFC08869F82F}"/>
    <cellStyle name="Migliaia 5 2 3 3 6 2 2 2 2" xfId="29330" xr:uid="{5D8BD248-D6E9-4E3B-84DA-BF9CF8900F87}"/>
    <cellStyle name="Migliaia 5 2 3 3 6 2 2 3" xfId="25785" xr:uid="{0AFCAC7B-873D-4F0C-8CBF-6F515DFB3838}"/>
    <cellStyle name="Migliaia 5 2 3 3 6 2 3" xfId="6433" xr:uid="{5FB91BC9-A674-43D6-8EDB-5F9C95721A5B}"/>
    <cellStyle name="Migliaia 5 2 3 3 6 2 3 2" xfId="21613" xr:uid="{A698897D-9726-4057-9FA0-AA8CDD3451BF}"/>
    <cellStyle name="Migliaia 5 2 3 3 6 2 4" xfId="18325" xr:uid="{E0CB64C9-693C-4665-8550-07F9118961E5}"/>
    <cellStyle name="Migliaia 5 2 3 3 6 3" xfId="4003" xr:uid="{5CCD99CA-A3BE-48A2-9ABE-8ACA74C07687}"/>
    <cellStyle name="Migliaia 5 2 3 3 6 3 2" xfId="11491" xr:uid="{EC60CA46-1D8E-41E6-A139-B0452096527D}"/>
    <cellStyle name="Migliaia 5 2 3 3 6 3 2 2" xfId="15037" xr:uid="{85E980FA-D505-44DE-A3BC-96F5839C1096}"/>
    <cellStyle name="Migliaia 5 2 3 3 6 3 2 2 2" xfId="30214" xr:uid="{8B7DC1D6-1858-4DF1-948E-86719EEA772E}"/>
    <cellStyle name="Migliaia 5 2 3 3 6 3 2 3" xfId="26669" xr:uid="{1C9D2AD3-A192-4CEC-8CA0-6580A2D0D6F0}"/>
    <cellStyle name="Migliaia 5 2 3 3 6 3 3" xfId="7317" xr:uid="{B4E0DA2C-8225-441C-8CA3-1ED4CDC4F0A7}"/>
    <cellStyle name="Migliaia 5 2 3 3 6 3 3 2" xfId="22497" xr:uid="{C9D0D825-C5E2-4673-AFC5-DD5B113C4828}"/>
    <cellStyle name="Migliaia 5 2 3 3 6 3 4" xfId="19209" xr:uid="{C9291BD1-F439-4862-8923-0FF198E6274A}"/>
    <cellStyle name="Migliaia 5 2 3 3 6 4" xfId="4702" xr:uid="{17D7EF14-E7EE-4D40-AF19-DAE5E0EA0E5F}"/>
    <cellStyle name="Migliaia 5 2 3 3 6 4 2" xfId="12187" xr:uid="{1D623241-BED9-4DCD-8C9A-E757E0C7442B}"/>
    <cellStyle name="Migliaia 5 2 3 3 6 4 2 2" xfId="15733" xr:uid="{35BA54C9-7129-4CD8-9280-1D3E2D5D2FE5}"/>
    <cellStyle name="Migliaia 5 2 3 3 6 4 2 2 2" xfId="30910" xr:uid="{B8A1B3B4-A404-4C21-B1E7-CA6F2E1F482B}"/>
    <cellStyle name="Migliaia 5 2 3 3 6 4 2 3" xfId="27365" xr:uid="{B641F0F7-A4AD-46B5-9C6D-56F11E262090}"/>
    <cellStyle name="Migliaia 5 2 3 3 6 4 3" xfId="8013" xr:uid="{A6BF0D69-4E3B-424D-ACFC-83109B5D1185}"/>
    <cellStyle name="Migliaia 5 2 3 3 6 4 3 2" xfId="23193" xr:uid="{691A6644-14AE-4F27-B365-A0E9EEDB6064}"/>
    <cellStyle name="Migliaia 5 2 3 3 6 4 4" xfId="19905" xr:uid="{17E7C027-D22E-45AD-9D49-B57684E2ED9E}"/>
    <cellStyle name="Migliaia 5 2 3 3 6 5" xfId="2226" xr:uid="{7D1A1A92-3AB8-47C9-BE4E-CC7F925A9927}"/>
    <cellStyle name="Migliaia 5 2 3 3 6 5 2" xfId="9723" xr:uid="{EFFBDAFE-EE46-4A2C-AEC3-7C598AC7EEEC}"/>
    <cellStyle name="Migliaia 5 2 3 3 6 5 2 2" xfId="24901" xr:uid="{5BD12CDB-17E3-473A-8608-50539BFD7106}"/>
    <cellStyle name="Migliaia 5 2 3 3 6 5 3" xfId="17441" xr:uid="{C3363711-60D7-4053-A7DD-AC610E442E87}"/>
    <cellStyle name="Migliaia 5 2 3 3 6 6" xfId="9209" xr:uid="{928B350E-D8F2-40DB-9252-F0B6B4295CF9}"/>
    <cellStyle name="Migliaia 5 2 3 3 6 6 2" xfId="13382" xr:uid="{E3FB70AE-0C3B-49BF-9AF7-4D3DCE465689}"/>
    <cellStyle name="Migliaia 5 2 3 3 6 6 2 2" xfId="28559" xr:uid="{E8647662-C6EC-4136-B2C9-4C26F7D41059}"/>
    <cellStyle name="Migliaia 5 2 3 3 6 6 3" xfId="24387" xr:uid="{26D1358E-4E37-4D2F-B55D-5CFE841BA61F}"/>
    <cellStyle name="Migliaia 5 2 3 3 6 7" xfId="5549" xr:uid="{66A3312E-4850-432E-9B80-433872FB9675}"/>
    <cellStyle name="Migliaia 5 2 3 3 6 7 2" xfId="20729" xr:uid="{AA6EDB0F-FE3C-4579-B0A1-182D63524F11}"/>
    <cellStyle name="Migliaia 5 2 3 3 6 8" xfId="16927" xr:uid="{7D4359F5-2F5C-4304-8D87-2530F56FC802}"/>
    <cellStyle name="Migliaia 5 2 3 3 7" xfId="2326" xr:uid="{6C1BA0A6-26BC-4D94-8789-360E050B0DDF}"/>
    <cellStyle name="Migliaia 5 2 3 3 7 2" xfId="9821" xr:uid="{0137CEA1-788F-4AD2-BAE0-4EC3E5A9F9CA}"/>
    <cellStyle name="Migliaia 5 2 3 3 7 2 2" xfId="13480" xr:uid="{F1780F7F-5CE3-4E7D-A70F-E58C2421BECE}"/>
    <cellStyle name="Migliaia 5 2 3 3 7 2 2 2" xfId="28657" xr:uid="{358502C3-EC7F-4AB2-9059-8DEB3CDA06EC}"/>
    <cellStyle name="Migliaia 5 2 3 3 7 2 3" xfId="24999" xr:uid="{FB3EF44E-A30A-4D7C-9E20-E335F21A9DD6}"/>
    <cellStyle name="Migliaia 5 2 3 3 7 3" xfId="5647" xr:uid="{BD6A7ADB-05DD-4202-80AD-318FBF1FD9B5}"/>
    <cellStyle name="Migliaia 5 2 3 3 7 3 2" xfId="20827" xr:uid="{83CC26E4-5D6F-418A-B278-08E1CB433485}"/>
    <cellStyle name="Migliaia 5 2 3 3 7 4" xfId="17539" xr:uid="{07652CEB-1C40-4DF2-93D5-AF16428AAB68}"/>
    <cellStyle name="Migliaia 5 2 3 3 8" xfId="3216" xr:uid="{140899A9-501A-48D3-9D7E-969A17BCC852}"/>
    <cellStyle name="Migliaia 5 2 3 3 8 2" xfId="10705" xr:uid="{54C21F6C-F7F6-4174-8B8A-65CAD9D7F8A8}"/>
    <cellStyle name="Migliaia 5 2 3 3 8 2 2" xfId="14251" xr:uid="{1D86F11D-01A1-44C8-959C-6BF0692E3E6C}"/>
    <cellStyle name="Migliaia 5 2 3 3 8 2 2 2" xfId="29428" xr:uid="{83F21361-ADD8-475A-B169-E3D43F51E8F1}"/>
    <cellStyle name="Migliaia 5 2 3 3 8 2 3" xfId="25883" xr:uid="{2A8FC401-EFEB-4049-A6DD-E9DB9EA94335}"/>
    <cellStyle name="Migliaia 5 2 3 3 8 3" xfId="6531" xr:uid="{BE198412-DD34-4D5E-8863-47EA303587EB}"/>
    <cellStyle name="Migliaia 5 2 3 3 8 3 2" xfId="21711" xr:uid="{F2BDDA3B-82FF-405D-B2F4-F298197AC228}"/>
    <cellStyle name="Migliaia 5 2 3 3 8 4" xfId="18423" xr:uid="{2B424AD4-DE52-48C9-B80E-C39A30018EE9}"/>
    <cellStyle name="Migliaia 5 2 3 3 9" xfId="4703" xr:uid="{76433A5E-F5F3-4BC0-A623-00A7CA1CDAA6}"/>
    <cellStyle name="Migliaia 5 2 3 3 9 2" xfId="12188" xr:uid="{41942CD3-1F64-4743-8D8E-C36CAD505198}"/>
    <cellStyle name="Migliaia 5 2 3 3 9 2 2" xfId="15734" xr:uid="{62B226DD-6734-4B46-9D4C-6D7CE3C46AE1}"/>
    <cellStyle name="Migliaia 5 2 3 3 9 2 2 2" xfId="30911" xr:uid="{C3E9CDB2-DFC1-4078-A5A3-5146D716D0E4}"/>
    <cellStyle name="Migliaia 5 2 3 3 9 2 3" xfId="27366" xr:uid="{83A08416-C80C-41A5-AA89-499FCE97A78A}"/>
    <cellStyle name="Migliaia 5 2 3 3 9 3" xfId="8014" xr:uid="{783EA8E4-E92C-4130-90E2-6EF8001DEAFA}"/>
    <cellStyle name="Migliaia 5 2 3 3 9 3 2" xfId="23194" xr:uid="{FD9A03B6-86E7-4FD0-8E33-FF56403D05AF}"/>
    <cellStyle name="Migliaia 5 2 3 3 9 4" xfId="19906" xr:uid="{B8223FA2-551D-4B5E-AC8D-1F43BC6C8CC8}"/>
    <cellStyle name="Migliaia 5 2 3 4" xfId="884" xr:uid="{A07BE6EE-4A7E-4EB3-AA7B-0A8D0DFDC979}"/>
    <cellStyle name="Migliaia 5 2 3 4 2" xfId="2402" xr:uid="{92617EDD-A4D0-4483-8970-C67A63794124}"/>
    <cellStyle name="Migliaia 5 2 3 4 2 2" xfId="9894" xr:uid="{1E633854-1BB9-4EA9-AFB1-88B0D4862AA1}"/>
    <cellStyle name="Migliaia 5 2 3 4 2 2 2" xfId="13553" xr:uid="{B05F79C0-0569-47CF-9D28-C92C4F337574}"/>
    <cellStyle name="Migliaia 5 2 3 4 2 2 2 2" xfId="28730" xr:uid="{8BF5C708-DF17-4B91-A9B1-13382B15C0A7}"/>
    <cellStyle name="Migliaia 5 2 3 4 2 2 3" xfId="25072" xr:uid="{3CFC88BE-2F57-445C-9084-E1AD27A6BA1F}"/>
    <cellStyle name="Migliaia 5 2 3 4 2 3" xfId="5720" xr:uid="{8A6DAEFA-D800-449B-8E15-A72B18C8FCA2}"/>
    <cellStyle name="Migliaia 5 2 3 4 2 3 2" xfId="20900" xr:uid="{1EAABAC3-360F-4A43-B09B-75CB7B8A3734}"/>
    <cellStyle name="Migliaia 5 2 3 4 2 4" xfId="17612" xr:uid="{262A47FD-6484-4861-81DC-84F52868110D}"/>
    <cellStyle name="Migliaia 5 2 3 4 3" xfId="3290" xr:uid="{26F709CE-F516-4AE6-B0B6-F7CED8C17CFE}"/>
    <cellStyle name="Migliaia 5 2 3 4 3 2" xfId="10778" xr:uid="{C3C15C17-4941-4E98-90BB-2508B7B2D015}"/>
    <cellStyle name="Migliaia 5 2 3 4 3 2 2" xfId="14324" xr:uid="{A8019D72-76D7-4815-B729-273F2F571081}"/>
    <cellStyle name="Migliaia 5 2 3 4 3 2 2 2" xfId="29501" xr:uid="{02BE64E9-6032-4BC6-89AB-F173CA13CDE3}"/>
    <cellStyle name="Migliaia 5 2 3 4 3 2 3" xfId="25956" xr:uid="{9BDDC16A-D56D-4473-9522-57A6073DC7F6}"/>
    <cellStyle name="Migliaia 5 2 3 4 3 3" xfId="6604" xr:uid="{BE41556F-E884-4AE8-A3F6-5497DE73515C}"/>
    <cellStyle name="Migliaia 5 2 3 4 3 3 2" xfId="21784" xr:uid="{5CD406BF-548A-4E47-8931-DB39ECB1257D}"/>
    <cellStyle name="Migliaia 5 2 3 4 3 4" xfId="18496" xr:uid="{3AB7961E-1F23-4862-A5FA-708DEF99169F}"/>
    <cellStyle name="Migliaia 5 2 3 4 4" xfId="4704" xr:uid="{89E0BA90-10E2-4527-826C-ADA810969C2E}"/>
    <cellStyle name="Migliaia 5 2 3 4 4 2" xfId="12189" xr:uid="{0ED605D9-C41D-46D5-9740-23C8DDF9B7CA}"/>
    <cellStyle name="Migliaia 5 2 3 4 4 2 2" xfId="15735" xr:uid="{C348A26E-305E-48CD-80A2-0C6A72A1BEC2}"/>
    <cellStyle name="Migliaia 5 2 3 4 4 2 2 2" xfId="30912" xr:uid="{F8E84477-9121-449C-A1C5-92FDC0664139}"/>
    <cellStyle name="Migliaia 5 2 3 4 4 2 3" xfId="27367" xr:uid="{EAA0266D-0703-44DB-986C-8F5298BFA13B}"/>
    <cellStyle name="Migliaia 5 2 3 4 4 3" xfId="8015" xr:uid="{01267EDD-F9E8-4BC1-AFEB-80F2A23D5773}"/>
    <cellStyle name="Migliaia 5 2 3 4 4 3 2" xfId="23195" xr:uid="{60BCE951-5656-49C7-A8CC-5221B2902E60}"/>
    <cellStyle name="Migliaia 5 2 3 4 4 4" xfId="19907" xr:uid="{BA2833D9-9F00-4DBC-8040-50A2BDB22C08}"/>
    <cellStyle name="Migliaia 5 2 3 4 5" xfId="8496" xr:uid="{1CE1B401-0283-44C8-ADA3-6873E6F58617}"/>
    <cellStyle name="Migliaia 5 2 3 4 5 2" xfId="12669" xr:uid="{BD22565D-73DF-476D-8F9A-804B41FC3508}"/>
    <cellStyle name="Migliaia 5 2 3 4 5 2 2" xfId="27846" xr:uid="{109BDCF8-AEAE-422C-AEAF-967AFA97B263}"/>
    <cellStyle name="Migliaia 5 2 3 4 5 3" xfId="23674" xr:uid="{EC9FA4AF-7134-4C2D-A233-C9A10A42238C}"/>
    <cellStyle name="Migliaia 5 2 3 4 6" xfId="16214" xr:uid="{82FDEEC0-1072-4EE9-AB31-D9C967769ED7}"/>
    <cellStyle name="Migliaia 5 2 3 4 7" xfId="31654" xr:uid="{E346BDE6-D3F9-439E-AC56-CBD260004B67}"/>
    <cellStyle name="Migliaia 5 2 3 5" xfId="987" xr:uid="{21F75693-C656-4787-A389-8DE4C56C218D}"/>
    <cellStyle name="Migliaia 5 2 3 5 2" xfId="2500" xr:uid="{483C748F-4CB2-4628-BEB5-55675527099B}"/>
    <cellStyle name="Migliaia 5 2 3 5 2 2" xfId="9992" xr:uid="{3193C86D-E2A4-4CA0-92FF-D710EEFC1B81}"/>
    <cellStyle name="Migliaia 5 2 3 5 2 2 2" xfId="13651" xr:uid="{6833B87F-573C-4F95-A84A-3CE55C39B358}"/>
    <cellStyle name="Migliaia 5 2 3 5 2 2 2 2" xfId="28828" xr:uid="{608705A3-8089-4B87-88E3-22AC44F8216F}"/>
    <cellStyle name="Migliaia 5 2 3 5 2 2 3" xfId="25170" xr:uid="{5D63E2C9-F11C-4B84-BF67-1FBFB79CF643}"/>
    <cellStyle name="Migliaia 5 2 3 5 2 3" xfId="5818" xr:uid="{6DC0753E-914E-4F18-9FCA-AAEAD17374B2}"/>
    <cellStyle name="Migliaia 5 2 3 5 2 3 2" xfId="20998" xr:uid="{85C8A25E-8429-4D74-9504-25F71C9FE808}"/>
    <cellStyle name="Migliaia 5 2 3 5 2 4" xfId="17710" xr:uid="{076272B4-636F-4540-B1C3-FCF326970588}"/>
    <cellStyle name="Migliaia 5 2 3 5 3" xfId="3388" xr:uid="{87E70292-0062-490A-8098-0440415CD2FB}"/>
    <cellStyle name="Migliaia 5 2 3 5 3 2" xfId="10876" xr:uid="{3CEC775B-3D43-4416-924F-6A8C716EC275}"/>
    <cellStyle name="Migliaia 5 2 3 5 3 2 2" xfId="14422" xr:uid="{C9E79E60-B5C1-4CAC-80FC-B70C775F1675}"/>
    <cellStyle name="Migliaia 5 2 3 5 3 2 2 2" xfId="29599" xr:uid="{9609AFA6-8077-490E-A07D-A29DB6002F59}"/>
    <cellStyle name="Migliaia 5 2 3 5 3 2 3" xfId="26054" xr:uid="{9BB5E390-B29F-43F2-8572-6DDC9A3893AD}"/>
    <cellStyle name="Migliaia 5 2 3 5 3 3" xfId="6702" xr:uid="{244FB1B4-6064-4DD7-90C4-928D2419F374}"/>
    <cellStyle name="Migliaia 5 2 3 5 3 3 2" xfId="21882" xr:uid="{6966C0D4-87B9-470D-8FD2-23ACCF3FE94A}"/>
    <cellStyle name="Migliaia 5 2 3 5 3 4" xfId="18594" xr:uid="{3CED5EBB-2659-4C95-A9C9-E8CDCD6B4C7E}"/>
    <cellStyle name="Migliaia 5 2 3 5 4" xfId="4705" xr:uid="{751B9EC4-191F-47E0-8A5A-FF7D872FAA66}"/>
    <cellStyle name="Migliaia 5 2 3 5 4 2" xfId="12190" xr:uid="{B25063A6-D316-4755-BDF6-A38BA7463C5D}"/>
    <cellStyle name="Migliaia 5 2 3 5 4 2 2" xfId="15736" xr:uid="{AF61FD61-B564-4976-A665-3DB18B2B64D4}"/>
    <cellStyle name="Migliaia 5 2 3 5 4 2 2 2" xfId="30913" xr:uid="{945F1508-FBD7-4B8D-B876-F211529741C9}"/>
    <cellStyle name="Migliaia 5 2 3 5 4 2 3" xfId="27368" xr:uid="{D938B61E-703C-4833-BDE4-C4B8485D96E4}"/>
    <cellStyle name="Migliaia 5 2 3 5 4 3" xfId="8016" xr:uid="{3B341B3F-8848-4260-BFAB-A1F688A8C798}"/>
    <cellStyle name="Migliaia 5 2 3 5 4 3 2" xfId="23196" xr:uid="{3B719B0C-9B8D-4373-90A9-1ED45F9D98AA}"/>
    <cellStyle name="Migliaia 5 2 3 5 4 4" xfId="19908" xr:uid="{A2F40981-B989-467A-967E-21D4EEFE60F6}"/>
    <cellStyle name="Migliaia 5 2 3 5 5" xfId="8594" xr:uid="{03A2A2DA-637B-4666-9129-AF436FD67A73}"/>
    <cellStyle name="Migliaia 5 2 3 5 5 2" xfId="12767" xr:uid="{42753AB4-F04E-4D14-B5F5-2BEB638B7B79}"/>
    <cellStyle name="Migliaia 5 2 3 5 5 2 2" xfId="27944" xr:uid="{CC8AD010-53B0-4E9F-A50E-1E0DE2C7CA58}"/>
    <cellStyle name="Migliaia 5 2 3 5 5 3" xfId="23772" xr:uid="{F22E671B-9B18-4DF7-9BA4-1F80C68831E4}"/>
    <cellStyle name="Migliaia 5 2 3 5 6" xfId="16312" xr:uid="{C39316C4-E935-4E46-8B71-97FCD64C8D1D}"/>
    <cellStyle name="Migliaia 5 2 3 5 7" xfId="31532" xr:uid="{57DACF0D-6CE0-48F8-A6A0-5DA2F93A30BD}"/>
    <cellStyle name="Migliaia 5 2 3 6" xfId="1170" xr:uid="{618C4F33-1F1E-4056-B34A-B55B73C01EDF}"/>
    <cellStyle name="Migliaia 5 2 3 6 2" xfId="2603" xr:uid="{9E915954-2EAB-41E9-A0C8-0E54C6D74B07}"/>
    <cellStyle name="Migliaia 5 2 3 6 2 2" xfId="10094" xr:uid="{D17A3E2B-BBC0-4CEF-BCED-094DE6AFFF1E}"/>
    <cellStyle name="Migliaia 5 2 3 6 2 2 2" xfId="13752" xr:uid="{4F1997EA-7C9F-4A48-90DD-15FCC5B856BE}"/>
    <cellStyle name="Migliaia 5 2 3 6 2 2 2 2" xfId="28929" xr:uid="{5BEF6E23-22E9-49F5-B502-874AF3F66AAC}"/>
    <cellStyle name="Migliaia 5 2 3 6 2 2 3" xfId="25272" xr:uid="{917CD5EA-B631-4F58-991F-688A15AD387D}"/>
    <cellStyle name="Migliaia 5 2 3 6 2 3" xfId="5920" xr:uid="{3AF5D6E7-0636-449E-98D9-CE11AD9E553E}"/>
    <cellStyle name="Migliaia 5 2 3 6 2 3 2" xfId="21100" xr:uid="{7D059A46-6FFF-499E-AB5A-7DA854008178}"/>
    <cellStyle name="Migliaia 5 2 3 6 2 4" xfId="17812" xr:uid="{237EC872-EEF0-48BA-BA52-0A4966320CBC}"/>
    <cellStyle name="Migliaia 5 2 3 6 3" xfId="3490" xr:uid="{34425633-710C-44C8-9A45-F7597CEFDECA}"/>
    <cellStyle name="Migliaia 5 2 3 6 3 2" xfId="10978" xr:uid="{0B74343E-21D7-4165-9EDD-AB12F26C5727}"/>
    <cellStyle name="Migliaia 5 2 3 6 3 2 2" xfId="14524" xr:uid="{8E304CCC-3C81-4875-8311-C192FAE309C6}"/>
    <cellStyle name="Migliaia 5 2 3 6 3 2 2 2" xfId="29701" xr:uid="{E4AF9636-BDF2-4D64-8396-EFC7A605F626}"/>
    <cellStyle name="Migliaia 5 2 3 6 3 2 3" xfId="26156" xr:uid="{0396D42E-1071-4354-9E4F-59F6C9E6CA58}"/>
    <cellStyle name="Migliaia 5 2 3 6 3 3" xfId="6804" xr:uid="{FD0F858B-FDD7-4A4A-93E9-076CFCF3D87E}"/>
    <cellStyle name="Migliaia 5 2 3 6 3 3 2" xfId="21984" xr:uid="{E8D8FFDF-0D17-4984-8EEA-C7D09C25EF1B}"/>
    <cellStyle name="Migliaia 5 2 3 6 3 4" xfId="18696" xr:uid="{39ED2965-964F-4C2F-8F8E-1456A2F0CD2B}"/>
    <cellStyle name="Migliaia 5 2 3 6 4" xfId="4706" xr:uid="{DF4C699E-CFB3-4477-A1B3-9E14ABE61182}"/>
    <cellStyle name="Migliaia 5 2 3 6 4 2" xfId="12191" xr:uid="{B5C97E03-C56A-453F-8290-B6DC03345B85}"/>
    <cellStyle name="Migliaia 5 2 3 6 4 2 2" xfId="15737" xr:uid="{635724C3-C10A-4D70-A93F-E40B23172D6B}"/>
    <cellStyle name="Migliaia 5 2 3 6 4 2 2 2" xfId="30914" xr:uid="{9B7D00E6-F451-4AD7-BEFA-BFB0E331BBDD}"/>
    <cellStyle name="Migliaia 5 2 3 6 4 2 3" xfId="27369" xr:uid="{73397E6F-D926-4E8F-8A9A-03F71A8212E5}"/>
    <cellStyle name="Migliaia 5 2 3 6 4 3" xfId="8017" xr:uid="{AF78B562-4CFF-4F43-87B9-C43D95573EE7}"/>
    <cellStyle name="Migliaia 5 2 3 6 4 3 2" xfId="23197" xr:uid="{A0083DA4-4F6D-48AB-805D-D8E2EA412E87}"/>
    <cellStyle name="Migliaia 5 2 3 6 4 4" xfId="19909" xr:uid="{D63E30B6-E609-406D-9DE0-1138E363E236}"/>
    <cellStyle name="Migliaia 5 2 3 6 5" xfId="8696" xr:uid="{3182806A-D565-44C9-BC50-6DCD707B246C}"/>
    <cellStyle name="Migliaia 5 2 3 6 5 2" xfId="12869" xr:uid="{5B80544D-2896-4DCC-92CA-FB54EE0A2ABB}"/>
    <cellStyle name="Migliaia 5 2 3 6 5 2 2" xfId="28046" xr:uid="{63C81D3C-6132-467A-A8B5-159B4A44640B}"/>
    <cellStyle name="Migliaia 5 2 3 6 5 3" xfId="23874" xr:uid="{718A8AC5-A618-4D1E-9CAB-C88FD065D1D8}"/>
    <cellStyle name="Migliaia 5 2 3 6 6" xfId="16414" xr:uid="{31F59371-FA07-4B91-BBE3-E3E4373A6035}"/>
    <cellStyle name="Migliaia 5 2 3 7" xfId="1196" xr:uid="{4E398E0A-70B6-4376-AA5B-9A6F094DAA10}"/>
    <cellStyle name="Migliaia 5 2 3 7 2" xfId="2627" xr:uid="{6D11C6CF-60AD-430E-BB98-53805007FD4A}"/>
    <cellStyle name="Migliaia 5 2 3 7 2 2" xfId="10118" xr:uid="{DEAA4208-D669-442B-B4CF-795C503F78AA}"/>
    <cellStyle name="Migliaia 5 2 3 7 2 2 2" xfId="13776" xr:uid="{F7C16AB2-901B-4E72-903F-EE4F71B0CFE8}"/>
    <cellStyle name="Migliaia 5 2 3 7 2 2 2 2" xfId="28953" xr:uid="{0EC76716-28A1-443C-A3AF-AD8C8CA3B030}"/>
    <cellStyle name="Migliaia 5 2 3 7 2 2 3" xfId="25296" xr:uid="{ED53D2C9-8005-4C6C-8968-E554E7902705}"/>
    <cellStyle name="Migliaia 5 2 3 7 2 3" xfId="5944" xr:uid="{29D7EA4D-9B4D-45D5-B2F6-9DDC171D2509}"/>
    <cellStyle name="Migliaia 5 2 3 7 2 3 2" xfId="21124" xr:uid="{F2D86CBC-321D-456C-A971-96397294B5E1}"/>
    <cellStyle name="Migliaia 5 2 3 7 2 4" xfId="17836" xr:uid="{7504D1EE-B37B-4FF5-BF73-D575AFA9EC74}"/>
    <cellStyle name="Migliaia 5 2 3 7 3" xfId="3514" xr:uid="{2AA09372-7BD0-4214-A285-34B1D84C69B5}"/>
    <cellStyle name="Migliaia 5 2 3 7 3 2" xfId="11002" xr:uid="{3DECF757-2CFF-4BB5-8D06-C787BA437C82}"/>
    <cellStyle name="Migliaia 5 2 3 7 3 2 2" xfId="14548" xr:uid="{C0CAB198-72A5-4C86-AFAA-1F343A2A5DDF}"/>
    <cellStyle name="Migliaia 5 2 3 7 3 2 2 2" xfId="29725" xr:uid="{7876BE1F-40AD-4BA5-8F1D-EFB65A94F90F}"/>
    <cellStyle name="Migliaia 5 2 3 7 3 2 3" xfId="26180" xr:uid="{9F7D5C8E-634B-46D9-9FFE-18B66492F71E}"/>
    <cellStyle name="Migliaia 5 2 3 7 3 3" xfId="6828" xr:uid="{762957BC-37D7-4658-B029-3FE9FF8ADAEA}"/>
    <cellStyle name="Migliaia 5 2 3 7 3 3 2" xfId="22008" xr:uid="{0A022443-3FB0-404E-B91E-50387FAB9EDC}"/>
    <cellStyle name="Migliaia 5 2 3 7 3 4" xfId="18720" xr:uid="{3CB3CA6A-7790-42D6-91F2-873D641811E5}"/>
    <cellStyle name="Migliaia 5 2 3 7 4" xfId="4707" xr:uid="{1312DB22-E5AE-45CC-959E-B6839A3E7A92}"/>
    <cellStyle name="Migliaia 5 2 3 7 4 2" xfId="12192" xr:uid="{E9D74781-E0F1-4F46-8B93-0FE9E0CE00C9}"/>
    <cellStyle name="Migliaia 5 2 3 7 4 2 2" xfId="15738" xr:uid="{6C00C65F-6316-4137-B7C1-24C8E33D98EF}"/>
    <cellStyle name="Migliaia 5 2 3 7 4 2 2 2" xfId="30915" xr:uid="{17843B98-0841-4324-8BEF-CEE6C89458AF}"/>
    <cellStyle name="Migliaia 5 2 3 7 4 2 3" xfId="27370" xr:uid="{5FD7BB8C-1CF7-4948-8FAC-F5178F59BEAD}"/>
    <cellStyle name="Migliaia 5 2 3 7 4 3" xfId="8018" xr:uid="{CAF365D9-E8AE-4F4C-AFA4-A8EF52CE411B}"/>
    <cellStyle name="Migliaia 5 2 3 7 4 3 2" xfId="23198" xr:uid="{2F9273B2-06FA-449E-80D0-094F6037423A}"/>
    <cellStyle name="Migliaia 5 2 3 7 4 4" xfId="19910" xr:uid="{B8830F4A-5443-4D6B-8C5A-0CE35770DD14}"/>
    <cellStyle name="Migliaia 5 2 3 7 5" xfId="8720" xr:uid="{3B10222C-5B4D-480F-A6C8-1660C02F28FA}"/>
    <cellStyle name="Migliaia 5 2 3 7 5 2" xfId="12893" xr:uid="{572A0E0B-E8BD-4440-B9E7-75C6B0265A60}"/>
    <cellStyle name="Migliaia 5 2 3 7 5 2 2" xfId="28070" xr:uid="{B4055745-5E6B-4FD5-99F7-E2C27FBD4724}"/>
    <cellStyle name="Migliaia 5 2 3 7 5 3" xfId="23898" xr:uid="{DE26CE4F-B81E-46C5-A812-B6B4BE1F8B5F}"/>
    <cellStyle name="Migliaia 5 2 3 7 6" xfId="16438" xr:uid="{48704DA8-C808-4190-8A2E-1F304F5670EB}"/>
    <cellStyle name="Migliaia 5 2 3 8" xfId="1245" xr:uid="{1BEC092F-BB3A-40A4-8EE5-5BF426DBAC6A}"/>
    <cellStyle name="Migliaia 5 2 3 8 10" xfId="31304" xr:uid="{29F56FE8-6F61-4BAA-A56B-FD8D6F96ED54}"/>
    <cellStyle name="Migliaia 5 2 3 8 2" xfId="2675" xr:uid="{1DD10512-F27A-40CD-96FD-231387ACBF8A}"/>
    <cellStyle name="Migliaia 5 2 3 8 2 2" xfId="10166" xr:uid="{27BFA479-4C0D-48A9-946E-1DB00E37B2E2}"/>
    <cellStyle name="Migliaia 5 2 3 8 2 2 2" xfId="13810" xr:uid="{01235923-4AE4-42F4-80BA-6B2D7570FAFB}"/>
    <cellStyle name="Migliaia 5 2 3 8 2 2 2 2" xfId="28987" xr:uid="{9B6AE6E4-D528-4354-9285-4CB954D4396A}"/>
    <cellStyle name="Migliaia 5 2 3 8 2 2 3" xfId="25344" xr:uid="{681AB7BD-F85D-46BC-9174-94994145AE57}"/>
    <cellStyle name="Migliaia 5 2 3 8 2 3" xfId="5992" xr:uid="{A035DCE8-895A-4D84-B8A6-762240992D51}"/>
    <cellStyle name="Migliaia 5 2 3 8 2 3 2" xfId="21172" xr:uid="{9D0F664A-2235-4A0D-B299-00ABD4949304}"/>
    <cellStyle name="Migliaia 5 2 3 8 2 4" xfId="17884" xr:uid="{EB0A3C57-18F6-42BF-8A52-39CBDFE5D371}"/>
    <cellStyle name="Migliaia 5 2 3 8 3" xfId="3562" xr:uid="{031B620A-01A9-41C2-83D9-F65E5BD69821}"/>
    <cellStyle name="Migliaia 5 2 3 8 3 2" xfId="11050" xr:uid="{F9399E50-3DCB-4646-B7EC-8C981BEBC18A}"/>
    <cellStyle name="Migliaia 5 2 3 8 3 2 2" xfId="14596" xr:uid="{550CC112-092A-45AB-B19C-D5D8DDA3C2E5}"/>
    <cellStyle name="Migliaia 5 2 3 8 3 2 2 2" xfId="29773" xr:uid="{D31117DA-53EA-473B-B212-A37034507B88}"/>
    <cellStyle name="Migliaia 5 2 3 8 3 2 3" xfId="26228" xr:uid="{DB538851-3E9A-48AE-8BDF-254463EA09F0}"/>
    <cellStyle name="Migliaia 5 2 3 8 3 3" xfId="6876" xr:uid="{AA91B98F-89F8-459C-8DF9-7507A3B43F59}"/>
    <cellStyle name="Migliaia 5 2 3 8 3 3 2" xfId="22056" xr:uid="{80A8C068-88C2-491B-8E65-90365AB4B96D}"/>
    <cellStyle name="Migliaia 5 2 3 8 3 4" xfId="18768" xr:uid="{50A3C472-8E72-4A85-9B12-AA821D488B66}"/>
    <cellStyle name="Migliaia 5 2 3 8 4" xfId="4708" xr:uid="{BD2276A8-1D09-4395-B7FB-81D5F76C91B7}"/>
    <cellStyle name="Migliaia 5 2 3 8 4 2" xfId="12193" xr:uid="{68B6DE99-DFE2-4484-8685-2EB504FC179E}"/>
    <cellStyle name="Migliaia 5 2 3 8 4 2 2" xfId="15739" xr:uid="{9BB9E2A2-A616-4862-BB12-97B2872D1C2B}"/>
    <cellStyle name="Migliaia 5 2 3 8 4 2 2 2" xfId="30916" xr:uid="{8294626C-E317-4736-9AB0-57D3D73A4D62}"/>
    <cellStyle name="Migliaia 5 2 3 8 4 2 3" xfId="27371" xr:uid="{3D30903A-D284-413D-842B-C5074AFC1F84}"/>
    <cellStyle name="Migliaia 5 2 3 8 4 3" xfId="8019" xr:uid="{114212AA-70AF-4E93-8978-3E83F065F8BC}"/>
    <cellStyle name="Migliaia 5 2 3 8 4 3 2" xfId="23199" xr:uid="{D5C85C5F-82D5-444A-A063-E4278CDA1460}"/>
    <cellStyle name="Migliaia 5 2 3 8 4 4" xfId="19911" xr:uid="{7FB23C2E-142D-4FBF-8892-7108018D813F}"/>
    <cellStyle name="Migliaia 5 2 3 8 5" xfId="4964" xr:uid="{B23E294C-8B7D-405D-8915-61E427B65490}"/>
    <cellStyle name="Migliaia 5 2 3 8 5 2" xfId="12448" xr:uid="{2E1FC81A-F3D8-4AFD-8E68-B24AF231F639}"/>
    <cellStyle name="Migliaia 5 2 3 8 5 2 2" xfId="15994" xr:uid="{6A1BDB45-D737-46FF-B313-20F784090E93}"/>
    <cellStyle name="Migliaia 5 2 3 8 5 2 2 2" xfId="31171" xr:uid="{B6D9B296-51DD-47B1-9A58-35E357E99400}"/>
    <cellStyle name="Migliaia 5 2 3 8 5 2 3" xfId="27626" xr:uid="{0E13BD73-8566-4775-ABAB-D4643BD4F8E9}"/>
    <cellStyle name="Migliaia 5 2 3 8 5 3" xfId="8274" xr:uid="{911334EB-D99E-4D5F-9A50-63C36F36A4D8}"/>
    <cellStyle name="Migliaia 5 2 3 8 5 3 2" xfId="23454" xr:uid="{769DBB86-6E7E-4475-BF2A-6B3C4BE9639A}"/>
    <cellStyle name="Migliaia 5 2 3 8 5 4" xfId="20166" xr:uid="{B3D02B64-CAC3-4E9E-B5F1-9A1FF7E27CC0}"/>
    <cellStyle name="Migliaia 5 2 3 8 6" xfId="1785" xr:uid="{9AC33734-9ACA-44AD-8967-B8E2F8306C27}"/>
    <cellStyle name="Migliaia 5 2 3 8 6 2" xfId="9282" xr:uid="{69E04E00-6F86-4E2E-BB61-75F6A03ECDF4}"/>
    <cellStyle name="Migliaia 5 2 3 8 6 2 2" xfId="24460" xr:uid="{32CDA584-7E14-4692-9A2C-F3030B8CF880}"/>
    <cellStyle name="Migliaia 5 2 3 8 6 3" xfId="17000" xr:uid="{134C74E0-5444-4DE5-B8B2-B2953A4DCDA5}"/>
    <cellStyle name="Migliaia 5 2 3 8 7" xfId="8768" xr:uid="{BC4628E3-084A-481D-AAA0-BB3E5A551681}"/>
    <cellStyle name="Migliaia 5 2 3 8 7 2" xfId="12941" xr:uid="{FD513752-1DE9-4E45-8A98-10B9B3764EA8}"/>
    <cellStyle name="Migliaia 5 2 3 8 7 2 2" xfId="28118" xr:uid="{109999B9-F2C6-497D-9E6E-FE5D32CABCFE}"/>
    <cellStyle name="Migliaia 5 2 3 8 7 3" xfId="23946" xr:uid="{56F8FB7D-674F-496F-8A85-5CF529608277}"/>
    <cellStyle name="Migliaia 5 2 3 8 8" xfId="5108" xr:uid="{79647B8A-207C-40CE-A91C-1BDB221FA60E}"/>
    <cellStyle name="Migliaia 5 2 3 8 8 2" xfId="20288" xr:uid="{62EECFBE-77B8-4CC9-A084-CBC1ADBF1BBC}"/>
    <cellStyle name="Migliaia 5 2 3 8 9" xfId="16486" xr:uid="{DDC89210-7374-49C8-8C23-83B74B770ECC}"/>
    <cellStyle name="Migliaia 5 2 3 9" xfId="1347" xr:uid="{8F7A6D51-320D-4363-BB64-C4A3AC0523C7}"/>
    <cellStyle name="Migliaia 5 2 3 9 2" xfId="2773" xr:uid="{3F854515-AA83-464E-AE19-DE3C5AE3E057}"/>
    <cellStyle name="Migliaia 5 2 3 9 2 2" xfId="10264" xr:uid="{875320BB-27A2-437E-97BE-054259C1C0DD}"/>
    <cellStyle name="Migliaia 5 2 3 9 2 2 2" xfId="13859" xr:uid="{76A45D25-D6E9-4CA0-8120-36D8A0BBBBD3}"/>
    <cellStyle name="Migliaia 5 2 3 9 2 2 2 2" xfId="29036" xr:uid="{A2A26175-09C8-4885-A46F-B612032EBE46}"/>
    <cellStyle name="Migliaia 5 2 3 9 2 2 3" xfId="25442" xr:uid="{CB115FEC-E99D-49BA-A075-71693C1C02C2}"/>
    <cellStyle name="Migliaia 5 2 3 9 2 3" xfId="6090" xr:uid="{88007068-A396-4A2C-A3E7-5DA536165604}"/>
    <cellStyle name="Migliaia 5 2 3 9 2 3 2" xfId="21270" xr:uid="{76E4D8E6-C967-405C-BCC8-B9324AC0A691}"/>
    <cellStyle name="Migliaia 5 2 3 9 2 4" xfId="17982" xr:uid="{87E81A6B-D292-4746-87C2-A7EFAA9A9909}"/>
    <cellStyle name="Migliaia 5 2 3 9 3" xfId="3660" xr:uid="{C71F1722-6E76-4E76-8F7F-2F25A6E9C0CE}"/>
    <cellStyle name="Migliaia 5 2 3 9 3 2" xfId="11148" xr:uid="{10DA3485-295D-46E5-B5F0-7BA10D9DCFE4}"/>
    <cellStyle name="Migliaia 5 2 3 9 3 2 2" xfId="14694" xr:uid="{3FB83B3D-CBFD-494D-ABB1-982666B8BEFD}"/>
    <cellStyle name="Migliaia 5 2 3 9 3 2 2 2" xfId="29871" xr:uid="{FA3C08F2-7905-4D08-B41F-D29B71504BA5}"/>
    <cellStyle name="Migliaia 5 2 3 9 3 2 3" xfId="26326" xr:uid="{F31D409B-E637-429B-991A-8E8559CE5B95}"/>
    <cellStyle name="Migliaia 5 2 3 9 3 3" xfId="6974" xr:uid="{F9DA760C-133D-4535-A23B-9792C73F0EE6}"/>
    <cellStyle name="Migliaia 5 2 3 9 3 3 2" xfId="22154" xr:uid="{5D850B83-951B-4C39-8762-08748B7DFA58}"/>
    <cellStyle name="Migliaia 5 2 3 9 3 4" xfId="18866" xr:uid="{83DD7527-A57D-44F5-93F7-9F4175DEFF68}"/>
    <cellStyle name="Migliaia 5 2 3 9 4" xfId="4709" xr:uid="{77FB67D9-76DD-4171-A0C9-AFDAA09E45EF}"/>
    <cellStyle name="Migliaia 5 2 3 9 4 2" xfId="12194" xr:uid="{5CF15A44-3218-4A3D-9ACB-8B7A5101CB12}"/>
    <cellStyle name="Migliaia 5 2 3 9 4 2 2" xfId="15740" xr:uid="{8E8F1FF0-2AB3-4D1A-AA0D-92583E7A67F6}"/>
    <cellStyle name="Migliaia 5 2 3 9 4 2 2 2" xfId="30917" xr:uid="{30F8A43B-80FC-4D0E-8D4F-083BFD6F2C16}"/>
    <cellStyle name="Migliaia 5 2 3 9 4 2 3" xfId="27372" xr:uid="{D9401F3A-3C93-41BE-AC2F-0DD2FBC47BB2}"/>
    <cellStyle name="Migliaia 5 2 3 9 4 3" xfId="8020" xr:uid="{38BDB8E7-EBDE-4407-91CF-E7BB935F383C}"/>
    <cellStyle name="Migliaia 5 2 3 9 4 3 2" xfId="23200" xr:uid="{ADADB1FC-8768-4E75-B906-39AC168613BA}"/>
    <cellStyle name="Migliaia 5 2 3 9 4 4" xfId="19912" xr:uid="{BD667C7D-0458-4B5B-924E-92361469B169}"/>
    <cellStyle name="Migliaia 5 2 3 9 5" xfId="1883" xr:uid="{AD9BC48D-4999-4FEF-A434-789958EA8FC2}"/>
    <cellStyle name="Migliaia 5 2 3 9 5 2" xfId="9380" xr:uid="{1A1D3ADA-C387-4392-A620-635B2C5B5026}"/>
    <cellStyle name="Migliaia 5 2 3 9 5 2 2" xfId="24558" xr:uid="{EFDCB67B-F14B-4AA7-AA26-5FF9FD0AEAAD}"/>
    <cellStyle name="Migliaia 5 2 3 9 5 3" xfId="17098" xr:uid="{E03935B8-373C-4547-B607-029452C40BC9}"/>
    <cellStyle name="Migliaia 5 2 3 9 6" xfId="8866" xr:uid="{B6BAD2D9-84AF-4DBE-A739-EC2885B67C78}"/>
    <cellStyle name="Migliaia 5 2 3 9 6 2" xfId="13039" xr:uid="{33420B83-E82C-4583-8DD3-3B2E51EF260A}"/>
    <cellStyle name="Migliaia 5 2 3 9 6 2 2" xfId="28216" xr:uid="{316E2BB8-8B0C-4D2D-89A8-2708991B5FF3}"/>
    <cellStyle name="Migliaia 5 2 3 9 6 3" xfId="24044" xr:uid="{F63086F2-29E2-44A9-BB1A-83CCF8A39F59}"/>
    <cellStyle name="Migliaia 5 2 3 9 7" xfId="5206" xr:uid="{31CDFAB9-2853-422D-8A64-2D433CFA4F0D}"/>
    <cellStyle name="Migliaia 5 2 3 9 7 2" xfId="20386" xr:uid="{BDC502E9-BFC8-48E3-8598-8986310E81BB}"/>
    <cellStyle name="Migliaia 5 2 3 9 8" xfId="16584" xr:uid="{394BACF2-201A-4D31-B0F2-A1D98DD83D6C}"/>
    <cellStyle name="Migliaia 5 2 4" xfId="479" xr:uid="{967B272A-1440-48F9-8141-07672E8054AF}"/>
    <cellStyle name="Migliaia 5 2 4 2" xfId="592" xr:uid="{B74ABB0B-9A20-414B-A894-86CB8FB65177}"/>
    <cellStyle name="Migliaia 5 2 4 2 2" xfId="9870" xr:uid="{FBEC4AE6-1AF9-4C81-A34E-2329DD18380D}"/>
    <cellStyle name="Migliaia 5 2 4 2 2 2" xfId="13529" xr:uid="{FD037B58-60F0-41ED-9B89-2534E7CAD168}"/>
    <cellStyle name="Migliaia 5 2 4 2 2 2 2" xfId="28706" xr:uid="{C5F52A90-8685-4A82-9544-8F1F4A73C31D}"/>
    <cellStyle name="Migliaia 5 2 4 2 2 3" xfId="25048" xr:uid="{5E3FCEF2-1966-43ED-BE56-E3371C5D40D9}"/>
    <cellStyle name="Migliaia 5 2 4 2 3" xfId="5696" xr:uid="{2DE35DB0-5202-450C-8314-F2BC4A7AA4EE}"/>
    <cellStyle name="Migliaia 5 2 4 2 3 2" xfId="20876" xr:uid="{DEC0BD25-54F7-4BEE-ADB2-CE74997227F2}"/>
    <cellStyle name="Migliaia 5 2 4 2 4" xfId="17588" xr:uid="{340A7D14-36A3-48C8-A09D-9F30F64BCA7C}"/>
    <cellStyle name="Migliaia 5 2 4 2 5" xfId="2376" xr:uid="{F2AE10F3-5DC8-4F18-9DC7-9657E19A1FC2}"/>
    <cellStyle name="Migliaia 5 2 4 3" xfId="3266" xr:uid="{C63A2FCF-636F-4C09-B66A-AA7871607151}"/>
    <cellStyle name="Migliaia 5 2 4 3 2" xfId="10754" xr:uid="{B0011056-4681-4A7D-816A-1C7531D9B145}"/>
    <cellStyle name="Migliaia 5 2 4 3 2 2" xfId="14300" xr:uid="{34F6A496-D111-46FB-B4EE-95FECBB3AA08}"/>
    <cellStyle name="Migliaia 5 2 4 3 2 2 2" xfId="29477" xr:uid="{5912B921-E949-4370-A901-648DB88F6FCB}"/>
    <cellStyle name="Migliaia 5 2 4 3 2 3" xfId="25932" xr:uid="{C80C854C-FB56-41E8-8F49-DA083D74B066}"/>
    <cellStyle name="Migliaia 5 2 4 3 3" xfId="6580" xr:uid="{1E4A2758-E38E-47D7-A27C-779FD01A2FF1}"/>
    <cellStyle name="Migliaia 5 2 4 3 3 2" xfId="21760" xr:uid="{B14650EB-D208-4AD7-9697-E47C767454CA}"/>
    <cellStyle name="Migliaia 5 2 4 3 4" xfId="18472" xr:uid="{60FAF3F0-1A67-450B-B641-8BEE82DBDA81}"/>
    <cellStyle name="Migliaia 5 2 4 4" xfId="4710" xr:uid="{38416F0B-8F57-4F17-AD0A-59F96887F80D}"/>
    <cellStyle name="Migliaia 5 2 4 4 2" xfId="12195" xr:uid="{1BFFE044-DDCA-4893-AD2C-7F11B5F8468F}"/>
    <cellStyle name="Migliaia 5 2 4 4 2 2" xfId="15741" xr:uid="{8818C1C0-F83A-4059-AEE2-B2F24CAF85C2}"/>
    <cellStyle name="Migliaia 5 2 4 4 2 2 2" xfId="30918" xr:uid="{ACAF4BCD-E474-43E6-8E8A-7CDBCBEC00A0}"/>
    <cellStyle name="Migliaia 5 2 4 4 2 3" xfId="27373" xr:uid="{3B757CCA-E87D-46F0-8A80-1FD5BAAFBA10}"/>
    <cellStyle name="Migliaia 5 2 4 4 3" xfId="8021" xr:uid="{CBCA2811-CC13-4387-81B0-084AEDD39CB9}"/>
    <cellStyle name="Migliaia 5 2 4 4 3 2" xfId="23201" xr:uid="{062B23D5-8BB3-4FFB-96B6-A052208E75E2}"/>
    <cellStyle name="Migliaia 5 2 4 4 4" xfId="19913" xr:uid="{7F96FA3D-FD6D-4CA8-B63A-3A689A024697}"/>
    <cellStyle name="Migliaia 5 2 4 5" xfId="8472" xr:uid="{7E25AFDB-72EA-4262-9EE0-694979CCD104}"/>
    <cellStyle name="Migliaia 5 2 4 5 2" xfId="12645" xr:uid="{C762F146-8C90-4A63-9B63-5D2490CF1094}"/>
    <cellStyle name="Migliaia 5 2 4 5 2 2" xfId="27822" xr:uid="{FA5242F4-4A45-48E6-9E54-09E06E2AF3C8}"/>
    <cellStyle name="Migliaia 5 2 4 5 3" xfId="23650" xr:uid="{A532B60C-A8B4-40B6-BCCA-AF059D0056D5}"/>
    <cellStyle name="Migliaia 5 2 4 6" xfId="16190" xr:uid="{FC15AAC9-0959-4A2C-9828-C6D968EECAB8}"/>
    <cellStyle name="Migliaia 5 2 4 7" xfId="31630" xr:uid="{F3B90B33-C187-4E3C-A1D5-7AA7EC6F2FDB}"/>
    <cellStyle name="Migliaia 5 2 4 8" xfId="858" xr:uid="{AFA15F7A-CFB7-44F0-84E7-7AA890F6E35A}"/>
    <cellStyle name="Migliaia 5 2 5" xfId="555" xr:uid="{7366AFEA-57D6-4951-879F-0A36AC1BA079}"/>
    <cellStyle name="Migliaia 5 2 5 10" xfId="31280" xr:uid="{06D2729C-8012-46D5-A56F-3761E610892F}"/>
    <cellStyle name="Migliaia 5 2 5 11" xfId="1221" xr:uid="{FFD7CCE7-F5B3-4D5E-BBBE-A5F13CCBCF22}"/>
    <cellStyle name="Migliaia 5 2 5 2" xfId="2651" xr:uid="{F4204E64-3B34-49DD-BEEF-189C3724518F}"/>
    <cellStyle name="Migliaia 5 2 5 2 2" xfId="10142" xr:uid="{42681509-41F3-42E6-8915-043FFC0BC1B8}"/>
    <cellStyle name="Migliaia 5 2 5 2 2 2" xfId="13799" xr:uid="{C9457FDA-494C-4A9B-9DED-471A54BCA5B4}"/>
    <cellStyle name="Migliaia 5 2 5 2 2 2 2" xfId="28976" xr:uid="{60C83476-EACB-454A-9507-64E9D0944B77}"/>
    <cellStyle name="Migliaia 5 2 5 2 2 3" xfId="25320" xr:uid="{B857DA3B-1007-4C66-B569-0482B72FF6D5}"/>
    <cellStyle name="Migliaia 5 2 5 2 3" xfId="5968" xr:uid="{0A25C1A8-7093-4E30-866B-370E7BBB8BA0}"/>
    <cellStyle name="Migliaia 5 2 5 2 3 2" xfId="21148" xr:uid="{18087F75-A2D1-4756-B6F8-251800E18311}"/>
    <cellStyle name="Migliaia 5 2 5 2 4" xfId="17860" xr:uid="{851F5E08-587A-49AF-BDC4-FEA1C79EDB42}"/>
    <cellStyle name="Migliaia 5 2 5 3" xfId="3538" xr:uid="{68FD6197-AA0A-4BAA-9705-9E7BE1705C4E}"/>
    <cellStyle name="Migliaia 5 2 5 3 2" xfId="11026" xr:uid="{4948DB39-7CC2-4EAF-BF95-C1BA96D03626}"/>
    <cellStyle name="Migliaia 5 2 5 3 2 2" xfId="14572" xr:uid="{6BFE5936-ED7D-4FC8-991C-166A504C2B4C}"/>
    <cellStyle name="Migliaia 5 2 5 3 2 2 2" xfId="29749" xr:uid="{8799ECB3-809C-4A77-9FD5-7E061356D682}"/>
    <cellStyle name="Migliaia 5 2 5 3 2 3" xfId="26204" xr:uid="{3FCE198A-DB4C-4D61-ABD3-2C763F7F9C67}"/>
    <cellStyle name="Migliaia 5 2 5 3 3" xfId="6852" xr:uid="{5CCAF247-2E6B-49AD-B7E8-D4B2FB34D746}"/>
    <cellStyle name="Migliaia 5 2 5 3 3 2" xfId="22032" xr:uid="{63C1E9A4-262C-4270-9CD6-9FEF3998F7EB}"/>
    <cellStyle name="Migliaia 5 2 5 3 4" xfId="18744" xr:uid="{8C4EF8BF-F7C6-4087-8DD3-A18BCA030B74}"/>
    <cellStyle name="Migliaia 5 2 5 4" xfId="4711" xr:uid="{48285539-EC68-4910-A5BA-CF7FC1843018}"/>
    <cellStyle name="Migliaia 5 2 5 4 2" xfId="12196" xr:uid="{F7CA6308-A763-4754-848C-34C269237522}"/>
    <cellStyle name="Migliaia 5 2 5 4 2 2" xfId="15742" xr:uid="{0438D6BD-366E-483B-B24B-4F8CDB69DA76}"/>
    <cellStyle name="Migliaia 5 2 5 4 2 2 2" xfId="30919" xr:uid="{4D100710-87D4-4D4E-9815-B22819DED8AC}"/>
    <cellStyle name="Migliaia 5 2 5 4 2 3" xfId="27374" xr:uid="{8ABB3919-56A9-471F-B369-0A0C69CEBAD5}"/>
    <cellStyle name="Migliaia 5 2 5 4 3" xfId="8022" xr:uid="{82EAD9F7-C8AE-402D-BB95-6ACB10B951A6}"/>
    <cellStyle name="Migliaia 5 2 5 4 3 2" xfId="23202" xr:uid="{6BD2A5E8-094F-4C66-BE49-45F950A40A0B}"/>
    <cellStyle name="Migliaia 5 2 5 4 4" xfId="19914" xr:uid="{DC441E34-F77C-486C-90BE-805C853C787E}"/>
    <cellStyle name="Migliaia 5 2 5 5" xfId="4940" xr:uid="{1CF318C6-48ED-4BCF-97F4-9A0601F24DDA}"/>
    <cellStyle name="Migliaia 5 2 5 5 2" xfId="12424" xr:uid="{4D924F2E-85FF-40D0-A7BE-33304A4F2A65}"/>
    <cellStyle name="Migliaia 5 2 5 5 2 2" xfId="15970" xr:uid="{B97C6776-E1BA-4178-BDD6-59086F3DD1B3}"/>
    <cellStyle name="Migliaia 5 2 5 5 2 2 2" xfId="31147" xr:uid="{4DFC5C3A-712F-40F3-98B4-F299FDBCFD93}"/>
    <cellStyle name="Migliaia 5 2 5 5 2 3" xfId="27602" xr:uid="{2F321F2B-97FE-40EB-B194-D8863B56A5CD}"/>
    <cellStyle name="Migliaia 5 2 5 5 3" xfId="8250" xr:uid="{007C810A-5E52-4141-A995-806BE4FC4227}"/>
    <cellStyle name="Migliaia 5 2 5 5 3 2" xfId="23430" xr:uid="{EE058DA1-3D9C-4356-8DA5-63AA5693E874}"/>
    <cellStyle name="Migliaia 5 2 5 5 4" xfId="20142" xr:uid="{399F3D05-FBFE-46CD-9D41-0F4992745934}"/>
    <cellStyle name="Migliaia 5 2 5 6" xfId="1761" xr:uid="{84C431BB-1FE3-484E-8371-0233E03E6DF9}"/>
    <cellStyle name="Migliaia 5 2 5 6 2" xfId="9258" xr:uid="{5CD2D750-EAFC-438B-9782-8FE3BBFF7376}"/>
    <cellStyle name="Migliaia 5 2 5 6 2 2" xfId="24436" xr:uid="{51ECA8A1-5925-40B7-8A01-D13696669BAF}"/>
    <cellStyle name="Migliaia 5 2 5 6 3" xfId="16976" xr:uid="{7237CBA0-90D3-419A-8035-4338046DDC02}"/>
    <cellStyle name="Migliaia 5 2 5 7" xfId="8744" xr:uid="{FF9D9B57-88D3-4D34-9F32-FC66DA5A071D}"/>
    <cellStyle name="Migliaia 5 2 5 7 2" xfId="12917" xr:uid="{B45F35CB-9D8B-4748-8312-F1F598766B5A}"/>
    <cellStyle name="Migliaia 5 2 5 7 2 2" xfId="28094" xr:uid="{05078473-8530-46CB-91BA-33C12A39A54A}"/>
    <cellStyle name="Migliaia 5 2 5 7 3" xfId="23922" xr:uid="{902D8C44-E1BB-4FD9-8976-32C5A7AD927D}"/>
    <cellStyle name="Migliaia 5 2 5 8" xfId="5084" xr:uid="{89A47B87-C33A-42D5-BAC3-8A936F5DCF61}"/>
    <cellStyle name="Migliaia 5 2 5 8 2" xfId="20264" xr:uid="{A41F6027-9E54-4036-B8EF-215768F047F0}"/>
    <cellStyle name="Migliaia 5 2 5 9" xfId="16462" xr:uid="{1A1734DA-0DB9-4BF9-BED1-6E7EBC329E3E}"/>
    <cellStyle name="Migliaia 5 2 6" xfId="31410" xr:uid="{D8F53478-03E5-410C-8381-C5F8EDCEB37F}"/>
    <cellStyle name="Migliaia 5 2 7" xfId="618" xr:uid="{64B63BE5-40D4-4BDB-9965-802374378D9C}"/>
    <cellStyle name="Migliaia 5 3" xfId="342" xr:uid="{0E7E04EA-CB58-4DC7-8E56-1779D3DB1D66}"/>
    <cellStyle name="Migliaia 5 3 2" xfId="487" xr:uid="{A70E7CBF-BA86-4921-9AF0-0552092D12CD}"/>
    <cellStyle name="Migliaia 5 3 2 10" xfId="1453" xr:uid="{8AEED63C-B9ED-4F13-8D84-B71E8BB8DD8A}"/>
    <cellStyle name="Migliaia 5 3 2 10 2" xfId="2878" xr:uid="{2F9BF6E9-5CE3-4A5A-BC2F-0FA664928F0F}"/>
    <cellStyle name="Migliaia 5 3 2 10 2 2" xfId="10369" xr:uid="{CC747108-2C60-4D21-B1B0-F84CD9C67953}"/>
    <cellStyle name="Migliaia 5 3 2 10 2 2 2" xfId="13915" xr:uid="{C010FA1B-062D-448E-8910-8FE395A31F7F}"/>
    <cellStyle name="Migliaia 5 3 2 10 2 2 2 2" xfId="29092" xr:uid="{CDB20CB1-3598-4D3C-9222-2B272F75A64F}"/>
    <cellStyle name="Migliaia 5 3 2 10 2 2 3" xfId="25547" xr:uid="{B9713CD1-1A6B-4262-94ED-FBEE88027D9B}"/>
    <cellStyle name="Migliaia 5 3 2 10 2 3" xfId="6195" xr:uid="{3BC39C2C-92CC-4950-B242-16E2324908A7}"/>
    <cellStyle name="Migliaia 5 3 2 10 2 3 2" xfId="21375" xr:uid="{73E275F0-74FF-4E9F-AAEC-E6AF2E17C0A0}"/>
    <cellStyle name="Migliaia 5 3 2 10 2 4" xfId="18087" xr:uid="{F6834912-0E0D-4A11-95AF-B541C6B4B25F}"/>
    <cellStyle name="Migliaia 5 3 2 10 3" xfId="3765" xr:uid="{9CEBBBDB-364B-4720-B8F1-4D47E2535DE5}"/>
    <cellStyle name="Migliaia 5 3 2 10 3 2" xfId="11253" xr:uid="{41FB1996-E798-47FB-A287-3135F42E6F44}"/>
    <cellStyle name="Migliaia 5 3 2 10 3 2 2" xfId="14799" xr:uid="{FCBBC3D6-97DB-4BC3-AF0C-E0407AECC880}"/>
    <cellStyle name="Migliaia 5 3 2 10 3 2 2 2" xfId="29976" xr:uid="{ED738E45-EAA0-401A-B4C2-850B500583F5}"/>
    <cellStyle name="Migliaia 5 3 2 10 3 2 3" xfId="26431" xr:uid="{3375E85A-622D-43E9-ADB5-6FDDDB867F77}"/>
    <cellStyle name="Migliaia 5 3 2 10 3 3" xfId="7079" xr:uid="{908F3659-51FA-4909-95C1-EE26E1655E1C}"/>
    <cellStyle name="Migliaia 5 3 2 10 3 3 2" xfId="22259" xr:uid="{0B24E980-B47F-48AF-AECA-BB91117A9AA3}"/>
    <cellStyle name="Migliaia 5 3 2 10 3 4" xfId="18971" xr:uid="{A386FA9F-E3D6-451C-8830-456482978709}"/>
    <cellStyle name="Migliaia 5 3 2 10 4" xfId="4712" xr:uid="{125FB046-35C9-4897-BEBF-228E4739149B}"/>
    <cellStyle name="Migliaia 5 3 2 10 4 2" xfId="12197" xr:uid="{17BFE253-4DC5-4B77-9547-ECBE5E844697}"/>
    <cellStyle name="Migliaia 5 3 2 10 4 2 2" xfId="15743" xr:uid="{34F617C9-68FD-4D75-946F-FBB418FC4729}"/>
    <cellStyle name="Migliaia 5 3 2 10 4 2 2 2" xfId="30920" xr:uid="{FC55BA7A-4036-4693-BC00-4CFCBCF6F661}"/>
    <cellStyle name="Migliaia 5 3 2 10 4 2 3" xfId="27375" xr:uid="{4F1BB9F9-C34A-4523-8E8B-314808F569BD}"/>
    <cellStyle name="Migliaia 5 3 2 10 4 3" xfId="8023" xr:uid="{510CEA99-3195-4CB9-9872-6F87ADA49761}"/>
    <cellStyle name="Migliaia 5 3 2 10 4 3 2" xfId="23203" xr:uid="{6479CD45-2F2C-4FD0-933A-4584DB6208BC}"/>
    <cellStyle name="Migliaia 5 3 2 10 4 4" xfId="19915" xr:uid="{1395BB8B-C011-4E54-9C55-21F8D2848993}"/>
    <cellStyle name="Migliaia 5 3 2 10 5" xfId="1988" xr:uid="{4C0B79C3-DB0B-475E-9027-2F9C5AB332CF}"/>
    <cellStyle name="Migliaia 5 3 2 10 5 2" xfId="9485" xr:uid="{605B48C3-349B-4395-B5AF-5AC390CA4143}"/>
    <cellStyle name="Migliaia 5 3 2 10 5 2 2" xfId="24663" xr:uid="{F70B9A00-A560-4839-AD26-6F539DCC938C}"/>
    <cellStyle name="Migliaia 5 3 2 10 5 3" xfId="17203" xr:uid="{743EF9D8-D9AE-4828-B36D-5395610A177F}"/>
    <cellStyle name="Migliaia 5 3 2 10 6" xfId="8971" xr:uid="{64053522-5127-4493-B586-A6E9973AB797}"/>
    <cellStyle name="Migliaia 5 3 2 10 6 2" xfId="13144" xr:uid="{208D9010-696C-4F9C-99B6-E8C095E9A4CC}"/>
    <cellStyle name="Migliaia 5 3 2 10 6 2 2" xfId="28321" xr:uid="{217857F9-8535-4529-ABDE-C4ECFED15FC3}"/>
    <cellStyle name="Migliaia 5 3 2 10 6 3" xfId="24149" xr:uid="{A4E38BBC-21A9-466A-828F-91601F376E12}"/>
    <cellStyle name="Migliaia 5 3 2 10 7" xfId="5311" xr:uid="{F309FF7E-63B1-4039-A952-C7382CB5E5D1}"/>
    <cellStyle name="Migliaia 5 3 2 10 7 2" xfId="20491" xr:uid="{289545A6-9B7C-426F-BD48-5750C97D9131}"/>
    <cellStyle name="Migliaia 5 3 2 10 8" xfId="16689" xr:uid="{C3B0B81E-D394-4377-AF53-C677E655E3DB}"/>
    <cellStyle name="Migliaia 5 3 2 11" xfId="1556" xr:uid="{8F6F79D3-CC54-44E3-9655-2A3B72D5FFFA}"/>
    <cellStyle name="Migliaia 5 3 2 11 2" xfId="2976" xr:uid="{918BE341-E3DE-4DDA-931A-DAF25DD0B583}"/>
    <cellStyle name="Migliaia 5 3 2 11 2 2" xfId="10467" xr:uid="{1CE007B6-C187-4E19-A1C0-7C142C2FA06F}"/>
    <cellStyle name="Migliaia 5 3 2 11 2 2 2" xfId="14013" xr:uid="{03858EED-7C47-4D04-ABA7-F149E549F7DC}"/>
    <cellStyle name="Migliaia 5 3 2 11 2 2 2 2" xfId="29190" xr:uid="{A8086A51-6026-4C1B-BF25-821B2B7A9F12}"/>
    <cellStyle name="Migliaia 5 3 2 11 2 2 3" xfId="25645" xr:uid="{75DCA2F0-AF12-41F3-8F9F-68B5D73724A7}"/>
    <cellStyle name="Migliaia 5 3 2 11 2 3" xfId="6293" xr:uid="{1D306CC6-691B-413B-94D9-C9B030E5D8BB}"/>
    <cellStyle name="Migliaia 5 3 2 11 2 3 2" xfId="21473" xr:uid="{4B4309C7-6213-4656-A865-218E41D10C92}"/>
    <cellStyle name="Migliaia 5 3 2 11 2 4" xfId="18185" xr:uid="{C6A36D53-60B7-41B3-B70F-03F75B8FAF9A}"/>
    <cellStyle name="Migliaia 5 3 2 11 3" xfId="3863" xr:uid="{00D4D43F-A267-4BC4-970B-90D25200848D}"/>
    <cellStyle name="Migliaia 5 3 2 11 3 2" xfId="11351" xr:uid="{211102E1-5013-476C-9813-AB61D2587334}"/>
    <cellStyle name="Migliaia 5 3 2 11 3 2 2" xfId="14897" xr:uid="{2BB9BF07-2C68-46AE-9EDA-33CE6AC7F056}"/>
    <cellStyle name="Migliaia 5 3 2 11 3 2 2 2" xfId="30074" xr:uid="{4D86CD17-B16D-4929-B5BE-298455DAC012}"/>
    <cellStyle name="Migliaia 5 3 2 11 3 2 3" xfId="26529" xr:uid="{5805F576-9614-4FD2-8605-D50C26C07672}"/>
    <cellStyle name="Migliaia 5 3 2 11 3 3" xfId="7177" xr:uid="{3E8C7A99-801D-492D-8AC0-E8BD8C6978DB}"/>
    <cellStyle name="Migliaia 5 3 2 11 3 3 2" xfId="22357" xr:uid="{2671FE0A-5E17-4EE1-BFAA-32097071336F}"/>
    <cellStyle name="Migliaia 5 3 2 11 3 4" xfId="19069" xr:uid="{EE18DBF8-84B7-478E-8026-E76C7799AA76}"/>
    <cellStyle name="Migliaia 5 3 2 11 4" xfId="4713" xr:uid="{65B5B329-69B8-48DC-B2D6-19CB3D60DD54}"/>
    <cellStyle name="Migliaia 5 3 2 11 4 2" xfId="12198" xr:uid="{E4F888C1-4541-4A95-BE55-EE8DF6E0949A}"/>
    <cellStyle name="Migliaia 5 3 2 11 4 2 2" xfId="15744" xr:uid="{A056FDB4-43F8-40E9-90F8-5DE500269040}"/>
    <cellStyle name="Migliaia 5 3 2 11 4 2 2 2" xfId="30921" xr:uid="{B6A7690B-3E7C-468D-8116-49C59A0C9072}"/>
    <cellStyle name="Migliaia 5 3 2 11 4 2 3" xfId="27376" xr:uid="{84788EB0-3A04-4006-B74B-766F467A9F51}"/>
    <cellStyle name="Migliaia 5 3 2 11 4 3" xfId="8024" xr:uid="{4A1D23BD-3353-4F42-ACEC-D9DE8EB1C11A}"/>
    <cellStyle name="Migliaia 5 3 2 11 4 3 2" xfId="23204" xr:uid="{4F758D0E-8222-44B9-9E3C-DED7EF3CE20C}"/>
    <cellStyle name="Migliaia 5 3 2 11 4 4" xfId="19916" xr:uid="{8B0BEA0E-7F0A-4442-83A0-6A1C725B51EC}"/>
    <cellStyle name="Migliaia 5 3 2 11 5" xfId="2086" xr:uid="{49C92409-CEF8-43E9-83F9-6F20BAEEF8D0}"/>
    <cellStyle name="Migliaia 5 3 2 11 5 2" xfId="9583" xr:uid="{B0C11560-53CE-474F-BAB5-2F13C66B0D75}"/>
    <cellStyle name="Migliaia 5 3 2 11 5 2 2" xfId="24761" xr:uid="{0016E6E4-95AC-48C7-85D5-2C0A828AEA6D}"/>
    <cellStyle name="Migliaia 5 3 2 11 5 3" xfId="17301" xr:uid="{484F517C-B241-4986-B3EF-80FE82B1F0DA}"/>
    <cellStyle name="Migliaia 5 3 2 11 6" xfId="9069" xr:uid="{09DA4C5F-63D6-4B2C-A523-4D58132B7281}"/>
    <cellStyle name="Migliaia 5 3 2 11 6 2" xfId="13242" xr:uid="{5380230E-75D7-47C9-9D3B-7EEC54915423}"/>
    <cellStyle name="Migliaia 5 3 2 11 6 2 2" xfId="28419" xr:uid="{7F48F6FD-6881-4D44-BC6D-52B35F4A88E2}"/>
    <cellStyle name="Migliaia 5 3 2 11 6 3" xfId="24247" xr:uid="{5700DB3B-EAB1-46EB-8949-DA79629C37DE}"/>
    <cellStyle name="Migliaia 5 3 2 11 7" xfId="5409" xr:uid="{E029A899-DC5C-4FC9-9C01-DA22EDFE19DD}"/>
    <cellStyle name="Migliaia 5 3 2 11 7 2" xfId="20589" xr:uid="{7E2C5E52-40F3-4C30-90AD-C17A3A649DBA}"/>
    <cellStyle name="Migliaia 5 3 2 11 8" xfId="16787" xr:uid="{D12CEC6F-9909-43C8-9838-913C4D3E70D6}"/>
    <cellStyle name="Migliaia 5 3 2 12" xfId="1655" xr:uid="{D91608A2-9445-4E9D-B38B-C66B91D3686E}"/>
    <cellStyle name="Migliaia 5 3 2 12 2" xfId="3074" xr:uid="{0EF5469D-A9FE-4E77-9CEF-F7F3558D96D2}"/>
    <cellStyle name="Migliaia 5 3 2 12 2 2" xfId="10565" xr:uid="{17497213-9BBF-45EA-A5BE-2AF3154C68A4}"/>
    <cellStyle name="Migliaia 5 3 2 12 2 2 2" xfId="14111" xr:uid="{41272EE0-00BF-476F-8415-614246AEA25F}"/>
    <cellStyle name="Migliaia 5 3 2 12 2 2 2 2" xfId="29288" xr:uid="{8A77D5F9-3938-428D-A159-0E5E3D38D926}"/>
    <cellStyle name="Migliaia 5 3 2 12 2 2 3" xfId="25743" xr:uid="{0D72F60C-F127-4596-AC79-9155C46F2687}"/>
    <cellStyle name="Migliaia 5 3 2 12 2 3" xfId="6391" xr:uid="{AB1500B5-F544-4F90-BFF0-DB8AE52A5036}"/>
    <cellStyle name="Migliaia 5 3 2 12 2 3 2" xfId="21571" xr:uid="{5E18DE15-6F22-421C-AA17-19D96B593CD2}"/>
    <cellStyle name="Migliaia 5 3 2 12 2 4" xfId="18283" xr:uid="{B9C548AB-B19C-4FA2-8917-0F786F605764}"/>
    <cellStyle name="Migliaia 5 3 2 12 3" xfId="3961" xr:uid="{C4DAE215-3C3B-4C94-BAE1-D86B48D6C417}"/>
    <cellStyle name="Migliaia 5 3 2 12 3 2" xfId="11449" xr:uid="{E5B3FD47-B172-4655-A552-006E1AFE728C}"/>
    <cellStyle name="Migliaia 5 3 2 12 3 2 2" xfId="14995" xr:uid="{80406CAC-CD00-4E09-8692-1D0A02733B11}"/>
    <cellStyle name="Migliaia 5 3 2 12 3 2 2 2" xfId="30172" xr:uid="{C9EB9AE9-4621-4885-8273-F4E5DD1832FD}"/>
    <cellStyle name="Migliaia 5 3 2 12 3 2 3" xfId="26627" xr:uid="{459C59AF-8B03-469A-8CBE-0D950F08ED99}"/>
    <cellStyle name="Migliaia 5 3 2 12 3 3" xfId="7275" xr:uid="{A70B85FA-2D9C-471D-A462-124A68272DBB}"/>
    <cellStyle name="Migliaia 5 3 2 12 3 3 2" xfId="22455" xr:uid="{A2B0C7BB-3B62-4446-9D44-5E5B4EEB274A}"/>
    <cellStyle name="Migliaia 5 3 2 12 3 4" xfId="19167" xr:uid="{4570E540-403C-4B83-9C36-89D3CB8797DD}"/>
    <cellStyle name="Migliaia 5 3 2 12 4" xfId="4714" xr:uid="{669B437B-0536-4FD9-BDC5-DF33B3F2208E}"/>
    <cellStyle name="Migliaia 5 3 2 12 4 2" xfId="12199" xr:uid="{B91F0D2B-4425-4681-A1A0-A81C363A5D51}"/>
    <cellStyle name="Migliaia 5 3 2 12 4 2 2" xfId="15745" xr:uid="{0184048D-F7BF-4D09-8EC5-6BCB4BC331A0}"/>
    <cellStyle name="Migliaia 5 3 2 12 4 2 2 2" xfId="30922" xr:uid="{6E65EFCC-A399-474C-819B-60DD3627195F}"/>
    <cellStyle name="Migliaia 5 3 2 12 4 2 3" xfId="27377" xr:uid="{C6C9DA48-F7CA-42A3-98FC-2A04657F60BB}"/>
    <cellStyle name="Migliaia 5 3 2 12 4 3" xfId="8025" xr:uid="{F137DB65-1591-4A1D-AECD-8BDFAEC0224E}"/>
    <cellStyle name="Migliaia 5 3 2 12 4 3 2" xfId="23205" xr:uid="{1160668D-DA4A-4A20-BE7B-DAC829A12493}"/>
    <cellStyle name="Migliaia 5 3 2 12 4 4" xfId="19917" xr:uid="{25DA67E7-3961-47F3-A72D-185D96C1DB1D}"/>
    <cellStyle name="Migliaia 5 3 2 12 5" xfId="2184" xr:uid="{9AC52886-CEE4-42D4-BA42-878D04AB6D05}"/>
    <cellStyle name="Migliaia 5 3 2 12 5 2" xfId="9681" xr:uid="{0CCA62CA-82DE-424F-B3EF-512700B1C43D}"/>
    <cellStyle name="Migliaia 5 3 2 12 5 2 2" xfId="24859" xr:uid="{A03BB737-9B37-4295-AF88-1CF04F79122F}"/>
    <cellStyle name="Migliaia 5 3 2 12 5 3" xfId="17399" xr:uid="{987876F6-8340-450C-B71F-BEFF85FE2283}"/>
    <cellStyle name="Migliaia 5 3 2 12 6" xfId="9167" xr:uid="{2A5DEFDA-F362-4BDE-A4EE-75748CA91971}"/>
    <cellStyle name="Migliaia 5 3 2 12 6 2" xfId="13340" xr:uid="{D577A81A-81F6-4023-AC98-18EF4E955949}"/>
    <cellStyle name="Migliaia 5 3 2 12 6 2 2" xfId="28517" xr:uid="{6E3AF001-FC63-4B4B-AD80-96E96C98CC10}"/>
    <cellStyle name="Migliaia 5 3 2 12 6 3" xfId="24345" xr:uid="{391677A3-89BE-4BBF-9142-BA4858DA05C2}"/>
    <cellStyle name="Migliaia 5 3 2 12 7" xfId="5507" xr:uid="{2BD75C9C-9345-4991-85B2-BFE8B9297413}"/>
    <cellStyle name="Migliaia 5 3 2 12 7 2" xfId="20687" xr:uid="{FB274438-1772-429F-9C54-57A2FC9F85A2}"/>
    <cellStyle name="Migliaia 5 3 2 12 8" xfId="16885" xr:uid="{24669151-E36B-44D8-BEFA-61CEA56ACCD0}"/>
    <cellStyle name="Migliaia 5 3 2 13" xfId="2284" xr:uid="{4B005169-61E0-4B9B-BC9B-B83415CD413F}"/>
    <cellStyle name="Migliaia 5 3 2 13 2" xfId="9779" xr:uid="{6BFD901A-2754-4E6D-8525-5081813E49CF}"/>
    <cellStyle name="Migliaia 5 3 2 13 2 2" xfId="13438" xr:uid="{AC68A9C6-580E-40E9-A3AC-B87CF9D243F5}"/>
    <cellStyle name="Migliaia 5 3 2 13 2 2 2" xfId="28615" xr:uid="{516B8D3B-D0A0-4598-A542-067BBD07CFCA}"/>
    <cellStyle name="Migliaia 5 3 2 13 2 3" xfId="24957" xr:uid="{15FA4C26-0229-4D0D-80EA-BAA82820A9A1}"/>
    <cellStyle name="Migliaia 5 3 2 13 3" xfId="5605" xr:uid="{820FD1F6-2B2F-41B1-B82D-7319D44A7015}"/>
    <cellStyle name="Migliaia 5 3 2 13 3 2" xfId="20785" xr:uid="{8FEF0EFD-A90C-45D4-ACCF-75C46E0A7FEF}"/>
    <cellStyle name="Migliaia 5 3 2 13 4" xfId="17497" xr:uid="{BAB65609-C888-4142-B6DF-8479555D7174}"/>
    <cellStyle name="Migliaia 5 3 2 14" xfId="3174" xr:uid="{2A217F5B-30D3-42A8-A888-AF03FDB48982}"/>
    <cellStyle name="Migliaia 5 3 2 14 2" xfId="10663" xr:uid="{20586202-ACA3-42D3-ABFB-2E10D26C5DB7}"/>
    <cellStyle name="Migliaia 5 3 2 14 2 2" xfId="14209" xr:uid="{2F8AC722-E2C4-4658-8CCD-44DDF64DBA5A}"/>
    <cellStyle name="Migliaia 5 3 2 14 2 2 2" xfId="29386" xr:uid="{DBD9004C-777F-4985-8A4E-9CA45B7ED3B1}"/>
    <cellStyle name="Migliaia 5 3 2 14 2 3" xfId="25841" xr:uid="{605628D7-4287-46C4-BE48-D30C65E98252}"/>
    <cellStyle name="Migliaia 5 3 2 14 3" xfId="6489" xr:uid="{B82524C4-53D5-4E5D-824B-ACB4D55C02E4}"/>
    <cellStyle name="Migliaia 5 3 2 14 3 2" xfId="21669" xr:uid="{78C807ED-6BE2-4EA0-9D07-0D85E692D6F8}"/>
    <cellStyle name="Migliaia 5 3 2 14 4" xfId="18381" xr:uid="{42957670-200A-4F1C-AC51-799AA17398E0}"/>
    <cellStyle name="Migliaia 5 3 2 15" xfId="4715" xr:uid="{821C3CE5-12E6-4C26-BF80-95FC73EBCE1F}"/>
    <cellStyle name="Migliaia 5 3 2 15 2" xfId="12200" xr:uid="{8D6D0FE9-2C96-4F26-932B-954506B94053}"/>
    <cellStyle name="Migliaia 5 3 2 15 2 2" xfId="15746" xr:uid="{D23F5222-CCD6-412E-A3FD-9AF5749E05FE}"/>
    <cellStyle name="Migliaia 5 3 2 15 2 2 2" xfId="30923" xr:uid="{19DD361B-E1D2-4881-9250-FC538235406E}"/>
    <cellStyle name="Migliaia 5 3 2 15 2 3" xfId="27378" xr:uid="{DA0E83AA-1840-4027-B77E-7EE53B5BC506}"/>
    <cellStyle name="Migliaia 5 3 2 15 3" xfId="8026" xr:uid="{4473E8B7-3A0D-41B3-AEC3-BE903125028D}"/>
    <cellStyle name="Migliaia 5 3 2 15 3 2" xfId="23206" xr:uid="{60CF7CE7-9FA5-4EB6-B4ED-CD159E7198A0}"/>
    <cellStyle name="Migliaia 5 3 2 15 4" xfId="19918" xr:uid="{87406AC4-B67B-4417-BD8E-EE13BB071FE5}"/>
    <cellStyle name="Migliaia 5 3 2 16" xfId="8380" xr:uid="{805ADEB7-A4AA-4E8E-9CF2-85E7EA44BDBB}"/>
    <cellStyle name="Migliaia 5 3 2 16 2" xfId="12554" xr:uid="{D3831BA7-36D0-4BEA-B814-7CF8952715E7}"/>
    <cellStyle name="Migliaia 5 3 2 16 2 2" xfId="27731" xr:uid="{EF866EFC-B43B-41EF-9C6B-F5D79ECADC6D}"/>
    <cellStyle name="Migliaia 5 3 2 16 3" xfId="23559" xr:uid="{51E949BA-777D-4E9E-A6E7-D738DB0D2725}"/>
    <cellStyle name="Migliaia 5 3 2 17" xfId="16099" xr:uid="{7F425E36-F273-4B62-9567-B908841157AA}"/>
    <cellStyle name="Migliaia 5 3 2 18" xfId="31441" xr:uid="{D845F676-95CC-46AF-951E-CE9FC2D02C7A}"/>
    <cellStyle name="Migliaia 5 3 2 19" xfId="701" xr:uid="{62A373C4-2F9B-4F8F-BB53-8AF5030084DC}"/>
    <cellStyle name="Migliaia 5 3 2 2" xfId="599" xr:uid="{A43B1B71-A911-40BA-BC8A-B39422149A77}"/>
    <cellStyle name="Migliaia 5 3 2 2 10" xfId="2309" xr:uid="{E4F1D7A3-C6E7-4313-BF19-7C17841BA5EB}"/>
    <cellStyle name="Migliaia 5 3 2 2 10 2" xfId="9804" xr:uid="{4B6E1905-F129-4E34-A08E-5AB8BB9E471B}"/>
    <cellStyle name="Migliaia 5 3 2 2 10 2 2" xfId="13463" xr:uid="{F98F26E9-26C7-4B1F-9253-0F3C897147DA}"/>
    <cellStyle name="Migliaia 5 3 2 2 10 2 2 2" xfId="28640" xr:uid="{5EDA6DA6-894D-494B-8630-1071E3477B35}"/>
    <cellStyle name="Migliaia 5 3 2 2 10 2 3" xfId="24982" xr:uid="{8434AB9C-3039-460D-A42D-FE2A6BC94C5B}"/>
    <cellStyle name="Migliaia 5 3 2 2 10 3" xfId="5630" xr:uid="{10F0884A-2B63-44E2-AABF-B04E3201E193}"/>
    <cellStyle name="Migliaia 5 3 2 2 10 3 2" xfId="20810" xr:uid="{6AA77537-6859-4EDE-AA8E-3AAEF724CCC6}"/>
    <cellStyle name="Migliaia 5 3 2 2 10 4" xfId="17522" xr:uid="{A027636D-AA55-438E-A56D-534C37D3CFBD}"/>
    <cellStyle name="Migliaia 5 3 2 2 11" xfId="3199" xr:uid="{7554EB0D-F1E6-439D-8C58-5D0285EACB38}"/>
    <cellStyle name="Migliaia 5 3 2 2 11 2" xfId="10688" xr:uid="{481B23EF-440C-486A-8909-0EA876201DA4}"/>
    <cellStyle name="Migliaia 5 3 2 2 11 2 2" xfId="14234" xr:uid="{78AC8CC1-62F7-46AF-A503-D0873F22F90E}"/>
    <cellStyle name="Migliaia 5 3 2 2 11 2 2 2" xfId="29411" xr:uid="{B3509A98-17F6-46F1-8F7A-B71FBEA55335}"/>
    <cellStyle name="Migliaia 5 3 2 2 11 2 3" xfId="25866" xr:uid="{C8C5B51E-3DCA-40B5-9E18-FAF17BFE1503}"/>
    <cellStyle name="Migliaia 5 3 2 2 11 3" xfId="6514" xr:uid="{AAF0C62B-4F67-4044-9902-71F4D2502850}"/>
    <cellStyle name="Migliaia 5 3 2 2 11 3 2" xfId="21694" xr:uid="{8C7AE41D-990F-4DC0-9B28-86A62A86A155}"/>
    <cellStyle name="Migliaia 5 3 2 2 11 4" xfId="18406" xr:uid="{B9DD4FE5-3296-4898-938D-06D715477700}"/>
    <cellStyle name="Migliaia 5 3 2 2 12" xfId="4716" xr:uid="{46DBC497-72CC-4140-97B9-237FE3454A00}"/>
    <cellStyle name="Migliaia 5 3 2 2 12 2" xfId="12201" xr:uid="{B14F2243-4BD9-4974-86D8-6FB1626F2A59}"/>
    <cellStyle name="Migliaia 5 3 2 2 12 2 2" xfId="15747" xr:uid="{27F3B7A1-3C20-4CC1-BA1F-890348C8A553}"/>
    <cellStyle name="Migliaia 5 3 2 2 12 2 2 2" xfId="30924" xr:uid="{49FD1214-E5B4-4FDC-BE63-80A0571F20C7}"/>
    <cellStyle name="Migliaia 5 3 2 2 12 2 3" xfId="27379" xr:uid="{0AD07091-4468-4614-8A58-4FCEA0636BFD}"/>
    <cellStyle name="Migliaia 5 3 2 2 12 3" xfId="8027" xr:uid="{52070DB8-7581-450B-95E4-B3EE9BC7E4EF}"/>
    <cellStyle name="Migliaia 5 3 2 2 12 3 2" xfId="23207" xr:uid="{FEE4E1D7-D217-4CDE-AC9E-0330B658BC80}"/>
    <cellStyle name="Migliaia 5 3 2 2 12 4" xfId="19919" xr:uid="{C40824E7-D033-489A-AAB0-60AD0DBBC5A3}"/>
    <cellStyle name="Migliaia 5 3 2 2 13" xfId="8405" xr:uid="{297C64CD-0032-4C2E-9FF9-6434BF4B4AED}"/>
    <cellStyle name="Migliaia 5 3 2 2 13 2" xfId="12579" xr:uid="{72E013EF-AEF1-44C0-A0CC-0083A87BEFA2}"/>
    <cellStyle name="Migliaia 5 3 2 2 13 2 2" xfId="27756" xr:uid="{6CB687CC-D9A3-46D0-A48A-2D1A6C6897CB}"/>
    <cellStyle name="Migliaia 5 3 2 2 13 3" xfId="23584" xr:uid="{2A881CC2-BADB-4825-9D48-70C15233467C}"/>
    <cellStyle name="Migliaia 5 3 2 2 14" xfId="16124" xr:uid="{845E12D2-9BEB-4134-895C-52C9318796BF}"/>
    <cellStyle name="Migliaia 5 3 2 2 15" xfId="31466" xr:uid="{F03471B2-D836-4949-860D-E0DEB6AF523A}"/>
    <cellStyle name="Migliaia 5 3 2 2 16" xfId="736" xr:uid="{3CEAF545-E3AD-4670-A969-B5ADAE4AC9D5}"/>
    <cellStyle name="Migliaia 5 3 2 2 2" xfId="788" xr:uid="{36E29897-8FCA-436F-9F78-60A262CFABD5}"/>
    <cellStyle name="Migliaia 5 3 2 2 2 10" xfId="8454" xr:uid="{81903A67-8F58-4DBE-A10B-9336082D4A00}"/>
    <cellStyle name="Migliaia 5 3 2 2 2 10 2" xfId="12628" xr:uid="{CF29D2A6-5478-41E3-ADCB-2D4EBAC722A2}"/>
    <cellStyle name="Migliaia 5 3 2 2 2 10 2 2" xfId="27805" xr:uid="{3D06D62E-F813-4008-97E4-337810CDD154}"/>
    <cellStyle name="Migliaia 5 3 2 2 2 10 3" xfId="23633" xr:uid="{C3D5F0C7-708E-45B5-9842-5357C4227E38}"/>
    <cellStyle name="Migliaia 5 3 2 2 2 11" xfId="16173" xr:uid="{118E6B13-E603-43ED-9F15-9E078F46A2A5}"/>
    <cellStyle name="Migliaia 5 3 2 2 2 12" xfId="31515" xr:uid="{E6052E98-CFF5-4757-97B4-1EB5A796ADDE}"/>
    <cellStyle name="Migliaia 5 3 2 2 2 2" xfId="965" xr:uid="{291DC965-2B4B-411D-BE1D-1928AFAF201E}"/>
    <cellStyle name="Migliaia 5 3 2 2 2 2 10" xfId="16295" xr:uid="{85AB28E1-BD2A-4D49-B8FA-479EA1DB35CC}"/>
    <cellStyle name="Migliaia 5 3 2 2 2 2 11" xfId="31385" xr:uid="{66B58455-AC49-46BD-A406-2A8BE6F36896}"/>
    <cellStyle name="Migliaia 5 3 2 2 2 2 12" xfId="31735" xr:uid="{807D54E0-758F-420F-88ED-4C86B7A01C10}"/>
    <cellStyle name="Migliaia 5 3 2 2 2 2 2" xfId="1326" xr:uid="{F15E1826-F0DF-4A1D-B09D-92691FE81A64}"/>
    <cellStyle name="Migliaia 5 3 2 2 2 2 2 2" xfId="3643" xr:uid="{07DC55E2-32DE-48CE-AFA5-010C5922E6F4}"/>
    <cellStyle name="Migliaia 5 3 2 2 2 2 2 2 2" xfId="11131" xr:uid="{F6A76D42-C467-44BB-A720-B37F6925284F}"/>
    <cellStyle name="Migliaia 5 3 2 2 2 2 2 2 2 2" xfId="14677" xr:uid="{98620F95-0D5F-4193-B01E-2ACF81CBAA2D}"/>
    <cellStyle name="Migliaia 5 3 2 2 2 2 2 2 2 2 2" xfId="29854" xr:uid="{89C114EA-09AD-4C7A-A3DA-417A79DC0F58}"/>
    <cellStyle name="Migliaia 5 3 2 2 2 2 2 2 2 3" xfId="26309" xr:uid="{E7419AFC-149C-424F-B6F5-08F004985453}"/>
    <cellStyle name="Migliaia 5 3 2 2 2 2 2 2 3" xfId="6957" xr:uid="{A1B231FF-425F-4AF1-8807-837FCB4A8F78}"/>
    <cellStyle name="Migliaia 5 3 2 2 2 2 2 2 3 2" xfId="22137" xr:uid="{DDCE13E0-D8CF-4A69-ADFB-F5FE251B6858}"/>
    <cellStyle name="Migliaia 5 3 2 2 2 2 2 2 4" xfId="18849" xr:uid="{BAC1C06C-E7F6-4633-AC0F-83F962B621ED}"/>
    <cellStyle name="Migliaia 5 3 2 2 2 2 2 3" xfId="4717" xr:uid="{2CCA8152-A1D1-4BED-99B5-4CF0D5D15EB3}"/>
    <cellStyle name="Migliaia 5 3 2 2 2 2 2 3 2" xfId="12202" xr:uid="{54990331-5988-488F-9A7D-FAA335B922C8}"/>
    <cellStyle name="Migliaia 5 3 2 2 2 2 2 3 2 2" xfId="15748" xr:uid="{8F5C372E-CF38-4B6F-A8A8-A14C2EBD8E80}"/>
    <cellStyle name="Migliaia 5 3 2 2 2 2 2 3 2 2 2" xfId="30925" xr:uid="{451FC48C-C8A6-4C21-A64C-509CE6985FB1}"/>
    <cellStyle name="Migliaia 5 3 2 2 2 2 2 3 2 3" xfId="27380" xr:uid="{55D6B2B8-136D-4902-B138-C411B9E7C5BC}"/>
    <cellStyle name="Migliaia 5 3 2 2 2 2 2 3 3" xfId="8028" xr:uid="{58164360-95A9-419C-A2DC-690A1110E31B}"/>
    <cellStyle name="Migliaia 5 3 2 2 2 2 2 3 3 2" xfId="23208" xr:uid="{1229C3E1-4D58-4EBC-894F-2D8E9B59E311}"/>
    <cellStyle name="Migliaia 5 3 2 2 2 2 2 3 4" xfId="19920" xr:uid="{4C7C628F-2AE8-47A2-AF9E-267E5DB5B2CA}"/>
    <cellStyle name="Migliaia 5 3 2 2 2 2 2 4" xfId="2756" xr:uid="{570D596B-102E-4FD4-90ED-32E7168A04E9}"/>
    <cellStyle name="Migliaia 5 3 2 2 2 2 2 4 2" xfId="10247" xr:uid="{168F855C-700E-4517-B38F-9FDD22893134}"/>
    <cellStyle name="Migliaia 5 3 2 2 2 2 2 4 2 2" xfId="25425" xr:uid="{CFC1BBF0-E0FD-4D93-94B3-E0C557B87662}"/>
    <cellStyle name="Migliaia 5 3 2 2 2 2 2 4 3" xfId="17965" xr:uid="{6CDA8C12-6385-4521-899C-9750193F7517}"/>
    <cellStyle name="Migliaia 5 3 2 2 2 2 2 5" xfId="8849" xr:uid="{01D7F534-E93D-427D-8979-F5504A59E01B}"/>
    <cellStyle name="Migliaia 5 3 2 2 2 2 2 5 2" xfId="13022" xr:uid="{1CBDBE73-9AB9-42B9-B4E5-C3EDCD43F596}"/>
    <cellStyle name="Migliaia 5 3 2 2 2 2 2 5 2 2" xfId="28199" xr:uid="{0C0CB4CD-CE91-467C-B382-889CD23D7EEA}"/>
    <cellStyle name="Migliaia 5 3 2 2 2 2 2 5 3" xfId="24027" xr:uid="{2F5ADB61-3232-4244-884D-DF9BF8E61328}"/>
    <cellStyle name="Migliaia 5 3 2 2 2 2 2 6" xfId="6073" xr:uid="{19630830-97C7-483F-A842-E84CE2D35738}"/>
    <cellStyle name="Migliaia 5 3 2 2 2 2 2 6 2" xfId="21253" xr:uid="{3762E887-EF73-44F4-817A-C90642E2214E}"/>
    <cellStyle name="Migliaia 5 3 2 2 2 2 2 7" xfId="16567" xr:uid="{5D9B36D0-4149-4066-A27F-D1625EF7A59C}"/>
    <cellStyle name="Migliaia 5 3 2 2 2 2 3" xfId="2483" xr:uid="{CBE88028-0BB5-47E9-AFEB-E25B22DC4D84}"/>
    <cellStyle name="Migliaia 5 3 2 2 2 2 3 2" xfId="9975" xr:uid="{20598739-5DF5-4AC9-9840-34A0CF3F504C}"/>
    <cellStyle name="Migliaia 5 3 2 2 2 2 3 2 2" xfId="13634" xr:uid="{1813C6D3-8737-4A86-A41C-701CB5DE98B9}"/>
    <cellStyle name="Migliaia 5 3 2 2 2 2 3 2 2 2" xfId="28811" xr:uid="{C2D7C53D-9337-495A-8C49-E3E90181A768}"/>
    <cellStyle name="Migliaia 5 3 2 2 2 2 3 2 3" xfId="25153" xr:uid="{B6D45475-3F3A-4676-9B7E-06AF902BA166}"/>
    <cellStyle name="Migliaia 5 3 2 2 2 2 3 3" xfId="5801" xr:uid="{2D60D0CD-574D-4A89-80B0-B51A73E252D0}"/>
    <cellStyle name="Migliaia 5 3 2 2 2 2 3 3 2" xfId="20981" xr:uid="{DF8F9B2C-5850-4ECA-BDDD-4682B3290B38}"/>
    <cellStyle name="Migliaia 5 3 2 2 2 2 3 4" xfId="17693" xr:uid="{0D3C8E95-5291-40D8-885F-182DE552C1D4}"/>
    <cellStyle name="Migliaia 5 3 2 2 2 2 4" xfId="3371" xr:uid="{361DADD3-9CA9-4515-A5C3-DBA63DB32FC8}"/>
    <cellStyle name="Migliaia 5 3 2 2 2 2 4 2" xfId="10859" xr:uid="{FCBF181F-0F58-4B44-9865-39ED048A120B}"/>
    <cellStyle name="Migliaia 5 3 2 2 2 2 4 2 2" xfId="14405" xr:uid="{FEBD6B75-EDBE-466F-BED0-2472B4F94D62}"/>
    <cellStyle name="Migliaia 5 3 2 2 2 2 4 2 2 2" xfId="29582" xr:uid="{1C320E21-9F5E-4C95-BDCA-BFF751B4CBF8}"/>
    <cellStyle name="Migliaia 5 3 2 2 2 2 4 2 3" xfId="26037" xr:uid="{AF38089F-DFE5-4183-9A1C-9B54CA8C61EB}"/>
    <cellStyle name="Migliaia 5 3 2 2 2 2 4 3" xfId="6685" xr:uid="{5CEC44E5-8B87-4CD5-BBDD-6C386559DA34}"/>
    <cellStyle name="Migliaia 5 3 2 2 2 2 4 3 2" xfId="21865" xr:uid="{5E5952D5-A747-4DB4-9FA7-F63E3F79AA5C}"/>
    <cellStyle name="Migliaia 5 3 2 2 2 2 4 4" xfId="18577" xr:uid="{C9AFF1F4-CCD1-40B6-A4E8-6D6EB38A531B}"/>
    <cellStyle name="Migliaia 5 3 2 2 2 2 5" xfId="4718" xr:uid="{3F6A72E1-3110-49D3-BD69-51C079776B68}"/>
    <cellStyle name="Migliaia 5 3 2 2 2 2 5 2" xfId="12203" xr:uid="{57AFAB7D-BDAD-4D7B-98FD-420E6BB595B3}"/>
    <cellStyle name="Migliaia 5 3 2 2 2 2 5 2 2" xfId="15749" xr:uid="{AD204463-8ABD-4AD9-8EAF-D81C6E4A5666}"/>
    <cellStyle name="Migliaia 5 3 2 2 2 2 5 2 2 2" xfId="30926" xr:uid="{FFA48B76-4E2F-4A0C-8E5F-C0F6431BD44A}"/>
    <cellStyle name="Migliaia 5 3 2 2 2 2 5 2 3" xfId="27381" xr:uid="{C066AA32-CBD6-403B-800B-98FDDEF9217E}"/>
    <cellStyle name="Migliaia 5 3 2 2 2 2 5 3" xfId="8029" xr:uid="{54FE5648-0358-4DAD-A5AD-E7C88786B5A8}"/>
    <cellStyle name="Migliaia 5 3 2 2 2 2 5 3 2" xfId="23209" xr:uid="{A22029C9-73BE-44BA-A8B8-795524AC99D3}"/>
    <cellStyle name="Migliaia 5 3 2 2 2 2 5 4" xfId="19921" xr:uid="{E9344C42-05E8-47FC-A910-71F716E1B4A8}"/>
    <cellStyle name="Migliaia 5 3 2 2 2 2 6" xfId="5045" xr:uid="{106C783D-FD83-486E-8BC8-6FE1A859BAEA}"/>
    <cellStyle name="Migliaia 5 3 2 2 2 2 6 2" xfId="12529" xr:uid="{F36B3AD8-A549-4876-BDBB-3ED3395348D0}"/>
    <cellStyle name="Migliaia 5 3 2 2 2 2 6 2 2" xfId="16075" xr:uid="{64E18374-89DA-4CC5-B5C4-1770C01FC93B}"/>
    <cellStyle name="Migliaia 5 3 2 2 2 2 6 2 2 2" xfId="31252" xr:uid="{2DDD1CFF-5F4D-4F81-BB96-D21A2C479B2C}"/>
    <cellStyle name="Migliaia 5 3 2 2 2 2 6 2 3" xfId="27707" xr:uid="{A68AF4F0-5D00-4459-93D7-26091887667F}"/>
    <cellStyle name="Migliaia 5 3 2 2 2 2 6 3" xfId="8355" xr:uid="{0489FAE6-4CD3-4915-9A23-F8B927DF500E}"/>
    <cellStyle name="Migliaia 5 3 2 2 2 2 6 3 2" xfId="23535" xr:uid="{17B9A5D1-37F1-4544-978D-FC3EB4A137CC}"/>
    <cellStyle name="Migliaia 5 3 2 2 2 2 6 4" xfId="20247" xr:uid="{B0ECD995-6696-4A7A-86CB-DA9366993AE2}"/>
    <cellStyle name="Migliaia 5 3 2 2 2 2 7" xfId="1866" xr:uid="{F68238DB-0988-4754-AA7A-B0FF3025A489}"/>
    <cellStyle name="Migliaia 5 3 2 2 2 2 7 2" xfId="9363" xr:uid="{95D9A749-CCFF-4EEB-B827-D3BCAB1A7813}"/>
    <cellStyle name="Migliaia 5 3 2 2 2 2 7 2 2" xfId="24541" xr:uid="{AB37D4B8-0521-4048-999A-7C90E395DB8C}"/>
    <cellStyle name="Migliaia 5 3 2 2 2 2 7 3" xfId="17081" xr:uid="{F7EB9EF0-C5D6-4BC8-BFDC-621440020C9A}"/>
    <cellStyle name="Migliaia 5 3 2 2 2 2 8" xfId="8577" xr:uid="{96B5063F-6CF8-463A-92BA-F6D46314A9BF}"/>
    <cellStyle name="Migliaia 5 3 2 2 2 2 8 2" xfId="12750" xr:uid="{B851ACFC-9BAF-4C74-978A-1E1ACA184EA9}"/>
    <cellStyle name="Migliaia 5 3 2 2 2 2 8 2 2" xfId="27927" xr:uid="{7903CDC5-134E-4A9E-A948-C7D2273CD1C7}"/>
    <cellStyle name="Migliaia 5 3 2 2 2 2 8 3" xfId="23755" xr:uid="{3367A266-A5A3-4423-8E5F-34FAC219A761}"/>
    <cellStyle name="Migliaia 5 3 2 2 2 2 9" xfId="5189" xr:uid="{19F8D2D3-08C4-46E6-9CFE-792FB18E2096}"/>
    <cellStyle name="Migliaia 5 3 2 2 2 2 9 2" xfId="20369" xr:uid="{AA14828E-FA4A-4A97-A960-D37359E58BAE}"/>
    <cellStyle name="Migliaia 5 3 2 2 2 3" xfId="1068" xr:uid="{0838DC9D-B8A1-43D7-943D-A6D43C369471}"/>
    <cellStyle name="Migliaia 5 3 2 2 2 3 10" xfId="31613" xr:uid="{5897A35F-C91C-4D38-B305-58A1D2B33154}"/>
    <cellStyle name="Migliaia 5 3 2 2 2 3 2" xfId="1428" xr:uid="{306B1BCD-00AD-48B9-B115-94E2D7B599F6}"/>
    <cellStyle name="Migliaia 5 3 2 2 2 3 2 2" xfId="3741" xr:uid="{6ABD1524-2608-4D0E-962D-3AC637A09347}"/>
    <cellStyle name="Migliaia 5 3 2 2 2 3 2 2 2" xfId="11229" xr:uid="{4280EA2D-CCA5-418E-8B14-5ED674931D5B}"/>
    <cellStyle name="Migliaia 5 3 2 2 2 3 2 2 2 2" xfId="14775" xr:uid="{7F00DF03-2A99-4BB4-845F-7C2028288B2E}"/>
    <cellStyle name="Migliaia 5 3 2 2 2 3 2 2 2 2 2" xfId="29952" xr:uid="{C3BD3595-72A5-4D6D-99F6-89D02A8D5989}"/>
    <cellStyle name="Migliaia 5 3 2 2 2 3 2 2 2 3" xfId="26407" xr:uid="{6BFFDAA5-E3DA-4206-82E1-F4CE99D786DE}"/>
    <cellStyle name="Migliaia 5 3 2 2 2 3 2 2 3" xfId="7055" xr:uid="{E61ABD6D-889C-46D4-9F79-7F1F120C8166}"/>
    <cellStyle name="Migliaia 5 3 2 2 2 3 2 2 3 2" xfId="22235" xr:uid="{9B07710B-6CE4-480B-9E7D-D07F803678BF}"/>
    <cellStyle name="Migliaia 5 3 2 2 2 3 2 2 4" xfId="18947" xr:uid="{3B8CB5DB-24B7-4E44-9F13-60D0A21A6653}"/>
    <cellStyle name="Migliaia 5 3 2 2 2 3 2 3" xfId="4719" xr:uid="{45727F9C-F0B3-4F82-878F-BFC5559AD940}"/>
    <cellStyle name="Migliaia 5 3 2 2 2 3 2 3 2" xfId="12204" xr:uid="{E04EF10A-9649-4AF3-9EC9-83611F1EF252}"/>
    <cellStyle name="Migliaia 5 3 2 2 2 3 2 3 2 2" xfId="15750" xr:uid="{26FBF29C-0BBE-4391-9EE4-9860C0098525}"/>
    <cellStyle name="Migliaia 5 3 2 2 2 3 2 3 2 2 2" xfId="30927" xr:uid="{31C3C2CA-3344-4D2F-B8B1-7871BC8C14DF}"/>
    <cellStyle name="Migliaia 5 3 2 2 2 3 2 3 2 3" xfId="27382" xr:uid="{5A0E55CD-8472-4A92-81B1-489FD458604C}"/>
    <cellStyle name="Migliaia 5 3 2 2 2 3 2 3 3" xfId="8030" xr:uid="{7E9CC192-077E-44B4-9B5B-63A85D0AA195}"/>
    <cellStyle name="Migliaia 5 3 2 2 2 3 2 3 3 2" xfId="23210" xr:uid="{4926CAA1-EE43-4C45-95AF-2EE022C403AA}"/>
    <cellStyle name="Migliaia 5 3 2 2 2 3 2 3 4" xfId="19922" xr:uid="{2901FFD4-78DB-408C-9F41-41CC8D4FBBD6}"/>
    <cellStyle name="Migliaia 5 3 2 2 2 3 2 4" xfId="2854" xr:uid="{7E8C0493-7FEB-41C0-A051-C143068F7375}"/>
    <cellStyle name="Migliaia 5 3 2 2 2 3 2 4 2" xfId="10345" xr:uid="{436898FB-98C6-44B5-AAE7-33514B501AC4}"/>
    <cellStyle name="Migliaia 5 3 2 2 2 3 2 4 2 2" xfId="25523" xr:uid="{E9733324-E982-45FD-A854-AC0786A69ECC}"/>
    <cellStyle name="Migliaia 5 3 2 2 2 3 2 4 3" xfId="18063" xr:uid="{A35DA6D5-9F3D-4C81-84BD-5D970B930B9A}"/>
    <cellStyle name="Migliaia 5 3 2 2 2 3 2 5" xfId="8947" xr:uid="{CED8E50D-4FCD-4575-BE3D-E9BCBA3A7EAF}"/>
    <cellStyle name="Migliaia 5 3 2 2 2 3 2 5 2" xfId="13120" xr:uid="{0CF66BF5-8B72-42B6-955A-823FD6856BFC}"/>
    <cellStyle name="Migliaia 5 3 2 2 2 3 2 5 2 2" xfId="28297" xr:uid="{6E80B271-D3F0-40B8-B677-22B23CB29111}"/>
    <cellStyle name="Migliaia 5 3 2 2 2 3 2 5 3" xfId="24125" xr:uid="{7993E938-0DEB-4746-93C6-8BE483629B5A}"/>
    <cellStyle name="Migliaia 5 3 2 2 2 3 2 6" xfId="6171" xr:uid="{06CCF4C2-3CCC-49D2-B87C-E5DDA5255D2A}"/>
    <cellStyle name="Migliaia 5 3 2 2 2 3 2 6 2" xfId="21351" xr:uid="{B99611F2-E188-45B7-8EB5-B200D173F90B}"/>
    <cellStyle name="Migliaia 5 3 2 2 2 3 2 7" xfId="16665" xr:uid="{15AFD9F5-6B22-44EF-A9DF-BA105EB4BCAB}"/>
    <cellStyle name="Migliaia 5 3 2 2 2 3 3" xfId="2581" xr:uid="{1026534B-1770-4ADD-81B0-F7DC503DC5F0}"/>
    <cellStyle name="Migliaia 5 3 2 2 2 3 3 2" xfId="10073" xr:uid="{7CDE557E-71FF-46D2-B3B8-030B22E5C3BD}"/>
    <cellStyle name="Migliaia 5 3 2 2 2 3 3 2 2" xfId="13732" xr:uid="{7105637B-424A-408A-9A14-1FA6E2B18023}"/>
    <cellStyle name="Migliaia 5 3 2 2 2 3 3 2 2 2" xfId="28909" xr:uid="{A9C7AE39-20B5-4E29-8834-DF0C3C1E8FE6}"/>
    <cellStyle name="Migliaia 5 3 2 2 2 3 3 2 3" xfId="25251" xr:uid="{404328F3-B019-4A21-87F9-0298B651E4BE}"/>
    <cellStyle name="Migliaia 5 3 2 2 2 3 3 3" xfId="5899" xr:uid="{B20C3772-F1D0-4B47-B6CD-D5C8D973D9BB}"/>
    <cellStyle name="Migliaia 5 3 2 2 2 3 3 3 2" xfId="21079" xr:uid="{F5CC10D6-852D-47BD-971E-FDC89AED8900}"/>
    <cellStyle name="Migliaia 5 3 2 2 2 3 3 4" xfId="17791" xr:uid="{2FF0CE9C-F5DD-4579-BC05-73EA8527085B}"/>
    <cellStyle name="Migliaia 5 3 2 2 2 3 4" xfId="3469" xr:uid="{0B56F326-B145-46A0-85DC-A1855A60391E}"/>
    <cellStyle name="Migliaia 5 3 2 2 2 3 4 2" xfId="10957" xr:uid="{19B661A5-FFB9-42AF-B854-3762EE2D381F}"/>
    <cellStyle name="Migliaia 5 3 2 2 2 3 4 2 2" xfId="14503" xr:uid="{27538F52-5BEC-4C55-A520-C93505628285}"/>
    <cellStyle name="Migliaia 5 3 2 2 2 3 4 2 2 2" xfId="29680" xr:uid="{83A9DF7B-9ED1-4AD6-B9B0-11979E986036}"/>
    <cellStyle name="Migliaia 5 3 2 2 2 3 4 2 3" xfId="26135" xr:uid="{3E911E9D-5854-4D04-BEE7-9410B4F56924}"/>
    <cellStyle name="Migliaia 5 3 2 2 2 3 4 3" xfId="6783" xr:uid="{5C11CB9F-DFAD-4BA3-8612-1BB2359FE100}"/>
    <cellStyle name="Migliaia 5 3 2 2 2 3 4 3 2" xfId="21963" xr:uid="{B16B9411-E939-463F-89B7-73CD5B29D299}"/>
    <cellStyle name="Migliaia 5 3 2 2 2 3 4 4" xfId="18675" xr:uid="{1F7D826E-3EDA-4453-9CB3-648CCDD700EC}"/>
    <cellStyle name="Migliaia 5 3 2 2 2 3 5" xfId="4720" xr:uid="{4BD20406-BE87-4E70-BBE0-2F05EEAA9D71}"/>
    <cellStyle name="Migliaia 5 3 2 2 2 3 5 2" xfId="12205" xr:uid="{02BCB7DB-D8EE-41DB-9BE7-8609E80C126F}"/>
    <cellStyle name="Migliaia 5 3 2 2 2 3 5 2 2" xfId="15751" xr:uid="{CC8BFD28-C2F6-44DA-9147-E72BCD4DD849}"/>
    <cellStyle name="Migliaia 5 3 2 2 2 3 5 2 2 2" xfId="30928" xr:uid="{0FEF24A7-3854-46CF-BBA0-B2B8C8D2A24D}"/>
    <cellStyle name="Migliaia 5 3 2 2 2 3 5 2 3" xfId="27383" xr:uid="{0BCA3BBD-D2C6-47B1-9B7C-FF88B9D4F79D}"/>
    <cellStyle name="Migliaia 5 3 2 2 2 3 5 3" xfId="8031" xr:uid="{7BEA05FA-EE7F-46C7-9290-1BC70D82167E}"/>
    <cellStyle name="Migliaia 5 3 2 2 2 3 5 3 2" xfId="23211" xr:uid="{0B922BB3-C0D9-403B-8A34-82A88D504507}"/>
    <cellStyle name="Migliaia 5 3 2 2 2 3 5 4" xfId="19923" xr:uid="{8AA035F3-3CE2-4003-9515-99B8E9021E80}"/>
    <cellStyle name="Migliaia 5 3 2 2 2 3 6" xfId="1964" xr:uid="{44671468-463B-4735-B855-EB50CCBB2D44}"/>
    <cellStyle name="Migliaia 5 3 2 2 2 3 6 2" xfId="9461" xr:uid="{898574FC-B028-4D7F-AC89-786CAF1D97F2}"/>
    <cellStyle name="Migliaia 5 3 2 2 2 3 6 2 2" xfId="24639" xr:uid="{82559E7E-E01B-4427-9C0E-80AACD0125E1}"/>
    <cellStyle name="Migliaia 5 3 2 2 2 3 6 3" xfId="17179" xr:uid="{79E9FDA3-C20E-4E69-BF05-1AF665FADE01}"/>
    <cellStyle name="Migliaia 5 3 2 2 2 3 7" xfId="8675" xr:uid="{299045DB-8A1D-44A8-822F-BCB649EDF1EB}"/>
    <cellStyle name="Migliaia 5 3 2 2 2 3 7 2" xfId="12848" xr:uid="{47413F1A-1D90-4071-837B-59C3BE6EAF6A}"/>
    <cellStyle name="Migliaia 5 3 2 2 2 3 7 2 2" xfId="28025" xr:uid="{190BE2E7-8D86-4F21-96FC-2CD613D75345}"/>
    <cellStyle name="Migliaia 5 3 2 2 2 3 7 3" xfId="23853" xr:uid="{AB1FB548-A38C-4B6C-83D5-3D15FF8F8667}"/>
    <cellStyle name="Migliaia 5 3 2 2 2 3 8" xfId="5287" xr:uid="{A89F1F73-D7B6-40A7-A507-1769D9124073}"/>
    <cellStyle name="Migliaia 5 3 2 2 2 3 8 2" xfId="20467" xr:uid="{E5AC7DEB-2D91-4BDB-BCE6-E85017CE51CC}"/>
    <cellStyle name="Migliaia 5 3 2 2 2 3 9" xfId="16393" xr:uid="{782198FE-CB77-429F-B3FB-DB4771D7BB1D}"/>
    <cellStyle name="Migliaia 5 3 2 2 2 4" xfId="1527" xr:uid="{E34DC45A-9800-4291-8FE7-2C370975D5DA}"/>
    <cellStyle name="Migliaia 5 3 2 2 2 4 2" xfId="2952" xr:uid="{F8A51E5C-C02E-44A8-BDA0-BCA7FA10FDCE}"/>
    <cellStyle name="Migliaia 5 3 2 2 2 4 2 2" xfId="10443" xr:uid="{5D78AC22-2CE4-49B8-BFC5-E4000D6D6845}"/>
    <cellStyle name="Migliaia 5 3 2 2 2 4 2 2 2" xfId="13989" xr:uid="{DCCE2D92-61B5-40D1-9B0A-163C7A14CFC4}"/>
    <cellStyle name="Migliaia 5 3 2 2 2 4 2 2 2 2" xfId="29166" xr:uid="{240E4E4D-02D9-4294-9251-4A3F39B5BEB1}"/>
    <cellStyle name="Migliaia 5 3 2 2 2 4 2 2 3" xfId="25621" xr:uid="{3ECEBA6A-4666-4BF6-AE41-B02246D3EFF1}"/>
    <cellStyle name="Migliaia 5 3 2 2 2 4 2 3" xfId="6269" xr:uid="{4B845A06-A336-4F1D-91B6-E0C9D7F43772}"/>
    <cellStyle name="Migliaia 5 3 2 2 2 4 2 3 2" xfId="21449" xr:uid="{537CA53E-4BCA-4F01-8E39-E2D1B395E14A}"/>
    <cellStyle name="Migliaia 5 3 2 2 2 4 2 4" xfId="18161" xr:uid="{682A6E3F-E42B-495B-9284-0A8766FD64FE}"/>
    <cellStyle name="Migliaia 5 3 2 2 2 4 3" xfId="3839" xr:uid="{3CD29BE7-2310-4344-805E-AF6B0C75DED1}"/>
    <cellStyle name="Migliaia 5 3 2 2 2 4 3 2" xfId="11327" xr:uid="{383CE3FA-2DAA-47E6-97C1-7B26070854D5}"/>
    <cellStyle name="Migliaia 5 3 2 2 2 4 3 2 2" xfId="14873" xr:uid="{EBBAD121-650F-47CC-8C60-54BD582B3653}"/>
    <cellStyle name="Migliaia 5 3 2 2 2 4 3 2 2 2" xfId="30050" xr:uid="{5D9DC158-3B2D-4AC4-8CD2-C212F0EE0336}"/>
    <cellStyle name="Migliaia 5 3 2 2 2 4 3 2 3" xfId="26505" xr:uid="{3F9838DE-D2C0-4BD7-81F1-DC521D0B74DE}"/>
    <cellStyle name="Migliaia 5 3 2 2 2 4 3 3" xfId="7153" xr:uid="{C4A3B0B8-4D9A-4DE4-8250-A865A34E78E7}"/>
    <cellStyle name="Migliaia 5 3 2 2 2 4 3 3 2" xfId="22333" xr:uid="{D524A388-713B-4FDB-8A19-3A43DEA74E69}"/>
    <cellStyle name="Migliaia 5 3 2 2 2 4 3 4" xfId="19045" xr:uid="{7F696A20-A8D4-4159-A476-6EDF7F668E83}"/>
    <cellStyle name="Migliaia 5 3 2 2 2 4 4" xfId="4721" xr:uid="{E4FBEB96-255B-4962-BC30-04F85913D127}"/>
    <cellStyle name="Migliaia 5 3 2 2 2 4 4 2" xfId="12206" xr:uid="{523C30E0-E2B4-454D-B728-F0E4EF855A5E}"/>
    <cellStyle name="Migliaia 5 3 2 2 2 4 4 2 2" xfId="15752" xr:uid="{A5261C4E-37A2-425C-A707-A7D41049876D}"/>
    <cellStyle name="Migliaia 5 3 2 2 2 4 4 2 2 2" xfId="30929" xr:uid="{0550A821-6B59-415C-AA93-4AD62B2F9DAB}"/>
    <cellStyle name="Migliaia 5 3 2 2 2 4 4 2 3" xfId="27384" xr:uid="{6276FAED-625B-4621-BF88-124C039ABE95}"/>
    <cellStyle name="Migliaia 5 3 2 2 2 4 4 3" xfId="8032" xr:uid="{E0FD5F24-3B16-4ED0-BFA6-FC2136ABAB1D}"/>
    <cellStyle name="Migliaia 5 3 2 2 2 4 4 3 2" xfId="23212" xr:uid="{A37F0652-4D03-4D5F-8CC9-5202DC0693DA}"/>
    <cellStyle name="Migliaia 5 3 2 2 2 4 4 4" xfId="19924" xr:uid="{D038BE51-42BF-4D8B-9216-6B1A7B69BD9F}"/>
    <cellStyle name="Migliaia 5 3 2 2 2 4 5" xfId="2062" xr:uid="{A4F2166A-D659-4A39-BAC4-A0063FC6F49F}"/>
    <cellStyle name="Migliaia 5 3 2 2 2 4 5 2" xfId="9559" xr:uid="{1F0F3AE6-5FD7-453D-9986-F2CF56093088}"/>
    <cellStyle name="Migliaia 5 3 2 2 2 4 5 2 2" xfId="24737" xr:uid="{AFFF3CDA-ED3C-4762-8619-AFBC9361EDCF}"/>
    <cellStyle name="Migliaia 5 3 2 2 2 4 5 3" xfId="17277" xr:uid="{A7956C68-BD11-4BBF-BD3C-D3B72BAA0231}"/>
    <cellStyle name="Migliaia 5 3 2 2 2 4 6" xfId="9045" xr:uid="{C3FFD64B-3E34-4321-9C1F-013FF2700BCC}"/>
    <cellStyle name="Migliaia 5 3 2 2 2 4 6 2" xfId="13218" xr:uid="{30C0A206-3FCB-454C-910F-B691F4797687}"/>
    <cellStyle name="Migliaia 5 3 2 2 2 4 6 2 2" xfId="28395" xr:uid="{9140130D-0E98-4886-8FF8-F3784F2FEBC5}"/>
    <cellStyle name="Migliaia 5 3 2 2 2 4 6 3" xfId="24223" xr:uid="{D63C25FF-D986-4146-9A5F-3A96345FFF19}"/>
    <cellStyle name="Migliaia 5 3 2 2 2 4 7" xfId="5385" xr:uid="{AB53F9EE-7EDB-4A3D-9695-C5581E0E4E1A}"/>
    <cellStyle name="Migliaia 5 3 2 2 2 4 7 2" xfId="20565" xr:uid="{0E5FC589-AF79-4B44-A742-D9B3046F7B62}"/>
    <cellStyle name="Migliaia 5 3 2 2 2 4 8" xfId="16763" xr:uid="{7F30591F-A368-42CA-B9F9-98DA43076A78}"/>
    <cellStyle name="Migliaia 5 3 2 2 2 5" xfId="1630" xr:uid="{D8540376-184B-4F0A-9386-8286C9C7074F}"/>
    <cellStyle name="Migliaia 5 3 2 2 2 5 2" xfId="3050" xr:uid="{648B4878-F42A-4116-9B88-DF750EA0712A}"/>
    <cellStyle name="Migliaia 5 3 2 2 2 5 2 2" xfId="10541" xr:uid="{B30DF468-8DF5-45F0-99DC-B57B3160A700}"/>
    <cellStyle name="Migliaia 5 3 2 2 2 5 2 2 2" xfId="14087" xr:uid="{6A28A04D-F9A7-497B-B618-F52270D8DE99}"/>
    <cellStyle name="Migliaia 5 3 2 2 2 5 2 2 2 2" xfId="29264" xr:uid="{AD7196DA-6A70-46FF-81B1-FE01889FAF6B}"/>
    <cellStyle name="Migliaia 5 3 2 2 2 5 2 2 3" xfId="25719" xr:uid="{48511D37-25BA-4C09-A960-1C65A32B2F97}"/>
    <cellStyle name="Migliaia 5 3 2 2 2 5 2 3" xfId="6367" xr:uid="{F8122314-1BA7-4E19-9ED7-99487C4F486D}"/>
    <cellStyle name="Migliaia 5 3 2 2 2 5 2 3 2" xfId="21547" xr:uid="{D3D64767-9E3A-43DA-9744-B1B8DFA13A37}"/>
    <cellStyle name="Migliaia 5 3 2 2 2 5 2 4" xfId="18259" xr:uid="{68C78D61-AD79-4265-8DFD-4CFFF2F59097}"/>
    <cellStyle name="Migliaia 5 3 2 2 2 5 3" xfId="3937" xr:uid="{11E5FFD1-0E0D-4FF4-A699-53B36AB79A56}"/>
    <cellStyle name="Migliaia 5 3 2 2 2 5 3 2" xfId="11425" xr:uid="{246C8A97-93A4-4EB5-AB8A-73CD994B18B8}"/>
    <cellStyle name="Migliaia 5 3 2 2 2 5 3 2 2" xfId="14971" xr:uid="{3B75F78D-BF8C-4820-B6F0-CE8E84918BB4}"/>
    <cellStyle name="Migliaia 5 3 2 2 2 5 3 2 2 2" xfId="30148" xr:uid="{632A37E1-5E28-4144-8A52-593175E91549}"/>
    <cellStyle name="Migliaia 5 3 2 2 2 5 3 2 3" xfId="26603" xr:uid="{795C1BBD-E65A-40CC-AF4B-F2E078D49466}"/>
    <cellStyle name="Migliaia 5 3 2 2 2 5 3 3" xfId="7251" xr:uid="{473112AF-5F6E-428B-B3C8-8D4462D8E54B}"/>
    <cellStyle name="Migliaia 5 3 2 2 2 5 3 3 2" xfId="22431" xr:uid="{714EB02C-8C56-4360-9E87-3CD594F7EE5A}"/>
    <cellStyle name="Migliaia 5 3 2 2 2 5 3 4" xfId="19143" xr:uid="{30F950E4-0A98-41A9-A3D0-3ACE74B5891B}"/>
    <cellStyle name="Migliaia 5 3 2 2 2 5 4" xfId="4722" xr:uid="{4C083F0E-87BB-4BCD-BD17-B3212F7073EE}"/>
    <cellStyle name="Migliaia 5 3 2 2 2 5 4 2" xfId="12207" xr:uid="{9B03949C-E90C-42B5-A194-7FD8D0C8B17E}"/>
    <cellStyle name="Migliaia 5 3 2 2 2 5 4 2 2" xfId="15753" xr:uid="{4CCEC6B6-B2FB-4746-AA1B-35EBE3A056BE}"/>
    <cellStyle name="Migliaia 5 3 2 2 2 5 4 2 2 2" xfId="30930" xr:uid="{F6DEB977-2CFF-4EC2-944E-C3846C264ACA}"/>
    <cellStyle name="Migliaia 5 3 2 2 2 5 4 2 3" xfId="27385" xr:uid="{E129C2F3-BAD6-438E-A4AE-2D8C803474A2}"/>
    <cellStyle name="Migliaia 5 3 2 2 2 5 4 3" xfId="8033" xr:uid="{D9544C57-3800-4D04-82FA-CED4620A08B7}"/>
    <cellStyle name="Migliaia 5 3 2 2 2 5 4 3 2" xfId="23213" xr:uid="{734EACFF-559E-4C16-B3A5-B18F10E06F1D}"/>
    <cellStyle name="Migliaia 5 3 2 2 2 5 4 4" xfId="19925" xr:uid="{6D36523A-01A9-4991-A8A6-9AC0B3EAEDBF}"/>
    <cellStyle name="Migliaia 5 3 2 2 2 5 5" xfId="2160" xr:uid="{075340CB-A956-4FC2-B6D2-43567E85DA7A}"/>
    <cellStyle name="Migliaia 5 3 2 2 2 5 5 2" xfId="9657" xr:uid="{5DFA38B0-AD9E-4EA1-A5BD-9D6E0F0F8C8D}"/>
    <cellStyle name="Migliaia 5 3 2 2 2 5 5 2 2" xfId="24835" xr:uid="{0CD04A16-94CC-43A7-A0FD-F2FB9398E009}"/>
    <cellStyle name="Migliaia 5 3 2 2 2 5 5 3" xfId="17375" xr:uid="{4E053E20-D5AC-48E0-87FD-C0FE8A8ABF05}"/>
    <cellStyle name="Migliaia 5 3 2 2 2 5 6" xfId="9143" xr:uid="{A96ED69F-1EDB-4EC1-8BB5-721EC9732E92}"/>
    <cellStyle name="Migliaia 5 3 2 2 2 5 6 2" xfId="13316" xr:uid="{3898D8B8-57A6-4FE7-89B8-662E0C4BFBE0}"/>
    <cellStyle name="Migliaia 5 3 2 2 2 5 6 2 2" xfId="28493" xr:uid="{C90524B0-AD5F-4DBC-BFFA-23E72B076CAD}"/>
    <cellStyle name="Migliaia 5 3 2 2 2 5 6 3" xfId="24321" xr:uid="{18C376D6-1C60-4394-BB19-16E06BB06B1E}"/>
    <cellStyle name="Migliaia 5 3 2 2 2 5 7" xfId="5483" xr:uid="{D2ACB788-19F0-40BE-87C0-FF1E119001BC}"/>
    <cellStyle name="Migliaia 5 3 2 2 2 5 7 2" xfId="20663" xr:uid="{C2654869-8B9D-4FCD-BFC8-A3CE71F03905}"/>
    <cellStyle name="Migliaia 5 3 2 2 2 5 8" xfId="16861" xr:uid="{AAF91921-4D29-4237-8BFB-69484946E9C5}"/>
    <cellStyle name="Migliaia 5 3 2 2 2 6" xfId="1729" xr:uid="{D2C9DC7B-57E9-4426-B09D-96D101130D80}"/>
    <cellStyle name="Migliaia 5 3 2 2 2 6 2" xfId="3148" xr:uid="{4EC810E2-CC7B-4A98-BB5E-D97FD25B6EE2}"/>
    <cellStyle name="Migliaia 5 3 2 2 2 6 2 2" xfId="10639" xr:uid="{60A45215-23A9-4465-862F-8228D2ABAD10}"/>
    <cellStyle name="Migliaia 5 3 2 2 2 6 2 2 2" xfId="14185" xr:uid="{5D5C729B-16F4-4D9D-89C2-F42AF54D385A}"/>
    <cellStyle name="Migliaia 5 3 2 2 2 6 2 2 2 2" xfId="29362" xr:uid="{B3D83BA1-5651-4ECC-B448-C5BB7A2504F5}"/>
    <cellStyle name="Migliaia 5 3 2 2 2 6 2 2 3" xfId="25817" xr:uid="{824A4940-41BD-402F-8A7A-66CE4A159A80}"/>
    <cellStyle name="Migliaia 5 3 2 2 2 6 2 3" xfId="6465" xr:uid="{0AAF6769-3DD7-4560-B131-49412DC4F66A}"/>
    <cellStyle name="Migliaia 5 3 2 2 2 6 2 3 2" xfId="21645" xr:uid="{A98CA689-28F1-44A6-8BE6-95BF0C6E1CEE}"/>
    <cellStyle name="Migliaia 5 3 2 2 2 6 2 4" xfId="18357" xr:uid="{BA176E65-09AD-4F6C-BCC8-D2FF74B89A6C}"/>
    <cellStyle name="Migliaia 5 3 2 2 2 6 3" xfId="4035" xr:uid="{B93A3586-300E-4E90-BBFC-443445EC798D}"/>
    <cellStyle name="Migliaia 5 3 2 2 2 6 3 2" xfId="11523" xr:uid="{29850F99-57FC-45CD-BFC9-5076836A1D91}"/>
    <cellStyle name="Migliaia 5 3 2 2 2 6 3 2 2" xfId="15069" xr:uid="{B724C3EF-DCE2-449D-AD6B-7CD69593371F}"/>
    <cellStyle name="Migliaia 5 3 2 2 2 6 3 2 2 2" xfId="30246" xr:uid="{F879B837-7B55-42B4-8B47-6C98734210BD}"/>
    <cellStyle name="Migliaia 5 3 2 2 2 6 3 2 3" xfId="26701" xr:uid="{074324DE-BDB5-4795-8C8D-A05B14E89BA5}"/>
    <cellStyle name="Migliaia 5 3 2 2 2 6 3 3" xfId="7349" xr:uid="{4A281294-59C6-4107-BCB3-2166FA55EAAF}"/>
    <cellStyle name="Migliaia 5 3 2 2 2 6 3 3 2" xfId="22529" xr:uid="{23B36E7F-0035-4CE7-ADA5-0AA9985FD3C4}"/>
    <cellStyle name="Migliaia 5 3 2 2 2 6 3 4" xfId="19241" xr:uid="{FC5F1459-D8DA-4ED0-B2D4-45A47C6DB2DE}"/>
    <cellStyle name="Migliaia 5 3 2 2 2 6 4" xfId="4723" xr:uid="{754D7D75-9E2D-4DC0-96BD-2213EFF61C4D}"/>
    <cellStyle name="Migliaia 5 3 2 2 2 6 4 2" xfId="12208" xr:uid="{33D6BD31-B8BA-454E-AB51-FA3573005CD5}"/>
    <cellStyle name="Migliaia 5 3 2 2 2 6 4 2 2" xfId="15754" xr:uid="{95EE9071-DF1F-485D-8337-928E9111C229}"/>
    <cellStyle name="Migliaia 5 3 2 2 2 6 4 2 2 2" xfId="30931" xr:uid="{45EA513F-BA77-45B0-8A49-595AC2AC8D61}"/>
    <cellStyle name="Migliaia 5 3 2 2 2 6 4 2 3" xfId="27386" xr:uid="{786907E7-C7E6-45A4-8CB0-5DF86CABCDE8}"/>
    <cellStyle name="Migliaia 5 3 2 2 2 6 4 3" xfId="8034" xr:uid="{7C4B54FE-3A21-4252-A507-ADDF3A856576}"/>
    <cellStyle name="Migliaia 5 3 2 2 2 6 4 3 2" xfId="23214" xr:uid="{56E9A750-BF5A-4BAA-9D8D-F4FCBD7A8E09}"/>
    <cellStyle name="Migliaia 5 3 2 2 2 6 4 4" xfId="19926" xr:uid="{CC4C2094-C809-4E0C-BAAF-FBF3C458512D}"/>
    <cellStyle name="Migliaia 5 3 2 2 2 6 5" xfId="2258" xr:uid="{550D729F-70B5-4E95-B63B-FAD110FB852F}"/>
    <cellStyle name="Migliaia 5 3 2 2 2 6 5 2" xfId="9755" xr:uid="{D935B1EA-2510-43A1-86B9-371E5473AF19}"/>
    <cellStyle name="Migliaia 5 3 2 2 2 6 5 2 2" xfId="24933" xr:uid="{AA0856D3-3DE7-426D-8835-11F37D44C637}"/>
    <cellStyle name="Migliaia 5 3 2 2 2 6 5 3" xfId="17473" xr:uid="{7A6E382F-011A-4E37-913C-3BC14D2941B8}"/>
    <cellStyle name="Migliaia 5 3 2 2 2 6 6" xfId="9241" xr:uid="{E0B7849B-FC1C-4D04-9A17-88E4AC6767CE}"/>
    <cellStyle name="Migliaia 5 3 2 2 2 6 6 2" xfId="13414" xr:uid="{F0A4E1E5-637D-4AE1-808C-888684DE268B}"/>
    <cellStyle name="Migliaia 5 3 2 2 2 6 6 2 2" xfId="28591" xr:uid="{8A1C9A09-268D-41E0-ACD3-C92724BA8A3D}"/>
    <cellStyle name="Migliaia 5 3 2 2 2 6 6 3" xfId="24419" xr:uid="{4A09FAD1-A028-4BAB-B996-F8C7B7154F10}"/>
    <cellStyle name="Migliaia 5 3 2 2 2 6 7" xfId="5581" xr:uid="{A721237E-CE99-42D8-9ED0-5EE125FDCC68}"/>
    <cellStyle name="Migliaia 5 3 2 2 2 6 7 2" xfId="20761" xr:uid="{D69D5E05-172E-4F70-A1F6-4C103034E9E6}"/>
    <cellStyle name="Migliaia 5 3 2 2 2 6 8" xfId="16959" xr:uid="{B4E824F6-A7EB-4E8D-A55D-7DDFEAD18EA0}"/>
    <cellStyle name="Migliaia 5 3 2 2 2 7" xfId="2358" xr:uid="{11640C38-E288-4548-95D3-1E6A05FAF2B4}"/>
    <cellStyle name="Migliaia 5 3 2 2 2 7 2" xfId="9853" xr:uid="{5ABADC61-010E-41C3-BF26-9A2835B62633}"/>
    <cellStyle name="Migliaia 5 3 2 2 2 7 2 2" xfId="13512" xr:uid="{BF2C000B-E711-46BE-8B2D-3F211A30B80C}"/>
    <cellStyle name="Migliaia 5 3 2 2 2 7 2 2 2" xfId="28689" xr:uid="{21F34E47-F726-4E39-8D5E-67E01EF15F13}"/>
    <cellStyle name="Migliaia 5 3 2 2 2 7 2 3" xfId="25031" xr:uid="{0B18FDC8-74F3-4B40-AF4A-002A74AC92D4}"/>
    <cellStyle name="Migliaia 5 3 2 2 2 7 3" xfId="5679" xr:uid="{7C68C3A8-BEEA-4D65-AEFD-0B5852749FB4}"/>
    <cellStyle name="Migliaia 5 3 2 2 2 7 3 2" xfId="20859" xr:uid="{FB8E1429-FEF2-498F-AE7B-8A8C1399EC40}"/>
    <cellStyle name="Migliaia 5 3 2 2 2 7 4" xfId="17571" xr:uid="{30FE5C04-E18C-455B-9507-8AEB0A71264D}"/>
    <cellStyle name="Migliaia 5 3 2 2 2 8" xfId="3248" xr:uid="{2E2C7805-5D70-46D9-AD13-F9689CF03647}"/>
    <cellStyle name="Migliaia 5 3 2 2 2 8 2" xfId="10737" xr:uid="{7FABC527-DE5B-4A93-BC25-DC45AAF899EB}"/>
    <cellStyle name="Migliaia 5 3 2 2 2 8 2 2" xfId="14283" xr:uid="{F7E77F4D-AEE5-4512-9FC8-4F8FACCC9AC3}"/>
    <cellStyle name="Migliaia 5 3 2 2 2 8 2 2 2" xfId="29460" xr:uid="{AEB7AD61-16C0-4108-8123-FDA48C5BF30F}"/>
    <cellStyle name="Migliaia 5 3 2 2 2 8 2 3" xfId="25915" xr:uid="{B5DD9C86-0F83-4A68-95C0-820918985789}"/>
    <cellStyle name="Migliaia 5 3 2 2 2 8 3" xfId="6563" xr:uid="{D9DFB140-EFA0-4601-87A0-754E91E6BEEA}"/>
    <cellStyle name="Migliaia 5 3 2 2 2 8 3 2" xfId="21743" xr:uid="{172CB121-EBD7-4093-8E7D-5B663A9D0793}"/>
    <cellStyle name="Migliaia 5 3 2 2 2 8 4" xfId="18455" xr:uid="{BD39127C-8B70-4A2F-AE7A-E324C38C3C20}"/>
    <cellStyle name="Migliaia 5 3 2 2 2 9" xfId="4724" xr:uid="{753E56EC-BA3E-498C-9208-2EAA14B035E5}"/>
    <cellStyle name="Migliaia 5 3 2 2 2 9 2" xfId="12209" xr:uid="{E5114D4A-FFF0-406E-B2C3-BCAA27D8BB76}"/>
    <cellStyle name="Migliaia 5 3 2 2 2 9 2 2" xfId="15755" xr:uid="{D7DA56EC-CD79-4D4F-B22F-ECB00C68914C}"/>
    <cellStyle name="Migliaia 5 3 2 2 2 9 2 2 2" xfId="30932" xr:uid="{1084B7B5-393E-48D0-BA3F-B2639B59842A}"/>
    <cellStyle name="Migliaia 5 3 2 2 2 9 2 3" xfId="27387" xr:uid="{DCA18EAB-60A6-48A2-BE7A-AF28FA767DFD}"/>
    <cellStyle name="Migliaia 5 3 2 2 2 9 3" xfId="8035" xr:uid="{066BB78C-D406-47E3-950A-D57EBC784C1F}"/>
    <cellStyle name="Migliaia 5 3 2 2 2 9 3 2" xfId="23215" xr:uid="{B5990397-2E65-40F2-83C2-968759568FB1}"/>
    <cellStyle name="Migliaia 5 3 2 2 2 9 4" xfId="19927" xr:uid="{F794ECC0-5C00-4DD8-8E67-2D0E41FAB702}"/>
    <cellStyle name="Migliaia 5 3 2 2 3" xfId="916" xr:uid="{A2CEDE90-66B5-455A-A5BF-A639F350FF1B}"/>
    <cellStyle name="Migliaia 5 3 2 2 3 2" xfId="2434" xr:uid="{5FAFB3C7-BDCC-4A0C-BC12-7D8E3D4AB805}"/>
    <cellStyle name="Migliaia 5 3 2 2 3 2 2" xfId="9926" xr:uid="{F10EE959-ADDB-4B3F-A180-07EBF51B7C59}"/>
    <cellStyle name="Migliaia 5 3 2 2 3 2 2 2" xfId="13585" xr:uid="{82F7B6A5-D2D9-4C45-8783-9389578AD120}"/>
    <cellStyle name="Migliaia 5 3 2 2 3 2 2 2 2" xfId="28762" xr:uid="{6D28AA8E-CE09-4C5D-ADF7-A9481B0E6557}"/>
    <cellStyle name="Migliaia 5 3 2 2 3 2 2 3" xfId="25104" xr:uid="{15C8F8AB-520C-4DF2-BDFB-C80311954958}"/>
    <cellStyle name="Migliaia 5 3 2 2 3 2 3" xfId="5752" xr:uid="{3D8ECB28-C161-4B84-9F14-F55B8BBF1515}"/>
    <cellStyle name="Migliaia 5 3 2 2 3 2 3 2" xfId="20932" xr:uid="{9EA3EC5B-4802-44B8-AC1A-C87DAB40B692}"/>
    <cellStyle name="Migliaia 5 3 2 2 3 2 4" xfId="17644" xr:uid="{F04E7752-8F53-4A46-A95D-C822ACA93B43}"/>
    <cellStyle name="Migliaia 5 3 2 2 3 3" xfId="3322" xr:uid="{31B8BDB5-0F03-4DFA-A928-FC064C5F63EA}"/>
    <cellStyle name="Migliaia 5 3 2 2 3 3 2" xfId="10810" xr:uid="{52396199-55C7-4098-B6AC-3F244F4D3C9F}"/>
    <cellStyle name="Migliaia 5 3 2 2 3 3 2 2" xfId="14356" xr:uid="{2A1291A9-70F2-46C8-97A4-D64F6EAAC515}"/>
    <cellStyle name="Migliaia 5 3 2 2 3 3 2 2 2" xfId="29533" xr:uid="{67A66F6F-D40B-4A3A-A780-CCC59EB33D23}"/>
    <cellStyle name="Migliaia 5 3 2 2 3 3 2 3" xfId="25988" xr:uid="{6C445235-756C-4A5D-967E-9CF5794F2082}"/>
    <cellStyle name="Migliaia 5 3 2 2 3 3 3" xfId="6636" xr:uid="{9577E815-F03C-4A1D-8E4A-1E52B74D6EFD}"/>
    <cellStyle name="Migliaia 5 3 2 2 3 3 3 2" xfId="21816" xr:uid="{E3A6208D-FC08-44B3-B0A6-EFAB52982E54}"/>
    <cellStyle name="Migliaia 5 3 2 2 3 3 4" xfId="18528" xr:uid="{ADC1664C-9ECD-4D06-A1A2-9A2D77DC40F9}"/>
    <cellStyle name="Migliaia 5 3 2 2 3 4" xfId="4725" xr:uid="{E0D68CAE-79F7-47A8-8104-AFA5B0561843}"/>
    <cellStyle name="Migliaia 5 3 2 2 3 4 2" xfId="12210" xr:uid="{566DAECB-8E1D-402F-9860-359914063353}"/>
    <cellStyle name="Migliaia 5 3 2 2 3 4 2 2" xfId="15756" xr:uid="{7C06E3CF-5ABE-4DE7-AAE8-8B0CD5D4A14A}"/>
    <cellStyle name="Migliaia 5 3 2 2 3 4 2 2 2" xfId="30933" xr:uid="{9654E70E-9B05-43EE-828C-3C36DAB9BFB5}"/>
    <cellStyle name="Migliaia 5 3 2 2 3 4 2 3" xfId="27388" xr:uid="{07790006-D24B-4BC9-B426-B9D4FEA612C7}"/>
    <cellStyle name="Migliaia 5 3 2 2 3 4 3" xfId="8036" xr:uid="{332B7380-3F1D-49BB-964C-AF341810C56F}"/>
    <cellStyle name="Migliaia 5 3 2 2 3 4 3 2" xfId="23216" xr:uid="{ED652829-B7FE-42AF-A1F0-E26B86AEC71B}"/>
    <cellStyle name="Migliaia 5 3 2 2 3 4 4" xfId="19928" xr:uid="{A1346EC6-CC16-4573-B9BD-2FF91CFEC768}"/>
    <cellStyle name="Migliaia 5 3 2 2 3 5" xfId="8528" xr:uid="{D800D940-B067-4E0B-BFC6-69A61BC16B26}"/>
    <cellStyle name="Migliaia 5 3 2 2 3 5 2" xfId="12701" xr:uid="{77B98F2D-D86A-4E4C-9C1F-573D708B632D}"/>
    <cellStyle name="Migliaia 5 3 2 2 3 5 2 2" xfId="27878" xr:uid="{469046B6-3647-424B-B0B1-42A9FFD54E16}"/>
    <cellStyle name="Migliaia 5 3 2 2 3 5 3" xfId="23706" xr:uid="{6841AD0B-298F-43E4-8D58-698D9E0FFF96}"/>
    <cellStyle name="Migliaia 5 3 2 2 3 6" xfId="16246" xr:uid="{A896789D-1283-4636-AD64-A4097ADE6FA9}"/>
    <cellStyle name="Migliaia 5 3 2 2 3 7" xfId="31686" xr:uid="{AE354E88-D1B2-4E84-910D-04FF104EC2FC}"/>
    <cellStyle name="Migliaia 5 3 2 2 4" xfId="1019" xr:uid="{23533C29-F5BD-4232-9B45-31C40C854E77}"/>
    <cellStyle name="Migliaia 5 3 2 2 4 2" xfId="2532" xr:uid="{422A7845-6C14-4C87-86B4-095E262067CD}"/>
    <cellStyle name="Migliaia 5 3 2 2 4 2 2" xfId="10024" xr:uid="{416B0732-A681-4346-AFAD-9C7557A0A904}"/>
    <cellStyle name="Migliaia 5 3 2 2 4 2 2 2" xfId="13683" xr:uid="{C708AD77-5CDE-49CC-924D-5EF1EA99B520}"/>
    <cellStyle name="Migliaia 5 3 2 2 4 2 2 2 2" xfId="28860" xr:uid="{26A91C69-2120-4AFF-86FA-6E706B432D6A}"/>
    <cellStyle name="Migliaia 5 3 2 2 4 2 2 3" xfId="25202" xr:uid="{8AA2C296-8A95-4E82-9BED-7F3F6E39B929}"/>
    <cellStyle name="Migliaia 5 3 2 2 4 2 3" xfId="5850" xr:uid="{355E48F0-E4E4-4873-AC59-217431E4B96A}"/>
    <cellStyle name="Migliaia 5 3 2 2 4 2 3 2" xfId="21030" xr:uid="{DAE201D7-F8A1-4D0F-8317-4FCAEE902EF1}"/>
    <cellStyle name="Migliaia 5 3 2 2 4 2 4" xfId="17742" xr:uid="{62C80490-D3AF-4FC1-992D-A8CA4D673527}"/>
    <cellStyle name="Migliaia 5 3 2 2 4 3" xfId="3420" xr:uid="{1B488994-4B1B-4320-9F0C-8B76FE48E300}"/>
    <cellStyle name="Migliaia 5 3 2 2 4 3 2" xfId="10908" xr:uid="{8C01117D-1813-4BB0-A1CB-44DEDB3B2BB3}"/>
    <cellStyle name="Migliaia 5 3 2 2 4 3 2 2" xfId="14454" xr:uid="{B522AA9B-6C29-4060-9F7B-CA80CFAF6A88}"/>
    <cellStyle name="Migliaia 5 3 2 2 4 3 2 2 2" xfId="29631" xr:uid="{1D318055-22C1-41BC-8C1A-799EBCFE26F7}"/>
    <cellStyle name="Migliaia 5 3 2 2 4 3 2 3" xfId="26086" xr:uid="{2E8A6CB5-0D26-4B2E-B43C-7566B4025DAD}"/>
    <cellStyle name="Migliaia 5 3 2 2 4 3 3" xfId="6734" xr:uid="{14D8835F-B456-4732-9387-D29C9668B227}"/>
    <cellStyle name="Migliaia 5 3 2 2 4 3 3 2" xfId="21914" xr:uid="{99FB7C70-7761-4D1B-B640-D1F96548A093}"/>
    <cellStyle name="Migliaia 5 3 2 2 4 3 4" xfId="18626" xr:uid="{8F56E3B4-EAF3-4E95-982A-C1347F28F164}"/>
    <cellStyle name="Migliaia 5 3 2 2 4 4" xfId="4726" xr:uid="{349188B3-C8C7-48C7-AF68-701329A16F16}"/>
    <cellStyle name="Migliaia 5 3 2 2 4 4 2" xfId="12211" xr:uid="{4A1318E1-932C-4BEB-83D9-54A5B761F37B}"/>
    <cellStyle name="Migliaia 5 3 2 2 4 4 2 2" xfId="15757" xr:uid="{07BDC4DD-BC01-45A0-B895-0777C82762F3}"/>
    <cellStyle name="Migliaia 5 3 2 2 4 4 2 2 2" xfId="30934" xr:uid="{A49BBE67-3E23-4CA6-98F1-0CE19F87D846}"/>
    <cellStyle name="Migliaia 5 3 2 2 4 4 2 3" xfId="27389" xr:uid="{BF52CD93-6700-4FA6-918A-F9DA3B249D91}"/>
    <cellStyle name="Migliaia 5 3 2 2 4 4 3" xfId="8037" xr:uid="{1CD60B06-5A61-4A1C-AEE8-8D0F9A457333}"/>
    <cellStyle name="Migliaia 5 3 2 2 4 4 3 2" xfId="23217" xr:uid="{616C4D36-E1E9-42FC-AFD8-F126E322E739}"/>
    <cellStyle name="Migliaia 5 3 2 2 4 4 4" xfId="19929" xr:uid="{6D5BCF01-11F5-4CD3-908B-B87984688854}"/>
    <cellStyle name="Migliaia 5 3 2 2 4 5" xfId="8626" xr:uid="{0538A326-7A6D-4F4B-8A3D-0645C0A17955}"/>
    <cellStyle name="Migliaia 5 3 2 2 4 5 2" xfId="12799" xr:uid="{D4F572BE-59F2-4C5C-9ABA-E328A018764C}"/>
    <cellStyle name="Migliaia 5 3 2 2 4 5 2 2" xfId="27976" xr:uid="{AA0FC5E6-EA96-412D-B6FA-8906CE40387A}"/>
    <cellStyle name="Migliaia 5 3 2 2 4 5 3" xfId="23804" xr:uid="{0BA5A0D8-E650-40BD-A1B0-304399241607}"/>
    <cellStyle name="Migliaia 5 3 2 2 4 6" xfId="16344" xr:uid="{1268EBF5-978A-42F0-BC80-479C40912814}"/>
    <cellStyle name="Migliaia 5 3 2 2 4 7" xfId="31564" xr:uid="{2B20C94B-EB5A-453B-8208-55AC1D996B0E}"/>
    <cellStyle name="Migliaia 5 3 2 2 5" xfId="1277" xr:uid="{8BA20E23-9762-4325-B061-52238D84D377}"/>
    <cellStyle name="Migliaia 5 3 2 2 5 10" xfId="31336" xr:uid="{0EF3A933-773D-4253-B279-A1CB0A9D0F2B}"/>
    <cellStyle name="Migliaia 5 3 2 2 5 2" xfId="2707" xr:uid="{0CCFDDF9-2C4A-4199-9F2B-279696A2C6D5}"/>
    <cellStyle name="Migliaia 5 3 2 2 5 2 2" xfId="10198" xr:uid="{220A0545-E69C-4E09-8D56-8C149BE37DCB}"/>
    <cellStyle name="Migliaia 5 3 2 2 5 2 2 2" xfId="13842" xr:uid="{C7267EBF-38D4-4A70-BF52-C8FC46CD0654}"/>
    <cellStyle name="Migliaia 5 3 2 2 5 2 2 2 2" xfId="29019" xr:uid="{18F66637-F0A6-4F97-B257-6BD3F038A7C3}"/>
    <cellStyle name="Migliaia 5 3 2 2 5 2 2 3" xfId="25376" xr:uid="{EECB7102-F154-4CEE-9934-482B072F9236}"/>
    <cellStyle name="Migliaia 5 3 2 2 5 2 3" xfId="6024" xr:uid="{CB3253F2-2CB0-4D3B-B6A6-5B88620D1E54}"/>
    <cellStyle name="Migliaia 5 3 2 2 5 2 3 2" xfId="21204" xr:uid="{3EBF9C8E-29F2-46B9-8FDE-AC03AA3A8D65}"/>
    <cellStyle name="Migliaia 5 3 2 2 5 2 4" xfId="17916" xr:uid="{7CBF8D89-D023-44B1-ADD9-CA198882CD9A}"/>
    <cellStyle name="Migliaia 5 3 2 2 5 3" xfId="3594" xr:uid="{E896F82C-CE96-4547-A603-6FD58A1266C9}"/>
    <cellStyle name="Migliaia 5 3 2 2 5 3 2" xfId="11082" xr:uid="{C14F6AD1-8D4E-4EF0-BB33-CE965C6A53C5}"/>
    <cellStyle name="Migliaia 5 3 2 2 5 3 2 2" xfId="14628" xr:uid="{698979E1-CF6B-4506-9108-EDA1BBA3875F}"/>
    <cellStyle name="Migliaia 5 3 2 2 5 3 2 2 2" xfId="29805" xr:uid="{FEB8DE35-F254-4C62-A493-79831C5A843B}"/>
    <cellStyle name="Migliaia 5 3 2 2 5 3 2 3" xfId="26260" xr:uid="{8949FCCA-A5B9-4F5F-9EEC-110EF38A44EC}"/>
    <cellStyle name="Migliaia 5 3 2 2 5 3 3" xfId="6908" xr:uid="{9567E3EC-DCC9-4ECB-BF36-6F93E546F887}"/>
    <cellStyle name="Migliaia 5 3 2 2 5 3 3 2" xfId="22088" xr:uid="{36C219C1-FE4A-40D8-840A-C1939A41CCEC}"/>
    <cellStyle name="Migliaia 5 3 2 2 5 3 4" xfId="18800" xr:uid="{044417F0-5120-4AE9-B2E0-35F04AB60028}"/>
    <cellStyle name="Migliaia 5 3 2 2 5 4" xfId="4727" xr:uid="{D253354B-7EE6-4523-A8BD-9F7E30704417}"/>
    <cellStyle name="Migliaia 5 3 2 2 5 4 2" xfId="12212" xr:uid="{9E154491-575E-4CE6-9C62-352584DBB76F}"/>
    <cellStyle name="Migliaia 5 3 2 2 5 4 2 2" xfId="15758" xr:uid="{5D77F8E8-0047-4670-AE8F-8B851728BB43}"/>
    <cellStyle name="Migliaia 5 3 2 2 5 4 2 2 2" xfId="30935" xr:uid="{21A7B71D-0686-4C95-9736-3BEB726AD422}"/>
    <cellStyle name="Migliaia 5 3 2 2 5 4 2 3" xfId="27390" xr:uid="{8FC9C5A2-A47D-4BEF-9D49-15FA93C5D161}"/>
    <cellStyle name="Migliaia 5 3 2 2 5 4 3" xfId="8038" xr:uid="{52390A13-ABFF-486E-AF92-2EF6D0EB0EFE}"/>
    <cellStyle name="Migliaia 5 3 2 2 5 4 3 2" xfId="23218" xr:uid="{2E06F4CA-6990-4AD5-8CCF-B8089575E392}"/>
    <cellStyle name="Migliaia 5 3 2 2 5 4 4" xfId="19930" xr:uid="{C5F1FA5B-02A5-4D98-92F0-8DE65D4649F3}"/>
    <cellStyle name="Migliaia 5 3 2 2 5 5" xfId="4996" xr:uid="{150588D3-AEB5-4399-AB82-B0FCB84DBC72}"/>
    <cellStyle name="Migliaia 5 3 2 2 5 5 2" xfId="12480" xr:uid="{16F2B4BA-A663-4563-AB0A-D35564E9EC08}"/>
    <cellStyle name="Migliaia 5 3 2 2 5 5 2 2" xfId="16026" xr:uid="{9D4DEF83-42C0-46D9-99CD-2A764DAD8881}"/>
    <cellStyle name="Migliaia 5 3 2 2 5 5 2 2 2" xfId="31203" xr:uid="{7DDC6C5F-E236-44C8-9FB1-B0194369A068}"/>
    <cellStyle name="Migliaia 5 3 2 2 5 5 2 3" xfId="27658" xr:uid="{AF7AE8F8-0B44-49B3-9010-C7CC4A762969}"/>
    <cellStyle name="Migliaia 5 3 2 2 5 5 3" xfId="8306" xr:uid="{4BF96697-981B-4687-B8E0-2BC6C16A2FA0}"/>
    <cellStyle name="Migliaia 5 3 2 2 5 5 3 2" xfId="23486" xr:uid="{98C13F0C-FDA1-40CF-874A-DC3167D066E1}"/>
    <cellStyle name="Migliaia 5 3 2 2 5 5 4" xfId="20198" xr:uid="{6E59D94E-7DEB-4801-8B83-37CA73EEC240}"/>
    <cellStyle name="Migliaia 5 3 2 2 5 6" xfId="1817" xr:uid="{41A5F7BB-3DFE-4341-AC27-822E80663687}"/>
    <cellStyle name="Migliaia 5 3 2 2 5 6 2" xfId="9314" xr:uid="{343DA1CB-9DD7-4EA7-B069-6D910370DA68}"/>
    <cellStyle name="Migliaia 5 3 2 2 5 6 2 2" xfId="24492" xr:uid="{5239E797-5D0D-4B5E-9F7F-4FDEBB6A1FEB}"/>
    <cellStyle name="Migliaia 5 3 2 2 5 6 3" xfId="17032" xr:uid="{0F3B5AFC-4608-4881-BDB9-E9C79F694AE1}"/>
    <cellStyle name="Migliaia 5 3 2 2 5 7" xfId="8800" xr:uid="{AD891226-A5D9-46EB-83A3-93E45E7ED1AF}"/>
    <cellStyle name="Migliaia 5 3 2 2 5 7 2" xfId="12973" xr:uid="{36A395D8-E234-49B9-96A3-85411162B05B}"/>
    <cellStyle name="Migliaia 5 3 2 2 5 7 2 2" xfId="28150" xr:uid="{01EA9972-9A6D-47DD-A2A3-0F0F01C4212E}"/>
    <cellStyle name="Migliaia 5 3 2 2 5 7 3" xfId="23978" xr:uid="{1FBA0754-ED11-4189-9FE7-DAAF74B05BFC}"/>
    <cellStyle name="Migliaia 5 3 2 2 5 8" xfId="5140" xr:uid="{738F05E2-9A70-4C97-9A6A-639B99509774}"/>
    <cellStyle name="Migliaia 5 3 2 2 5 8 2" xfId="20320" xr:uid="{5C3126B5-B13A-463E-89E6-9916438C165C}"/>
    <cellStyle name="Migliaia 5 3 2 2 5 9" xfId="16518" xr:uid="{F2EBA479-701D-4862-9925-E0FEEB69B5DA}"/>
    <cellStyle name="Migliaia 5 3 2 2 6" xfId="1379" xr:uid="{573EB157-2A6C-4D8E-94B9-30927CCA2750}"/>
    <cellStyle name="Migliaia 5 3 2 2 6 2" xfId="2805" xr:uid="{7AAE26ED-936F-456E-9EC2-9123B3F1F5EB}"/>
    <cellStyle name="Migliaia 5 3 2 2 6 2 2" xfId="10296" xr:uid="{8E968510-DA70-41DA-89E0-5182A158D882}"/>
    <cellStyle name="Migliaia 5 3 2 2 6 2 2 2" xfId="13891" xr:uid="{27DEA28F-CF7C-4829-BFD2-E69B78CFEB61}"/>
    <cellStyle name="Migliaia 5 3 2 2 6 2 2 2 2" xfId="29068" xr:uid="{6B645E2B-820F-4E5E-8337-FF31AB63D945}"/>
    <cellStyle name="Migliaia 5 3 2 2 6 2 2 3" xfId="25474" xr:uid="{CA10089E-086D-4C6F-B4CA-9D73C9C122AC}"/>
    <cellStyle name="Migliaia 5 3 2 2 6 2 3" xfId="6122" xr:uid="{83BCF108-D569-4092-814E-F87A82F9190B}"/>
    <cellStyle name="Migliaia 5 3 2 2 6 2 3 2" xfId="21302" xr:uid="{4607CE63-F5F9-45D8-A555-36DD9BD714CA}"/>
    <cellStyle name="Migliaia 5 3 2 2 6 2 4" xfId="18014" xr:uid="{656522E5-22C6-4E8C-94C4-D52A73965C1C}"/>
    <cellStyle name="Migliaia 5 3 2 2 6 3" xfId="3692" xr:uid="{376F22E7-6F47-49D8-AC27-43C21AC2EE16}"/>
    <cellStyle name="Migliaia 5 3 2 2 6 3 2" xfId="11180" xr:uid="{BF6B17B8-C486-459B-BEE5-965B89338F26}"/>
    <cellStyle name="Migliaia 5 3 2 2 6 3 2 2" xfId="14726" xr:uid="{BB4415F7-5A19-49E6-9DCA-6E05257C8469}"/>
    <cellStyle name="Migliaia 5 3 2 2 6 3 2 2 2" xfId="29903" xr:uid="{645B804F-72E4-4E5A-AEB5-5F26EBC360CD}"/>
    <cellStyle name="Migliaia 5 3 2 2 6 3 2 3" xfId="26358" xr:uid="{C7FEE956-7477-4CBD-BD89-2DFC6D7FB611}"/>
    <cellStyle name="Migliaia 5 3 2 2 6 3 3" xfId="7006" xr:uid="{50BDE60D-2FF7-497F-A8CE-96B489D873CB}"/>
    <cellStyle name="Migliaia 5 3 2 2 6 3 3 2" xfId="22186" xr:uid="{79D67984-5A5E-48DA-B26B-665120910000}"/>
    <cellStyle name="Migliaia 5 3 2 2 6 3 4" xfId="18898" xr:uid="{CA356948-052B-4852-B987-812479AD3110}"/>
    <cellStyle name="Migliaia 5 3 2 2 6 4" xfId="4728" xr:uid="{96C61203-9376-419B-BD06-3303855EA8F7}"/>
    <cellStyle name="Migliaia 5 3 2 2 6 4 2" xfId="12213" xr:uid="{5665B81E-72D8-4CB7-9E7C-08C1D54A2013}"/>
    <cellStyle name="Migliaia 5 3 2 2 6 4 2 2" xfId="15759" xr:uid="{3A715860-0521-48AE-9FF8-E4695590EEDC}"/>
    <cellStyle name="Migliaia 5 3 2 2 6 4 2 2 2" xfId="30936" xr:uid="{980942B4-3801-4B77-80A1-6D1D621847AE}"/>
    <cellStyle name="Migliaia 5 3 2 2 6 4 2 3" xfId="27391" xr:uid="{0BC1AABF-C853-49D2-A84C-CFBCC7EB8C4E}"/>
    <cellStyle name="Migliaia 5 3 2 2 6 4 3" xfId="8039" xr:uid="{BB58AEFB-D547-4D75-BE83-9DCD6595C50B}"/>
    <cellStyle name="Migliaia 5 3 2 2 6 4 3 2" xfId="23219" xr:uid="{AEB277A9-495B-4E23-A588-47F179961DF6}"/>
    <cellStyle name="Migliaia 5 3 2 2 6 4 4" xfId="19931" xr:uid="{7DAC7FB0-4ADC-4B15-9D83-0EB886F14876}"/>
    <cellStyle name="Migliaia 5 3 2 2 6 5" xfId="1915" xr:uid="{B94F5BDC-2649-4476-BFE9-2A180797D44E}"/>
    <cellStyle name="Migliaia 5 3 2 2 6 5 2" xfId="9412" xr:uid="{10FAC2FA-5A6F-4457-A7A9-19B9905FAC7C}"/>
    <cellStyle name="Migliaia 5 3 2 2 6 5 2 2" xfId="24590" xr:uid="{E6E41633-8A3E-43F4-9B03-283B922F25F1}"/>
    <cellStyle name="Migliaia 5 3 2 2 6 5 3" xfId="17130" xr:uid="{588B7430-8BE9-46AA-BB87-5BD3DC97EFDE}"/>
    <cellStyle name="Migliaia 5 3 2 2 6 6" xfId="8898" xr:uid="{F3ADC581-DEC3-4856-84D9-02AB9013731C}"/>
    <cellStyle name="Migliaia 5 3 2 2 6 6 2" xfId="13071" xr:uid="{A3DACC1B-27EC-4696-8CFD-06511E1EE9E6}"/>
    <cellStyle name="Migliaia 5 3 2 2 6 6 2 2" xfId="28248" xr:uid="{306E297A-0CBE-4C16-9679-544E2E1487F2}"/>
    <cellStyle name="Migliaia 5 3 2 2 6 6 3" xfId="24076" xr:uid="{081BC00C-8B2B-49FA-BB42-D9D37A341848}"/>
    <cellStyle name="Migliaia 5 3 2 2 6 7" xfId="5238" xr:uid="{EE908BEA-CDF0-424B-817E-6D5DB47D0BEE}"/>
    <cellStyle name="Migliaia 5 3 2 2 6 7 2" xfId="20418" xr:uid="{220B82DC-839D-46C5-8766-FAAB39768218}"/>
    <cellStyle name="Migliaia 5 3 2 2 6 8" xfId="16616" xr:uid="{D749A96C-3C10-400B-A4CA-9988E310C5C1}"/>
    <cellStyle name="Migliaia 5 3 2 2 7" xfId="1478" xr:uid="{1A4E1EE7-65E9-4F44-8AD8-E3F55A4CA181}"/>
    <cellStyle name="Migliaia 5 3 2 2 7 2" xfId="2903" xr:uid="{FDA4020D-CD04-4576-9B95-39D6D0A9DF31}"/>
    <cellStyle name="Migliaia 5 3 2 2 7 2 2" xfId="10394" xr:uid="{51B236FB-F70B-484B-B52A-7D1B973F8A8D}"/>
    <cellStyle name="Migliaia 5 3 2 2 7 2 2 2" xfId="13940" xr:uid="{7F3F16B3-85CC-4323-A011-4B6C0D29E6A5}"/>
    <cellStyle name="Migliaia 5 3 2 2 7 2 2 2 2" xfId="29117" xr:uid="{6EE46385-F3FE-4B97-B05A-D034E3AF908C}"/>
    <cellStyle name="Migliaia 5 3 2 2 7 2 2 3" xfId="25572" xr:uid="{C3E38B30-0E2E-4D74-8BE8-F2086B5234E7}"/>
    <cellStyle name="Migliaia 5 3 2 2 7 2 3" xfId="6220" xr:uid="{F1D6AB9E-DBE0-4B4E-A726-C48421CFF7AC}"/>
    <cellStyle name="Migliaia 5 3 2 2 7 2 3 2" xfId="21400" xr:uid="{35BC152A-69D0-4E6E-B696-AA9A45B3703E}"/>
    <cellStyle name="Migliaia 5 3 2 2 7 2 4" xfId="18112" xr:uid="{85DCD0D1-3D6D-483D-B953-E01D31F9983C}"/>
    <cellStyle name="Migliaia 5 3 2 2 7 3" xfId="3790" xr:uid="{C352A65B-9A40-4EBA-A4EB-E38EF1F078CB}"/>
    <cellStyle name="Migliaia 5 3 2 2 7 3 2" xfId="11278" xr:uid="{8A37C6B9-D3A4-4CD2-A714-BD7C0D708665}"/>
    <cellStyle name="Migliaia 5 3 2 2 7 3 2 2" xfId="14824" xr:uid="{B567719B-7B34-47E4-9429-9A21472DCB3C}"/>
    <cellStyle name="Migliaia 5 3 2 2 7 3 2 2 2" xfId="30001" xr:uid="{3F9E646E-AB98-4B12-96B0-B7C76A401D1F}"/>
    <cellStyle name="Migliaia 5 3 2 2 7 3 2 3" xfId="26456" xr:uid="{9DE61997-33DD-4B37-8DBB-844D25A2BD95}"/>
    <cellStyle name="Migliaia 5 3 2 2 7 3 3" xfId="7104" xr:uid="{28515EE0-EDAB-462D-87B0-144D82AF3FCF}"/>
    <cellStyle name="Migliaia 5 3 2 2 7 3 3 2" xfId="22284" xr:uid="{70DA55F4-3E4A-417E-91BD-6C0A83F88989}"/>
    <cellStyle name="Migliaia 5 3 2 2 7 3 4" xfId="18996" xr:uid="{9D244366-AA7A-467B-88F7-F11FEC7ED2AF}"/>
    <cellStyle name="Migliaia 5 3 2 2 7 4" xfId="4729" xr:uid="{7B13C1F4-44A5-46A8-8B3B-7B92D27BE707}"/>
    <cellStyle name="Migliaia 5 3 2 2 7 4 2" xfId="12214" xr:uid="{EBC2EC86-ECC3-43A2-9A34-B0B0EF24BA9E}"/>
    <cellStyle name="Migliaia 5 3 2 2 7 4 2 2" xfId="15760" xr:uid="{057BD610-2049-4FF1-A5B8-13326170F40C}"/>
    <cellStyle name="Migliaia 5 3 2 2 7 4 2 2 2" xfId="30937" xr:uid="{153D64EA-C8C6-4789-96A5-F6FE09440A79}"/>
    <cellStyle name="Migliaia 5 3 2 2 7 4 2 3" xfId="27392" xr:uid="{C6A3D1FC-83B0-4B3C-95D1-96451571CA29}"/>
    <cellStyle name="Migliaia 5 3 2 2 7 4 3" xfId="8040" xr:uid="{49522CD7-36C4-4D82-BFE6-699300B1B63B}"/>
    <cellStyle name="Migliaia 5 3 2 2 7 4 3 2" xfId="23220" xr:uid="{AEE9C22C-A3F4-4271-9D1C-D28FF267DC22}"/>
    <cellStyle name="Migliaia 5 3 2 2 7 4 4" xfId="19932" xr:uid="{063A7155-44BA-4196-A0D4-AFA88B999476}"/>
    <cellStyle name="Migliaia 5 3 2 2 7 5" xfId="2013" xr:uid="{73875E02-1D33-4AAC-97FF-F99D4A1449B4}"/>
    <cellStyle name="Migliaia 5 3 2 2 7 5 2" xfId="9510" xr:uid="{495B6EC2-98B1-496E-B4F3-7AD3B16651E7}"/>
    <cellStyle name="Migliaia 5 3 2 2 7 5 2 2" xfId="24688" xr:uid="{9D33EC90-8FDD-4A33-818A-42E0E32DB339}"/>
    <cellStyle name="Migliaia 5 3 2 2 7 5 3" xfId="17228" xr:uid="{EF968EFC-9AF5-45CA-9E79-2E6024645815}"/>
    <cellStyle name="Migliaia 5 3 2 2 7 6" xfId="8996" xr:uid="{415BDB3B-0A11-4373-8B99-4C7B256ECC77}"/>
    <cellStyle name="Migliaia 5 3 2 2 7 6 2" xfId="13169" xr:uid="{2F4768E3-9828-4F9E-A553-79888B4ED2F4}"/>
    <cellStyle name="Migliaia 5 3 2 2 7 6 2 2" xfId="28346" xr:uid="{5FB78D49-71FD-48C8-9DA7-A7ABEF410699}"/>
    <cellStyle name="Migliaia 5 3 2 2 7 6 3" xfId="24174" xr:uid="{70542571-11EE-413F-BC75-76C5560BB1FD}"/>
    <cellStyle name="Migliaia 5 3 2 2 7 7" xfId="5336" xr:uid="{6DCF3CE1-C405-47A8-8C7E-03763ADCDFCF}"/>
    <cellStyle name="Migliaia 5 3 2 2 7 7 2" xfId="20516" xr:uid="{41484ACC-A56A-44B4-826F-0BB7934379C5}"/>
    <cellStyle name="Migliaia 5 3 2 2 7 8" xfId="16714" xr:uid="{85C8AA32-0CD6-48E2-98CE-3D9E90D4467C}"/>
    <cellStyle name="Migliaia 5 3 2 2 8" xfId="1581" xr:uid="{1D1AFC4A-2470-4E4E-AF50-2BFD67F852FB}"/>
    <cellStyle name="Migliaia 5 3 2 2 8 2" xfId="3001" xr:uid="{051A9B63-4A8B-401E-AFC6-F20E0764C26C}"/>
    <cellStyle name="Migliaia 5 3 2 2 8 2 2" xfId="10492" xr:uid="{E9CA08F6-0EDB-40A5-8E05-D763A4425926}"/>
    <cellStyle name="Migliaia 5 3 2 2 8 2 2 2" xfId="14038" xr:uid="{7316FB5F-4E2D-456A-8ADA-DE09B9746B38}"/>
    <cellStyle name="Migliaia 5 3 2 2 8 2 2 2 2" xfId="29215" xr:uid="{EA6F72DB-B22C-49D2-B1E8-A6AF3FD6F41D}"/>
    <cellStyle name="Migliaia 5 3 2 2 8 2 2 3" xfId="25670" xr:uid="{88243932-5C5C-488A-9D84-AC191645563A}"/>
    <cellStyle name="Migliaia 5 3 2 2 8 2 3" xfId="6318" xr:uid="{6E726073-9487-48A3-9727-F16F2DAB380D}"/>
    <cellStyle name="Migliaia 5 3 2 2 8 2 3 2" xfId="21498" xr:uid="{6EB631BC-9AC5-482B-9AAD-2EF187F00561}"/>
    <cellStyle name="Migliaia 5 3 2 2 8 2 4" xfId="18210" xr:uid="{DAB0E7B5-DC09-41D4-863B-8E243E06E68D}"/>
    <cellStyle name="Migliaia 5 3 2 2 8 3" xfId="3888" xr:uid="{5D050FE4-7E79-4FDC-A36C-CE8A4744A781}"/>
    <cellStyle name="Migliaia 5 3 2 2 8 3 2" xfId="11376" xr:uid="{144F2980-BA89-4847-89B0-BC9BC6DCC9CF}"/>
    <cellStyle name="Migliaia 5 3 2 2 8 3 2 2" xfId="14922" xr:uid="{B043EB28-2847-4C6C-987D-2C5172BB7694}"/>
    <cellStyle name="Migliaia 5 3 2 2 8 3 2 2 2" xfId="30099" xr:uid="{672ACF5A-5AD5-4A6A-97C3-1A92EEC6DBB2}"/>
    <cellStyle name="Migliaia 5 3 2 2 8 3 2 3" xfId="26554" xr:uid="{4F7CF3AC-99F8-44FD-882B-B5109982B31A}"/>
    <cellStyle name="Migliaia 5 3 2 2 8 3 3" xfId="7202" xr:uid="{1D94D608-3391-45E2-AEBB-0BA6C84BE052}"/>
    <cellStyle name="Migliaia 5 3 2 2 8 3 3 2" xfId="22382" xr:uid="{3D8524E2-59FF-4C9B-A558-1C20DA63F1BD}"/>
    <cellStyle name="Migliaia 5 3 2 2 8 3 4" xfId="19094" xr:uid="{3DBE4CDD-F56A-4DC8-ADFF-8134F467E912}"/>
    <cellStyle name="Migliaia 5 3 2 2 8 4" xfId="4730" xr:uid="{1D54761F-49E6-4214-BA0F-70B29C6BDBA9}"/>
    <cellStyle name="Migliaia 5 3 2 2 8 4 2" xfId="12215" xr:uid="{1F733BE0-799E-4C4C-9590-E6952EBC83AA}"/>
    <cellStyle name="Migliaia 5 3 2 2 8 4 2 2" xfId="15761" xr:uid="{0AF76850-E4EE-4388-A307-E2CF86ECE178}"/>
    <cellStyle name="Migliaia 5 3 2 2 8 4 2 2 2" xfId="30938" xr:uid="{A38C132A-E624-403E-8A5D-0508C994F0EE}"/>
    <cellStyle name="Migliaia 5 3 2 2 8 4 2 3" xfId="27393" xr:uid="{E51ACABD-8E64-49F4-9244-BE1EE7635B5B}"/>
    <cellStyle name="Migliaia 5 3 2 2 8 4 3" xfId="8041" xr:uid="{94A68488-713E-45F4-ACFD-FCEF41D2CC29}"/>
    <cellStyle name="Migliaia 5 3 2 2 8 4 3 2" xfId="23221" xr:uid="{C93C431B-9B03-4941-B650-49FB483FBD30}"/>
    <cellStyle name="Migliaia 5 3 2 2 8 4 4" xfId="19933" xr:uid="{3C917872-E490-469D-A4A5-67F2B64864E5}"/>
    <cellStyle name="Migliaia 5 3 2 2 8 5" xfId="2111" xr:uid="{B16CAEF6-3E06-44E9-BE35-5E9DAFD1A94E}"/>
    <cellStyle name="Migliaia 5 3 2 2 8 5 2" xfId="9608" xr:uid="{D20D8615-5728-45D0-9D93-7EF0EABEF1C4}"/>
    <cellStyle name="Migliaia 5 3 2 2 8 5 2 2" xfId="24786" xr:uid="{B431CAB7-DD4C-4D3B-93A1-8C0A947104FF}"/>
    <cellStyle name="Migliaia 5 3 2 2 8 5 3" xfId="17326" xr:uid="{763F7956-B32D-4C92-B995-597B7A1FB06B}"/>
    <cellStyle name="Migliaia 5 3 2 2 8 6" xfId="9094" xr:uid="{9BFE290E-A3D0-48C5-9A32-215B285E7EE8}"/>
    <cellStyle name="Migliaia 5 3 2 2 8 6 2" xfId="13267" xr:uid="{41FA4F1B-7C52-49F4-97ED-EDA0BEB44912}"/>
    <cellStyle name="Migliaia 5 3 2 2 8 6 2 2" xfId="28444" xr:uid="{B9B46EB4-D9C8-4C70-AA55-2012E46530F4}"/>
    <cellStyle name="Migliaia 5 3 2 2 8 6 3" xfId="24272" xr:uid="{92B99559-6C5B-4169-B587-15A5F9AFEA18}"/>
    <cellStyle name="Migliaia 5 3 2 2 8 7" xfId="5434" xr:uid="{048CEE9B-DD39-48FE-AF28-7793D9F0CBB0}"/>
    <cellStyle name="Migliaia 5 3 2 2 8 7 2" xfId="20614" xr:uid="{06668FB6-A4ED-4F59-945B-92F48E94828D}"/>
    <cellStyle name="Migliaia 5 3 2 2 8 8" xfId="16812" xr:uid="{A419A88F-9DCC-48E8-91FD-BEFB16D3D54C}"/>
    <cellStyle name="Migliaia 5 3 2 2 9" xfId="1680" xr:uid="{3D80A342-D6D9-4569-83E4-8D09C89E5949}"/>
    <cellStyle name="Migliaia 5 3 2 2 9 2" xfId="3099" xr:uid="{92B63C0A-FEAC-40FC-9E59-95E132ACA732}"/>
    <cellStyle name="Migliaia 5 3 2 2 9 2 2" xfId="10590" xr:uid="{668DC5CD-BC8B-4E01-9F20-392382467D7C}"/>
    <cellStyle name="Migliaia 5 3 2 2 9 2 2 2" xfId="14136" xr:uid="{4AE5093F-A7B0-43F1-AEA6-2C02AD5EEFEA}"/>
    <cellStyle name="Migliaia 5 3 2 2 9 2 2 2 2" xfId="29313" xr:uid="{96967481-7BA1-495B-A3F6-1F9910C64811}"/>
    <cellStyle name="Migliaia 5 3 2 2 9 2 2 3" xfId="25768" xr:uid="{2250A4FC-ADC7-456D-B4F7-CD18DE33D57A}"/>
    <cellStyle name="Migliaia 5 3 2 2 9 2 3" xfId="6416" xr:uid="{435C3D2E-AFC9-4D6B-A23E-8EE5F20D57D5}"/>
    <cellStyle name="Migliaia 5 3 2 2 9 2 3 2" xfId="21596" xr:uid="{05492559-BDA1-424E-9D0E-C87EE9C53985}"/>
    <cellStyle name="Migliaia 5 3 2 2 9 2 4" xfId="18308" xr:uid="{51803EA2-1256-4AAB-A5BE-0337152D71B7}"/>
    <cellStyle name="Migliaia 5 3 2 2 9 3" xfId="3986" xr:uid="{57161154-CA84-4A4A-992E-5559F6A81AE0}"/>
    <cellStyle name="Migliaia 5 3 2 2 9 3 2" xfId="11474" xr:uid="{295538C2-42B9-49BD-8B99-63153FCD2BF7}"/>
    <cellStyle name="Migliaia 5 3 2 2 9 3 2 2" xfId="15020" xr:uid="{0E137924-A4FE-4C2A-B7A2-D2AA15F253FA}"/>
    <cellStyle name="Migliaia 5 3 2 2 9 3 2 2 2" xfId="30197" xr:uid="{745A9256-E548-494F-B012-A670DBE10A7C}"/>
    <cellStyle name="Migliaia 5 3 2 2 9 3 2 3" xfId="26652" xr:uid="{3ADBE68B-8934-4F23-BFC3-A9CCFF1C25D2}"/>
    <cellStyle name="Migliaia 5 3 2 2 9 3 3" xfId="7300" xr:uid="{2E2D1206-9B63-460E-A417-563E97AA9A0A}"/>
    <cellStyle name="Migliaia 5 3 2 2 9 3 3 2" xfId="22480" xr:uid="{A79B5EEB-DB52-4C12-AC62-CB410D1E8F77}"/>
    <cellStyle name="Migliaia 5 3 2 2 9 3 4" xfId="19192" xr:uid="{B6A01AAE-BB3F-47EA-B01F-CCB73818146A}"/>
    <cellStyle name="Migliaia 5 3 2 2 9 4" xfId="4731" xr:uid="{81236DBD-B38B-4356-853E-F80CCAE2D565}"/>
    <cellStyle name="Migliaia 5 3 2 2 9 4 2" xfId="12216" xr:uid="{6529B031-1CFA-47FD-873F-C2FE6B342D07}"/>
    <cellStyle name="Migliaia 5 3 2 2 9 4 2 2" xfId="15762" xr:uid="{3219F598-40FD-4580-8BF6-7BC9E6C4CCDC}"/>
    <cellStyle name="Migliaia 5 3 2 2 9 4 2 2 2" xfId="30939" xr:uid="{03C6F329-A3C4-4BB4-9FB0-085E8FABA027}"/>
    <cellStyle name="Migliaia 5 3 2 2 9 4 2 3" xfId="27394" xr:uid="{466C3CE5-50A6-4EBA-976F-3E286F2A1168}"/>
    <cellStyle name="Migliaia 5 3 2 2 9 4 3" xfId="8042" xr:uid="{4BDD20EA-C4E9-4333-A526-615914AB68E4}"/>
    <cellStyle name="Migliaia 5 3 2 2 9 4 3 2" xfId="23222" xr:uid="{B810CB8D-F43C-4658-843A-D007ADD16830}"/>
    <cellStyle name="Migliaia 5 3 2 2 9 4 4" xfId="19934" xr:uid="{7ECE2E2E-7C5D-4591-A435-F653BDD2FA1F}"/>
    <cellStyle name="Migliaia 5 3 2 2 9 5" xfId="2209" xr:uid="{E855AF31-2D30-45D6-B89C-D01E5644465D}"/>
    <cellStyle name="Migliaia 5 3 2 2 9 5 2" xfId="9706" xr:uid="{256DBB00-5CAE-4CF6-9B2A-A3297DEA9F9A}"/>
    <cellStyle name="Migliaia 5 3 2 2 9 5 2 2" xfId="24884" xr:uid="{E22A5998-A631-42C7-9AA1-D9E90E7A527B}"/>
    <cellStyle name="Migliaia 5 3 2 2 9 5 3" xfId="17424" xr:uid="{C0994EBA-0A02-4AB2-97A6-E504D4433126}"/>
    <cellStyle name="Migliaia 5 3 2 2 9 6" xfId="9192" xr:uid="{999BB35A-5745-4A46-B1BB-D970310FF402}"/>
    <cellStyle name="Migliaia 5 3 2 2 9 6 2" xfId="13365" xr:uid="{C82C7349-0668-471D-AD81-44B6DB95C24B}"/>
    <cellStyle name="Migliaia 5 3 2 2 9 6 2 2" xfId="28542" xr:uid="{4034F3D8-19C4-40A4-A42F-3D82E7D4FB95}"/>
    <cellStyle name="Migliaia 5 3 2 2 9 6 3" xfId="24370" xr:uid="{69B52116-BAF1-4F0C-8C3C-807DCA363C7E}"/>
    <cellStyle name="Migliaia 5 3 2 2 9 7" xfId="5532" xr:uid="{F7594210-C558-4653-9884-108747786098}"/>
    <cellStyle name="Migliaia 5 3 2 2 9 7 2" xfId="20712" xr:uid="{9EBEBEE1-3559-4318-B821-A2CDF202E769}"/>
    <cellStyle name="Migliaia 5 3 2 2 9 8" xfId="16910" xr:uid="{DD408230-546F-4260-95A2-BBCE2D160A71}"/>
    <cellStyle name="Migliaia 5 3 2 3" xfId="763" xr:uid="{C2A95742-2861-43D9-ADD7-71E3CB5317B3}"/>
    <cellStyle name="Migliaia 5 3 2 3 10" xfId="8429" xr:uid="{5AF38763-493D-42CA-B711-6BF6E8A59B47}"/>
    <cellStyle name="Migliaia 5 3 2 3 10 2" xfId="12603" xr:uid="{EA775A47-5351-4044-9C20-EA1D1270DB1D}"/>
    <cellStyle name="Migliaia 5 3 2 3 10 2 2" xfId="27780" xr:uid="{58B5F237-B1B0-4DE6-A881-1EB9075F1E26}"/>
    <cellStyle name="Migliaia 5 3 2 3 10 3" xfId="23608" xr:uid="{703B92F8-569C-45BD-9CC9-CB2F696FDE53}"/>
    <cellStyle name="Migliaia 5 3 2 3 11" xfId="16148" xr:uid="{36F9ED90-898C-489E-B559-87861EC0F860}"/>
    <cellStyle name="Migliaia 5 3 2 3 12" xfId="31490" xr:uid="{37CDF04F-F904-4CED-9F39-45A355C9359E}"/>
    <cellStyle name="Migliaia 5 3 2 3 2" xfId="940" xr:uid="{E006DB41-86B5-4DBE-8B70-C58826389EF3}"/>
    <cellStyle name="Migliaia 5 3 2 3 2 10" xfId="16270" xr:uid="{D9577684-E515-4B5F-BE9B-46D7811CDF1B}"/>
    <cellStyle name="Migliaia 5 3 2 3 2 11" xfId="31360" xr:uid="{F09275F6-75BB-4B0D-9FBA-292E253D56A6}"/>
    <cellStyle name="Migliaia 5 3 2 3 2 12" xfId="31710" xr:uid="{92C606EB-4A37-4E31-8AAA-2DC9296DD6DC}"/>
    <cellStyle name="Migliaia 5 3 2 3 2 2" xfId="1301" xr:uid="{0722543A-5C3D-41FA-9131-D89576F57782}"/>
    <cellStyle name="Migliaia 5 3 2 3 2 2 2" xfId="3618" xr:uid="{F30AB298-4012-49FD-902F-4E77929B7DDF}"/>
    <cellStyle name="Migliaia 5 3 2 3 2 2 2 2" xfId="11106" xr:uid="{66679F63-D3F5-4BD5-A19C-5DEA43F3CD89}"/>
    <cellStyle name="Migliaia 5 3 2 3 2 2 2 2 2" xfId="14652" xr:uid="{96F9E0F4-8BA1-4D2A-A542-3E9E6006626C}"/>
    <cellStyle name="Migliaia 5 3 2 3 2 2 2 2 2 2" xfId="29829" xr:uid="{7696CFFE-55F9-4499-BD9F-7DDB086A46EA}"/>
    <cellStyle name="Migliaia 5 3 2 3 2 2 2 2 3" xfId="26284" xr:uid="{0EC2CC57-EDDD-4E37-A7E3-507580850709}"/>
    <cellStyle name="Migliaia 5 3 2 3 2 2 2 3" xfId="6932" xr:uid="{179762A6-87C9-466B-B4FA-0626A7200E2D}"/>
    <cellStyle name="Migliaia 5 3 2 3 2 2 2 3 2" xfId="22112" xr:uid="{4C492351-666D-4291-8941-5CBFB08D80A6}"/>
    <cellStyle name="Migliaia 5 3 2 3 2 2 2 4" xfId="18824" xr:uid="{1F2C309A-76D9-4CC3-86D1-60DD8AAA46EB}"/>
    <cellStyle name="Migliaia 5 3 2 3 2 2 3" xfId="4732" xr:uid="{B1CDFD11-1497-4AA5-89E8-01F321CA5A16}"/>
    <cellStyle name="Migliaia 5 3 2 3 2 2 3 2" xfId="12217" xr:uid="{F9613385-BAB6-4582-B64A-BA415B2221E8}"/>
    <cellStyle name="Migliaia 5 3 2 3 2 2 3 2 2" xfId="15763" xr:uid="{26367365-868B-4C60-B8D4-7B26C74AD710}"/>
    <cellStyle name="Migliaia 5 3 2 3 2 2 3 2 2 2" xfId="30940" xr:uid="{ED0604FF-54CE-4C41-A9D3-E024B0D46567}"/>
    <cellStyle name="Migliaia 5 3 2 3 2 2 3 2 3" xfId="27395" xr:uid="{65466822-4ED4-4600-8CD6-A3D15B4CF45D}"/>
    <cellStyle name="Migliaia 5 3 2 3 2 2 3 3" xfId="8043" xr:uid="{24EEBCF2-9D65-41C5-9AFC-E3269315EB7B}"/>
    <cellStyle name="Migliaia 5 3 2 3 2 2 3 3 2" xfId="23223" xr:uid="{E9C4FDD9-F474-4A24-BC8B-A1DEFA8C5978}"/>
    <cellStyle name="Migliaia 5 3 2 3 2 2 3 4" xfId="19935" xr:uid="{FC2C22A5-AC66-4596-AB2E-A4A12794BA63}"/>
    <cellStyle name="Migliaia 5 3 2 3 2 2 4" xfId="2731" xr:uid="{B2C85496-3322-4B83-98AA-6AB6B36EFAA8}"/>
    <cellStyle name="Migliaia 5 3 2 3 2 2 4 2" xfId="10222" xr:uid="{4C7D6249-A659-4981-A293-A490779F97E0}"/>
    <cellStyle name="Migliaia 5 3 2 3 2 2 4 2 2" xfId="25400" xr:uid="{59C9F07C-56DC-4EAA-A0DC-08949E1D95F1}"/>
    <cellStyle name="Migliaia 5 3 2 3 2 2 4 3" xfId="17940" xr:uid="{71708ACE-24C5-4389-BE99-C23A355BF36F}"/>
    <cellStyle name="Migliaia 5 3 2 3 2 2 5" xfId="8824" xr:uid="{E771FFD1-D0E4-42F4-B738-567A98953362}"/>
    <cellStyle name="Migliaia 5 3 2 3 2 2 5 2" xfId="12997" xr:uid="{C9328A0C-E2B2-4576-B856-C0F0546607BE}"/>
    <cellStyle name="Migliaia 5 3 2 3 2 2 5 2 2" xfId="28174" xr:uid="{2626A603-7592-44F3-977D-8BF00C5D007B}"/>
    <cellStyle name="Migliaia 5 3 2 3 2 2 5 3" xfId="24002" xr:uid="{EDC76790-2354-43DC-9192-07B7C408A71C}"/>
    <cellStyle name="Migliaia 5 3 2 3 2 2 6" xfId="6048" xr:uid="{E84309CF-2F7C-4996-B475-E14CC00EC2B3}"/>
    <cellStyle name="Migliaia 5 3 2 3 2 2 6 2" xfId="21228" xr:uid="{7E81C777-51D9-4262-B6C2-DF20CC4C2AEB}"/>
    <cellStyle name="Migliaia 5 3 2 3 2 2 7" xfId="16542" xr:uid="{2C65BA6D-6908-4FA8-9846-31DD2B72E762}"/>
    <cellStyle name="Migliaia 5 3 2 3 2 3" xfId="2458" xr:uid="{29119581-0E13-4F3D-897F-4E82722527E5}"/>
    <cellStyle name="Migliaia 5 3 2 3 2 3 2" xfId="9950" xr:uid="{99770B9C-E380-45FD-9FAC-8BB73B51714D}"/>
    <cellStyle name="Migliaia 5 3 2 3 2 3 2 2" xfId="13609" xr:uid="{06F649B8-D7F8-4E6A-B5F3-946464008E78}"/>
    <cellStyle name="Migliaia 5 3 2 3 2 3 2 2 2" xfId="28786" xr:uid="{84301D60-BED8-48BB-92C5-5DF25C25E381}"/>
    <cellStyle name="Migliaia 5 3 2 3 2 3 2 3" xfId="25128" xr:uid="{8425525F-6A5B-44A4-93EE-284CB564F91C}"/>
    <cellStyle name="Migliaia 5 3 2 3 2 3 3" xfId="5776" xr:uid="{7724894D-0A02-4F63-B6B3-DCFE89A0DC8D}"/>
    <cellStyle name="Migliaia 5 3 2 3 2 3 3 2" xfId="20956" xr:uid="{35CDE90E-8EF9-434F-9C0F-18A866BFC884}"/>
    <cellStyle name="Migliaia 5 3 2 3 2 3 4" xfId="17668" xr:uid="{2B6B328C-933B-438B-8FF1-3D7EF2BF1F14}"/>
    <cellStyle name="Migliaia 5 3 2 3 2 4" xfId="3346" xr:uid="{E84E573C-21CE-4B96-A339-943F19073811}"/>
    <cellStyle name="Migliaia 5 3 2 3 2 4 2" xfId="10834" xr:uid="{B289D2BC-7D18-495A-B92C-B88AFFCF1F1E}"/>
    <cellStyle name="Migliaia 5 3 2 3 2 4 2 2" xfId="14380" xr:uid="{C92ACB0C-829D-48F0-968E-6A6784F14555}"/>
    <cellStyle name="Migliaia 5 3 2 3 2 4 2 2 2" xfId="29557" xr:uid="{735BAAE1-3B37-449C-9CFB-D1470A3678AE}"/>
    <cellStyle name="Migliaia 5 3 2 3 2 4 2 3" xfId="26012" xr:uid="{D6FC7B6D-D5D3-4730-8E51-B88C389D0E99}"/>
    <cellStyle name="Migliaia 5 3 2 3 2 4 3" xfId="6660" xr:uid="{AF034739-AF03-40F5-96C8-8382F8E9C296}"/>
    <cellStyle name="Migliaia 5 3 2 3 2 4 3 2" xfId="21840" xr:uid="{4F1B62C9-4E6A-4422-81C2-440B5B651D32}"/>
    <cellStyle name="Migliaia 5 3 2 3 2 4 4" xfId="18552" xr:uid="{19298545-F9B0-4A56-96B1-7C72CE08DDED}"/>
    <cellStyle name="Migliaia 5 3 2 3 2 5" xfId="4733" xr:uid="{EABDE171-0A70-4BA6-ABA0-CAD4848B6F25}"/>
    <cellStyle name="Migliaia 5 3 2 3 2 5 2" xfId="12218" xr:uid="{15A7ED9F-D9F9-4A86-B1B3-264B8C188C8E}"/>
    <cellStyle name="Migliaia 5 3 2 3 2 5 2 2" xfId="15764" xr:uid="{A57BC565-D9A6-4B83-9228-4CC92494ECAD}"/>
    <cellStyle name="Migliaia 5 3 2 3 2 5 2 2 2" xfId="30941" xr:uid="{766736AD-40B3-4842-A7C2-31D43E712C94}"/>
    <cellStyle name="Migliaia 5 3 2 3 2 5 2 3" xfId="27396" xr:uid="{04F3E9EF-82F8-4398-A37F-1B6C6164374F}"/>
    <cellStyle name="Migliaia 5 3 2 3 2 5 3" xfId="8044" xr:uid="{7AD903EA-D56B-4851-9D76-4FE14C037C90}"/>
    <cellStyle name="Migliaia 5 3 2 3 2 5 3 2" xfId="23224" xr:uid="{22A59ACA-5C3B-4945-962E-D65ECAC7E5DF}"/>
    <cellStyle name="Migliaia 5 3 2 3 2 5 4" xfId="19936" xr:uid="{546067FB-AA31-4172-AB25-98184F108B12}"/>
    <cellStyle name="Migliaia 5 3 2 3 2 6" xfId="5020" xr:uid="{954E4A11-C639-464A-9D55-05E74CEFC563}"/>
    <cellStyle name="Migliaia 5 3 2 3 2 6 2" xfId="12504" xr:uid="{01B071F0-634D-4220-BE25-7A1B0EF2AE09}"/>
    <cellStyle name="Migliaia 5 3 2 3 2 6 2 2" xfId="16050" xr:uid="{88360F7D-C345-4ECF-9815-B7B0DB484093}"/>
    <cellStyle name="Migliaia 5 3 2 3 2 6 2 2 2" xfId="31227" xr:uid="{C1966712-0A22-4F3E-8455-479EA29A095E}"/>
    <cellStyle name="Migliaia 5 3 2 3 2 6 2 3" xfId="27682" xr:uid="{F7C3BA63-08ED-463D-97C6-715C73948A5C}"/>
    <cellStyle name="Migliaia 5 3 2 3 2 6 3" xfId="8330" xr:uid="{59424C99-2678-404B-9310-191D645B22E9}"/>
    <cellStyle name="Migliaia 5 3 2 3 2 6 3 2" xfId="23510" xr:uid="{990D2101-8A80-4910-8D49-693DC01F1C47}"/>
    <cellStyle name="Migliaia 5 3 2 3 2 6 4" xfId="20222" xr:uid="{1861DE53-87EA-4CA0-A880-73214F4637D3}"/>
    <cellStyle name="Migliaia 5 3 2 3 2 7" xfId="1841" xr:uid="{D868B76F-AB4B-48BD-AC23-AC1B6B538C8B}"/>
    <cellStyle name="Migliaia 5 3 2 3 2 7 2" xfId="9338" xr:uid="{F977E96B-B342-41E4-A5B1-063615B56103}"/>
    <cellStyle name="Migliaia 5 3 2 3 2 7 2 2" xfId="24516" xr:uid="{4F4338AE-A244-452D-8AE4-14432A2E7652}"/>
    <cellStyle name="Migliaia 5 3 2 3 2 7 3" xfId="17056" xr:uid="{14D06E78-96BA-43C9-97CC-42E3AB675ADF}"/>
    <cellStyle name="Migliaia 5 3 2 3 2 8" xfId="8552" xr:uid="{3666A313-FF6E-416D-A621-3E4E629688A8}"/>
    <cellStyle name="Migliaia 5 3 2 3 2 8 2" xfId="12725" xr:uid="{F120BFDB-CD85-4E87-8861-E129E1A9410E}"/>
    <cellStyle name="Migliaia 5 3 2 3 2 8 2 2" xfId="27902" xr:uid="{E92CDF61-C894-40F8-9C73-8E64143C4F8E}"/>
    <cellStyle name="Migliaia 5 3 2 3 2 8 3" xfId="23730" xr:uid="{423A9FE6-84D4-46AF-BF11-0DAE56D3E8EE}"/>
    <cellStyle name="Migliaia 5 3 2 3 2 9" xfId="5164" xr:uid="{47F00F1E-FD40-4D97-B24D-99528F4999DF}"/>
    <cellStyle name="Migliaia 5 3 2 3 2 9 2" xfId="20344" xr:uid="{024DC003-61F5-4937-ADBF-A3E811FD492B}"/>
    <cellStyle name="Migliaia 5 3 2 3 3" xfId="1043" xr:uid="{5E8C58D7-0EB6-4F06-AD31-9E6F2E87AA2A}"/>
    <cellStyle name="Migliaia 5 3 2 3 3 10" xfId="31588" xr:uid="{6C2F353A-6BCF-4719-80BB-71F09E407CA6}"/>
    <cellStyle name="Migliaia 5 3 2 3 3 2" xfId="1403" xr:uid="{015CBB06-2A61-4A86-9EE6-17BCE2E6D3B6}"/>
    <cellStyle name="Migliaia 5 3 2 3 3 2 2" xfId="3716" xr:uid="{15EA2F9A-DD05-4127-BDEC-807CA3CAB6E3}"/>
    <cellStyle name="Migliaia 5 3 2 3 3 2 2 2" xfId="11204" xr:uid="{F53AD79D-EFDC-412A-9BD3-82C8CAFC14F3}"/>
    <cellStyle name="Migliaia 5 3 2 3 3 2 2 2 2" xfId="14750" xr:uid="{120075AA-FD09-4D8D-B1DD-7631E5DF6137}"/>
    <cellStyle name="Migliaia 5 3 2 3 3 2 2 2 2 2" xfId="29927" xr:uid="{E2AB5F7B-8820-4765-8121-46DE65959C71}"/>
    <cellStyle name="Migliaia 5 3 2 3 3 2 2 2 3" xfId="26382" xr:uid="{0BE9BD8C-7DA1-4282-AC25-A1C514DA8EB0}"/>
    <cellStyle name="Migliaia 5 3 2 3 3 2 2 3" xfId="7030" xr:uid="{1A7C66B0-2258-4378-A312-2A273EEF51E6}"/>
    <cellStyle name="Migliaia 5 3 2 3 3 2 2 3 2" xfId="22210" xr:uid="{3EE25468-1801-4B4B-85A0-3E5C628E6BD5}"/>
    <cellStyle name="Migliaia 5 3 2 3 3 2 2 4" xfId="18922" xr:uid="{23B03675-0F37-4772-B93E-C91A731C0574}"/>
    <cellStyle name="Migliaia 5 3 2 3 3 2 3" xfId="4734" xr:uid="{7B14007C-D951-44AD-86DF-5B797CCD93F6}"/>
    <cellStyle name="Migliaia 5 3 2 3 3 2 3 2" xfId="12219" xr:uid="{C39775AE-BF11-4CE0-8233-679A9793137B}"/>
    <cellStyle name="Migliaia 5 3 2 3 3 2 3 2 2" xfId="15765" xr:uid="{86E05EFD-C211-4CCF-B066-AF0E49766F21}"/>
    <cellStyle name="Migliaia 5 3 2 3 3 2 3 2 2 2" xfId="30942" xr:uid="{E5F7A568-40C8-4CAA-9CB0-CBC788B085F3}"/>
    <cellStyle name="Migliaia 5 3 2 3 3 2 3 2 3" xfId="27397" xr:uid="{CA320632-08D1-4F07-934C-2B558FDB8164}"/>
    <cellStyle name="Migliaia 5 3 2 3 3 2 3 3" xfId="8045" xr:uid="{F69A49F1-32A3-4A00-BB63-5DCEADEF31CF}"/>
    <cellStyle name="Migliaia 5 3 2 3 3 2 3 3 2" xfId="23225" xr:uid="{A92CD0EC-FD9A-412F-8D23-B41AACA7F3E5}"/>
    <cellStyle name="Migliaia 5 3 2 3 3 2 3 4" xfId="19937" xr:uid="{8B752275-6E32-4095-833C-69A49E48709D}"/>
    <cellStyle name="Migliaia 5 3 2 3 3 2 4" xfId="2829" xr:uid="{5E048C7F-66D7-4E8F-A4AF-D4318FD5AD9A}"/>
    <cellStyle name="Migliaia 5 3 2 3 3 2 4 2" xfId="10320" xr:uid="{7F824757-CE55-4D5C-8FF9-9807953F87FA}"/>
    <cellStyle name="Migliaia 5 3 2 3 3 2 4 2 2" xfId="25498" xr:uid="{2A33FF9F-D316-45D0-A246-39759AF367B1}"/>
    <cellStyle name="Migliaia 5 3 2 3 3 2 4 3" xfId="18038" xr:uid="{AD2FE5C4-B23B-4F80-989A-C2CAA1CC17D6}"/>
    <cellStyle name="Migliaia 5 3 2 3 3 2 5" xfId="8922" xr:uid="{5DBEA62C-92D9-44E3-BCFC-500EE1775C92}"/>
    <cellStyle name="Migliaia 5 3 2 3 3 2 5 2" xfId="13095" xr:uid="{A9F04E03-F267-4FCB-89D2-519D52069848}"/>
    <cellStyle name="Migliaia 5 3 2 3 3 2 5 2 2" xfId="28272" xr:uid="{7ED4A623-0D32-43BC-8651-31063F49E8B6}"/>
    <cellStyle name="Migliaia 5 3 2 3 3 2 5 3" xfId="24100" xr:uid="{D2556666-9502-4D5C-A9CF-5A4FC35B0341}"/>
    <cellStyle name="Migliaia 5 3 2 3 3 2 6" xfId="6146" xr:uid="{C718E3B6-8D89-4960-A9A2-86731818B1E7}"/>
    <cellStyle name="Migliaia 5 3 2 3 3 2 6 2" xfId="21326" xr:uid="{02DCF2A4-EA59-4B76-A0CB-26FFB227C602}"/>
    <cellStyle name="Migliaia 5 3 2 3 3 2 7" xfId="16640" xr:uid="{7404BED0-B706-4358-8B12-D8D8917E0984}"/>
    <cellStyle name="Migliaia 5 3 2 3 3 3" xfId="2556" xr:uid="{210DDC48-1001-4845-92FD-E897FB5E0F14}"/>
    <cellStyle name="Migliaia 5 3 2 3 3 3 2" xfId="10048" xr:uid="{76F0ED6D-AD12-4687-AE5A-3B5D80B05991}"/>
    <cellStyle name="Migliaia 5 3 2 3 3 3 2 2" xfId="13707" xr:uid="{969EFE2E-8B72-4F40-8CE6-991294F36BFF}"/>
    <cellStyle name="Migliaia 5 3 2 3 3 3 2 2 2" xfId="28884" xr:uid="{982C4318-3D18-4DBE-A941-DFE40F1C8B32}"/>
    <cellStyle name="Migliaia 5 3 2 3 3 3 2 3" xfId="25226" xr:uid="{856F6F98-D794-42AA-88B3-99832CBFB888}"/>
    <cellStyle name="Migliaia 5 3 2 3 3 3 3" xfId="5874" xr:uid="{7124095C-1F89-4A82-98CF-98CCA5E27679}"/>
    <cellStyle name="Migliaia 5 3 2 3 3 3 3 2" xfId="21054" xr:uid="{959265B5-9EAE-4019-A632-1FD0CAC06B6D}"/>
    <cellStyle name="Migliaia 5 3 2 3 3 3 4" xfId="17766" xr:uid="{F95A0309-AF0F-40E5-A8F5-F0C58F9E1452}"/>
    <cellStyle name="Migliaia 5 3 2 3 3 4" xfId="3444" xr:uid="{06CF8D1D-052E-4A3A-8BF1-BD5C555143BF}"/>
    <cellStyle name="Migliaia 5 3 2 3 3 4 2" xfId="10932" xr:uid="{188E5AE0-8DE2-471A-A46F-4A6E0E139766}"/>
    <cellStyle name="Migliaia 5 3 2 3 3 4 2 2" xfId="14478" xr:uid="{B24431C8-1555-4D08-BB9F-3DEEF71C586B}"/>
    <cellStyle name="Migliaia 5 3 2 3 3 4 2 2 2" xfId="29655" xr:uid="{6283EBC6-1E10-4B15-B4AB-4882DBE5C17E}"/>
    <cellStyle name="Migliaia 5 3 2 3 3 4 2 3" xfId="26110" xr:uid="{103887C8-3A57-4D3C-BA6F-F819F58459AE}"/>
    <cellStyle name="Migliaia 5 3 2 3 3 4 3" xfId="6758" xr:uid="{44EEE650-6D8B-4EAA-964E-7B0D9598F065}"/>
    <cellStyle name="Migliaia 5 3 2 3 3 4 3 2" xfId="21938" xr:uid="{F242B9A1-8CFE-4B3B-AB77-50A026F2EA2F}"/>
    <cellStyle name="Migliaia 5 3 2 3 3 4 4" xfId="18650" xr:uid="{51AD4BD2-208E-4314-8272-674BEB5D1A27}"/>
    <cellStyle name="Migliaia 5 3 2 3 3 5" xfId="4735" xr:uid="{5E3B5DF2-566B-4DDA-A2E1-CC5DB7F38A23}"/>
    <cellStyle name="Migliaia 5 3 2 3 3 5 2" xfId="12220" xr:uid="{6052EB70-B84B-4A74-9F08-38C1A5C71CED}"/>
    <cellStyle name="Migliaia 5 3 2 3 3 5 2 2" xfId="15766" xr:uid="{CEAE04E3-EE6F-481B-8187-778DCA8D81FF}"/>
    <cellStyle name="Migliaia 5 3 2 3 3 5 2 2 2" xfId="30943" xr:uid="{A00F6C1C-5120-49A1-87CA-C3E037A2A600}"/>
    <cellStyle name="Migliaia 5 3 2 3 3 5 2 3" xfId="27398" xr:uid="{B7A9F484-7F8E-465D-96C1-A060C681829F}"/>
    <cellStyle name="Migliaia 5 3 2 3 3 5 3" xfId="8046" xr:uid="{35D9D52F-899E-4EEE-88E4-C6C70939D928}"/>
    <cellStyle name="Migliaia 5 3 2 3 3 5 3 2" xfId="23226" xr:uid="{852EB999-ADE3-4374-850F-A3DE92574141}"/>
    <cellStyle name="Migliaia 5 3 2 3 3 5 4" xfId="19938" xr:uid="{E3C895D0-62B9-4A9E-8859-709938336DED}"/>
    <cellStyle name="Migliaia 5 3 2 3 3 6" xfId="1939" xr:uid="{1620CA82-18BE-474F-B9B5-FB516B5C3B32}"/>
    <cellStyle name="Migliaia 5 3 2 3 3 6 2" xfId="9436" xr:uid="{C4544FC9-EA43-426C-AC81-E6675171114F}"/>
    <cellStyle name="Migliaia 5 3 2 3 3 6 2 2" xfId="24614" xr:uid="{7BE2E779-BC4D-4A2E-A9D3-C6AD68114D55}"/>
    <cellStyle name="Migliaia 5 3 2 3 3 6 3" xfId="17154" xr:uid="{D12873AA-7BFF-4382-9C1A-B17DC45B6554}"/>
    <cellStyle name="Migliaia 5 3 2 3 3 7" xfId="8650" xr:uid="{E0E39B02-9F73-4045-8BF4-28730AA45D62}"/>
    <cellStyle name="Migliaia 5 3 2 3 3 7 2" xfId="12823" xr:uid="{72B7D35A-2816-49F5-B594-188B3F63E743}"/>
    <cellStyle name="Migliaia 5 3 2 3 3 7 2 2" xfId="28000" xr:uid="{86056B33-7840-4C16-88F0-AAF0EB862C32}"/>
    <cellStyle name="Migliaia 5 3 2 3 3 7 3" xfId="23828" xr:uid="{A472A590-93E9-47B2-BC18-900337AB0BA9}"/>
    <cellStyle name="Migliaia 5 3 2 3 3 8" xfId="5262" xr:uid="{1DBF1D91-1AC4-4798-AA6C-2D4CC9CC8DE4}"/>
    <cellStyle name="Migliaia 5 3 2 3 3 8 2" xfId="20442" xr:uid="{22199E1A-0FFC-48B4-B242-EF65D3B0948E}"/>
    <cellStyle name="Migliaia 5 3 2 3 3 9" xfId="16368" xr:uid="{7D865AF3-97F3-4853-B342-7E6F0AE068C5}"/>
    <cellStyle name="Migliaia 5 3 2 3 4" xfId="1502" xr:uid="{66E7344E-A4DE-4A22-922F-D1DC7D19224D}"/>
    <cellStyle name="Migliaia 5 3 2 3 4 2" xfId="2927" xr:uid="{2F3253E5-43FE-44DC-9AF4-B63B88C8FE7E}"/>
    <cellStyle name="Migliaia 5 3 2 3 4 2 2" xfId="10418" xr:uid="{15792BAC-21BE-4FF2-BEDE-D2E185C85E71}"/>
    <cellStyle name="Migliaia 5 3 2 3 4 2 2 2" xfId="13964" xr:uid="{59388D91-1FB3-4853-83AE-55A58BEFF25C}"/>
    <cellStyle name="Migliaia 5 3 2 3 4 2 2 2 2" xfId="29141" xr:uid="{B2A4E0A0-51C1-45E4-A4E2-8670C41A5A12}"/>
    <cellStyle name="Migliaia 5 3 2 3 4 2 2 3" xfId="25596" xr:uid="{7E6226E8-B3A8-4201-AFD6-30F8CA420BFA}"/>
    <cellStyle name="Migliaia 5 3 2 3 4 2 3" xfId="6244" xr:uid="{ABA8D9B0-5E4B-4C3B-8827-D5F8E25C7FF6}"/>
    <cellStyle name="Migliaia 5 3 2 3 4 2 3 2" xfId="21424" xr:uid="{F0C94F37-CF7C-4892-935F-6C3F442827AB}"/>
    <cellStyle name="Migliaia 5 3 2 3 4 2 4" xfId="18136" xr:uid="{D390BCDC-6B75-4DF3-A787-213E36CD21FC}"/>
    <cellStyle name="Migliaia 5 3 2 3 4 3" xfId="3814" xr:uid="{108B0721-B47D-46F7-9C96-0DC9701C0205}"/>
    <cellStyle name="Migliaia 5 3 2 3 4 3 2" xfId="11302" xr:uid="{D8FB89A4-9260-4F71-A72C-03CEEB29C676}"/>
    <cellStyle name="Migliaia 5 3 2 3 4 3 2 2" xfId="14848" xr:uid="{C1014E91-1178-451D-9B0E-744BCC33E515}"/>
    <cellStyle name="Migliaia 5 3 2 3 4 3 2 2 2" xfId="30025" xr:uid="{9D6A96D9-4D6B-4AEF-844A-D6BD52E17D1C}"/>
    <cellStyle name="Migliaia 5 3 2 3 4 3 2 3" xfId="26480" xr:uid="{107EF018-7010-4865-9BBF-8242447C12D8}"/>
    <cellStyle name="Migliaia 5 3 2 3 4 3 3" xfId="7128" xr:uid="{CD5D28FE-D061-445F-8494-3D0826F7AC0B}"/>
    <cellStyle name="Migliaia 5 3 2 3 4 3 3 2" xfId="22308" xr:uid="{04151772-D9C5-4B98-A27F-106517A1E659}"/>
    <cellStyle name="Migliaia 5 3 2 3 4 3 4" xfId="19020" xr:uid="{4D8BE3EB-3EDC-4428-AC35-357235237CDA}"/>
    <cellStyle name="Migliaia 5 3 2 3 4 4" xfId="4736" xr:uid="{04F16419-A445-4138-A7F9-6FF04D97F003}"/>
    <cellStyle name="Migliaia 5 3 2 3 4 4 2" xfId="12221" xr:uid="{9891053D-E3D3-46D6-96AA-B4279124677B}"/>
    <cellStyle name="Migliaia 5 3 2 3 4 4 2 2" xfId="15767" xr:uid="{4CE526B6-7864-47A8-9C73-DB4099AB2CFC}"/>
    <cellStyle name="Migliaia 5 3 2 3 4 4 2 2 2" xfId="30944" xr:uid="{67F0E6DC-4D49-4577-9F08-0F1D493D3EFE}"/>
    <cellStyle name="Migliaia 5 3 2 3 4 4 2 3" xfId="27399" xr:uid="{C919FCFD-2436-4151-84A0-6C5B0A109F55}"/>
    <cellStyle name="Migliaia 5 3 2 3 4 4 3" xfId="8047" xr:uid="{3FCEAE9E-972D-43A2-AE2E-DA33DBA775D2}"/>
    <cellStyle name="Migliaia 5 3 2 3 4 4 3 2" xfId="23227" xr:uid="{73A9E675-05A3-49CF-9C55-3FA29D731425}"/>
    <cellStyle name="Migliaia 5 3 2 3 4 4 4" xfId="19939" xr:uid="{0A1C89A2-5A1C-419E-BB9C-8561A426A0A8}"/>
    <cellStyle name="Migliaia 5 3 2 3 4 5" xfId="2037" xr:uid="{1257D50C-314C-4AA9-8B3E-84E67FF0B204}"/>
    <cellStyle name="Migliaia 5 3 2 3 4 5 2" xfId="9534" xr:uid="{84487057-D6F5-4FE8-9A04-E93887ACC010}"/>
    <cellStyle name="Migliaia 5 3 2 3 4 5 2 2" xfId="24712" xr:uid="{DA520700-FDB6-4381-A7E4-F5891CBD0405}"/>
    <cellStyle name="Migliaia 5 3 2 3 4 5 3" xfId="17252" xr:uid="{89F946CF-BD2E-451F-A9A1-669DCD38E1F6}"/>
    <cellStyle name="Migliaia 5 3 2 3 4 6" xfId="9020" xr:uid="{67BACB7A-EF42-4E0E-9ABD-D2B7C47537D1}"/>
    <cellStyle name="Migliaia 5 3 2 3 4 6 2" xfId="13193" xr:uid="{481F917B-C511-4505-8FCF-017F846918B8}"/>
    <cellStyle name="Migliaia 5 3 2 3 4 6 2 2" xfId="28370" xr:uid="{338FA9CC-3419-4CF2-AFBB-12DA5001D83F}"/>
    <cellStyle name="Migliaia 5 3 2 3 4 6 3" xfId="24198" xr:uid="{2F5D46A7-8A47-4F85-813C-692CB2B1C917}"/>
    <cellStyle name="Migliaia 5 3 2 3 4 7" xfId="5360" xr:uid="{27B57336-965F-41EE-B829-B0BFED6AC1A8}"/>
    <cellStyle name="Migliaia 5 3 2 3 4 7 2" xfId="20540" xr:uid="{97E70F66-8CF8-4378-A268-688A2BD77F4C}"/>
    <cellStyle name="Migliaia 5 3 2 3 4 8" xfId="16738" xr:uid="{20BC11BD-9898-4931-B312-7358FCF43FD2}"/>
    <cellStyle name="Migliaia 5 3 2 3 5" xfId="1605" xr:uid="{8F147FC3-5C55-4E4C-8FAC-58DC31C8BEC7}"/>
    <cellStyle name="Migliaia 5 3 2 3 5 2" xfId="3025" xr:uid="{AE50B2DB-868D-427E-BA5C-A2F57162E69E}"/>
    <cellStyle name="Migliaia 5 3 2 3 5 2 2" xfId="10516" xr:uid="{210A9D66-2918-45D4-9B7E-83621E4AA74D}"/>
    <cellStyle name="Migliaia 5 3 2 3 5 2 2 2" xfId="14062" xr:uid="{7F99A56E-45D6-49B3-9CAA-1083ABF103F8}"/>
    <cellStyle name="Migliaia 5 3 2 3 5 2 2 2 2" xfId="29239" xr:uid="{617651EF-427C-473D-BA54-EF3347733D00}"/>
    <cellStyle name="Migliaia 5 3 2 3 5 2 2 3" xfId="25694" xr:uid="{A744220D-5171-4C0E-BCBD-2867D3201522}"/>
    <cellStyle name="Migliaia 5 3 2 3 5 2 3" xfId="6342" xr:uid="{6824C26B-428E-4990-8C9D-B41E25AAC9C9}"/>
    <cellStyle name="Migliaia 5 3 2 3 5 2 3 2" xfId="21522" xr:uid="{0B750B2B-6AFB-4C0A-90D1-537924150F51}"/>
    <cellStyle name="Migliaia 5 3 2 3 5 2 4" xfId="18234" xr:uid="{09D303CC-82E4-4D81-8C61-305B67E00F2D}"/>
    <cellStyle name="Migliaia 5 3 2 3 5 3" xfId="3912" xr:uid="{6EEB1FCA-AC00-4D5E-AFB4-59662D6C8C26}"/>
    <cellStyle name="Migliaia 5 3 2 3 5 3 2" xfId="11400" xr:uid="{8220D714-D10E-492A-81B9-CADC90C5E440}"/>
    <cellStyle name="Migliaia 5 3 2 3 5 3 2 2" xfId="14946" xr:uid="{6522EB48-B2B0-4E65-98AD-80E1F111D1B7}"/>
    <cellStyle name="Migliaia 5 3 2 3 5 3 2 2 2" xfId="30123" xr:uid="{A94DDE8F-9000-4D86-BB1E-65C1952BCD9B}"/>
    <cellStyle name="Migliaia 5 3 2 3 5 3 2 3" xfId="26578" xr:uid="{78B9A6E5-F9F6-423E-BD6D-2E7CF2436B8A}"/>
    <cellStyle name="Migliaia 5 3 2 3 5 3 3" xfId="7226" xr:uid="{E6D8D199-7A71-4CAB-9A27-F2D7B600717F}"/>
    <cellStyle name="Migliaia 5 3 2 3 5 3 3 2" xfId="22406" xr:uid="{19EC1392-1B7F-4FCA-B4FC-3B2AE4721744}"/>
    <cellStyle name="Migliaia 5 3 2 3 5 3 4" xfId="19118" xr:uid="{A009BC3F-8E39-416C-91C3-002DB8AD5EA7}"/>
    <cellStyle name="Migliaia 5 3 2 3 5 4" xfId="4737" xr:uid="{A11BAB1D-D622-4C19-A748-0F81DE64F6D7}"/>
    <cellStyle name="Migliaia 5 3 2 3 5 4 2" xfId="12222" xr:uid="{66EC2127-9E7C-4029-9E0C-1C9CDA1917A2}"/>
    <cellStyle name="Migliaia 5 3 2 3 5 4 2 2" xfId="15768" xr:uid="{899BAB85-FE07-4E27-B0C8-E72B65597769}"/>
    <cellStyle name="Migliaia 5 3 2 3 5 4 2 2 2" xfId="30945" xr:uid="{FC479240-5C9E-4BE4-8DE2-EFFBAB16181F}"/>
    <cellStyle name="Migliaia 5 3 2 3 5 4 2 3" xfId="27400" xr:uid="{C9A26FDD-9C18-405A-B947-7FF52E635DFB}"/>
    <cellStyle name="Migliaia 5 3 2 3 5 4 3" xfId="8048" xr:uid="{47B7F3FB-8D77-4E57-8C31-6CD8DE778A39}"/>
    <cellStyle name="Migliaia 5 3 2 3 5 4 3 2" xfId="23228" xr:uid="{4CA3EFAE-1E6F-4422-A898-606ADDCB3188}"/>
    <cellStyle name="Migliaia 5 3 2 3 5 4 4" xfId="19940" xr:uid="{33494245-81C1-4D71-BC50-A3E50F4F624B}"/>
    <cellStyle name="Migliaia 5 3 2 3 5 5" xfId="2135" xr:uid="{27BB5893-7013-4B8A-A47E-AD16B9DC7D6E}"/>
    <cellStyle name="Migliaia 5 3 2 3 5 5 2" xfId="9632" xr:uid="{D65C81AF-7174-4E43-8C3D-458C8222F6A9}"/>
    <cellStyle name="Migliaia 5 3 2 3 5 5 2 2" xfId="24810" xr:uid="{6EEF811A-1C33-4926-BCD6-2CB41C8B2816}"/>
    <cellStyle name="Migliaia 5 3 2 3 5 5 3" xfId="17350" xr:uid="{BCFC5EF4-F7BB-4286-9151-9DCC2FAC2654}"/>
    <cellStyle name="Migliaia 5 3 2 3 5 6" xfId="9118" xr:uid="{A825FF6A-CB6A-4231-B5FF-1C7D02645E45}"/>
    <cellStyle name="Migliaia 5 3 2 3 5 6 2" xfId="13291" xr:uid="{49990563-7763-415E-ACFD-08C6A8F4B6F4}"/>
    <cellStyle name="Migliaia 5 3 2 3 5 6 2 2" xfId="28468" xr:uid="{C968059E-1828-4B1B-A3C7-127A27FDD1ED}"/>
    <cellStyle name="Migliaia 5 3 2 3 5 6 3" xfId="24296" xr:uid="{6D76A9BA-A94A-423B-AD6F-8B586B26380B}"/>
    <cellStyle name="Migliaia 5 3 2 3 5 7" xfId="5458" xr:uid="{1504729D-3ADA-49F2-99AF-7EECAFAD1540}"/>
    <cellStyle name="Migliaia 5 3 2 3 5 7 2" xfId="20638" xr:uid="{985CDC23-58F8-4CC5-A827-B8BECC64E590}"/>
    <cellStyle name="Migliaia 5 3 2 3 5 8" xfId="16836" xr:uid="{7DE968BD-2F8F-4717-ACCA-B3C8C23C5D44}"/>
    <cellStyle name="Migliaia 5 3 2 3 6" xfId="1704" xr:uid="{1347084C-F3FD-42D5-9EE2-687A57091F09}"/>
    <cellStyle name="Migliaia 5 3 2 3 6 2" xfId="3123" xr:uid="{AE9B693B-2717-41F9-BFDA-3AF4A19524C1}"/>
    <cellStyle name="Migliaia 5 3 2 3 6 2 2" xfId="10614" xr:uid="{B2275F09-6196-49F0-9748-ECA41BDE3F56}"/>
    <cellStyle name="Migliaia 5 3 2 3 6 2 2 2" xfId="14160" xr:uid="{AECFCACB-F537-42C7-B426-3DF021090C54}"/>
    <cellStyle name="Migliaia 5 3 2 3 6 2 2 2 2" xfId="29337" xr:uid="{2EF6BB2A-173E-4302-BEF0-9DA0A1BDEB1B}"/>
    <cellStyle name="Migliaia 5 3 2 3 6 2 2 3" xfId="25792" xr:uid="{070883DD-7D3A-402E-BD7D-717305585E81}"/>
    <cellStyle name="Migliaia 5 3 2 3 6 2 3" xfId="6440" xr:uid="{73A89438-143F-410E-AAB8-73E3B4E3F800}"/>
    <cellStyle name="Migliaia 5 3 2 3 6 2 3 2" xfId="21620" xr:uid="{9985530C-25E4-451E-AA80-F75EA20D5C1A}"/>
    <cellStyle name="Migliaia 5 3 2 3 6 2 4" xfId="18332" xr:uid="{330B941E-0723-4AE3-B7AB-467DB260DF6C}"/>
    <cellStyle name="Migliaia 5 3 2 3 6 3" xfId="4010" xr:uid="{7F50C68A-3538-42D7-9E5A-D598FCE4BC01}"/>
    <cellStyle name="Migliaia 5 3 2 3 6 3 2" xfId="11498" xr:uid="{96B9E0B7-739C-4316-B422-A35E8061FA99}"/>
    <cellStyle name="Migliaia 5 3 2 3 6 3 2 2" xfId="15044" xr:uid="{D0D4F576-2915-4CBD-807E-66A60F7E0882}"/>
    <cellStyle name="Migliaia 5 3 2 3 6 3 2 2 2" xfId="30221" xr:uid="{1512976B-E949-4987-A5D2-0A4E4D61897F}"/>
    <cellStyle name="Migliaia 5 3 2 3 6 3 2 3" xfId="26676" xr:uid="{00BA0735-B90D-4BBD-AE6B-6859B4327F4C}"/>
    <cellStyle name="Migliaia 5 3 2 3 6 3 3" xfId="7324" xr:uid="{5A35A0C0-F374-441D-BB1C-10DCCD90A57D}"/>
    <cellStyle name="Migliaia 5 3 2 3 6 3 3 2" xfId="22504" xr:uid="{0AAF4D6A-B324-4C7E-83A6-C448788B485C}"/>
    <cellStyle name="Migliaia 5 3 2 3 6 3 4" xfId="19216" xr:uid="{D1F2B6F0-F14B-4B9F-AD03-661BBD8B463C}"/>
    <cellStyle name="Migliaia 5 3 2 3 6 4" xfId="4738" xr:uid="{4CFE5195-EC84-4EEE-A929-9C1EA891F270}"/>
    <cellStyle name="Migliaia 5 3 2 3 6 4 2" xfId="12223" xr:uid="{E36965E1-3DED-4CF2-B94A-3E347F832339}"/>
    <cellStyle name="Migliaia 5 3 2 3 6 4 2 2" xfId="15769" xr:uid="{185F9FF4-F5C6-42A8-841D-330CD06A853A}"/>
    <cellStyle name="Migliaia 5 3 2 3 6 4 2 2 2" xfId="30946" xr:uid="{6BA97743-41C6-42C7-B06F-A471EC808782}"/>
    <cellStyle name="Migliaia 5 3 2 3 6 4 2 3" xfId="27401" xr:uid="{6C0BA2C0-4039-419C-884D-4CAE1C13AA32}"/>
    <cellStyle name="Migliaia 5 3 2 3 6 4 3" xfId="8049" xr:uid="{AFA6C705-9A52-4485-88D1-CD6DB315082B}"/>
    <cellStyle name="Migliaia 5 3 2 3 6 4 3 2" xfId="23229" xr:uid="{A945FA47-055D-42C7-AD23-08651F6FB89C}"/>
    <cellStyle name="Migliaia 5 3 2 3 6 4 4" xfId="19941" xr:uid="{F8555F7B-E1F7-43D0-A34F-48BB151EE864}"/>
    <cellStyle name="Migliaia 5 3 2 3 6 5" xfId="2233" xr:uid="{A78CE8B4-8F65-478C-9D17-A2B891CB455E}"/>
    <cellStyle name="Migliaia 5 3 2 3 6 5 2" xfId="9730" xr:uid="{2CECB5ED-4B6B-4134-ADC7-658980EF5BAA}"/>
    <cellStyle name="Migliaia 5 3 2 3 6 5 2 2" xfId="24908" xr:uid="{C916A521-8D93-4005-926B-E9FC849AC6A2}"/>
    <cellStyle name="Migliaia 5 3 2 3 6 5 3" xfId="17448" xr:uid="{FCC23E47-60CF-4D19-BE84-32D160ACDE03}"/>
    <cellStyle name="Migliaia 5 3 2 3 6 6" xfId="9216" xr:uid="{C5E59498-76AE-4BE9-9A21-7144D204396B}"/>
    <cellStyle name="Migliaia 5 3 2 3 6 6 2" xfId="13389" xr:uid="{A0124486-DE4F-4C1F-8124-95B8C0FD162F}"/>
    <cellStyle name="Migliaia 5 3 2 3 6 6 2 2" xfId="28566" xr:uid="{316FB9B7-20BB-41EF-8251-C8FF3C75CACD}"/>
    <cellStyle name="Migliaia 5 3 2 3 6 6 3" xfId="24394" xr:uid="{8DE7B518-2568-4AC5-9C99-C87AF43A038A}"/>
    <cellStyle name="Migliaia 5 3 2 3 6 7" xfId="5556" xr:uid="{48420903-C8CA-43B1-954A-79402D4141F5}"/>
    <cellStyle name="Migliaia 5 3 2 3 6 7 2" xfId="20736" xr:uid="{0DEDE8F2-B1AB-462B-88AA-FCE961802741}"/>
    <cellStyle name="Migliaia 5 3 2 3 6 8" xfId="16934" xr:uid="{69A8E0DD-9A3C-43A8-8421-953E6E3554CA}"/>
    <cellStyle name="Migliaia 5 3 2 3 7" xfId="2333" xr:uid="{195CEECD-87D4-4170-B83E-AC05422A4B76}"/>
    <cellStyle name="Migliaia 5 3 2 3 7 2" xfId="9828" xr:uid="{D3FDC190-B105-4708-9381-3B3A7F6C4B02}"/>
    <cellStyle name="Migliaia 5 3 2 3 7 2 2" xfId="13487" xr:uid="{B3ADB8C2-15B8-4223-BB63-847B06ED247F}"/>
    <cellStyle name="Migliaia 5 3 2 3 7 2 2 2" xfId="28664" xr:uid="{17E9979D-9413-4302-B283-B9405BD34FE5}"/>
    <cellStyle name="Migliaia 5 3 2 3 7 2 3" xfId="25006" xr:uid="{0D56614C-449E-4419-AA98-F6E3F6867AAB}"/>
    <cellStyle name="Migliaia 5 3 2 3 7 3" xfId="5654" xr:uid="{17801A4B-329E-4C6F-ABD6-EAB0DFB9A718}"/>
    <cellStyle name="Migliaia 5 3 2 3 7 3 2" xfId="20834" xr:uid="{CB96A9C5-9C4B-40CC-938E-C6B9D8F5614C}"/>
    <cellStyle name="Migliaia 5 3 2 3 7 4" xfId="17546" xr:uid="{D1E55DD7-3819-43E4-88A5-C93D9772B0CF}"/>
    <cellStyle name="Migliaia 5 3 2 3 8" xfId="3223" xr:uid="{C20BC847-A949-4211-9949-07BD178FD976}"/>
    <cellStyle name="Migliaia 5 3 2 3 8 2" xfId="10712" xr:uid="{CE20DEE8-A6AF-4AB3-9845-D52AF31B2C79}"/>
    <cellStyle name="Migliaia 5 3 2 3 8 2 2" xfId="14258" xr:uid="{8FFCD620-56D3-49E4-A6EC-F67540A7A8C2}"/>
    <cellStyle name="Migliaia 5 3 2 3 8 2 2 2" xfId="29435" xr:uid="{60D19200-A587-49B1-B74E-ADA2160AE219}"/>
    <cellStyle name="Migliaia 5 3 2 3 8 2 3" xfId="25890" xr:uid="{E1F27591-AF25-4831-87E8-CF4B6754E839}"/>
    <cellStyle name="Migliaia 5 3 2 3 8 3" xfId="6538" xr:uid="{AF5B3371-C4D5-44BC-BDE6-302D57B45560}"/>
    <cellStyle name="Migliaia 5 3 2 3 8 3 2" xfId="21718" xr:uid="{4152B071-0955-47C8-AA63-7449B9B26ED4}"/>
    <cellStyle name="Migliaia 5 3 2 3 8 4" xfId="18430" xr:uid="{71F91CCB-732F-414E-810D-0110C9685DAF}"/>
    <cellStyle name="Migliaia 5 3 2 3 9" xfId="4739" xr:uid="{65FB6655-17E3-4EC9-ACE2-3BB646132BD8}"/>
    <cellStyle name="Migliaia 5 3 2 3 9 2" xfId="12224" xr:uid="{068170B4-A515-4857-B945-4ECE48EDA4F0}"/>
    <cellStyle name="Migliaia 5 3 2 3 9 2 2" xfId="15770" xr:uid="{E9624B83-AAE0-422E-9C84-646AF37DFF9B}"/>
    <cellStyle name="Migliaia 5 3 2 3 9 2 2 2" xfId="30947" xr:uid="{D088CCA2-105A-48F2-BDAB-2CA9296F089A}"/>
    <cellStyle name="Migliaia 5 3 2 3 9 2 3" xfId="27402" xr:uid="{E3AF26E4-2873-405D-BD65-E6B5AE07BD43}"/>
    <cellStyle name="Migliaia 5 3 2 3 9 3" xfId="8050" xr:uid="{A4595E26-D47A-419B-9839-44CF6FA651BC}"/>
    <cellStyle name="Migliaia 5 3 2 3 9 3 2" xfId="23230" xr:uid="{7B24750A-14D9-454E-BC2B-33FDEADD3A87}"/>
    <cellStyle name="Migliaia 5 3 2 3 9 4" xfId="19942" xr:uid="{17219677-4094-4CC3-BDB5-949248C4C67A}"/>
    <cellStyle name="Migliaia 5 3 2 4" xfId="891" xr:uid="{F6737D06-9CB3-4BDA-BF8C-F8E0599809CE}"/>
    <cellStyle name="Migliaia 5 3 2 4 2" xfId="2409" xr:uid="{2A95E218-BA71-4DE0-B68A-3BB4472452EB}"/>
    <cellStyle name="Migliaia 5 3 2 4 2 2" xfId="9901" xr:uid="{30A19CEB-540B-438E-9ADB-15E1CFCF5C94}"/>
    <cellStyle name="Migliaia 5 3 2 4 2 2 2" xfId="13560" xr:uid="{E302444C-A7AE-46AF-A9C9-B041E6325765}"/>
    <cellStyle name="Migliaia 5 3 2 4 2 2 2 2" xfId="28737" xr:uid="{F1E69332-D2A1-40BD-8D3A-B49693372CE2}"/>
    <cellStyle name="Migliaia 5 3 2 4 2 2 3" xfId="25079" xr:uid="{5D010E1D-99F8-4727-BF8C-DFF45D3111B1}"/>
    <cellStyle name="Migliaia 5 3 2 4 2 3" xfId="5727" xr:uid="{2618A558-4677-4595-80D1-EBDBC79D1052}"/>
    <cellStyle name="Migliaia 5 3 2 4 2 3 2" xfId="20907" xr:uid="{F4FC8AF1-D52E-4CCF-A2F0-FEC94332CAD7}"/>
    <cellStyle name="Migliaia 5 3 2 4 2 4" xfId="17619" xr:uid="{BED3A15A-8EA7-4A71-BE77-8269BE607635}"/>
    <cellStyle name="Migliaia 5 3 2 4 3" xfId="3297" xr:uid="{ADA3F39C-0D98-4AC7-9AF9-B8E76DA801CE}"/>
    <cellStyle name="Migliaia 5 3 2 4 3 2" xfId="10785" xr:uid="{8759C3C8-E60C-4C8A-8FF5-52A039DDE9E9}"/>
    <cellStyle name="Migliaia 5 3 2 4 3 2 2" xfId="14331" xr:uid="{91802E35-DDDB-42EC-BFE6-4E4B0D58F2FB}"/>
    <cellStyle name="Migliaia 5 3 2 4 3 2 2 2" xfId="29508" xr:uid="{85628BFB-C8B6-4E62-A706-D85E732BA237}"/>
    <cellStyle name="Migliaia 5 3 2 4 3 2 3" xfId="25963" xr:uid="{11066974-4AA1-423D-8769-D51C0370D63F}"/>
    <cellStyle name="Migliaia 5 3 2 4 3 3" xfId="6611" xr:uid="{649FFC6B-9202-4D19-A61D-C63AC020503C}"/>
    <cellStyle name="Migliaia 5 3 2 4 3 3 2" xfId="21791" xr:uid="{D69AD9F5-7B89-4730-9DF8-D251CFF79C71}"/>
    <cellStyle name="Migliaia 5 3 2 4 3 4" xfId="18503" xr:uid="{796CA087-E7D6-46EE-974F-8B704FCD4F4D}"/>
    <cellStyle name="Migliaia 5 3 2 4 4" xfId="4740" xr:uid="{25C081BB-1D81-4376-89B5-AFCCE914E8AE}"/>
    <cellStyle name="Migliaia 5 3 2 4 4 2" xfId="12225" xr:uid="{467DFFC3-CB57-4C7A-BFFE-644D63605A48}"/>
    <cellStyle name="Migliaia 5 3 2 4 4 2 2" xfId="15771" xr:uid="{25EE982A-083E-4CEE-BDA4-2BEED1D84B60}"/>
    <cellStyle name="Migliaia 5 3 2 4 4 2 2 2" xfId="30948" xr:uid="{DF084829-91D3-445B-91A3-8AB6BF5D251F}"/>
    <cellStyle name="Migliaia 5 3 2 4 4 2 3" xfId="27403" xr:uid="{95189D2D-7486-4EB2-B213-A7D331050580}"/>
    <cellStyle name="Migliaia 5 3 2 4 4 3" xfId="8051" xr:uid="{CDE794E3-3DE8-4C99-99FE-4364AFFBA0B7}"/>
    <cellStyle name="Migliaia 5 3 2 4 4 3 2" xfId="23231" xr:uid="{FE5E2FC5-080C-4B8B-8C02-E359CFB45537}"/>
    <cellStyle name="Migliaia 5 3 2 4 4 4" xfId="19943" xr:uid="{FF962DCB-BC83-443A-BA2A-387F1B849F51}"/>
    <cellStyle name="Migliaia 5 3 2 4 5" xfId="8503" xr:uid="{1741ED89-8F16-4AA8-A847-CEDAAEF8E85D}"/>
    <cellStyle name="Migliaia 5 3 2 4 5 2" xfId="12676" xr:uid="{0DE4523E-48F5-4017-A286-A003DA9E3954}"/>
    <cellStyle name="Migliaia 5 3 2 4 5 2 2" xfId="27853" xr:uid="{291A99F2-F3DC-4779-91F4-F99153CD129B}"/>
    <cellStyle name="Migliaia 5 3 2 4 5 3" xfId="23681" xr:uid="{1B9629E7-0E09-413C-8B00-382CB01BE008}"/>
    <cellStyle name="Migliaia 5 3 2 4 6" xfId="16221" xr:uid="{3C8F71C9-5B81-460E-A9ED-A16B4F9C9806}"/>
    <cellStyle name="Migliaia 5 3 2 4 7" xfId="31661" xr:uid="{226433E6-D4C2-4AED-BAB4-F0AB2406E7A3}"/>
    <cellStyle name="Migliaia 5 3 2 5" xfId="994" xr:uid="{F8F3EC63-F1E0-4C0A-9C77-D3D378322E7D}"/>
    <cellStyle name="Migliaia 5 3 2 5 2" xfId="2507" xr:uid="{D18E938C-9BC7-4E5D-92B5-35E0D485EC81}"/>
    <cellStyle name="Migliaia 5 3 2 5 2 2" xfId="9999" xr:uid="{24ED3DA6-8C91-4C6C-B916-1EA79635F6BE}"/>
    <cellStyle name="Migliaia 5 3 2 5 2 2 2" xfId="13658" xr:uid="{DF419BBF-D44A-4449-A76C-131B917D5F4E}"/>
    <cellStyle name="Migliaia 5 3 2 5 2 2 2 2" xfId="28835" xr:uid="{1EEAA761-2100-4C47-BDAE-7BF63FD21118}"/>
    <cellStyle name="Migliaia 5 3 2 5 2 2 3" xfId="25177" xr:uid="{6B3A6503-EBA9-43EE-B49A-14C2F8AD8BC8}"/>
    <cellStyle name="Migliaia 5 3 2 5 2 3" xfId="5825" xr:uid="{378E9743-0390-4065-82D8-DF191DC66C61}"/>
    <cellStyle name="Migliaia 5 3 2 5 2 3 2" xfId="21005" xr:uid="{99E16D02-92EB-47E1-8AAB-0D3419338EE1}"/>
    <cellStyle name="Migliaia 5 3 2 5 2 4" xfId="17717" xr:uid="{797BE7F9-4F5E-47D5-B903-45DA13C45E02}"/>
    <cellStyle name="Migliaia 5 3 2 5 3" xfId="3395" xr:uid="{14C59EAE-AF61-405F-8C4A-8EF26576901F}"/>
    <cellStyle name="Migliaia 5 3 2 5 3 2" xfId="10883" xr:uid="{2C096EE4-099D-417B-86D5-C84D6B4AD0A4}"/>
    <cellStyle name="Migliaia 5 3 2 5 3 2 2" xfId="14429" xr:uid="{D0430F75-BB4E-4FD5-98D8-CAE45C18526B}"/>
    <cellStyle name="Migliaia 5 3 2 5 3 2 2 2" xfId="29606" xr:uid="{8975EBEC-3C91-489A-9120-82BDDC8E4CCC}"/>
    <cellStyle name="Migliaia 5 3 2 5 3 2 3" xfId="26061" xr:uid="{335C97F2-ECCE-428F-9D34-9573925D35CC}"/>
    <cellStyle name="Migliaia 5 3 2 5 3 3" xfId="6709" xr:uid="{4BB6836E-D8FF-438A-B933-291410AD5ADA}"/>
    <cellStyle name="Migliaia 5 3 2 5 3 3 2" xfId="21889" xr:uid="{E375B85F-1238-4EBE-BC4B-CBD9B4A60C45}"/>
    <cellStyle name="Migliaia 5 3 2 5 3 4" xfId="18601" xr:uid="{DDC42DD9-14F9-4E24-9894-C9F89EA7C023}"/>
    <cellStyle name="Migliaia 5 3 2 5 4" xfId="4741" xr:uid="{BFE3F100-9CAD-4829-BFB8-D034C2FD4A6F}"/>
    <cellStyle name="Migliaia 5 3 2 5 4 2" xfId="12226" xr:uid="{8A3EFBB0-91AE-4BCA-AC87-03554EF3719C}"/>
    <cellStyle name="Migliaia 5 3 2 5 4 2 2" xfId="15772" xr:uid="{DD1784DF-32C9-4415-B0D8-E7631EFA9AED}"/>
    <cellStyle name="Migliaia 5 3 2 5 4 2 2 2" xfId="30949" xr:uid="{6B9A2310-8B3A-46F1-84A2-6F71EB34525D}"/>
    <cellStyle name="Migliaia 5 3 2 5 4 2 3" xfId="27404" xr:uid="{23555199-7200-4FE3-8BD7-6E67EE3C5B3E}"/>
    <cellStyle name="Migliaia 5 3 2 5 4 3" xfId="8052" xr:uid="{B25895C1-8485-4117-B6E1-6EABAB8424C1}"/>
    <cellStyle name="Migliaia 5 3 2 5 4 3 2" xfId="23232" xr:uid="{C8FC4EA2-B8E2-4A19-8693-61E3FB41E236}"/>
    <cellStyle name="Migliaia 5 3 2 5 4 4" xfId="19944" xr:uid="{872EAAF0-0929-44C3-8836-B7E17FC7420A}"/>
    <cellStyle name="Migliaia 5 3 2 5 5" xfId="8601" xr:uid="{8D592A5A-8382-49E0-B3CB-4C3BEA4834AD}"/>
    <cellStyle name="Migliaia 5 3 2 5 5 2" xfId="12774" xr:uid="{47B7BBF4-90E3-43A1-AEDE-EAF23CBB4BBD}"/>
    <cellStyle name="Migliaia 5 3 2 5 5 2 2" xfId="27951" xr:uid="{C8EF2FBC-1CF5-4196-9510-EA4E33616851}"/>
    <cellStyle name="Migliaia 5 3 2 5 5 3" xfId="23779" xr:uid="{D4B04044-1ECC-4FEC-8675-D89D64BF340F}"/>
    <cellStyle name="Migliaia 5 3 2 5 6" xfId="16319" xr:uid="{906A53B8-19AC-4B94-95C0-C76527FF6E34}"/>
    <cellStyle name="Migliaia 5 3 2 5 7" xfId="31539" xr:uid="{43219ED6-7A81-4D9B-8D54-043BDCBDFD3B}"/>
    <cellStyle name="Migliaia 5 3 2 6" xfId="1177" xr:uid="{31A15F54-453B-4BAC-85A4-3888EE54EA1B}"/>
    <cellStyle name="Migliaia 5 3 2 6 2" xfId="2610" xr:uid="{33CF0993-7F89-431B-BA58-A13EB0368785}"/>
    <cellStyle name="Migliaia 5 3 2 6 2 2" xfId="10101" xr:uid="{4551BEBB-F54B-46C7-9B85-E81B1BEB0AEA}"/>
    <cellStyle name="Migliaia 5 3 2 6 2 2 2" xfId="13759" xr:uid="{2A8108DF-8A71-41EB-9089-C243CB30E767}"/>
    <cellStyle name="Migliaia 5 3 2 6 2 2 2 2" xfId="28936" xr:uid="{34F3F7B2-0AF0-447F-815F-EE828ED83FD0}"/>
    <cellStyle name="Migliaia 5 3 2 6 2 2 3" xfId="25279" xr:uid="{40385475-0B63-4AEE-AFAD-9E26446EDF66}"/>
    <cellStyle name="Migliaia 5 3 2 6 2 3" xfId="5927" xr:uid="{E94D9C8B-F2DD-4902-BD93-2CF3DC7A8575}"/>
    <cellStyle name="Migliaia 5 3 2 6 2 3 2" xfId="21107" xr:uid="{4E478153-D29F-430E-B31F-6C0354CF3A07}"/>
    <cellStyle name="Migliaia 5 3 2 6 2 4" xfId="17819" xr:uid="{399A995B-B8E9-4BDC-804E-32FC5CA47468}"/>
    <cellStyle name="Migliaia 5 3 2 6 3" xfId="3497" xr:uid="{4410C96F-5272-4DF4-A948-A57D9FA6368D}"/>
    <cellStyle name="Migliaia 5 3 2 6 3 2" xfId="10985" xr:uid="{401C1EB5-ED20-413D-95DA-BE16F42CCA66}"/>
    <cellStyle name="Migliaia 5 3 2 6 3 2 2" xfId="14531" xr:uid="{4BD9E64C-BFDD-453E-8C49-AA50CAC66D87}"/>
    <cellStyle name="Migliaia 5 3 2 6 3 2 2 2" xfId="29708" xr:uid="{7B3879C7-41DE-463C-8B85-93ECE9188A2F}"/>
    <cellStyle name="Migliaia 5 3 2 6 3 2 3" xfId="26163" xr:uid="{5DDBD426-C85F-4B9F-A59B-EAA78274249F}"/>
    <cellStyle name="Migliaia 5 3 2 6 3 3" xfId="6811" xr:uid="{085A4CEE-26FA-4246-84B8-3FDF7FBA8646}"/>
    <cellStyle name="Migliaia 5 3 2 6 3 3 2" xfId="21991" xr:uid="{B0BE90F0-C1AB-4523-91FD-EB5455691525}"/>
    <cellStyle name="Migliaia 5 3 2 6 3 4" xfId="18703" xr:uid="{2ADD68D5-00AE-4125-A166-D59CAB7387CE}"/>
    <cellStyle name="Migliaia 5 3 2 6 4" xfId="4742" xr:uid="{F9EFF8F6-CC82-4DD5-9A91-7E826814EECC}"/>
    <cellStyle name="Migliaia 5 3 2 6 4 2" xfId="12227" xr:uid="{BB953CFD-E174-4E1F-92AE-33E9FCE2E9DB}"/>
    <cellStyle name="Migliaia 5 3 2 6 4 2 2" xfId="15773" xr:uid="{DD067B86-6416-45A4-B178-06796948A8DD}"/>
    <cellStyle name="Migliaia 5 3 2 6 4 2 2 2" xfId="30950" xr:uid="{22152E82-9393-40E3-83F5-55383788FE23}"/>
    <cellStyle name="Migliaia 5 3 2 6 4 2 3" xfId="27405" xr:uid="{8E619492-E5B8-4F86-844E-706274CA8ED7}"/>
    <cellStyle name="Migliaia 5 3 2 6 4 3" xfId="8053" xr:uid="{AB257686-B2C1-40BE-85DE-23E520EFF179}"/>
    <cellStyle name="Migliaia 5 3 2 6 4 3 2" xfId="23233" xr:uid="{AE26AD17-671F-4F06-AA81-A48F00FE7895}"/>
    <cellStyle name="Migliaia 5 3 2 6 4 4" xfId="19945" xr:uid="{FC0AEA9E-A396-4918-A640-7C0AA9DFD0C5}"/>
    <cellStyle name="Migliaia 5 3 2 6 5" xfId="8703" xr:uid="{1C75B910-8D1E-4969-A4C6-12F93BF1AE41}"/>
    <cellStyle name="Migliaia 5 3 2 6 5 2" xfId="12876" xr:uid="{062C08DE-DBB8-4504-B572-C043B1540ACE}"/>
    <cellStyle name="Migliaia 5 3 2 6 5 2 2" xfId="28053" xr:uid="{29EC8873-AE2A-401A-922E-25E3B5A76DCD}"/>
    <cellStyle name="Migliaia 5 3 2 6 5 3" xfId="23881" xr:uid="{A5F27EE0-0BBA-473B-BAB7-4B3C1A4A7856}"/>
    <cellStyle name="Migliaia 5 3 2 6 6" xfId="16421" xr:uid="{7F6973A7-747C-4950-B02C-31355B9AD02E}"/>
    <cellStyle name="Migliaia 5 3 2 7" xfId="1203" xr:uid="{19221A4B-FC2E-42E0-AE68-E8882CC87F03}"/>
    <cellStyle name="Migliaia 5 3 2 7 2" xfId="2634" xr:uid="{AC4919AA-E7E3-4396-B86C-EC49FF3343EC}"/>
    <cellStyle name="Migliaia 5 3 2 7 2 2" xfId="10125" xr:uid="{72CE4EA3-E938-474B-A252-62DC05086291}"/>
    <cellStyle name="Migliaia 5 3 2 7 2 2 2" xfId="13783" xr:uid="{88713420-35A1-4ABC-912F-4331F12FF986}"/>
    <cellStyle name="Migliaia 5 3 2 7 2 2 2 2" xfId="28960" xr:uid="{A08EED26-0ACA-41FD-8542-9BF1E095B30D}"/>
    <cellStyle name="Migliaia 5 3 2 7 2 2 3" xfId="25303" xr:uid="{E5AF17FA-2421-4F28-A5A4-EE783705A5C3}"/>
    <cellStyle name="Migliaia 5 3 2 7 2 3" xfId="5951" xr:uid="{49BED3D7-68D7-4F4A-A200-CF176948CB7E}"/>
    <cellStyle name="Migliaia 5 3 2 7 2 3 2" xfId="21131" xr:uid="{B806378B-4F5C-4800-BD33-31B78A52342A}"/>
    <cellStyle name="Migliaia 5 3 2 7 2 4" xfId="17843" xr:uid="{A23697F5-7E34-47DD-92F6-E22626D78454}"/>
    <cellStyle name="Migliaia 5 3 2 7 3" xfId="3521" xr:uid="{715CD49F-0DAD-41A7-BD23-8ED8E11B5908}"/>
    <cellStyle name="Migliaia 5 3 2 7 3 2" xfId="11009" xr:uid="{10D04B1B-F8A4-42F7-9962-84892C5C77C9}"/>
    <cellStyle name="Migliaia 5 3 2 7 3 2 2" xfId="14555" xr:uid="{509482CE-D3A2-4FAF-A314-B249838FB547}"/>
    <cellStyle name="Migliaia 5 3 2 7 3 2 2 2" xfId="29732" xr:uid="{0624EE5C-C3B5-4F82-AC5D-A9695DF147BF}"/>
    <cellStyle name="Migliaia 5 3 2 7 3 2 3" xfId="26187" xr:uid="{DF77BB0C-080B-4022-8522-608BBA277FDC}"/>
    <cellStyle name="Migliaia 5 3 2 7 3 3" xfId="6835" xr:uid="{F4B974CA-553B-460A-965F-84AD55D9E72F}"/>
    <cellStyle name="Migliaia 5 3 2 7 3 3 2" xfId="22015" xr:uid="{72CEE87F-A224-411F-9BBC-8CA33868CB32}"/>
    <cellStyle name="Migliaia 5 3 2 7 3 4" xfId="18727" xr:uid="{994A1F86-CF11-42ED-8134-03CDE03C7227}"/>
    <cellStyle name="Migliaia 5 3 2 7 4" xfId="4743" xr:uid="{206814A4-57B1-479B-9F89-7C79742B60C8}"/>
    <cellStyle name="Migliaia 5 3 2 7 4 2" xfId="12228" xr:uid="{2EF8BB73-A6EA-4418-B769-25448B56378B}"/>
    <cellStyle name="Migliaia 5 3 2 7 4 2 2" xfId="15774" xr:uid="{8A79C006-3F80-4EFF-BBD1-88B28EC3C964}"/>
    <cellStyle name="Migliaia 5 3 2 7 4 2 2 2" xfId="30951" xr:uid="{B30CA5D7-DD2B-4F5D-A5F1-0D53F38BE189}"/>
    <cellStyle name="Migliaia 5 3 2 7 4 2 3" xfId="27406" xr:uid="{AE944FAA-599C-4C11-8B19-BBC41E84DBCA}"/>
    <cellStyle name="Migliaia 5 3 2 7 4 3" xfId="8054" xr:uid="{38C33E80-E7F1-4616-B404-82A60DC55FF6}"/>
    <cellStyle name="Migliaia 5 3 2 7 4 3 2" xfId="23234" xr:uid="{6B779114-17CC-4583-9FC3-15481872436B}"/>
    <cellStyle name="Migliaia 5 3 2 7 4 4" xfId="19946" xr:uid="{51516CBC-58F7-4FD4-B681-0CBCFFD21286}"/>
    <cellStyle name="Migliaia 5 3 2 7 5" xfId="8727" xr:uid="{A0A6D0DA-F790-43E2-905E-E935E77965FB}"/>
    <cellStyle name="Migliaia 5 3 2 7 5 2" xfId="12900" xr:uid="{560AA4F3-5477-4AA7-8B41-7C241967339A}"/>
    <cellStyle name="Migliaia 5 3 2 7 5 2 2" xfId="28077" xr:uid="{FA99BF41-5CC6-4D2C-AEDA-A84C6C8B4F3B}"/>
    <cellStyle name="Migliaia 5 3 2 7 5 3" xfId="23905" xr:uid="{663471C3-0C99-4F10-8688-40706DFC78CC}"/>
    <cellStyle name="Migliaia 5 3 2 7 6" xfId="16445" xr:uid="{4E5EEC74-DC46-48F4-BB59-52548A6FB5E0}"/>
    <cellStyle name="Migliaia 5 3 2 8" xfId="1252" xr:uid="{9C9090CD-DF38-4CCE-8569-B6A954D8046A}"/>
    <cellStyle name="Migliaia 5 3 2 8 10" xfId="31311" xr:uid="{7EF62614-7B53-40E1-B6B8-199B2C29E98B}"/>
    <cellStyle name="Migliaia 5 3 2 8 2" xfId="2682" xr:uid="{2ACD98EE-C828-46EB-B63C-5447DB70913F}"/>
    <cellStyle name="Migliaia 5 3 2 8 2 2" xfId="10173" xr:uid="{3D46538B-651D-4B61-8413-FD297241E39D}"/>
    <cellStyle name="Migliaia 5 3 2 8 2 2 2" xfId="13817" xr:uid="{CFBDA1F0-0C60-444D-BAEC-C58BF19540EE}"/>
    <cellStyle name="Migliaia 5 3 2 8 2 2 2 2" xfId="28994" xr:uid="{39EF89ED-9AD2-46E8-BE46-3AD03B75FD21}"/>
    <cellStyle name="Migliaia 5 3 2 8 2 2 3" xfId="25351" xr:uid="{E4B40D3C-CBBF-4E08-AFF5-591B6BD6300B}"/>
    <cellStyle name="Migliaia 5 3 2 8 2 3" xfId="5999" xr:uid="{4C267478-CB18-4D70-9BB5-E5909E7D9496}"/>
    <cellStyle name="Migliaia 5 3 2 8 2 3 2" xfId="21179" xr:uid="{EC081056-4715-4B39-911D-E44A90279A1D}"/>
    <cellStyle name="Migliaia 5 3 2 8 2 4" xfId="17891" xr:uid="{1F190EF8-A019-460E-A67A-310348E4FE7E}"/>
    <cellStyle name="Migliaia 5 3 2 8 3" xfId="3569" xr:uid="{0CE71863-2C4B-4723-8792-AC81A7FB56DD}"/>
    <cellStyle name="Migliaia 5 3 2 8 3 2" xfId="11057" xr:uid="{8DEBBE9F-54BB-4B24-B4F1-184C65FC5BE5}"/>
    <cellStyle name="Migliaia 5 3 2 8 3 2 2" xfId="14603" xr:uid="{17EA2387-0B36-4DE1-AB48-524DECD80C42}"/>
    <cellStyle name="Migliaia 5 3 2 8 3 2 2 2" xfId="29780" xr:uid="{0E769744-2CA1-4DF8-9717-B025126998EB}"/>
    <cellStyle name="Migliaia 5 3 2 8 3 2 3" xfId="26235" xr:uid="{8F122717-421E-44CE-9A98-5DC957D9C202}"/>
    <cellStyle name="Migliaia 5 3 2 8 3 3" xfId="6883" xr:uid="{7A257619-D26F-4702-BA20-7ECFE2E12479}"/>
    <cellStyle name="Migliaia 5 3 2 8 3 3 2" xfId="22063" xr:uid="{117B580B-878B-4845-A20E-46C8302972F1}"/>
    <cellStyle name="Migliaia 5 3 2 8 3 4" xfId="18775" xr:uid="{BCFEBC42-B40E-452E-AED6-983897645C44}"/>
    <cellStyle name="Migliaia 5 3 2 8 4" xfId="4744" xr:uid="{D3027806-5640-4550-AFDA-FF85AEE10F99}"/>
    <cellStyle name="Migliaia 5 3 2 8 4 2" xfId="12229" xr:uid="{12A547E8-7A12-43AE-A486-14D9D521A6B3}"/>
    <cellStyle name="Migliaia 5 3 2 8 4 2 2" xfId="15775" xr:uid="{29F2D35C-659F-4FC8-B685-9C56E25D1BB9}"/>
    <cellStyle name="Migliaia 5 3 2 8 4 2 2 2" xfId="30952" xr:uid="{760BB5F4-FF93-474A-AEFB-7AD6151ACC23}"/>
    <cellStyle name="Migliaia 5 3 2 8 4 2 3" xfId="27407" xr:uid="{838E953F-FD67-4630-9ED8-FE5306DE4AA5}"/>
    <cellStyle name="Migliaia 5 3 2 8 4 3" xfId="8055" xr:uid="{D1132451-B1A7-4D25-A9EC-359D37363DF1}"/>
    <cellStyle name="Migliaia 5 3 2 8 4 3 2" xfId="23235" xr:uid="{BB87BE17-0912-4DC7-87E0-4EB751064E1A}"/>
    <cellStyle name="Migliaia 5 3 2 8 4 4" xfId="19947" xr:uid="{3BAE02DC-B67E-4C6A-96CA-98F94598468E}"/>
    <cellStyle name="Migliaia 5 3 2 8 5" xfId="4971" xr:uid="{D231EA06-F73C-473D-B3D4-37832191C094}"/>
    <cellStyle name="Migliaia 5 3 2 8 5 2" xfId="12455" xr:uid="{BA228C61-00E9-419A-8E6E-FF7844DE69E9}"/>
    <cellStyle name="Migliaia 5 3 2 8 5 2 2" xfId="16001" xr:uid="{D877D888-D1F9-4A8E-BE14-5784E3D23257}"/>
    <cellStyle name="Migliaia 5 3 2 8 5 2 2 2" xfId="31178" xr:uid="{D4EDA8C0-F124-49D4-AAB9-E8AB5E1B0C58}"/>
    <cellStyle name="Migliaia 5 3 2 8 5 2 3" xfId="27633" xr:uid="{306838CE-2AF6-4ECC-B648-E1BBC584FBD1}"/>
    <cellStyle name="Migliaia 5 3 2 8 5 3" xfId="8281" xr:uid="{3F91C360-1F3B-4ED6-966C-4BF473FC2A54}"/>
    <cellStyle name="Migliaia 5 3 2 8 5 3 2" xfId="23461" xr:uid="{15DB8E86-5B6A-4CD9-88A6-6A4E24B4FF7D}"/>
    <cellStyle name="Migliaia 5 3 2 8 5 4" xfId="20173" xr:uid="{63D4D628-94D1-4FAF-8F7E-C515448269D6}"/>
    <cellStyle name="Migliaia 5 3 2 8 6" xfId="1792" xr:uid="{6A45054A-422F-4E01-B7B9-BE0B4B1EE2E5}"/>
    <cellStyle name="Migliaia 5 3 2 8 6 2" xfId="9289" xr:uid="{D6655202-B9A6-4664-AB93-21AA00B7C557}"/>
    <cellStyle name="Migliaia 5 3 2 8 6 2 2" xfId="24467" xr:uid="{53BB5538-ABCE-4C4F-B79F-0CEA5860DC94}"/>
    <cellStyle name="Migliaia 5 3 2 8 6 3" xfId="17007" xr:uid="{AA558F68-5D91-4355-AE32-6CB3FA16D674}"/>
    <cellStyle name="Migliaia 5 3 2 8 7" xfId="8775" xr:uid="{D5B52012-CC49-4862-8131-BC620A8DCBD9}"/>
    <cellStyle name="Migliaia 5 3 2 8 7 2" xfId="12948" xr:uid="{8AC4605B-EC05-4A17-8E4C-AB6A1F0B6A6B}"/>
    <cellStyle name="Migliaia 5 3 2 8 7 2 2" xfId="28125" xr:uid="{9FDC3D07-9DCB-46C8-9A30-A9646A345095}"/>
    <cellStyle name="Migliaia 5 3 2 8 7 3" xfId="23953" xr:uid="{DD83C074-744F-48CD-9290-E201E0098EDF}"/>
    <cellStyle name="Migliaia 5 3 2 8 8" xfId="5115" xr:uid="{39D94095-08DF-4E64-9861-5C0DA493A2F4}"/>
    <cellStyle name="Migliaia 5 3 2 8 8 2" xfId="20295" xr:uid="{BDBA7E9C-FB26-429A-8050-092E75F41F30}"/>
    <cellStyle name="Migliaia 5 3 2 8 9" xfId="16493" xr:uid="{4891063E-ED26-461E-A124-3E10EA469C9C}"/>
    <cellStyle name="Migliaia 5 3 2 9" xfId="1354" xr:uid="{CB8637A6-07ED-4088-AD76-8A66E76D30ED}"/>
    <cellStyle name="Migliaia 5 3 2 9 2" xfId="2780" xr:uid="{7CE4FCFC-68F4-4BD5-AE6A-E021FF93C4D9}"/>
    <cellStyle name="Migliaia 5 3 2 9 2 2" xfId="10271" xr:uid="{EB151BE6-8698-4852-B00E-994E174F2770}"/>
    <cellStyle name="Migliaia 5 3 2 9 2 2 2" xfId="13866" xr:uid="{B57AF3D3-4D46-4135-B180-6C281557DAAD}"/>
    <cellStyle name="Migliaia 5 3 2 9 2 2 2 2" xfId="29043" xr:uid="{A8D71B81-13C2-4F27-A479-DE7EA17B6BB9}"/>
    <cellStyle name="Migliaia 5 3 2 9 2 2 3" xfId="25449" xr:uid="{9D47A86F-D013-4993-A73C-743D5A2F14BB}"/>
    <cellStyle name="Migliaia 5 3 2 9 2 3" xfId="6097" xr:uid="{C5C9D8D4-9046-414C-9063-F408505F2B86}"/>
    <cellStyle name="Migliaia 5 3 2 9 2 3 2" xfId="21277" xr:uid="{F2DBC6F1-8A33-4E2E-AFDD-C336AA2A4013}"/>
    <cellStyle name="Migliaia 5 3 2 9 2 4" xfId="17989" xr:uid="{99AF6CF8-7F71-4984-AA4F-C21D92DA1D5A}"/>
    <cellStyle name="Migliaia 5 3 2 9 3" xfId="3667" xr:uid="{C84634E6-A89B-4CF3-ABA7-B56C82C289D4}"/>
    <cellStyle name="Migliaia 5 3 2 9 3 2" xfId="11155" xr:uid="{BE75A1D1-563C-4751-BF2D-D2DAEE8FC6F5}"/>
    <cellStyle name="Migliaia 5 3 2 9 3 2 2" xfId="14701" xr:uid="{8401116D-39C2-4169-97AB-20D6E4D17189}"/>
    <cellStyle name="Migliaia 5 3 2 9 3 2 2 2" xfId="29878" xr:uid="{D5E59D30-BD12-4647-9988-A054638AEEC9}"/>
    <cellStyle name="Migliaia 5 3 2 9 3 2 3" xfId="26333" xr:uid="{8381A268-856E-44C5-91B1-DEDEFD512770}"/>
    <cellStyle name="Migliaia 5 3 2 9 3 3" xfId="6981" xr:uid="{F30013C0-F47E-4D71-B24E-86E99354CAC5}"/>
    <cellStyle name="Migliaia 5 3 2 9 3 3 2" xfId="22161" xr:uid="{CD603317-57BD-4BEE-97CC-75537BD0AD5B}"/>
    <cellStyle name="Migliaia 5 3 2 9 3 4" xfId="18873" xr:uid="{C6EED66E-71E4-4687-8678-7C0B82E4D457}"/>
    <cellStyle name="Migliaia 5 3 2 9 4" xfId="4745" xr:uid="{A27DB334-C78F-4819-8D06-CD6355B74D75}"/>
    <cellStyle name="Migliaia 5 3 2 9 4 2" xfId="12230" xr:uid="{454FE347-0B86-4297-B786-882CA7FC40C6}"/>
    <cellStyle name="Migliaia 5 3 2 9 4 2 2" xfId="15776" xr:uid="{5D0830BC-7714-4AF8-BA2E-429731050C28}"/>
    <cellStyle name="Migliaia 5 3 2 9 4 2 2 2" xfId="30953" xr:uid="{57F50630-9847-4F08-B901-B7FAAED0C307}"/>
    <cellStyle name="Migliaia 5 3 2 9 4 2 3" xfId="27408" xr:uid="{B47DA7CC-E910-41A0-A341-20C51D1D60C7}"/>
    <cellStyle name="Migliaia 5 3 2 9 4 3" xfId="8056" xr:uid="{4125A103-77ED-4D05-B63B-EA7D3A4419AA}"/>
    <cellStyle name="Migliaia 5 3 2 9 4 3 2" xfId="23236" xr:uid="{E208A94F-4DA7-4870-AB64-F3ADD4AE67BF}"/>
    <cellStyle name="Migliaia 5 3 2 9 4 4" xfId="19948" xr:uid="{98B70F63-C2B8-4962-8B8D-6C0FF6095A28}"/>
    <cellStyle name="Migliaia 5 3 2 9 5" xfId="1890" xr:uid="{B99E7FBD-D880-47B6-BA81-52CDF66D5D15}"/>
    <cellStyle name="Migliaia 5 3 2 9 5 2" xfId="9387" xr:uid="{4DB812EA-C0D6-44EA-95B9-3B8F4F111A82}"/>
    <cellStyle name="Migliaia 5 3 2 9 5 2 2" xfId="24565" xr:uid="{B935234B-FF6F-45FB-B9BB-C56232434D52}"/>
    <cellStyle name="Migliaia 5 3 2 9 5 3" xfId="17105" xr:uid="{63B8ADEA-EFFA-4386-8DC1-2AB139AFD0E5}"/>
    <cellStyle name="Migliaia 5 3 2 9 6" xfId="8873" xr:uid="{CD22D743-368C-4B4A-A8A5-1FE052BC9BAB}"/>
    <cellStyle name="Migliaia 5 3 2 9 6 2" xfId="13046" xr:uid="{7126284C-AA01-4FF1-8274-3D1DC058278C}"/>
    <cellStyle name="Migliaia 5 3 2 9 6 2 2" xfId="28223" xr:uid="{148856C9-C5FE-4A27-9C56-BF79CD51195B}"/>
    <cellStyle name="Migliaia 5 3 2 9 6 3" xfId="24051" xr:uid="{70AE1100-9D54-429B-A60D-EDD8B6668ADD}"/>
    <cellStyle name="Migliaia 5 3 2 9 7" xfId="5213" xr:uid="{D303F3AE-5499-47D7-A696-ACAC517ADB34}"/>
    <cellStyle name="Migliaia 5 3 2 9 7 2" xfId="20393" xr:uid="{3D88B227-8BB8-4783-93B7-D9CC2ECCF864}"/>
    <cellStyle name="Migliaia 5 3 2 9 8" xfId="16591" xr:uid="{FA2206C8-7DF2-4620-B04F-0557DFD17D4F}"/>
    <cellStyle name="Migliaia 5 3 3" xfId="574" xr:uid="{D6CF1CA2-3FCC-4B6F-8F35-4032F2F2BA94}"/>
    <cellStyle name="Migliaia 5 3 3 10" xfId="16197" xr:uid="{CB4EAF4E-F7D0-43D5-BBAB-7F651644001A}"/>
    <cellStyle name="Migliaia 5 3 3 11" xfId="31287" xr:uid="{D48C82EC-24B1-4312-BC10-8B9404F948B6}"/>
    <cellStyle name="Migliaia 5 3 3 12" xfId="31637" xr:uid="{7BFE199B-F953-4A64-9812-CBAFAD8CCCF2}"/>
    <cellStyle name="Migliaia 5 3 3 13" xfId="865" xr:uid="{8AC530AD-226A-4073-AA79-F48F5B33755B}"/>
    <cellStyle name="Migliaia 5 3 3 2" xfId="1228" xr:uid="{AC213D82-3201-4461-B231-3C1E37EA1482}"/>
    <cellStyle name="Migliaia 5 3 3 2 2" xfId="3545" xr:uid="{7BDA300E-0249-4C82-A258-F35036BD9A25}"/>
    <cellStyle name="Migliaia 5 3 3 2 2 2" xfId="11033" xr:uid="{EFA9491D-B60E-45C7-9B6E-F53D31AB114A}"/>
    <cellStyle name="Migliaia 5 3 3 2 2 2 2" xfId="14579" xr:uid="{51F71E8A-C247-4CCC-A72B-74F835519B3A}"/>
    <cellStyle name="Migliaia 5 3 3 2 2 2 2 2" xfId="29756" xr:uid="{B29FDF01-55C5-4C79-BC34-4AD2F603B621}"/>
    <cellStyle name="Migliaia 5 3 3 2 2 2 3" xfId="26211" xr:uid="{F69667C6-EDB5-4F3A-A0BB-F49C7707DC64}"/>
    <cellStyle name="Migliaia 5 3 3 2 2 3" xfId="6859" xr:uid="{033C56DD-5B1F-4E7C-ABC5-4923330E6B3C}"/>
    <cellStyle name="Migliaia 5 3 3 2 2 3 2" xfId="22039" xr:uid="{694C4EF6-54E3-422C-8EA0-BD356BFA1294}"/>
    <cellStyle name="Migliaia 5 3 3 2 2 4" xfId="18751" xr:uid="{FF244506-864F-412E-8B6F-AD5066A807D4}"/>
    <cellStyle name="Migliaia 5 3 3 2 3" xfId="4746" xr:uid="{C6269927-0666-4D7D-8789-1ED7F6C97592}"/>
    <cellStyle name="Migliaia 5 3 3 2 3 2" xfId="12231" xr:uid="{EA36F133-2F80-4317-AC9A-56BF6ABF89D6}"/>
    <cellStyle name="Migliaia 5 3 3 2 3 2 2" xfId="15777" xr:uid="{AEF00D07-5DD2-4925-AC5B-C081DB4DD995}"/>
    <cellStyle name="Migliaia 5 3 3 2 3 2 2 2" xfId="30954" xr:uid="{7B03C0A5-E5E4-429F-938E-F98033D15D6C}"/>
    <cellStyle name="Migliaia 5 3 3 2 3 2 3" xfId="27409" xr:uid="{3139686F-7163-453D-80BE-038BCFF8E453}"/>
    <cellStyle name="Migliaia 5 3 3 2 3 3" xfId="8057" xr:uid="{42950119-82E6-4C45-84D7-EF36022AC343}"/>
    <cellStyle name="Migliaia 5 3 3 2 3 3 2" xfId="23237" xr:uid="{2C841758-6DC5-41B7-92A2-4EB10DBD2E27}"/>
    <cellStyle name="Migliaia 5 3 3 2 3 4" xfId="19949" xr:uid="{AA330CE0-5FA6-42E5-8755-0E031FDB9FDC}"/>
    <cellStyle name="Migliaia 5 3 3 2 4" xfId="2658" xr:uid="{72C21738-61E6-4025-BF8F-E95CCE8B5BA4}"/>
    <cellStyle name="Migliaia 5 3 3 2 4 2" xfId="10149" xr:uid="{AD198460-4A4C-4218-9798-BEE7D322A711}"/>
    <cellStyle name="Migliaia 5 3 3 2 4 2 2" xfId="25327" xr:uid="{5FBE0B9D-3ADC-4CFE-BDDF-1A21AE5F04D6}"/>
    <cellStyle name="Migliaia 5 3 3 2 4 3" xfId="17867" xr:uid="{A03644D2-768C-45CE-85EB-4E2D7C835F18}"/>
    <cellStyle name="Migliaia 5 3 3 2 5" xfId="8751" xr:uid="{C5A3D4E6-2490-457C-BF72-E8359DFF0EB6}"/>
    <cellStyle name="Migliaia 5 3 3 2 5 2" xfId="12924" xr:uid="{50AB15D5-DDD4-4056-9FED-24CD770505A3}"/>
    <cellStyle name="Migliaia 5 3 3 2 5 2 2" xfId="28101" xr:uid="{08144BBA-5EE8-456C-BD27-575CD0783BCC}"/>
    <cellStyle name="Migliaia 5 3 3 2 5 3" xfId="23929" xr:uid="{6667109C-FFE6-4E9E-80B3-EEDF69DD994B}"/>
    <cellStyle name="Migliaia 5 3 3 2 6" xfId="5975" xr:uid="{C6D3507E-5A37-4A6B-A64F-16EC954347E8}"/>
    <cellStyle name="Migliaia 5 3 3 2 6 2" xfId="21155" xr:uid="{EABEF0B7-D53D-4764-BF81-32862DEC1CA5}"/>
    <cellStyle name="Migliaia 5 3 3 2 7" xfId="16469" xr:uid="{87C4F9F0-5839-45B5-9F14-8248EE0C68B8}"/>
    <cellStyle name="Migliaia 5 3 3 3" xfId="2383" xr:uid="{8963FF49-6A8B-412D-B699-AD4EEF24FF02}"/>
    <cellStyle name="Migliaia 5 3 3 3 2" xfId="9877" xr:uid="{5421DB76-A2DE-430F-8A2B-74DF6A067C0D}"/>
    <cellStyle name="Migliaia 5 3 3 3 2 2" xfId="13536" xr:uid="{285EFDCA-12CD-4469-B2AC-CB1E588C2AC9}"/>
    <cellStyle name="Migliaia 5 3 3 3 2 2 2" xfId="28713" xr:uid="{0DA906E0-908D-41EF-9237-A68C80A915C6}"/>
    <cellStyle name="Migliaia 5 3 3 3 2 3" xfId="25055" xr:uid="{1C1756DB-8730-4648-8E64-B79889D7DD18}"/>
    <cellStyle name="Migliaia 5 3 3 3 3" xfId="5703" xr:uid="{D675CB70-F40F-40A9-BD2B-361B15DE496E}"/>
    <cellStyle name="Migliaia 5 3 3 3 3 2" xfId="20883" xr:uid="{1E0C731E-56AA-4C66-AC2F-6D653890B56C}"/>
    <cellStyle name="Migliaia 5 3 3 3 4" xfId="17595" xr:uid="{1C3E2C0E-0ABC-4CD9-9BCB-47235834867F}"/>
    <cellStyle name="Migliaia 5 3 3 4" xfId="3273" xr:uid="{58FF856A-3A02-4EAC-A65F-0A6D347C5F66}"/>
    <cellStyle name="Migliaia 5 3 3 4 2" xfId="10761" xr:uid="{ECEC8A11-20B5-41B1-9CFC-70CEAFA43C35}"/>
    <cellStyle name="Migliaia 5 3 3 4 2 2" xfId="14307" xr:uid="{CA77CCA8-A7AE-4807-A193-E34579722742}"/>
    <cellStyle name="Migliaia 5 3 3 4 2 2 2" xfId="29484" xr:uid="{F48FB4A6-0CE8-4B72-8B9E-F8B1BAA6C881}"/>
    <cellStyle name="Migliaia 5 3 3 4 2 3" xfId="25939" xr:uid="{29D8570F-103E-4EB6-B0DE-4D2C3FBB8A93}"/>
    <cellStyle name="Migliaia 5 3 3 4 3" xfId="6587" xr:uid="{E5FA26C8-07FE-4893-8B06-E5256D9A69D4}"/>
    <cellStyle name="Migliaia 5 3 3 4 3 2" xfId="21767" xr:uid="{B6ECB3B5-762E-4762-B784-18F293AB756D}"/>
    <cellStyle name="Migliaia 5 3 3 4 4" xfId="18479" xr:uid="{FF4B6011-078A-4EE5-838E-DD9B21023F0A}"/>
    <cellStyle name="Migliaia 5 3 3 5" xfId="4747" xr:uid="{06554975-6330-48A3-88D8-2E288153E125}"/>
    <cellStyle name="Migliaia 5 3 3 5 2" xfId="12232" xr:uid="{FB9A65BB-AEBA-4C27-A0EE-0425D9D7D417}"/>
    <cellStyle name="Migliaia 5 3 3 5 2 2" xfId="15778" xr:uid="{39CAF1CC-6CE2-4E74-A2CC-19374C349EFD}"/>
    <cellStyle name="Migliaia 5 3 3 5 2 2 2" xfId="30955" xr:uid="{773C2BC2-2C01-46FE-942F-3C769BBC04A4}"/>
    <cellStyle name="Migliaia 5 3 3 5 2 3" xfId="27410" xr:uid="{1E047F75-9745-4D81-9045-ABD3813FE73A}"/>
    <cellStyle name="Migliaia 5 3 3 5 3" xfId="8058" xr:uid="{53DCDDC5-5636-4432-9D7C-F69056880EAA}"/>
    <cellStyle name="Migliaia 5 3 3 5 3 2" xfId="23238" xr:uid="{ED2A304B-B722-42D5-B5BE-67F8DDB6C971}"/>
    <cellStyle name="Migliaia 5 3 3 5 4" xfId="19950" xr:uid="{64B660CB-BF46-45F5-AABE-1BC39B560FA5}"/>
    <cellStyle name="Migliaia 5 3 3 6" xfId="4947" xr:uid="{B3E92298-61DA-4DDD-BF19-509BA3D881B2}"/>
    <cellStyle name="Migliaia 5 3 3 6 2" xfId="12431" xr:uid="{614392A8-BFFD-4D4A-B21E-4B9FFF044DA5}"/>
    <cellStyle name="Migliaia 5 3 3 6 2 2" xfId="15977" xr:uid="{848E8FEC-2836-40C4-BAFE-9E462A7FF60E}"/>
    <cellStyle name="Migliaia 5 3 3 6 2 2 2" xfId="31154" xr:uid="{7E33A96A-4FCE-4B38-930B-4D5C73600405}"/>
    <cellStyle name="Migliaia 5 3 3 6 2 3" xfId="27609" xr:uid="{DA29BFF6-3054-4077-B71E-0723DBEB061D}"/>
    <cellStyle name="Migliaia 5 3 3 6 3" xfId="8257" xr:uid="{E48127FB-5CA8-42B5-87C0-2273EB4AF8C5}"/>
    <cellStyle name="Migliaia 5 3 3 6 3 2" xfId="23437" xr:uid="{ED16C97C-4580-43DB-A70F-64F742E784DC}"/>
    <cellStyle name="Migliaia 5 3 3 6 4" xfId="20149" xr:uid="{714847FF-E972-440F-81F5-9FEEA721A9BF}"/>
    <cellStyle name="Migliaia 5 3 3 7" xfId="1768" xr:uid="{9772487B-1BE1-4C96-8D36-4B93AAFED685}"/>
    <cellStyle name="Migliaia 5 3 3 7 2" xfId="9265" xr:uid="{A66E4F63-CF07-4C08-BF0E-5B3A132333EB}"/>
    <cellStyle name="Migliaia 5 3 3 7 2 2" xfId="24443" xr:uid="{9CD982F6-B8AB-456F-80D5-2F977370BD9D}"/>
    <cellStyle name="Migliaia 5 3 3 7 3" xfId="16983" xr:uid="{2AF32A1C-86CB-4C7B-A505-64CBCA4A07EA}"/>
    <cellStyle name="Migliaia 5 3 3 8" xfId="8479" xr:uid="{5FE381F8-7BA8-4DAD-B9F0-C4DA4A9147F4}"/>
    <cellStyle name="Migliaia 5 3 3 8 2" xfId="12652" xr:uid="{8A15BFC8-6E76-4FBB-B083-5B18EECA124B}"/>
    <cellStyle name="Migliaia 5 3 3 8 2 2" xfId="27829" xr:uid="{3F0B3E07-4F72-484C-A1E9-5F9EABBF317E}"/>
    <cellStyle name="Migliaia 5 3 3 8 3" xfId="23657" xr:uid="{4DD2F9BC-F181-4564-9B3C-34FEA58884F3}"/>
    <cellStyle name="Migliaia 5 3 3 9" xfId="5091" xr:uid="{27993475-84FB-44D1-85C3-2CC73EABFB0A}"/>
    <cellStyle name="Migliaia 5 3 3 9 2" xfId="20271" xr:uid="{0526606D-DCAB-4B64-BE8F-5D3537BCE16F}"/>
    <cellStyle name="Migliaia 5 3 4" xfId="31417" xr:uid="{1AE81E6E-7811-46AB-8392-B4F85934D825}"/>
    <cellStyle name="Migliaia 5 3 5" xfId="625" xr:uid="{CAD20F3F-6809-4CFC-B870-B5824886EE7E}"/>
    <cellStyle name="Migliaia 5 4" xfId="271" xr:uid="{E05C4960-52F5-45C8-87D3-801CF6DE5560}"/>
    <cellStyle name="Migliaia 5 4 10" xfId="1440" xr:uid="{D75FBA4A-CC2D-4609-BB4A-736E5B1A5F53}"/>
    <cellStyle name="Migliaia 5 4 10 2" xfId="2865" xr:uid="{395B98F9-A7C4-4FD3-86F8-24E25CA79F39}"/>
    <cellStyle name="Migliaia 5 4 10 2 2" xfId="10356" xr:uid="{4322F743-24DF-479C-860E-58B1D5438171}"/>
    <cellStyle name="Migliaia 5 4 10 2 2 2" xfId="13902" xr:uid="{651430BE-DD9E-40ED-9479-8AD35EA6DAAA}"/>
    <cellStyle name="Migliaia 5 4 10 2 2 2 2" xfId="29079" xr:uid="{FF36694A-6A3A-493A-B9E4-F28556F396D1}"/>
    <cellStyle name="Migliaia 5 4 10 2 2 3" xfId="25534" xr:uid="{E2D0A7F8-F030-4038-B9A7-D17C76234EDB}"/>
    <cellStyle name="Migliaia 5 4 10 2 3" xfId="6182" xr:uid="{1F9FE8B0-40AC-4A25-B6BE-F8869740868E}"/>
    <cellStyle name="Migliaia 5 4 10 2 3 2" xfId="21362" xr:uid="{468222C9-45E2-42CD-B583-79B802153D9B}"/>
    <cellStyle name="Migliaia 5 4 10 2 4" xfId="18074" xr:uid="{88F52060-CDE9-4795-9963-5927C316EBBD}"/>
    <cellStyle name="Migliaia 5 4 10 3" xfId="3752" xr:uid="{AD04E3F0-77E7-40DE-8DA6-AEBFCCF29C8B}"/>
    <cellStyle name="Migliaia 5 4 10 3 2" xfId="11240" xr:uid="{0914E5D8-F713-49F2-B8F8-0E2376864F5A}"/>
    <cellStyle name="Migliaia 5 4 10 3 2 2" xfId="14786" xr:uid="{A0D63832-C8C4-425F-8FBC-531D375F440D}"/>
    <cellStyle name="Migliaia 5 4 10 3 2 2 2" xfId="29963" xr:uid="{D32BA8D6-7BDE-474B-B68B-A8DBBED6AF1E}"/>
    <cellStyle name="Migliaia 5 4 10 3 2 3" xfId="26418" xr:uid="{CCC1E68F-7E36-4893-9751-9CA32FF8777F}"/>
    <cellStyle name="Migliaia 5 4 10 3 3" xfId="7066" xr:uid="{36DC720C-688F-4DB9-9644-C46833ECC7A4}"/>
    <cellStyle name="Migliaia 5 4 10 3 3 2" xfId="22246" xr:uid="{5F6EE5A7-8B41-48D4-9D8E-2EA1810E19B0}"/>
    <cellStyle name="Migliaia 5 4 10 3 4" xfId="18958" xr:uid="{FF0C746F-0CFA-42E6-A77C-254948186890}"/>
    <cellStyle name="Migliaia 5 4 10 4" xfId="4748" xr:uid="{E88FD654-BC83-4EC5-B6B5-879E074C10C6}"/>
    <cellStyle name="Migliaia 5 4 10 4 2" xfId="12233" xr:uid="{0D6F5A3E-E1E4-49DF-B124-96C4E40FC7AA}"/>
    <cellStyle name="Migliaia 5 4 10 4 2 2" xfId="15779" xr:uid="{FB9A0801-7310-478C-B627-77F25F12ABC2}"/>
    <cellStyle name="Migliaia 5 4 10 4 2 2 2" xfId="30956" xr:uid="{1CA3F595-E8A0-4D87-9658-6D274CF69C97}"/>
    <cellStyle name="Migliaia 5 4 10 4 2 3" xfId="27411" xr:uid="{B2FE9FDC-8680-40E6-A62D-3168BCEC1BF3}"/>
    <cellStyle name="Migliaia 5 4 10 4 3" xfId="8059" xr:uid="{27F11E0D-D9B3-453A-91D2-3C905BD4D4FE}"/>
    <cellStyle name="Migliaia 5 4 10 4 3 2" xfId="23239" xr:uid="{A11E22B5-CB8E-416C-B851-C2916A2B7D96}"/>
    <cellStyle name="Migliaia 5 4 10 4 4" xfId="19951" xr:uid="{9A00D32D-BAE8-460E-9558-ECD140987043}"/>
    <cellStyle name="Migliaia 5 4 10 5" xfId="1975" xr:uid="{9F716D4E-6984-4951-910E-7755D1903DC2}"/>
    <cellStyle name="Migliaia 5 4 10 5 2" xfId="9472" xr:uid="{301B0B70-8C60-4017-A2BC-504233F34117}"/>
    <cellStyle name="Migliaia 5 4 10 5 2 2" xfId="24650" xr:uid="{9786D323-88A4-4E11-8BCF-0EF1DE729AFC}"/>
    <cellStyle name="Migliaia 5 4 10 5 3" xfId="17190" xr:uid="{89B6BB39-A9C4-4843-8C65-ABAB93BC6A9C}"/>
    <cellStyle name="Migliaia 5 4 10 6" xfId="8958" xr:uid="{A09D5227-B837-4C1C-8DCC-5FA9ECECE96F}"/>
    <cellStyle name="Migliaia 5 4 10 6 2" xfId="13131" xr:uid="{88C4E5A9-00E0-4430-9924-487E8B9E6C51}"/>
    <cellStyle name="Migliaia 5 4 10 6 2 2" xfId="28308" xr:uid="{38A14A5C-B843-4BD6-AA18-A12CA714DB5B}"/>
    <cellStyle name="Migliaia 5 4 10 6 3" xfId="24136" xr:uid="{EF7C2F95-E14D-4531-BB7D-50DE3E158636}"/>
    <cellStyle name="Migliaia 5 4 10 7" xfId="5298" xr:uid="{D8B1A5B1-3223-4C1C-9689-A91000DF8FA8}"/>
    <cellStyle name="Migliaia 5 4 10 7 2" xfId="20478" xr:uid="{3D50D2B7-D691-4D73-B45F-6A6F38E34563}"/>
    <cellStyle name="Migliaia 5 4 10 8" xfId="16676" xr:uid="{2BCB665F-70F2-418F-B50C-8A475BEAB9CD}"/>
    <cellStyle name="Migliaia 5 4 11" xfId="1543" xr:uid="{15340000-8CE4-403C-BBB5-CCD13DC66FAE}"/>
    <cellStyle name="Migliaia 5 4 11 2" xfId="2963" xr:uid="{A61BFBE9-BB91-4871-B65B-D5DCE9834C32}"/>
    <cellStyle name="Migliaia 5 4 11 2 2" xfId="10454" xr:uid="{FBAEA510-85C3-4272-AB8E-75D9270CF4CE}"/>
    <cellStyle name="Migliaia 5 4 11 2 2 2" xfId="14000" xr:uid="{7B3F78E8-DDFF-4734-A135-2D0F44499660}"/>
    <cellStyle name="Migliaia 5 4 11 2 2 2 2" xfId="29177" xr:uid="{DA9C0AC6-9458-48FB-B172-81F9FA881900}"/>
    <cellStyle name="Migliaia 5 4 11 2 2 3" xfId="25632" xr:uid="{D547E038-E7C3-469E-8C09-FAA4DA6FE98A}"/>
    <cellStyle name="Migliaia 5 4 11 2 3" xfId="6280" xr:uid="{DC3F19E8-0A21-4A4E-9161-995A5EF6E917}"/>
    <cellStyle name="Migliaia 5 4 11 2 3 2" xfId="21460" xr:uid="{87F5937C-76CD-4728-A9FC-B0C69FA75EB8}"/>
    <cellStyle name="Migliaia 5 4 11 2 4" xfId="18172" xr:uid="{C13F8108-A223-48D9-94DD-100647D0E0D7}"/>
    <cellStyle name="Migliaia 5 4 11 3" xfId="3850" xr:uid="{4E640ABF-8635-4430-920C-F41DB818010F}"/>
    <cellStyle name="Migliaia 5 4 11 3 2" xfId="11338" xr:uid="{6DA3ED64-BB72-4AA4-BF70-DE87330376BE}"/>
    <cellStyle name="Migliaia 5 4 11 3 2 2" xfId="14884" xr:uid="{EB3E3E28-AADC-4E8E-8BE9-EF53D748027B}"/>
    <cellStyle name="Migliaia 5 4 11 3 2 2 2" xfId="30061" xr:uid="{9876F55B-C4E6-4C93-A581-BDFE458F7D65}"/>
    <cellStyle name="Migliaia 5 4 11 3 2 3" xfId="26516" xr:uid="{A9C341C5-EF81-465E-8113-D239046A4902}"/>
    <cellStyle name="Migliaia 5 4 11 3 3" xfId="7164" xr:uid="{31165647-8959-4220-AE64-331BC1D4A45B}"/>
    <cellStyle name="Migliaia 5 4 11 3 3 2" xfId="22344" xr:uid="{3F2A6B26-A528-41BB-969E-00A79E0FC5D3}"/>
    <cellStyle name="Migliaia 5 4 11 3 4" xfId="19056" xr:uid="{F4C14ECB-4098-4FF0-9578-2DBD0229C807}"/>
    <cellStyle name="Migliaia 5 4 11 4" xfId="4749" xr:uid="{DAD32BA6-83A4-4261-9EC6-0ABE3D9769DE}"/>
    <cellStyle name="Migliaia 5 4 11 4 2" xfId="12234" xr:uid="{8D271664-83C9-4087-8FB4-3281A789D218}"/>
    <cellStyle name="Migliaia 5 4 11 4 2 2" xfId="15780" xr:uid="{D6E7A81A-72D2-4417-9848-9DC80C6D47D5}"/>
    <cellStyle name="Migliaia 5 4 11 4 2 2 2" xfId="30957" xr:uid="{55CA9074-4294-4BEC-9EA4-B2DB8DF68E8F}"/>
    <cellStyle name="Migliaia 5 4 11 4 2 3" xfId="27412" xr:uid="{3DC2699F-E601-4A2B-A87A-FC9B0E6D33DC}"/>
    <cellStyle name="Migliaia 5 4 11 4 3" xfId="8060" xr:uid="{1525B281-218B-409A-97A6-1A8FFFBBBC9A}"/>
    <cellStyle name="Migliaia 5 4 11 4 3 2" xfId="23240" xr:uid="{77B570DB-E37C-4835-9175-04CA4F3ED6C6}"/>
    <cellStyle name="Migliaia 5 4 11 4 4" xfId="19952" xr:uid="{229073D1-C89A-4837-A587-60645B3946A6}"/>
    <cellStyle name="Migliaia 5 4 11 5" xfId="2073" xr:uid="{8D295D5E-C195-4756-B397-B8924D6D9B79}"/>
    <cellStyle name="Migliaia 5 4 11 5 2" xfId="9570" xr:uid="{D52E71F6-CAB6-4410-B13F-CF49AB407C44}"/>
    <cellStyle name="Migliaia 5 4 11 5 2 2" xfId="24748" xr:uid="{E9893556-B1B8-4B37-8389-91A751066990}"/>
    <cellStyle name="Migliaia 5 4 11 5 3" xfId="17288" xr:uid="{ACC4FCDA-4B81-4B2C-9EAB-4EA34DCB55DA}"/>
    <cellStyle name="Migliaia 5 4 11 6" xfId="9056" xr:uid="{5F463478-8C1D-4A74-B9E4-6227967B69FE}"/>
    <cellStyle name="Migliaia 5 4 11 6 2" xfId="13229" xr:uid="{02134C54-6FA7-44EF-8EE4-38EFBB35862B}"/>
    <cellStyle name="Migliaia 5 4 11 6 2 2" xfId="28406" xr:uid="{C0599C83-5A0C-47AA-B2B1-ABDA1A4C19F9}"/>
    <cellStyle name="Migliaia 5 4 11 6 3" xfId="24234" xr:uid="{80A558BE-8BFD-406B-8BB8-9C87C1C8B3A2}"/>
    <cellStyle name="Migliaia 5 4 11 7" xfId="5396" xr:uid="{E2C523C9-4195-4CBF-B7E3-18A80A788FF1}"/>
    <cellStyle name="Migliaia 5 4 11 7 2" xfId="20576" xr:uid="{6977AFBC-9412-4951-AC74-B38C46D776C5}"/>
    <cellStyle name="Migliaia 5 4 11 8" xfId="16774" xr:uid="{642E6A40-F821-49FC-A942-5C3A482AF2FA}"/>
    <cellStyle name="Migliaia 5 4 12" xfId="1642" xr:uid="{BE8B0888-56FE-498A-B0C6-4E28E8A220BF}"/>
    <cellStyle name="Migliaia 5 4 12 2" xfId="3061" xr:uid="{7C95B397-BF7A-4322-90ED-9313BACE0C40}"/>
    <cellStyle name="Migliaia 5 4 12 2 2" xfId="10552" xr:uid="{34EE53E2-FBE1-4F0B-8CBB-B21D6BDF7B10}"/>
    <cellStyle name="Migliaia 5 4 12 2 2 2" xfId="14098" xr:uid="{D644E33D-985A-4DFE-9779-17832B084199}"/>
    <cellStyle name="Migliaia 5 4 12 2 2 2 2" xfId="29275" xr:uid="{E26A0770-4BB6-4AE6-949B-A9FEC214C82A}"/>
    <cellStyle name="Migliaia 5 4 12 2 2 3" xfId="25730" xr:uid="{3D445A57-0966-4365-BB89-6C2C9216EDFA}"/>
    <cellStyle name="Migliaia 5 4 12 2 3" xfId="6378" xr:uid="{F3C6B15B-6CC4-429D-A899-67760F3E670E}"/>
    <cellStyle name="Migliaia 5 4 12 2 3 2" xfId="21558" xr:uid="{67129F22-09CD-4C6F-83CC-9BA1284C9475}"/>
    <cellStyle name="Migliaia 5 4 12 2 4" xfId="18270" xr:uid="{1D9ABD4F-A0C7-485D-A153-96123ECDDE51}"/>
    <cellStyle name="Migliaia 5 4 12 3" xfId="3948" xr:uid="{29CF9177-F534-4F88-8208-58A15EF3494B}"/>
    <cellStyle name="Migliaia 5 4 12 3 2" xfId="11436" xr:uid="{D95C4C5E-143E-4697-9EE5-36C92A853D13}"/>
    <cellStyle name="Migliaia 5 4 12 3 2 2" xfId="14982" xr:uid="{7BF27EA7-60A8-4F6B-8854-77F608B11B33}"/>
    <cellStyle name="Migliaia 5 4 12 3 2 2 2" xfId="30159" xr:uid="{F57BE486-661D-46BE-A474-7CD575D50B53}"/>
    <cellStyle name="Migliaia 5 4 12 3 2 3" xfId="26614" xr:uid="{7442DDC2-111F-46EC-AA64-B22C13E01ADF}"/>
    <cellStyle name="Migliaia 5 4 12 3 3" xfId="7262" xr:uid="{63792CF1-590D-4AE9-AD43-9F725910875D}"/>
    <cellStyle name="Migliaia 5 4 12 3 3 2" xfId="22442" xr:uid="{C348966D-B8EE-4402-A866-5444AD9490AA}"/>
    <cellStyle name="Migliaia 5 4 12 3 4" xfId="19154" xr:uid="{A9F44897-DB98-4D64-A711-7157A65B1E5C}"/>
    <cellStyle name="Migliaia 5 4 12 4" xfId="4750" xr:uid="{72296AED-9BD3-4E05-8805-918A7B09ED40}"/>
    <cellStyle name="Migliaia 5 4 12 4 2" xfId="12235" xr:uid="{660A4C1E-BA29-4B26-B145-C87D9ED6969B}"/>
    <cellStyle name="Migliaia 5 4 12 4 2 2" xfId="15781" xr:uid="{9429099E-A3A5-4B81-8346-A98640CF16F1}"/>
    <cellStyle name="Migliaia 5 4 12 4 2 2 2" xfId="30958" xr:uid="{88F60627-8239-4004-B2CC-9F483876C149}"/>
    <cellStyle name="Migliaia 5 4 12 4 2 3" xfId="27413" xr:uid="{46954B51-0F0C-4425-8C31-4E14A2F1B61B}"/>
    <cellStyle name="Migliaia 5 4 12 4 3" xfId="8061" xr:uid="{DFF1A6D0-1686-487F-BBC8-9471C24A8745}"/>
    <cellStyle name="Migliaia 5 4 12 4 3 2" xfId="23241" xr:uid="{FAFFCE34-2F68-4030-9DE0-336E128C5553}"/>
    <cellStyle name="Migliaia 5 4 12 4 4" xfId="19953" xr:uid="{3E08D6CA-C74A-4BB5-A914-5E4999BA6278}"/>
    <cellStyle name="Migliaia 5 4 12 5" xfId="2171" xr:uid="{DD34E321-2F29-49C2-A48B-E4F044A84E9B}"/>
    <cellStyle name="Migliaia 5 4 12 5 2" xfId="9668" xr:uid="{0A7C4313-F752-4CC4-9F95-5FB110076E09}"/>
    <cellStyle name="Migliaia 5 4 12 5 2 2" xfId="24846" xr:uid="{51877DF3-80E5-4D6A-ABFB-EB39EA435460}"/>
    <cellStyle name="Migliaia 5 4 12 5 3" xfId="17386" xr:uid="{A120579A-7DC2-4D80-9266-D6EF8288B903}"/>
    <cellStyle name="Migliaia 5 4 12 6" xfId="9154" xr:uid="{C0A5BD60-4135-4722-B80A-C39B499F761F}"/>
    <cellStyle name="Migliaia 5 4 12 6 2" xfId="13327" xr:uid="{AF2AEA45-2959-4EC4-9ED5-F7964885AA13}"/>
    <cellStyle name="Migliaia 5 4 12 6 2 2" xfId="28504" xr:uid="{03E3CA7E-7A1D-4D23-A927-35B9B44B38BC}"/>
    <cellStyle name="Migliaia 5 4 12 6 3" xfId="24332" xr:uid="{47B57C13-14B0-4E17-BC9A-89C52D027FDB}"/>
    <cellStyle name="Migliaia 5 4 12 7" xfId="5494" xr:uid="{BF0FAA0E-1366-4BCB-AB2D-8F578F02E871}"/>
    <cellStyle name="Migliaia 5 4 12 7 2" xfId="20674" xr:uid="{0F5E405F-372A-4A82-AF77-6C42990BD32A}"/>
    <cellStyle name="Migliaia 5 4 12 8" xfId="16872" xr:uid="{AC2D4463-7597-4297-96E0-84DFC8A7B981}"/>
    <cellStyle name="Migliaia 5 4 13" xfId="2271" xr:uid="{1B5E336C-2C5D-4AEE-9337-7EAB234E9F0C}"/>
    <cellStyle name="Migliaia 5 4 13 2" xfId="9766" xr:uid="{8BD02224-FCB4-4B6B-BB8E-39BB86B242F7}"/>
    <cellStyle name="Migliaia 5 4 13 2 2" xfId="13425" xr:uid="{1030C80F-931D-4310-894B-2C92C1BF67E5}"/>
    <cellStyle name="Migliaia 5 4 13 2 2 2" xfId="28602" xr:uid="{6D0EF3E4-FF99-485C-AAAD-CEA351F28827}"/>
    <cellStyle name="Migliaia 5 4 13 2 3" xfId="24944" xr:uid="{FB36BEC0-71C4-47D7-A048-73AF8DB9AE4E}"/>
    <cellStyle name="Migliaia 5 4 13 3" xfId="5592" xr:uid="{B1507F36-C476-4381-97F2-4CB7BBAD6BB4}"/>
    <cellStyle name="Migliaia 5 4 13 3 2" xfId="20772" xr:uid="{225F22C0-814A-4541-B17E-D8B1ED95770E}"/>
    <cellStyle name="Migliaia 5 4 13 4" xfId="17484" xr:uid="{2D96206F-F40D-4CAA-A6B4-D14704C654CE}"/>
    <cellStyle name="Migliaia 5 4 14" xfId="3161" xr:uid="{8B4D5E58-6025-4146-BBC0-FF04D510A694}"/>
    <cellStyle name="Migliaia 5 4 14 2" xfId="10650" xr:uid="{B663B5EA-EDC4-41E2-B1AE-C683F2D4D485}"/>
    <cellStyle name="Migliaia 5 4 14 2 2" xfId="14196" xr:uid="{48E4EA47-D183-4F8A-889A-324B614D7421}"/>
    <cellStyle name="Migliaia 5 4 14 2 2 2" xfId="29373" xr:uid="{1234A148-4A60-4F82-AC27-2E4795EAEA6A}"/>
    <cellStyle name="Migliaia 5 4 14 2 3" xfId="25828" xr:uid="{BFD61332-C51D-452D-9BB6-893ED2F1CD05}"/>
    <cellStyle name="Migliaia 5 4 14 3" xfId="6476" xr:uid="{C0B44CD6-2D05-4366-BFD6-669F66952CF0}"/>
    <cellStyle name="Migliaia 5 4 14 3 2" xfId="21656" xr:uid="{D0B9A821-C2E2-48E3-94C2-08D28FAB41DE}"/>
    <cellStyle name="Migliaia 5 4 14 4" xfId="18368" xr:uid="{D603272E-FCE3-41FF-8063-D791EB743434}"/>
    <cellStyle name="Migliaia 5 4 15" xfId="4751" xr:uid="{C2542BA9-873C-4281-A530-3D40B7AB17A9}"/>
    <cellStyle name="Migliaia 5 4 15 2" xfId="12236" xr:uid="{52D50613-969F-4E1C-B80B-26202E9FF217}"/>
    <cellStyle name="Migliaia 5 4 15 2 2" xfId="15782" xr:uid="{3222F3DE-A51A-49D7-B46B-3820F1470567}"/>
    <cellStyle name="Migliaia 5 4 15 2 2 2" xfId="30959" xr:uid="{63D0D6F4-F7AC-4272-9E10-AFBC1D20D6C2}"/>
    <cellStyle name="Migliaia 5 4 15 2 3" xfId="27414" xr:uid="{D0813D58-6877-41B2-915E-E000C125AE44}"/>
    <cellStyle name="Migliaia 5 4 15 3" xfId="8062" xr:uid="{6178977B-FFB3-465A-9A7E-8E55E44AC08F}"/>
    <cellStyle name="Migliaia 5 4 15 3 2" xfId="23242" xr:uid="{36259DA0-5A26-45B1-B9D5-0CE36F0499EA}"/>
    <cellStyle name="Migliaia 5 4 15 4" xfId="19954" xr:uid="{F8EDE42D-B586-4519-B231-E36AEE436353}"/>
    <cellStyle name="Migliaia 5 4 16" xfId="8367" xr:uid="{EB97506E-CC87-4704-BCCB-A3B4A7D2F425}"/>
    <cellStyle name="Migliaia 5 4 16 2" xfId="12541" xr:uid="{266E02FC-2380-47FC-8688-929EFF4F4445}"/>
    <cellStyle name="Migliaia 5 4 16 2 2" xfId="27718" xr:uid="{E093D026-E713-4FF2-9599-3134E6C8B035}"/>
    <cellStyle name="Migliaia 5 4 16 3" xfId="23546" xr:uid="{089BD89C-499F-443F-938B-026B1A3A2F4F}"/>
    <cellStyle name="Migliaia 5 4 17" xfId="16086" xr:uid="{5BDE32E9-D713-41A9-B838-538D5DCC5C99}"/>
    <cellStyle name="Migliaia 5 4 18" xfId="31428" xr:uid="{0784A6D2-19C5-4F5C-8E1D-D3FB3A9A09EA}"/>
    <cellStyle name="Migliaia 5 4 19" xfId="688" xr:uid="{B42619FA-D434-4368-8AB5-FDCADA8080C0}"/>
    <cellStyle name="Migliaia 5 4 2" xfId="561" xr:uid="{B1D51228-7A1A-451E-8731-74745B7D5141}"/>
    <cellStyle name="Migliaia 5 4 2 10" xfId="2296" xr:uid="{51353969-500C-4CF1-AA44-FC3B46F3125F}"/>
    <cellStyle name="Migliaia 5 4 2 10 2" xfId="9791" xr:uid="{75B2F444-221D-4461-A8B1-A74AF6C88B98}"/>
    <cellStyle name="Migliaia 5 4 2 10 2 2" xfId="13450" xr:uid="{BB9CD581-C6EE-49F5-8A7A-59C5783EC06E}"/>
    <cellStyle name="Migliaia 5 4 2 10 2 2 2" xfId="28627" xr:uid="{6BEF60AF-6317-4C08-A35A-604985687674}"/>
    <cellStyle name="Migliaia 5 4 2 10 2 3" xfId="24969" xr:uid="{888FEC25-0D48-441E-8277-B733E80D13AD}"/>
    <cellStyle name="Migliaia 5 4 2 10 3" xfId="5617" xr:uid="{BC5C156C-29F6-4699-AE6A-A39785E6C09C}"/>
    <cellStyle name="Migliaia 5 4 2 10 3 2" xfId="20797" xr:uid="{7B8B47B1-4994-4A65-B9EE-3D7C90C7387C}"/>
    <cellStyle name="Migliaia 5 4 2 10 4" xfId="17509" xr:uid="{70936181-6D26-4082-BD5C-7559EBB79FDC}"/>
    <cellStyle name="Migliaia 5 4 2 11" xfId="3186" xr:uid="{E62D0F6D-0A93-4D57-AD57-CFA3A40261F2}"/>
    <cellStyle name="Migliaia 5 4 2 11 2" xfId="10675" xr:uid="{2870E231-FB4D-4A0A-AFAA-81ABF1AA0A5E}"/>
    <cellStyle name="Migliaia 5 4 2 11 2 2" xfId="14221" xr:uid="{35202E5C-41FF-459B-8CCB-AB1B8B986C1B}"/>
    <cellStyle name="Migliaia 5 4 2 11 2 2 2" xfId="29398" xr:uid="{31788CA1-36FC-41E1-9E48-FDC54291A3D3}"/>
    <cellStyle name="Migliaia 5 4 2 11 2 3" xfId="25853" xr:uid="{9F9BC36A-6AE6-4B94-844B-1F972F54DF6F}"/>
    <cellStyle name="Migliaia 5 4 2 11 3" xfId="6501" xr:uid="{C3B1C3EC-2816-4153-8003-85F94F3D1F6D}"/>
    <cellStyle name="Migliaia 5 4 2 11 3 2" xfId="21681" xr:uid="{ADB6AC8D-086C-40CA-BFB3-F9E6919FE43B}"/>
    <cellStyle name="Migliaia 5 4 2 11 4" xfId="18393" xr:uid="{DCDEEFE9-8D2A-4797-98EE-CF8D69EF979C}"/>
    <cellStyle name="Migliaia 5 4 2 12" xfId="4752" xr:uid="{0651CBF4-5CA8-464D-8E54-B42E5EC00374}"/>
    <cellStyle name="Migliaia 5 4 2 12 2" xfId="12237" xr:uid="{22C24407-7361-4F48-9B06-4C8F7E86D51E}"/>
    <cellStyle name="Migliaia 5 4 2 12 2 2" xfId="15783" xr:uid="{0882FC54-B3FE-45C8-9F54-CB2032384BF6}"/>
    <cellStyle name="Migliaia 5 4 2 12 2 2 2" xfId="30960" xr:uid="{684479A9-390B-4152-BE3B-82FA5F405BCB}"/>
    <cellStyle name="Migliaia 5 4 2 12 2 3" xfId="27415" xr:uid="{F18403D8-598D-4489-A4F2-B37A6EA30DE1}"/>
    <cellStyle name="Migliaia 5 4 2 12 3" xfId="8063" xr:uid="{663EAA70-4FE7-4A89-8D54-5E76FFEFED36}"/>
    <cellStyle name="Migliaia 5 4 2 12 3 2" xfId="23243" xr:uid="{3E6C1335-4402-4470-AB95-AD10269C810F}"/>
    <cellStyle name="Migliaia 5 4 2 12 4" xfId="19955" xr:uid="{AC8E07AC-9C7A-4302-8B6D-1C50B53ADB3F}"/>
    <cellStyle name="Migliaia 5 4 2 13" xfId="8392" xr:uid="{4C4221D4-F739-4DF7-B380-346F7F060694}"/>
    <cellStyle name="Migliaia 5 4 2 13 2" xfId="12566" xr:uid="{DCBEBD76-0EF7-41DF-92A4-DE7CF16794C8}"/>
    <cellStyle name="Migliaia 5 4 2 13 2 2" xfId="27743" xr:uid="{82667868-AE26-4C0F-879E-92F6DC476249}"/>
    <cellStyle name="Migliaia 5 4 2 13 3" xfId="23571" xr:uid="{C1698451-BDCB-4B25-802B-A6E1F61B5699}"/>
    <cellStyle name="Migliaia 5 4 2 14" xfId="16111" xr:uid="{02FD47F6-65B6-46D2-B6B6-F956B5C4BE23}"/>
    <cellStyle name="Migliaia 5 4 2 15" xfId="31453" xr:uid="{1A1E5519-8CF6-4DB8-9195-EFA7E2C80AA1}"/>
    <cellStyle name="Migliaia 5 4 2 16" xfId="723" xr:uid="{A7B19D54-7A88-46ED-A25C-134372652F2E}"/>
    <cellStyle name="Migliaia 5 4 2 2" xfId="775" xr:uid="{287F56B3-6637-4D9C-B260-B49CD1716268}"/>
    <cellStyle name="Migliaia 5 4 2 2 10" xfId="8441" xr:uid="{9FE92D80-406C-40A9-B480-A6AFA0820376}"/>
    <cellStyle name="Migliaia 5 4 2 2 10 2" xfId="12615" xr:uid="{4A5D8923-A944-4E7D-A708-DCB2F96EC524}"/>
    <cellStyle name="Migliaia 5 4 2 2 10 2 2" xfId="27792" xr:uid="{C3CCA12F-6C14-491D-AC7C-CC2F52E40155}"/>
    <cellStyle name="Migliaia 5 4 2 2 10 3" xfId="23620" xr:uid="{61208B07-2284-42EC-A8E0-2A3146154A70}"/>
    <cellStyle name="Migliaia 5 4 2 2 11" xfId="16160" xr:uid="{0A361E0E-99DB-48E5-9D0D-575334114DBA}"/>
    <cellStyle name="Migliaia 5 4 2 2 12" xfId="31502" xr:uid="{6867F74E-926C-4249-A1C4-5AA995666432}"/>
    <cellStyle name="Migliaia 5 4 2 2 2" xfId="952" xr:uid="{EBBD531C-D8F2-4EB5-86B3-294B977EACFA}"/>
    <cellStyle name="Migliaia 5 4 2 2 2 10" xfId="16282" xr:uid="{6A638A0D-C5B4-4A4D-A6C5-667A93EC005E}"/>
    <cellStyle name="Migliaia 5 4 2 2 2 11" xfId="31372" xr:uid="{3E0F7801-B8AF-4271-BA37-309FF4889788}"/>
    <cellStyle name="Migliaia 5 4 2 2 2 12" xfId="31722" xr:uid="{A961260D-69F2-41F7-8A8C-55637110E816}"/>
    <cellStyle name="Migliaia 5 4 2 2 2 2" xfId="1313" xr:uid="{4EFC1555-6924-49DB-9CB6-2BD805AF6CB1}"/>
    <cellStyle name="Migliaia 5 4 2 2 2 2 2" xfId="3630" xr:uid="{8B3EFFA8-8B4B-4F33-8E6B-185793E07FA6}"/>
    <cellStyle name="Migliaia 5 4 2 2 2 2 2 2" xfId="11118" xr:uid="{3391CEE0-878C-4DA7-9FFF-D557918189FF}"/>
    <cellStyle name="Migliaia 5 4 2 2 2 2 2 2 2" xfId="14664" xr:uid="{BB0B2EA4-246B-4F6F-83EC-C3842AAC612F}"/>
    <cellStyle name="Migliaia 5 4 2 2 2 2 2 2 2 2" xfId="29841" xr:uid="{C5D581E3-072C-462E-A84F-4DBE3712F609}"/>
    <cellStyle name="Migliaia 5 4 2 2 2 2 2 2 3" xfId="26296" xr:uid="{1A829359-C7DB-4818-B6CD-64D67A4CB422}"/>
    <cellStyle name="Migliaia 5 4 2 2 2 2 2 3" xfId="6944" xr:uid="{A25C77F7-483D-4A73-8CE0-12618565A88E}"/>
    <cellStyle name="Migliaia 5 4 2 2 2 2 2 3 2" xfId="22124" xr:uid="{4A212749-7095-4BFE-97F3-27CB76D22F79}"/>
    <cellStyle name="Migliaia 5 4 2 2 2 2 2 4" xfId="18836" xr:uid="{AC3E1B82-EA11-40B5-A267-E5BC3F4E4B71}"/>
    <cellStyle name="Migliaia 5 4 2 2 2 2 3" xfId="4753" xr:uid="{29BA9A36-2370-41C0-B08D-AA980D7C204E}"/>
    <cellStyle name="Migliaia 5 4 2 2 2 2 3 2" xfId="12238" xr:uid="{6F229D6F-BC0B-4856-B51E-00095E4BE283}"/>
    <cellStyle name="Migliaia 5 4 2 2 2 2 3 2 2" xfId="15784" xr:uid="{52585359-D0B3-4482-9EB1-B58580DC910D}"/>
    <cellStyle name="Migliaia 5 4 2 2 2 2 3 2 2 2" xfId="30961" xr:uid="{86DDE07C-087C-41BC-B693-269ED0C198EB}"/>
    <cellStyle name="Migliaia 5 4 2 2 2 2 3 2 3" xfId="27416" xr:uid="{538F2E60-62D7-493B-BC7A-FB3D397941DC}"/>
    <cellStyle name="Migliaia 5 4 2 2 2 2 3 3" xfId="8064" xr:uid="{B22EF019-10EA-4B9E-82DB-BD204DB85AD4}"/>
    <cellStyle name="Migliaia 5 4 2 2 2 2 3 3 2" xfId="23244" xr:uid="{E7A84C60-F476-417D-855D-01DEA7A9211D}"/>
    <cellStyle name="Migliaia 5 4 2 2 2 2 3 4" xfId="19956" xr:uid="{CC4AFB59-A3C5-46EE-BD58-F347A3B0A236}"/>
    <cellStyle name="Migliaia 5 4 2 2 2 2 4" xfId="2743" xr:uid="{64C8BB49-765E-43BD-8C8A-E508313C4EA9}"/>
    <cellStyle name="Migliaia 5 4 2 2 2 2 4 2" xfId="10234" xr:uid="{34D8A809-524E-4CD2-9AFF-98C49EBEDDFA}"/>
    <cellStyle name="Migliaia 5 4 2 2 2 2 4 2 2" xfId="25412" xr:uid="{3A302ACC-1B9D-4B83-A5A8-A2CBF8EE00D7}"/>
    <cellStyle name="Migliaia 5 4 2 2 2 2 4 3" xfId="17952" xr:uid="{87A21E5D-1983-4AFE-A190-528AA072E613}"/>
    <cellStyle name="Migliaia 5 4 2 2 2 2 5" xfId="8836" xr:uid="{832F9298-BC1F-4608-AFB9-345794FD811D}"/>
    <cellStyle name="Migliaia 5 4 2 2 2 2 5 2" xfId="13009" xr:uid="{9557AF16-0615-4D5B-9CE0-4453C2F82CF6}"/>
    <cellStyle name="Migliaia 5 4 2 2 2 2 5 2 2" xfId="28186" xr:uid="{084A621B-A0AA-4EDC-98CE-908AE3E7F232}"/>
    <cellStyle name="Migliaia 5 4 2 2 2 2 5 3" xfId="24014" xr:uid="{B6965545-3E3A-4435-B378-6B8559C8403C}"/>
    <cellStyle name="Migliaia 5 4 2 2 2 2 6" xfId="6060" xr:uid="{D12C623D-B097-4215-9C84-665D849E7422}"/>
    <cellStyle name="Migliaia 5 4 2 2 2 2 6 2" xfId="21240" xr:uid="{C6A21420-CE50-47CF-B843-01D68AA5485E}"/>
    <cellStyle name="Migliaia 5 4 2 2 2 2 7" xfId="16554" xr:uid="{0CDA8906-9A88-4748-B4C5-3DA13E001E28}"/>
    <cellStyle name="Migliaia 5 4 2 2 2 3" xfId="2470" xr:uid="{CE660C19-0FC7-4159-9C7B-4FA092A66479}"/>
    <cellStyle name="Migliaia 5 4 2 2 2 3 2" xfId="9962" xr:uid="{220C7270-1BC8-4859-B790-724861B1C300}"/>
    <cellStyle name="Migliaia 5 4 2 2 2 3 2 2" xfId="13621" xr:uid="{826029EB-1A6E-459A-851E-F8150EA33DC0}"/>
    <cellStyle name="Migliaia 5 4 2 2 2 3 2 2 2" xfId="28798" xr:uid="{4B2D5AB5-7777-401F-AA1F-239B12FECF57}"/>
    <cellStyle name="Migliaia 5 4 2 2 2 3 2 3" xfId="25140" xr:uid="{425ED11D-6841-4A76-8172-E9DCF92E5D2C}"/>
    <cellStyle name="Migliaia 5 4 2 2 2 3 3" xfId="5788" xr:uid="{F196C82A-E7C1-412C-AB8C-CD5A53FC0E24}"/>
    <cellStyle name="Migliaia 5 4 2 2 2 3 3 2" xfId="20968" xr:uid="{9DDFDEAC-9754-4C46-8F2D-F16D1DDC10CC}"/>
    <cellStyle name="Migliaia 5 4 2 2 2 3 4" xfId="17680" xr:uid="{9A3F915A-FCD0-4FC8-92D7-E2C68094650E}"/>
    <cellStyle name="Migliaia 5 4 2 2 2 4" xfId="3358" xr:uid="{2E64F779-D9C8-432D-877A-578FFBE46BBD}"/>
    <cellStyle name="Migliaia 5 4 2 2 2 4 2" xfId="10846" xr:uid="{361EB352-3D76-4ADB-A13A-6599FFB68811}"/>
    <cellStyle name="Migliaia 5 4 2 2 2 4 2 2" xfId="14392" xr:uid="{13072872-6DD9-434E-A05A-9DBC95EE7596}"/>
    <cellStyle name="Migliaia 5 4 2 2 2 4 2 2 2" xfId="29569" xr:uid="{FBF0593C-C29B-43D9-8E4C-7AF2C9475D1B}"/>
    <cellStyle name="Migliaia 5 4 2 2 2 4 2 3" xfId="26024" xr:uid="{69F2FE8F-50F0-40B0-8681-A072A8D50AC2}"/>
    <cellStyle name="Migliaia 5 4 2 2 2 4 3" xfId="6672" xr:uid="{65D2C602-3055-4BA2-98E6-1B7862766312}"/>
    <cellStyle name="Migliaia 5 4 2 2 2 4 3 2" xfId="21852" xr:uid="{68400AC2-6018-4F21-9B0A-E0F4321D0D6D}"/>
    <cellStyle name="Migliaia 5 4 2 2 2 4 4" xfId="18564" xr:uid="{1A86CD54-DF50-4A88-AA06-1E370F901E1A}"/>
    <cellStyle name="Migliaia 5 4 2 2 2 5" xfId="4754" xr:uid="{643DC575-F69B-44D7-984E-B7603B1C66AD}"/>
    <cellStyle name="Migliaia 5 4 2 2 2 5 2" xfId="12239" xr:uid="{42C822F1-C12F-4944-8CDE-496AACC492D0}"/>
    <cellStyle name="Migliaia 5 4 2 2 2 5 2 2" xfId="15785" xr:uid="{E9D12E23-8CB0-4E51-BAAE-A76EA65C8021}"/>
    <cellStyle name="Migliaia 5 4 2 2 2 5 2 2 2" xfId="30962" xr:uid="{2DC6053B-1516-4070-B175-3C41C96A8AE2}"/>
    <cellStyle name="Migliaia 5 4 2 2 2 5 2 3" xfId="27417" xr:uid="{62EF0194-9A7C-4E71-A971-F166DEF17A72}"/>
    <cellStyle name="Migliaia 5 4 2 2 2 5 3" xfId="8065" xr:uid="{BE745D6A-144F-49E6-99D4-B4BF61CB1F65}"/>
    <cellStyle name="Migliaia 5 4 2 2 2 5 3 2" xfId="23245" xr:uid="{E2CEB9DC-3AFB-4CFF-AD1C-38421D767741}"/>
    <cellStyle name="Migliaia 5 4 2 2 2 5 4" xfId="19957" xr:uid="{6D7A6D84-2696-4000-A502-2D3AC627AA3C}"/>
    <cellStyle name="Migliaia 5 4 2 2 2 6" xfId="5032" xr:uid="{D0C90A04-0B4B-4131-80EB-1BB0AC4AF430}"/>
    <cellStyle name="Migliaia 5 4 2 2 2 6 2" xfId="12516" xr:uid="{68B4ACCD-8511-4B74-811B-009CA40A60F7}"/>
    <cellStyle name="Migliaia 5 4 2 2 2 6 2 2" xfId="16062" xr:uid="{6AA04D35-F1BB-4DA9-BEE6-49EA54F648B7}"/>
    <cellStyle name="Migliaia 5 4 2 2 2 6 2 2 2" xfId="31239" xr:uid="{100151F4-BC22-418E-8EF1-63A980B90691}"/>
    <cellStyle name="Migliaia 5 4 2 2 2 6 2 3" xfId="27694" xr:uid="{211C9CB0-00F5-41EC-8DD8-9E0F681A9206}"/>
    <cellStyle name="Migliaia 5 4 2 2 2 6 3" xfId="8342" xr:uid="{3920345F-5642-4923-A068-E61D5B604E18}"/>
    <cellStyle name="Migliaia 5 4 2 2 2 6 3 2" xfId="23522" xr:uid="{CBAEC652-BC3D-4AAE-95A9-435D08E43547}"/>
    <cellStyle name="Migliaia 5 4 2 2 2 6 4" xfId="20234" xr:uid="{46B19A85-4EDE-4B1E-8EA4-36383AB33DC0}"/>
    <cellStyle name="Migliaia 5 4 2 2 2 7" xfId="1853" xr:uid="{8EFB4DB4-9CD1-47B2-8AED-16E815710208}"/>
    <cellStyle name="Migliaia 5 4 2 2 2 7 2" xfId="9350" xr:uid="{9FF23CED-22EB-4234-8439-92836D623D33}"/>
    <cellStyle name="Migliaia 5 4 2 2 2 7 2 2" xfId="24528" xr:uid="{44CDE393-8F50-40C6-A46E-6E93DE2DA51C}"/>
    <cellStyle name="Migliaia 5 4 2 2 2 7 3" xfId="17068" xr:uid="{8DB55672-F099-48B3-B98E-2F1BD0D8D5DC}"/>
    <cellStyle name="Migliaia 5 4 2 2 2 8" xfId="8564" xr:uid="{0613390A-7922-42DB-B69A-0F7DFD62B30D}"/>
    <cellStyle name="Migliaia 5 4 2 2 2 8 2" xfId="12737" xr:uid="{16352C6B-AE2A-4485-9BCA-74AB64036899}"/>
    <cellStyle name="Migliaia 5 4 2 2 2 8 2 2" xfId="27914" xr:uid="{3300F0EC-0C8F-46A3-8910-787289A46AC8}"/>
    <cellStyle name="Migliaia 5 4 2 2 2 8 3" xfId="23742" xr:uid="{11370B9A-F53E-4D21-AC70-6CE9F23A64A8}"/>
    <cellStyle name="Migliaia 5 4 2 2 2 9" xfId="5176" xr:uid="{414215ED-F205-4AA4-9F6F-A293C10CE83A}"/>
    <cellStyle name="Migliaia 5 4 2 2 2 9 2" xfId="20356" xr:uid="{E99B7D43-0DAD-48DB-B6E2-5A9EE1349AE4}"/>
    <cellStyle name="Migliaia 5 4 2 2 3" xfId="1055" xr:uid="{C9D8A914-D3BF-4DF0-ABE9-0290D2741A16}"/>
    <cellStyle name="Migliaia 5 4 2 2 3 10" xfId="31600" xr:uid="{A4CE5BA4-3914-4B4D-A95B-7195E3E8110B}"/>
    <cellStyle name="Migliaia 5 4 2 2 3 2" xfId="1415" xr:uid="{4EB22926-4CE3-404E-A635-345279A70C6D}"/>
    <cellStyle name="Migliaia 5 4 2 2 3 2 2" xfId="3728" xr:uid="{F3842173-9A12-488A-94AF-6F42C8A36325}"/>
    <cellStyle name="Migliaia 5 4 2 2 3 2 2 2" xfId="11216" xr:uid="{FF89F319-5F77-40DC-9479-052023021479}"/>
    <cellStyle name="Migliaia 5 4 2 2 3 2 2 2 2" xfId="14762" xr:uid="{2F42AAE4-B9C9-4933-903C-BA5CE0A45684}"/>
    <cellStyle name="Migliaia 5 4 2 2 3 2 2 2 2 2" xfId="29939" xr:uid="{8D8FF005-8F28-49EA-A66F-3ABF68E1C5A5}"/>
    <cellStyle name="Migliaia 5 4 2 2 3 2 2 2 3" xfId="26394" xr:uid="{9A606B88-B8EF-4B7F-B2F8-917E7802BD9A}"/>
    <cellStyle name="Migliaia 5 4 2 2 3 2 2 3" xfId="7042" xr:uid="{C5A9B176-5E15-4073-94E2-DE73DEACDEE6}"/>
    <cellStyle name="Migliaia 5 4 2 2 3 2 2 3 2" xfId="22222" xr:uid="{BDF25A9D-6FD9-4AC0-98A8-63CDD0FD0AD7}"/>
    <cellStyle name="Migliaia 5 4 2 2 3 2 2 4" xfId="18934" xr:uid="{822F2F1F-F9A1-4B1F-8FB9-442E7B4F1752}"/>
    <cellStyle name="Migliaia 5 4 2 2 3 2 3" xfId="4755" xr:uid="{E9A3B979-AEB7-4509-A31B-D46C3115784E}"/>
    <cellStyle name="Migliaia 5 4 2 2 3 2 3 2" xfId="12240" xr:uid="{5C4F0B01-93D6-48DB-8F99-9820589DA325}"/>
    <cellStyle name="Migliaia 5 4 2 2 3 2 3 2 2" xfId="15786" xr:uid="{FB5222DF-0CC9-4BE9-B3F6-FD6755C5718C}"/>
    <cellStyle name="Migliaia 5 4 2 2 3 2 3 2 2 2" xfId="30963" xr:uid="{4E524D32-3F15-4FDD-9DCA-1F908C242CD5}"/>
    <cellStyle name="Migliaia 5 4 2 2 3 2 3 2 3" xfId="27418" xr:uid="{158420DC-F79C-48EE-B65C-86C494D95196}"/>
    <cellStyle name="Migliaia 5 4 2 2 3 2 3 3" xfId="8066" xr:uid="{56C4D9AB-AD1E-491D-A637-41443E2933FE}"/>
    <cellStyle name="Migliaia 5 4 2 2 3 2 3 3 2" xfId="23246" xr:uid="{EBD6605B-BC0B-40CE-ACE8-F94F9840F53C}"/>
    <cellStyle name="Migliaia 5 4 2 2 3 2 3 4" xfId="19958" xr:uid="{99B51046-2508-4125-A103-D2DAE4139BB2}"/>
    <cellStyle name="Migliaia 5 4 2 2 3 2 4" xfId="2841" xr:uid="{AA81DFFE-4F4F-45BC-9BA5-4A923579F498}"/>
    <cellStyle name="Migliaia 5 4 2 2 3 2 4 2" xfId="10332" xr:uid="{7F5FB0B5-A9CD-447E-8153-056F8B286959}"/>
    <cellStyle name="Migliaia 5 4 2 2 3 2 4 2 2" xfId="25510" xr:uid="{C33A544C-D8E1-4427-B51E-648B5EB7E035}"/>
    <cellStyle name="Migliaia 5 4 2 2 3 2 4 3" xfId="18050" xr:uid="{7BD4CE2E-AE86-4D4C-A173-CAE8B31F576B}"/>
    <cellStyle name="Migliaia 5 4 2 2 3 2 5" xfId="8934" xr:uid="{00477FE0-D97C-43DB-ABB8-67347505A7B6}"/>
    <cellStyle name="Migliaia 5 4 2 2 3 2 5 2" xfId="13107" xr:uid="{1C0242CA-910B-49DB-9E23-0807B5CECE44}"/>
    <cellStyle name="Migliaia 5 4 2 2 3 2 5 2 2" xfId="28284" xr:uid="{26E26393-7809-43C9-B6D9-9156466B5C06}"/>
    <cellStyle name="Migliaia 5 4 2 2 3 2 5 3" xfId="24112" xr:uid="{EB279A04-C75C-41CD-8A00-E731C4912285}"/>
    <cellStyle name="Migliaia 5 4 2 2 3 2 6" xfId="6158" xr:uid="{77F45800-430C-4521-A2FE-5E9C93734E6B}"/>
    <cellStyle name="Migliaia 5 4 2 2 3 2 6 2" xfId="21338" xr:uid="{0DB9878E-357D-432D-9BCC-B81455259946}"/>
    <cellStyle name="Migliaia 5 4 2 2 3 2 7" xfId="16652" xr:uid="{DBC831A6-7FBC-4E0C-8D49-0F0BF0AEC3FB}"/>
    <cellStyle name="Migliaia 5 4 2 2 3 3" xfId="2568" xr:uid="{20A11481-68DB-4F3D-B17F-D6CBE9379598}"/>
    <cellStyle name="Migliaia 5 4 2 2 3 3 2" xfId="10060" xr:uid="{9D715434-B9D8-436B-B1A8-8CD878F14177}"/>
    <cellStyle name="Migliaia 5 4 2 2 3 3 2 2" xfId="13719" xr:uid="{D8644FC1-1DBE-4056-AAFC-FF5F0FCC3DBC}"/>
    <cellStyle name="Migliaia 5 4 2 2 3 3 2 2 2" xfId="28896" xr:uid="{EC2D559D-3E3B-48C9-B78D-8590696BFD32}"/>
    <cellStyle name="Migliaia 5 4 2 2 3 3 2 3" xfId="25238" xr:uid="{A33C635C-F773-42CF-AA52-6B00483D46C7}"/>
    <cellStyle name="Migliaia 5 4 2 2 3 3 3" xfId="5886" xr:uid="{D98BFB51-6394-40A2-9BF2-5C7965522926}"/>
    <cellStyle name="Migliaia 5 4 2 2 3 3 3 2" xfId="21066" xr:uid="{D253C64C-4B7A-4F4A-8CE5-B9CD5BD6DDC1}"/>
    <cellStyle name="Migliaia 5 4 2 2 3 3 4" xfId="17778" xr:uid="{8AC20C5D-0DF9-4289-BA69-55198A569D84}"/>
    <cellStyle name="Migliaia 5 4 2 2 3 4" xfId="3456" xr:uid="{2B86D36D-7538-4834-AE2E-4D756700951A}"/>
    <cellStyle name="Migliaia 5 4 2 2 3 4 2" xfId="10944" xr:uid="{4CC8CA19-4F61-442C-9208-A2666014E4B9}"/>
    <cellStyle name="Migliaia 5 4 2 2 3 4 2 2" xfId="14490" xr:uid="{883AC4D7-1F31-4AB7-BD07-C2FADE7EF3D7}"/>
    <cellStyle name="Migliaia 5 4 2 2 3 4 2 2 2" xfId="29667" xr:uid="{9B613535-812D-47C0-963D-7CE2D99A1417}"/>
    <cellStyle name="Migliaia 5 4 2 2 3 4 2 3" xfId="26122" xr:uid="{94138A1D-60E8-4A5A-AB5C-C8D5B4C1F442}"/>
    <cellStyle name="Migliaia 5 4 2 2 3 4 3" xfId="6770" xr:uid="{150EC1CE-1677-4EA3-94F5-C4B7256E3028}"/>
    <cellStyle name="Migliaia 5 4 2 2 3 4 3 2" xfId="21950" xr:uid="{8B1456E0-9A38-4195-BC76-22E2C1FED249}"/>
    <cellStyle name="Migliaia 5 4 2 2 3 4 4" xfId="18662" xr:uid="{A81244AA-40C6-4386-BA0F-2F409A3955A3}"/>
    <cellStyle name="Migliaia 5 4 2 2 3 5" xfId="4756" xr:uid="{0C280BCC-531D-40CB-BD3F-4A7DC0FE729A}"/>
    <cellStyle name="Migliaia 5 4 2 2 3 5 2" xfId="12241" xr:uid="{077F1673-3F0E-4C97-9CC6-8C4F16D1210F}"/>
    <cellStyle name="Migliaia 5 4 2 2 3 5 2 2" xfId="15787" xr:uid="{77D222C1-37E6-48E9-89D0-8D1839EE0222}"/>
    <cellStyle name="Migliaia 5 4 2 2 3 5 2 2 2" xfId="30964" xr:uid="{6EF49CBB-7065-4942-A5D1-3D263C84F233}"/>
    <cellStyle name="Migliaia 5 4 2 2 3 5 2 3" xfId="27419" xr:uid="{FC2EEE77-BA5D-4F57-A680-8D45F25971D1}"/>
    <cellStyle name="Migliaia 5 4 2 2 3 5 3" xfId="8067" xr:uid="{65525191-D210-4CD2-8676-FFC72FFECE22}"/>
    <cellStyle name="Migliaia 5 4 2 2 3 5 3 2" xfId="23247" xr:uid="{5234C9EC-D968-4575-B0B7-A7257760D9FC}"/>
    <cellStyle name="Migliaia 5 4 2 2 3 5 4" xfId="19959" xr:uid="{5B5B59D4-5EDF-488A-94E3-1E086E611DBB}"/>
    <cellStyle name="Migliaia 5 4 2 2 3 6" xfId="1951" xr:uid="{3C6A17DE-9718-452B-A84B-F5E3C936268C}"/>
    <cellStyle name="Migliaia 5 4 2 2 3 6 2" xfId="9448" xr:uid="{6CAD9EA8-EC7F-4553-B726-E04088E0A4D9}"/>
    <cellStyle name="Migliaia 5 4 2 2 3 6 2 2" xfId="24626" xr:uid="{8E9C161A-D700-4735-8709-0F725C0368EE}"/>
    <cellStyle name="Migliaia 5 4 2 2 3 6 3" xfId="17166" xr:uid="{F0BE9900-6106-4D01-A2A4-F1B48C380206}"/>
    <cellStyle name="Migliaia 5 4 2 2 3 7" xfId="8662" xr:uid="{1CF7B073-FBDB-4B9E-A8A6-2B3DC383D677}"/>
    <cellStyle name="Migliaia 5 4 2 2 3 7 2" xfId="12835" xr:uid="{9C0663E8-217D-4340-9DD5-E4C3742832FA}"/>
    <cellStyle name="Migliaia 5 4 2 2 3 7 2 2" xfId="28012" xr:uid="{51883416-867C-4948-AEE0-F4EF7A474787}"/>
    <cellStyle name="Migliaia 5 4 2 2 3 7 3" xfId="23840" xr:uid="{2642A4BA-BC48-436A-949B-296D1B8CEEF2}"/>
    <cellStyle name="Migliaia 5 4 2 2 3 8" xfId="5274" xr:uid="{CE499630-136E-43AD-8ECD-ACB79718A957}"/>
    <cellStyle name="Migliaia 5 4 2 2 3 8 2" xfId="20454" xr:uid="{FA73D1C1-5CC7-49EB-99AA-B78B43740A71}"/>
    <cellStyle name="Migliaia 5 4 2 2 3 9" xfId="16380" xr:uid="{589127D2-84F8-4A7D-9803-799E3D387A6D}"/>
    <cellStyle name="Migliaia 5 4 2 2 4" xfId="1514" xr:uid="{3A52199B-47BF-4FE5-B941-E3C7F8CA33F0}"/>
    <cellStyle name="Migliaia 5 4 2 2 4 2" xfId="2939" xr:uid="{864BDEB6-5141-463B-B5EB-3FFE0B1931B9}"/>
    <cellStyle name="Migliaia 5 4 2 2 4 2 2" xfId="10430" xr:uid="{5A0EB7C2-4BF0-4942-A171-4D924F3F2146}"/>
    <cellStyle name="Migliaia 5 4 2 2 4 2 2 2" xfId="13976" xr:uid="{6599EEA6-F3A4-455F-BA01-CD3DC1A89D89}"/>
    <cellStyle name="Migliaia 5 4 2 2 4 2 2 2 2" xfId="29153" xr:uid="{3ECC7081-5191-4F3B-B27D-72C82C848225}"/>
    <cellStyle name="Migliaia 5 4 2 2 4 2 2 3" xfId="25608" xr:uid="{FD5FCB17-DAD2-47AC-A63E-EDE93C98839E}"/>
    <cellStyle name="Migliaia 5 4 2 2 4 2 3" xfId="6256" xr:uid="{BC4872E9-84CE-42B6-B2DE-18D0F1AFC8E1}"/>
    <cellStyle name="Migliaia 5 4 2 2 4 2 3 2" xfId="21436" xr:uid="{45844EFD-DBCB-45A4-A3C0-D1E8E12B882B}"/>
    <cellStyle name="Migliaia 5 4 2 2 4 2 4" xfId="18148" xr:uid="{5FFF5362-7576-44B8-94C3-2C117C90757C}"/>
    <cellStyle name="Migliaia 5 4 2 2 4 3" xfId="3826" xr:uid="{CD2670ED-B366-4CAB-9397-8D4DB2DC628E}"/>
    <cellStyle name="Migliaia 5 4 2 2 4 3 2" xfId="11314" xr:uid="{552424A1-CA44-4DFD-859F-14A24F0D30C8}"/>
    <cellStyle name="Migliaia 5 4 2 2 4 3 2 2" xfId="14860" xr:uid="{EABABE0C-36A6-49FE-B567-2F6CF434533A}"/>
    <cellStyle name="Migliaia 5 4 2 2 4 3 2 2 2" xfId="30037" xr:uid="{870732FB-5577-4E99-87D3-EFD2F0583717}"/>
    <cellStyle name="Migliaia 5 4 2 2 4 3 2 3" xfId="26492" xr:uid="{5AAE4430-B0E1-41D5-9791-689BF070DC8D}"/>
    <cellStyle name="Migliaia 5 4 2 2 4 3 3" xfId="7140" xr:uid="{167BF972-8DD3-4C88-89B5-089B55B6BAA6}"/>
    <cellStyle name="Migliaia 5 4 2 2 4 3 3 2" xfId="22320" xr:uid="{CCC8A109-9100-4E67-A636-E119B17577FF}"/>
    <cellStyle name="Migliaia 5 4 2 2 4 3 4" xfId="19032" xr:uid="{ACD233D1-03E5-46C1-9FB7-3B87966B2FF8}"/>
    <cellStyle name="Migliaia 5 4 2 2 4 4" xfId="4757" xr:uid="{A09D8112-2B37-4431-A877-3A2C1FDA1BCF}"/>
    <cellStyle name="Migliaia 5 4 2 2 4 4 2" xfId="12242" xr:uid="{2A84CB60-5C52-42DF-ABBB-F0F025ED53B3}"/>
    <cellStyle name="Migliaia 5 4 2 2 4 4 2 2" xfId="15788" xr:uid="{07988542-2CF9-411E-A557-3391B9A510B5}"/>
    <cellStyle name="Migliaia 5 4 2 2 4 4 2 2 2" xfId="30965" xr:uid="{44489141-6F9C-4258-AB31-2E5FB42FA537}"/>
    <cellStyle name="Migliaia 5 4 2 2 4 4 2 3" xfId="27420" xr:uid="{3523CB5E-E3CF-4A30-B9EE-1A821E68B23A}"/>
    <cellStyle name="Migliaia 5 4 2 2 4 4 3" xfId="8068" xr:uid="{CCF4F709-CE5E-47E5-9FB1-485AF636ADD2}"/>
    <cellStyle name="Migliaia 5 4 2 2 4 4 3 2" xfId="23248" xr:uid="{46D53AEA-616A-4DDF-90D9-5C8E4113D52A}"/>
    <cellStyle name="Migliaia 5 4 2 2 4 4 4" xfId="19960" xr:uid="{076187B3-FB62-4389-B07D-F073BE2D517A}"/>
    <cellStyle name="Migliaia 5 4 2 2 4 5" xfId="2049" xr:uid="{CDB59898-287D-4D71-94DB-54219222E5DB}"/>
    <cellStyle name="Migliaia 5 4 2 2 4 5 2" xfId="9546" xr:uid="{33B14B0B-924E-4FB6-ADA3-BD25E22237AD}"/>
    <cellStyle name="Migliaia 5 4 2 2 4 5 2 2" xfId="24724" xr:uid="{EDAB8902-0CFC-4B58-926D-1E0D35F278FA}"/>
    <cellStyle name="Migliaia 5 4 2 2 4 5 3" xfId="17264" xr:uid="{3AB840EE-7FFF-4DB4-95BE-863D2112AE7B}"/>
    <cellStyle name="Migliaia 5 4 2 2 4 6" xfId="9032" xr:uid="{9477E35E-FF7F-4079-B587-C395BC5F3D9D}"/>
    <cellStyle name="Migliaia 5 4 2 2 4 6 2" xfId="13205" xr:uid="{4449CA66-EA64-4318-84A5-4DC70FC4E326}"/>
    <cellStyle name="Migliaia 5 4 2 2 4 6 2 2" xfId="28382" xr:uid="{CF406152-1FD1-4B7D-856F-3D9C0EE5466D}"/>
    <cellStyle name="Migliaia 5 4 2 2 4 6 3" xfId="24210" xr:uid="{AA8FE010-D8AA-4CBF-BACA-D52A28F3FABB}"/>
    <cellStyle name="Migliaia 5 4 2 2 4 7" xfId="5372" xr:uid="{AF823E09-A526-4B17-9057-8CFE40F436FC}"/>
    <cellStyle name="Migliaia 5 4 2 2 4 7 2" xfId="20552" xr:uid="{4DD6E7D2-5CC4-4225-A6B5-2213D309265A}"/>
    <cellStyle name="Migliaia 5 4 2 2 4 8" xfId="16750" xr:uid="{F87B7803-22EC-4378-8718-E8E5FA3D3423}"/>
    <cellStyle name="Migliaia 5 4 2 2 5" xfId="1617" xr:uid="{08259CBA-C647-4F41-B43E-65EEAF585FB4}"/>
    <cellStyle name="Migliaia 5 4 2 2 5 2" xfId="3037" xr:uid="{FE5C5E93-1399-46BB-A47F-D82F39E9EEAF}"/>
    <cellStyle name="Migliaia 5 4 2 2 5 2 2" xfId="10528" xr:uid="{66710531-1C0F-4D6D-BC38-7259E2FCD76B}"/>
    <cellStyle name="Migliaia 5 4 2 2 5 2 2 2" xfId="14074" xr:uid="{AB45D39A-EC89-4226-9C9A-D87FBEB9B590}"/>
    <cellStyle name="Migliaia 5 4 2 2 5 2 2 2 2" xfId="29251" xr:uid="{44BAE165-2899-40B8-A34C-F96BE549A501}"/>
    <cellStyle name="Migliaia 5 4 2 2 5 2 2 3" xfId="25706" xr:uid="{5905F7C3-119F-43EE-A67D-CFB1DA8F3B9B}"/>
    <cellStyle name="Migliaia 5 4 2 2 5 2 3" xfId="6354" xr:uid="{F1B0B1DD-6BDC-41BF-8758-DABEF797F5F1}"/>
    <cellStyle name="Migliaia 5 4 2 2 5 2 3 2" xfId="21534" xr:uid="{78087C61-063D-44A4-A701-93DBC81D5758}"/>
    <cellStyle name="Migliaia 5 4 2 2 5 2 4" xfId="18246" xr:uid="{3B12BBE2-6C99-407A-B812-EA77D044C291}"/>
    <cellStyle name="Migliaia 5 4 2 2 5 3" xfId="3924" xr:uid="{F6818B99-4D26-4631-80A8-1C3720507736}"/>
    <cellStyle name="Migliaia 5 4 2 2 5 3 2" xfId="11412" xr:uid="{EF58B8BE-2D8E-4E19-B4F9-B00F77FC80B8}"/>
    <cellStyle name="Migliaia 5 4 2 2 5 3 2 2" xfId="14958" xr:uid="{8FB4BDAB-15E1-4042-A6BF-4851EE44147D}"/>
    <cellStyle name="Migliaia 5 4 2 2 5 3 2 2 2" xfId="30135" xr:uid="{13EC043E-5B58-4927-B0EC-EA5775E67A68}"/>
    <cellStyle name="Migliaia 5 4 2 2 5 3 2 3" xfId="26590" xr:uid="{50E4030D-1C26-4F60-B24E-1960CEAACDC0}"/>
    <cellStyle name="Migliaia 5 4 2 2 5 3 3" xfId="7238" xr:uid="{9340B949-BEB5-4600-996A-18AF5911F045}"/>
    <cellStyle name="Migliaia 5 4 2 2 5 3 3 2" xfId="22418" xr:uid="{C035E816-87D1-41EA-89D4-CFE872AC50D6}"/>
    <cellStyle name="Migliaia 5 4 2 2 5 3 4" xfId="19130" xr:uid="{89A1A3E2-E7A6-49D2-8478-9FF6D91714B8}"/>
    <cellStyle name="Migliaia 5 4 2 2 5 4" xfId="4758" xr:uid="{74DB2268-519F-4E58-A9BB-E938BE2C439C}"/>
    <cellStyle name="Migliaia 5 4 2 2 5 4 2" xfId="12243" xr:uid="{EF80B6A6-118E-47CA-8517-D877CF90390E}"/>
    <cellStyle name="Migliaia 5 4 2 2 5 4 2 2" xfId="15789" xr:uid="{44CF8D16-D10A-456B-8B31-963BF465D8DF}"/>
    <cellStyle name="Migliaia 5 4 2 2 5 4 2 2 2" xfId="30966" xr:uid="{DA5632D4-1765-40DC-8C9C-311875C2FAC2}"/>
    <cellStyle name="Migliaia 5 4 2 2 5 4 2 3" xfId="27421" xr:uid="{065E3964-B291-4E6C-86DF-C0C335A9FB93}"/>
    <cellStyle name="Migliaia 5 4 2 2 5 4 3" xfId="8069" xr:uid="{ED23C02E-DECA-4B93-9065-CBD3DC56E8E7}"/>
    <cellStyle name="Migliaia 5 4 2 2 5 4 3 2" xfId="23249" xr:uid="{37014D53-C81C-4EC8-A108-F17EF1185681}"/>
    <cellStyle name="Migliaia 5 4 2 2 5 4 4" xfId="19961" xr:uid="{5D5C42B5-0A3E-4684-A5DF-4E294961BFCB}"/>
    <cellStyle name="Migliaia 5 4 2 2 5 5" xfId="2147" xr:uid="{74E6639B-B982-408B-824E-33DE24FD9982}"/>
    <cellStyle name="Migliaia 5 4 2 2 5 5 2" xfId="9644" xr:uid="{DC971674-F986-42B7-B725-2F40733A50C4}"/>
    <cellStyle name="Migliaia 5 4 2 2 5 5 2 2" xfId="24822" xr:uid="{D092ED00-DEC4-4E18-BF77-07425F285310}"/>
    <cellStyle name="Migliaia 5 4 2 2 5 5 3" xfId="17362" xr:uid="{783B4A6A-8DBC-408B-8BC6-3E970131D093}"/>
    <cellStyle name="Migliaia 5 4 2 2 5 6" xfId="9130" xr:uid="{B5BB8F06-44B9-49F1-9C37-AC51C50CF301}"/>
    <cellStyle name="Migliaia 5 4 2 2 5 6 2" xfId="13303" xr:uid="{132D895E-A739-485E-A6B2-FCFC7FA2D894}"/>
    <cellStyle name="Migliaia 5 4 2 2 5 6 2 2" xfId="28480" xr:uid="{E0233AEC-51FC-400D-890E-9580C70E3C51}"/>
    <cellStyle name="Migliaia 5 4 2 2 5 6 3" xfId="24308" xr:uid="{15D4BCDA-3787-49F8-9945-55CF732D7D45}"/>
    <cellStyle name="Migliaia 5 4 2 2 5 7" xfId="5470" xr:uid="{8E59153F-5700-4A38-A58D-81737D43028F}"/>
    <cellStyle name="Migliaia 5 4 2 2 5 7 2" xfId="20650" xr:uid="{9CE9B470-CF39-4025-BBDA-1BA88086D066}"/>
    <cellStyle name="Migliaia 5 4 2 2 5 8" xfId="16848" xr:uid="{1045609B-E691-472A-825E-DEF14D3819F2}"/>
    <cellStyle name="Migliaia 5 4 2 2 6" xfId="1716" xr:uid="{55E70DD4-5510-4093-9CDB-04A1B3448881}"/>
    <cellStyle name="Migliaia 5 4 2 2 6 2" xfId="3135" xr:uid="{61E60BC6-B1CE-41B0-AD2F-80940B12C4E3}"/>
    <cellStyle name="Migliaia 5 4 2 2 6 2 2" xfId="10626" xr:uid="{FDB1ECF6-8467-45C6-92BD-E0402B9E11E5}"/>
    <cellStyle name="Migliaia 5 4 2 2 6 2 2 2" xfId="14172" xr:uid="{E2598B44-FBBC-4C23-BC47-5FEDBDE9B42B}"/>
    <cellStyle name="Migliaia 5 4 2 2 6 2 2 2 2" xfId="29349" xr:uid="{A85A5DB3-EAFD-4076-947D-372C095C603F}"/>
    <cellStyle name="Migliaia 5 4 2 2 6 2 2 3" xfId="25804" xr:uid="{C25D6074-2247-441A-A485-D14DC0C77AEF}"/>
    <cellStyle name="Migliaia 5 4 2 2 6 2 3" xfId="6452" xr:uid="{F6631BB7-0311-4C5E-ABCF-91D33747AA4A}"/>
    <cellStyle name="Migliaia 5 4 2 2 6 2 3 2" xfId="21632" xr:uid="{A967FD18-A8D7-4601-B6AB-7C1A08328253}"/>
    <cellStyle name="Migliaia 5 4 2 2 6 2 4" xfId="18344" xr:uid="{59087288-59A6-4453-9BBD-D5765796D914}"/>
    <cellStyle name="Migliaia 5 4 2 2 6 3" xfId="4022" xr:uid="{80C59CDC-CEED-4D14-A34A-0BC1A05E6D15}"/>
    <cellStyle name="Migliaia 5 4 2 2 6 3 2" xfId="11510" xr:uid="{DD69A428-5696-4C8E-9945-5C70D4116437}"/>
    <cellStyle name="Migliaia 5 4 2 2 6 3 2 2" xfId="15056" xr:uid="{36A47E34-E8BD-45FB-B7B8-51D600291F99}"/>
    <cellStyle name="Migliaia 5 4 2 2 6 3 2 2 2" xfId="30233" xr:uid="{B0343031-F0DE-4EF4-9B7F-DF2605F47DF7}"/>
    <cellStyle name="Migliaia 5 4 2 2 6 3 2 3" xfId="26688" xr:uid="{37A76D26-7700-4943-BC9B-16428FDF6AA6}"/>
    <cellStyle name="Migliaia 5 4 2 2 6 3 3" xfId="7336" xr:uid="{A57F9725-5AF5-4B4C-863E-F5934C44B2F0}"/>
    <cellStyle name="Migliaia 5 4 2 2 6 3 3 2" xfId="22516" xr:uid="{3D866520-244D-4FC6-A1C2-8DAB1BF6F4FA}"/>
    <cellStyle name="Migliaia 5 4 2 2 6 3 4" xfId="19228" xr:uid="{F7E0089E-B1AE-4B30-B3DC-97994BD06060}"/>
    <cellStyle name="Migliaia 5 4 2 2 6 4" xfId="4759" xr:uid="{7DDFC242-5195-46B4-B36F-754A919506F8}"/>
    <cellStyle name="Migliaia 5 4 2 2 6 4 2" xfId="12244" xr:uid="{5E92B5DD-25C7-465A-9EDF-4127561E362F}"/>
    <cellStyle name="Migliaia 5 4 2 2 6 4 2 2" xfId="15790" xr:uid="{4A550CCD-3BC1-4B5E-854D-800E60D1F723}"/>
    <cellStyle name="Migliaia 5 4 2 2 6 4 2 2 2" xfId="30967" xr:uid="{EF170B3F-EB31-4047-907F-2FCD60A31CA5}"/>
    <cellStyle name="Migliaia 5 4 2 2 6 4 2 3" xfId="27422" xr:uid="{4F8890C7-E352-4F45-A526-6E57C9DC6333}"/>
    <cellStyle name="Migliaia 5 4 2 2 6 4 3" xfId="8070" xr:uid="{B33F30FA-DBD2-46A7-927F-511B3C4CDD59}"/>
    <cellStyle name="Migliaia 5 4 2 2 6 4 3 2" xfId="23250" xr:uid="{09EBBBC6-BC76-478F-866B-2715DF329553}"/>
    <cellStyle name="Migliaia 5 4 2 2 6 4 4" xfId="19962" xr:uid="{0978319E-0700-4937-B518-41C850C2E637}"/>
    <cellStyle name="Migliaia 5 4 2 2 6 5" xfId="2245" xr:uid="{11045C06-49DB-42ED-A682-B6F8F1C6614B}"/>
    <cellStyle name="Migliaia 5 4 2 2 6 5 2" xfId="9742" xr:uid="{C72F7804-AD44-4BA0-8AD4-5D5EDCC7314B}"/>
    <cellStyle name="Migliaia 5 4 2 2 6 5 2 2" xfId="24920" xr:uid="{CEAAD06B-0460-4A87-AB23-121EA8742BBA}"/>
    <cellStyle name="Migliaia 5 4 2 2 6 5 3" xfId="17460" xr:uid="{8AEDCE0E-C1AD-43FF-AF1D-984CAF58512E}"/>
    <cellStyle name="Migliaia 5 4 2 2 6 6" xfId="9228" xr:uid="{F9622D6C-0F17-445E-BE3C-AE5D8C6624CF}"/>
    <cellStyle name="Migliaia 5 4 2 2 6 6 2" xfId="13401" xr:uid="{F1DE9C4B-83F5-43EA-B4C2-D66FC364A564}"/>
    <cellStyle name="Migliaia 5 4 2 2 6 6 2 2" xfId="28578" xr:uid="{A75FF913-D1B3-4565-8F88-9EFFD8C4D66D}"/>
    <cellStyle name="Migliaia 5 4 2 2 6 6 3" xfId="24406" xr:uid="{BF0AD34E-7D67-434D-9C10-420711B2658B}"/>
    <cellStyle name="Migliaia 5 4 2 2 6 7" xfId="5568" xr:uid="{E8445304-D03D-4650-AB27-08A547E0F6A4}"/>
    <cellStyle name="Migliaia 5 4 2 2 6 7 2" xfId="20748" xr:uid="{FAD275E5-9326-4FBA-A540-EF00E28496B3}"/>
    <cellStyle name="Migliaia 5 4 2 2 6 8" xfId="16946" xr:uid="{F29A52BB-ED2A-40E3-A2C1-7E1B6B4B692D}"/>
    <cellStyle name="Migliaia 5 4 2 2 7" xfId="2345" xr:uid="{85AA49AA-2C81-4193-8F09-2A1086E74B78}"/>
    <cellStyle name="Migliaia 5 4 2 2 7 2" xfId="9840" xr:uid="{2469A5C8-2E05-4118-B1CF-DDD72DEDDAFB}"/>
    <cellStyle name="Migliaia 5 4 2 2 7 2 2" xfId="13499" xr:uid="{3E9986D4-74ED-4B4C-89D1-CDA5DC84AEB9}"/>
    <cellStyle name="Migliaia 5 4 2 2 7 2 2 2" xfId="28676" xr:uid="{6CFB9EF6-C5C7-4CD8-B4F5-1DA6D4C6BD81}"/>
    <cellStyle name="Migliaia 5 4 2 2 7 2 3" xfId="25018" xr:uid="{594AEAC6-370B-4503-93D7-C3F3ED48E401}"/>
    <cellStyle name="Migliaia 5 4 2 2 7 3" xfId="5666" xr:uid="{CB81D662-B372-4C13-8E3B-DEAD7FF30BD9}"/>
    <cellStyle name="Migliaia 5 4 2 2 7 3 2" xfId="20846" xr:uid="{1B85D751-7BF6-49EB-B0F1-7FCCD7CD08C3}"/>
    <cellStyle name="Migliaia 5 4 2 2 7 4" xfId="17558" xr:uid="{89840FA7-BA51-41F0-87B8-746CEDA91929}"/>
    <cellStyle name="Migliaia 5 4 2 2 8" xfId="3235" xr:uid="{572CBDDB-75F1-432E-A035-B452C4223A38}"/>
    <cellStyle name="Migliaia 5 4 2 2 8 2" xfId="10724" xr:uid="{0FA21191-AE23-4612-952A-A2309E1B2177}"/>
    <cellStyle name="Migliaia 5 4 2 2 8 2 2" xfId="14270" xr:uid="{5390AA6B-39CB-4F9C-9F4F-4C9469CEA12A}"/>
    <cellStyle name="Migliaia 5 4 2 2 8 2 2 2" xfId="29447" xr:uid="{9D0EC182-B940-4FD4-8053-3F34F0FFBCE6}"/>
    <cellStyle name="Migliaia 5 4 2 2 8 2 3" xfId="25902" xr:uid="{70DC0072-EA2A-4C2B-B702-C6E42F6B29DE}"/>
    <cellStyle name="Migliaia 5 4 2 2 8 3" xfId="6550" xr:uid="{4AB56514-4972-4DE9-A062-6FF9B7D08F73}"/>
    <cellStyle name="Migliaia 5 4 2 2 8 3 2" xfId="21730" xr:uid="{11DB08B2-B128-40E0-A798-56A4FA1CBBE2}"/>
    <cellStyle name="Migliaia 5 4 2 2 8 4" xfId="18442" xr:uid="{657273FF-8525-40AC-ADBA-AC9E3E39595C}"/>
    <cellStyle name="Migliaia 5 4 2 2 9" xfId="4760" xr:uid="{63B1946C-A5F4-4397-ADAF-48F478D18434}"/>
    <cellStyle name="Migliaia 5 4 2 2 9 2" xfId="12245" xr:uid="{FFE1A2A6-2628-4955-B767-7F2A2119685D}"/>
    <cellStyle name="Migliaia 5 4 2 2 9 2 2" xfId="15791" xr:uid="{D4A58F8D-B7F3-4A62-B402-39AE0876946D}"/>
    <cellStyle name="Migliaia 5 4 2 2 9 2 2 2" xfId="30968" xr:uid="{DC1C7D78-F9C3-429D-9124-F33E7E9F6438}"/>
    <cellStyle name="Migliaia 5 4 2 2 9 2 3" xfId="27423" xr:uid="{4BC14469-3E7A-41BD-B79D-EB8176E079CB}"/>
    <cellStyle name="Migliaia 5 4 2 2 9 3" xfId="8071" xr:uid="{AC916B4D-5D42-497E-B7B6-B7F16BB4CD92}"/>
    <cellStyle name="Migliaia 5 4 2 2 9 3 2" xfId="23251" xr:uid="{51E0834F-6BE8-43E6-9F78-3BB9B837E8EA}"/>
    <cellStyle name="Migliaia 5 4 2 2 9 4" xfId="19963" xr:uid="{E18A864D-F633-4BF8-A505-76D944C0541D}"/>
    <cellStyle name="Migliaia 5 4 2 3" xfId="903" xr:uid="{8F695382-F709-49F0-8AA2-90E4E1348878}"/>
    <cellStyle name="Migliaia 5 4 2 3 2" xfId="2421" xr:uid="{62347814-5A4E-46C3-B000-2163A88CD871}"/>
    <cellStyle name="Migliaia 5 4 2 3 2 2" xfId="9913" xr:uid="{A37B3C74-BBA3-4FD7-B4C5-95E40098F7BB}"/>
    <cellStyle name="Migliaia 5 4 2 3 2 2 2" xfId="13572" xr:uid="{11F9E912-950D-4F8E-A014-181063A85F27}"/>
    <cellStyle name="Migliaia 5 4 2 3 2 2 2 2" xfId="28749" xr:uid="{063E955B-7D1C-4DA6-9117-53784B9DACE1}"/>
    <cellStyle name="Migliaia 5 4 2 3 2 2 3" xfId="25091" xr:uid="{EBC0EF02-B700-4220-87AC-37A69C3DB83C}"/>
    <cellStyle name="Migliaia 5 4 2 3 2 3" xfId="5739" xr:uid="{83B53758-DBDE-4CCE-AE21-F9EF84CEC6A5}"/>
    <cellStyle name="Migliaia 5 4 2 3 2 3 2" xfId="20919" xr:uid="{156B91AD-B9D9-4751-99D6-8C8708F90345}"/>
    <cellStyle name="Migliaia 5 4 2 3 2 4" xfId="17631" xr:uid="{E3D0D923-2F83-4EAE-99B9-35BC266D5040}"/>
    <cellStyle name="Migliaia 5 4 2 3 3" xfId="3309" xr:uid="{24B2D041-A90E-4B6F-B553-1D6905765A4D}"/>
    <cellStyle name="Migliaia 5 4 2 3 3 2" xfId="10797" xr:uid="{530EE361-F7B1-4EF4-9D99-0F03169175F1}"/>
    <cellStyle name="Migliaia 5 4 2 3 3 2 2" xfId="14343" xr:uid="{6C0C144E-1CEC-430E-92E6-3D09F4DF3B20}"/>
    <cellStyle name="Migliaia 5 4 2 3 3 2 2 2" xfId="29520" xr:uid="{692922CC-3019-43BA-8C04-C91CEB8638CC}"/>
    <cellStyle name="Migliaia 5 4 2 3 3 2 3" xfId="25975" xr:uid="{6BA069ED-7991-484B-8EAB-E26AE85FC13C}"/>
    <cellStyle name="Migliaia 5 4 2 3 3 3" xfId="6623" xr:uid="{6F18B5EF-CF6B-4FB1-B253-8537327C62F8}"/>
    <cellStyle name="Migliaia 5 4 2 3 3 3 2" xfId="21803" xr:uid="{3B558CEE-4CC2-48F8-93E8-FF8C163D3F1C}"/>
    <cellStyle name="Migliaia 5 4 2 3 3 4" xfId="18515" xr:uid="{5722D230-891B-4B4C-A7BA-F727EFD57625}"/>
    <cellStyle name="Migliaia 5 4 2 3 4" xfId="4761" xr:uid="{09459F99-5BCC-4164-A4AC-0C660E69A404}"/>
    <cellStyle name="Migliaia 5 4 2 3 4 2" xfId="12246" xr:uid="{2E30661B-2302-41F8-A796-C94403108131}"/>
    <cellStyle name="Migliaia 5 4 2 3 4 2 2" xfId="15792" xr:uid="{B705CD5E-94A5-4F50-96DC-C00ED8D52557}"/>
    <cellStyle name="Migliaia 5 4 2 3 4 2 2 2" xfId="30969" xr:uid="{DEE3DC6A-714D-4702-9035-CC404DD13040}"/>
    <cellStyle name="Migliaia 5 4 2 3 4 2 3" xfId="27424" xr:uid="{55683272-E6BC-4260-8CD4-E9D5021ED629}"/>
    <cellStyle name="Migliaia 5 4 2 3 4 3" xfId="8072" xr:uid="{8727024B-F1B4-4DE7-9D55-479A809B089D}"/>
    <cellStyle name="Migliaia 5 4 2 3 4 3 2" xfId="23252" xr:uid="{73FCCDC0-B3D9-4E4C-8D11-A9BAE7FE0894}"/>
    <cellStyle name="Migliaia 5 4 2 3 4 4" xfId="19964" xr:uid="{22F86571-2F3E-4DF7-978D-9AF8F2E913EB}"/>
    <cellStyle name="Migliaia 5 4 2 3 5" xfId="8515" xr:uid="{00EE2151-9146-4047-9631-94156AC7B0BD}"/>
    <cellStyle name="Migliaia 5 4 2 3 5 2" xfId="12688" xr:uid="{9A8632EE-B9ED-43CB-A040-849E13F58738}"/>
    <cellStyle name="Migliaia 5 4 2 3 5 2 2" xfId="27865" xr:uid="{8BA086B8-8130-4116-98D7-177A913C2401}"/>
    <cellStyle name="Migliaia 5 4 2 3 5 3" xfId="23693" xr:uid="{BFE8E2E0-9ED6-4A57-BB0A-DE1F5AED74F9}"/>
    <cellStyle name="Migliaia 5 4 2 3 6" xfId="16233" xr:uid="{898952BF-4286-49B4-B9B9-DC139F7622DE}"/>
    <cellStyle name="Migliaia 5 4 2 3 7" xfId="31673" xr:uid="{34D2822E-7581-4CB9-A7CE-45FA5DE45F4E}"/>
    <cellStyle name="Migliaia 5 4 2 4" xfId="1006" xr:uid="{D1621543-B8F7-4E4D-B791-8BFCDDF971BB}"/>
    <cellStyle name="Migliaia 5 4 2 4 2" xfId="2519" xr:uid="{F24BDDEE-47E8-43AB-8069-CB433CB946CF}"/>
    <cellStyle name="Migliaia 5 4 2 4 2 2" xfId="10011" xr:uid="{BF009E13-C014-42B0-8249-835D0F2945E9}"/>
    <cellStyle name="Migliaia 5 4 2 4 2 2 2" xfId="13670" xr:uid="{57DB2FFB-FE86-444C-A3E8-C9C198A2781E}"/>
    <cellStyle name="Migliaia 5 4 2 4 2 2 2 2" xfId="28847" xr:uid="{791367A8-4F33-4B79-9535-21E4C25C672F}"/>
    <cellStyle name="Migliaia 5 4 2 4 2 2 3" xfId="25189" xr:uid="{CF64296C-3E2A-4A56-B3DC-146C9EF8205D}"/>
    <cellStyle name="Migliaia 5 4 2 4 2 3" xfId="5837" xr:uid="{2382187E-5817-4BF9-A3C2-E434268DDC17}"/>
    <cellStyle name="Migliaia 5 4 2 4 2 3 2" xfId="21017" xr:uid="{756AC081-0A8E-4C71-A2F4-92DEC1536792}"/>
    <cellStyle name="Migliaia 5 4 2 4 2 4" xfId="17729" xr:uid="{E03BBF90-EF8D-4E03-AB51-06112B61A529}"/>
    <cellStyle name="Migliaia 5 4 2 4 3" xfId="3407" xr:uid="{B0AFDD73-B3B4-47F4-A844-8462C6F2CF24}"/>
    <cellStyle name="Migliaia 5 4 2 4 3 2" xfId="10895" xr:uid="{74DD04E1-47CE-4E63-9502-03FEF43CABE9}"/>
    <cellStyle name="Migliaia 5 4 2 4 3 2 2" xfId="14441" xr:uid="{D6A71684-81F9-450A-98D1-4C50C7E08BCE}"/>
    <cellStyle name="Migliaia 5 4 2 4 3 2 2 2" xfId="29618" xr:uid="{7B3C99A9-DDE7-4768-9198-06F49AA26636}"/>
    <cellStyle name="Migliaia 5 4 2 4 3 2 3" xfId="26073" xr:uid="{AE439A53-CC2B-4C59-8A0D-5C81AD9D6573}"/>
    <cellStyle name="Migliaia 5 4 2 4 3 3" xfId="6721" xr:uid="{3D16212C-4089-43CB-8A87-5174910CA73E}"/>
    <cellStyle name="Migliaia 5 4 2 4 3 3 2" xfId="21901" xr:uid="{37C37F5C-D7AF-4BAA-93B7-350FBAD71AFB}"/>
    <cellStyle name="Migliaia 5 4 2 4 3 4" xfId="18613" xr:uid="{28181F2A-25FB-49FF-811D-16CDA287ED67}"/>
    <cellStyle name="Migliaia 5 4 2 4 4" xfId="4762" xr:uid="{992EAA0C-9EB1-4E91-8819-A6D1473D6242}"/>
    <cellStyle name="Migliaia 5 4 2 4 4 2" xfId="12247" xr:uid="{4A41849D-C490-4C37-BEA2-DDFE774DC3B9}"/>
    <cellStyle name="Migliaia 5 4 2 4 4 2 2" xfId="15793" xr:uid="{917F320D-BE07-4FAB-95C8-7EA26B0CDFCD}"/>
    <cellStyle name="Migliaia 5 4 2 4 4 2 2 2" xfId="30970" xr:uid="{B3589CB5-227C-4666-9AE0-5DA225C90316}"/>
    <cellStyle name="Migliaia 5 4 2 4 4 2 3" xfId="27425" xr:uid="{6EEA2837-11B2-4739-AD19-85ABFB3BC668}"/>
    <cellStyle name="Migliaia 5 4 2 4 4 3" xfId="8073" xr:uid="{664F8389-1516-4597-8475-C9FCEED1794B}"/>
    <cellStyle name="Migliaia 5 4 2 4 4 3 2" xfId="23253" xr:uid="{2C604927-5385-49CD-8C76-E45079FDC1C8}"/>
    <cellStyle name="Migliaia 5 4 2 4 4 4" xfId="19965" xr:uid="{9EB311CE-248D-4202-BA1C-4616E74A2898}"/>
    <cellStyle name="Migliaia 5 4 2 4 5" xfId="8613" xr:uid="{4C64240D-D098-48D9-BA4A-AD58D6062903}"/>
    <cellStyle name="Migliaia 5 4 2 4 5 2" xfId="12786" xr:uid="{9BB054BF-75EA-4377-A1F9-368E5C84EECB}"/>
    <cellStyle name="Migliaia 5 4 2 4 5 2 2" xfId="27963" xr:uid="{5BD4FAB0-0B0A-4D04-AA94-370372775086}"/>
    <cellStyle name="Migliaia 5 4 2 4 5 3" xfId="23791" xr:uid="{C7AE862B-2562-4285-8D5C-215B46AE71A3}"/>
    <cellStyle name="Migliaia 5 4 2 4 6" xfId="16331" xr:uid="{A9BAA399-9B4A-4738-805F-E25454DC57FF}"/>
    <cellStyle name="Migliaia 5 4 2 4 7" xfId="31551" xr:uid="{71EE8BC4-844F-44DA-97F1-6E51A4387A81}"/>
    <cellStyle name="Migliaia 5 4 2 5" xfId="1264" xr:uid="{CB1D21A7-9A19-46DF-AC92-2973A2F997BF}"/>
    <cellStyle name="Migliaia 5 4 2 5 10" xfId="31323" xr:uid="{6974A713-2627-4C1F-9A97-86C816EE27E3}"/>
    <cellStyle name="Migliaia 5 4 2 5 2" xfId="2694" xr:uid="{6D574991-02B7-4ED0-94F5-4E1076D3C54F}"/>
    <cellStyle name="Migliaia 5 4 2 5 2 2" xfId="10185" xr:uid="{8446967E-DB77-4D4E-9B05-6DB93D7000A8}"/>
    <cellStyle name="Migliaia 5 4 2 5 2 2 2" xfId="13829" xr:uid="{01652C30-8F70-472A-ACE4-38AE5AD7AE4D}"/>
    <cellStyle name="Migliaia 5 4 2 5 2 2 2 2" xfId="29006" xr:uid="{C042DD91-5FA7-4D22-9738-890580B6533B}"/>
    <cellStyle name="Migliaia 5 4 2 5 2 2 3" xfId="25363" xr:uid="{175B8F01-3BAF-4D44-A7AD-4680047CB8BB}"/>
    <cellStyle name="Migliaia 5 4 2 5 2 3" xfId="6011" xr:uid="{8BB6D06E-A88B-469D-876D-AE98F43C5C4B}"/>
    <cellStyle name="Migliaia 5 4 2 5 2 3 2" xfId="21191" xr:uid="{663EF47C-28DE-4CDD-9656-F5B94DD87734}"/>
    <cellStyle name="Migliaia 5 4 2 5 2 4" xfId="17903" xr:uid="{1F9A2D86-3388-4CED-84BE-CF6458B5CD2C}"/>
    <cellStyle name="Migliaia 5 4 2 5 3" xfId="3581" xr:uid="{ADBC206C-19A8-4756-9295-1E266A99A647}"/>
    <cellStyle name="Migliaia 5 4 2 5 3 2" xfId="11069" xr:uid="{75F83477-B8E8-4F1A-9494-91A9A67E68B4}"/>
    <cellStyle name="Migliaia 5 4 2 5 3 2 2" xfId="14615" xr:uid="{B819B303-5BC4-442B-8DF3-CEACEDB836E6}"/>
    <cellStyle name="Migliaia 5 4 2 5 3 2 2 2" xfId="29792" xr:uid="{9C3DBDBF-04A7-4ED5-B3BB-766738416AA6}"/>
    <cellStyle name="Migliaia 5 4 2 5 3 2 3" xfId="26247" xr:uid="{DE7E0897-8190-4920-931A-A7C00F85E7CE}"/>
    <cellStyle name="Migliaia 5 4 2 5 3 3" xfId="6895" xr:uid="{3D1DFE8E-A5D9-42B1-8C23-00227A60C3AA}"/>
    <cellStyle name="Migliaia 5 4 2 5 3 3 2" xfId="22075" xr:uid="{D4B44722-7A84-409B-9399-9BFAD80D92B5}"/>
    <cellStyle name="Migliaia 5 4 2 5 3 4" xfId="18787" xr:uid="{703AEE5E-12D9-4357-AFAE-F63977A0F77B}"/>
    <cellStyle name="Migliaia 5 4 2 5 4" xfId="4763" xr:uid="{9E13D0C5-339C-427C-B26A-309812E70597}"/>
    <cellStyle name="Migliaia 5 4 2 5 4 2" xfId="12248" xr:uid="{04E73E38-4603-4BFF-B0BA-669CBDA57BFD}"/>
    <cellStyle name="Migliaia 5 4 2 5 4 2 2" xfId="15794" xr:uid="{792B778F-71C7-4208-9250-B23E2935CA79}"/>
    <cellStyle name="Migliaia 5 4 2 5 4 2 2 2" xfId="30971" xr:uid="{5690EFD7-23F8-4C93-9C29-F6872BEFF813}"/>
    <cellStyle name="Migliaia 5 4 2 5 4 2 3" xfId="27426" xr:uid="{374FE3F3-80C8-425A-BE82-5B789E730B38}"/>
    <cellStyle name="Migliaia 5 4 2 5 4 3" xfId="8074" xr:uid="{22CC42A9-7286-4300-A900-41441B6E0895}"/>
    <cellStyle name="Migliaia 5 4 2 5 4 3 2" xfId="23254" xr:uid="{2DE5A125-647A-451F-ACF8-68D18BC46253}"/>
    <cellStyle name="Migliaia 5 4 2 5 4 4" xfId="19966" xr:uid="{737D5025-B059-44D0-B461-B867C1243E6D}"/>
    <cellStyle name="Migliaia 5 4 2 5 5" xfId="4983" xr:uid="{064AB818-F207-4995-AD15-168EFA690ECF}"/>
    <cellStyle name="Migliaia 5 4 2 5 5 2" xfId="12467" xr:uid="{6405CC89-1688-49F7-B3BB-1B64A9B9449E}"/>
    <cellStyle name="Migliaia 5 4 2 5 5 2 2" xfId="16013" xr:uid="{4B7119A4-7C41-4F2D-9FCF-5EA11581A6A5}"/>
    <cellStyle name="Migliaia 5 4 2 5 5 2 2 2" xfId="31190" xr:uid="{76BB1DC6-A091-4053-B602-CEAAE97BC3CE}"/>
    <cellStyle name="Migliaia 5 4 2 5 5 2 3" xfId="27645" xr:uid="{9E271269-E8A0-488F-A1C5-9C4BE713EFE7}"/>
    <cellStyle name="Migliaia 5 4 2 5 5 3" xfId="8293" xr:uid="{1E1A5F22-1CE9-47EE-9924-F70DFC96F62D}"/>
    <cellStyle name="Migliaia 5 4 2 5 5 3 2" xfId="23473" xr:uid="{2584E244-880B-4C52-BD9F-3D13A2CC25C3}"/>
    <cellStyle name="Migliaia 5 4 2 5 5 4" xfId="20185" xr:uid="{F7254A55-B7DB-4CBE-A9CE-2244057F59B3}"/>
    <cellStyle name="Migliaia 5 4 2 5 6" xfId="1804" xr:uid="{5C0C7F1A-5F51-4F85-8778-283F2B602426}"/>
    <cellStyle name="Migliaia 5 4 2 5 6 2" xfId="9301" xr:uid="{C54A3792-5718-4A27-BDBC-17A2481889ED}"/>
    <cellStyle name="Migliaia 5 4 2 5 6 2 2" xfId="24479" xr:uid="{19990295-1B19-4357-AD71-E85FFCC99A33}"/>
    <cellStyle name="Migliaia 5 4 2 5 6 3" xfId="17019" xr:uid="{5FD9D1F4-95CD-4FE9-9F6E-009570F1A49A}"/>
    <cellStyle name="Migliaia 5 4 2 5 7" xfId="8787" xr:uid="{6B781D59-EDDD-4CF0-9487-61CBE6A2FE51}"/>
    <cellStyle name="Migliaia 5 4 2 5 7 2" xfId="12960" xr:uid="{1C2B761E-EB8F-4F7B-BE7E-759D1EDEAF3E}"/>
    <cellStyle name="Migliaia 5 4 2 5 7 2 2" xfId="28137" xr:uid="{3EFD3DE7-4F78-4604-B49F-93D59081838E}"/>
    <cellStyle name="Migliaia 5 4 2 5 7 3" xfId="23965" xr:uid="{B2CD7025-F8DD-4222-96A1-278703EB24E5}"/>
    <cellStyle name="Migliaia 5 4 2 5 8" xfId="5127" xr:uid="{BC82DADE-2A00-4F34-9295-E720E42A4397}"/>
    <cellStyle name="Migliaia 5 4 2 5 8 2" xfId="20307" xr:uid="{6D1E01E0-508D-4A87-86DE-744BDB1EFB6C}"/>
    <cellStyle name="Migliaia 5 4 2 5 9" xfId="16505" xr:uid="{A4E67891-C5B4-4443-B8DF-0FE5148D8252}"/>
    <cellStyle name="Migliaia 5 4 2 6" xfId="1366" xr:uid="{989A99DA-303F-4E55-B083-F80C5EE9451F}"/>
    <cellStyle name="Migliaia 5 4 2 6 2" xfId="2792" xr:uid="{5A484FBE-4821-4E11-BA70-C10ADC303D1F}"/>
    <cellStyle name="Migliaia 5 4 2 6 2 2" xfId="10283" xr:uid="{3F5549EC-8B8B-4CC3-9BB2-BC08AEED9D5C}"/>
    <cellStyle name="Migliaia 5 4 2 6 2 2 2" xfId="13878" xr:uid="{C4F1FA65-CC8F-4ADC-A9B4-3ABAFE53530E}"/>
    <cellStyle name="Migliaia 5 4 2 6 2 2 2 2" xfId="29055" xr:uid="{5EAE87B5-6307-4D2C-95A5-42B10FDCD303}"/>
    <cellStyle name="Migliaia 5 4 2 6 2 2 3" xfId="25461" xr:uid="{5A3F2C47-38C7-4DF4-9973-DFB7A9F35A5B}"/>
    <cellStyle name="Migliaia 5 4 2 6 2 3" xfId="6109" xr:uid="{24A17DD6-4DEB-456F-B4CE-9DF33A11242E}"/>
    <cellStyle name="Migliaia 5 4 2 6 2 3 2" xfId="21289" xr:uid="{97F23681-A74C-4863-95CB-EEE3A1700E57}"/>
    <cellStyle name="Migliaia 5 4 2 6 2 4" xfId="18001" xr:uid="{9ADC06DC-6281-4297-B727-23F6A295AFCA}"/>
    <cellStyle name="Migliaia 5 4 2 6 3" xfId="3679" xr:uid="{A088DEF3-A313-4CD1-8AB7-2A50ABFF5B76}"/>
    <cellStyle name="Migliaia 5 4 2 6 3 2" xfId="11167" xr:uid="{32AF9C21-EB87-44D4-A97F-1BC427E18254}"/>
    <cellStyle name="Migliaia 5 4 2 6 3 2 2" xfId="14713" xr:uid="{57927EF4-C8B9-4C2A-B2ED-61E4A6F360B7}"/>
    <cellStyle name="Migliaia 5 4 2 6 3 2 2 2" xfId="29890" xr:uid="{2B0ECDC1-0CA3-4E09-A32E-A7674F87B206}"/>
    <cellStyle name="Migliaia 5 4 2 6 3 2 3" xfId="26345" xr:uid="{9964B9FC-D431-4184-8F96-2DAB2A63962C}"/>
    <cellStyle name="Migliaia 5 4 2 6 3 3" xfId="6993" xr:uid="{C740E144-C4A1-4DE0-A7A6-F0DF4DFA3C00}"/>
    <cellStyle name="Migliaia 5 4 2 6 3 3 2" xfId="22173" xr:uid="{7D6DD923-A5C6-4325-9E94-344113B2B6AC}"/>
    <cellStyle name="Migliaia 5 4 2 6 3 4" xfId="18885" xr:uid="{6F0164A2-3BFD-4E4F-96DE-40C4BDEC1849}"/>
    <cellStyle name="Migliaia 5 4 2 6 4" xfId="4764" xr:uid="{90B5BA62-AF79-4E51-8ED8-CB539BE0FA90}"/>
    <cellStyle name="Migliaia 5 4 2 6 4 2" xfId="12249" xr:uid="{5BEA7480-F3A6-475C-BEE9-5240F7940B57}"/>
    <cellStyle name="Migliaia 5 4 2 6 4 2 2" xfId="15795" xr:uid="{10DF7335-36F0-41DD-9D7A-E9FA1031EBE6}"/>
    <cellStyle name="Migliaia 5 4 2 6 4 2 2 2" xfId="30972" xr:uid="{DE3F28D5-0D35-45BA-B561-BBC001B8FFE2}"/>
    <cellStyle name="Migliaia 5 4 2 6 4 2 3" xfId="27427" xr:uid="{8CF21B5E-CF0A-4803-BD05-AB8865948B24}"/>
    <cellStyle name="Migliaia 5 4 2 6 4 3" xfId="8075" xr:uid="{AA3577B3-BC8D-4FE3-BF8D-55502737C29C}"/>
    <cellStyle name="Migliaia 5 4 2 6 4 3 2" xfId="23255" xr:uid="{9C3E224B-FA2E-4065-B19B-75F35D2B2F50}"/>
    <cellStyle name="Migliaia 5 4 2 6 4 4" xfId="19967" xr:uid="{AD9526F8-4A86-44CC-B0B9-FFFD6677BC18}"/>
    <cellStyle name="Migliaia 5 4 2 6 5" xfId="1902" xr:uid="{1387C391-2E70-4A4E-94F4-078499B6ABDD}"/>
    <cellStyle name="Migliaia 5 4 2 6 5 2" xfId="9399" xr:uid="{C5CA0D33-4C83-479C-9B6E-BE45C075003F}"/>
    <cellStyle name="Migliaia 5 4 2 6 5 2 2" xfId="24577" xr:uid="{A58E207F-F330-44A6-A186-BEA512B85965}"/>
    <cellStyle name="Migliaia 5 4 2 6 5 3" xfId="17117" xr:uid="{8BCEC9A0-1FBC-430B-8B2B-0666A5CE66AB}"/>
    <cellStyle name="Migliaia 5 4 2 6 6" xfId="8885" xr:uid="{96DB2E41-A1F9-4443-B124-6F7F1E7FC940}"/>
    <cellStyle name="Migliaia 5 4 2 6 6 2" xfId="13058" xr:uid="{473F7DB2-712E-47C6-BED1-5AFFC345F1B7}"/>
    <cellStyle name="Migliaia 5 4 2 6 6 2 2" xfId="28235" xr:uid="{DE8ED082-A107-4F62-8731-F6D3922A9F91}"/>
    <cellStyle name="Migliaia 5 4 2 6 6 3" xfId="24063" xr:uid="{2DC4D24D-4576-4CB5-91CA-8D17B7FD93A4}"/>
    <cellStyle name="Migliaia 5 4 2 6 7" xfId="5225" xr:uid="{3DE49A4C-B5B8-41C0-A6E7-5CC816EAC679}"/>
    <cellStyle name="Migliaia 5 4 2 6 7 2" xfId="20405" xr:uid="{79C5E0C7-7FE5-4F98-B751-37A2E23BF98E}"/>
    <cellStyle name="Migliaia 5 4 2 6 8" xfId="16603" xr:uid="{87F76B49-600D-4C5D-A502-9FDD27E87007}"/>
    <cellStyle name="Migliaia 5 4 2 7" xfId="1465" xr:uid="{2B5E601F-71DE-4E40-B969-0B9C394AFEC1}"/>
    <cellStyle name="Migliaia 5 4 2 7 2" xfId="2890" xr:uid="{F0DEEE70-19FB-4F5E-B57A-C103319F023E}"/>
    <cellStyle name="Migliaia 5 4 2 7 2 2" xfId="10381" xr:uid="{D128B02E-F206-4E3F-AF0B-FAF58B4A217E}"/>
    <cellStyle name="Migliaia 5 4 2 7 2 2 2" xfId="13927" xr:uid="{A0655E9C-6926-48D9-9E33-CB35D1B98ADE}"/>
    <cellStyle name="Migliaia 5 4 2 7 2 2 2 2" xfId="29104" xr:uid="{1EB479FF-8188-4C31-86AF-C20C6393B6BC}"/>
    <cellStyle name="Migliaia 5 4 2 7 2 2 3" xfId="25559" xr:uid="{00BEB52D-A3EA-43E5-8DB5-FC8087D1C86C}"/>
    <cellStyle name="Migliaia 5 4 2 7 2 3" xfId="6207" xr:uid="{3F100E68-ABB1-4C1F-8907-7255ED2C1ADC}"/>
    <cellStyle name="Migliaia 5 4 2 7 2 3 2" xfId="21387" xr:uid="{FC7421FB-DFF6-4BF1-A3A3-BF03B5A5860A}"/>
    <cellStyle name="Migliaia 5 4 2 7 2 4" xfId="18099" xr:uid="{50EA3933-8F3F-4ABA-A7F3-277389D98A9E}"/>
    <cellStyle name="Migliaia 5 4 2 7 3" xfId="3777" xr:uid="{23936A83-250B-476A-A9E6-123BDC7E729A}"/>
    <cellStyle name="Migliaia 5 4 2 7 3 2" xfId="11265" xr:uid="{96540772-F256-4C02-BC6E-96A50AB17F1A}"/>
    <cellStyle name="Migliaia 5 4 2 7 3 2 2" xfId="14811" xr:uid="{D2173C12-C819-4489-9FF9-351DF601A744}"/>
    <cellStyle name="Migliaia 5 4 2 7 3 2 2 2" xfId="29988" xr:uid="{C9D3933A-D2B8-4C06-9676-F9CEDFBEC04B}"/>
    <cellStyle name="Migliaia 5 4 2 7 3 2 3" xfId="26443" xr:uid="{151B06C6-CECA-4C57-AD86-FE9612100BA4}"/>
    <cellStyle name="Migliaia 5 4 2 7 3 3" xfId="7091" xr:uid="{14D5E0D8-FA24-498B-BA9A-08815AB78F9E}"/>
    <cellStyle name="Migliaia 5 4 2 7 3 3 2" xfId="22271" xr:uid="{E80B3FCE-48A0-413A-8757-F7FEB41B8F09}"/>
    <cellStyle name="Migliaia 5 4 2 7 3 4" xfId="18983" xr:uid="{D4C7ACDF-260C-47D1-8855-810414642E1F}"/>
    <cellStyle name="Migliaia 5 4 2 7 4" xfId="4765" xr:uid="{7FA70660-D6A0-479F-9F00-6151F9635998}"/>
    <cellStyle name="Migliaia 5 4 2 7 4 2" xfId="12250" xr:uid="{547355A2-B7D8-4310-A69F-6AE0C019B483}"/>
    <cellStyle name="Migliaia 5 4 2 7 4 2 2" xfId="15796" xr:uid="{84D9150C-1A59-43BD-AA3B-084D4DFA4B7C}"/>
    <cellStyle name="Migliaia 5 4 2 7 4 2 2 2" xfId="30973" xr:uid="{EDF38F6A-E744-46F4-B95E-CBEFB963AF02}"/>
    <cellStyle name="Migliaia 5 4 2 7 4 2 3" xfId="27428" xr:uid="{58177D3A-4CA8-4FCF-94A2-37C42DAF9441}"/>
    <cellStyle name="Migliaia 5 4 2 7 4 3" xfId="8076" xr:uid="{617E3586-CF41-4C31-B50F-2F56921D7F3F}"/>
    <cellStyle name="Migliaia 5 4 2 7 4 3 2" xfId="23256" xr:uid="{B6BFC887-1CEA-4496-8AD7-90C08D4F7D17}"/>
    <cellStyle name="Migliaia 5 4 2 7 4 4" xfId="19968" xr:uid="{B99F46F6-C5F3-41A3-B42E-7C2C64A43BFA}"/>
    <cellStyle name="Migliaia 5 4 2 7 5" xfId="2000" xr:uid="{353297EF-5AA7-434A-8501-E2794CB84515}"/>
    <cellStyle name="Migliaia 5 4 2 7 5 2" xfId="9497" xr:uid="{F156E0F1-3250-480C-8F83-1EF66A7F5D23}"/>
    <cellStyle name="Migliaia 5 4 2 7 5 2 2" xfId="24675" xr:uid="{745E45BB-111A-4C5A-9601-127DBBD3F841}"/>
    <cellStyle name="Migliaia 5 4 2 7 5 3" xfId="17215" xr:uid="{FE0ADD94-6165-4A4C-BF83-F000BDA1BF57}"/>
    <cellStyle name="Migliaia 5 4 2 7 6" xfId="8983" xr:uid="{830E00D1-2940-4BBE-B229-AEFDB50439F6}"/>
    <cellStyle name="Migliaia 5 4 2 7 6 2" xfId="13156" xr:uid="{9AB587C3-913B-4342-B893-27DFFBECAA9C}"/>
    <cellStyle name="Migliaia 5 4 2 7 6 2 2" xfId="28333" xr:uid="{06A75450-E551-4BDA-B2CF-91F5194F4089}"/>
    <cellStyle name="Migliaia 5 4 2 7 6 3" xfId="24161" xr:uid="{6833F0C2-FA30-423B-B309-F6276AED23CE}"/>
    <cellStyle name="Migliaia 5 4 2 7 7" xfId="5323" xr:uid="{84204F1B-DC01-4BA9-B9C3-B858E535F27C}"/>
    <cellStyle name="Migliaia 5 4 2 7 7 2" xfId="20503" xr:uid="{06F3CBCF-B0D3-40D1-AB14-C26178F569EE}"/>
    <cellStyle name="Migliaia 5 4 2 7 8" xfId="16701" xr:uid="{CF35B14B-6788-4EB9-9124-0833633E4514}"/>
    <cellStyle name="Migliaia 5 4 2 8" xfId="1568" xr:uid="{07FD0909-B683-4FD2-A6C7-B7A52F8274D3}"/>
    <cellStyle name="Migliaia 5 4 2 8 2" xfId="2988" xr:uid="{BEE8F838-2D8C-4CA4-8225-95B849DFFAA3}"/>
    <cellStyle name="Migliaia 5 4 2 8 2 2" xfId="10479" xr:uid="{730FA74C-12A3-4831-90E1-6F58B21B0AD2}"/>
    <cellStyle name="Migliaia 5 4 2 8 2 2 2" xfId="14025" xr:uid="{82823A6B-4BB2-4D65-A2A1-434FE22F2EA4}"/>
    <cellStyle name="Migliaia 5 4 2 8 2 2 2 2" xfId="29202" xr:uid="{CF9D5157-5F2A-4309-8CD1-681465037957}"/>
    <cellStyle name="Migliaia 5 4 2 8 2 2 3" xfId="25657" xr:uid="{57A9CB9A-6F7A-4CD6-960C-0481E9D78415}"/>
    <cellStyle name="Migliaia 5 4 2 8 2 3" xfId="6305" xr:uid="{1A5F49D4-D745-4801-AFE6-689D30046C73}"/>
    <cellStyle name="Migliaia 5 4 2 8 2 3 2" xfId="21485" xr:uid="{DB9C9A5C-F363-4707-A765-03AC992D396E}"/>
    <cellStyle name="Migliaia 5 4 2 8 2 4" xfId="18197" xr:uid="{0703F619-D00B-47C8-AE13-A77751959F30}"/>
    <cellStyle name="Migliaia 5 4 2 8 3" xfId="3875" xr:uid="{C2B1CC19-BEF8-4BAB-8F25-A0CDB2C81C3C}"/>
    <cellStyle name="Migliaia 5 4 2 8 3 2" xfId="11363" xr:uid="{FA83F4B6-EE0E-4117-9C0D-83CBA1E28391}"/>
    <cellStyle name="Migliaia 5 4 2 8 3 2 2" xfId="14909" xr:uid="{CAA9F115-A345-432B-96FD-350EB23C2A1D}"/>
    <cellStyle name="Migliaia 5 4 2 8 3 2 2 2" xfId="30086" xr:uid="{3E313AEA-E2CE-47C7-BC5A-B77D546D5BE8}"/>
    <cellStyle name="Migliaia 5 4 2 8 3 2 3" xfId="26541" xr:uid="{3E8BBD8A-B562-4BA3-9292-701B74C00190}"/>
    <cellStyle name="Migliaia 5 4 2 8 3 3" xfId="7189" xr:uid="{9B6142B4-AC41-4B78-9932-3FFEB546C052}"/>
    <cellStyle name="Migliaia 5 4 2 8 3 3 2" xfId="22369" xr:uid="{2E1A3FF5-5A2C-48C3-A86A-C444A53879B0}"/>
    <cellStyle name="Migliaia 5 4 2 8 3 4" xfId="19081" xr:uid="{23AE6024-26A7-49D7-BEBA-F765E2610780}"/>
    <cellStyle name="Migliaia 5 4 2 8 4" xfId="4766" xr:uid="{6072C203-4478-476E-9CA4-2269C76F0926}"/>
    <cellStyle name="Migliaia 5 4 2 8 4 2" xfId="12251" xr:uid="{B10017DD-730D-499E-A43E-DA94D7B61C3F}"/>
    <cellStyle name="Migliaia 5 4 2 8 4 2 2" xfId="15797" xr:uid="{88694270-DEC0-44DD-A419-3515473E8379}"/>
    <cellStyle name="Migliaia 5 4 2 8 4 2 2 2" xfId="30974" xr:uid="{E2A9A702-D037-4797-B957-C5C678175A09}"/>
    <cellStyle name="Migliaia 5 4 2 8 4 2 3" xfId="27429" xr:uid="{E79272F1-C1C3-45A3-BBB7-B3095A19B856}"/>
    <cellStyle name="Migliaia 5 4 2 8 4 3" xfId="8077" xr:uid="{19F6E79F-8196-4CBE-9E5C-19BA8E3E02A9}"/>
    <cellStyle name="Migliaia 5 4 2 8 4 3 2" xfId="23257" xr:uid="{F17E131A-99CB-4E43-82D2-2668F04C3EDE}"/>
    <cellStyle name="Migliaia 5 4 2 8 4 4" xfId="19969" xr:uid="{272107E2-101B-4551-9177-D20E097ED672}"/>
    <cellStyle name="Migliaia 5 4 2 8 5" xfId="2098" xr:uid="{DBD1A0C8-8E96-4F2C-A0AA-86A91549B389}"/>
    <cellStyle name="Migliaia 5 4 2 8 5 2" xfId="9595" xr:uid="{28AA0785-52E2-4F95-A7E5-6F0A4269544C}"/>
    <cellStyle name="Migliaia 5 4 2 8 5 2 2" xfId="24773" xr:uid="{92DDD53D-61DB-4540-AF25-A626BBE0C1F6}"/>
    <cellStyle name="Migliaia 5 4 2 8 5 3" xfId="17313" xr:uid="{A42A8DE8-9324-44F8-9D01-18DA30695B49}"/>
    <cellStyle name="Migliaia 5 4 2 8 6" xfId="9081" xr:uid="{E64C9578-43CA-41B2-8B5E-6B5263279B47}"/>
    <cellStyle name="Migliaia 5 4 2 8 6 2" xfId="13254" xr:uid="{6C3D5BFC-0E83-4491-9D5B-6CAFC0E5F325}"/>
    <cellStyle name="Migliaia 5 4 2 8 6 2 2" xfId="28431" xr:uid="{26284BF8-E96B-4344-8385-389C6253DB14}"/>
    <cellStyle name="Migliaia 5 4 2 8 6 3" xfId="24259" xr:uid="{4629088D-F489-47D8-B8EC-069B5E470873}"/>
    <cellStyle name="Migliaia 5 4 2 8 7" xfId="5421" xr:uid="{A92A11FD-D583-4401-9698-52D755B90684}"/>
    <cellStyle name="Migliaia 5 4 2 8 7 2" xfId="20601" xr:uid="{A9FC5547-813D-48FE-A678-B4B6C37C40E9}"/>
    <cellStyle name="Migliaia 5 4 2 8 8" xfId="16799" xr:uid="{51AA453E-6D45-4CFE-BD68-9166B418256D}"/>
    <cellStyle name="Migliaia 5 4 2 9" xfId="1667" xr:uid="{2F0B8DAF-735E-4969-87FC-6504DE66A9F4}"/>
    <cellStyle name="Migliaia 5 4 2 9 2" xfId="3086" xr:uid="{C7172960-CA4F-4B27-AAB1-987958620374}"/>
    <cellStyle name="Migliaia 5 4 2 9 2 2" xfId="10577" xr:uid="{ACD69683-ADFD-4205-ACC3-343DD9CB475C}"/>
    <cellStyle name="Migliaia 5 4 2 9 2 2 2" xfId="14123" xr:uid="{02A55C1E-C8DC-4FBD-9A7F-7FB9BD73BA96}"/>
    <cellStyle name="Migliaia 5 4 2 9 2 2 2 2" xfId="29300" xr:uid="{46DF48A6-09D0-4A5A-8420-17D2BF805CC2}"/>
    <cellStyle name="Migliaia 5 4 2 9 2 2 3" xfId="25755" xr:uid="{B0CB66BF-EFB3-4D81-A952-A2719A1EB0E3}"/>
    <cellStyle name="Migliaia 5 4 2 9 2 3" xfId="6403" xr:uid="{DCA77BBB-3279-4255-B129-ADFE9169A0C0}"/>
    <cellStyle name="Migliaia 5 4 2 9 2 3 2" xfId="21583" xr:uid="{B78E7A9D-84E8-4FE4-8F33-AAF2215B4DEA}"/>
    <cellStyle name="Migliaia 5 4 2 9 2 4" xfId="18295" xr:uid="{DEFDB696-2691-4810-80C8-6BB55AA77C7E}"/>
    <cellStyle name="Migliaia 5 4 2 9 3" xfId="3973" xr:uid="{B21D51F3-6791-4C7C-90F8-8AF9B93F9407}"/>
    <cellStyle name="Migliaia 5 4 2 9 3 2" xfId="11461" xr:uid="{D51D3723-99FD-41D6-B9E8-BBDF98AE923A}"/>
    <cellStyle name="Migliaia 5 4 2 9 3 2 2" xfId="15007" xr:uid="{6A7BFAFD-EADB-4D85-8F97-534F51473851}"/>
    <cellStyle name="Migliaia 5 4 2 9 3 2 2 2" xfId="30184" xr:uid="{C2518EF5-1D89-421B-BF5A-6FEB60CB04E8}"/>
    <cellStyle name="Migliaia 5 4 2 9 3 2 3" xfId="26639" xr:uid="{392BFACA-BB99-48D9-B452-1EDEAB05DD40}"/>
    <cellStyle name="Migliaia 5 4 2 9 3 3" xfId="7287" xr:uid="{B8ACF303-034B-4401-984C-6A5BBDBBB805}"/>
    <cellStyle name="Migliaia 5 4 2 9 3 3 2" xfId="22467" xr:uid="{6BB5E4BE-E377-46C9-BCFB-57AF852F97E9}"/>
    <cellStyle name="Migliaia 5 4 2 9 3 4" xfId="19179" xr:uid="{687ECA73-7BA8-4B61-9F20-E47800EC8178}"/>
    <cellStyle name="Migliaia 5 4 2 9 4" xfId="4767" xr:uid="{AA596BF3-34EC-48D8-8135-F9B6EE1638E8}"/>
    <cellStyle name="Migliaia 5 4 2 9 4 2" xfId="12252" xr:uid="{3BA7327E-A189-4C5B-BE95-C53D22F47E16}"/>
    <cellStyle name="Migliaia 5 4 2 9 4 2 2" xfId="15798" xr:uid="{181B3F28-903A-462D-B027-0B3D632F0C9E}"/>
    <cellStyle name="Migliaia 5 4 2 9 4 2 2 2" xfId="30975" xr:uid="{C190A4D0-F540-4D99-954E-B4A6F2346D93}"/>
    <cellStyle name="Migliaia 5 4 2 9 4 2 3" xfId="27430" xr:uid="{114BD737-DF94-454D-9E98-F227E4138EA4}"/>
    <cellStyle name="Migliaia 5 4 2 9 4 3" xfId="8078" xr:uid="{CA1E01F1-FAB0-4F48-8F6B-E7A79FC76A9F}"/>
    <cellStyle name="Migliaia 5 4 2 9 4 3 2" xfId="23258" xr:uid="{E41428BE-8C86-4DF4-8613-6BE8701D40D6}"/>
    <cellStyle name="Migliaia 5 4 2 9 4 4" xfId="19970" xr:uid="{1402410F-9E50-4593-A425-B57C03E39A85}"/>
    <cellStyle name="Migliaia 5 4 2 9 5" xfId="2196" xr:uid="{45C49530-D631-4581-922A-14EAF9AD0501}"/>
    <cellStyle name="Migliaia 5 4 2 9 5 2" xfId="9693" xr:uid="{2778E55D-9008-46F9-96C7-5A2E8A4CBA35}"/>
    <cellStyle name="Migliaia 5 4 2 9 5 2 2" xfId="24871" xr:uid="{645B288F-D1A8-4D45-894E-5482A7AB5193}"/>
    <cellStyle name="Migliaia 5 4 2 9 5 3" xfId="17411" xr:uid="{A0AF82E6-0BAF-4243-B7A1-8C4E25143652}"/>
    <cellStyle name="Migliaia 5 4 2 9 6" xfId="9179" xr:uid="{909975E0-7D45-452D-A1FD-DB685C1C6008}"/>
    <cellStyle name="Migliaia 5 4 2 9 6 2" xfId="13352" xr:uid="{57E46D49-07D1-4948-99B4-E4AE408364CD}"/>
    <cellStyle name="Migliaia 5 4 2 9 6 2 2" xfId="28529" xr:uid="{8D3C4C56-6532-45E4-9815-D36490C2EA0C}"/>
    <cellStyle name="Migliaia 5 4 2 9 6 3" xfId="24357" xr:uid="{D098011D-0535-47E0-B902-7E7E96D9995D}"/>
    <cellStyle name="Migliaia 5 4 2 9 7" xfId="5519" xr:uid="{33B33E5E-0BD1-4C10-A666-29FF82A4228D}"/>
    <cellStyle name="Migliaia 5 4 2 9 7 2" xfId="20699" xr:uid="{FE133729-72C6-498A-811D-A6684C135C55}"/>
    <cellStyle name="Migliaia 5 4 2 9 8" xfId="16897" xr:uid="{18526B5E-A558-4D81-A463-12671308230E}"/>
    <cellStyle name="Migliaia 5 4 3" xfId="750" xr:uid="{8C5360A8-9A8F-4483-8C83-5616434C1E54}"/>
    <cellStyle name="Migliaia 5 4 3 10" xfId="8416" xr:uid="{B2164220-0899-4892-B09A-E2F72E43B88B}"/>
    <cellStyle name="Migliaia 5 4 3 10 2" xfId="12590" xr:uid="{FA971A11-391D-45B4-94EA-B6EAA1CACF2D}"/>
    <cellStyle name="Migliaia 5 4 3 10 2 2" xfId="27767" xr:uid="{CDFE1EEA-2A45-48B5-A1AB-B36114D7D6E1}"/>
    <cellStyle name="Migliaia 5 4 3 10 3" xfId="23595" xr:uid="{A957A207-92E6-44A8-A477-9ADC3507F2CE}"/>
    <cellStyle name="Migliaia 5 4 3 11" xfId="16135" xr:uid="{43B5FE4D-1C41-47E7-AD68-88C3A4397A06}"/>
    <cellStyle name="Migliaia 5 4 3 12" xfId="31477" xr:uid="{FB4CDE3A-7D31-4690-BF00-D7D290A55FCE}"/>
    <cellStyle name="Migliaia 5 4 3 2" xfId="927" xr:uid="{C88C6879-0791-4CFD-AF79-DEBA1A083E66}"/>
    <cellStyle name="Migliaia 5 4 3 2 10" xfId="16257" xr:uid="{065890AB-FBEE-4F21-8EEB-6B4E39FCAE6F}"/>
    <cellStyle name="Migliaia 5 4 3 2 11" xfId="31347" xr:uid="{BEAF0813-B257-4F92-99A7-B62C1879EF09}"/>
    <cellStyle name="Migliaia 5 4 3 2 12" xfId="31697" xr:uid="{C23283E3-DC69-4718-A595-8C8F3B75B1FE}"/>
    <cellStyle name="Migliaia 5 4 3 2 2" xfId="1288" xr:uid="{B1BF12BB-3689-4E97-9166-657C8A6F061B}"/>
    <cellStyle name="Migliaia 5 4 3 2 2 2" xfId="3605" xr:uid="{219ED7BC-38DC-496E-8FA9-D353D68265F2}"/>
    <cellStyle name="Migliaia 5 4 3 2 2 2 2" xfId="11093" xr:uid="{92ABB12F-B0BF-4550-B526-8F47E5072ADC}"/>
    <cellStyle name="Migliaia 5 4 3 2 2 2 2 2" xfId="14639" xr:uid="{77BFBD71-D1B3-469E-B79E-CA3385219A77}"/>
    <cellStyle name="Migliaia 5 4 3 2 2 2 2 2 2" xfId="29816" xr:uid="{AD77A230-535D-49EC-90A3-1BBC21FE8D4F}"/>
    <cellStyle name="Migliaia 5 4 3 2 2 2 2 3" xfId="26271" xr:uid="{6E8D9AF9-005D-4F5A-B28D-8DF4AE96D0F4}"/>
    <cellStyle name="Migliaia 5 4 3 2 2 2 3" xfId="6919" xr:uid="{23AE9A2F-5E53-49AF-AF4E-99C196B67B57}"/>
    <cellStyle name="Migliaia 5 4 3 2 2 2 3 2" xfId="22099" xr:uid="{14A8BA56-1EB6-49A4-A2A5-42E8CB42344A}"/>
    <cellStyle name="Migliaia 5 4 3 2 2 2 4" xfId="18811" xr:uid="{A775D538-7D32-47AB-AFE5-B35D6C1E68D7}"/>
    <cellStyle name="Migliaia 5 4 3 2 2 3" xfId="4768" xr:uid="{E2B34E81-A656-4B18-B59C-E70EDCC77471}"/>
    <cellStyle name="Migliaia 5 4 3 2 2 3 2" xfId="12253" xr:uid="{A90D3ED9-572D-49A5-8463-20F2C7A90F9E}"/>
    <cellStyle name="Migliaia 5 4 3 2 2 3 2 2" xfId="15799" xr:uid="{A5DBF831-2A73-43BF-9723-31CD1EBB2DCF}"/>
    <cellStyle name="Migliaia 5 4 3 2 2 3 2 2 2" xfId="30976" xr:uid="{1D05422C-7835-4669-8FA3-AE617A48D42C}"/>
    <cellStyle name="Migliaia 5 4 3 2 2 3 2 3" xfId="27431" xr:uid="{1DD7DCFF-B3EE-48C6-83CB-87376B354BDB}"/>
    <cellStyle name="Migliaia 5 4 3 2 2 3 3" xfId="8079" xr:uid="{756F7913-65B4-4357-92B5-BC61C8DDE3AF}"/>
    <cellStyle name="Migliaia 5 4 3 2 2 3 3 2" xfId="23259" xr:uid="{40581DCC-C227-46D2-AFF5-6CF617C693E8}"/>
    <cellStyle name="Migliaia 5 4 3 2 2 3 4" xfId="19971" xr:uid="{7F5AB92C-B3AE-4D13-816E-0B242B6FC79D}"/>
    <cellStyle name="Migliaia 5 4 3 2 2 4" xfId="2718" xr:uid="{B79C3C81-C355-40C8-878B-FF36033FD1FA}"/>
    <cellStyle name="Migliaia 5 4 3 2 2 4 2" xfId="10209" xr:uid="{721B9CDE-DEBA-4232-95B1-9AE004F88ACB}"/>
    <cellStyle name="Migliaia 5 4 3 2 2 4 2 2" xfId="25387" xr:uid="{AA38B0A2-12AB-4F87-ACC5-10ABC107C256}"/>
    <cellStyle name="Migliaia 5 4 3 2 2 4 3" xfId="17927" xr:uid="{5D7C9B18-62B9-4BC8-BFB6-31B49D92D795}"/>
    <cellStyle name="Migliaia 5 4 3 2 2 5" xfId="8811" xr:uid="{8D7EEC68-3A12-4B8B-B076-0D62521FCBAF}"/>
    <cellStyle name="Migliaia 5 4 3 2 2 5 2" xfId="12984" xr:uid="{12BFC5E0-3E84-4AA9-833B-9C2D062A76B3}"/>
    <cellStyle name="Migliaia 5 4 3 2 2 5 2 2" xfId="28161" xr:uid="{B3EA7C61-F105-4749-BF08-BB7F2D3C02B2}"/>
    <cellStyle name="Migliaia 5 4 3 2 2 5 3" xfId="23989" xr:uid="{0BE49ED9-98B9-4573-BB9D-27ED6422C4EA}"/>
    <cellStyle name="Migliaia 5 4 3 2 2 6" xfId="6035" xr:uid="{60D293CF-A3E7-4460-AC5E-B3805D6345C1}"/>
    <cellStyle name="Migliaia 5 4 3 2 2 6 2" xfId="21215" xr:uid="{6F1173E8-839B-4692-B873-42A010BF74C3}"/>
    <cellStyle name="Migliaia 5 4 3 2 2 7" xfId="16529" xr:uid="{89B22B0A-3816-4A0A-844F-D4DDFA92DA45}"/>
    <cellStyle name="Migliaia 5 4 3 2 3" xfId="2445" xr:uid="{86C99269-D76C-4723-8D84-93B8F65E86F1}"/>
    <cellStyle name="Migliaia 5 4 3 2 3 2" xfId="9937" xr:uid="{E05A9D63-A090-4138-8E57-17F9F57D9937}"/>
    <cellStyle name="Migliaia 5 4 3 2 3 2 2" xfId="13596" xr:uid="{E2F79BB5-E9F0-4159-A414-A2FA18035A21}"/>
    <cellStyle name="Migliaia 5 4 3 2 3 2 2 2" xfId="28773" xr:uid="{0B4D774F-A994-409B-A77D-B4FA7B3A81E9}"/>
    <cellStyle name="Migliaia 5 4 3 2 3 2 3" xfId="25115" xr:uid="{54C3EA86-4A85-4813-94BA-022371E93FA8}"/>
    <cellStyle name="Migliaia 5 4 3 2 3 3" xfId="5763" xr:uid="{CFA00AD4-4F12-427C-BB08-FEF4759158D4}"/>
    <cellStyle name="Migliaia 5 4 3 2 3 3 2" xfId="20943" xr:uid="{3CCE2592-DFDD-4B40-881C-DDCD730E1E68}"/>
    <cellStyle name="Migliaia 5 4 3 2 3 4" xfId="17655" xr:uid="{87C8396A-C7E3-4319-902C-26173B9C96D9}"/>
    <cellStyle name="Migliaia 5 4 3 2 4" xfId="3333" xr:uid="{55590524-A0B4-4ABE-9280-658FA3EAA846}"/>
    <cellStyle name="Migliaia 5 4 3 2 4 2" xfId="10821" xr:uid="{077115C9-FEED-4B7B-9777-D5C84A5895BB}"/>
    <cellStyle name="Migliaia 5 4 3 2 4 2 2" xfId="14367" xr:uid="{CCA3A1EC-2DFC-4B8D-9E2A-0C49ED55C6D2}"/>
    <cellStyle name="Migliaia 5 4 3 2 4 2 2 2" xfId="29544" xr:uid="{D009ED29-EB36-4C0B-AF20-BD79E5365461}"/>
    <cellStyle name="Migliaia 5 4 3 2 4 2 3" xfId="25999" xr:uid="{1AB829FE-C77C-4FF0-AF84-640ACA6A53CB}"/>
    <cellStyle name="Migliaia 5 4 3 2 4 3" xfId="6647" xr:uid="{169CC284-9C3A-47E8-A213-C862D4D767F4}"/>
    <cellStyle name="Migliaia 5 4 3 2 4 3 2" xfId="21827" xr:uid="{B80B4EE8-4158-4091-8A4A-310410DD7BCB}"/>
    <cellStyle name="Migliaia 5 4 3 2 4 4" xfId="18539" xr:uid="{6DE91D2A-BAD3-4964-A52B-098E6F40B119}"/>
    <cellStyle name="Migliaia 5 4 3 2 5" xfId="4769" xr:uid="{9550292F-6C9A-450F-885B-3FDDAD68A3BE}"/>
    <cellStyle name="Migliaia 5 4 3 2 5 2" xfId="12254" xr:uid="{ACDE0E56-5F2F-4254-88ED-A41BF605DA80}"/>
    <cellStyle name="Migliaia 5 4 3 2 5 2 2" xfId="15800" xr:uid="{B216614B-C9B7-4F5A-9F7E-C50F96042EBC}"/>
    <cellStyle name="Migliaia 5 4 3 2 5 2 2 2" xfId="30977" xr:uid="{6BB00117-9695-4C52-8A4D-C7AF6AA2D86A}"/>
    <cellStyle name="Migliaia 5 4 3 2 5 2 3" xfId="27432" xr:uid="{91A6C823-C7D7-4F73-871D-6F0FFBC6A38F}"/>
    <cellStyle name="Migliaia 5 4 3 2 5 3" xfId="8080" xr:uid="{3C142A86-A149-4675-863F-21356E3FDCAC}"/>
    <cellStyle name="Migliaia 5 4 3 2 5 3 2" xfId="23260" xr:uid="{9B9F988B-7251-41AA-9F6B-FD9454D6E2DE}"/>
    <cellStyle name="Migliaia 5 4 3 2 5 4" xfId="19972" xr:uid="{BED697A7-D94A-4DFF-8207-0DC7112E72A9}"/>
    <cellStyle name="Migliaia 5 4 3 2 6" xfId="5007" xr:uid="{78F1250E-2EBA-498B-B816-725D80D04AFB}"/>
    <cellStyle name="Migliaia 5 4 3 2 6 2" xfId="12491" xr:uid="{1800D3FA-933F-41D3-8B7B-BA30FE22D3D5}"/>
    <cellStyle name="Migliaia 5 4 3 2 6 2 2" xfId="16037" xr:uid="{64E9AD18-A8CD-4B57-882F-F2C274507A5B}"/>
    <cellStyle name="Migliaia 5 4 3 2 6 2 2 2" xfId="31214" xr:uid="{6042495A-1CA9-4C9A-AC2E-13D1EDBB00C7}"/>
    <cellStyle name="Migliaia 5 4 3 2 6 2 3" xfId="27669" xr:uid="{5BC939A5-CF41-41E5-AB61-EDCE1B73BAE7}"/>
    <cellStyle name="Migliaia 5 4 3 2 6 3" xfId="8317" xr:uid="{1E0D86E2-2FA7-4D98-8866-8AEBB8689943}"/>
    <cellStyle name="Migliaia 5 4 3 2 6 3 2" xfId="23497" xr:uid="{836C88DC-20A7-42EB-B508-485EF781EC98}"/>
    <cellStyle name="Migliaia 5 4 3 2 6 4" xfId="20209" xr:uid="{06AB1E6A-3EA9-40D9-925B-75259311ACF1}"/>
    <cellStyle name="Migliaia 5 4 3 2 7" xfId="1828" xr:uid="{5387F8C3-9484-4C87-90EE-CF8AA8268B0B}"/>
    <cellStyle name="Migliaia 5 4 3 2 7 2" xfId="9325" xr:uid="{ABC38C41-C17D-4F99-BEB9-1555B643C974}"/>
    <cellStyle name="Migliaia 5 4 3 2 7 2 2" xfId="24503" xr:uid="{AA365D0A-2543-4C38-B7C0-2C3F757F408B}"/>
    <cellStyle name="Migliaia 5 4 3 2 7 3" xfId="17043" xr:uid="{C17E85B9-492A-47E1-A0E5-CB35CFCCE603}"/>
    <cellStyle name="Migliaia 5 4 3 2 8" xfId="8539" xr:uid="{95D9BE34-798D-4CD4-B082-5DF455E2836D}"/>
    <cellStyle name="Migliaia 5 4 3 2 8 2" xfId="12712" xr:uid="{F1B1DBAA-D3DC-4D50-A373-F747B9AE1ED0}"/>
    <cellStyle name="Migliaia 5 4 3 2 8 2 2" xfId="27889" xr:uid="{65FC91D0-9315-405C-B740-6F560DF6EC7E}"/>
    <cellStyle name="Migliaia 5 4 3 2 8 3" xfId="23717" xr:uid="{76DDAC42-FB33-4A29-AF79-D048C6A6B192}"/>
    <cellStyle name="Migliaia 5 4 3 2 9" xfId="5151" xr:uid="{EBD4779C-E73D-4428-8A61-D6D52F8E06E6}"/>
    <cellStyle name="Migliaia 5 4 3 2 9 2" xfId="20331" xr:uid="{782B6228-D292-467B-B03E-BB39BD92D4A7}"/>
    <cellStyle name="Migliaia 5 4 3 3" xfId="1030" xr:uid="{0A2E1508-AAD3-46A3-BA71-DE10D1099252}"/>
    <cellStyle name="Migliaia 5 4 3 3 10" xfId="31575" xr:uid="{DA06A745-1360-4F7F-9907-104472E37ADD}"/>
    <cellStyle name="Migliaia 5 4 3 3 2" xfId="1390" xr:uid="{25D76035-D993-4C63-82C0-2CBB71EE1D25}"/>
    <cellStyle name="Migliaia 5 4 3 3 2 2" xfId="3703" xr:uid="{52265FE4-A286-44D4-9F03-AACB24682F23}"/>
    <cellStyle name="Migliaia 5 4 3 3 2 2 2" xfId="11191" xr:uid="{9C7338C7-4390-4E93-8B53-6D32449E39B3}"/>
    <cellStyle name="Migliaia 5 4 3 3 2 2 2 2" xfId="14737" xr:uid="{B4E98CE3-DDB5-4A91-9266-07BD6F850F74}"/>
    <cellStyle name="Migliaia 5 4 3 3 2 2 2 2 2" xfId="29914" xr:uid="{B4441CAE-0ADC-4CAE-9C36-137DF418BD1E}"/>
    <cellStyle name="Migliaia 5 4 3 3 2 2 2 3" xfId="26369" xr:uid="{3D3FE592-CDA2-4120-A4F7-BEC91ABC17AD}"/>
    <cellStyle name="Migliaia 5 4 3 3 2 2 3" xfId="7017" xr:uid="{ABF3D06C-2957-488F-8969-EED256B9DAB0}"/>
    <cellStyle name="Migliaia 5 4 3 3 2 2 3 2" xfId="22197" xr:uid="{D49333C2-83D3-46BC-9752-08987C61E8F9}"/>
    <cellStyle name="Migliaia 5 4 3 3 2 2 4" xfId="18909" xr:uid="{2057BC29-347A-4E9E-8C0B-E2608BA1A907}"/>
    <cellStyle name="Migliaia 5 4 3 3 2 3" xfId="4770" xr:uid="{BBEE1C40-82BE-4EAD-9014-0A7158BC6307}"/>
    <cellStyle name="Migliaia 5 4 3 3 2 3 2" xfId="12255" xr:uid="{968BF541-F809-426B-8024-43B0D210CF0A}"/>
    <cellStyle name="Migliaia 5 4 3 3 2 3 2 2" xfId="15801" xr:uid="{9E8391E9-0630-4662-A533-955CEBC931A4}"/>
    <cellStyle name="Migliaia 5 4 3 3 2 3 2 2 2" xfId="30978" xr:uid="{3853920A-99EB-4516-B5DB-8B1D38D40C78}"/>
    <cellStyle name="Migliaia 5 4 3 3 2 3 2 3" xfId="27433" xr:uid="{29AAB905-446B-46A2-957A-4B014CEF21AA}"/>
    <cellStyle name="Migliaia 5 4 3 3 2 3 3" xfId="8081" xr:uid="{3BFE38C9-5EA8-40C6-8BAA-6E7F41C43ACE}"/>
    <cellStyle name="Migliaia 5 4 3 3 2 3 3 2" xfId="23261" xr:uid="{03D988F3-6683-436D-9DEC-2C9914D075A9}"/>
    <cellStyle name="Migliaia 5 4 3 3 2 3 4" xfId="19973" xr:uid="{EACEBBDC-24D0-404D-90C1-A5B2B6DB6E86}"/>
    <cellStyle name="Migliaia 5 4 3 3 2 4" xfId="2816" xr:uid="{23F0D6E2-856A-4469-B501-FDF5CEC4D739}"/>
    <cellStyle name="Migliaia 5 4 3 3 2 4 2" xfId="10307" xr:uid="{521670FF-1B97-4F4A-A825-160F2A40825B}"/>
    <cellStyle name="Migliaia 5 4 3 3 2 4 2 2" xfId="25485" xr:uid="{84217DEB-84C5-446E-80E3-6BD22A0919ED}"/>
    <cellStyle name="Migliaia 5 4 3 3 2 4 3" xfId="18025" xr:uid="{9485DA2D-6A1A-4B49-9D99-55CCF4564D93}"/>
    <cellStyle name="Migliaia 5 4 3 3 2 5" xfId="8909" xr:uid="{65144157-5A0B-4185-99D1-4610678E4AE7}"/>
    <cellStyle name="Migliaia 5 4 3 3 2 5 2" xfId="13082" xr:uid="{E608AAAC-1D0C-4679-B039-5F35A6DB90D1}"/>
    <cellStyle name="Migliaia 5 4 3 3 2 5 2 2" xfId="28259" xr:uid="{76038926-1152-475B-8294-E9EC7056B236}"/>
    <cellStyle name="Migliaia 5 4 3 3 2 5 3" xfId="24087" xr:uid="{DC821A55-E688-4191-B5AB-6C66C9F1F07F}"/>
    <cellStyle name="Migliaia 5 4 3 3 2 6" xfId="6133" xr:uid="{E4E058AF-7192-42A6-89C5-0C079959060B}"/>
    <cellStyle name="Migliaia 5 4 3 3 2 6 2" xfId="21313" xr:uid="{22BAD3F7-FD83-482A-9A8C-1682E703C302}"/>
    <cellStyle name="Migliaia 5 4 3 3 2 7" xfId="16627" xr:uid="{A02382FD-0D13-45F7-AA03-029B80E597FC}"/>
    <cellStyle name="Migliaia 5 4 3 3 3" xfId="2543" xr:uid="{B0489584-76C1-4D2F-8E4A-6073C44C94AD}"/>
    <cellStyle name="Migliaia 5 4 3 3 3 2" xfId="10035" xr:uid="{51DABBA5-F3AB-41E8-91EB-55991DEAD78D}"/>
    <cellStyle name="Migliaia 5 4 3 3 3 2 2" xfId="13694" xr:uid="{9F3079A4-2448-4FCB-94D8-AF08B0FF5834}"/>
    <cellStyle name="Migliaia 5 4 3 3 3 2 2 2" xfId="28871" xr:uid="{78F97E5F-79D9-4D2F-BA73-8980EDBBB135}"/>
    <cellStyle name="Migliaia 5 4 3 3 3 2 3" xfId="25213" xr:uid="{558F9384-0B81-46A5-AFEB-3EA0EDD476E1}"/>
    <cellStyle name="Migliaia 5 4 3 3 3 3" xfId="5861" xr:uid="{701D293F-90B7-4E45-8D79-D3BAE24649CE}"/>
    <cellStyle name="Migliaia 5 4 3 3 3 3 2" xfId="21041" xr:uid="{37BE17FC-B0E8-4373-8801-277204E632E2}"/>
    <cellStyle name="Migliaia 5 4 3 3 3 4" xfId="17753" xr:uid="{E193FE8B-DCB5-4C01-90C4-658C40F5CCFB}"/>
    <cellStyle name="Migliaia 5 4 3 3 4" xfId="3431" xr:uid="{81D84EAF-3382-4B6A-87EF-AF8833CC38C3}"/>
    <cellStyle name="Migliaia 5 4 3 3 4 2" xfId="10919" xr:uid="{D2985F37-70A8-4019-B6A5-8F8B48D090F8}"/>
    <cellStyle name="Migliaia 5 4 3 3 4 2 2" xfId="14465" xr:uid="{B002E89D-381C-4377-8DBA-A30471C28CDF}"/>
    <cellStyle name="Migliaia 5 4 3 3 4 2 2 2" xfId="29642" xr:uid="{A10C9CD0-5989-40F1-ADCE-47376D822574}"/>
    <cellStyle name="Migliaia 5 4 3 3 4 2 3" xfId="26097" xr:uid="{FDDE8E7E-B7D4-4403-AE76-5F1F701515F3}"/>
    <cellStyle name="Migliaia 5 4 3 3 4 3" xfId="6745" xr:uid="{071B3E9A-EEB5-4673-A3B8-877354A86277}"/>
    <cellStyle name="Migliaia 5 4 3 3 4 3 2" xfId="21925" xr:uid="{E14F1073-C57F-436F-8013-0426B5E1B652}"/>
    <cellStyle name="Migliaia 5 4 3 3 4 4" xfId="18637" xr:uid="{CC179AEA-02C9-4E4D-8F4F-66F87A565361}"/>
    <cellStyle name="Migliaia 5 4 3 3 5" xfId="4771" xr:uid="{0479496E-2C36-43C5-BA97-46821E2AC2F2}"/>
    <cellStyle name="Migliaia 5 4 3 3 5 2" xfId="12256" xr:uid="{B3900221-2FAD-45CC-AA77-0301F0AA54D3}"/>
    <cellStyle name="Migliaia 5 4 3 3 5 2 2" xfId="15802" xr:uid="{94C912D2-A971-486A-BE4B-F44E7BA891F7}"/>
    <cellStyle name="Migliaia 5 4 3 3 5 2 2 2" xfId="30979" xr:uid="{35C48913-BF4A-4004-878A-95C2B9336A4C}"/>
    <cellStyle name="Migliaia 5 4 3 3 5 2 3" xfId="27434" xr:uid="{FA862ED8-02B3-4A6A-B99B-9C8C7F8A51CC}"/>
    <cellStyle name="Migliaia 5 4 3 3 5 3" xfId="8082" xr:uid="{3514EB53-6104-4587-9A5D-83EC32CAD9E0}"/>
    <cellStyle name="Migliaia 5 4 3 3 5 3 2" xfId="23262" xr:uid="{14691748-96C0-4AB3-BA54-6AB80B3FB0E0}"/>
    <cellStyle name="Migliaia 5 4 3 3 5 4" xfId="19974" xr:uid="{342BFA72-7875-4BFA-9F88-43385161DD95}"/>
    <cellStyle name="Migliaia 5 4 3 3 6" xfId="1926" xr:uid="{D9CD1F43-1564-466D-B23D-5A00DED75AAB}"/>
    <cellStyle name="Migliaia 5 4 3 3 6 2" xfId="9423" xr:uid="{75698C55-8206-4B90-8F61-BC10326EECB1}"/>
    <cellStyle name="Migliaia 5 4 3 3 6 2 2" xfId="24601" xr:uid="{41719F6E-0851-44FA-9552-021E42C2A03E}"/>
    <cellStyle name="Migliaia 5 4 3 3 6 3" xfId="17141" xr:uid="{0B7D7CF3-C050-4041-84DE-B1C24198CCB3}"/>
    <cellStyle name="Migliaia 5 4 3 3 7" xfId="8637" xr:uid="{97BB805E-55AC-461B-B32D-16ABEF4F9131}"/>
    <cellStyle name="Migliaia 5 4 3 3 7 2" xfId="12810" xr:uid="{92D781CE-8C2A-4684-A74F-8BBDA86D4D56}"/>
    <cellStyle name="Migliaia 5 4 3 3 7 2 2" xfId="27987" xr:uid="{B61FE466-83F1-44A1-97C3-8D6DB6638276}"/>
    <cellStyle name="Migliaia 5 4 3 3 7 3" xfId="23815" xr:uid="{2405C05A-1BC5-4D29-AEAD-9A9A54A2D9F3}"/>
    <cellStyle name="Migliaia 5 4 3 3 8" xfId="5249" xr:uid="{AE2C3BC6-08B1-4A86-B454-92BE40F6469F}"/>
    <cellStyle name="Migliaia 5 4 3 3 8 2" xfId="20429" xr:uid="{80216A84-03EB-4D07-A42E-99F256555D49}"/>
    <cellStyle name="Migliaia 5 4 3 3 9" xfId="16355" xr:uid="{7069E416-C920-464F-AAE2-B9A0C5D24E40}"/>
    <cellStyle name="Migliaia 5 4 3 4" xfId="1489" xr:uid="{8B43E193-640A-42FD-B628-36DC80180D32}"/>
    <cellStyle name="Migliaia 5 4 3 4 2" xfId="2914" xr:uid="{DEE707E9-285F-4F03-AA19-D6B73B91456B}"/>
    <cellStyle name="Migliaia 5 4 3 4 2 2" xfId="10405" xr:uid="{CE67158B-462F-45D5-99B9-AEDAF0C57D6E}"/>
    <cellStyle name="Migliaia 5 4 3 4 2 2 2" xfId="13951" xr:uid="{14FB5E0F-3A69-4F16-8772-D9B2E985C12C}"/>
    <cellStyle name="Migliaia 5 4 3 4 2 2 2 2" xfId="29128" xr:uid="{4C7405C0-564A-4035-B41B-E3537C549DC4}"/>
    <cellStyle name="Migliaia 5 4 3 4 2 2 3" xfId="25583" xr:uid="{C15443A5-77C1-46BB-928B-AB912DE00B9B}"/>
    <cellStyle name="Migliaia 5 4 3 4 2 3" xfId="6231" xr:uid="{CF623CAA-0A67-41B7-8720-23205C521241}"/>
    <cellStyle name="Migliaia 5 4 3 4 2 3 2" xfId="21411" xr:uid="{EAE8F325-68A2-40F1-9C3A-7D60BACB585E}"/>
    <cellStyle name="Migliaia 5 4 3 4 2 4" xfId="18123" xr:uid="{C80A8AEC-DC67-4A01-9894-5D0AFCBBAC66}"/>
    <cellStyle name="Migliaia 5 4 3 4 3" xfId="3801" xr:uid="{BB429833-0845-405C-A9D9-4E64C98BE5F7}"/>
    <cellStyle name="Migliaia 5 4 3 4 3 2" xfId="11289" xr:uid="{FA7DF917-3B7A-43FC-A479-7E0470E56F5E}"/>
    <cellStyle name="Migliaia 5 4 3 4 3 2 2" xfId="14835" xr:uid="{D30D70E7-FFE9-48C5-BCF2-E250C22572C2}"/>
    <cellStyle name="Migliaia 5 4 3 4 3 2 2 2" xfId="30012" xr:uid="{2DE5E294-4B29-4AAE-8B7D-0622D9421E62}"/>
    <cellStyle name="Migliaia 5 4 3 4 3 2 3" xfId="26467" xr:uid="{34B48024-76DF-4B5D-B0FD-D1D5C3371561}"/>
    <cellStyle name="Migliaia 5 4 3 4 3 3" xfId="7115" xr:uid="{CCA318E8-30F2-4EAB-87A5-948611F52CF3}"/>
    <cellStyle name="Migliaia 5 4 3 4 3 3 2" xfId="22295" xr:uid="{F1C3674F-12D7-487C-BE59-BA274B596EEE}"/>
    <cellStyle name="Migliaia 5 4 3 4 3 4" xfId="19007" xr:uid="{5DF596BC-7677-4ED0-9AA6-20B43DB0D471}"/>
    <cellStyle name="Migliaia 5 4 3 4 4" xfId="4772" xr:uid="{B234844A-0F52-4FA7-9A2E-FC8AADBE2412}"/>
    <cellStyle name="Migliaia 5 4 3 4 4 2" xfId="12257" xr:uid="{E55F50D0-A388-42ED-AC9A-2BCED5D7A3F3}"/>
    <cellStyle name="Migliaia 5 4 3 4 4 2 2" xfId="15803" xr:uid="{E43DEF66-9560-4303-8A7C-365CDACF65FE}"/>
    <cellStyle name="Migliaia 5 4 3 4 4 2 2 2" xfId="30980" xr:uid="{02FA515E-75A0-4B08-9B0C-3584309CAFA1}"/>
    <cellStyle name="Migliaia 5 4 3 4 4 2 3" xfId="27435" xr:uid="{1DD66355-CAD9-4B2D-BFCD-234E786C96F1}"/>
    <cellStyle name="Migliaia 5 4 3 4 4 3" xfId="8083" xr:uid="{37183B21-C76E-461D-8BB2-BDF44D645DF1}"/>
    <cellStyle name="Migliaia 5 4 3 4 4 3 2" xfId="23263" xr:uid="{34FF8134-0959-4FD5-BBF6-4A6C1A5D1229}"/>
    <cellStyle name="Migliaia 5 4 3 4 4 4" xfId="19975" xr:uid="{5AFF1058-52E4-4F36-A3C9-6071A895CD7B}"/>
    <cellStyle name="Migliaia 5 4 3 4 5" xfId="2024" xr:uid="{F1C33B64-A8FF-47DF-8CD9-4A08A89348CC}"/>
    <cellStyle name="Migliaia 5 4 3 4 5 2" xfId="9521" xr:uid="{98FA8EF7-7051-413F-8BAD-9595ABA96ECA}"/>
    <cellStyle name="Migliaia 5 4 3 4 5 2 2" xfId="24699" xr:uid="{7C2EDA9C-31FA-426C-9B12-A53912298EA5}"/>
    <cellStyle name="Migliaia 5 4 3 4 5 3" xfId="17239" xr:uid="{9F22D1B6-773C-460A-ABA3-6384783B9D02}"/>
    <cellStyle name="Migliaia 5 4 3 4 6" xfId="9007" xr:uid="{FCFD030D-1374-45FD-8BE3-04DEE7A7F97B}"/>
    <cellStyle name="Migliaia 5 4 3 4 6 2" xfId="13180" xr:uid="{A074053F-091C-4403-8FF6-3B24369B14B4}"/>
    <cellStyle name="Migliaia 5 4 3 4 6 2 2" xfId="28357" xr:uid="{D1FE025D-54D1-4075-A822-03E68DE76393}"/>
    <cellStyle name="Migliaia 5 4 3 4 6 3" xfId="24185" xr:uid="{7A269532-B172-4E80-9BB6-A50C2CB79D0B}"/>
    <cellStyle name="Migliaia 5 4 3 4 7" xfId="5347" xr:uid="{72357E20-FCFB-4B5A-AFE4-8CF9EAD2485B}"/>
    <cellStyle name="Migliaia 5 4 3 4 7 2" xfId="20527" xr:uid="{A7B58068-5B8C-44DE-ABA6-2799609BE08D}"/>
    <cellStyle name="Migliaia 5 4 3 4 8" xfId="16725" xr:uid="{88CD03DE-9E04-42A1-92D7-AF6237639578}"/>
    <cellStyle name="Migliaia 5 4 3 5" xfId="1592" xr:uid="{3314C837-D8C8-4B91-9CDD-69F0110C6C22}"/>
    <cellStyle name="Migliaia 5 4 3 5 2" xfId="3012" xr:uid="{91E855D1-8208-48D2-ADD5-8C5BA4351A1C}"/>
    <cellStyle name="Migliaia 5 4 3 5 2 2" xfId="10503" xr:uid="{14269BAC-4480-4EF9-9039-0AAA99005B54}"/>
    <cellStyle name="Migliaia 5 4 3 5 2 2 2" xfId="14049" xr:uid="{CB3C2482-C3BC-46CE-86F1-3CF472A0F688}"/>
    <cellStyle name="Migliaia 5 4 3 5 2 2 2 2" xfId="29226" xr:uid="{FF75872E-55EB-4F6D-8B6A-AD01D3049149}"/>
    <cellStyle name="Migliaia 5 4 3 5 2 2 3" xfId="25681" xr:uid="{5F7FB4E7-46B1-4CE7-B8D5-0BA846F3D482}"/>
    <cellStyle name="Migliaia 5 4 3 5 2 3" xfId="6329" xr:uid="{6C4DE753-6A2F-4405-B4D0-E84641AB8BCE}"/>
    <cellStyle name="Migliaia 5 4 3 5 2 3 2" xfId="21509" xr:uid="{0F2039A1-3B68-4073-87EE-4119DF6A521C}"/>
    <cellStyle name="Migliaia 5 4 3 5 2 4" xfId="18221" xr:uid="{3F8D37AA-FA99-476E-896A-F970DD991CFB}"/>
    <cellStyle name="Migliaia 5 4 3 5 3" xfId="3899" xr:uid="{BEDA8156-05C7-4DCB-A269-5BE0C21888B1}"/>
    <cellStyle name="Migliaia 5 4 3 5 3 2" xfId="11387" xr:uid="{3DB59529-A801-4A99-BECF-C59F24A02396}"/>
    <cellStyle name="Migliaia 5 4 3 5 3 2 2" xfId="14933" xr:uid="{A4210869-4044-4689-A54C-4155C285860F}"/>
    <cellStyle name="Migliaia 5 4 3 5 3 2 2 2" xfId="30110" xr:uid="{EF76C6E9-3C07-4014-A433-6F76D5FDB8BD}"/>
    <cellStyle name="Migliaia 5 4 3 5 3 2 3" xfId="26565" xr:uid="{45BD391C-F6A4-4EE6-946A-44C3EAB2C4E3}"/>
    <cellStyle name="Migliaia 5 4 3 5 3 3" xfId="7213" xr:uid="{D91CA876-EB58-46D3-92C8-2FC218C99DE2}"/>
    <cellStyle name="Migliaia 5 4 3 5 3 3 2" xfId="22393" xr:uid="{5415FEB1-036E-4405-AAE5-EEF65F5EAF95}"/>
    <cellStyle name="Migliaia 5 4 3 5 3 4" xfId="19105" xr:uid="{821DF3AE-37DB-4005-BEE4-6E7DBE3FEE7A}"/>
    <cellStyle name="Migliaia 5 4 3 5 4" xfId="4773" xr:uid="{CFA99115-E1A5-4BB5-B755-BEA338C00491}"/>
    <cellStyle name="Migliaia 5 4 3 5 4 2" xfId="12258" xr:uid="{0E52AC23-E748-4180-81A3-2B175F6ACA98}"/>
    <cellStyle name="Migliaia 5 4 3 5 4 2 2" xfId="15804" xr:uid="{E77FDB7C-CEA8-4A3E-BA42-BE12E6B88EE6}"/>
    <cellStyle name="Migliaia 5 4 3 5 4 2 2 2" xfId="30981" xr:uid="{81496E33-E14C-4CF7-94CF-4311C3D33038}"/>
    <cellStyle name="Migliaia 5 4 3 5 4 2 3" xfId="27436" xr:uid="{893D73F7-E6FF-4AA5-8C3D-54763636521F}"/>
    <cellStyle name="Migliaia 5 4 3 5 4 3" xfId="8084" xr:uid="{53759339-B7B1-4DDC-949D-1A9546384EE8}"/>
    <cellStyle name="Migliaia 5 4 3 5 4 3 2" xfId="23264" xr:uid="{08550CBF-03E5-4B8B-81F6-3468673E9A3A}"/>
    <cellStyle name="Migliaia 5 4 3 5 4 4" xfId="19976" xr:uid="{86BB0FA1-9CF9-4335-8A6F-DA9680AD2FD3}"/>
    <cellStyle name="Migliaia 5 4 3 5 5" xfId="2122" xr:uid="{2BFA823F-B4DF-4DC1-8149-EA8F98F8F7FF}"/>
    <cellStyle name="Migliaia 5 4 3 5 5 2" xfId="9619" xr:uid="{C41F9AE2-9123-4A03-8649-EB45E4025E57}"/>
    <cellStyle name="Migliaia 5 4 3 5 5 2 2" xfId="24797" xr:uid="{85FAAE5F-67D0-45AA-AB77-6B7236F57287}"/>
    <cellStyle name="Migliaia 5 4 3 5 5 3" xfId="17337" xr:uid="{114D364E-DDF1-459A-A2D8-28EA4B5003E4}"/>
    <cellStyle name="Migliaia 5 4 3 5 6" xfId="9105" xr:uid="{3E439BF4-603F-4200-A5B1-7C250C912261}"/>
    <cellStyle name="Migliaia 5 4 3 5 6 2" xfId="13278" xr:uid="{D8651410-AC48-4E9C-8348-EEF22AFFF739}"/>
    <cellStyle name="Migliaia 5 4 3 5 6 2 2" xfId="28455" xr:uid="{881956C0-6748-486C-8580-976DA0AC5F4A}"/>
    <cellStyle name="Migliaia 5 4 3 5 6 3" xfId="24283" xr:uid="{6B1EB0B0-B7D8-4345-9425-676CE9941C05}"/>
    <cellStyle name="Migliaia 5 4 3 5 7" xfId="5445" xr:uid="{74FFB41B-6E9E-4249-8959-C6A5B7CE9D65}"/>
    <cellStyle name="Migliaia 5 4 3 5 7 2" xfId="20625" xr:uid="{ABA24E4D-83ED-45E8-A99F-AA8E41385958}"/>
    <cellStyle name="Migliaia 5 4 3 5 8" xfId="16823" xr:uid="{2480EE45-77ED-4D7E-8818-FB7705888516}"/>
    <cellStyle name="Migliaia 5 4 3 6" xfId="1691" xr:uid="{8F1EF0CC-5620-4843-B4B0-2CC4DB71B636}"/>
    <cellStyle name="Migliaia 5 4 3 6 2" xfId="3110" xr:uid="{C36137AE-1962-41BD-B84F-AB8A718F3F98}"/>
    <cellStyle name="Migliaia 5 4 3 6 2 2" xfId="10601" xr:uid="{BAAE2ECB-4844-4A1D-A228-423B1DEFD414}"/>
    <cellStyle name="Migliaia 5 4 3 6 2 2 2" xfId="14147" xr:uid="{63513AAF-8BA8-4C6C-B588-2EED6819A149}"/>
    <cellStyle name="Migliaia 5 4 3 6 2 2 2 2" xfId="29324" xr:uid="{BA1EFC29-F13B-4C71-BB16-B69AF6ECF92E}"/>
    <cellStyle name="Migliaia 5 4 3 6 2 2 3" xfId="25779" xr:uid="{64B577BF-D2C0-4540-B6C2-B965913EF07C}"/>
    <cellStyle name="Migliaia 5 4 3 6 2 3" xfId="6427" xr:uid="{5227C7E5-BF38-4AB1-A269-4A6B01AE9F26}"/>
    <cellStyle name="Migliaia 5 4 3 6 2 3 2" xfId="21607" xr:uid="{C76322C0-F34F-4081-87E7-3BE0EC34116C}"/>
    <cellStyle name="Migliaia 5 4 3 6 2 4" xfId="18319" xr:uid="{9E718791-2CA7-4106-AA2B-4A652CB24EFB}"/>
    <cellStyle name="Migliaia 5 4 3 6 3" xfId="3997" xr:uid="{2AA672E0-2FB5-4B91-B8F2-9E6E0052A2E3}"/>
    <cellStyle name="Migliaia 5 4 3 6 3 2" xfId="11485" xr:uid="{7F9F7E8B-E627-4592-88DF-3FAB91CA0C17}"/>
    <cellStyle name="Migliaia 5 4 3 6 3 2 2" xfId="15031" xr:uid="{F7033388-E8AB-410D-81AC-1E8D8779087B}"/>
    <cellStyle name="Migliaia 5 4 3 6 3 2 2 2" xfId="30208" xr:uid="{B0B05E91-2814-451D-A3AB-B3C4B5EBA5E6}"/>
    <cellStyle name="Migliaia 5 4 3 6 3 2 3" xfId="26663" xr:uid="{AC01F3EE-353E-4227-B95C-8833CB8FC559}"/>
    <cellStyle name="Migliaia 5 4 3 6 3 3" xfId="7311" xr:uid="{3AFB99EF-4571-4150-BE49-D1046F17A6EE}"/>
    <cellStyle name="Migliaia 5 4 3 6 3 3 2" xfId="22491" xr:uid="{2615DC36-B10A-4A2D-905F-63406E66D906}"/>
    <cellStyle name="Migliaia 5 4 3 6 3 4" xfId="19203" xr:uid="{A264BD02-03D7-47D5-A026-CA5407EBCFD2}"/>
    <cellStyle name="Migliaia 5 4 3 6 4" xfId="4774" xr:uid="{3FB49556-E2F4-4A33-AD59-021A38F65791}"/>
    <cellStyle name="Migliaia 5 4 3 6 4 2" xfId="12259" xr:uid="{9427EAA8-E464-4D98-8CFC-3132DD0294A3}"/>
    <cellStyle name="Migliaia 5 4 3 6 4 2 2" xfId="15805" xr:uid="{FDA5EF7B-9515-49DD-8811-55836F6BFCCD}"/>
    <cellStyle name="Migliaia 5 4 3 6 4 2 2 2" xfId="30982" xr:uid="{7C17D0FF-CD09-48FC-8599-397059C8E332}"/>
    <cellStyle name="Migliaia 5 4 3 6 4 2 3" xfId="27437" xr:uid="{24133C19-34B5-4151-B732-AB4D9BF45003}"/>
    <cellStyle name="Migliaia 5 4 3 6 4 3" xfId="8085" xr:uid="{AA933563-0D1A-40F5-B36C-34DA68D2B7FF}"/>
    <cellStyle name="Migliaia 5 4 3 6 4 3 2" xfId="23265" xr:uid="{37C06513-61B3-428E-B334-294FD8B1D3D5}"/>
    <cellStyle name="Migliaia 5 4 3 6 4 4" xfId="19977" xr:uid="{4A6042D5-262E-404F-8F5A-0AAB2BBB0A42}"/>
    <cellStyle name="Migliaia 5 4 3 6 5" xfId="2220" xr:uid="{A73210B6-E370-4D30-A625-E34E3976CC7F}"/>
    <cellStyle name="Migliaia 5 4 3 6 5 2" xfId="9717" xr:uid="{C552DF00-D388-4378-8571-14F127B6B965}"/>
    <cellStyle name="Migliaia 5 4 3 6 5 2 2" xfId="24895" xr:uid="{241E9768-7A5F-4D8B-9626-C87E99C58216}"/>
    <cellStyle name="Migliaia 5 4 3 6 5 3" xfId="17435" xr:uid="{2F258122-445A-4832-A732-302668FA5C43}"/>
    <cellStyle name="Migliaia 5 4 3 6 6" xfId="9203" xr:uid="{3C0F33B2-2449-4356-B38C-03D33E40A593}"/>
    <cellStyle name="Migliaia 5 4 3 6 6 2" xfId="13376" xr:uid="{66B7C37F-3BC1-42B3-A4EC-0F0DE171637B}"/>
    <cellStyle name="Migliaia 5 4 3 6 6 2 2" xfId="28553" xr:uid="{621B03E7-9D8A-4B8F-9379-76DCD0D1BB90}"/>
    <cellStyle name="Migliaia 5 4 3 6 6 3" xfId="24381" xr:uid="{8136B49A-104D-49AE-A79A-BEB1D9AEE563}"/>
    <cellStyle name="Migliaia 5 4 3 6 7" xfId="5543" xr:uid="{46633249-BDF4-400E-95EF-FE460E9AA929}"/>
    <cellStyle name="Migliaia 5 4 3 6 7 2" xfId="20723" xr:uid="{2A0A9178-8AA3-4226-8766-839D84BC1A65}"/>
    <cellStyle name="Migliaia 5 4 3 6 8" xfId="16921" xr:uid="{4C242E1D-0A4A-4BFC-A760-5AC77ED689FA}"/>
    <cellStyle name="Migliaia 5 4 3 7" xfId="2320" xr:uid="{56F68C65-B372-4C31-AA0C-C7D604914950}"/>
    <cellStyle name="Migliaia 5 4 3 7 2" xfId="9815" xr:uid="{E33A09B9-BC37-46D6-8A7A-606372D20473}"/>
    <cellStyle name="Migliaia 5 4 3 7 2 2" xfId="13474" xr:uid="{CF8F57C1-01F7-4A7B-A31A-408DC3E168B1}"/>
    <cellStyle name="Migliaia 5 4 3 7 2 2 2" xfId="28651" xr:uid="{FD0FE7E6-0617-4971-81FD-7F3AECB51330}"/>
    <cellStyle name="Migliaia 5 4 3 7 2 3" xfId="24993" xr:uid="{F53731B9-1001-4659-999D-CEECB73BBFD7}"/>
    <cellStyle name="Migliaia 5 4 3 7 3" xfId="5641" xr:uid="{1557A988-334B-4600-8673-87841B6D727D}"/>
    <cellStyle name="Migliaia 5 4 3 7 3 2" xfId="20821" xr:uid="{22491AC8-32DC-40E4-9BA7-8AAA1FA941FF}"/>
    <cellStyle name="Migliaia 5 4 3 7 4" xfId="17533" xr:uid="{D0CAD3AB-31EB-44AE-8741-4F1AC3024F05}"/>
    <cellStyle name="Migliaia 5 4 3 8" xfId="3210" xr:uid="{EE34E513-A619-4339-8431-A8821C2EA6B0}"/>
    <cellStyle name="Migliaia 5 4 3 8 2" xfId="10699" xr:uid="{BA4DE2EC-8DB8-4E17-9B1F-1C69A3568E1D}"/>
    <cellStyle name="Migliaia 5 4 3 8 2 2" xfId="14245" xr:uid="{041AD254-13E5-4F9A-80C0-3CFC3321A628}"/>
    <cellStyle name="Migliaia 5 4 3 8 2 2 2" xfId="29422" xr:uid="{04949ED8-F905-4FE3-98FF-23AEA364E69E}"/>
    <cellStyle name="Migliaia 5 4 3 8 2 3" xfId="25877" xr:uid="{3E14C3AF-EF9D-4A3D-8D52-6A8AC570D1CF}"/>
    <cellStyle name="Migliaia 5 4 3 8 3" xfId="6525" xr:uid="{57BF7D2D-6B1C-4B09-9925-731ECEEEB5C9}"/>
    <cellStyle name="Migliaia 5 4 3 8 3 2" xfId="21705" xr:uid="{1E00188E-4F42-45DA-8BA1-2C82AB4DE83A}"/>
    <cellStyle name="Migliaia 5 4 3 8 4" xfId="18417" xr:uid="{BBDDE6D2-C585-4EAA-B48D-DF73F77F12B8}"/>
    <cellStyle name="Migliaia 5 4 3 9" xfId="4775" xr:uid="{2B1E9EA5-ED9D-4223-88AD-5485B5AF92D6}"/>
    <cellStyle name="Migliaia 5 4 3 9 2" xfId="12260" xr:uid="{661BC8EE-14A1-45B2-904B-D5232F7D30E8}"/>
    <cellStyle name="Migliaia 5 4 3 9 2 2" xfId="15806" xr:uid="{9A7BF70E-7AAE-439B-9BE2-3F0ABCEC9BD9}"/>
    <cellStyle name="Migliaia 5 4 3 9 2 2 2" xfId="30983" xr:uid="{B7A5A601-0902-47E5-AB1B-9C8351434078}"/>
    <cellStyle name="Migliaia 5 4 3 9 2 3" xfId="27438" xr:uid="{E18FF375-1B56-45A8-99BB-68AD75699FAE}"/>
    <cellStyle name="Migliaia 5 4 3 9 3" xfId="8086" xr:uid="{4F95FAF3-8F18-4F85-B451-1FDF2D90757D}"/>
    <cellStyle name="Migliaia 5 4 3 9 3 2" xfId="23266" xr:uid="{C2AE3A3E-A823-4643-B8EE-EAF95B736714}"/>
    <cellStyle name="Migliaia 5 4 3 9 4" xfId="19978" xr:uid="{22D3408A-B655-405E-95D8-52EE5E0266D4}"/>
    <cellStyle name="Migliaia 5 4 4" xfId="878" xr:uid="{EAD5769B-6779-47C6-8A98-918BA47C69BA}"/>
    <cellStyle name="Migliaia 5 4 4 2" xfId="2396" xr:uid="{584A814E-2CFE-4AD4-985F-4C6A5078D7C7}"/>
    <cellStyle name="Migliaia 5 4 4 2 2" xfId="9888" xr:uid="{9A357154-72AF-427E-AC87-AEFB02D58A86}"/>
    <cellStyle name="Migliaia 5 4 4 2 2 2" xfId="13547" xr:uid="{97B9D68B-FA2D-49C5-84B8-B55E89FE5736}"/>
    <cellStyle name="Migliaia 5 4 4 2 2 2 2" xfId="28724" xr:uid="{06698F64-4C72-4FE1-A6EC-E000502AE74F}"/>
    <cellStyle name="Migliaia 5 4 4 2 2 3" xfId="25066" xr:uid="{ABF6FF6F-CB36-431C-B889-871C30097DDB}"/>
    <cellStyle name="Migliaia 5 4 4 2 3" xfId="5714" xr:uid="{C1B241FE-A074-46C0-96B7-F0FE34EB3F33}"/>
    <cellStyle name="Migliaia 5 4 4 2 3 2" xfId="20894" xr:uid="{DBE9A890-5498-413B-8F3B-ADD838868A94}"/>
    <cellStyle name="Migliaia 5 4 4 2 4" xfId="17606" xr:uid="{AF94EA30-9944-444B-B616-A4C1724E8E87}"/>
    <cellStyle name="Migliaia 5 4 4 3" xfId="3284" xr:uid="{CB3A6081-B91F-46DC-BA52-2E8E06A4B299}"/>
    <cellStyle name="Migliaia 5 4 4 3 2" xfId="10772" xr:uid="{A772D8C8-89EF-4FD7-BADF-14F72DF8BA5D}"/>
    <cellStyle name="Migliaia 5 4 4 3 2 2" xfId="14318" xr:uid="{BC61E88F-77D2-4B11-ADEA-6A26CC7F9561}"/>
    <cellStyle name="Migliaia 5 4 4 3 2 2 2" xfId="29495" xr:uid="{EF7F2E15-F740-4F5D-9A4B-BE2D425E527D}"/>
    <cellStyle name="Migliaia 5 4 4 3 2 3" xfId="25950" xr:uid="{BFD418D8-5D4E-4CF8-99E3-3CE668729983}"/>
    <cellStyle name="Migliaia 5 4 4 3 3" xfId="6598" xr:uid="{BAFCFD8C-6904-4AA6-8348-D0A5607BF5BD}"/>
    <cellStyle name="Migliaia 5 4 4 3 3 2" xfId="21778" xr:uid="{8B75ED1A-D406-4B26-8B90-7F135AD059F7}"/>
    <cellStyle name="Migliaia 5 4 4 3 4" xfId="18490" xr:uid="{CDFC541B-CD86-4FB6-89D1-75312852BD42}"/>
    <cellStyle name="Migliaia 5 4 4 4" xfId="4776" xr:uid="{4F5CB472-AF16-4917-A36A-347C4E71154B}"/>
    <cellStyle name="Migliaia 5 4 4 4 2" xfId="12261" xr:uid="{041629EB-6A18-4274-8285-86252313F26E}"/>
    <cellStyle name="Migliaia 5 4 4 4 2 2" xfId="15807" xr:uid="{229C5141-A2F2-427B-AF9A-B7A2EF0D2DC8}"/>
    <cellStyle name="Migliaia 5 4 4 4 2 2 2" xfId="30984" xr:uid="{CDA7AEAB-77B6-4048-92E1-C9F93E5FC288}"/>
    <cellStyle name="Migliaia 5 4 4 4 2 3" xfId="27439" xr:uid="{28B15559-5340-4636-8A69-247D37C77447}"/>
    <cellStyle name="Migliaia 5 4 4 4 3" xfId="8087" xr:uid="{B1B78425-66B3-4628-94CB-849C6665C07D}"/>
    <cellStyle name="Migliaia 5 4 4 4 3 2" xfId="23267" xr:uid="{442C313C-20A1-4D19-897A-4C15413F5CFE}"/>
    <cellStyle name="Migliaia 5 4 4 4 4" xfId="19979" xr:uid="{9A850BAE-CAD1-451F-ACC1-A1F22F93A44D}"/>
    <cellStyle name="Migliaia 5 4 4 5" xfId="8490" xr:uid="{753CFC36-B04D-462B-9A99-025E771009D9}"/>
    <cellStyle name="Migliaia 5 4 4 5 2" xfId="12663" xr:uid="{E444610C-7EE6-41F5-9398-CCE500B1DCDE}"/>
    <cellStyle name="Migliaia 5 4 4 5 2 2" xfId="27840" xr:uid="{B3926B6D-6ABF-40A9-8D7B-DBC803A4E244}"/>
    <cellStyle name="Migliaia 5 4 4 5 3" xfId="23668" xr:uid="{2478C8F9-E330-4135-8871-BF575FCA8242}"/>
    <cellStyle name="Migliaia 5 4 4 6" xfId="16208" xr:uid="{E25D8FBB-3F65-4359-B594-B9CFC7390B9D}"/>
    <cellStyle name="Migliaia 5 4 4 7" xfId="31648" xr:uid="{BBCA688D-04E5-4304-9025-5D678098C915}"/>
    <cellStyle name="Migliaia 5 4 5" xfId="981" xr:uid="{D5EC1712-3E56-4DB3-A567-B9B243D4EBB3}"/>
    <cellStyle name="Migliaia 5 4 5 2" xfId="2494" xr:uid="{79242716-5ECE-4A92-8BD7-E0C0FD3B7A91}"/>
    <cellStyle name="Migliaia 5 4 5 2 2" xfId="9986" xr:uid="{B5F51AE5-D236-4954-B44C-7303D31CEA91}"/>
    <cellStyle name="Migliaia 5 4 5 2 2 2" xfId="13645" xr:uid="{F6203547-F3BA-41F1-8268-9B2256D5D1B4}"/>
    <cellStyle name="Migliaia 5 4 5 2 2 2 2" xfId="28822" xr:uid="{BA77172D-11C6-473D-873D-EC242BBC2A04}"/>
    <cellStyle name="Migliaia 5 4 5 2 2 3" xfId="25164" xr:uid="{2CFA7E5D-D040-41F0-A45E-6E30F40F8001}"/>
    <cellStyle name="Migliaia 5 4 5 2 3" xfId="5812" xr:uid="{1CC02B7B-020C-4D5D-BDB3-79DA457C6A83}"/>
    <cellStyle name="Migliaia 5 4 5 2 3 2" xfId="20992" xr:uid="{F4DE5456-89AD-40DA-9458-5914466E7D51}"/>
    <cellStyle name="Migliaia 5 4 5 2 4" xfId="17704" xr:uid="{396F9B72-6703-4254-BBFC-46918C7EDDF2}"/>
    <cellStyle name="Migliaia 5 4 5 3" xfId="3382" xr:uid="{C50E5E44-BBDA-4B50-AC7C-B5ABB9498BC8}"/>
    <cellStyle name="Migliaia 5 4 5 3 2" xfId="10870" xr:uid="{8DA65AFC-4626-4A49-8424-5FACFC7584BA}"/>
    <cellStyle name="Migliaia 5 4 5 3 2 2" xfId="14416" xr:uid="{68827C54-23CB-4BA2-BD8A-15ABC466699E}"/>
    <cellStyle name="Migliaia 5 4 5 3 2 2 2" xfId="29593" xr:uid="{9F65651E-15DF-4A1C-85F3-722E8003DF3F}"/>
    <cellStyle name="Migliaia 5 4 5 3 2 3" xfId="26048" xr:uid="{0C593495-4375-46F7-8933-19D39D2BCEF7}"/>
    <cellStyle name="Migliaia 5 4 5 3 3" xfId="6696" xr:uid="{19734D5F-6CA9-45D1-971C-03A9649BE063}"/>
    <cellStyle name="Migliaia 5 4 5 3 3 2" xfId="21876" xr:uid="{2205D866-5831-4DDF-B16F-1EAAC9BC3E7E}"/>
    <cellStyle name="Migliaia 5 4 5 3 4" xfId="18588" xr:uid="{97801A74-147F-4C66-9C1A-CC02A60F1B8E}"/>
    <cellStyle name="Migliaia 5 4 5 4" xfId="4777" xr:uid="{330A34E8-6BCC-48A5-9DCF-5BBFA21D9C7B}"/>
    <cellStyle name="Migliaia 5 4 5 4 2" xfId="12262" xr:uid="{8BB91BD3-B228-405D-9DD6-59C5ED173C43}"/>
    <cellStyle name="Migliaia 5 4 5 4 2 2" xfId="15808" xr:uid="{C65E5380-24AD-4469-915D-998FAAE0E8E1}"/>
    <cellStyle name="Migliaia 5 4 5 4 2 2 2" xfId="30985" xr:uid="{ED082474-DC3B-4168-80AA-EF5BD951E80E}"/>
    <cellStyle name="Migliaia 5 4 5 4 2 3" xfId="27440" xr:uid="{809E533A-EA25-4D64-8E2D-D1C684184C90}"/>
    <cellStyle name="Migliaia 5 4 5 4 3" xfId="8088" xr:uid="{2A79BD8A-187F-4A43-802C-BAA0B3C26FCE}"/>
    <cellStyle name="Migliaia 5 4 5 4 3 2" xfId="23268" xr:uid="{7A638911-7A2C-48B5-8BF3-0569D8EAA65D}"/>
    <cellStyle name="Migliaia 5 4 5 4 4" xfId="19980" xr:uid="{0EE3CB50-1388-41D3-BB2C-A05BBC1C86F5}"/>
    <cellStyle name="Migliaia 5 4 5 5" xfId="8588" xr:uid="{24B4DECD-3FE8-4E33-91E0-4B28E8D10A2D}"/>
    <cellStyle name="Migliaia 5 4 5 5 2" xfId="12761" xr:uid="{F35A6EF4-20A8-4BE1-9CDE-C87F85E3E976}"/>
    <cellStyle name="Migliaia 5 4 5 5 2 2" xfId="27938" xr:uid="{7465525F-E46B-498A-A995-279C977F73D2}"/>
    <cellStyle name="Migliaia 5 4 5 5 3" xfId="23766" xr:uid="{4F7E8BA0-FB4F-4D89-8EA2-A39DF1F4891B}"/>
    <cellStyle name="Migliaia 5 4 5 6" xfId="16306" xr:uid="{163028FB-64CB-4D19-976C-E6A5F861992B}"/>
    <cellStyle name="Migliaia 5 4 5 7" xfId="31526" xr:uid="{7AB658E4-FA3A-4451-A34B-EA927544D35F}"/>
    <cellStyle name="Migliaia 5 4 6" xfId="1164" xr:uid="{41151ADB-2861-434E-981C-89BA15BAD42A}"/>
    <cellStyle name="Migliaia 5 4 6 2" xfId="2597" xr:uid="{7724D658-0DD2-44AB-B3F7-EBBD3457DBAD}"/>
    <cellStyle name="Migliaia 5 4 6 2 2" xfId="10088" xr:uid="{24FF6DF5-2036-45A7-A406-B289E0CF5BF0}"/>
    <cellStyle name="Migliaia 5 4 6 2 2 2" xfId="13746" xr:uid="{4EDB0D89-850D-464A-9816-A9D25F893D17}"/>
    <cellStyle name="Migliaia 5 4 6 2 2 2 2" xfId="28923" xr:uid="{63E56653-98DC-4746-917E-B0BFDA50A28D}"/>
    <cellStyle name="Migliaia 5 4 6 2 2 3" xfId="25266" xr:uid="{4CBBD9C8-A658-4909-9287-D500529C6274}"/>
    <cellStyle name="Migliaia 5 4 6 2 3" xfId="5914" xr:uid="{414B6C14-28EB-40B6-9579-9210F3BE4E6A}"/>
    <cellStyle name="Migliaia 5 4 6 2 3 2" xfId="21094" xr:uid="{B3C501F4-5A56-4A04-986F-D62C85DA876D}"/>
    <cellStyle name="Migliaia 5 4 6 2 4" xfId="17806" xr:uid="{90A00AFE-63D9-43E0-A619-4CC6CEF30F65}"/>
    <cellStyle name="Migliaia 5 4 6 3" xfId="3484" xr:uid="{E66799E0-53D0-4918-91F0-F863017CB795}"/>
    <cellStyle name="Migliaia 5 4 6 3 2" xfId="10972" xr:uid="{2B72BEEF-3985-413D-918F-3E5CC7A264A7}"/>
    <cellStyle name="Migliaia 5 4 6 3 2 2" xfId="14518" xr:uid="{C11BB028-1B3B-4C30-A90E-67E62F43EAE1}"/>
    <cellStyle name="Migliaia 5 4 6 3 2 2 2" xfId="29695" xr:uid="{9222BA2B-D6DC-4A1C-A2E8-A80F5CC07994}"/>
    <cellStyle name="Migliaia 5 4 6 3 2 3" xfId="26150" xr:uid="{64629864-AC95-4F90-BDFE-453339E9062E}"/>
    <cellStyle name="Migliaia 5 4 6 3 3" xfId="6798" xr:uid="{1F648C21-F8C2-42E8-BF6C-DCD58DE2CAD0}"/>
    <cellStyle name="Migliaia 5 4 6 3 3 2" xfId="21978" xr:uid="{FB7CD304-8B30-40DA-AA02-F243E2250559}"/>
    <cellStyle name="Migliaia 5 4 6 3 4" xfId="18690" xr:uid="{A46D9809-CD1F-4D68-B8EB-FC37AE674B59}"/>
    <cellStyle name="Migliaia 5 4 6 4" xfId="4778" xr:uid="{41A87EAB-0760-42E6-BC5F-52EE1D5F534C}"/>
    <cellStyle name="Migliaia 5 4 6 4 2" xfId="12263" xr:uid="{4A228827-286E-4B75-9472-2A4B47B43365}"/>
    <cellStyle name="Migliaia 5 4 6 4 2 2" xfId="15809" xr:uid="{FD338EFC-6491-4C58-83AD-09B0115C8003}"/>
    <cellStyle name="Migliaia 5 4 6 4 2 2 2" xfId="30986" xr:uid="{ABE14679-A568-4717-BD65-BC9E1A4D8EC7}"/>
    <cellStyle name="Migliaia 5 4 6 4 2 3" xfId="27441" xr:uid="{14820123-54FC-404F-8716-5A40A7BCD4A1}"/>
    <cellStyle name="Migliaia 5 4 6 4 3" xfId="8089" xr:uid="{3B3B91C8-2FBC-4D97-8C38-3D14785DBBDB}"/>
    <cellStyle name="Migliaia 5 4 6 4 3 2" xfId="23269" xr:uid="{0EF7F8C2-CC0E-4517-AFAC-8774BF867128}"/>
    <cellStyle name="Migliaia 5 4 6 4 4" xfId="19981" xr:uid="{23090C89-76FF-4712-92BA-6D1A86845826}"/>
    <cellStyle name="Migliaia 5 4 6 5" xfId="8690" xr:uid="{7BE6B23E-A646-408D-9C3F-0BF95889EBB8}"/>
    <cellStyle name="Migliaia 5 4 6 5 2" xfId="12863" xr:uid="{C16341DC-C68D-44F7-BF24-B6010C28ACF4}"/>
    <cellStyle name="Migliaia 5 4 6 5 2 2" xfId="28040" xr:uid="{AC1050B3-3511-4E41-9EE4-7FF07958EA17}"/>
    <cellStyle name="Migliaia 5 4 6 5 3" xfId="23868" xr:uid="{85C55F13-51A9-4344-AD64-D230791CB84B}"/>
    <cellStyle name="Migliaia 5 4 6 6" xfId="16408" xr:uid="{74D3E9D9-3DF5-4905-B716-93688540DBC8}"/>
    <cellStyle name="Migliaia 5 4 7" xfId="1190" xr:uid="{4D42DFCC-DFE3-4A71-B7A4-FF20853F0F66}"/>
    <cellStyle name="Migliaia 5 4 7 2" xfId="2621" xr:uid="{64DF5D8B-08ED-4ECA-8C3B-1832DFCECA76}"/>
    <cellStyle name="Migliaia 5 4 7 2 2" xfId="10112" xr:uid="{A1F514E3-275E-4198-A62F-A846944B5499}"/>
    <cellStyle name="Migliaia 5 4 7 2 2 2" xfId="13770" xr:uid="{41AEBA41-B550-4BC5-A6BC-DCEF5E08277F}"/>
    <cellStyle name="Migliaia 5 4 7 2 2 2 2" xfId="28947" xr:uid="{DB539D9D-B799-4066-AED5-AC0B81673563}"/>
    <cellStyle name="Migliaia 5 4 7 2 2 3" xfId="25290" xr:uid="{46E2FAFC-697A-4784-A960-2C8C9FB7B536}"/>
    <cellStyle name="Migliaia 5 4 7 2 3" xfId="5938" xr:uid="{BFEF95E0-8EAD-4791-9BC8-7807E19DB2A8}"/>
    <cellStyle name="Migliaia 5 4 7 2 3 2" xfId="21118" xr:uid="{6933A8A7-623C-49EB-9134-71D931EDC557}"/>
    <cellStyle name="Migliaia 5 4 7 2 4" xfId="17830" xr:uid="{721C97A6-C40A-4902-ADB8-5FF24DE2EFED}"/>
    <cellStyle name="Migliaia 5 4 7 3" xfId="3508" xr:uid="{694A08F0-8D8D-4002-BAEA-E8576571840B}"/>
    <cellStyle name="Migliaia 5 4 7 3 2" xfId="10996" xr:uid="{19F2D166-A75C-42E8-9AF7-045319121E60}"/>
    <cellStyle name="Migliaia 5 4 7 3 2 2" xfId="14542" xr:uid="{BE9A817A-4772-4DD5-957F-794FCE00EA40}"/>
    <cellStyle name="Migliaia 5 4 7 3 2 2 2" xfId="29719" xr:uid="{B10F1F70-CA42-4819-8844-C7236FBA71A9}"/>
    <cellStyle name="Migliaia 5 4 7 3 2 3" xfId="26174" xr:uid="{BB111C59-96EF-4412-9272-3CAECDEBC1CA}"/>
    <cellStyle name="Migliaia 5 4 7 3 3" xfId="6822" xr:uid="{ECF5DC12-9D13-47B8-A462-22AD3199BBDF}"/>
    <cellStyle name="Migliaia 5 4 7 3 3 2" xfId="22002" xr:uid="{1DAC4F26-E870-483E-95A2-F38F61D093F8}"/>
    <cellStyle name="Migliaia 5 4 7 3 4" xfId="18714" xr:uid="{501F0B33-9D80-4E33-A169-5A3D7755F3F0}"/>
    <cellStyle name="Migliaia 5 4 7 4" xfId="4779" xr:uid="{CD090E6F-677D-4258-AB39-143DEC7F4EE3}"/>
    <cellStyle name="Migliaia 5 4 7 4 2" xfId="12264" xr:uid="{49B64057-6579-4547-92E5-E2A3A9937FB9}"/>
    <cellStyle name="Migliaia 5 4 7 4 2 2" xfId="15810" xr:uid="{E70E91EC-8A3A-4A3D-83DB-7C377E3B691E}"/>
    <cellStyle name="Migliaia 5 4 7 4 2 2 2" xfId="30987" xr:uid="{405DE5BA-1C3B-4C84-9457-520B73D70588}"/>
    <cellStyle name="Migliaia 5 4 7 4 2 3" xfId="27442" xr:uid="{172F2DA7-C711-48AA-90EE-7D5E4B0B99A0}"/>
    <cellStyle name="Migliaia 5 4 7 4 3" xfId="8090" xr:uid="{1DBA1908-8D52-414A-9B3C-FFB38CBC3B8F}"/>
    <cellStyle name="Migliaia 5 4 7 4 3 2" xfId="23270" xr:uid="{54244D03-CDCD-4332-B3BC-7C3E56BC5C78}"/>
    <cellStyle name="Migliaia 5 4 7 4 4" xfId="19982" xr:uid="{8B7DE121-94F6-498C-9C84-EF86B6362836}"/>
    <cellStyle name="Migliaia 5 4 7 5" xfId="8714" xr:uid="{19AE7DDC-9E65-4A43-A853-1E9517BF5D50}"/>
    <cellStyle name="Migliaia 5 4 7 5 2" xfId="12887" xr:uid="{2A373FC5-CF78-49BF-A706-1887CF711032}"/>
    <cellStyle name="Migliaia 5 4 7 5 2 2" xfId="28064" xr:uid="{F18B1151-BE2C-429E-A0DB-A95A362DD0AA}"/>
    <cellStyle name="Migliaia 5 4 7 5 3" xfId="23892" xr:uid="{AB5C11E9-9792-4EC5-A192-691B624AB27F}"/>
    <cellStyle name="Migliaia 5 4 7 6" xfId="16432" xr:uid="{8486993F-05E0-4C89-945C-EA1972790E88}"/>
    <cellStyle name="Migliaia 5 4 8" xfId="1239" xr:uid="{CE9833C5-4080-4B41-BE73-C8426EA140AA}"/>
    <cellStyle name="Migliaia 5 4 8 10" xfId="31298" xr:uid="{41C8897F-DD6E-46CF-A1CE-DBF673F706AA}"/>
    <cellStyle name="Migliaia 5 4 8 2" xfId="2669" xr:uid="{BB5C1FAF-EED0-4940-AFD7-7C2FA2A45934}"/>
    <cellStyle name="Migliaia 5 4 8 2 2" xfId="10160" xr:uid="{8E3CB3D9-194A-45EC-9CAB-452387D29E37}"/>
    <cellStyle name="Migliaia 5 4 8 2 2 2" xfId="13804" xr:uid="{BA5E433D-0AE8-4CF7-8CB0-78A8D0BA4A1F}"/>
    <cellStyle name="Migliaia 5 4 8 2 2 2 2" xfId="28981" xr:uid="{27D745E6-DE2B-4410-957C-D5DF6BF19734}"/>
    <cellStyle name="Migliaia 5 4 8 2 2 3" xfId="25338" xr:uid="{B6C090E7-942A-4036-B7B6-5F3BDB684BCC}"/>
    <cellStyle name="Migliaia 5 4 8 2 3" xfId="5986" xr:uid="{FF538168-41F8-4B95-8EDE-C6ED3A4F53D3}"/>
    <cellStyle name="Migliaia 5 4 8 2 3 2" xfId="21166" xr:uid="{7B53DE15-C2E4-49CD-8563-161DE8BD4BC8}"/>
    <cellStyle name="Migliaia 5 4 8 2 4" xfId="17878" xr:uid="{CA8BEBFA-BD19-4F5C-A5FE-CAC3B733CE24}"/>
    <cellStyle name="Migliaia 5 4 8 3" xfId="3556" xr:uid="{E083CE04-4873-43C0-A954-4FA2F3A59B84}"/>
    <cellStyle name="Migliaia 5 4 8 3 2" xfId="11044" xr:uid="{EFDF963B-EA57-4571-BED8-5BA6FCD27D60}"/>
    <cellStyle name="Migliaia 5 4 8 3 2 2" xfId="14590" xr:uid="{A9EA1F4D-4B8E-4494-B197-EE2230C561C7}"/>
    <cellStyle name="Migliaia 5 4 8 3 2 2 2" xfId="29767" xr:uid="{353305A9-EC3E-46BA-831C-AE3F91DE79F0}"/>
    <cellStyle name="Migliaia 5 4 8 3 2 3" xfId="26222" xr:uid="{357A6345-154A-442B-8FD4-128EE9872AF8}"/>
    <cellStyle name="Migliaia 5 4 8 3 3" xfId="6870" xr:uid="{9E0B0073-C39A-427F-AD9D-91602960632D}"/>
    <cellStyle name="Migliaia 5 4 8 3 3 2" xfId="22050" xr:uid="{0BB57FDB-63C5-4C42-A66B-098EC0FB4485}"/>
    <cellStyle name="Migliaia 5 4 8 3 4" xfId="18762" xr:uid="{08E44732-5EBC-4E97-A773-97C7E3A76853}"/>
    <cellStyle name="Migliaia 5 4 8 4" xfId="4780" xr:uid="{D721B960-8A87-4F79-B0D6-0F4B8A450B06}"/>
    <cellStyle name="Migliaia 5 4 8 4 2" xfId="12265" xr:uid="{119AA471-870B-4565-A5E3-23521E6F8899}"/>
    <cellStyle name="Migliaia 5 4 8 4 2 2" xfId="15811" xr:uid="{03909646-0D28-4EF7-BCF7-89CE043B3A9E}"/>
    <cellStyle name="Migliaia 5 4 8 4 2 2 2" xfId="30988" xr:uid="{5818FF66-B28E-45E7-A555-F568D9148A34}"/>
    <cellStyle name="Migliaia 5 4 8 4 2 3" xfId="27443" xr:uid="{240B59A9-3F31-41A8-87B3-CAD81DA032D0}"/>
    <cellStyle name="Migliaia 5 4 8 4 3" xfId="8091" xr:uid="{9DC12C17-B30D-4D64-8F4D-DF6FAF7719FE}"/>
    <cellStyle name="Migliaia 5 4 8 4 3 2" xfId="23271" xr:uid="{4B3B3873-FE71-4240-92A2-D85892DA513E}"/>
    <cellStyle name="Migliaia 5 4 8 4 4" xfId="19983" xr:uid="{2412DF08-6730-4895-8AAB-3479D8415D9D}"/>
    <cellStyle name="Migliaia 5 4 8 5" xfId="4958" xr:uid="{4C54AA63-404D-493D-8617-ED503E26CA5F}"/>
    <cellStyle name="Migliaia 5 4 8 5 2" xfId="12442" xr:uid="{BC7D390A-2F57-4B2D-86CF-3BBF793BAF92}"/>
    <cellStyle name="Migliaia 5 4 8 5 2 2" xfId="15988" xr:uid="{57BB5BED-E917-4773-8691-3D806B93DEBD}"/>
    <cellStyle name="Migliaia 5 4 8 5 2 2 2" xfId="31165" xr:uid="{957CF480-A47A-495C-98A9-011B81203316}"/>
    <cellStyle name="Migliaia 5 4 8 5 2 3" xfId="27620" xr:uid="{EE6D5C63-772B-4BCD-B8F7-01D611373F62}"/>
    <cellStyle name="Migliaia 5 4 8 5 3" xfId="8268" xr:uid="{BE00F350-965A-4DC3-BB10-2AF57EE16889}"/>
    <cellStyle name="Migliaia 5 4 8 5 3 2" xfId="23448" xr:uid="{8F4136EA-CAE2-40D3-BA04-117915929A7D}"/>
    <cellStyle name="Migliaia 5 4 8 5 4" xfId="20160" xr:uid="{5A417FCB-6350-4708-84FE-2012A10253BB}"/>
    <cellStyle name="Migliaia 5 4 8 6" xfId="1779" xr:uid="{CDB8D156-A501-4CC9-BCBD-F7CFD28139D0}"/>
    <cellStyle name="Migliaia 5 4 8 6 2" xfId="9276" xr:uid="{70666D90-B286-40B1-A3E9-641F2A68E246}"/>
    <cellStyle name="Migliaia 5 4 8 6 2 2" xfId="24454" xr:uid="{D87FF0D2-D22A-440C-ADF3-D5722E69A7AA}"/>
    <cellStyle name="Migliaia 5 4 8 6 3" xfId="16994" xr:uid="{57DBA78B-7709-4314-A945-857CF0E2896D}"/>
    <cellStyle name="Migliaia 5 4 8 7" xfId="8762" xr:uid="{D9F27B3A-8A5B-4185-ABB6-81F256364E03}"/>
    <cellStyle name="Migliaia 5 4 8 7 2" xfId="12935" xr:uid="{BF104787-A4B2-465D-B113-EE513EA1E8F4}"/>
    <cellStyle name="Migliaia 5 4 8 7 2 2" xfId="28112" xr:uid="{5851F162-2EFC-4B80-B7DD-26A6E3E9ECC6}"/>
    <cellStyle name="Migliaia 5 4 8 7 3" xfId="23940" xr:uid="{32484EB9-D325-42BF-A428-1E12E4081318}"/>
    <cellStyle name="Migliaia 5 4 8 8" xfId="5102" xr:uid="{CFE30F25-B76D-4370-8706-2CE95BF8DB3E}"/>
    <cellStyle name="Migliaia 5 4 8 8 2" xfId="20282" xr:uid="{9929CE49-2833-4199-B33A-FC33659D2720}"/>
    <cellStyle name="Migliaia 5 4 8 9" xfId="16480" xr:uid="{86109606-170E-461D-9E55-58BAD6410A31}"/>
    <cellStyle name="Migliaia 5 4 9" xfId="1341" xr:uid="{10F8D85D-66DB-4A3C-B90A-A46A0F2DA07A}"/>
    <cellStyle name="Migliaia 5 4 9 2" xfId="2767" xr:uid="{D9286204-8793-4789-9F46-6167D479F557}"/>
    <cellStyle name="Migliaia 5 4 9 2 2" xfId="10258" xr:uid="{E347A7A6-CA53-4712-BD69-E9F37DF2CF90}"/>
    <cellStyle name="Migliaia 5 4 9 2 2 2" xfId="13853" xr:uid="{F1581D84-F7AA-4FC2-A362-758C328C68E3}"/>
    <cellStyle name="Migliaia 5 4 9 2 2 2 2" xfId="29030" xr:uid="{2B3B61DF-9679-4784-87BB-48595F97DA50}"/>
    <cellStyle name="Migliaia 5 4 9 2 2 3" xfId="25436" xr:uid="{91A9ED19-612B-476A-8284-78F6509D2E88}"/>
    <cellStyle name="Migliaia 5 4 9 2 3" xfId="6084" xr:uid="{15568D7A-5FFD-412D-BE4C-E2CEE7593A81}"/>
    <cellStyle name="Migliaia 5 4 9 2 3 2" xfId="21264" xr:uid="{9F92C4B9-B189-4B81-8460-BD7C799F507B}"/>
    <cellStyle name="Migliaia 5 4 9 2 4" xfId="17976" xr:uid="{5321EB5B-58DA-4FEB-9DD2-FCDD1858E1F2}"/>
    <cellStyle name="Migliaia 5 4 9 3" xfId="3654" xr:uid="{BCECAB8E-B328-42FD-A5E5-3308067CF355}"/>
    <cellStyle name="Migliaia 5 4 9 3 2" xfId="11142" xr:uid="{2D09BA5D-4A17-4D37-BDD5-6F8140A1BC4D}"/>
    <cellStyle name="Migliaia 5 4 9 3 2 2" xfId="14688" xr:uid="{E4CD7820-FF7A-458E-BFB9-B66F35BC7A4F}"/>
    <cellStyle name="Migliaia 5 4 9 3 2 2 2" xfId="29865" xr:uid="{E02E03AA-EF40-4849-BA17-B3EAFA56EF90}"/>
    <cellStyle name="Migliaia 5 4 9 3 2 3" xfId="26320" xr:uid="{E6D07649-81EE-4375-923D-580E439BFB85}"/>
    <cellStyle name="Migliaia 5 4 9 3 3" xfId="6968" xr:uid="{A553B377-B9BA-4F2B-AABD-929884A70E4B}"/>
    <cellStyle name="Migliaia 5 4 9 3 3 2" xfId="22148" xr:uid="{D6D0C717-1010-44F0-85C6-4027FABC054C}"/>
    <cellStyle name="Migliaia 5 4 9 3 4" xfId="18860" xr:uid="{3DA0FFB5-31E4-4C6E-A234-E2AB61FC679E}"/>
    <cellStyle name="Migliaia 5 4 9 4" xfId="4781" xr:uid="{5E4B306D-32D4-4C6A-853D-0F831255CC7F}"/>
    <cellStyle name="Migliaia 5 4 9 4 2" xfId="12266" xr:uid="{A2349DCA-4BA5-44C7-947A-A041299D6F25}"/>
    <cellStyle name="Migliaia 5 4 9 4 2 2" xfId="15812" xr:uid="{497FEC1A-50A5-4753-85C2-63B09C792669}"/>
    <cellStyle name="Migliaia 5 4 9 4 2 2 2" xfId="30989" xr:uid="{E8948BDF-3780-48BB-BED1-D03DC30C479C}"/>
    <cellStyle name="Migliaia 5 4 9 4 2 3" xfId="27444" xr:uid="{179FD3A3-2366-41FE-AD89-94CC734CE114}"/>
    <cellStyle name="Migliaia 5 4 9 4 3" xfId="8092" xr:uid="{D2432446-B938-46F7-8A7B-9424F5DBEF2C}"/>
    <cellStyle name="Migliaia 5 4 9 4 3 2" xfId="23272" xr:uid="{1942B35C-7849-43BA-99E2-B3822BCA8D53}"/>
    <cellStyle name="Migliaia 5 4 9 4 4" xfId="19984" xr:uid="{6EFCF21D-0BC3-4405-ABF8-A152B61694E2}"/>
    <cellStyle name="Migliaia 5 4 9 5" xfId="1877" xr:uid="{3B15D2BA-E111-4987-8271-47B5D88A5D23}"/>
    <cellStyle name="Migliaia 5 4 9 5 2" xfId="9374" xr:uid="{EFF01E86-C615-49A1-B276-7227D2A8B2E6}"/>
    <cellStyle name="Migliaia 5 4 9 5 2 2" xfId="24552" xr:uid="{6AC2FF89-0049-4CB9-B7B5-DED55768C51E}"/>
    <cellStyle name="Migliaia 5 4 9 5 3" xfId="17092" xr:uid="{CDA1CAD9-663F-46B1-8108-33B8BB403DBB}"/>
    <cellStyle name="Migliaia 5 4 9 6" xfId="8860" xr:uid="{CA4E0E67-AF43-4330-AB06-FE7080FE5B9B}"/>
    <cellStyle name="Migliaia 5 4 9 6 2" xfId="13033" xr:uid="{2E51F0A8-49C4-4207-B805-643471E6DC58}"/>
    <cellStyle name="Migliaia 5 4 9 6 2 2" xfId="28210" xr:uid="{6C5FE093-070D-45A9-92A2-C210EA48932E}"/>
    <cellStyle name="Migliaia 5 4 9 6 3" xfId="24038" xr:uid="{9772277B-9E3B-49E1-923B-EA078CB7C1A1}"/>
    <cellStyle name="Migliaia 5 4 9 7" xfId="5200" xr:uid="{20FD2439-FEAF-4010-A9DB-B7C02BD819D5}"/>
    <cellStyle name="Migliaia 5 4 9 7 2" xfId="20380" xr:uid="{FCFC094B-F2B0-4501-B8C7-ECB23A9819A8}"/>
    <cellStyle name="Migliaia 5 4 9 8" xfId="16578" xr:uid="{1724DA6E-E0CD-45F6-B7ED-F90164AC19B3}"/>
    <cellStyle name="Migliaia 5 5" xfId="473" xr:uid="{D502F20B-60AB-40E7-BB52-FC5E197C9041}"/>
    <cellStyle name="Migliaia 5 5 2" xfId="586" xr:uid="{C9FD3BFA-CA38-4A4B-A322-E89E72355F0E}"/>
    <cellStyle name="Migliaia 5 5 2 2" xfId="9864" xr:uid="{F2D9D39B-A841-4E52-BFFD-C30B75BF7237}"/>
    <cellStyle name="Migliaia 5 5 2 2 2" xfId="13523" xr:uid="{1803C6A0-0B77-4069-95FB-FE71642D6EA2}"/>
    <cellStyle name="Migliaia 5 5 2 2 2 2" xfId="28700" xr:uid="{4D8BBE20-AB0E-4F4C-A07D-0A44C1C207CD}"/>
    <cellStyle name="Migliaia 5 5 2 2 3" xfId="25042" xr:uid="{B5C32B2C-71B0-4874-BA93-81A3789BAC33}"/>
    <cellStyle name="Migliaia 5 5 2 3" xfId="5690" xr:uid="{179D2CC9-7E86-49EC-BF70-1C3928FFA8A7}"/>
    <cellStyle name="Migliaia 5 5 2 3 2" xfId="20870" xr:uid="{E3B66E0A-AB93-44F2-9AEF-D3C5E40708B1}"/>
    <cellStyle name="Migliaia 5 5 2 4" xfId="17582" xr:uid="{041C21E3-FB52-4401-94F8-CA016420A03E}"/>
    <cellStyle name="Migliaia 5 5 2 5" xfId="2370" xr:uid="{BA780D80-8A14-4A4E-89A8-91BF7BF32E38}"/>
    <cellStyle name="Migliaia 5 5 3" xfId="3260" xr:uid="{3D2BCFBA-5D3A-45EF-B357-971C659A2FA8}"/>
    <cellStyle name="Migliaia 5 5 3 2" xfId="10748" xr:uid="{7E0AD032-3C1B-4DDD-B02C-630EAF47FDB9}"/>
    <cellStyle name="Migliaia 5 5 3 2 2" xfId="14294" xr:uid="{9D8A0378-5906-4E20-964B-9C3155A73D92}"/>
    <cellStyle name="Migliaia 5 5 3 2 2 2" xfId="29471" xr:uid="{4AE691B0-FB4C-4378-AE08-E21DCE4C5699}"/>
    <cellStyle name="Migliaia 5 5 3 2 3" xfId="25926" xr:uid="{1ED51898-E509-402F-8A57-80E1CBA3AB64}"/>
    <cellStyle name="Migliaia 5 5 3 3" xfId="6574" xr:uid="{86923A1C-D0D2-40DC-B618-4077A52F2FD3}"/>
    <cellStyle name="Migliaia 5 5 3 3 2" xfId="21754" xr:uid="{0DCCD85D-7FB2-452C-93A7-D23B3C999944}"/>
    <cellStyle name="Migliaia 5 5 3 4" xfId="18466" xr:uid="{52AF4C8C-0686-46CE-AED5-7A6F5399D636}"/>
    <cellStyle name="Migliaia 5 5 4" xfId="4782" xr:uid="{0B024566-DE9D-4568-82DA-9C6EBE26CF35}"/>
    <cellStyle name="Migliaia 5 5 4 2" xfId="12267" xr:uid="{EED5BFCF-9F22-4E13-8BA6-F33E3B894FAA}"/>
    <cellStyle name="Migliaia 5 5 4 2 2" xfId="15813" xr:uid="{0DA6A506-13A9-475C-A6BE-BD831E7545D5}"/>
    <cellStyle name="Migliaia 5 5 4 2 2 2" xfId="30990" xr:uid="{979295D1-89CE-4006-9AFF-286F190DB22D}"/>
    <cellStyle name="Migliaia 5 5 4 2 3" xfId="27445" xr:uid="{DFEA55C4-DCCD-4122-939C-C9C2BC302483}"/>
    <cellStyle name="Migliaia 5 5 4 3" xfId="8093" xr:uid="{D77ED83D-42CC-4F2C-861D-E7974172E7AA}"/>
    <cellStyle name="Migliaia 5 5 4 3 2" xfId="23273" xr:uid="{E2656A1D-8B6C-4ACE-92A1-9A8B77125CF7}"/>
    <cellStyle name="Migliaia 5 5 4 4" xfId="19985" xr:uid="{D3F59B05-B65D-4A1A-A1FB-36B286C33D3B}"/>
    <cellStyle name="Migliaia 5 5 5" xfId="8466" xr:uid="{8A47C46C-7C94-4EC5-AA85-4EC571E7BC7C}"/>
    <cellStyle name="Migliaia 5 5 5 2" xfId="12639" xr:uid="{55AD7908-86E7-4C1F-B129-D31711EE0C59}"/>
    <cellStyle name="Migliaia 5 5 5 2 2" xfId="27816" xr:uid="{A31E728F-E2CD-442A-8B4A-82402AC56975}"/>
    <cellStyle name="Migliaia 5 5 5 3" xfId="23644" xr:uid="{50C3E2B0-CA4A-461B-A636-45E46390EEEB}"/>
    <cellStyle name="Migliaia 5 5 6" xfId="16184" xr:uid="{81B47229-F5F2-4949-9A1B-15B29DDDBC8C}"/>
    <cellStyle name="Migliaia 5 5 7" xfId="31624" xr:uid="{75035FDD-E91F-48E8-BC1C-77388E56FF7F}"/>
    <cellStyle name="Migliaia 5 5 8" xfId="852" xr:uid="{4A32647A-4423-4C12-8B54-C05E8BC6CEFD}"/>
    <cellStyle name="Migliaia 5 6" xfId="549" xr:uid="{1738A3D7-6D3D-425B-9492-47FC21150915}"/>
    <cellStyle name="Migliaia 5 6 10" xfId="31274" xr:uid="{3C69B5DF-F532-4634-A504-1F30C4EB60B1}"/>
    <cellStyle name="Migliaia 5 6 11" xfId="1215" xr:uid="{E6BDED95-7EF5-4A75-B7F8-1AB67B961FFD}"/>
    <cellStyle name="Migliaia 5 6 2" xfId="2645" xr:uid="{AECF0664-3A07-4399-9194-F52A5B074950}"/>
    <cellStyle name="Migliaia 5 6 2 2" xfId="10136" xr:uid="{5611A781-7B6C-4362-8E19-D5FA3601F4B6}"/>
    <cellStyle name="Migliaia 5 6 2 2 2" xfId="13794" xr:uid="{FD596798-F22F-4BBC-8CE9-C3523921052B}"/>
    <cellStyle name="Migliaia 5 6 2 2 2 2" xfId="28971" xr:uid="{F1837506-C417-442D-A65D-195A96193AB6}"/>
    <cellStyle name="Migliaia 5 6 2 2 3" xfId="25314" xr:uid="{73179AA8-7390-4454-8C38-BF96D9876D77}"/>
    <cellStyle name="Migliaia 5 6 2 3" xfId="5962" xr:uid="{BC7907FD-CAAB-44B0-9894-9E9D293029A6}"/>
    <cellStyle name="Migliaia 5 6 2 3 2" xfId="21142" xr:uid="{3E8D167B-024D-4129-B2DC-4FAE7C15792D}"/>
    <cellStyle name="Migliaia 5 6 2 4" xfId="17854" xr:uid="{382D4DAA-6240-49B6-99E4-9F283EC8A2C8}"/>
    <cellStyle name="Migliaia 5 6 3" xfId="3532" xr:uid="{9D7C6376-8E08-4FFE-A564-D48D5C787311}"/>
    <cellStyle name="Migliaia 5 6 3 2" xfId="11020" xr:uid="{9EC51FA5-C296-4B25-AA69-07A5961A5E10}"/>
    <cellStyle name="Migliaia 5 6 3 2 2" xfId="14566" xr:uid="{DF56D81F-AEF9-4E09-8277-65E594CF25DC}"/>
    <cellStyle name="Migliaia 5 6 3 2 2 2" xfId="29743" xr:uid="{F12ACB2F-2770-4ED7-B760-3B78A354A4FE}"/>
    <cellStyle name="Migliaia 5 6 3 2 3" xfId="26198" xr:uid="{A3863B47-AAFB-441A-ACFD-0936C3ADA31C}"/>
    <cellStyle name="Migliaia 5 6 3 3" xfId="6846" xr:uid="{0AD45A5B-A298-4E74-8DB0-56F81B504A92}"/>
    <cellStyle name="Migliaia 5 6 3 3 2" xfId="22026" xr:uid="{99EAB797-2404-4765-BBE1-6EE75BA5DF53}"/>
    <cellStyle name="Migliaia 5 6 3 4" xfId="18738" xr:uid="{6A014BAC-88CA-4FCE-AA72-60E3BFB8E85D}"/>
    <cellStyle name="Migliaia 5 6 4" xfId="4783" xr:uid="{7E293E3F-50C0-4A5C-BEC6-47CA2087A8A0}"/>
    <cellStyle name="Migliaia 5 6 4 2" xfId="12268" xr:uid="{356BECEF-BF3A-4F3B-A8B7-D03EEF43F37B}"/>
    <cellStyle name="Migliaia 5 6 4 2 2" xfId="15814" xr:uid="{6E86C716-BC1C-45BD-BAE1-E44A05F77093}"/>
    <cellStyle name="Migliaia 5 6 4 2 2 2" xfId="30991" xr:uid="{9EAFC679-C472-4FE6-AAF9-B1912B2C01C9}"/>
    <cellStyle name="Migliaia 5 6 4 2 3" xfId="27446" xr:uid="{206BAC25-7283-41A5-B054-4587B86953BA}"/>
    <cellStyle name="Migliaia 5 6 4 3" xfId="8094" xr:uid="{A23B645B-E4D4-4728-A29D-9B66217AAA69}"/>
    <cellStyle name="Migliaia 5 6 4 3 2" xfId="23274" xr:uid="{C082A581-D105-4C0C-91E7-67BA9C90C534}"/>
    <cellStyle name="Migliaia 5 6 4 4" xfId="19986" xr:uid="{4A847558-0FB4-4252-A9CC-12A771F14D3D}"/>
    <cellStyle name="Migliaia 5 6 5" xfId="4934" xr:uid="{F9774AD9-769E-4F8B-9606-876B7913901D}"/>
    <cellStyle name="Migliaia 5 6 5 2" xfId="12418" xr:uid="{42F02C34-6014-4D94-AAD8-CB4E4F643FEE}"/>
    <cellStyle name="Migliaia 5 6 5 2 2" xfId="15964" xr:uid="{27A725C4-266A-4775-A514-7CB144CFD46E}"/>
    <cellStyle name="Migliaia 5 6 5 2 2 2" xfId="31141" xr:uid="{D713D010-5254-40B4-9DC8-7D15016320EF}"/>
    <cellStyle name="Migliaia 5 6 5 2 3" xfId="27596" xr:uid="{1DCF5D02-E3ED-40ED-8DAE-23FDCF6068C2}"/>
    <cellStyle name="Migliaia 5 6 5 3" xfId="8244" xr:uid="{2A0A959B-7D29-4A3D-885C-E90501295C10}"/>
    <cellStyle name="Migliaia 5 6 5 3 2" xfId="23424" xr:uid="{F5E483F5-244C-435F-B4CE-520B7F481E5C}"/>
    <cellStyle name="Migliaia 5 6 5 4" xfId="20136" xr:uid="{D2B47EB1-0D01-4A5B-B00C-EBD7E818FEDD}"/>
    <cellStyle name="Migliaia 5 6 6" xfId="1755" xr:uid="{449553E3-C2D3-41DD-9CB1-F96035807B0F}"/>
    <cellStyle name="Migliaia 5 6 6 2" xfId="9252" xr:uid="{5ED30875-25A1-47A9-935C-562BFC606F5D}"/>
    <cellStyle name="Migliaia 5 6 6 2 2" xfId="24430" xr:uid="{CA47A459-0D56-4A83-A5E5-33D12A575A72}"/>
    <cellStyle name="Migliaia 5 6 6 3" xfId="16970" xr:uid="{33D55520-986F-4584-B233-8B576877224F}"/>
    <cellStyle name="Migliaia 5 6 7" xfId="8738" xr:uid="{118C9DFD-C8CA-473A-98E5-F845F9B6F58B}"/>
    <cellStyle name="Migliaia 5 6 7 2" xfId="12911" xr:uid="{D6C4EB1C-93EC-4613-990D-9C153895C483}"/>
    <cellStyle name="Migliaia 5 6 7 2 2" xfId="28088" xr:uid="{67C615B0-2E44-423B-AFA5-9E62F5952F96}"/>
    <cellStyle name="Migliaia 5 6 7 3" xfId="23916" xr:uid="{1019BD1F-C093-4864-AEBB-D8D0734E404F}"/>
    <cellStyle name="Migliaia 5 6 8" xfId="5078" xr:uid="{861C102D-5479-4706-8CE3-E7B8572B0D92}"/>
    <cellStyle name="Migliaia 5 6 8 2" xfId="20258" xr:uid="{993718D0-5C6B-4192-B7AB-C73199AEC79A}"/>
    <cellStyle name="Migliaia 5 6 9" xfId="16456" xr:uid="{D869AC8C-7837-433E-9561-77FF567E03D6}"/>
    <cellStyle name="Migliaia 5 7" xfId="31404" xr:uid="{C8B2CCD6-3F78-45F9-BF79-E07889F93C95}"/>
    <cellStyle name="Migliaia 5 8" xfId="612" xr:uid="{2F1C7664-5CFB-4EAF-A4D7-F42072E99928}"/>
    <cellStyle name="Migliaia 6" xfId="274" xr:uid="{433BC128-74BC-4D3F-AFFF-CEDAB189A033}"/>
    <cellStyle name="Migliaia 6 2" xfId="336" xr:uid="{5231F262-FCB6-427A-9844-7E2056C0BA5D}"/>
    <cellStyle name="Migliaia 6 2 2" xfId="482" xr:uid="{2EAB03C7-BD29-44F1-9A36-EA1EBF59DF35}"/>
    <cellStyle name="Migliaia 6 2 2 10" xfId="1448" xr:uid="{40E525E7-45A0-4C38-8CC6-C80F200FC87A}"/>
    <cellStyle name="Migliaia 6 2 2 10 2" xfId="2873" xr:uid="{BB35B203-A729-4989-8404-CB31FF5CCB69}"/>
    <cellStyle name="Migliaia 6 2 2 10 2 2" xfId="10364" xr:uid="{8B712869-016E-4C69-A40A-5F2924449A6D}"/>
    <cellStyle name="Migliaia 6 2 2 10 2 2 2" xfId="13910" xr:uid="{4F16BB35-517C-4D11-93A7-8EDA7CFD38A5}"/>
    <cellStyle name="Migliaia 6 2 2 10 2 2 2 2" xfId="29087" xr:uid="{9CE4F54B-149F-43D5-B47F-03BE1BE3F4CE}"/>
    <cellStyle name="Migliaia 6 2 2 10 2 2 3" xfId="25542" xr:uid="{2FD33FD5-8773-4964-9FE5-4BD1DE6ECD00}"/>
    <cellStyle name="Migliaia 6 2 2 10 2 3" xfId="6190" xr:uid="{F9910A9A-652D-440A-AA88-CBC28F9042A2}"/>
    <cellStyle name="Migliaia 6 2 2 10 2 3 2" xfId="21370" xr:uid="{F0D5E4DC-7695-4F2B-AE47-F515A63F7921}"/>
    <cellStyle name="Migliaia 6 2 2 10 2 4" xfId="18082" xr:uid="{5AE726B7-7772-4E02-B935-B14C603E04AD}"/>
    <cellStyle name="Migliaia 6 2 2 10 3" xfId="3760" xr:uid="{1A71A9B0-3D0B-47D3-A48D-D5C947DF4D23}"/>
    <cellStyle name="Migliaia 6 2 2 10 3 2" xfId="11248" xr:uid="{03591406-8F31-43C4-93AE-E0FF6E321BDA}"/>
    <cellStyle name="Migliaia 6 2 2 10 3 2 2" xfId="14794" xr:uid="{24110682-EB5B-4664-963E-6172C90C7C63}"/>
    <cellStyle name="Migliaia 6 2 2 10 3 2 2 2" xfId="29971" xr:uid="{1D14FFF9-8D87-418F-8A4A-46F008C892BC}"/>
    <cellStyle name="Migliaia 6 2 2 10 3 2 3" xfId="26426" xr:uid="{8DEF2B09-7697-4464-9EFA-967C6FE838AD}"/>
    <cellStyle name="Migliaia 6 2 2 10 3 3" xfId="7074" xr:uid="{19411E60-453F-4892-9E89-04598FEECA65}"/>
    <cellStyle name="Migliaia 6 2 2 10 3 3 2" xfId="22254" xr:uid="{2691EB15-CEFE-4043-8112-00C03A544808}"/>
    <cellStyle name="Migliaia 6 2 2 10 3 4" xfId="18966" xr:uid="{84F4C62A-28DC-46C8-83F6-783BFCA6EAB0}"/>
    <cellStyle name="Migliaia 6 2 2 10 4" xfId="4784" xr:uid="{C1BFEC93-26C0-46C2-A0FC-74880608B32D}"/>
    <cellStyle name="Migliaia 6 2 2 10 4 2" xfId="12269" xr:uid="{52D84FAF-E3EB-493C-826A-AB425D97D8F1}"/>
    <cellStyle name="Migliaia 6 2 2 10 4 2 2" xfId="15815" xr:uid="{3C07E41B-55BE-4133-8B81-7CB6AA9BDD4B}"/>
    <cellStyle name="Migliaia 6 2 2 10 4 2 2 2" xfId="30992" xr:uid="{0C5CE05F-CDE6-4E83-B403-AAD0F0E26AFC}"/>
    <cellStyle name="Migliaia 6 2 2 10 4 2 3" xfId="27447" xr:uid="{252BC4E9-B4EC-4305-A3BC-D7B166E5ADEF}"/>
    <cellStyle name="Migliaia 6 2 2 10 4 3" xfId="8095" xr:uid="{5423494A-7E0A-46CD-A947-003A1485E3F0}"/>
    <cellStyle name="Migliaia 6 2 2 10 4 3 2" xfId="23275" xr:uid="{338177BC-36DC-40AE-8D4E-51F3AD9CB35B}"/>
    <cellStyle name="Migliaia 6 2 2 10 4 4" xfId="19987" xr:uid="{EC6C73F1-508A-4D7C-963D-DB7141816F6F}"/>
    <cellStyle name="Migliaia 6 2 2 10 5" xfId="1983" xr:uid="{9247DD3D-7304-4F18-8669-31B7759778D2}"/>
    <cellStyle name="Migliaia 6 2 2 10 5 2" xfId="9480" xr:uid="{9E545F79-8BC9-464F-B4A3-2C3EA73DB267}"/>
    <cellStyle name="Migliaia 6 2 2 10 5 2 2" xfId="24658" xr:uid="{0A9F04D4-9321-448A-8DC0-87D5C60C8852}"/>
    <cellStyle name="Migliaia 6 2 2 10 5 3" xfId="17198" xr:uid="{38FAFC72-D9F1-4DF1-838C-417DF77BDF45}"/>
    <cellStyle name="Migliaia 6 2 2 10 6" xfId="8966" xr:uid="{2E499DDA-6D6A-4300-B5B9-87BA32222AA1}"/>
    <cellStyle name="Migliaia 6 2 2 10 6 2" xfId="13139" xr:uid="{D04E653B-9A32-4A3D-AEE7-E25ADC4366E5}"/>
    <cellStyle name="Migliaia 6 2 2 10 6 2 2" xfId="28316" xr:uid="{E6EFBD2B-5FDD-4092-85ED-2130EAC2A2F6}"/>
    <cellStyle name="Migliaia 6 2 2 10 6 3" xfId="24144" xr:uid="{A078ACB9-627F-40F8-B7EC-88127FD67081}"/>
    <cellStyle name="Migliaia 6 2 2 10 7" xfId="5306" xr:uid="{A3EC6C86-F70A-47EE-B4BB-0F027BB9AAF1}"/>
    <cellStyle name="Migliaia 6 2 2 10 7 2" xfId="20486" xr:uid="{2794A2CF-6560-475F-9108-3FC1D9D6BC30}"/>
    <cellStyle name="Migliaia 6 2 2 10 8" xfId="16684" xr:uid="{D8B525EA-B00B-4378-8D6D-5D210454FF8B}"/>
    <cellStyle name="Migliaia 6 2 2 11" xfId="1551" xr:uid="{C06019AC-A5B8-480F-989C-AD6141B59B07}"/>
    <cellStyle name="Migliaia 6 2 2 11 2" xfId="2971" xr:uid="{7C927A51-B706-4ECC-80D6-6FD1DC2D38BE}"/>
    <cellStyle name="Migliaia 6 2 2 11 2 2" xfId="10462" xr:uid="{9316C478-4206-4440-8B81-EEE4666C5E46}"/>
    <cellStyle name="Migliaia 6 2 2 11 2 2 2" xfId="14008" xr:uid="{284B0812-DB36-4238-8AAD-403EA72136BB}"/>
    <cellStyle name="Migliaia 6 2 2 11 2 2 2 2" xfId="29185" xr:uid="{7BFDAA38-ADB7-47C5-B982-53A71A844B47}"/>
    <cellStyle name="Migliaia 6 2 2 11 2 2 3" xfId="25640" xr:uid="{070CF0A2-F66E-48CF-BC63-0C32A119911E}"/>
    <cellStyle name="Migliaia 6 2 2 11 2 3" xfId="6288" xr:uid="{15E83622-A45B-4CC7-87AB-75D6F8D5E3A7}"/>
    <cellStyle name="Migliaia 6 2 2 11 2 3 2" xfId="21468" xr:uid="{AA2B7475-442C-4931-B7BA-6CE6C26AB85F}"/>
    <cellStyle name="Migliaia 6 2 2 11 2 4" xfId="18180" xr:uid="{6667B06C-1D74-41E5-94A5-A81CEE294CB9}"/>
    <cellStyle name="Migliaia 6 2 2 11 3" xfId="3858" xr:uid="{4865681E-37A8-4A23-90B5-CE715BA1BA0B}"/>
    <cellStyle name="Migliaia 6 2 2 11 3 2" xfId="11346" xr:uid="{B0ACA5E5-7D58-47BE-9448-E81349B82E69}"/>
    <cellStyle name="Migliaia 6 2 2 11 3 2 2" xfId="14892" xr:uid="{5AE80092-FD9A-4C3D-B320-33098CFF4585}"/>
    <cellStyle name="Migliaia 6 2 2 11 3 2 2 2" xfId="30069" xr:uid="{3E913C42-064C-42AB-A54A-46F5D7A3B994}"/>
    <cellStyle name="Migliaia 6 2 2 11 3 2 3" xfId="26524" xr:uid="{93461021-60B8-4897-B3D5-BF6FC5CCC30C}"/>
    <cellStyle name="Migliaia 6 2 2 11 3 3" xfId="7172" xr:uid="{EA2E5BFC-97B7-420D-8F15-8BA0424DBDBF}"/>
    <cellStyle name="Migliaia 6 2 2 11 3 3 2" xfId="22352" xr:uid="{7248FE5E-195A-4A83-BF9C-C8425C38A080}"/>
    <cellStyle name="Migliaia 6 2 2 11 3 4" xfId="19064" xr:uid="{FB4542F7-5385-4D9C-9893-C8B7B92790C2}"/>
    <cellStyle name="Migliaia 6 2 2 11 4" xfId="4785" xr:uid="{59660FD4-12B0-4CAE-A656-667A30E878C7}"/>
    <cellStyle name="Migliaia 6 2 2 11 4 2" xfId="12270" xr:uid="{D72AE9D7-A225-4524-ADCE-071D801C34E1}"/>
    <cellStyle name="Migliaia 6 2 2 11 4 2 2" xfId="15816" xr:uid="{BADF4D83-8BCF-4030-BE01-4A946ED77ABE}"/>
    <cellStyle name="Migliaia 6 2 2 11 4 2 2 2" xfId="30993" xr:uid="{E4A46B42-7407-4371-9BA2-86AC8492F53F}"/>
    <cellStyle name="Migliaia 6 2 2 11 4 2 3" xfId="27448" xr:uid="{8ABA9DC7-9D9E-4141-BBFB-89892AC66073}"/>
    <cellStyle name="Migliaia 6 2 2 11 4 3" xfId="8096" xr:uid="{0E25DA8E-9D91-4AAB-81C6-3BBC5DB7E4E5}"/>
    <cellStyle name="Migliaia 6 2 2 11 4 3 2" xfId="23276" xr:uid="{A30E9F30-DE80-4825-8FBD-BBE09C5809A9}"/>
    <cellStyle name="Migliaia 6 2 2 11 4 4" xfId="19988" xr:uid="{A8B12766-6922-4957-98BE-945FE278A652}"/>
    <cellStyle name="Migliaia 6 2 2 11 5" xfId="2081" xr:uid="{A20A6095-6BE4-41B2-9F9B-D7010B6D06A2}"/>
    <cellStyle name="Migliaia 6 2 2 11 5 2" xfId="9578" xr:uid="{0DC1E223-40CA-4D70-B620-259FAF4276F0}"/>
    <cellStyle name="Migliaia 6 2 2 11 5 2 2" xfId="24756" xr:uid="{100F1C6B-C4DC-4756-9008-421CB122A20C}"/>
    <cellStyle name="Migliaia 6 2 2 11 5 3" xfId="17296" xr:uid="{4B7676F0-1674-490A-BD51-83AF77816ACD}"/>
    <cellStyle name="Migliaia 6 2 2 11 6" xfId="9064" xr:uid="{22569345-DDF5-401F-84C7-CE9835FDE209}"/>
    <cellStyle name="Migliaia 6 2 2 11 6 2" xfId="13237" xr:uid="{5E5B6991-A395-40CD-9875-4427B5B3835C}"/>
    <cellStyle name="Migliaia 6 2 2 11 6 2 2" xfId="28414" xr:uid="{7277868E-30FF-44DC-8061-982F1F483BF5}"/>
    <cellStyle name="Migliaia 6 2 2 11 6 3" xfId="24242" xr:uid="{70F8929C-61B9-4279-A679-65802CB34353}"/>
    <cellStyle name="Migliaia 6 2 2 11 7" xfId="5404" xr:uid="{71AB35D4-62BA-4C03-9A5C-5B069A412831}"/>
    <cellStyle name="Migliaia 6 2 2 11 7 2" xfId="20584" xr:uid="{888E91D1-63A0-468C-AE42-C567032C5CF1}"/>
    <cellStyle name="Migliaia 6 2 2 11 8" xfId="16782" xr:uid="{209D1DE3-6720-496C-8F4D-A4262EAAC50C}"/>
    <cellStyle name="Migliaia 6 2 2 12" xfId="1650" xr:uid="{7EAD2230-D153-4DCE-BBE9-E59FDE230F3F}"/>
    <cellStyle name="Migliaia 6 2 2 12 2" xfId="3069" xr:uid="{1DC79A59-2397-4989-973B-23948B048BA8}"/>
    <cellStyle name="Migliaia 6 2 2 12 2 2" xfId="10560" xr:uid="{E7867BC2-2693-4DBE-9C02-CF4EC004B924}"/>
    <cellStyle name="Migliaia 6 2 2 12 2 2 2" xfId="14106" xr:uid="{65EC2514-993F-4FD3-A5C9-01690C292674}"/>
    <cellStyle name="Migliaia 6 2 2 12 2 2 2 2" xfId="29283" xr:uid="{6E3C6A15-59ED-4DCA-83CF-5BC134B906A0}"/>
    <cellStyle name="Migliaia 6 2 2 12 2 2 3" xfId="25738" xr:uid="{DFCEF4E4-C13A-4906-9119-E04CE20D4330}"/>
    <cellStyle name="Migliaia 6 2 2 12 2 3" xfId="6386" xr:uid="{E21B284E-CA88-4633-B90C-2FBACDE203FE}"/>
    <cellStyle name="Migliaia 6 2 2 12 2 3 2" xfId="21566" xr:uid="{03760AFF-8BB6-445B-9682-C5D286C7B2EC}"/>
    <cellStyle name="Migliaia 6 2 2 12 2 4" xfId="18278" xr:uid="{2B2F28B9-8D72-4609-926C-408A43206525}"/>
    <cellStyle name="Migliaia 6 2 2 12 3" xfId="3956" xr:uid="{ABB2A951-BD3B-4250-B584-A3B24D7AB25D}"/>
    <cellStyle name="Migliaia 6 2 2 12 3 2" xfId="11444" xr:uid="{69F4CC26-B967-408B-A260-09526487F5A7}"/>
    <cellStyle name="Migliaia 6 2 2 12 3 2 2" xfId="14990" xr:uid="{D9B4A356-9C62-4ACD-B702-209D428D6733}"/>
    <cellStyle name="Migliaia 6 2 2 12 3 2 2 2" xfId="30167" xr:uid="{B351BEB9-A708-4540-8B86-B4E8DC7DDB26}"/>
    <cellStyle name="Migliaia 6 2 2 12 3 2 3" xfId="26622" xr:uid="{1EE9164E-E70D-4DEE-8775-09549AEEF849}"/>
    <cellStyle name="Migliaia 6 2 2 12 3 3" xfId="7270" xr:uid="{E79BD2FB-7965-4539-9DE1-629DA1B8FF2E}"/>
    <cellStyle name="Migliaia 6 2 2 12 3 3 2" xfId="22450" xr:uid="{D3042118-D768-4A26-A435-1CF810FE7D8C}"/>
    <cellStyle name="Migliaia 6 2 2 12 3 4" xfId="19162" xr:uid="{2B939374-1FC9-48E5-AC68-135D2EC55130}"/>
    <cellStyle name="Migliaia 6 2 2 12 4" xfId="4786" xr:uid="{CAF7D434-780D-4AEE-A4E6-1F582F269F3D}"/>
    <cellStyle name="Migliaia 6 2 2 12 4 2" xfId="12271" xr:uid="{92C18395-C91F-4A3C-BDDD-C7AD9A816CF5}"/>
    <cellStyle name="Migliaia 6 2 2 12 4 2 2" xfId="15817" xr:uid="{4F1F944A-92EF-4AB1-8D29-0CC8416E9BE5}"/>
    <cellStyle name="Migliaia 6 2 2 12 4 2 2 2" xfId="30994" xr:uid="{B886F512-6BA6-4AB8-9730-6BF1CEF164D9}"/>
    <cellStyle name="Migliaia 6 2 2 12 4 2 3" xfId="27449" xr:uid="{443F3EE0-D4D8-44C7-BBE2-E48451D6A53F}"/>
    <cellStyle name="Migliaia 6 2 2 12 4 3" xfId="8097" xr:uid="{21C7E127-F421-4C08-A206-676D12766D7C}"/>
    <cellStyle name="Migliaia 6 2 2 12 4 3 2" xfId="23277" xr:uid="{E5C1A344-014C-48CF-8ECA-BF10C26B271C}"/>
    <cellStyle name="Migliaia 6 2 2 12 4 4" xfId="19989" xr:uid="{90AEABF8-E9F5-478B-8964-510CDE3B6D00}"/>
    <cellStyle name="Migliaia 6 2 2 12 5" xfId="2179" xr:uid="{6B23E41F-E294-4749-99A0-C09BD6F9BEF6}"/>
    <cellStyle name="Migliaia 6 2 2 12 5 2" xfId="9676" xr:uid="{3EA6C7A1-D1F9-4A93-87BC-0474908B849D}"/>
    <cellStyle name="Migliaia 6 2 2 12 5 2 2" xfId="24854" xr:uid="{99786797-22C1-49DC-B986-5D73973201DC}"/>
    <cellStyle name="Migliaia 6 2 2 12 5 3" xfId="17394" xr:uid="{8B0CA032-BD0E-4B26-B6FD-8220C82F4C6A}"/>
    <cellStyle name="Migliaia 6 2 2 12 6" xfId="9162" xr:uid="{F9B21701-16AF-4136-9F78-6F158D5D71DA}"/>
    <cellStyle name="Migliaia 6 2 2 12 6 2" xfId="13335" xr:uid="{6219542F-A99E-43FF-9CCD-FEFD247B0BFF}"/>
    <cellStyle name="Migliaia 6 2 2 12 6 2 2" xfId="28512" xr:uid="{2A866E86-451A-4366-8FAE-9DAF9166C333}"/>
    <cellStyle name="Migliaia 6 2 2 12 6 3" xfId="24340" xr:uid="{C521F3CD-0649-4E42-AA9F-3229241A0C97}"/>
    <cellStyle name="Migliaia 6 2 2 12 7" xfId="5502" xr:uid="{999EC348-D5EB-474A-9056-B45C8800486F}"/>
    <cellStyle name="Migliaia 6 2 2 12 7 2" xfId="20682" xr:uid="{3CF062EB-3763-4106-A85E-372D66D29DB0}"/>
    <cellStyle name="Migliaia 6 2 2 12 8" xfId="16880" xr:uid="{D68C8C51-FFED-465F-ADD6-9909AC2E1C82}"/>
    <cellStyle name="Migliaia 6 2 2 13" xfId="2279" xr:uid="{5530B741-27D8-4C18-A40B-85963434A88B}"/>
    <cellStyle name="Migliaia 6 2 2 13 2" xfId="9774" xr:uid="{66811AA1-7A50-4BA0-AAA2-CD3F7FA45A60}"/>
    <cellStyle name="Migliaia 6 2 2 13 2 2" xfId="13433" xr:uid="{1E9404C5-73F6-4BC3-B4EA-33725BF08C43}"/>
    <cellStyle name="Migliaia 6 2 2 13 2 2 2" xfId="28610" xr:uid="{2ADFF331-DA3D-4CFF-BC4F-12E8C09291D4}"/>
    <cellStyle name="Migliaia 6 2 2 13 2 3" xfId="24952" xr:uid="{E6A4C110-2717-431B-A4FE-23AE3A01CDE8}"/>
    <cellStyle name="Migliaia 6 2 2 13 3" xfId="5600" xr:uid="{D3BDB378-A108-49C5-B8BD-79A2F1C7B97F}"/>
    <cellStyle name="Migliaia 6 2 2 13 3 2" xfId="20780" xr:uid="{1E37B852-3D53-470F-B18A-797A9631566F}"/>
    <cellStyle name="Migliaia 6 2 2 13 4" xfId="17492" xr:uid="{E2E95211-832B-4D15-81CF-BFC41A72BF83}"/>
    <cellStyle name="Migliaia 6 2 2 14" xfId="3169" xr:uid="{6CE948DA-1414-453A-B685-56DF989346BC}"/>
    <cellStyle name="Migliaia 6 2 2 14 2" xfId="10658" xr:uid="{C8F80891-8FC5-44F1-83EA-BD5296AEAD9C}"/>
    <cellStyle name="Migliaia 6 2 2 14 2 2" xfId="14204" xr:uid="{3FB42F50-7CEC-490B-A2C7-8093E8A778CA}"/>
    <cellStyle name="Migliaia 6 2 2 14 2 2 2" xfId="29381" xr:uid="{0CD17089-0B23-4870-875D-721CE442B52E}"/>
    <cellStyle name="Migliaia 6 2 2 14 2 3" xfId="25836" xr:uid="{3205E127-004A-4638-971B-5F27B35538CE}"/>
    <cellStyle name="Migliaia 6 2 2 14 3" xfId="6484" xr:uid="{9D0A8717-F19F-44C1-8952-62E9979AE090}"/>
    <cellStyle name="Migliaia 6 2 2 14 3 2" xfId="21664" xr:uid="{8630CD7F-4672-4600-B946-644D85BD8E6D}"/>
    <cellStyle name="Migliaia 6 2 2 14 4" xfId="18376" xr:uid="{910A2013-702F-4CC3-BDBA-84D6079F0407}"/>
    <cellStyle name="Migliaia 6 2 2 15" xfId="4787" xr:uid="{C0DF9D9E-8C7C-433C-8F4F-844231619630}"/>
    <cellStyle name="Migliaia 6 2 2 15 2" xfId="12272" xr:uid="{563162E4-016C-473B-A5FC-31D45BC12C67}"/>
    <cellStyle name="Migliaia 6 2 2 15 2 2" xfId="15818" xr:uid="{661BB757-66A5-4CF3-9FDB-AE7A50C9830E}"/>
    <cellStyle name="Migliaia 6 2 2 15 2 2 2" xfId="30995" xr:uid="{53D91A34-591F-438D-BF6D-9AE14AA8898B}"/>
    <cellStyle name="Migliaia 6 2 2 15 2 3" xfId="27450" xr:uid="{821B78F9-67C5-4E53-8D30-AF7A75DCE90C}"/>
    <cellStyle name="Migliaia 6 2 2 15 3" xfId="8098" xr:uid="{76B75137-3935-4C92-AAA1-8377E7EF6FF3}"/>
    <cellStyle name="Migliaia 6 2 2 15 3 2" xfId="23278" xr:uid="{17093932-1B75-4F4D-9EE0-4C2F31483767}"/>
    <cellStyle name="Migliaia 6 2 2 15 4" xfId="19990" xr:uid="{B3D8A336-2C3B-472B-AE54-29B00C164030}"/>
    <cellStyle name="Migliaia 6 2 2 16" xfId="8375" xr:uid="{5A68193B-8374-4302-A170-3AE271C94742}"/>
    <cellStyle name="Migliaia 6 2 2 16 2" xfId="12549" xr:uid="{E3CD21C4-6660-46E9-8C38-F5C74F1BA7B5}"/>
    <cellStyle name="Migliaia 6 2 2 16 2 2" xfId="27726" xr:uid="{4B203D31-5BB0-431B-BF39-EEC50C3217A8}"/>
    <cellStyle name="Migliaia 6 2 2 16 3" xfId="23554" xr:uid="{024E505C-72C9-4128-A328-36B0194E1A43}"/>
    <cellStyle name="Migliaia 6 2 2 17" xfId="16094" xr:uid="{026EBDCF-5AF8-4926-BE3A-A9DED092A298}"/>
    <cellStyle name="Migliaia 6 2 2 18" xfId="31436" xr:uid="{9BF6FD2B-B8CC-4165-A204-514DE1CCE797}"/>
    <cellStyle name="Migliaia 6 2 2 19" xfId="696" xr:uid="{E1E9AED3-BEA3-48A2-AE48-C84B3246C6E4}"/>
    <cellStyle name="Migliaia 6 2 2 2" xfId="594" xr:uid="{B8F6AFA9-2B1D-4767-A0D5-C02AEF1E83C8}"/>
    <cellStyle name="Migliaia 6 2 2 2 10" xfId="2304" xr:uid="{24401165-48F0-4462-8535-83887D718208}"/>
    <cellStyle name="Migliaia 6 2 2 2 10 2" xfId="9799" xr:uid="{13E41E56-8F6E-48E7-9BCA-506A580141B9}"/>
    <cellStyle name="Migliaia 6 2 2 2 10 2 2" xfId="13458" xr:uid="{A59EBF77-909F-49D2-936F-F3D21C1A214C}"/>
    <cellStyle name="Migliaia 6 2 2 2 10 2 2 2" xfId="28635" xr:uid="{DA89D2A9-80C7-4F86-947F-F0E59225213F}"/>
    <cellStyle name="Migliaia 6 2 2 2 10 2 3" xfId="24977" xr:uid="{878FF55D-20B9-41A8-9DDF-210EAF627776}"/>
    <cellStyle name="Migliaia 6 2 2 2 10 3" xfId="5625" xr:uid="{922983CB-C26B-4632-928F-B126C99A12F2}"/>
    <cellStyle name="Migliaia 6 2 2 2 10 3 2" xfId="20805" xr:uid="{94EA11A6-D89C-44BA-9E3C-159834027DEF}"/>
    <cellStyle name="Migliaia 6 2 2 2 10 4" xfId="17517" xr:uid="{468D109E-0F9E-48A8-BAAE-8B22A5E81306}"/>
    <cellStyle name="Migliaia 6 2 2 2 11" xfId="3194" xr:uid="{2A31B291-3744-4217-B8B6-58EBBE2A2A9A}"/>
    <cellStyle name="Migliaia 6 2 2 2 11 2" xfId="10683" xr:uid="{445B2605-D293-49ED-B435-C957B81C9DC1}"/>
    <cellStyle name="Migliaia 6 2 2 2 11 2 2" xfId="14229" xr:uid="{B4871C65-E84E-4DBB-808F-C8DA17098E10}"/>
    <cellStyle name="Migliaia 6 2 2 2 11 2 2 2" xfId="29406" xr:uid="{F8A70F36-9259-47B3-BF24-DDA4866A7711}"/>
    <cellStyle name="Migliaia 6 2 2 2 11 2 3" xfId="25861" xr:uid="{E592F232-3CA3-4A3C-86B5-68D1A93FA5E4}"/>
    <cellStyle name="Migliaia 6 2 2 2 11 3" xfId="6509" xr:uid="{9A4850E6-51FD-43FD-9382-7C91918CE492}"/>
    <cellStyle name="Migliaia 6 2 2 2 11 3 2" xfId="21689" xr:uid="{0781D41D-A3D9-4D7D-8E91-9DDB16FDD8E4}"/>
    <cellStyle name="Migliaia 6 2 2 2 11 4" xfId="18401" xr:uid="{805EEDAD-E76D-4DB0-8038-BEA1A0911C43}"/>
    <cellStyle name="Migliaia 6 2 2 2 12" xfId="4788" xr:uid="{5BA20255-D8C6-489B-AA88-6BD580FC4975}"/>
    <cellStyle name="Migliaia 6 2 2 2 12 2" xfId="12273" xr:uid="{EFB1678F-543E-4689-A0CC-010A12BE437F}"/>
    <cellStyle name="Migliaia 6 2 2 2 12 2 2" xfId="15819" xr:uid="{8BFDF983-1FA5-4A82-AB31-8B820E63F704}"/>
    <cellStyle name="Migliaia 6 2 2 2 12 2 2 2" xfId="30996" xr:uid="{826B718D-77A3-4470-B8D2-9C171579B0DE}"/>
    <cellStyle name="Migliaia 6 2 2 2 12 2 3" xfId="27451" xr:uid="{35F1882A-6184-47F1-A296-35E3A9E552AF}"/>
    <cellStyle name="Migliaia 6 2 2 2 12 3" xfId="8099" xr:uid="{E51B7755-D312-47FC-B89D-FF593D94A71B}"/>
    <cellStyle name="Migliaia 6 2 2 2 12 3 2" xfId="23279" xr:uid="{0502864A-51EB-48F2-B1B6-312A170749F0}"/>
    <cellStyle name="Migliaia 6 2 2 2 12 4" xfId="19991" xr:uid="{B708C614-8AE0-4BB5-8D5C-D8B7D5FE64CB}"/>
    <cellStyle name="Migliaia 6 2 2 2 13" xfId="8400" xr:uid="{AD95539F-D37F-45CB-A3A9-E6C567451181}"/>
    <cellStyle name="Migliaia 6 2 2 2 13 2" xfId="12574" xr:uid="{193075E9-2AF5-48E4-85E3-52930D8C18C2}"/>
    <cellStyle name="Migliaia 6 2 2 2 13 2 2" xfId="27751" xr:uid="{0B1D1A34-8784-4DC0-9D6B-D5CBF4BC4B43}"/>
    <cellStyle name="Migliaia 6 2 2 2 13 3" xfId="23579" xr:uid="{0D703819-990B-443B-A4FB-BA16FAC23F7F}"/>
    <cellStyle name="Migliaia 6 2 2 2 14" xfId="16119" xr:uid="{ECDA7FD3-7147-431A-AFC7-E8CDBDA20E02}"/>
    <cellStyle name="Migliaia 6 2 2 2 15" xfId="31461" xr:uid="{AC8161D5-B79B-4BE6-AB6F-2AC44F31451D}"/>
    <cellStyle name="Migliaia 6 2 2 2 16" xfId="731" xr:uid="{0519DC6A-982D-4B24-A5BB-C8D1183E6E8D}"/>
    <cellStyle name="Migliaia 6 2 2 2 2" xfId="783" xr:uid="{AAE1759F-1EFF-4EE7-84B5-5AE58E31F3BC}"/>
    <cellStyle name="Migliaia 6 2 2 2 2 10" xfId="8449" xr:uid="{801FF4E0-52B0-4141-866F-085263445FC0}"/>
    <cellStyle name="Migliaia 6 2 2 2 2 10 2" xfId="12623" xr:uid="{55E9ED76-1D72-4579-A5A4-D133894C8D04}"/>
    <cellStyle name="Migliaia 6 2 2 2 2 10 2 2" xfId="27800" xr:uid="{7A7A1DEC-5953-4934-BAD3-75022DC74C56}"/>
    <cellStyle name="Migliaia 6 2 2 2 2 10 3" xfId="23628" xr:uid="{9D984B8D-9F68-46E3-B69B-57736241587F}"/>
    <cellStyle name="Migliaia 6 2 2 2 2 11" xfId="16168" xr:uid="{7EAA77C5-AE7C-4F02-BCDB-1199EA327A18}"/>
    <cellStyle name="Migliaia 6 2 2 2 2 12" xfId="31510" xr:uid="{C1F0AE18-761E-4A6F-83B9-46EF637AD9B4}"/>
    <cellStyle name="Migliaia 6 2 2 2 2 2" xfId="960" xr:uid="{5F81A4B9-2A0F-4B6E-83C5-6955BC7D58BD}"/>
    <cellStyle name="Migliaia 6 2 2 2 2 2 10" xfId="16290" xr:uid="{40D4087E-1A5A-43C9-BC65-1474AA4814C3}"/>
    <cellStyle name="Migliaia 6 2 2 2 2 2 11" xfId="31380" xr:uid="{7778EEDB-02A3-407E-8558-3B1128E7B200}"/>
    <cellStyle name="Migliaia 6 2 2 2 2 2 12" xfId="31730" xr:uid="{18AAC6CE-9FF0-4939-8E81-71F8FF8521D0}"/>
    <cellStyle name="Migliaia 6 2 2 2 2 2 2" xfId="1321" xr:uid="{9217CAB2-24C9-4796-A639-B7484EA49F82}"/>
    <cellStyle name="Migliaia 6 2 2 2 2 2 2 2" xfId="3638" xr:uid="{48CA07F3-2192-40A5-9A27-E6CA99A68A91}"/>
    <cellStyle name="Migliaia 6 2 2 2 2 2 2 2 2" xfId="11126" xr:uid="{37547073-5C32-4697-B542-4787F1644F3B}"/>
    <cellStyle name="Migliaia 6 2 2 2 2 2 2 2 2 2" xfId="14672" xr:uid="{9E6CBD05-C4BC-4817-A032-3AEB10C3A21E}"/>
    <cellStyle name="Migliaia 6 2 2 2 2 2 2 2 2 2 2" xfId="29849" xr:uid="{17334DA1-FF56-4C33-AAB6-9882E93FA142}"/>
    <cellStyle name="Migliaia 6 2 2 2 2 2 2 2 2 3" xfId="26304" xr:uid="{86367A9C-E16C-45FA-9766-5FFD9BE64552}"/>
    <cellStyle name="Migliaia 6 2 2 2 2 2 2 2 3" xfId="6952" xr:uid="{DEB5365E-DBD3-40A8-9002-01D4FE8953BB}"/>
    <cellStyle name="Migliaia 6 2 2 2 2 2 2 2 3 2" xfId="22132" xr:uid="{99815C4D-53DF-43BE-91F3-B4F5BB066A66}"/>
    <cellStyle name="Migliaia 6 2 2 2 2 2 2 2 4" xfId="18844" xr:uid="{AFE17E33-DD2D-4E84-9544-4AEF0590AA9C}"/>
    <cellStyle name="Migliaia 6 2 2 2 2 2 2 3" xfId="4789" xr:uid="{AF07F1A9-46DC-429E-9C38-B15676D197DF}"/>
    <cellStyle name="Migliaia 6 2 2 2 2 2 2 3 2" xfId="12274" xr:uid="{4FFAF82C-9055-463B-BBE4-2E9688899B79}"/>
    <cellStyle name="Migliaia 6 2 2 2 2 2 2 3 2 2" xfId="15820" xr:uid="{C2203C2A-DAD9-4F8E-9079-9A8F176E6EA6}"/>
    <cellStyle name="Migliaia 6 2 2 2 2 2 2 3 2 2 2" xfId="30997" xr:uid="{61D037A9-457D-4E43-8335-1C7AD44C13A5}"/>
    <cellStyle name="Migliaia 6 2 2 2 2 2 2 3 2 3" xfId="27452" xr:uid="{D43C36C2-2D4C-4EEA-B15E-5EBFDCB4E18C}"/>
    <cellStyle name="Migliaia 6 2 2 2 2 2 2 3 3" xfId="8100" xr:uid="{53328D49-9336-4AA8-9014-70FE10CC9A58}"/>
    <cellStyle name="Migliaia 6 2 2 2 2 2 2 3 3 2" xfId="23280" xr:uid="{2474ABEF-8157-48CA-88B4-6B178CA717C7}"/>
    <cellStyle name="Migliaia 6 2 2 2 2 2 2 3 4" xfId="19992" xr:uid="{BB9070B9-F56C-4088-ABD1-1CA56B6AF1BA}"/>
    <cellStyle name="Migliaia 6 2 2 2 2 2 2 4" xfId="2751" xr:uid="{3D254F35-A31A-4AD1-80B7-6B10F09B33C2}"/>
    <cellStyle name="Migliaia 6 2 2 2 2 2 2 4 2" xfId="10242" xr:uid="{0D1AD2EE-1C3C-4B50-A63A-4E5C5B67A912}"/>
    <cellStyle name="Migliaia 6 2 2 2 2 2 2 4 2 2" xfId="25420" xr:uid="{1440ADAF-A9D4-4C95-B6AF-529A6F6B3D24}"/>
    <cellStyle name="Migliaia 6 2 2 2 2 2 2 4 3" xfId="17960" xr:uid="{0AE392F4-CB7E-4F0E-9450-05C496EDA78C}"/>
    <cellStyle name="Migliaia 6 2 2 2 2 2 2 5" xfId="8844" xr:uid="{63E606AD-725E-4030-9589-5257F4E7C5BE}"/>
    <cellStyle name="Migliaia 6 2 2 2 2 2 2 5 2" xfId="13017" xr:uid="{14FA1E91-3CF4-411B-A11F-793E33E50423}"/>
    <cellStyle name="Migliaia 6 2 2 2 2 2 2 5 2 2" xfId="28194" xr:uid="{ACDACC33-1907-4608-A021-EF18A8F0114E}"/>
    <cellStyle name="Migliaia 6 2 2 2 2 2 2 5 3" xfId="24022" xr:uid="{F059E155-D2B9-46CE-A661-F02CB96FD0E9}"/>
    <cellStyle name="Migliaia 6 2 2 2 2 2 2 6" xfId="6068" xr:uid="{4CBB1CE8-791A-4E28-A160-909318E9F7C5}"/>
    <cellStyle name="Migliaia 6 2 2 2 2 2 2 6 2" xfId="21248" xr:uid="{6DB34A86-B3B5-4A76-AC3E-D79223BC880B}"/>
    <cellStyle name="Migliaia 6 2 2 2 2 2 2 7" xfId="16562" xr:uid="{9E1EB430-04D7-4FDA-B446-ED087F8977F8}"/>
    <cellStyle name="Migliaia 6 2 2 2 2 2 3" xfId="2478" xr:uid="{35A29877-D5C1-4AEB-81EF-652ACE53B5C9}"/>
    <cellStyle name="Migliaia 6 2 2 2 2 2 3 2" xfId="9970" xr:uid="{436457F3-76CF-4BEE-B26A-D7A51304C9E7}"/>
    <cellStyle name="Migliaia 6 2 2 2 2 2 3 2 2" xfId="13629" xr:uid="{B95671D2-5CBD-4EB6-AC85-C81DBB145283}"/>
    <cellStyle name="Migliaia 6 2 2 2 2 2 3 2 2 2" xfId="28806" xr:uid="{73A372B9-EA3C-441F-9204-E73D5A17F8B0}"/>
    <cellStyle name="Migliaia 6 2 2 2 2 2 3 2 3" xfId="25148" xr:uid="{A0594F36-A8CA-456C-9372-068DB355FD70}"/>
    <cellStyle name="Migliaia 6 2 2 2 2 2 3 3" xfId="5796" xr:uid="{0AC1BB67-93D3-4F8F-9BF6-D619B307DDDB}"/>
    <cellStyle name="Migliaia 6 2 2 2 2 2 3 3 2" xfId="20976" xr:uid="{B3FC145C-821F-465A-A283-297CD0070FEA}"/>
    <cellStyle name="Migliaia 6 2 2 2 2 2 3 4" xfId="17688" xr:uid="{CC8026E8-2FC8-48F0-A1D7-52192D3D40F6}"/>
    <cellStyle name="Migliaia 6 2 2 2 2 2 4" xfId="3366" xr:uid="{15BAD0F2-5595-4B39-AF4B-D591EB245ACE}"/>
    <cellStyle name="Migliaia 6 2 2 2 2 2 4 2" xfId="10854" xr:uid="{08534574-E979-443E-A39E-013C557A96A9}"/>
    <cellStyle name="Migliaia 6 2 2 2 2 2 4 2 2" xfId="14400" xr:uid="{25940909-CBB5-4239-8507-D98D2D582F7A}"/>
    <cellStyle name="Migliaia 6 2 2 2 2 2 4 2 2 2" xfId="29577" xr:uid="{263D8907-ECB3-4A04-8BB9-EE681808F7DD}"/>
    <cellStyle name="Migliaia 6 2 2 2 2 2 4 2 3" xfId="26032" xr:uid="{4D63DEE0-267C-491E-9279-3D79B10B5515}"/>
    <cellStyle name="Migliaia 6 2 2 2 2 2 4 3" xfId="6680" xr:uid="{0DC97134-811F-4B23-B4DA-F7CFF05AFB35}"/>
    <cellStyle name="Migliaia 6 2 2 2 2 2 4 3 2" xfId="21860" xr:uid="{680E2E9E-DE29-4E5B-9803-C5C7CD487E5E}"/>
    <cellStyle name="Migliaia 6 2 2 2 2 2 4 4" xfId="18572" xr:uid="{0A528ECB-CBB8-457A-84B0-9BC82CF805AA}"/>
    <cellStyle name="Migliaia 6 2 2 2 2 2 5" xfId="4790" xr:uid="{8F3AE50F-523E-4306-B643-C3F4F048777E}"/>
    <cellStyle name="Migliaia 6 2 2 2 2 2 5 2" xfId="12275" xr:uid="{6D6F97B0-C0E8-4323-B0B1-509ECE1BD127}"/>
    <cellStyle name="Migliaia 6 2 2 2 2 2 5 2 2" xfId="15821" xr:uid="{6EECB988-6FC1-4CAA-A7A2-E203E5011A1D}"/>
    <cellStyle name="Migliaia 6 2 2 2 2 2 5 2 2 2" xfId="30998" xr:uid="{7B16BB69-D274-4364-B6C9-A347A9EA68C9}"/>
    <cellStyle name="Migliaia 6 2 2 2 2 2 5 2 3" xfId="27453" xr:uid="{FC77DF21-82BF-4B6B-95F8-DB7AB857B37C}"/>
    <cellStyle name="Migliaia 6 2 2 2 2 2 5 3" xfId="8101" xr:uid="{D917014F-C1A4-40A3-AD75-6EB33DCB9F3F}"/>
    <cellStyle name="Migliaia 6 2 2 2 2 2 5 3 2" xfId="23281" xr:uid="{1434B052-27A2-410B-9B05-E49E1AEDAE6F}"/>
    <cellStyle name="Migliaia 6 2 2 2 2 2 5 4" xfId="19993" xr:uid="{4F083759-A24A-40DE-8624-A97FC23985F5}"/>
    <cellStyle name="Migliaia 6 2 2 2 2 2 6" xfId="5040" xr:uid="{27BFA8EB-3C9A-4B95-BBC8-D156B5BEE16A}"/>
    <cellStyle name="Migliaia 6 2 2 2 2 2 6 2" xfId="12524" xr:uid="{C8AFB0EB-3C88-47CC-ACD0-EE477096D87E}"/>
    <cellStyle name="Migliaia 6 2 2 2 2 2 6 2 2" xfId="16070" xr:uid="{58EF297A-52FA-41D7-B087-4A4E644466C2}"/>
    <cellStyle name="Migliaia 6 2 2 2 2 2 6 2 2 2" xfId="31247" xr:uid="{7E4D9412-4C8A-490B-89C7-4A26A070CC2C}"/>
    <cellStyle name="Migliaia 6 2 2 2 2 2 6 2 3" xfId="27702" xr:uid="{0F13A38E-5906-4EC0-95CC-41CDB6018B56}"/>
    <cellStyle name="Migliaia 6 2 2 2 2 2 6 3" xfId="8350" xr:uid="{4BAC4FDE-9B5C-429F-BE71-73E44B1FE2E1}"/>
    <cellStyle name="Migliaia 6 2 2 2 2 2 6 3 2" xfId="23530" xr:uid="{72C517A5-9C1A-466E-B57C-73E9DCCB7275}"/>
    <cellStyle name="Migliaia 6 2 2 2 2 2 6 4" xfId="20242" xr:uid="{7916CB7D-3EAC-4E56-936D-CC779866E497}"/>
    <cellStyle name="Migliaia 6 2 2 2 2 2 7" xfId="1861" xr:uid="{9EE1ECBE-A8B2-4459-B728-13A0E20C68F3}"/>
    <cellStyle name="Migliaia 6 2 2 2 2 2 7 2" xfId="9358" xr:uid="{46F9115F-3ABD-4283-891D-4AEB1AAA1F67}"/>
    <cellStyle name="Migliaia 6 2 2 2 2 2 7 2 2" xfId="24536" xr:uid="{87560261-031A-4E27-9A74-A1CD915EFCED}"/>
    <cellStyle name="Migliaia 6 2 2 2 2 2 7 3" xfId="17076" xr:uid="{509476A6-01C3-4723-B418-91C1CE231A51}"/>
    <cellStyle name="Migliaia 6 2 2 2 2 2 8" xfId="8572" xr:uid="{FB4F22DD-9E74-4FE2-9D3C-22728D223D72}"/>
    <cellStyle name="Migliaia 6 2 2 2 2 2 8 2" xfId="12745" xr:uid="{7247A29C-05B4-42DA-81B2-D3A5C7050F4A}"/>
    <cellStyle name="Migliaia 6 2 2 2 2 2 8 2 2" xfId="27922" xr:uid="{F49412BC-1DEA-41DE-9596-184543406E46}"/>
    <cellStyle name="Migliaia 6 2 2 2 2 2 8 3" xfId="23750" xr:uid="{18B8A0CB-A73D-4E7B-89E7-D070BD8D6051}"/>
    <cellStyle name="Migliaia 6 2 2 2 2 2 9" xfId="5184" xr:uid="{26F9B969-0293-426B-8D2E-4E1536967A54}"/>
    <cellStyle name="Migliaia 6 2 2 2 2 2 9 2" xfId="20364" xr:uid="{907B4056-393E-4BF0-9775-82588577FA4D}"/>
    <cellStyle name="Migliaia 6 2 2 2 2 3" xfId="1063" xr:uid="{AF059682-8613-4360-80BC-5F4C3455AE1F}"/>
    <cellStyle name="Migliaia 6 2 2 2 2 3 10" xfId="31608" xr:uid="{1579DB71-E63E-40C6-A132-517F33C75EB7}"/>
    <cellStyle name="Migliaia 6 2 2 2 2 3 2" xfId="1423" xr:uid="{D248B1F8-E0B6-4892-B7F1-E07DAFAA8FF1}"/>
    <cellStyle name="Migliaia 6 2 2 2 2 3 2 2" xfId="3736" xr:uid="{83DE36E9-B3F1-420A-BAE6-511C2AF63892}"/>
    <cellStyle name="Migliaia 6 2 2 2 2 3 2 2 2" xfId="11224" xr:uid="{AFFE683C-B513-4EB2-A88E-A3DC136F90D0}"/>
    <cellStyle name="Migliaia 6 2 2 2 2 3 2 2 2 2" xfId="14770" xr:uid="{5DAF39F7-C8AB-4156-AB1F-585FD07FB46D}"/>
    <cellStyle name="Migliaia 6 2 2 2 2 3 2 2 2 2 2" xfId="29947" xr:uid="{C677A191-0A40-4B14-91AD-CD1C9CC28D3B}"/>
    <cellStyle name="Migliaia 6 2 2 2 2 3 2 2 2 3" xfId="26402" xr:uid="{46570979-FC1A-4CF8-ABBA-D27C2F56715F}"/>
    <cellStyle name="Migliaia 6 2 2 2 2 3 2 2 3" xfId="7050" xr:uid="{D27482A0-E357-4042-BDFC-B2FABCB46794}"/>
    <cellStyle name="Migliaia 6 2 2 2 2 3 2 2 3 2" xfId="22230" xr:uid="{5E8D274C-41F9-45B5-A7A9-DEC2CF621EBD}"/>
    <cellStyle name="Migliaia 6 2 2 2 2 3 2 2 4" xfId="18942" xr:uid="{CCAE20FB-48BA-4BD8-AE9C-D81826EEBE94}"/>
    <cellStyle name="Migliaia 6 2 2 2 2 3 2 3" xfId="4791" xr:uid="{BBF0BC6A-FC5D-41AC-AB9E-DF20EF59341B}"/>
    <cellStyle name="Migliaia 6 2 2 2 2 3 2 3 2" xfId="12276" xr:uid="{40B3D2E9-3CF5-4D77-958D-2572D3C51D99}"/>
    <cellStyle name="Migliaia 6 2 2 2 2 3 2 3 2 2" xfId="15822" xr:uid="{43B0EDB4-3E68-449B-8273-37A05F7B8CD1}"/>
    <cellStyle name="Migliaia 6 2 2 2 2 3 2 3 2 2 2" xfId="30999" xr:uid="{778119D4-4CE7-4BF7-AFDF-D981D1E87B18}"/>
    <cellStyle name="Migliaia 6 2 2 2 2 3 2 3 2 3" xfId="27454" xr:uid="{ED36F0EC-F2CF-4749-91ED-5D49C963DF44}"/>
    <cellStyle name="Migliaia 6 2 2 2 2 3 2 3 3" xfId="8102" xr:uid="{8E8D54A1-28A1-4749-B14B-3263D42CCF7F}"/>
    <cellStyle name="Migliaia 6 2 2 2 2 3 2 3 3 2" xfId="23282" xr:uid="{4B71FFE3-F8E1-4534-94C2-7605EC7D9844}"/>
    <cellStyle name="Migliaia 6 2 2 2 2 3 2 3 4" xfId="19994" xr:uid="{FCC5900B-C89D-4899-891C-4FD869F4DFB8}"/>
    <cellStyle name="Migliaia 6 2 2 2 2 3 2 4" xfId="2849" xr:uid="{1A6E8A3F-7868-44B1-A28B-9AF9A22E2853}"/>
    <cellStyle name="Migliaia 6 2 2 2 2 3 2 4 2" xfId="10340" xr:uid="{83D00CF1-FB37-46B9-96FE-672B4410DCDC}"/>
    <cellStyle name="Migliaia 6 2 2 2 2 3 2 4 2 2" xfId="25518" xr:uid="{AD8DFD2B-2444-47AA-A20B-7AD1E2BEF8B3}"/>
    <cellStyle name="Migliaia 6 2 2 2 2 3 2 4 3" xfId="18058" xr:uid="{EBDBAC13-00FB-4E06-8DC2-31EA692826C7}"/>
    <cellStyle name="Migliaia 6 2 2 2 2 3 2 5" xfId="8942" xr:uid="{E5BC2689-40B2-4143-BEFB-4188D081434C}"/>
    <cellStyle name="Migliaia 6 2 2 2 2 3 2 5 2" xfId="13115" xr:uid="{5306190D-2BF8-4210-8803-65CFB081C094}"/>
    <cellStyle name="Migliaia 6 2 2 2 2 3 2 5 2 2" xfId="28292" xr:uid="{A31D903E-F6EA-4B63-A5EB-8600C92D5073}"/>
    <cellStyle name="Migliaia 6 2 2 2 2 3 2 5 3" xfId="24120" xr:uid="{D877004E-341F-4983-B983-405BFD4971A3}"/>
    <cellStyle name="Migliaia 6 2 2 2 2 3 2 6" xfId="6166" xr:uid="{0B08CB75-BA61-4BE0-8932-7F02CF5D2E4E}"/>
    <cellStyle name="Migliaia 6 2 2 2 2 3 2 6 2" xfId="21346" xr:uid="{C7E3CFF9-F5E5-4A76-8950-A70BD8E75257}"/>
    <cellStyle name="Migliaia 6 2 2 2 2 3 2 7" xfId="16660" xr:uid="{62399D46-9ECD-4D80-876D-829683645208}"/>
    <cellStyle name="Migliaia 6 2 2 2 2 3 3" xfId="2576" xr:uid="{215E31A9-E867-4BFB-A3CA-17403AEE37E7}"/>
    <cellStyle name="Migliaia 6 2 2 2 2 3 3 2" xfId="10068" xr:uid="{AB0033D6-5DA1-4AF8-9D61-687B6C813763}"/>
    <cellStyle name="Migliaia 6 2 2 2 2 3 3 2 2" xfId="13727" xr:uid="{29A7E96F-0321-429E-A0F6-CB3D48687D1E}"/>
    <cellStyle name="Migliaia 6 2 2 2 2 3 3 2 2 2" xfId="28904" xr:uid="{9E79EEAF-600C-44AA-955C-F86EF30E1E7E}"/>
    <cellStyle name="Migliaia 6 2 2 2 2 3 3 2 3" xfId="25246" xr:uid="{EA14B47A-8A8D-49EF-8613-2F2AE3084DC7}"/>
    <cellStyle name="Migliaia 6 2 2 2 2 3 3 3" xfId="5894" xr:uid="{12D305DD-D81C-4789-9C63-787C0C05AF53}"/>
    <cellStyle name="Migliaia 6 2 2 2 2 3 3 3 2" xfId="21074" xr:uid="{2CE1F0BE-93D9-40F3-8436-19406EC7F9A1}"/>
    <cellStyle name="Migliaia 6 2 2 2 2 3 3 4" xfId="17786" xr:uid="{A7051A91-4578-4A45-A397-474783CFEDEA}"/>
    <cellStyle name="Migliaia 6 2 2 2 2 3 4" xfId="3464" xr:uid="{57167A2E-1FEC-4B94-80C0-9B921667A200}"/>
    <cellStyle name="Migliaia 6 2 2 2 2 3 4 2" xfId="10952" xr:uid="{A15A4FB1-C2BD-48D3-B990-D951A4120AF0}"/>
    <cellStyle name="Migliaia 6 2 2 2 2 3 4 2 2" xfId="14498" xr:uid="{454AF2AA-05FB-448F-B774-2095A8FD1394}"/>
    <cellStyle name="Migliaia 6 2 2 2 2 3 4 2 2 2" xfId="29675" xr:uid="{808DB89E-3EAA-4B26-BF02-9C6AEDD6A60F}"/>
    <cellStyle name="Migliaia 6 2 2 2 2 3 4 2 3" xfId="26130" xr:uid="{754EDAA9-267C-45A2-86DB-0ADB6631860B}"/>
    <cellStyle name="Migliaia 6 2 2 2 2 3 4 3" xfId="6778" xr:uid="{26DC3800-9E4F-4232-A4E4-4908AB6CA475}"/>
    <cellStyle name="Migliaia 6 2 2 2 2 3 4 3 2" xfId="21958" xr:uid="{648C33EC-75E6-495C-8012-C1B3FB74C8D9}"/>
    <cellStyle name="Migliaia 6 2 2 2 2 3 4 4" xfId="18670" xr:uid="{6F3CFD1B-7330-40CF-A0F1-2B116FBE431E}"/>
    <cellStyle name="Migliaia 6 2 2 2 2 3 5" xfId="4792" xr:uid="{2BFF3ED1-1DAA-4182-8F0A-4CC7E214E000}"/>
    <cellStyle name="Migliaia 6 2 2 2 2 3 5 2" xfId="12277" xr:uid="{2530D2AD-BD0F-4AEE-A574-47912D27177F}"/>
    <cellStyle name="Migliaia 6 2 2 2 2 3 5 2 2" xfId="15823" xr:uid="{F3DA8995-3946-44D5-A893-D5EF452AFE06}"/>
    <cellStyle name="Migliaia 6 2 2 2 2 3 5 2 2 2" xfId="31000" xr:uid="{FB5FCEE9-360E-4438-B1B6-1905DED3EF25}"/>
    <cellStyle name="Migliaia 6 2 2 2 2 3 5 2 3" xfId="27455" xr:uid="{13EA0814-E622-499C-A653-CCD57F4C4811}"/>
    <cellStyle name="Migliaia 6 2 2 2 2 3 5 3" xfId="8103" xr:uid="{30EEAE2E-C720-4E2D-8923-3AA2DD60C923}"/>
    <cellStyle name="Migliaia 6 2 2 2 2 3 5 3 2" xfId="23283" xr:uid="{EAF62CC4-0C46-4AB4-965E-B38442EB5AF5}"/>
    <cellStyle name="Migliaia 6 2 2 2 2 3 5 4" xfId="19995" xr:uid="{1B445E58-DC2C-493F-8FA4-0E8F1286D240}"/>
    <cellStyle name="Migliaia 6 2 2 2 2 3 6" xfId="1959" xr:uid="{2FAFC6F2-D3F4-4470-855D-DC73F35E05C5}"/>
    <cellStyle name="Migliaia 6 2 2 2 2 3 6 2" xfId="9456" xr:uid="{E3B305E4-AFBD-45EE-9703-C922FCE3ED5F}"/>
    <cellStyle name="Migliaia 6 2 2 2 2 3 6 2 2" xfId="24634" xr:uid="{A3A6D4F7-0949-4680-B173-85533BD9635F}"/>
    <cellStyle name="Migliaia 6 2 2 2 2 3 6 3" xfId="17174" xr:uid="{2F69CFAB-48BC-4784-851C-6762F39D76D5}"/>
    <cellStyle name="Migliaia 6 2 2 2 2 3 7" xfId="8670" xr:uid="{DCBAB3B1-6773-4DEB-9607-A70DC741DF61}"/>
    <cellStyle name="Migliaia 6 2 2 2 2 3 7 2" xfId="12843" xr:uid="{B0AB2961-2275-4819-8074-A045B912B397}"/>
    <cellStyle name="Migliaia 6 2 2 2 2 3 7 2 2" xfId="28020" xr:uid="{FD503A6F-2880-4D5A-A3C3-989641F36E05}"/>
    <cellStyle name="Migliaia 6 2 2 2 2 3 7 3" xfId="23848" xr:uid="{8AD0D294-B225-4E51-8CC0-333346956C97}"/>
    <cellStyle name="Migliaia 6 2 2 2 2 3 8" xfId="5282" xr:uid="{119FC2EB-DE1D-45F0-900D-AAD227676F37}"/>
    <cellStyle name="Migliaia 6 2 2 2 2 3 8 2" xfId="20462" xr:uid="{0576952A-AC8A-4C98-B5FF-9AC8DFE6DC93}"/>
    <cellStyle name="Migliaia 6 2 2 2 2 3 9" xfId="16388" xr:uid="{634F1E0D-49D6-42D3-AF3A-8B4F0E98F18E}"/>
    <cellStyle name="Migliaia 6 2 2 2 2 4" xfId="1522" xr:uid="{B8262F38-0B88-4773-BC85-62E1613EE0B6}"/>
    <cellStyle name="Migliaia 6 2 2 2 2 4 2" xfId="2947" xr:uid="{7E8509E1-6607-4688-9A25-C2B7350C7FC6}"/>
    <cellStyle name="Migliaia 6 2 2 2 2 4 2 2" xfId="10438" xr:uid="{7691F847-5D90-42A5-B4AC-2371B6D92AAE}"/>
    <cellStyle name="Migliaia 6 2 2 2 2 4 2 2 2" xfId="13984" xr:uid="{22900A33-625C-47D3-9592-A850F6BE251F}"/>
    <cellStyle name="Migliaia 6 2 2 2 2 4 2 2 2 2" xfId="29161" xr:uid="{D4EE9B22-E482-4E84-82FF-4697A546032F}"/>
    <cellStyle name="Migliaia 6 2 2 2 2 4 2 2 3" xfId="25616" xr:uid="{1C92C72F-3178-4930-B4CA-38102E1B4040}"/>
    <cellStyle name="Migliaia 6 2 2 2 2 4 2 3" xfId="6264" xr:uid="{B58E21EB-0584-49C2-A616-828A1BDD5969}"/>
    <cellStyle name="Migliaia 6 2 2 2 2 4 2 3 2" xfId="21444" xr:uid="{B8B97467-8441-40F0-8768-25ECD9FB8324}"/>
    <cellStyle name="Migliaia 6 2 2 2 2 4 2 4" xfId="18156" xr:uid="{5872FCF7-09BE-459C-A986-81617E7D248F}"/>
    <cellStyle name="Migliaia 6 2 2 2 2 4 3" xfId="3834" xr:uid="{A413C9B1-7DA2-411E-99C6-132FB623AD67}"/>
    <cellStyle name="Migliaia 6 2 2 2 2 4 3 2" xfId="11322" xr:uid="{7B17D4E5-08D9-4790-BED7-DA57C8917255}"/>
    <cellStyle name="Migliaia 6 2 2 2 2 4 3 2 2" xfId="14868" xr:uid="{53DF6B35-36E8-4440-9D6A-29E5EBC3BC94}"/>
    <cellStyle name="Migliaia 6 2 2 2 2 4 3 2 2 2" xfId="30045" xr:uid="{B163082C-9243-4986-B362-3B43DCE000F7}"/>
    <cellStyle name="Migliaia 6 2 2 2 2 4 3 2 3" xfId="26500" xr:uid="{485385D0-EF50-45E2-BE98-D6B0F0168EC8}"/>
    <cellStyle name="Migliaia 6 2 2 2 2 4 3 3" xfId="7148" xr:uid="{094BD892-66C2-4DC1-94C2-8406DF74DBB7}"/>
    <cellStyle name="Migliaia 6 2 2 2 2 4 3 3 2" xfId="22328" xr:uid="{A8644349-9256-473B-938E-F185966A6782}"/>
    <cellStyle name="Migliaia 6 2 2 2 2 4 3 4" xfId="19040" xr:uid="{16813B28-22F2-4A65-8733-27BA208E51C7}"/>
    <cellStyle name="Migliaia 6 2 2 2 2 4 4" xfId="4793" xr:uid="{B8B0CF45-8DF6-4FA0-8FA4-ADE95E5C933E}"/>
    <cellStyle name="Migliaia 6 2 2 2 2 4 4 2" xfId="12278" xr:uid="{870B10B3-096C-42F3-BB3D-9427CB11F602}"/>
    <cellStyle name="Migliaia 6 2 2 2 2 4 4 2 2" xfId="15824" xr:uid="{044531A2-60FF-4C44-B86D-39C0C4604494}"/>
    <cellStyle name="Migliaia 6 2 2 2 2 4 4 2 2 2" xfId="31001" xr:uid="{80D8A546-7DE5-4676-B67C-75377682F760}"/>
    <cellStyle name="Migliaia 6 2 2 2 2 4 4 2 3" xfId="27456" xr:uid="{E7F7361D-D232-416F-85E6-D159350F9589}"/>
    <cellStyle name="Migliaia 6 2 2 2 2 4 4 3" xfId="8104" xr:uid="{EC856A63-0D25-4C35-AFC8-1EE58BB9884E}"/>
    <cellStyle name="Migliaia 6 2 2 2 2 4 4 3 2" xfId="23284" xr:uid="{35034477-F907-4145-8704-EC68AEF62A87}"/>
    <cellStyle name="Migliaia 6 2 2 2 2 4 4 4" xfId="19996" xr:uid="{9AC5275C-EAE1-47DA-B699-3ABD2066774F}"/>
    <cellStyle name="Migliaia 6 2 2 2 2 4 5" xfId="2057" xr:uid="{DC9BD0CE-CE5E-443F-8C21-BCA2F23DEDB4}"/>
    <cellStyle name="Migliaia 6 2 2 2 2 4 5 2" xfId="9554" xr:uid="{FD3B837C-16AD-4A86-A390-B9B02CE98995}"/>
    <cellStyle name="Migliaia 6 2 2 2 2 4 5 2 2" xfId="24732" xr:uid="{32289D8E-0173-4E19-86C3-6301B8C3D429}"/>
    <cellStyle name="Migliaia 6 2 2 2 2 4 5 3" xfId="17272" xr:uid="{3CB5A68E-2261-4FE3-9E26-94D8BEFCC7CD}"/>
    <cellStyle name="Migliaia 6 2 2 2 2 4 6" xfId="9040" xr:uid="{E9F8C774-6F39-4304-B509-4E35D8F11049}"/>
    <cellStyle name="Migliaia 6 2 2 2 2 4 6 2" xfId="13213" xr:uid="{6C2FF98E-2278-4329-94B5-C8A28AA2EB5F}"/>
    <cellStyle name="Migliaia 6 2 2 2 2 4 6 2 2" xfId="28390" xr:uid="{959B0005-ABC1-4D62-936F-83920B646C53}"/>
    <cellStyle name="Migliaia 6 2 2 2 2 4 6 3" xfId="24218" xr:uid="{3A8CE661-2C96-43E4-9D4B-9E307E713BE0}"/>
    <cellStyle name="Migliaia 6 2 2 2 2 4 7" xfId="5380" xr:uid="{FCED6EF7-F176-43C6-8414-4FCB53FBC72E}"/>
    <cellStyle name="Migliaia 6 2 2 2 2 4 7 2" xfId="20560" xr:uid="{4797BCD3-2559-48D7-80F8-EC3F51793497}"/>
    <cellStyle name="Migliaia 6 2 2 2 2 4 8" xfId="16758" xr:uid="{5532141F-04FE-4159-A71D-F2B0C504A9E3}"/>
    <cellStyle name="Migliaia 6 2 2 2 2 5" xfId="1625" xr:uid="{D1B69A51-F1EB-49CA-946A-C02983214E5E}"/>
    <cellStyle name="Migliaia 6 2 2 2 2 5 2" xfId="3045" xr:uid="{0C6AF2B9-F5E2-4269-9F6F-B28E2FB41B7A}"/>
    <cellStyle name="Migliaia 6 2 2 2 2 5 2 2" xfId="10536" xr:uid="{F2B9BF12-47E9-427B-ADAE-60ED5A22E224}"/>
    <cellStyle name="Migliaia 6 2 2 2 2 5 2 2 2" xfId="14082" xr:uid="{636A4F58-2867-4712-86F7-8489D4DCC5FD}"/>
    <cellStyle name="Migliaia 6 2 2 2 2 5 2 2 2 2" xfId="29259" xr:uid="{4A4D1906-7E7A-47C3-8607-64880072D8A7}"/>
    <cellStyle name="Migliaia 6 2 2 2 2 5 2 2 3" xfId="25714" xr:uid="{9127DCC2-0077-4465-9CA5-3766811E1A30}"/>
    <cellStyle name="Migliaia 6 2 2 2 2 5 2 3" xfId="6362" xr:uid="{4A25F8BC-4542-43A1-A452-7A05E45C62A6}"/>
    <cellStyle name="Migliaia 6 2 2 2 2 5 2 3 2" xfId="21542" xr:uid="{8B5B73C4-93E3-40BD-BA05-255EE08FED08}"/>
    <cellStyle name="Migliaia 6 2 2 2 2 5 2 4" xfId="18254" xr:uid="{D5A52D14-56F5-4B34-B771-264F0AEEACAD}"/>
    <cellStyle name="Migliaia 6 2 2 2 2 5 3" xfId="3932" xr:uid="{7C29789D-BAC9-4F9A-855D-FF7D567162DF}"/>
    <cellStyle name="Migliaia 6 2 2 2 2 5 3 2" xfId="11420" xr:uid="{99F3CEB8-FDE1-408A-9793-863DB678562D}"/>
    <cellStyle name="Migliaia 6 2 2 2 2 5 3 2 2" xfId="14966" xr:uid="{45E58E69-D0EB-48AE-8A82-E19CDE684B62}"/>
    <cellStyle name="Migliaia 6 2 2 2 2 5 3 2 2 2" xfId="30143" xr:uid="{8AF49835-A538-4035-A65E-23D01FC662B5}"/>
    <cellStyle name="Migliaia 6 2 2 2 2 5 3 2 3" xfId="26598" xr:uid="{6FC9BC25-41B7-433A-9872-D8E232B208F9}"/>
    <cellStyle name="Migliaia 6 2 2 2 2 5 3 3" xfId="7246" xr:uid="{534DA0C5-99C0-4110-AAF3-573AC2C2EA73}"/>
    <cellStyle name="Migliaia 6 2 2 2 2 5 3 3 2" xfId="22426" xr:uid="{2EFA557A-F8F7-4C46-9BF0-030CAD9E805E}"/>
    <cellStyle name="Migliaia 6 2 2 2 2 5 3 4" xfId="19138" xr:uid="{44E3CCEF-7402-492E-8B82-6137625D4CAC}"/>
    <cellStyle name="Migliaia 6 2 2 2 2 5 4" xfId="4794" xr:uid="{3A2250D8-1F19-46B2-9C2B-6EF275C76ACD}"/>
    <cellStyle name="Migliaia 6 2 2 2 2 5 4 2" xfId="12279" xr:uid="{4BD7E4D5-2C95-490F-BF5B-6BF43857D4DA}"/>
    <cellStyle name="Migliaia 6 2 2 2 2 5 4 2 2" xfId="15825" xr:uid="{BBB18373-E46C-43F6-BE9B-E82155DB9A62}"/>
    <cellStyle name="Migliaia 6 2 2 2 2 5 4 2 2 2" xfId="31002" xr:uid="{03917120-D847-4B1E-B86A-51957E06C906}"/>
    <cellStyle name="Migliaia 6 2 2 2 2 5 4 2 3" xfId="27457" xr:uid="{AE13FE60-527F-4E01-A912-F73A1CA15A59}"/>
    <cellStyle name="Migliaia 6 2 2 2 2 5 4 3" xfId="8105" xr:uid="{8AB1A0E3-223F-4F23-A21D-25FE61CA847C}"/>
    <cellStyle name="Migliaia 6 2 2 2 2 5 4 3 2" xfId="23285" xr:uid="{DF014F49-4234-40CB-A8F2-D4A8687E73FC}"/>
    <cellStyle name="Migliaia 6 2 2 2 2 5 4 4" xfId="19997" xr:uid="{404CF38A-C05E-4294-95A9-59792DEFE8D3}"/>
    <cellStyle name="Migliaia 6 2 2 2 2 5 5" xfId="2155" xr:uid="{E4895900-EE53-4E5B-B706-DCD3CE5E5E23}"/>
    <cellStyle name="Migliaia 6 2 2 2 2 5 5 2" xfId="9652" xr:uid="{44417F48-E495-4AE7-A4CD-BC15F82DFD54}"/>
    <cellStyle name="Migliaia 6 2 2 2 2 5 5 2 2" xfId="24830" xr:uid="{7EFC968F-8BBE-4E72-8670-309391931E98}"/>
    <cellStyle name="Migliaia 6 2 2 2 2 5 5 3" xfId="17370" xr:uid="{C359A834-01AA-4898-AC06-FEEC447A545B}"/>
    <cellStyle name="Migliaia 6 2 2 2 2 5 6" xfId="9138" xr:uid="{D643EC30-E43D-45AB-8704-039550CCD115}"/>
    <cellStyle name="Migliaia 6 2 2 2 2 5 6 2" xfId="13311" xr:uid="{CF109E34-55E2-4360-8687-C5303F22DEA5}"/>
    <cellStyle name="Migliaia 6 2 2 2 2 5 6 2 2" xfId="28488" xr:uid="{727FC8C0-BA19-4A2B-8F89-0213E7801FAF}"/>
    <cellStyle name="Migliaia 6 2 2 2 2 5 6 3" xfId="24316" xr:uid="{545D6843-4A67-4DE6-9AEB-D5F48B34BE74}"/>
    <cellStyle name="Migliaia 6 2 2 2 2 5 7" xfId="5478" xr:uid="{56EC3551-6C0D-482B-B2C4-55A08B78DEC9}"/>
    <cellStyle name="Migliaia 6 2 2 2 2 5 7 2" xfId="20658" xr:uid="{5E910CA7-0F9C-45B0-873D-764AAEEAD136}"/>
    <cellStyle name="Migliaia 6 2 2 2 2 5 8" xfId="16856" xr:uid="{9FB8332D-8370-4BDD-A9D1-C8B11FACAAC9}"/>
    <cellStyle name="Migliaia 6 2 2 2 2 6" xfId="1724" xr:uid="{0B4DBA34-03C1-40A5-B185-D1289DB6AD3E}"/>
    <cellStyle name="Migliaia 6 2 2 2 2 6 2" xfId="3143" xr:uid="{0CBF7B81-4C81-4D69-B519-CB971A6DCC5D}"/>
    <cellStyle name="Migliaia 6 2 2 2 2 6 2 2" xfId="10634" xr:uid="{B8F2DB2F-BFFA-4BD7-8647-2559E6D728FC}"/>
    <cellStyle name="Migliaia 6 2 2 2 2 6 2 2 2" xfId="14180" xr:uid="{B8EE5BC2-7753-4A9C-9CBB-777C6BF85C22}"/>
    <cellStyle name="Migliaia 6 2 2 2 2 6 2 2 2 2" xfId="29357" xr:uid="{BCE45CDD-2C13-47BC-A54B-40324672D3C7}"/>
    <cellStyle name="Migliaia 6 2 2 2 2 6 2 2 3" xfId="25812" xr:uid="{A67781A5-E6B1-4822-8156-04B14F27ADF8}"/>
    <cellStyle name="Migliaia 6 2 2 2 2 6 2 3" xfId="6460" xr:uid="{AAFDFE0F-0BE7-4FAE-9A49-B121055AA874}"/>
    <cellStyle name="Migliaia 6 2 2 2 2 6 2 3 2" xfId="21640" xr:uid="{75D9241E-1837-4833-A724-E3393B0E64D0}"/>
    <cellStyle name="Migliaia 6 2 2 2 2 6 2 4" xfId="18352" xr:uid="{572B6ABA-A77E-41B1-81C2-56CA8B1A7676}"/>
    <cellStyle name="Migliaia 6 2 2 2 2 6 3" xfId="4030" xr:uid="{7CB91914-15FA-4EB8-AFDF-D6BBAF202187}"/>
    <cellStyle name="Migliaia 6 2 2 2 2 6 3 2" xfId="11518" xr:uid="{2E4883C1-DC16-494A-9855-0E4D835D05E1}"/>
    <cellStyle name="Migliaia 6 2 2 2 2 6 3 2 2" xfId="15064" xr:uid="{7E0E78C3-F3AB-4171-9101-1CD9E5474E96}"/>
    <cellStyle name="Migliaia 6 2 2 2 2 6 3 2 2 2" xfId="30241" xr:uid="{EA5ECF9F-2659-46B0-930B-B8456CAC6D53}"/>
    <cellStyle name="Migliaia 6 2 2 2 2 6 3 2 3" xfId="26696" xr:uid="{A1744E10-1F29-4FC9-969C-E27ED69BA073}"/>
    <cellStyle name="Migliaia 6 2 2 2 2 6 3 3" xfId="7344" xr:uid="{A19A49C7-9019-4DDB-8BFD-7CE7045BBB9E}"/>
    <cellStyle name="Migliaia 6 2 2 2 2 6 3 3 2" xfId="22524" xr:uid="{B851F402-55E8-4230-96BE-0CC7F0D958DE}"/>
    <cellStyle name="Migliaia 6 2 2 2 2 6 3 4" xfId="19236" xr:uid="{7DAA50BA-86FA-422D-9275-3DF11525DEC1}"/>
    <cellStyle name="Migliaia 6 2 2 2 2 6 4" xfId="4795" xr:uid="{6D823FD3-63DA-4150-A2A1-057BDF544B46}"/>
    <cellStyle name="Migliaia 6 2 2 2 2 6 4 2" xfId="12280" xr:uid="{00A4568D-3601-4C87-BD9D-4EFE8F3C818F}"/>
    <cellStyle name="Migliaia 6 2 2 2 2 6 4 2 2" xfId="15826" xr:uid="{50FE8AE8-A109-41E5-B667-E9E9BE8F19FB}"/>
    <cellStyle name="Migliaia 6 2 2 2 2 6 4 2 2 2" xfId="31003" xr:uid="{13F7F912-5841-4939-B2A4-B56E409F1295}"/>
    <cellStyle name="Migliaia 6 2 2 2 2 6 4 2 3" xfId="27458" xr:uid="{AE37F7B3-D309-431E-B5CD-0A071DC814B5}"/>
    <cellStyle name="Migliaia 6 2 2 2 2 6 4 3" xfId="8106" xr:uid="{158C8512-EEAC-4A49-8597-F676D71140DC}"/>
    <cellStyle name="Migliaia 6 2 2 2 2 6 4 3 2" xfId="23286" xr:uid="{115E4880-0218-414E-9BA0-F93936022E60}"/>
    <cellStyle name="Migliaia 6 2 2 2 2 6 4 4" xfId="19998" xr:uid="{8265E1A4-2082-4DFD-9E94-4350604F803F}"/>
    <cellStyle name="Migliaia 6 2 2 2 2 6 5" xfId="2253" xr:uid="{79C8EDDA-CFCF-4046-9528-869417D86F01}"/>
    <cellStyle name="Migliaia 6 2 2 2 2 6 5 2" xfId="9750" xr:uid="{691CD1B9-078E-4BDF-980B-54017987E072}"/>
    <cellStyle name="Migliaia 6 2 2 2 2 6 5 2 2" xfId="24928" xr:uid="{E57FDF47-61C2-4336-B1DE-83D1ECA8DBC7}"/>
    <cellStyle name="Migliaia 6 2 2 2 2 6 5 3" xfId="17468" xr:uid="{7C77C72C-4D03-47E5-B668-47A79FE8A005}"/>
    <cellStyle name="Migliaia 6 2 2 2 2 6 6" xfId="9236" xr:uid="{FEE7029D-20A1-491C-B75F-49AA073542BD}"/>
    <cellStyle name="Migliaia 6 2 2 2 2 6 6 2" xfId="13409" xr:uid="{9F983924-1E2B-4C11-B64F-E7C03A58D882}"/>
    <cellStyle name="Migliaia 6 2 2 2 2 6 6 2 2" xfId="28586" xr:uid="{D5B45D14-AFF5-427E-A1CE-0B8189E76392}"/>
    <cellStyle name="Migliaia 6 2 2 2 2 6 6 3" xfId="24414" xr:uid="{5CD3B0EC-1959-4932-8FF2-4C618A952B3E}"/>
    <cellStyle name="Migliaia 6 2 2 2 2 6 7" xfId="5576" xr:uid="{6EC03551-2428-40EE-AB54-4544EB07530B}"/>
    <cellStyle name="Migliaia 6 2 2 2 2 6 7 2" xfId="20756" xr:uid="{2A3A76E6-9D4A-49B0-A358-A0294867BEF6}"/>
    <cellStyle name="Migliaia 6 2 2 2 2 6 8" xfId="16954" xr:uid="{A51D7C23-3E0F-4A31-83F4-6D17BAC90160}"/>
    <cellStyle name="Migliaia 6 2 2 2 2 7" xfId="2353" xr:uid="{F15AADEC-FEC6-4EB6-B505-99FD41E67AFE}"/>
    <cellStyle name="Migliaia 6 2 2 2 2 7 2" xfId="9848" xr:uid="{12DE82AA-F068-463E-B983-B94FAD6A35EC}"/>
    <cellStyle name="Migliaia 6 2 2 2 2 7 2 2" xfId="13507" xr:uid="{DE846FAC-9220-4E22-9466-5D2BD8D22052}"/>
    <cellStyle name="Migliaia 6 2 2 2 2 7 2 2 2" xfId="28684" xr:uid="{4A0CEA78-A8C2-4E76-8068-DFAA2613F810}"/>
    <cellStyle name="Migliaia 6 2 2 2 2 7 2 3" xfId="25026" xr:uid="{27387AF4-2AF2-43AC-9C2F-133BD45B3D24}"/>
    <cellStyle name="Migliaia 6 2 2 2 2 7 3" xfId="5674" xr:uid="{1979890C-00EA-46E6-B98D-073282FD32B3}"/>
    <cellStyle name="Migliaia 6 2 2 2 2 7 3 2" xfId="20854" xr:uid="{71FEF812-A773-4E61-9CCA-67D566EBD373}"/>
    <cellStyle name="Migliaia 6 2 2 2 2 7 4" xfId="17566" xr:uid="{770AB3A6-6676-4FC1-89BB-2CA5B10C6483}"/>
    <cellStyle name="Migliaia 6 2 2 2 2 8" xfId="3243" xr:uid="{59F836E1-E83C-444D-B825-3DFC30E140FF}"/>
    <cellStyle name="Migliaia 6 2 2 2 2 8 2" xfId="10732" xr:uid="{5630B1F7-C14D-483A-BEF4-A9BD8C24B086}"/>
    <cellStyle name="Migliaia 6 2 2 2 2 8 2 2" xfId="14278" xr:uid="{7D673CAB-EF2F-439D-A3E5-D8C9009F1C38}"/>
    <cellStyle name="Migliaia 6 2 2 2 2 8 2 2 2" xfId="29455" xr:uid="{AE9A6378-1D79-4E78-B0C0-0299E000F227}"/>
    <cellStyle name="Migliaia 6 2 2 2 2 8 2 3" xfId="25910" xr:uid="{A0151972-7F1C-441D-B89C-AA74A2771520}"/>
    <cellStyle name="Migliaia 6 2 2 2 2 8 3" xfId="6558" xr:uid="{FD79F715-542A-4E6A-914B-EED80899BCB2}"/>
    <cellStyle name="Migliaia 6 2 2 2 2 8 3 2" xfId="21738" xr:uid="{2720F8D3-A17C-4AC3-BC65-FAC74F4F66E6}"/>
    <cellStyle name="Migliaia 6 2 2 2 2 8 4" xfId="18450" xr:uid="{6158F7FE-4820-471B-92CE-4A62B1AF8CFB}"/>
    <cellStyle name="Migliaia 6 2 2 2 2 9" xfId="4796" xr:uid="{C07B00E6-9457-4969-81D8-6A36EC20ABC5}"/>
    <cellStyle name="Migliaia 6 2 2 2 2 9 2" xfId="12281" xr:uid="{21B9FCCF-79EA-4DF0-B555-6A659589FCCD}"/>
    <cellStyle name="Migliaia 6 2 2 2 2 9 2 2" xfId="15827" xr:uid="{80C7EA1F-A3A0-4F75-B208-B2C9BFF6C6A3}"/>
    <cellStyle name="Migliaia 6 2 2 2 2 9 2 2 2" xfId="31004" xr:uid="{4230F67B-D51B-4D63-8F21-DB028A939AD2}"/>
    <cellStyle name="Migliaia 6 2 2 2 2 9 2 3" xfId="27459" xr:uid="{E1CA03B7-621D-4308-86F5-894080AE442A}"/>
    <cellStyle name="Migliaia 6 2 2 2 2 9 3" xfId="8107" xr:uid="{8B01A0EA-BA9F-4175-811D-7101624EC4AE}"/>
    <cellStyle name="Migliaia 6 2 2 2 2 9 3 2" xfId="23287" xr:uid="{68CB323E-E040-4B13-88A0-2FE864BF0899}"/>
    <cellStyle name="Migliaia 6 2 2 2 2 9 4" xfId="19999" xr:uid="{FFA28AC3-C437-4CCB-B2E1-5E7F282F94AE}"/>
    <cellStyle name="Migliaia 6 2 2 2 3" xfId="911" xr:uid="{F1FFA6D7-AAA5-4956-91F3-94473BA4476F}"/>
    <cellStyle name="Migliaia 6 2 2 2 3 2" xfId="2429" xr:uid="{564EB1D6-8E7E-4589-8A06-38CB39DD8F39}"/>
    <cellStyle name="Migliaia 6 2 2 2 3 2 2" xfId="9921" xr:uid="{667E7938-C873-4E37-A765-CA5355E52DD0}"/>
    <cellStyle name="Migliaia 6 2 2 2 3 2 2 2" xfId="13580" xr:uid="{C53032B2-B399-4817-A87E-21A6F9C69ECF}"/>
    <cellStyle name="Migliaia 6 2 2 2 3 2 2 2 2" xfId="28757" xr:uid="{5F21C6BE-B524-418F-AAC6-537D93D7A753}"/>
    <cellStyle name="Migliaia 6 2 2 2 3 2 2 3" xfId="25099" xr:uid="{DF985DB2-EE04-4EA6-ACD1-ECF3703F5119}"/>
    <cellStyle name="Migliaia 6 2 2 2 3 2 3" xfId="5747" xr:uid="{261B785B-4401-45BB-8FFF-E4A15A207672}"/>
    <cellStyle name="Migliaia 6 2 2 2 3 2 3 2" xfId="20927" xr:uid="{52588705-E42B-4713-81CC-D4668BD59537}"/>
    <cellStyle name="Migliaia 6 2 2 2 3 2 4" xfId="17639" xr:uid="{A23FA408-99D6-4054-BB09-77456B6D293E}"/>
    <cellStyle name="Migliaia 6 2 2 2 3 3" xfId="3317" xr:uid="{8D4C5694-134C-40BB-9C4F-213A7D9DB854}"/>
    <cellStyle name="Migliaia 6 2 2 2 3 3 2" xfId="10805" xr:uid="{82A9284A-2DFD-4AB9-8360-344D7029A28B}"/>
    <cellStyle name="Migliaia 6 2 2 2 3 3 2 2" xfId="14351" xr:uid="{9BB2D897-2394-441D-B8CB-70A734FC9D7B}"/>
    <cellStyle name="Migliaia 6 2 2 2 3 3 2 2 2" xfId="29528" xr:uid="{5A477D79-BDD1-4969-9E12-42765BA23AC9}"/>
    <cellStyle name="Migliaia 6 2 2 2 3 3 2 3" xfId="25983" xr:uid="{969A6A50-8013-448B-A9C0-565ED6EE4B28}"/>
    <cellStyle name="Migliaia 6 2 2 2 3 3 3" xfId="6631" xr:uid="{F1836140-F8C4-40B3-86E2-1F899ABFD663}"/>
    <cellStyle name="Migliaia 6 2 2 2 3 3 3 2" xfId="21811" xr:uid="{4EBA1B51-C156-47BC-AF07-26C5C0379648}"/>
    <cellStyle name="Migliaia 6 2 2 2 3 3 4" xfId="18523" xr:uid="{724AF12B-6E59-43CC-AA61-9F45492A904F}"/>
    <cellStyle name="Migliaia 6 2 2 2 3 4" xfId="4797" xr:uid="{7C5F5A6B-DAAF-41CF-BD68-F72BD4C16670}"/>
    <cellStyle name="Migliaia 6 2 2 2 3 4 2" xfId="12282" xr:uid="{6727DD0D-AA8F-47FA-A4FD-96B623295744}"/>
    <cellStyle name="Migliaia 6 2 2 2 3 4 2 2" xfId="15828" xr:uid="{BF5A75F5-8B45-463E-BB58-6245D0BE00D1}"/>
    <cellStyle name="Migliaia 6 2 2 2 3 4 2 2 2" xfId="31005" xr:uid="{21D7FE81-A209-4F9C-9693-8CCE2220D483}"/>
    <cellStyle name="Migliaia 6 2 2 2 3 4 2 3" xfId="27460" xr:uid="{75263328-4F4F-42E6-B4F2-3C46FF2495EE}"/>
    <cellStyle name="Migliaia 6 2 2 2 3 4 3" xfId="8108" xr:uid="{F98812E3-0881-4275-A1DC-CF89B1B346EF}"/>
    <cellStyle name="Migliaia 6 2 2 2 3 4 3 2" xfId="23288" xr:uid="{8506F8C0-2D89-45BE-B56D-06180A8747EB}"/>
    <cellStyle name="Migliaia 6 2 2 2 3 4 4" xfId="20000" xr:uid="{E7C81140-BDE5-44D2-86F6-B40A8E6988D5}"/>
    <cellStyle name="Migliaia 6 2 2 2 3 5" xfId="8523" xr:uid="{C7B83299-BED6-4B42-A736-D1E01C79AA96}"/>
    <cellStyle name="Migliaia 6 2 2 2 3 5 2" xfId="12696" xr:uid="{13A20DFA-2C0D-4704-B199-AA47BD536664}"/>
    <cellStyle name="Migliaia 6 2 2 2 3 5 2 2" xfId="27873" xr:uid="{7CC8B1B8-3FE5-4BC8-8A4E-45CABCE7845D}"/>
    <cellStyle name="Migliaia 6 2 2 2 3 5 3" xfId="23701" xr:uid="{D9F5DCDA-9561-4827-A501-EAF4B2351285}"/>
    <cellStyle name="Migliaia 6 2 2 2 3 6" xfId="16241" xr:uid="{F2619EB2-7911-41E1-A583-FBFBA5E0FD63}"/>
    <cellStyle name="Migliaia 6 2 2 2 3 7" xfId="31681" xr:uid="{EBF6AA97-DBBD-46B7-9D49-493CA699CCE0}"/>
    <cellStyle name="Migliaia 6 2 2 2 4" xfId="1014" xr:uid="{6773371A-79A7-4575-AD82-73B60656E80A}"/>
    <cellStyle name="Migliaia 6 2 2 2 4 2" xfId="2527" xr:uid="{EC796A05-8128-4C07-86FC-E687C33DB4BE}"/>
    <cellStyle name="Migliaia 6 2 2 2 4 2 2" xfId="10019" xr:uid="{88B900AE-6F89-41F7-A554-63945E43770E}"/>
    <cellStyle name="Migliaia 6 2 2 2 4 2 2 2" xfId="13678" xr:uid="{C6847E04-965E-4BEB-BBB5-7950A93A62C7}"/>
    <cellStyle name="Migliaia 6 2 2 2 4 2 2 2 2" xfId="28855" xr:uid="{EFB47CB6-C4F8-4828-8F4F-E7FFA6699357}"/>
    <cellStyle name="Migliaia 6 2 2 2 4 2 2 3" xfId="25197" xr:uid="{791E6548-7F66-43BB-AA4B-3130268D727C}"/>
    <cellStyle name="Migliaia 6 2 2 2 4 2 3" xfId="5845" xr:uid="{B946BF87-E480-4369-B7AF-CAAE341BF093}"/>
    <cellStyle name="Migliaia 6 2 2 2 4 2 3 2" xfId="21025" xr:uid="{B7CEBF5D-2611-4612-84FD-D8BC41AB75F6}"/>
    <cellStyle name="Migliaia 6 2 2 2 4 2 4" xfId="17737" xr:uid="{00BA9C0B-007F-4FF1-B3DE-07805D0AE7F3}"/>
    <cellStyle name="Migliaia 6 2 2 2 4 3" xfId="3415" xr:uid="{0EE49136-CEB6-4CD5-8A0E-D3A03A4AA07B}"/>
    <cellStyle name="Migliaia 6 2 2 2 4 3 2" xfId="10903" xr:uid="{85A4188A-7369-4D80-B9FF-CA4E4D1EF160}"/>
    <cellStyle name="Migliaia 6 2 2 2 4 3 2 2" xfId="14449" xr:uid="{78438AD4-EF5F-49C9-8ECF-1E098EBCF825}"/>
    <cellStyle name="Migliaia 6 2 2 2 4 3 2 2 2" xfId="29626" xr:uid="{F7DA00AD-9AC3-4877-84A4-3110C645FA22}"/>
    <cellStyle name="Migliaia 6 2 2 2 4 3 2 3" xfId="26081" xr:uid="{6C79EF6B-043C-4493-9463-5EC1C98D7538}"/>
    <cellStyle name="Migliaia 6 2 2 2 4 3 3" xfId="6729" xr:uid="{E0A1A48A-8201-4E11-AAEA-218BBA37E30F}"/>
    <cellStyle name="Migliaia 6 2 2 2 4 3 3 2" xfId="21909" xr:uid="{847EE865-E905-45EE-8482-CD3A27FCE00E}"/>
    <cellStyle name="Migliaia 6 2 2 2 4 3 4" xfId="18621" xr:uid="{9E8124D2-EBEE-46E5-9A7A-731E0F138A30}"/>
    <cellStyle name="Migliaia 6 2 2 2 4 4" xfId="4798" xr:uid="{3034A3D4-B503-423F-BFE2-0D090F0D44BF}"/>
    <cellStyle name="Migliaia 6 2 2 2 4 4 2" xfId="12283" xr:uid="{9D25CA68-8DAA-48B2-B701-182D1BE342D4}"/>
    <cellStyle name="Migliaia 6 2 2 2 4 4 2 2" xfId="15829" xr:uid="{E57F69FA-AFB2-4AFD-80BF-9FD7F0E38B9A}"/>
    <cellStyle name="Migliaia 6 2 2 2 4 4 2 2 2" xfId="31006" xr:uid="{08409D65-2BA8-424B-9DB5-B23D92308003}"/>
    <cellStyle name="Migliaia 6 2 2 2 4 4 2 3" xfId="27461" xr:uid="{81CDC4AB-9331-456E-8BD2-1692015EA7AD}"/>
    <cellStyle name="Migliaia 6 2 2 2 4 4 3" xfId="8109" xr:uid="{5F0967F1-05AF-4323-8BCF-ABB4E6A1C6E4}"/>
    <cellStyle name="Migliaia 6 2 2 2 4 4 3 2" xfId="23289" xr:uid="{C1A6A0B5-6C98-4DCE-BA00-94E181E63760}"/>
    <cellStyle name="Migliaia 6 2 2 2 4 4 4" xfId="20001" xr:uid="{D7997D09-3012-46BE-B032-B03599A31234}"/>
    <cellStyle name="Migliaia 6 2 2 2 4 5" xfId="8621" xr:uid="{CB57286B-F12D-4161-8EE2-A352FF96E76F}"/>
    <cellStyle name="Migliaia 6 2 2 2 4 5 2" xfId="12794" xr:uid="{82A85C12-0A0E-4794-90E7-5BC2ED2616F4}"/>
    <cellStyle name="Migliaia 6 2 2 2 4 5 2 2" xfId="27971" xr:uid="{7E52809B-C791-47D7-86E3-4FD97F4B0E3B}"/>
    <cellStyle name="Migliaia 6 2 2 2 4 5 3" xfId="23799" xr:uid="{6E035D11-62AA-4C05-8FD3-4ED9E56DE14B}"/>
    <cellStyle name="Migliaia 6 2 2 2 4 6" xfId="16339" xr:uid="{46D2E3FD-2063-40E5-9CCC-BBE41EFA13F4}"/>
    <cellStyle name="Migliaia 6 2 2 2 4 7" xfId="31559" xr:uid="{07B1808E-0A5B-43B9-BD6A-F8DBA83BA522}"/>
    <cellStyle name="Migliaia 6 2 2 2 5" xfId="1272" xr:uid="{17597979-6A3E-4DB2-9624-ECD0743BE6E9}"/>
    <cellStyle name="Migliaia 6 2 2 2 5 10" xfId="31331" xr:uid="{3DB54C6E-EC9F-4D5A-8A4B-7562E5FB7E18}"/>
    <cellStyle name="Migliaia 6 2 2 2 5 2" xfId="2702" xr:uid="{A4B58ED3-417F-4DFC-8F9C-7C14F250A1E0}"/>
    <cellStyle name="Migliaia 6 2 2 2 5 2 2" xfId="10193" xr:uid="{9E1C9534-C7A0-4E0A-A145-3D473ADD81AD}"/>
    <cellStyle name="Migliaia 6 2 2 2 5 2 2 2" xfId="13837" xr:uid="{9D7F2498-35B4-4B31-B3C5-7DEC8C81E8EC}"/>
    <cellStyle name="Migliaia 6 2 2 2 5 2 2 2 2" xfId="29014" xr:uid="{F92A64DD-5D2C-4D33-902C-5D7257732069}"/>
    <cellStyle name="Migliaia 6 2 2 2 5 2 2 3" xfId="25371" xr:uid="{E8D54CC3-A6A3-4560-B994-86CCCC8BB253}"/>
    <cellStyle name="Migliaia 6 2 2 2 5 2 3" xfId="6019" xr:uid="{21FA0CD3-51AC-4A33-97FA-9E9DD631BECF}"/>
    <cellStyle name="Migliaia 6 2 2 2 5 2 3 2" xfId="21199" xr:uid="{E0F0BA42-546E-423D-8668-0AF1A1B6C33A}"/>
    <cellStyle name="Migliaia 6 2 2 2 5 2 4" xfId="17911" xr:uid="{2C47A3C9-55CB-4929-A23C-6B3387C31744}"/>
    <cellStyle name="Migliaia 6 2 2 2 5 3" xfId="3589" xr:uid="{36FDCE94-CCD2-4ECD-8BF3-FC86E88C9F77}"/>
    <cellStyle name="Migliaia 6 2 2 2 5 3 2" xfId="11077" xr:uid="{EFAE4E72-694A-49CF-BE96-4D77106E7F7F}"/>
    <cellStyle name="Migliaia 6 2 2 2 5 3 2 2" xfId="14623" xr:uid="{1CF0D312-617F-482F-93A1-F90A69FBE740}"/>
    <cellStyle name="Migliaia 6 2 2 2 5 3 2 2 2" xfId="29800" xr:uid="{3142C3CC-C66F-4D17-9B49-7BCE422F7EF9}"/>
    <cellStyle name="Migliaia 6 2 2 2 5 3 2 3" xfId="26255" xr:uid="{A4FE8F5D-65CB-4C94-8D15-F851A1DE9954}"/>
    <cellStyle name="Migliaia 6 2 2 2 5 3 3" xfId="6903" xr:uid="{BAFC2F39-55D1-4017-8E37-F92BF7FA18CC}"/>
    <cellStyle name="Migliaia 6 2 2 2 5 3 3 2" xfId="22083" xr:uid="{A98839BC-A501-4A29-A739-CD0E30E05D47}"/>
    <cellStyle name="Migliaia 6 2 2 2 5 3 4" xfId="18795" xr:uid="{D0FBE461-F15C-4726-841F-D08C457E16E8}"/>
    <cellStyle name="Migliaia 6 2 2 2 5 4" xfId="4799" xr:uid="{FD1EEDBD-28F8-44F5-BE03-F127B08F3025}"/>
    <cellStyle name="Migliaia 6 2 2 2 5 4 2" xfId="12284" xr:uid="{51506F9B-0872-444A-8AE7-20E9533964C3}"/>
    <cellStyle name="Migliaia 6 2 2 2 5 4 2 2" xfId="15830" xr:uid="{FD0C0E18-F791-4BAB-BC2E-5ED61A00D75B}"/>
    <cellStyle name="Migliaia 6 2 2 2 5 4 2 2 2" xfId="31007" xr:uid="{787CBF18-188B-46BA-BA86-7DC412A56805}"/>
    <cellStyle name="Migliaia 6 2 2 2 5 4 2 3" xfId="27462" xr:uid="{3BE2FA82-9A96-4624-8514-DB7A612F5032}"/>
    <cellStyle name="Migliaia 6 2 2 2 5 4 3" xfId="8110" xr:uid="{07C78727-1146-4ECD-BF70-00F6B10E5D26}"/>
    <cellStyle name="Migliaia 6 2 2 2 5 4 3 2" xfId="23290" xr:uid="{F81C3CD7-A159-4BD5-9AE3-2C807459DAE8}"/>
    <cellStyle name="Migliaia 6 2 2 2 5 4 4" xfId="20002" xr:uid="{3CCB306C-13DB-4B2A-ADEB-E6DCFF422011}"/>
    <cellStyle name="Migliaia 6 2 2 2 5 5" xfId="4991" xr:uid="{F30C0899-1A5E-42A7-8FCB-F6A479BCF83D}"/>
    <cellStyle name="Migliaia 6 2 2 2 5 5 2" xfId="12475" xr:uid="{B7FE68C5-DB85-4EEA-9815-9E28853097C0}"/>
    <cellStyle name="Migliaia 6 2 2 2 5 5 2 2" xfId="16021" xr:uid="{A8E5123E-6126-453F-903B-01DC011E2F3A}"/>
    <cellStyle name="Migliaia 6 2 2 2 5 5 2 2 2" xfId="31198" xr:uid="{1572E844-F458-4442-B146-2297FABAB21C}"/>
    <cellStyle name="Migliaia 6 2 2 2 5 5 2 3" xfId="27653" xr:uid="{98C17C5D-3DB9-4880-823A-F40D5B71B620}"/>
    <cellStyle name="Migliaia 6 2 2 2 5 5 3" xfId="8301" xr:uid="{720D299A-6CFF-49EE-AB71-A2035F89C9BE}"/>
    <cellStyle name="Migliaia 6 2 2 2 5 5 3 2" xfId="23481" xr:uid="{ABC26815-FDAB-4E0F-8F5A-209C558B13BB}"/>
    <cellStyle name="Migliaia 6 2 2 2 5 5 4" xfId="20193" xr:uid="{E7C57133-E57C-4194-84A5-0F898977949A}"/>
    <cellStyle name="Migliaia 6 2 2 2 5 6" xfId="1812" xr:uid="{4235A71A-C9E9-46F8-A320-BB11D762DBEE}"/>
    <cellStyle name="Migliaia 6 2 2 2 5 6 2" xfId="9309" xr:uid="{A39580C8-C095-4373-B685-D95602F2B7B7}"/>
    <cellStyle name="Migliaia 6 2 2 2 5 6 2 2" xfId="24487" xr:uid="{5298205D-F5A4-4B31-8AC3-ED22ABEE72E4}"/>
    <cellStyle name="Migliaia 6 2 2 2 5 6 3" xfId="17027" xr:uid="{0C960136-94FA-4BAC-9FE3-802D2F431E86}"/>
    <cellStyle name="Migliaia 6 2 2 2 5 7" xfId="8795" xr:uid="{A1907682-A39F-4E9E-B0F9-701C38AD5CE3}"/>
    <cellStyle name="Migliaia 6 2 2 2 5 7 2" xfId="12968" xr:uid="{299D4DEC-0B44-43D6-978B-97F5AA438FA5}"/>
    <cellStyle name="Migliaia 6 2 2 2 5 7 2 2" xfId="28145" xr:uid="{7FBFB14D-D18A-4B30-8151-B1F41F1281E2}"/>
    <cellStyle name="Migliaia 6 2 2 2 5 7 3" xfId="23973" xr:uid="{840BE4FD-B760-4974-B09E-47993CCD7B97}"/>
    <cellStyle name="Migliaia 6 2 2 2 5 8" xfId="5135" xr:uid="{50065649-EC8D-40D5-8682-90B5EB44A5DA}"/>
    <cellStyle name="Migliaia 6 2 2 2 5 8 2" xfId="20315" xr:uid="{DBA7150A-040D-494E-B90F-C88D13A6D2F3}"/>
    <cellStyle name="Migliaia 6 2 2 2 5 9" xfId="16513" xr:uid="{355E8A99-C343-4800-BE70-961BC0966581}"/>
    <cellStyle name="Migliaia 6 2 2 2 6" xfId="1374" xr:uid="{CD4C6C60-83C3-4A4C-9A1A-3FFE75FDFC86}"/>
    <cellStyle name="Migliaia 6 2 2 2 6 2" xfId="2800" xr:uid="{D79D8D3D-4CC6-472F-919F-EF5B9177BC24}"/>
    <cellStyle name="Migliaia 6 2 2 2 6 2 2" xfId="10291" xr:uid="{B4056FC5-629D-4DDA-B66C-37AD148C2363}"/>
    <cellStyle name="Migliaia 6 2 2 2 6 2 2 2" xfId="13886" xr:uid="{8063EF98-966B-449D-810F-1FAA47C26B40}"/>
    <cellStyle name="Migliaia 6 2 2 2 6 2 2 2 2" xfId="29063" xr:uid="{9692B3C6-2D6D-4648-AD3D-6B1CE9A3E8EF}"/>
    <cellStyle name="Migliaia 6 2 2 2 6 2 2 3" xfId="25469" xr:uid="{0C58A33E-C06B-4DA2-BF2E-F79DC413D0F3}"/>
    <cellStyle name="Migliaia 6 2 2 2 6 2 3" xfId="6117" xr:uid="{7320600E-4C9E-46A7-8712-63B24B28911A}"/>
    <cellStyle name="Migliaia 6 2 2 2 6 2 3 2" xfId="21297" xr:uid="{DC8520BF-CACB-44CA-8E25-F9AA28836A5B}"/>
    <cellStyle name="Migliaia 6 2 2 2 6 2 4" xfId="18009" xr:uid="{4525A113-0BF7-4A2E-BC59-6234CE62717E}"/>
    <cellStyle name="Migliaia 6 2 2 2 6 3" xfId="3687" xr:uid="{7B078E20-3F9A-45EB-AC90-635A5AF59F57}"/>
    <cellStyle name="Migliaia 6 2 2 2 6 3 2" xfId="11175" xr:uid="{47162142-2212-4ED0-A5F5-77AF2F4698D3}"/>
    <cellStyle name="Migliaia 6 2 2 2 6 3 2 2" xfId="14721" xr:uid="{7E4516B9-2CC2-4704-AD6D-969213F3B6F2}"/>
    <cellStyle name="Migliaia 6 2 2 2 6 3 2 2 2" xfId="29898" xr:uid="{AC2D5CC6-E47A-42B4-8AB8-A9281A34B9AF}"/>
    <cellStyle name="Migliaia 6 2 2 2 6 3 2 3" xfId="26353" xr:uid="{190975AF-684B-472D-B7FF-C52E891D7C13}"/>
    <cellStyle name="Migliaia 6 2 2 2 6 3 3" xfId="7001" xr:uid="{7D1DDCE2-3C13-41D8-B804-71D8DCF9DB0C}"/>
    <cellStyle name="Migliaia 6 2 2 2 6 3 3 2" xfId="22181" xr:uid="{C391A5EB-635A-4ACF-B2FA-F2A253C55F43}"/>
    <cellStyle name="Migliaia 6 2 2 2 6 3 4" xfId="18893" xr:uid="{C8D0C93D-EE0B-43FD-9230-24384CC6A680}"/>
    <cellStyle name="Migliaia 6 2 2 2 6 4" xfId="4800" xr:uid="{01589247-D4D8-4388-A5AF-728F4E0E8B4D}"/>
    <cellStyle name="Migliaia 6 2 2 2 6 4 2" xfId="12285" xr:uid="{A6E6B224-5AAF-493E-984C-521BF0EEF477}"/>
    <cellStyle name="Migliaia 6 2 2 2 6 4 2 2" xfId="15831" xr:uid="{E7A13863-28B8-4847-B812-D9842C2DAFC2}"/>
    <cellStyle name="Migliaia 6 2 2 2 6 4 2 2 2" xfId="31008" xr:uid="{E55E1C4A-61B5-43A9-861D-7F569B3A2BDA}"/>
    <cellStyle name="Migliaia 6 2 2 2 6 4 2 3" xfId="27463" xr:uid="{5EAB028B-7A31-41D8-A63D-F4EA0F9FAD5F}"/>
    <cellStyle name="Migliaia 6 2 2 2 6 4 3" xfId="8111" xr:uid="{492D98DC-651F-49A2-8059-50C80CA5D4D4}"/>
    <cellStyle name="Migliaia 6 2 2 2 6 4 3 2" xfId="23291" xr:uid="{3CAF1409-1D26-4070-BB19-22F6ED24DF95}"/>
    <cellStyle name="Migliaia 6 2 2 2 6 4 4" xfId="20003" xr:uid="{C860B00D-8043-45CC-AFEF-AF0583E1551F}"/>
    <cellStyle name="Migliaia 6 2 2 2 6 5" xfId="1910" xr:uid="{7A786D4D-0E94-4926-9CEB-F920BD1CE9A3}"/>
    <cellStyle name="Migliaia 6 2 2 2 6 5 2" xfId="9407" xr:uid="{6858F6CC-F540-49C9-A9FA-26BD04CC3FCD}"/>
    <cellStyle name="Migliaia 6 2 2 2 6 5 2 2" xfId="24585" xr:uid="{6F88B303-A4CB-4BFB-A3AB-560F8B4C9DF5}"/>
    <cellStyle name="Migliaia 6 2 2 2 6 5 3" xfId="17125" xr:uid="{6AAD99EE-B3EC-4F71-9C66-8640133FA670}"/>
    <cellStyle name="Migliaia 6 2 2 2 6 6" xfId="8893" xr:uid="{C0F7ACAC-B06A-4EDA-81CB-78BAD063B753}"/>
    <cellStyle name="Migliaia 6 2 2 2 6 6 2" xfId="13066" xr:uid="{CB3EB708-09A7-4E27-9D76-AB92AE0352A0}"/>
    <cellStyle name="Migliaia 6 2 2 2 6 6 2 2" xfId="28243" xr:uid="{DC85473D-008E-4C09-94CF-F927FF038795}"/>
    <cellStyle name="Migliaia 6 2 2 2 6 6 3" xfId="24071" xr:uid="{49F55B13-CB5B-4770-9BF8-5B6384C0E85B}"/>
    <cellStyle name="Migliaia 6 2 2 2 6 7" xfId="5233" xr:uid="{873D5729-435C-4BD7-B7D0-286A0E85D324}"/>
    <cellStyle name="Migliaia 6 2 2 2 6 7 2" xfId="20413" xr:uid="{6D29BD1B-5DE0-414F-897A-B6B6C7F79C71}"/>
    <cellStyle name="Migliaia 6 2 2 2 6 8" xfId="16611" xr:uid="{07E6DFA6-BE11-446B-BC96-50B3C66CA052}"/>
    <cellStyle name="Migliaia 6 2 2 2 7" xfId="1473" xr:uid="{19FCE728-3FBB-4AC8-8C96-DCB789E6ADF0}"/>
    <cellStyle name="Migliaia 6 2 2 2 7 2" xfId="2898" xr:uid="{295773F7-B05A-4525-BBC7-D15E6F127DEE}"/>
    <cellStyle name="Migliaia 6 2 2 2 7 2 2" xfId="10389" xr:uid="{AB3E13B1-BCB6-45DC-9248-67A8400D3DFD}"/>
    <cellStyle name="Migliaia 6 2 2 2 7 2 2 2" xfId="13935" xr:uid="{9D8853B4-9F73-4E5A-A9DC-B7971A4C8975}"/>
    <cellStyle name="Migliaia 6 2 2 2 7 2 2 2 2" xfId="29112" xr:uid="{94D0FEAA-4B60-427B-9B26-0FD2C99BAC1C}"/>
    <cellStyle name="Migliaia 6 2 2 2 7 2 2 3" xfId="25567" xr:uid="{231BA9A2-5000-43AB-9C25-3C4B3341CE0D}"/>
    <cellStyle name="Migliaia 6 2 2 2 7 2 3" xfId="6215" xr:uid="{5B345299-7367-429C-B5F3-2FCD08895E46}"/>
    <cellStyle name="Migliaia 6 2 2 2 7 2 3 2" xfId="21395" xr:uid="{1FB30CAB-C40A-4149-ABCB-98BA6E00B7B1}"/>
    <cellStyle name="Migliaia 6 2 2 2 7 2 4" xfId="18107" xr:uid="{B9C53094-F51D-4942-B07A-0F1EB0B3911C}"/>
    <cellStyle name="Migliaia 6 2 2 2 7 3" xfId="3785" xr:uid="{C41B54B2-5D5D-4510-B877-C36FCFF1D11D}"/>
    <cellStyle name="Migliaia 6 2 2 2 7 3 2" xfId="11273" xr:uid="{69B8A5B9-5EAC-4FFA-9F91-F0AC27E97349}"/>
    <cellStyle name="Migliaia 6 2 2 2 7 3 2 2" xfId="14819" xr:uid="{52369942-8DC4-4BAE-90EF-F711DF995A34}"/>
    <cellStyle name="Migliaia 6 2 2 2 7 3 2 2 2" xfId="29996" xr:uid="{472A27D9-1927-4FF8-9243-DABE36F9757A}"/>
    <cellStyle name="Migliaia 6 2 2 2 7 3 2 3" xfId="26451" xr:uid="{FEC4A038-6CA6-4335-AF9E-7E6228D166BE}"/>
    <cellStyle name="Migliaia 6 2 2 2 7 3 3" xfId="7099" xr:uid="{C9FD6EC5-B6C5-47D6-A509-732695A5329B}"/>
    <cellStyle name="Migliaia 6 2 2 2 7 3 3 2" xfId="22279" xr:uid="{B62D437F-C24C-4F25-8D35-C4A45C7FF078}"/>
    <cellStyle name="Migliaia 6 2 2 2 7 3 4" xfId="18991" xr:uid="{9880740D-86F9-4EA0-83B2-A490A8CA8BEE}"/>
    <cellStyle name="Migliaia 6 2 2 2 7 4" xfId="4801" xr:uid="{ED32C35A-4AF9-439B-845E-03E96CE5AE2E}"/>
    <cellStyle name="Migliaia 6 2 2 2 7 4 2" xfId="12286" xr:uid="{20B31577-C744-4F24-AAAC-CD887C0D7D1E}"/>
    <cellStyle name="Migliaia 6 2 2 2 7 4 2 2" xfId="15832" xr:uid="{D82900B4-2D23-4554-923D-DCA192C71AD3}"/>
    <cellStyle name="Migliaia 6 2 2 2 7 4 2 2 2" xfId="31009" xr:uid="{61CCCC78-CAE2-412C-9437-59AB0277A84A}"/>
    <cellStyle name="Migliaia 6 2 2 2 7 4 2 3" xfId="27464" xr:uid="{EA5EE805-D4D9-4AF2-A22C-3B03E3D9DFA0}"/>
    <cellStyle name="Migliaia 6 2 2 2 7 4 3" xfId="8112" xr:uid="{A02F04F5-CAA8-4BB0-B8BF-AD8B7AC0F2A5}"/>
    <cellStyle name="Migliaia 6 2 2 2 7 4 3 2" xfId="23292" xr:uid="{D2F2257F-5432-40C0-814A-95F834C07C12}"/>
    <cellStyle name="Migliaia 6 2 2 2 7 4 4" xfId="20004" xr:uid="{AF2FAE4C-350E-4F0C-B605-5449B2ACA42A}"/>
    <cellStyle name="Migliaia 6 2 2 2 7 5" xfId="2008" xr:uid="{75C612DC-CCF3-4B6F-A260-32EFAB069446}"/>
    <cellStyle name="Migliaia 6 2 2 2 7 5 2" xfId="9505" xr:uid="{548E61AC-3652-4F29-9049-1E114AFB173B}"/>
    <cellStyle name="Migliaia 6 2 2 2 7 5 2 2" xfId="24683" xr:uid="{1DFD9844-D7A3-4E4E-AA0C-F170D81AF1CE}"/>
    <cellStyle name="Migliaia 6 2 2 2 7 5 3" xfId="17223" xr:uid="{2C562002-604A-41C3-9A92-A2A2C6D8F845}"/>
    <cellStyle name="Migliaia 6 2 2 2 7 6" xfId="8991" xr:uid="{11FC2A0D-FD23-4883-8D74-0CD9B52E0E9C}"/>
    <cellStyle name="Migliaia 6 2 2 2 7 6 2" xfId="13164" xr:uid="{2BE66FA7-6F9A-4184-89E6-4844EC4806B2}"/>
    <cellStyle name="Migliaia 6 2 2 2 7 6 2 2" xfId="28341" xr:uid="{D7BAD06F-A40F-43FC-A20E-C1A22F86BDCE}"/>
    <cellStyle name="Migliaia 6 2 2 2 7 6 3" xfId="24169" xr:uid="{ADED79EA-1D06-446B-8DB0-A7EC3617E69D}"/>
    <cellStyle name="Migliaia 6 2 2 2 7 7" xfId="5331" xr:uid="{686DD737-FB19-4C43-B2C3-D99D23F4184D}"/>
    <cellStyle name="Migliaia 6 2 2 2 7 7 2" xfId="20511" xr:uid="{7D3145D7-89FB-42E7-8408-86DDA3524D64}"/>
    <cellStyle name="Migliaia 6 2 2 2 7 8" xfId="16709" xr:uid="{0D9C08DA-0DC7-420B-8CF6-0E2E5213CA39}"/>
    <cellStyle name="Migliaia 6 2 2 2 8" xfId="1576" xr:uid="{299F1A2C-23BB-4CD4-855D-0AF9BB3A0263}"/>
    <cellStyle name="Migliaia 6 2 2 2 8 2" xfId="2996" xr:uid="{F6BD9C28-054F-46D7-93EB-D135C865E882}"/>
    <cellStyle name="Migliaia 6 2 2 2 8 2 2" xfId="10487" xr:uid="{B8F59DCB-E7BB-4684-8151-0EC58A4AAC03}"/>
    <cellStyle name="Migliaia 6 2 2 2 8 2 2 2" xfId="14033" xr:uid="{FAFD8BBA-DFB5-4886-81FF-FB9B6AAE76F5}"/>
    <cellStyle name="Migliaia 6 2 2 2 8 2 2 2 2" xfId="29210" xr:uid="{F0159CED-68C1-4980-A6C1-0B615044F8AD}"/>
    <cellStyle name="Migliaia 6 2 2 2 8 2 2 3" xfId="25665" xr:uid="{C8B0741D-2AD3-4DC4-9E9A-85DF820C3BBF}"/>
    <cellStyle name="Migliaia 6 2 2 2 8 2 3" xfId="6313" xr:uid="{79DA1878-E1AB-43D8-89CF-77DDEE9A4BD7}"/>
    <cellStyle name="Migliaia 6 2 2 2 8 2 3 2" xfId="21493" xr:uid="{8DF6F685-9FE3-4AEC-AD88-1A82CBEA0268}"/>
    <cellStyle name="Migliaia 6 2 2 2 8 2 4" xfId="18205" xr:uid="{C24FBDCA-7F77-4A23-B0B7-564D5F8F68A6}"/>
    <cellStyle name="Migliaia 6 2 2 2 8 3" xfId="3883" xr:uid="{0C7AA28D-4EA3-4994-A458-DDAAFE453CF8}"/>
    <cellStyle name="Migliaia 6 2 2 2 8 3 2" xfId="11371" xr:uid="{673C27D8-0287-475B-B28F-E3056DB8BDA5}"/>
    <cellStyle name="Migliaia 6 2 2 2 8 3 2 2" xfId="14917" xr:uid="{EB17E4A1-1049-4A53-8AB4-860A23C2580F}"/>
    <cellStyle name="Migliaia 6 2 2 2 8 3 2 2 2" xfId="30094" xr:uid="{EF0063E5-123E-49AD-8BB3-72F7A27AF5AF}"/>
    <cellStyle name="Migliaia 6 2 2 2 8 3 2 3" xfId="26549" xr:uid="{4E3CD978-D814-4FC6-AA97-F72EF344AC32}"/>
    <cellStyle name="Migliaia 6 2 2 2 8 3 3" xfId="7197" xr:uid="{5110C231-A6F0-4908-BA79-82F72C2D9008}"/>
    <cellStyle name="Migliaia 6 2 2 2 8 3 3 2" xfId="22377" xr:uid="{DB18231C-264E-4539-B0EF-357CAF1CCF38}"/>
    <cellStyle name="Migliaia 6 2 2 2 8 3 4" xfId="19089" xr:uid="{EBE10066-E706-48CD-8071-8E5456D46068}"/>
    <cellStyle name="Migliaia 6 2 2 2 8 4" xfId="4802" xr:uid="{AA42A75B-5B47-4705-A33C-05976F3291CF}"/>
    <cellStyle name="Migliaia 6 2 2 2 8 4 2" xfId="12287" xr:uid="{4DD0FB7B-F300-40C8-A2FD-2F5168216ECF}"/>
    <cellStyle name="Migliaia 6 2 2 2 8 4 2 2" xfId="15833" xr:uid="{6E17C343-FB15-45CA-8E2F-8E827C992624}"/>
    <cellStyle name="Migliaia 6 2 2 2 8 4 2 2 2" xfId="31010" xr:uid="{02CAA7B2-D091-4FAB-9505-F9418E4B7624}"/>
    <cellStyle name="Migliaia 6 2 2 2 8 4 2 3" xfId="27465" xr:uid="{8BD4CE4D-0B18-4F34-8C73-D31BCFBF4886}"/>
    <cellStyle name="Migliaia 6 2 2 2 8 4 3" xfId="8113" xr:uid="{73C46646-78A5-4CA0-AEA5-D59DC1B2F868}"/>
    <cellStyle name="Migliaia 6 2 2 2 8 4 3 2" xfId="23293" xr:uid="{B9DE111F-0251-4CE0-9D7F-68E4DDA64422}"/>
    <cellStyle name="Migliaia 6 2 2 2 8 4 4" xfId="20005" xr:uid="{55EB40E3-B11F-4D4E-901D-FF53BEA9B751}"/>
    <cellStyle name="Migliaia 6 2 2 2 8 5" xfId="2106" xr:uid="{5C7AD088-BAD9-4418-86F0-38EC2A38651B}"/>
    <cellStyle name="Migliaia 6 2 2 2 8 5 2" xfId="9603" xr:uid="{53F3C282-9574-4247-80B3-2151953FC296}"/>
    <cellStyle name="Migliaia 6 2 2 2 8 5 2 2" xfId="24781" xr:uid="{A0849AD0-9BE0-44D2-BBBF-AA04476EB66C}"/>
    <cellStyle name="Migliaia 6 2 2 2 8 5 3" xfId="17321" xr:uid="{2E4121F5-8555-45C8-9096-82772506812D}"/>
    <cellStyle name="Migliaia 6 2 2 2 8 6" xfId="9089" xr:uid="{0F2ADD5C-DD6A-4D35-894A-5E21286F4478}"/>
    <cellStyle name="Migliaia 6 2 2 2 8 6 2" xfId="13262" xr:uid="{47A1B063-919B-489C-B1CA-AE325B3ABF79}"/>
    <cellStyle name="Migliaia 6 2 2 2 8 6 2 2" xfId="28439" xr:uid="{C9BF5475-7C72-4E80-9D3A-5F9128C401A7}"/>
    <cellStyle name="Migliaia 6 2 2 2 8 6 3" xfId="24267" xr:uid="{D4816C87-A741-4508-A553-CD192CFEE72C}"/>
    <cellStyle name="Migliaia 6 2 2 2 8 7" xfId="5429" xr:uid="{BC111263-2667-4D41-A9F5-0048015A07CB}"/>
    <cellStyle name="Migliaia 6 2 2 2 8 7 2" xfId="20609" xr:uid="{DF82B683-4DA9-4BBA-9462-DF0B7FB73B68}"/>
    <cellStyle name="Migliaia 6 2 2 2 8 8" xfId="16807" xr:uid="{3FD69F73-33D9-4EF4-85B2-D81A51E003FE}"/>
    <cellStyle name="Migliaia 6 2 2 2 9" xfId="1675" xr:uid="{0E6224EB-E668-4F86-9D5D-3B0EDE661C17}"/>
    <cellStyle name="Migliaia 6 2 2 2 9 2" xfId="3094" xr:uid="{49E6589B-919C-4055-A7AE-30B56722D1A2}"/>
    <cellStyle name="Migliaia 6 2 2 2 9 2 2" xfId="10585" xr:uid="{C6FE8989-98D4-4918-8768-1EE723DA1E7E}"/>
    <cellStyle name="Migliaia 6 2 2 2 9 2 2 2" xfId="14131" xr:uid="{E0B316D7-5E6F-4B61-B721-A93574F7A770}"/>
    <cellStyle name="Migliaia 6 2 2 2 9 2 2 2 2" xfId="29308" xr:uid="{1911E1B0-B33E-4264-8E64-DF6C90EE7CA0}"/>
    <cellStyle name="Migliaia 6 2 2 2 9 2 2 3" xfId="25763" xr:uid="{44A050BA-3FBA-46B9-B315-991F44752DA6}"/>
    <cellStyle name="Migliaia 6 2 2 2 9 2 3" xfId="6411" xr:uid="{A97686DE-CE82-4CC5-97E9-9DF579CD65F5}"/>
    <cellStyle name="Migliaia 6 2 2 2 9 2 3 2" xfId="21591" xr:uid="{072F3960-EDD7-4BBD-82DA-E26FE2DC3D7C}"/>
    <cellStyle name="Migliaia 6 2 2 2 9 2 4" xfId="18303" xr:uid="{2E52DA61-224B-4F5D-A699-E7AE78BB7381}"/>
    <cellStyle name="Migliaia 6 2 2 2 9 3" xfId="3981" xr:uid="{25EE6F0A-751F-4D82-943D-37B608AFDF33}"/>
    <cellStyle name="Migliaia 6 2 2 2 9 3 2" xfId="11469" xr:uid="{CC994862-BF91-433E-8F40-59EF94A574F0}"/>
    <cellStyle name="Migliaia 6 2 2 2 9 3 2 2" xfId="15015" xr:uid="{C9CD37FB-0641-4846-8B9C-7F4079B4769F}"/>
    <cellStyle name="Migliaia 6 2 2 2 9 3 2 2 2" xfId="30192" xr:uid="{A76439A4-15AB-4557-B17B-2D243F2C3671}"/>
    <cellStyle name="Migliaia 6 2 2 2 9 3 2 3" xfId="26647" xr:uid="{DD255170-175F-48CA-94BF-C2392956C8A7}"/>
    <cellStyle name="Migliaia 6 2 2 2 9 3 3" xfId="7295" xr:uid="{7189558C-4B77-463A-BD84-177F05AAB73A}"/>
    <cellStyle name="Migliaia 6 2 2 2 9 3 3 2" xfId="22475" xr:uid="{0933D112-F774-43F5-AE71-405AD2D24376}"/>
    <cellStyle name="Migliaia 6 2 2 2 9 3 4" xfId="19187" xr:uid="{5330A2BC-3EA9-496A-87AF-ABFA68C58841}"/>
    <cellStyle name="Migliaia 6 2 2 2 9 4" xfId="4803" xr:uid="{3DC9984D-958F-435F-85B0-B112B223E912}"/>
    <cellStyle name="Migliaia 6 2 2 2 9 4 2" xfId="12288" xr:uid="{322B0E5E-C91C-4F97-95A7-BE4EA275A07D}"/>
    <cellStyle name="Migliaia 6 2 2 2 9 4 2 2" xfId="15834" xr:uid="{CAB68231-5120-4797-BFC1-0DEA26576E8A}"/>
    <cellStyle name="Migliaia 6 2 2 2 9 4 2 2 2" xfId="31011" xr:uid="{9B3867E8-1EB9-4E99-B7AC-F1F9B5F033B0}"/>
    <cellStyle name="Migliaia 6 2 2 2 9 4 2 3" xfId="27466" xr:uid="{111455A2-4ACD-4BF9-BE61-3A5CDE78D60F}"/>
    <cellStyle name="Migliaia 6 2 2 2 9 4 3" xfId="8114" xr:uid="{7FF16AEA-DCA8-4C25-A473-C85DC505E62A}"/>
    <cellStyle name="Migliaia 6 2 2 2 9 4 3 2" xfId="23294" xr:uid="{22FB17B3-5B0F-43CF-AA47-E85254546CE4}"/>
    <cellStyle name="Migliaia 6 2 2 2 9 4 4" xfId="20006" xr:uid="{A525119A-5E27-49D9-8895-3C277D8F3704}"/>
    <cellStyle name="Migliaia 6 2 2 2 9 5" xfId="2204" xr:uid="{37218684-4423-43EB-AE3D-01FC0ECEAA55}"/>
    <cellStyle name="Migliaia 6 2 2 2 9 5 2" xfId="9701" xr:uid="{368FA888-15BF-4225-897F-19CEC94735E5}"/>
    <cellStyle name="Migliaia 6 2 2 2 9 5 2 2" xfId="24879" xr:uid="{FBFC4F71-5477-4231-993D-B5DF66BE5D22}"/>
    <cellStyle name="Migliaia 6 2 2 2 9 5 3" xfId="17419" xr:uid="{D11886FD-763A-462B-A5CF-2CB1F3BB1379}"/>
    <cellStyle name="Migliaia 6 2 2 2 9 6" xfId="9187" xr:uid="{BDFD5A7B-D62C-40FA-BA3A-AFF6C7472576}"/>
    <cellStyle name="Migliaia 6 2 2 2 9 6 2" xfId="13360" xr:uid="{642883C1-AE0D-48D2-8315-DDBF75397196}"/>
    <cellStyle name="Migliaia 6 2 2 2 9 6 2 2" xfId="28537" xr:uid="{CBFE573B-AF72-42E2-91C8-6052895B4690}"/>
    <cellStyle name="Migliaia 6 2 2 2 9 6 3" xfId="24365" xr:uid="{FD064138-07F6-44BD-9B67-848DC31CC964}"/>
    <cellStyle name="Migliaia 6 2 2 2 9 7" xfId="5527" xr:uid="{8D18EF6C-DB2D-498A-A1D4-5B5642E5845C}"/>
    <cellStyle name="Migliaia 6 2 2 2 9 7 2" xfId="20707" xr:uid="{639BEE87-4CC4-4793-8C67-7D4ECA78E08B}"/>
    <cellStyle name="Migliaia 6 2 2 2 9 8" xfId="16905" xr:uid="{C629A700-FAB4-4EC6-A473-4D651DD4168B}"/>
    <cellStyle name="Migliaia 6 2 2 3" xfId="758" xr:uid="{61D229D5-4E8D-4E0D-8088-2214E1771897}"/>
    <cellStyle name="Migliaia 6 2 2 3 10" xfId="8424" xr:uid="{A94D6E0B-20C1-489B-BBB9-AF0557B8B233}"/>
    <cellStyle name="Migliaia 6 2 2 3 10 2" xfId="12598" xr:uid="{0CF6D8C1-424D-4C0B-A1CB-636077D12846}"/>
    <cellStyle name="Migliaia 6 2 2 3 10 2 2" xfId="27775" xr:uid="{F09E72A9-7B06-473E-B362-CF43652904AA}"/>
    <cellStyle name="Migliaia 6 2 2 3 10 3" xfId="23603" xr:uid="{4BDE75AF-294D-4534-9F2E-04D2A4C70C9D}"/>
    <cellStyle name="Migliaia 6 2 2 3 11" xfId="16143" xr:uid="{1D3C3A16-82CB-434E-A928-52867EE4D5A8}"/>
    <cellStyle name="Migliaia 6 2 2 3 12" xfId="31485" xr:uid="{E396FB76-8EA5-45FC-8DCF-6D017DC82574}"/>
    <cellStyle name="Migliaia 6 2 2 3 2" xfId="935" xr:uid="{D4599DF1-89DA-40F8-97B7-2475821C538A}"/>
    <cellStyle name="Migliaia 6 2 2 3 2 10" xfId="16265" xr:uid="{BF6E0A9C-22AC-46D0-8395-FD23ED401C1F}"/>
    <cellStyle name="Migliaia 6 2 2 3 2 11" xfId="31355" xr:uid="{1E0C50D1-DEEA-4170-A023-6DEF7E5B5A6C}"/>
    <cellStyle name="Migliaia 6 2 2 3 2 12" xfId="31705" xr:uid="{9A0ACC2B-2612-4D3C-97A0-BCBD825001C3}"/>
    <cellStyle name="Migliaia 6 2 2 3 2 2" xfId="1296" xr:uid="{647AB946-9787-4749-AD2C-6753C5E23A56}"/>
    <cellStyle name="Migliaia 6 2 2 3 2 2 2" xfId="3613" xr:uid="{058EAB88-1941-401E-B243-5BE8A5EC4766}"/>
    <cellStyle name="Migliaia 6 2 2 3 2 2 2 2" xfId="11101" xr:uid="{9A115B03-0B26-4F1A-BF7D-9A73EB7EF1C9}"/>
    <cellStyle name="Migliaia 6 2 2 3 2 2 2 2 2" xfId="14647" xr:uid="{2B1018E1-47AE-46EA-A39B-11A117812566}"/>
    <cellStyle name="Migliaia 6 2 2 3 2 2 2 2 2 2" xfId="29824" xr:uid="{38410F64-EB11-4B8F-B45B-1CFCC05BB42C}"/>
    <cellStyle name="Migliaia 6 2 2 3 2 2 2 2 3" xfId="26279" xr:uid="{23DF1435-19F6-4092-9C36-1BB0853863D7}"/>
    <cellStyle name="Migliaia 6 2 2 3 2 2 2 3" xfId="6927" xr:uid="{C8E36977-9F1F-4244-912F-B92B30482B02}"/>
    <cellStyle name="Migliaia 6 2 2 3 2 2 2 3 2" xfId="22107" xr:uid="{F7A757F9-5EC3-43C3-AD16-F89668A8A2C6}"/>
    <cellStyle name="Migliaia 6 2 2 3 2 2 2 4" xfId="18819" xr:uid="{BAD0B0D4-6856-45DA-9F7F-025ABC36D377}"/>
    <cellStyle name="Migliaia 6 2 2 3 2 2 3" xfId="4804" xr:uid="{A890E170-D000-43F4-AA7E-49B18881ABF9}"/>
    <cellStyle name="Migliaia 6 2 2 3 2 2 3 2" xfId="12289" xr:uid="{A90F1985-F002-40A5-BD97-5F463B6E29A5}"/>
    <cellStyle name="Migliaia 6 2 2 3 2 2 3 2 2" xfId="15835" xr:uid="{A44D501F-E7E4-42CD-B282-ABDBFCD54CB9}"/>
    <cellStyle name="Migliaia 6 2 2 3 2 2 3 2 2 2" xfId="31012" xr:uid="{65A78A9A-99D5-4AB2-9A35-11C0511CDA29}"/>
    <cellStyle name="Migliaia 6 2 2 3 2 2 3 2 3" xfId="27467" xr:uid="{7CC0064B-3FC3-47B0-A34A-41B1251F801E}"/>
    <cellStyle name="Migliaia 6 2 2 3 2 2 3 3" xfId="8115" xr:uid="{39AB46FC-A4F3-4EBF-9B4A-EFD6E3FF4437}"/>
    <cellStyle name="Migliaia 6 2 2 3 2 2 3 3 2" xfId="23295" xr:uid="{1F26195B-D29B-4563-BBAB-D9CE94517E09}"/>
    <cellStyle name="Migliaia 6 2 2 3 2 2 3 4" xfId="20007" xr:uid="{CB62121E-AF83-4782-9B6E-755A62D12C16}"/>
    <cellStyle name="Migliaia 6 2 2 3 2 2 4" xfId="2726" xr:uid="{9F3DA463-D0AB-4937-A50A-ECC764F032C3}"/>
    <cellStyle name="Migliaia 6 2 2 3 2 2 4 2" xfId="10217" xr:uid="{315421A7-C79E-4594-8D7F-030E72DA7BDF}"/>
    <cellStyle name="Migliaia 6 2 2 3 2 2 4 2 2" xfId="25395" xr:uid="{DADEAF84-C143-4953-B2BA-DB4B20213321}"/>
    <cellStyle name="Migliaia 6 2 2 3 2 2 4 3" xfId="17935" xr:uid="{8400B6F4-FEA2-4706-924D-D42A86BD9AAC}"/>
    <cellStyle name="Migliaia 6 2 2 3 2 2 5" xfId="8819" xr:uid="{EED99D16-95A5-4E8E-A8E3-C4D69FBA6395}"/>
    <cellStyle name="Migliaia 6 2 2 3 2 2 5 2" xfId="12992" xr:uid="{1AAA62EA-75AC-4424-88D7-5886BD406B7F}"/>
    <cellStyle name="Migliaia 6 2 2 3 2 2 5 2 2" xfId="28169" xr:uid="{27ECABA0-5280-4513-A272-094BF0E35D69}"/>
    <cellStyle name="Migliaia 6 2 2 3 2 2 5 3" xfId="23997" xr:uid="{BD9D6A48-7706-44A4-9578-E3B1712D2A11}"/>
    <cellStyle name="Migliaia 6 2 2 3 2 2 6" xfId="6043" xr:uid="{CBBE82F6-C816-467A-A9D8-24C62C45D165}"/>
    <cellStyle name="Migliaia 6 2 2 3 2 2 6 2" xfId="21223" xr:uid="{6EABBE82-640D-4CBD-A333-F5CE02D0FC8F}"/>
    <cellStyle name="Migliaia 6 2 2 3 2 2 7" xfId="16537" xr:uid="{4B71C5D8-F4CB-4808-92EB-9560DEC00F15}"/>
    <cellStyle name="Migliaia 6 2 2 3 2 3" xfId="2453" xr:uid="{4A9D9BAF-5D0A-4C5E-8F64-679CC9F8BCCF}"/>
    <cellStyle name="Migliaia 6 2 2 3 2 3 2" xfId="9945" xr:uid="{4DF6388F-D67F-4625-8E90-9175552ED2A8}"/>
    <cellStyle name="Migliaia 6 2 2 3 2 3 2 2" xfId="13604" xr:uid="{32B3DB36-D404-42BF-B2E5-D3C8E8A7EA1A}"/>
    <cellStyle name="Migliaia 6 2 2 3 2 3 2 2 2" xfId="28781" xr:uid="{B4BA7ACB-6199-4230-805F-70A7AC233118}"/>
    <cellStyle name="Migliaia 6 2 2 3 2 3 2 3" xfId="25123" xr:uid="{63338ABD-E212-4DC7-BC2C-FC1EB449C206}"/>
    <cellStyle name="Migliaia 6 2 2 3 2 3 3" xfId="5771" xr:uid="{E329C72C-2B80-41C5-BA25-96E61DDE82D7}"/>
    <cellStyle name="Migliaia 6 2 2 3 2 3 3 2" xfId="20951" xr:uid="{68E0A09B-7D8F-4D50-BAFB-936F7C50E754}"/>
    <cellStyle name="Migliaia 6 2 2 3 2 3 4" xfId="17663" xr:uid="{E3DD39D1-1706-49DC-AA49-9A18349025A6}"/>
    <cellStyle name="Migliaia 6 2 2 3 2 4" xfId="3341" xr:uid="{1CB98251-D0A0-4774-BFA0-3E6CE50DC24E}"/>
    <cellStyle name="Migliaia 6 2 2 3 2 4 2" xfId="10829" xr:uid="{EB3C14E5-C654-4C81-A99C-ED0B11F8AC02}"/>
    <cellStyle name="Migliaia 6 2 2 3 2 4 2 2" xfId="14375" xr:uid="{A8D54F85-4A01-4CC0-979E-23958138CC1B}"/>
    <cellStyle name="Migliaia 6 2 2 3 2 4 2 2 2" xfId="29552" xr:uid="{61BFD6E7-0F79-4121-BEE2-622ADE770B90}"/>
    <cellStyle name="Migliaia 6 2 2 3 2 4 2 3" xfId="26007" xr:uid="{C5593D5D-9828-4DD6-AD8F-F5A5B103971B}"/>
    <cellStyle name="Migliaia 6 2 2 3 2 4 3" xfId="6655" xr:uid="{D67CB9F2-A657-4266-AC21-DBA8C198B84F}"/>
    <cellStyle name="Migliaia 6 2 2 3 2 4 3 2" xfId="21835" xr:uid="{85D7CEB0-A8D8-45B4-94E4-A1D2C9032CDF}"/>
    <cellStyle name="Migliaia 6 2 2 3 2 4 4" xfId="18547" xr:uid="{B0655AEC-F076-4C25-A51E-FACBAB76D625}"/>
    <cellStyle name="Migliaia 6 2 2 3 2 5" xfId="4805" xr:uid="{A3B39E89-BAAC-4840-ACE7-C2ADF5DFD98C}"/>
    <cellStyle name="Migliaia 6 2 2 3 2 5 2" xfId="12290" xr:uid="{573F2058-2B6E-4196-97A0-77B3221BF748}"/>
    <cellStyle name="Migliaia 6 2 2 3 2 5 2 2" xfId="15836" xr:uid="{ABEC4B27-91AD-4B4E-8DE1-EA8367AD4CAF}"/>
    <cellStyle name="Migliaia 6 2 2 3 2 5 2 2 2" xfId="31013" xr:uid="{733C3EB0-1F3F-42C8-9B5D-C466FCB7F24F}"/>
    <cellStyle name="Migliaia 6 2 2 3 2 5 2 3" xfId="27468" xr:uid="{E0E9C895-A6C3-42C8-80DA-9D44E72DBC3F}"/>
    <cellStyle name="Migliaia 6 2 2 3 2 5 3" xfId="8116" xr:uid="{528EADC3-34BA-4CC2-A0D4-81A16A18B249}"/>
    <cellStyle name="Migliaia 6 2 2 3 2 5 3 2" xfId="23296" xr:uid="{BBF8DA13-201E-49FD-B53F-B7DA8DF7B69B}"/>
    <cellStyle name="Migliaia 6 2 2 3 2 5 4" xfId="20008" xr:uid="{A4E236E1-0642-47B6-8990-06B57E10D021}"/>
    <cellStyle name="Migliaia 6 2 2 3 2 6" xfId="5015" xr:uid="{07E4717C-6AB8-4DDA-BAA5-CF46719D89EB}"/>
    <cellStyle name="Migliaia 6 2 2 3 2 6 2" xfId="12499" xr:uid="{E37003DD-5083-4959-9816-53D119A8577B}"/>
    <cellStyle name="Migliaia 6 2 2 3 2 6 2 2" xfId="16045" xr:uid="{508C2F94-F002-4809-8E98-CACC28ED68A9}"/>
    <cellStyle name="Migliaia 6 2 2 3 2 6 2 2 2" xfId="31222" xr:uid="{620F3259-1BE4-44AD-98D1-9674F4BF1D9D}"/>
    <cellStyle name="Migliaia 6 2 2 3 2 6 2 3" xfId="27677" xr:uid="{E64D8A5E-C4E4-485F-8A1C-C4C4C00B8AF2}"/>
    <cellStyle name="Migliaia 6 2 2 3 2 6 3" xfId="8325" xr:uid="{8A50CA98-697A-4135-AB4D-DA2404AE4BF0}"/>
    <cellStyle name="Migliaia 6 2 2 3 2 6 3 2" xfId="23505" xr:uid="{40A34F10-828F-4CE2-AF26-00838D863F68}"/>
    <cellStyle name="Migliaia 6 2 2 3 2 6 4" xfId="20217" xr:uid="{BCF77EB1-291E-4CA4-8938-0E6BE0D44B9B}"/>
    <cellStyle name="Migliaia 6 2 2 3 2 7" xfId="1836" xr:uid="{0EFADC6F-CD65-4166-9FE2-8C3A96DD9DE9}"/>
    <cellStyle name="Migliaia 6 2 2 3 2 7 2" xfId="9333" xr:uid="{34DB3F43-DE03-4019-A32B-425FC38581BD}"/>
    <cellStyle name="Migliaia 6 2 2 3 2 7 2 2" xfId="24511" xr:uid="{24DA8B40-F0B5-404F-B1A7-09E5D213CD5F}"/>
    <cellStyle name="Migliaia 6 2 2 3 2 7 3" xfId="17051" xr:uid="{23AF740E-244F-4226-BA1E-1E7EF66EE6ED}"/>
    <cellStyle name="Migliaia 6 2 2 3 2 8" xfId="8547" xr:uid="{2CBAC013-51D9-4120-AA36-334E8198638B}"/>
    <cellStyle name="Migliaia 6 2 2 3 2 8 2" xfId="12720" xr:uid="{E5E721F9-188B-41EC-BA08-9A41E50575A3}"/>
    <cellStyle name="Migliaia 6 2 2 3 2 8 2 2" xfId="27897" xr:uid="{BCB3B588-42ED-4EA9-9728-627041A54DD2}"/>
    <cellStyle name="Migliaia 6 2 2 3 2 8 3" xfId="23725" xr:uid="{05C6BBE0-4502-4AE6-8F0A-9B124CDDAA67}"/>
    <cellStyle name="Migliaia 6 2 2 3 2 9" xfId="5159" xr:uid="{DEF9BAED-BD89-4887-8A23-555147A54C43}"/>
    <cellStyle name="Migliaia 6 2 2 3 2 9 2" xfId="20339" xr:uid="{C831F841-75F3-4FC5-94AF-F16551117B99}"/>
    <cellStyle name="Migliaia 6 2 2 3 3" xfId="1038" xr:uid="{035FDE03-221F-4F45-92C6-869AD92FA0C2}"/>
    <cellStyle name="Migliaia 6 2 2 3 3 10" xfId="31583" xr:uid="{F3B92443-4E82-4762-B029-BA30B4BC0FC6}"/>
    <cellStyle name="Migliaia 6 2 2 3 3 2" xfId="1398" xr:uid="{40A0BB9B-0263-44EC-BBBA-86B5BA88B73F}"/>
    <cellStyle name="Migliaia 6 2 2 3 3 2 2" xfId="3711" xr:uid="{744CB023-F88F-40D2-9131-75FFE5676B47}"/>
    <cellStyle name="Migliaia 6 2 2 3 3 2 2 2" xfId="11199" xr:uid="{8057D825-87FD-4309-96E5-C33EA60447B8}"/>
    <cellStyle name="Migliaia 6 2 2 3 3 2 2 2 2" xfId="14745" xr:uid="{A0F8713C-FCCF-400F-A37F-B07119BA99D2}"/>
    <cellStyle name="Migliaia 6 2 2 3 3 2 2 2 2 2" xfId="29922" xr:uid="{9C7EF1F6-0241-4527-8E95-2EE515B2F133}"/>
    <cellStyle name="Migliaia 6 2 2 3 3 2 2 2 3" xfId="26377" xr:uid="{678C39FA-5B7B-4C92-9597-58338D395337}"/>
    <cellStyle name="Migliaia 6 2 2 3 3 2 2 3" xfId="7025" xr:uid="{AC3E7C92-D234-43A9-B360-5DAF5D167523}"/>
    <cellStyle name="Migliaia 6 2 2 3 3 2 2 3 2" xfId="22205" xr:uid="{604F0B28-87FA-493E-A89B-19ACAD863117}"/>
    <cellStyle name="Migliaia 6 2 2 3 3 2 2 4" xfId="18917" xr:uid="{A64C4173-C982-4F82-B847-B19C762CFEBE}"/>
    <cellStyle name="Migliaia 6 2 2 3 3 2 3" xfId="4806" xr:uid="{FEDA05A2-88C6-45F1-8313-7A58B5E3C119}"/>
    <cellStyle name="Migliaia 6 2 2 3 3 2 3 2" xfId="12291" xr:uid="{A7D27789-0D65-49C6-A865-66D6A194C3AD}"/>
    <cellStyle name="Migliaia 6 2 2 3 3 2 3 2 2" xfId="15837" xr:uid="{CFFF1448-D768-4D3A-B580-A5E82EF12D2C}"/>
    <cellStyle name="Migliaia 6 2 2 3 3 2 3 2 2 2" xfId="31014" xr:uid="{5153DA13-F23B-462B-BB58-941709EDEA12}"/>
    <cellStyle name="Migliaia 6 2 2 3 3 2 3 2 3" xfId="27469" xr:uid="{60F15CB0-8ACD-44F1-B62D-2F65B50881B8}"/>
    <cellStyle name="Migliaia 6 2 2 3 3 2 3 3" xfId="8117" xr:uid="{5C682358-52F9-4CF6-8792-ABC99F8F2CA2}"/>
    <cellStyle name="Migliaia 6 2 2 3 3 2 3 3 2" xfId="23297" xr:uid="{3A0E07EA-22DD-49C9-AFBB-8ED9A4EB7B60}"/>
    <cellStyle name="Migliaia 6 2 2 3 3 2 3 4" xfId="20009" xr:uid="{65731595-D589-457D-BD08-CECC3C7FAF37}"/>
    <cellStyle name="Migliaia 6 2 2 3 3 2 4" xfId="2824" xr:uid="{9328BCAC-FCF1-4F2C-AC10-DA666DC1BC81}"/>
    <cellStyle name="Migliaia 6 2 2 3 3 2 4 2" xfId="10315" xr:uid="{E6A13D42-5636-4EF2-BFBA-9F388A014A9C}"/>
    <cellStyle name="Migliaia 6 2 2 3 3 2 4 2 2" xfId="25493" xr:uid="{182B5088-BF85-4E68-86B8-9C032504BB69}"/>
    <cellStyle name="Migliaia 6 2 2 3 3 2 4 3" xfId="18033" xr:uid="{CE360851-7C7C-4A52-969C-41BC34C16EDA}"/>
    <cellStyle name="Migliaia 6 2 2 3 3 2 5" xfId="8917" xr:uid="{A09CA22C-6E8B-49D7-B12D-F153D0954399}"/>
    <cellStyle name="Migliaia 6 2 2 3 3 2 5 2" xfId="13090" xr:uid="{9B0141BB-702C-43EE-B9EB-37A5ECE7DA64}"/>
    <cellStyle name="Migliaia 6 2 2 3 3 2 5 2 2" xfId="28267" xr:uid="{DAABFBBB-B4BC-4D90-B822-43EE11B3AA89}"/>
    <cellStyle name="Migliaia 6 2 2 3 3 2 5 3" xfId="24095" xr:uid="{BF1AC1D6-EF5C-44B2-AE59-D9705D3A6B53}"/>
    <cellStyle name="Migliaia 6 2 2 3 3 2 6" xfId="6141" xr:uid="{998AB022-00F1-4C07-99A2-015FEC6C89F2}"/>
    <cellStyle name="Migliaia 6 2 2 3 3 2 6 2" xfId="21321" xr:uid="{AA139D17-82A1-4867-A641-CEFB29C2B37D}"/>
    <cellStyle name="Migliaia 6 2 2 3 3 2 7" xfId="16635" xr:uid="{C85CBE04-6138-4364-878B-750DA9790007}"/>
    <cellStyle name="Migliaia 6 2 2 3 3 3" xfId="2551" xr:uid="{139A5D1A-BFEA-4781-9F48-BF0B5B82F08B}"/>
    <cellStyle name="Migliaia 6 2 2 3 3 3 2" xfId="10043" xr:uid="{B0F47B5E-163C-49CC-8DE3-8803097316F8}"/>
    <cellStyle name="Migliaia 6 2 2 3 3 3 2 2" xfId="13702" xr:uid="{091B7616-E113-4563-9E7E-5C044E72BC28}"/>
    <cellStyle name="Migliaia 6 2 2 3 3 3 2 2 2" xfId="28879" xr:uid="{44E18DAE-0400-44F4-9DA9-49D1460D644A}"/>
    <cellStyle name="Migliaia 6 2 2 3 3 3 2 3" xfId="25221" xr:uid="{10F49CA3-78F4-4F51-A5D1-6204A945BE5D}"/>
    <cellStyle name="Migliaia 6 2 2 3 3 3 3" xfId="5869" xr:uid="{5A8B721B-CB30-4F19-8EF1-5139E04952FA}"/>
    <cellStyle name="Migliaia 6 2 2 3 3 3 3 2" xfId="21049" xr:uid="{D1EB93A1-2424-470E-B90E-25DA72C20E24}"/>
    <cellStyle name="Migliaia 6 2 2 3 3 3 4" xfId="17761" xr:uid="{0BF103DE-6B14-4F01-AEA4-85B0A528546C}"/>
    <cellStyle name="Migliaia 6 2 2 3 3 4" xfId="3439" xr:uid="{E796CB6A-29B3-43BB-B4B5-163716C9CA55}"/>
    <cellStyle name="Migliaia 6 2 2 3 3 4 2" xfId="10927" xr:uid="{1FACD0D7-8A71-4952-AEA6-0523F0BDE132}"/>
    <cellStyle name="Migliaia 6 2 2 3 3 4 2 2" xfId="14473" xr:uid="{86BE5C26-E65D-4036-9C11-9E890E894C85}"/>
    <cellStyle name="Migliaia 6 2 2 3 3 4 2 2 2" xfId="29650" xr:uid="{CBD7AC00-0B64-4DFF-8816-EDBC98960DFA}"/>
    <cellStyle name="Migliaia 6 2 2 3 3 4 2 3" xfId="26105" xr:uid="{6768B02C-1ACA-462D-B3F9-E9E4CD937560}"/>
    <cellStyle name="Migliaia 6 2 2 3 3 4 3" xfId="6753" xr:uid="{9AC5125C-13DE-4E54-BB82-903212D66E5F}"/>
    <cellStyle name="Migliaia 6 2 2 3 3 4 3 2" xfId="21933" xr:uid="{3986E8C4-F73D-4A30-AC59-85E9004D76B1}"/>
    <cellStyle name="Migliaia 6 2 2 3 3 4 4" xfId="18645" xr:uid="{ADFEFDFF-DE45-45EE-8F99-D3D86D99371E}"/>
    <cellStyle name="Migliaia 6 2 2 3 3 5" xfId="4807" xr:uid="{2D231F8D-85A0-4A58-BEEF-912E41E7F965}"/>
    <cellStyle name="Migliaia 6 2 2 3 3 5 2" xfId="12292" xr:uid="{A6648D3D-D913-442D-98F8-AF3DC832DAD1}"/>
    <cellStyle name="Migliaia 6 2 2 3 3 5 2 2" xfId="15838" xr:uid="{4FCC7520-B1D5-4D1F-9A7E-2305464DF03D}"/>
    <cellStyle name="Migliaia 6 2 2 3 3 5 2 2 2" xfId="31015" xr:uid="{3A76A910-FCF5-4E0D-916A-BCC02EDA956B}"/>
    <cellStyle name="Migliaia 6 2 2 3 3 5 2 3" xfId="27470" xr:uid="{10309A07-A073-4085-B1D7-6C4514AC3DB4}"/>
    <cellStyle name="Migliaia 6 2 2 3 3 5 3" xfId="8118" xr:uid="{44B39D36-3B94-45D0-96C5-455939DDD20B}"/>
    <cellStyle name="Migliaia 6 2 2 3 3 5 3 2" xfId="23298" xr:uid="{321EAD54-2158-47D3-8DA6-7D765871D053}"/>
    <cellStyle name="Migliaia 6 2 2 3 3 5 4" xfId="20010" xr:uid="{8987A280-17F1-463F-917B-C34B0AB28A45}"/>
    <cellStyle name="Migliaia 6 2 2 3 3 6" xfId="1934" xr:uid="{9A8141AA-88EC-4BF1-A69B-C339BE78D817}"/>
    <cellStyle name="Migliaia 6 2 2 3 3 6 2" xfId="9431" xr:uid="{BEE35485-E705-4A90-BBD9-8AE745247F49}"/>
    <cellStyle name="Migliaia 6 2 2 3 3 6 2 2" xfId="24609" xr:uid="{CF053B00-91A8-46DC-A038-C8C557E6F98D}"/>
    <cellStyle name="Migliaia 6 2 2 3 3 6 3" xfId="17149" xr:uid="{27F7E614-5E48-4C22-AD32-5A15B1FB3F18}"/>
    <cellStyle name="Migliaia 6 2 2 3 3 7" xfId="8645" xr:uid="{E72FC2CC-6D3E-42C2-BAA9-393CE3AEEA78}"/>
    <cellStyle name="Migliaia 6 2 2 3 3 7 2" xfId="12818" xr:uid="{509BEF23-2D7F-4A6E-9537-763112507499}"/>
    <cellStyle name="Migliaia 6 2 2 3 3 7 2 2" xfId="27995" xr:uid="{D41503E2-09C7-46F0-94A4-CB70B4B806AB}"/>
    <cellStyle name="Migliaia 6 2 2 3 3 7 3" xfId="23823" xr:uid="{553666B1-65C4-4F99-B873-7AF33B20B385}"/>
    <cellStyle name="Migliaia 6 2 2 3 3 8" xfId="5257" xr:uid="{10612979-E1C7-4EEC-B93D-B6CADB3E90FF}"/>
    <cellStyle name="Migliaia 6 2 2 3 3 8 2" xfId="20437" xr:uid="{31A40A9F-AE8B-43DB-95FF-CF9DFD0BB5A5}"/>
    <cellStyle name="Migliaia 6 2 2 3 3 9" xfId="16363" xr:uid="{C4B7E9AE-8406-436C-B912-C12C8F40C301}"/>
    <cellStyle name="Migliaia 6 2 2 3 4" xfId="1497" xr:uid="{57A89E47-BE82-4C1C-8A25-99D2B07DEDFB}"/>
    <cellStyle name="Migliaia 6 2 2 3 4 2" xfId="2922" xr:uid="{B033116C-F494-4261-AD6E-FC10EDB6EA56}"/>
    <cellStyle name="Migliaia 6 2 2 3 4 2 2" xfId="10413" xr:uid="{40AF76B5-B832-4557-892D-794F7327992F}"/>
    <cellStyle name="Migliaia 6 2 2 3 4 2 2 2" xfId="13959" xr:uid="{B2036447-D536-4D46-AEBE-AF8F9A0820E8}"/>
    <cellStyle name="Migliaia 6 2 2 3 4 2 2 2 2" xfId="29136" xr:uid="{2E9147C9-4BAE-42C0-9E16-3DDDFB0ADCCA}"/>
    <cellStyle name="Migliaia 6 2 2 3 4 2 2 3" xfId="25591" xr:uid="{EC7E319C-EEC0-46AB-96B2-326B8885FE34}"/>
    <cellStyle name="Migliaia 6 2 2 3 4 2 3" xfId="6239" xr:uid="{FF7BC0A4-88AE-43F4-ABAE-45C86D9ED6AF}"/>
    <cellStyle name="Migliaia 6 2 2 3 4 2 3 2" xfId="21419" xr:uid="{4C81F912-53AB-42B3-B0F3-4D0626F8B458}"/>
    <cellStyle name="Migliaia 6 2 2 3 4 2 4" xfId="18131" xr:uid="{AA09118B-17C0-4206-A170-7D1804D756E1}"/>
    <cellStyle name="Migliaia 6 2 2 3 4 3" xfId="3809" xr:uid="{C580D99F-C67A-4AA6-9CD9-7EAE58F5633C}"/>
    <cellStyle name="Migliaia 6 2 2 3 4 3 2" xfId="11297" xr:uid="{BC6BEBEA-8C2C-429D-9D91-9F17CA5AC473}"/>
    <cellStyle name="Migliaia 6 2 2 3 4 3 2 2" xfId="14843" xr:uid="{491288D2-F041-43B0-9CE6-18278D26FFE8}"/>
    <cellStyle name="Migliaia 6 2 2 3 4 3 2 2 2" xfId="30020" xr:uid="{22AC26E9-7297-4F7E-912F-00B8A2244155}"/>
    <cellStyle name="Migliaia 6 2 2 3 4 3 2 3" xfId="26475" xr:uid="{98426CC4-DD73-4484-B2FB-1FB3B2167D58}"/>
    <cellStyle name="Migliaia 6 2 2 3 4 3 3" xfId="7123" xr:uid="{9B838489-B739-465B-9CBF-1D50222581B6}"/>
    <cellStyle name="Migliaia 6 2 2 3 4 3 3 2" xfId="22303" xr:uid="{2FAF7C61-DB9B-420F-ACA4-8EBD7DAC02A7}"/>
    <cellStyle name="Migliaia 6 2 2 3 4 3 4" xfId="19015" xr:uid="{E6C0D7FB-7DA7-468F-8FEB-A4B8504A8541}"/>
    <cellStyle name="Migliaia 6 2 2 3 4 4" xfId="4808" xr:uid="{160083A0-D93F-465B-863B-49BD8E685210}"/>
    <cellStyle name="Migliaia 6 2 2 3 4 4 2" xfId="12293" xr:uid="{421C4DDE-6B3F-48A2-9CD1-804D8E14B6DD}"/>
    <cellStyle name="Migliaia 6 2 2 3 4 4 2 2" xfId="15839" xr:uid="{3B802BA0-3AA8-48DD-AAF8-D8ADC15B19E3}"/>
    <cellStyle name="Migliaia 6 2 2 3 4 4 2 2 2" xfId="31016" xr:uid="{0EF51D25-C4A3-4558-A5D5-422C2F5412B6}"/>
    <cellStyle name="Migliaia 6 2 2 3 4 4 2 3" xfId="27471" xr:uid="{CE4BCB8F-D45F-4969-A98D-C4C52C131BEE}"/>
    <cellStyle name="Migliaia 6 2 2 3 4 4 3" xfId="8119" xr:uid="{BF07D9CD-0FF1-4024-A169-B1699B6A2FB0}"/>
    <cellStyle name="Migliaia 6 2 2 3 4 4 3 2" xfId="23299" xr:uid="{E4CE03AA-8834-468D-A003-2E64852AE543}"/>
    <cellStyle name="Migliaia 6 2 2 3 4 4 4" xfId="20011" xr:uid="{7820C692-4499-4A78-95AA-54EA3B8DB2D5}"/>
    <cellStyle name="Migliaia 6 2 2 3 4 5" xfId="2032" xr:uid="{AEF7B438-146D-4B73-A3D4-2C61D239A035}"/>
    <cellStyle name="Migliaia 6 2 2 3 4 5 2" xfId="9529" xr:uid="{111CD7C5-CCA6-47E1-BC00-C3F9D9BB6F9C}"/>
    <cellStyle name="Migliaia 6 2 2 3 4 5 2 2" xfId="24707" xr:uid="{DB356B0E-6714-48FE-B616-CCFD324E1408}"/>
    <cellStyle name="Migliaia 6 2 2 3 4 5 3" xfId="17247" xr:uid="{29556505-34FA-4562-9D37-D59CF3F5505A}"/>
    <cellStyle name="Migliaia 6 2 2 3 4 6" xfId="9015" xr:uid="{4BFD6449-B302-44A9-AC48-E44958EE1AC4}"/>
    <cellStyle name="Migliaia 6 2 2 3 4 6 2" xfId="13188" xr:uid="{0B5532B2-18D3-40AC-BE98-466C6B08DE03}"/>
    <cellStyle name="Migliaia 6 2 2 3 4 6 2 2" xfId="28365" xr:uid="{C1840FF2-6FC2-41CB-810F-158440858D4F}"/>
    <cellStyle name="Migliaia 6 2 2 3 4 6 3" xfId="24193" xr:uid="{89A6B036-E707-446E-8721-4AF09EA737C0}"/>
    <cellStyle name="Migliaia 6 2 2 3 4 7" xfId="5355" xr:uid="{8C9C3133-E578-4F5F-AADC-459C51514689}"/>
    <cellStyle name="Migliaia 6 2 2 3 4 7 2" xfId="20535" xr:uid="{F9CDB0A7-0912-4733-84D7-6966E4B1C2FC}"/>
    <cellStyle name="Migliaia 6 2 2 3 4 8" xfId="16733" xr:uid="{3C3CDA92-1316-45CC-9BFA-CD6F9A9C5840}"/>
    <cellStyle name="Migliaia 6 2 2 3 5" xfId="1600" xr:uid="{1DE3C90A-EE62-481E-BA82-0781D4B8E191}"/>
    <cellStyle name="Migliaia 6 2 2 3 5 2" xfId="3020" xr:uid="{BC3272C2-31B7-4389-B806-27B8A533CC32}"/>
    <cellStyle name="Migliaia 6 2 2 3 5 2 2" xfId="10511" xr:uid="{7782962A-C5CF-4384-86E5-291AD8A2BE2C}"/>
    <cellStyle name="Migliaia 6 2 2 3 5 2 2 2" xfId="14057" xr:uid="{2EBDC461-0DB3-4AAB-8048-70128CFC35D1}"/>
    <cellStyle name="Migliaia 6 2 2 3 5 2 2 2 2" xfId="29234" xr:uid="{DC3E861C-B07C-44D1-9BA4-CFDF80FF6820}"/>
    <cellStyle name="Migliaia 6 2 2 3 5 2 2 3" xfId="25689" xr:uid="{DDD1513E-C625-421E-94DF-9C067A36A86B}"/>
    <cellStyle name="Migliaia 6 2 2 3 5 2 3" xfId="6337" xr:uid="{B01BEEA2-045F-4C78-9309-D69E87E10302}"/>
    <cellStyle name="Migliaia 6 2 2 3 5 2 3 2" xfId="21517" xr:uid="{9D71BE59-A4A4-42D1-8C2C-F72D0D6B9061}"/>
    <cellStyle name="Migliaia 6 2 2 3 5 2 4" xfId="18229" xr:uid="{9A4CFAF1-24C4-4E6D-B398-70EB4A364153}"/>
    <cellStyle name="Migliaia 6 2 2 3 5 3" xfId="3907" xr:uid="{462388F6-FD06-4B74-8BC6-C05AE0130FAA}"/>
    <cellStyle name="Migliaia 6 2 2 3 5 3 2" xfId="11395" xr:uid="{49E32C2D-5097-4471-BC95-3FCAB68B59CF}"/>
    <cellStyle name="Migliaia 6 2 2 3 5 3 2 2" xfId="14941" xr:uid="{E6B77C27-7DBC-40A6-A41E-415BBD55B9DB}"/>
    <cellStyle name="Migliaia 6 2 2 3 5 3 2 2 2" xfId="30118" xr:uid="{B5D375B9-88F6-4211-BCA5-B7498A579E08}"/>
    <cellStyle name="Migliaia 6 2 2 3 5 3 2 3" xfId="26573" xr:uid="{928F949F-C1E6-4936-8170-4C7C9C177047}"/>
    <cellStyle name="Migliaia 6 2 2 3 5 3 3" xfId="7221" xr:uid="{08E62A45-C826-498E-9E94-287A670703D3}"/>
    <cellStyle name="Migliaia 6 2 2 3 5 3 3 2" xfId="22401" xr:uid="{38500B24-5134-4F47-85D5-9A6A3F736417}"/>
    <cellStyle name="Migliaia 6 2 2 3 5 3 4" xfId="19113" xr:uid="{93503193-9D36-4FCD-8484-E4B89A87C109}"/>
    <cellStyle name="Migliaia 6 2 2 3 5 4" xfId="4809" xr:uid="{56245C4C-047D-4603-8F9D-9A52BFBA781A}"/>
    <cellStyle name="Migliaia 6 2 2 3 5 4 2" xfId="12294" xr:uid="{95150B0E-4367-4BD6-9448-B49514443C94}"/>
    <cellStyle name="Migliaia 6 2 2 3 5 4 2 2" xfId="15840" xr:uid="{EF50BA4B-DFBB-4F25-8B38-86F167EFDC68}"/>
    <cellStyle name="Migliaia 6 2 2 3 5 4 2 2 2" xfId="31017" xr:uid="{FD7229CD-950D-4C94-9088-B8C909991510}"/>
    <cellStyle name="Migliaia 6 2 2 3 5 4 2 3" xfId="27472" xr:uid="{C1147FCA-D0F7-4333-B159-7A7068E2005B}"/>
    <cellStyle name="Migliaia 6 2 2 3 5 4 3" xfId="8120" xr:uid="{12633B8B-E8B4-4DFF-B16E-BC9036B2DFA6}"/>
    <cellStyle name="Migliaia 6 2 2 3 5 4 3 2" xfId="23300" xr:uid="{46E02131-1CFF-4996-A0C5-AD000526C769}"/>
    <cellStyle name="Migliaia 6 2 2 3 5 4 4" xfId="20012" xr:uid="{6CFE0435-805E-47C8-99C5-0F976D02A39D}"/>
    <cellStyle name="Migliaia 6 2 2 3 5 5" xfId="2130" xr:uid="{B88B3EB7-926D-4DE7-932F-E8C6F11630DE}"/>
    <cellStyle name="Migliaia 6 2 2 3 5 5 2" xfId="9627" xr:uid="{3ADFCE49-5E45-49C9-99A8-12007E515E11}"/>
    <cellStyle name="Migliaia 6 2 2 3 5 5 2 2" xfId="24805" xr:uid="{3C634007-A952-4F14-B381-630027618BBE}"/>
    <cellStyle name="Migliaia 6 2 2 3 5 5 3" xfId="17345" xr:uid="{BF45E0A2-610D-4208-88F6-53F3173B10E3}"/>
    <cellStyle name="Migliaia 6 2 2 3 5 6" xfId="9113" xr:uid="{C8906DA6-47CF-4247-8E36-A974A5B561C4}"/>
    <cellStyle name="Migliaia 6 2 2 3 5 6 2" xfId="13286" xr:uid="{F3E8C896-A4D8-484C-ACC7-D1C8CA9A88FA}"/>
    <cellStyle name="Migliaia 6 2 2 3 5 6 2 2" xfId="28463" xr:uid="{595B72EB-5877-41D7-9C9E-31FC22D36734}"/>
    <cellStyle name="Migliaia 6 2 2 3 5 6 3" xfId="24291" xr:uid="{907BA74A-25DD-4150-BD5D-3296E2E32423}"/>
    <cellStyle name="Migliaia 6 2 2 3 5 7" xfId="5453" xr:uid="{1EFB8949-105B-436B-B097-D21316DD1EED}"/>
    <cellStyle name="Migliaia 6 2 2 3 5 7 2" xfId="20633" xr:uid="{8D936875-381C-49E3-BB3F-A80C68000348}"/>
    <cellStyle name="Migliaia 6 2 2 3 5 8" xfId="16831" xr:uid="{3A73246A-3E1C-4E13-954E-DDEC004BCFE0}"/>
    <cellStyle name="Migliaia 6 2 2 3 6" xfId="1699" xr:uid="{73E8706C-F7A0-4583-85C7-08237AACBDC0}"/>
    <cellStyle name="Migliaia 6 2 2 3 6 2" xfId="3118" xr:uid="{D1A928E2-FA66-4F33-BBEE-1E8111AE09A5}"/>
    <cellStyle name="Migliaia 6 2 2 3 6 2 2" xfId="10609" xr:uid="{C85962D7-2268-4914-B564-9D59D289D8CF}"/>
    <cellStyle name="Migliaia 6 2 2 3 6 2 2 2" xfId="14155" xr:uid="{3D3925FB-C57B-4214-924A-8F6A89280293}"/>
    <cellStyle name="Migliaia 6 2 2 3 6 2 2 2 2" xfId="29332" xr:uid="{B8133E58-347F-4601-891B-7FF3A4B0B5E8}"/>
    <cellStyle name="Migliaia 6 2 2 3 6 2 2 3" xfId="25787" xr:uid="{08BC13E0-A5E0-4E09-AFB6-EC66F38E9220}"/>
    <cellStyle name="Migliaia 6 2 2 3 6 2 3" xfId="6435" xr:uid="{DE075E42-BC00-4AEF-BFA1-8A526CD9E2BB}"/>
    <cellStyle name="Migliaia 6 2 2 3 6 2 3 2" xfId="21615" xr:uid="{54FA193E-3C58-407D-ADE1-8AC18F503C03}"/>
    <cellStyle name="Migliaia 6 2 2 3 6 2 4" xfId="18327" xr:uid="{D68DECF5-F836-4103-964C-E0370D6C1CA6}"/>
    <cellStyle name="Migliaia 6 2 2 3 6 3" xfId="4005" xr:uid="{105BFCEB-B896-41F6-AD56-B07FCE06E32B}"/>
    <cellStyle name="Migliaia 6 2 2 3 6 3 2" xfId="11493" xr:uid="{EB30DAEA-D32A-4CEB-A69D-DAC64F82E6AF}"/>
    <cellStyle name="Migliaia 6 2 2 3 6 3 2 2" xfId="15039" xr:uid="{55753F58-07F0-423D-9FE8-933F755AEEBD}"/>
    <cellStyle name="Migliaia 6 2 2 3 6 3 2 2 2" xfId="30216" xr:uid="{73C9EBF7-66D3-4CC2-A194-253BCBD1D069}"/>
    <cellStyle name="Migliaia 6 2 2 3 6 3 2 3" xfId="26671" xr:uid="{8FF30240-E656-401C-8397-63734404ED9E}"/>
    <cellStyle name="Migliaia 6 2 2 3 6 3 3" xfId="7319" xr:uid="{FC660CC5-243D-454D-A50F-865949A0F06B}"/>
    <cellStyle name="Migliaia 6 2 2 3 6 3 3 2" xfId="22499" xr:uid="{3F863A61-1D5D-46D7-ADBE-86A917E63FB2}"/>
    <cellStyle name="Migliaia 6 2 2 3 6 3 4" xfId="19211" xr:uid="{1E089813-09CE-4A9D-8ECE-5CFE8013B455}"/>
    <cellStyle name="Migliaia 6 2 2 3 6 4" xfId="4810" xr:uid="{390D8863-8492-4EEE-A003-9145C13489E1}"/>
    <cellStyle name="Migliaia 6 2 2 3 6 4 2" xfId="12295" xr:uid="{6FA07952-05ED-4257-8280-981FD977998E}"/>
    <cellStyle name="Migliaia 6 2 2 3 6 4 2 2" xfId="15841" xr:uid="{D3A72FED-449D-4398-AD52-B8DB88F88D70}"/>
    <cellStyle name="Migliaia 6 2 2 3 6 4 2 2 2" xfId="31018" xr:uid="{13B4A183-32CB-43FC-9A8D-424C3480283B}"/>
    <cellStyle name="Migliaia 6 2 2 3 6 4 2 3" xfId="27473" xr:uid="{111C0351-9052-4452-A282-21CC353E6DA2}"/>
    <cellStyle name="Migliaia 6 2 2 3 6 4 3" xfId="8121" xr:uid="{CB392625-8CFA-44A3-A730-5F3E928DD48D}"/>
    <cellStyle name="Migliaia 6 2 2 3 6 4 3 2" xfId="23301" xr:uid="{793613F2-165D-4CBA-8324-33A9BD34B269}"/>
    <cellStyle name="Migliaia 6 2 2 3 6 4 4" xfId="20013" xr:uid="{B7CCB5EE-9C0A-4BDC-A87B-8E62609E5C82}"/>
    <cellStyle name="Migliaia 6 2 2 3 6 5" xfId="2228" xr:uid="{46B03BB4-658E-4399-834F-A2237BAE54DE}"/>
    <cellStyle name="Migliaia 6 2 2 3 6 5 2" xfId="9725" xr:uid="{3E2F9025-26DD-46C3-A946-F5F9D4D0A908}"/>
    <cellStyle name="Migliaia 6 2 2 3 6 5 2 2" xfId="24903" xr:uid="{3E25EEF3-C8CB-4B2F-B2A6-51ACDCDBF871}"/>
    <cellStyle name="Migliaia 6 2 2 3 6 5 3" xfId="17443" xr:uid="{94FFDD04-23A5-4C8F-A6AA-EC2F10A166B9}"/>
    <cellStyle name="Migliaia 6 2 2 3 6 6" xfId="9211" xr:uid="{2CE39EC9-91B8-4BED-A0C0-01340B2D52F7}"/>
    <cellStyle name="Migliaia 6 2 2 3 6 6 2" xfId="13384" xr:uid="{2CCB1964-AE17-451A-801E-57794B2E6534}"/>
    <cellStyle name="Migliaia 6 2 2 3 6 6 2 2" xfId="28561" xr:uid="{E6C713CD-EED2-488F-8E84-773B4D36BEA1}"/>
    <cellStyle name="Migliaia 6 2 2 3 6 6 3" xfId="24389" xr:uid="{21710950-B70E-4257-BA07-0EE8728AD755}"/>
    <cellStyle name="Migliaia 6 2 2 3 6 7" xfId="5551" xr:uid="{D1DA9B3F-3421-49AB-92D5-FA13E491EA0E}"/>
    <cellStyle name="Migliaia 6 2 2 3 6 7 2" xfId="20731" xr:uid="{7E3C9B81-315E-4141-99FB-57D26E35AE90}"/>
    <cellStyle name="Migliaia 6 2 2 3 6 8" xfId="16929" xr:uid="{717AE165-C39F-4644-9241-8CC19BE6D733}"/>
    <cellStyle name="Migliaia 6 2 2 3 7" xfId="2328" xr:uid="{F52D7325-9055-48BC-AB95-E2A1745E8854}"/>
    <cellStyle name="Migliaia 6 2 2 3 7 2" xfId="9823" xr:uid="{3C9A5581-AE48-462A-AFBE-AED04BACD33D}"/>
    <cellStyle name="Migliaia 6 2 2 3 7 2 2" xfId="13482" xr:uid="{A6F8C147-2E1F-4FB4-83A7-1E35B2E03486}"/>
    <cellStyle name="Migliaia 6 2 2 3 7 2 2 2" xfId="28659" xr:uid="{9CE05BD3-753F-422E-95FE-6F2BDDD61FE7}"/>
    <cellStyle name="Migliaia 6 2 2 3 7 2 3" xfId="25001" xr:uid="{FCC2E7AD-F8D0-4A01-BF3E-AE47FBA43FE0}"/>
    <cellStyle name="Migliaia 6 2 2 3 7 3" xfId="5649" xr:uid="{6C10BA5B-18CE-42D2-ADC5-624046DC97C7}"/>
    <cellStyle name="Migliaia 6 2 2 3 7 3 2" xfId="20829" xr:uid="{D7E2B5FE-9396-4241-AAF1-0DA28ACAC252}"/>
    <cellStyle name="Migliaia 6 2 2 3 7 4" xfId="17541" xr:uid="{7D2FC241-2FEE-44A8-8B04-A53389D4160F}"/>
    <cellStyle name="Migliaia 6 2 2 3 8" xfId="3218" xr:uid="{965E57DE-B352-4E10-81C5-27F24F202CC1}"/>
    <cellStyle name="Migliaia 6 2 2 3 8 2" xfId="10707" xr:uid="{C8B26F5E-EF19-4584-BD3F-F7AA18821283}"/>
    <cellStyle name="Migliaia 6 2 2 3 8 2 2" xfId="14253" xr:uid="{E7B4D340-0C1E-41E9-B129-0093C85125C4}"/>
    <cellStyle name="Migliaia 6 2 2 3 8 2 2 2" xfId="29430" xr:uid="{6D797EBA-6B12-492D-883C-B3DB5291A09A}"/>
    <cellStyle name="Migliaia 6 2 2 3 8 2 3" xfId="25885" xr:uid="{67F474F2-EA9A-44B8-AADA-4C900B7B22A1}"/>
    <cellStyle name="Migliaia 6 2 2 3 8 3" xfId="6533" xr:uid="{88D52D10-FC02-43DF-8532-10D73CF3BA6B}"/>
    <cellStyle name="Migliaia 6 2 2 3 8 3 2" xfId="21713" xr:uid="{62705E7A-A96A-481A-B21B-F68729856F44}"/>
    <cellStyle name="Migliaia 6 2 2 3 8 4" xfId="18425" xr:uid="{900EA7F3-42E6-4C6B-A603-B792565F723C}"/>
    <cellStyle name="Migliaia 6 2 2 3 9" xfId="4811" xr:uid="{C09D5A50-71E4-4904-82B3-529F81129B9C}"/>
    <cellStyle name="Migliaia 6 2 2 3 9 2" xfId="12296" xr:uid="{44347F6E-35FC-4930-97DB-34E7EEE4DEAC}"/>
    <cellStyle name="Migliaia 6 2 2 3 9 2 2" xfId="15842" xr:uid="{E99EEEE4-B1FE-43EE-838A-204B57EA0552}"/>
    <cellStyle name="Migliaia 6 2 2 3 9 2 2 2" xfId="31019" xr:uid="{CFDFFF70-CE76-4DFC-A596-D2D61F2E7F99}"/>
    <cellStyle name="Migliaia 6 2 2 3 9 2 3" xfId="27474" xr:uid="{1A0A520C-66F5-48FD-9AB1-1C43193D8519}"/>
    <cellStyle name="Migliaia 6 2 2 3 9 3" xfId="8122" xr:uid="{21BA6975-E4EB-42DC-829C-0F5B91C9E454}"/>
    <cellStyle name="Migliaia 6 2 2 3 9 3 2" xfId="23302" xr:uid="{9E2A1F13-4D30-4279-A6A0-F8BE95D5768B}"/>
    <cellStyle name="Migliaia 6 2 2 3 9 4" xfId="20014" xr:uid="{73897118-A9F5-420F-AD04-9FB912BEE9F7}"/>
    <cellStyle name="Migliaia 6 2 2 4" xfId="886" xr:uid="{34EC94D5-E019-4F51-9B12-DFDED8A6D97D}"/>
    <cellStyle name="Migliaia 6 2 2 4 2" xfId="2404" xr:uid="{6BD24E83-3334-466B-B436-26BAF3F63DB7}"/>
    <cellStyle name="Migliaia 6 2 2 4 2 2" xfId="9896" xr:uid="{872079EE-3D60-47D6-9AE0-FF05F5474E2D}"/>
    <cellStyle name="Migliaia 6 2 2 4 2 2 2" xfId="13555" xr:uid="{FB843C90-50DC-4C09-BD19-0A82619BD49C}"/>
    <cellStyle name="Migliaia 6 2 2 4 2 2 2 2" xfId="28732" xr:uid="{607B4BF8-47B1-448F-B583-36E181D3947D}"/>
    <cellStyle name="Migliaia 6 2 2 4 2 2 3" xfId="25074" xr:uid="{77618AB9-8DC6-4F10-BE7E-37B26F760305}"/>
    <cellStyle name="Migliaia 6 2 2 4 2 3" xfId="5722" xr:uid="{3F9D62C0-2CD3-44C3-A8D7-A286212C9A51}"/>
    <cellStyle name="Migliaia 6 2 2 4 2 3 2" xfId="20902" xr:uid="{C91C1B93-627E-413C-8B9A-ED75A35B2F55}"/>
    <cellStyle name="Migliaia 6 2 2 4 2 4" xfId="17614" xr:uid="{430EE861-DE36-467F-B70D-96C77435F1D3}"/>
    <cellStyle name="Migliaia 6 2 2 4 3" xfId="3292" xr:uid="{E3DD648F-530F-4C6B-9267-E7F1FA232656}"/>
    <cellStyle name="Migliaia 6 2 2 4 3 2" xfId="10780" xr:uid="{73E045CB-E996-4CFD-9690-F7644B375CEE}"/>
    <cellStyle name="Migliaia 6 2 2 4 3 2 2" xfId="14326" xr:uid="{2EB361F5-6EF5-466F-8A53-D3CBDFE153B3}"/>
    <cellStyle name="Migliaia 6 2 2 4 3 2 2 2" xfId="29503" xr:uid="{0E469AD0-AE88-4687-B9B3-17859B77D1A1}"/>
    <cellStyle name="Migliaia 6 2 2 4 3 2 3" xfId="25958" xr:uid="{E9D4AAA2-4B8F-4AC7-BAD6-B39EB56DC765}"/>
    <cellStyle name="Migliaia 6 2 2 4 3 3" xfId="6606" xr:uid="{2C6DF5CD-C096-4FFA-98EE-34E538A4BCC2}"/>
    <cellStyle name="Migliaia 6 2 2 4 3 3 2" xfId="21786" xr:uid="{42304E5A-7111-43A3-BC88-4C1238A03820}"/>
    <cellStyle name="Migliaia 6 2 2 4 3 4" xfId="18498" xr:uid="{CC2DD6DD-8093-42E7-A644-8A2A21B4E669}"/>
    <cellStyle name="Migliaia 6 2 2 4 4" xfId="4812" xr:uid="{2EB28916-2EEA-4EBC-946A-C72D9144E228}"/>
    <cellStyle name="Migliaia 6 2 2 4 4 2" xfId="12297" xr:uid="{18F1F992-E6EC-4388-923C-00E5D5FDD200}"/>
    <cellStyle name="Migliaia 6 2 2 4 4 2 2" xfId="15843" xr:uid="{CCD99FBD-B149-46ED-9544-67B9C0A659F7}"/>
    <cellStyle name="Migliaia 6 2 2 4 4 2 2 2" xfId="31020" xr:uid="{7A143DCB-91DE-49D3-9F3E-E142553CFD4C}"/>
    <cellStyle name="Migliaia 6 2 2 4 4 2 3" xfId="27475" xr:uid="{A3848171-143F-4871-98FB-AAB45FA38ED8}"/>
    <cellStyle name="Migliaia 6 2 2 4 4 3" xfId="8123" xr:uid="{0B327B11-981B-45C4-842F-B9C872A31F4E}"/>
    <cellStyle name="Migliaia 6 2 2 4 4 3 2" xfId="23303" xr:uid="{BB1B5A6F-B046-4747-9525-43D8E4DC8497}"/>
    <cellStyle name="Migliaia 6 2 2 4 4 4" xfId="20015" xr:uid="{C1BD2CA5-AC9C-4AFD-AB52-B6A53557BB23}"/>
    <cellStyle name="Migliaia 6 2 2 4 5" xfId="8498" xr:uid="{734014E9-10AB-4857-B96A-2A7959BDDC01}"/>
    <cellStyle name="Migliaia 6 2 2 4 5 2" xfId="12671" xr:uid="{B00C93A4-10E0-43A3-AD41-C8B97E918187}"/>
    <cellStyle name="Migliaia 6 2 2 4 5 2 2" xfId="27848" xr:uid="{AFE49FF7-1B06-44B7-A474-86ABBCF03E64}"/>
    <cellStyle name="Migliaia 6 2 2 4 5 3" xfId="23676" xr:uid="{BB5C29B9-CBED-41F4-9143-61E44721EA99}"/>
    <cellStyle name="Migliaia 6 2 2 4 6" xfId="16216" xr:uid="{4578C6B0-A267-46BA-832D-66FD83EECB58}"/>
    <cellStyle name="Migliaia 6 2 2 4 7" xfId="31656" xr:uid="{6F8ED8D3-CCCA-4928-A4F4-91D7039ECDC4}"/>
    <cellStyle name="Migliaia 6 2 2 5" xfId="989" xr:uid="{24DCDF0A-7BED-4D99-9A56-72B1A23A391B}"/>
    <cellStyle name="Migliaia 6 2 2 5 2" xfId="2502" xr:uid="{F104CE45-F8DD-4F1A-BA30-AE289A37588D}"/>
    <cellStyle name="Migliaia 6 2 2 5 2 2" xfId="9994" xr:uid="{79AC32D0-B9CC-4A0E-AAD7-88E47E279C36}"/>
    <cellStyle name="Migliaia 6 2 2 5 2 2 2" xfId="13653" xr:uid="{B8F220C3-9644-4A40-A52E-1D08C3369CEC}"/>
    <cellStyle name="Migliaia 6 2 2 5 2 2 2 2" xfId="28830" xr:uid="{2DD3DCAF-6DED-4533-94BA-6797F649570F}"/>
    <cellStyle name="Migliaia 6 2 2 5 2 2 3" xfId="25172" xr:uid="{DB9EA36C-D077-4EDB-AE09-0D334CDD7B11}"/>
    <cellStyle name="Migliaia 6 2 2 5 2 3" xfId="5820" xr:uid="{DEDB95C8-FD19-400A-B7A3-3788D9281058}"/>
    <cellStyle name="Migliaia 6 2 2 5 2 3 2" xfId="21000" xr:uid="{8168402B-1DF6-4A8B-8A38-FEA069F3215B}"/>
    <cellStyle name="Migliaia 6 2 2 5 2 4" xfId="17712" xr:uid="{2CEDF4B8-706A-415F-884D-3B3CA87E09DB}"/>
    <cellStyle name="Migliaia 6 2 2 5 3" xfId="3390" xr:uid="{A65F2612-949C-450F-917F-ADEEC8D78BF5}"/>
    <cellStyle name="Migliaia 6 2 2 5 3 2" xfId="10878" xr:uid="{7F2E8862-7AB0-40FB-A84C-BEE97D2C773B}"/>
    <cellStyle name="Migliaia 6 2 2 5 3 2 2" xfId="14424" xr:uid="{AF6D58EE-9AE1-4697-ACBD-122FDB77520A}"/>
    <cellStyle name="Migliaia 6 2 2 5 3 2 2 2" xfId="29601" xr:uid="{53557B68-00D0-45AF-A709-ED6D7E057C1E}"/>
    <cellStyle name="Migliaia 6 2 2 5 3 2 3" xfId="26056" xr:uid="{75C7B4F8-1B82-4CDA-B352-175D10C0F5E3}"/>
    <cellStyle name="Migliaia 6 2 2 5 3 3" xfId="6704" xr:uid="{B947F740-260E-4E86-BDC3-E2B5DA8A4E7B}"/>
    <cellStyle name="Migliaia 6 2 2 5 3 3 2" xfId="21884" xr:uid="{1C444313-C47B-4480-8951-17DD06CC50AF}"/>
    <cellStyle name="Migliaia 6 2 2 5 3 4" xfId="18596" xr:uid="{F124D610-621F-44A1-8CB6-184C9B1289A5}"/>
    <cellStyle name="Migliaia 6 2 2 5 4" xfId="4813" xr:uid="{2F5BBEFC-FC80-4263-9759-DE035EDD3C99}"/>
    <cellStyle name="Migliaia 6 2 2 5 4 2" xfId="12298" xr:uid="{F72772C4-1A68-4428-BDC6-1363384947E6}"/>
    <cellStyle name="Migliaia 6 2 2 5 4 2 2" xfId="15844" xr:uid="{7F51C4E8-B912-4243-B1B7-6CB45003C655}"/>
    <cellStyle name="Migliaia 6 2 2 5 4 2 2 2" xfId="31021" xr:uid="{7C5CE116-921C-4E12-8A2D-B84402E3E749}"/>
    <cellStyle name="Migliaia 6 2 2 5 4 2 3" xfId="27476" xr:uid="{082AC2E6-83AB-41CA-9F33-E5FDFC8FAE6A}"/>
    <cellStyle name="Migliaia 6 2 2 5 4 3" xfId="8124" xr:uid="{12721A3E-6563-4A6D-8592-71FE677166F0}"/>
    <cellStyle name="Migliaia 6 2 2 5 4 3 2" xfId="23304" xr:uid="{FA3A9940-D3AE-4BFD-AE71-499C0E7D2D0C}"/>
    <cellStyle name="Migliaia 6 2 2 5 4 4" xfId="20016" xr:uid="{7520C358-F932-44BE-AD0A-F64A551D4E8D}"/>
    <cellStyle name="Migliaia 6 2 2 5 5" xfId="8596" xr:uid="{539FA7FA-7CB9-44FE-A28A-87D8358093E3}"/>
    <cellStyle name="Migliaia 6 2 2 5 5 2" xfId="12769" xr:uid="{B3D63C62-E6A0-4BDB-B675-B24E3DC9614F}"/>
    <cellStyle name="Migliaia 6 2 2 5 5 2 2" xfId="27946" xr:uid="{F95AD1F4-9C17-46D7-BCB4-27766AA6AED0}"/>
    <cellStyle name="Migliaia 6 2 2 5 5 3" xfId="23774" xr:uid="{9CB96348-7E11-47B6-B1B7-822AECFF7128}"/>
    <cellStyle name="Migliaia 6 2 2 5 6" xfId="16314" xr:uid="{272C58D3-889B-416C-8ACF-DE0DBA9791E5}"/>
    <cellStyle name="Migliaia 6 2 2 5 7" xfId="31534" xr:uid="{32192F69-1DCC-47D3-AF03-CC6076F21AA1}"/>
    <cellStyle name="Migliaia 6 2 2 6" xfId="1172" xr:uid="{957EE5E3-E9DA-4739-85D1-33F18BC1AD74}"/>
    <cellStyle name="Migliaia 6 2 2 6 2" xfId="2605" xr:uid="{EAB4C85D-CBF3-4EC1-9063-22C33E4D20B5}"/>
    <cellStyle name="Migliaia 6 2 2 6 2 2" xfId="10096" xr:uid="{9B17BA15-3027-4B95-9B60-FAAE0B174F3B}"/>
    <cellStyle name="Migliaia 6 2 2 6 2 2 2" xfId="13754" xr:uid="{4BE45385-84B4-4BBE-A210-C87B4CAF4AFE}"/>
    <cellStyle name="Migliaia 6 2 2 6 2 2 2 2" xfId="28931" xr:uid="{1CBF15E7-BF12-4579-93BB-1636C707AE1E}"/>
    <cellStyle name="Migliaia 6 2 2 6 2 2 3" xfId="25274" xr:uid="{819BC4FB-DE1E-4539-8D31-C978D091E59C}"/>
    <cellStyle name="Migliaia 6 2 2 6 2 3" xfId="5922" xr:uid="{EDEACA91-9352-4FFE-B353-29CF8CB8F4CA}"/>
    <cellStyle name="Migliaia 6 2 2 6 2 3 2" xfId="21102" xr:uid="{C7084C74-AA0C-4DE3-AFD0-D633A4F493E3}"/>
    <cellStyle name="Migliaia 6 2 2 6 2 4" xfId="17814" xr:uid="{9FB81561-51E5-4E2C-8CD1-FACC8399E073}"/>
    <cellStyle name="Migliaia 6 2 2 6 3" xfId="3492" xr:uid="{F4A8F7B3-E9E7-43B6-9C79-76E60D4B1EEC}"/>
    <cellStyle name="Migliaia 6 2 2 6 3 2" xfId="10980" xr:uid="{D69ACC7E-DFEC-4AA7-B9D7-65E109FBA6FB}"/>
    <cellStyle name="Migliaia 6 2 2 6 3 2 2" xfId="14526" xr:uid="{EC1BD2B8-5906-4644-8587-011D79E3B2C0}"/>
    <cellStyle name="Migliaia 6 2 2 6 3 2 2 2" xfId="29703" xr:uid="{CB1E3621-1C40-4CC7-B150-FC73FC94687E}"/>
    <cellStyle name="Migliaia 6 2 2 6 3 2 3" xfId="26158" xr:uid="{EC3CDDEE-AE65-43B8-AC40-8E3DC9EDE286}"/>
    <cellStyle name="Migliaia 6 2 2 6 3 3" xfId="6806" xr:uid="{5D8366E2-512B-42FD-9231-C7F70B19B000}"/>
    <cellStyle name="Migliaia 6 2 2 6 3 3 2" xfId="21986" xr:uid="{1B88E278-90E6-4D1B-B870-63322C77D996}"/>
    <cellStyle name="Migliaia 6 2 2 6 3 4" xfId="18698" xr:uid="{6E6F9E0A-903D-4731-92D8-7BC7D51422D8}"/>
    <cellStyle name="Migliaia 6 2 2 6 4" xfId="4814" xr:uid="{9D94631A-C8C3-452B-B531-A833141D0BD4}"/>
    <cellStyle name="Migliaia 6 2 2 6 4 2" xfId="12299" xr:uid="{4A712E63-90A4-48FD-AC3A-5227BFDC1B8F}"/>
    <cellStyle name="Migliaia 6 2 2 6 4 2 2" xfId="15845" xr:uid="{F3438B46-0A53-46D1-81AF-DF4961400B95}"/>
    <cellStyle name="Migliaia 6 2 2 6 4 2 2 2" xfId="31022" xr:uid="{522BBEA6-4D09-4DE1-9CE7-F3A3D420014A}"/>
    <cellStyle name="Migliaia 6 2 2 6 4 2 3" xfId="27477" xr:uid="{7B6BD3C7-15BB-4476-8AEC-6EE059F08D1A}"/>
    <cellStyle name="Migliaia 6 2 2 6 4 3" xfId="8125" xr:uid="{1CDF028D-BD24-4D2C-B634-4452C4F262F1}"/>
    <cellStyle name="Migliaia 6 2 2 6 4 3 2" xfId="23305" xr:uid="{7447EA4B-6AE3-4B69-A466-7C0C6AD997C9}"/>
    <cellStyle name="Migliaia 6 2 2 6 4 4" xfId="20017" xr:uid="{291DDB72-EC33-4F56-BE69-01BA96357387}"/>
    <cellStyle name="Migliaia 6 2 2 6 5" xfId="8698" xr:uid="{05BBC947-9275-4E11-966E-7AE5468BE380}"/>
    <cellStyle name="Migliaia 6 2 2 6 5 2" xfId="12871" xr:uid="{10FBC8A8-CAB0-4432-8719-A71DBD4F21B0}"/>
    <cellStyle name="Migliaia 6 2 2 6 5 2 2" xfId="28048" xr:uid="{197AEF72-59EB-4425-AC6A-6A48276F7183}"/>
    <cellStyle name="Migliaia 6 2 2 6 5 3" xfId="23876" xr:uid="{4FC77605-7690-4ED0-8740-19A0C99521CF}"/>
    <cellStyle name="Migliaia 6 2 2 6 6" xfId="16416" xr:uid="{B8118FED-4E33-48B5-B01A-8C41B95A8396}"/>
    <cellStyle name="Migliaia 6 2 2 7" xfId="1198" xr:uid="{083685D8-B415-4B0B-9E18-C44A0954514C}"/>
    <cellStyle name="Migliaia 6 2 2 7 2" xfId="2629" xr:uid="{5ECFDA36-1998-4CCD-88EA-E35EB8017216}"/>
    <cellStyle name="Migliaia 6 2 2 7 2 2" xfId="10120" xr:uid="{959F0B4B-D136-4309-B902-8F5C81AAFA50}"/>
    <cellStyle name="Migliaia 6 2 2 7 2 2 2" xfId="13778" xr:uid="{831C0763-FD5D-4FAA-9D4C-92285573F76B}"/>
    <cellStyle name="Migliaia 6 2 2 7 2 2 2 2" xfId="28955" xr:uid="{FEB4BC3F-C53E-4631-AA7B-65740ACC4563}"/>
    <cellStyle name="Migliaia 6 2 2 7 2 2 3" xfId="25298" xr:uid="{FFED6B47-5AB9-4EDB-9477-23DEF20D6641}"/>
    <cellStyle name="Migliaia 6 2 2 7 2 3" xfId="5946" xr:uid="{EE6CBAE2-7B4D-4B68-B146-73A339D1843B}"/>
    <cellStyle name="Migliaia 6 2 2 7 2 3 2" xfId="21126" xr:uid="{B49D9638-B3EA-4507-BAE2-189F22A78623}"/>
    <cellStyle name="Migliaia 6 2 2 7 2 4" xfId="17838" xr:uid="{C8ADA68A-B2A8-4412-8030-5F6C3708B944}"/>
    <cellStyle name="Migliaia 6 2 2 7 3" xfId="3516" xr:uid="{1C1F0B0B-1BE3-4F43-8B57-7477211F0C0B}"/>
    <cellStyle name="Migliaia 6 2 2 7 3 2" xfId="11004" xr:uid="{4C4B3A6A-D8E1-40ED-89FC-273887B5C5DA}"/>
    <cellStyle name="Migliaia 6 2 2 7 3 2 2" xfId="14550" xr:uid="{F11379C6-1A1E-456D-BE21-B8F8328BBFF4}"/>
    <cellStyle name="Migliaia 6 2 2 7 3 2 2 2" xfId="29727" xr:uid="{7AD068B9-69EC-4884-958D-4F2F1F5725B7}"/>
    <cellStyle name="Migliaia 6 2 2 7 3 2 3" xfId="26182" xr:uid="{B90FD26E-BB3B-48F4-8018-C8C964985795}"/>
    <cellStyle name="Migliaia 6 2 2 7 3 3" xfId="6830" xr:uid="{B1800EDF-6525-45F2-A551-BC8632BF9BD7}"/>
    <cellStyle name="Migliaia 6 2 2 7 3 3 2" xfId="22010" xr:uid="{BFA7CA31-2005-48D4-9375-2ACB9137B652}"/>
    <cellStyle name="Migliaia 6 2 2 7 3 4" xfId="18722" xr:uid="{9C94EE00-C497-487D-8812-58B689813654}"/>
    <cellStyle name="Migliaia 6 2 2 7 4" xfId="4815" xr:uid="{5A202CCC-C04D-4E70-B00C-6C658BCAD4FE}"/>
    <cellStyle name="Migliaia 6 2 2 7 4 2" xfId="12300" xr:uid="{6F890A19-16AA-4E0C-8D87-B2FC335002C8}"/>
    <cellStyle name="Migliaia 6 2 2 7 4 2 2" xfId="15846" xr:uid="{68B481EB-585C-4041-8F80-8FD1044B3658}"/>
    <cellStyle name="Migliaia 6 2 2 7 4 2 2 2" xfId="31023" xr:uid="{65CD842D-4A68-4C05-893D-213A9912F0BA}"/>
    <cellStyle name="Migliaia 6 2 2 7 4 2 3" xfId="27478" xr:uid="{0BCFB503-D2A5-47B2-9210-6F152A5AE14E}"/>
    <cellStyle name="Migliaia 6 2 2 7 4 3" xfId="8126" xr:uid="{38469E88-DEBC-42B0-BFB1-EC133FF9C4E9}"/>
    <cellStyle name="Migliaia 6 2 2 7 4 3 2" xfId="23306" xr:uid="{9EB9919D-A3FF-437F-927C-CE65A6DED397}"/>
    <cellStyle name="Migliaia 6 2 2 7 4 4" xfId="20018" xr:uid="{5B203EB3-097D-4B17-8619-F597A20F182D}"/>
    <cellStyle name="Migliaia 6 2 2 7 5" xfId="8722" xr:uid="{08958152-B145-4961-9107-FA2C50C8F145}"/>
    <cellStyle name="Migliaia 6 2 2 7 5 2" xfId="12895" xr:uid="{C7DA8406-5B00-42A4-9738-4C1E201EA1C9}"/>
    <cellStyle name="Migliaia 6 2 2 7 5 2 2" xfId="28072" xr:uid="{93BC7A49-6A21-4D51-96FA-EE4BE8DCAF14}"/>
    <cellStyle name="Migliaia 6 2 2 7 5 3" xfId="23900" xr:uid="{D15C1C59-6930-465A-94F0-E66A9D49FD40}"/>
    <cellStyle name="Migliaia 6 2 2 7 6" xfId="16440" xr:uid="{95C60C2F-574E-4E5E-9DAF-70C876913E20}"/>
    <cellStyle name="Migliaia 6 2 2 8" xfId="1247" xr:uid="{A712BE26-0EA5-49BD-8C7E-D2CAC82AFBBF}"/>
    <cellStyle name="Migliaia 6 2 2 8 10" xfId="31306" xr:uid="{5308B89F-9255-4500-84B8-15C59B9F73BB}"/>
    <cellStyle name="Migliaia 6 2 2 8 2" xfId="2677" xr:uid="{51A03A0C-7CFA-42A3-B848-A75CA839CA09}"/>
    <cellStyle name="Migliaia 6 2 2 8 2 2" xfId="10168" xr:uid="{B5717647-3D87-4CBE-BF67-E7BD109985B8}"/>
    <cellStyle name="Migliaia 6 2 2 8 2 2 2" xfId="13812" xr:uid="{EE34E82B-8046-4BF7-9B0F-8973B88A0881}"/>
    <cellStyle name="Migliaia 6 2 2 8 2 2 2 2" xfId="28989" xr:uid="{FAA36453-1752-439D-BF21-F619604EDFC4}"/>
    <cellStyle name="Migliaia 6 2 2 8 2 2 3" xfId="25346" xr:uid="{459CAF94-5538-4851-89F3-C30605D6BD68}"/>
    <cellStyle name="Migliaia 6 2 2 8 2 3" xfId="5994" xr:uid="{56A82304-B970-4E9C-A6DD-0A0FB82B657C}"/>
    <cellStyle name="Migliaia 6 2 2 8 2 3 2" xfId="21174" xr:uid="{8A9B22E1-8DD7-4C2D-8A1D-94D4B4475D93}"/>
    <cellStyle name="Migliaia 6 2 2 8 2 4" xfId="17886" xr:uid="{E5A7AF51-D69F-4205-AA71-BCCB89DCBA2D}"/>
    <cellStyle name="Migliaia 6 2 2 8 3" xfId="3564" xr:uid="{5DE860B1-04AF-4060-B5C7-63EE4AA0EA59}"/>
    <cellStyle name="Migliaia 6 2 2 8 3 2" xfId="11052" xr:uid="{10920AD2-6556-444A-8DDE-98316DBFF520}"/>
    <cellStyle name="Migliaia 6 2 2 8 3 2 2" xfId="14598" xr:uid="{8AA64E3C-390A-47FC-9C7A-FEE2878DE69E}"/>
    <cellStyle name="Migliaia 6 2 2 8 3 2 2 2" xfId="29775" xr:uid="{9581B2CB-0779-425A-B003-7FBFDCF62A52}"/>
    <cellStyle name="Migliaia 6 2 2 8 3 2 3" xfId="26230" xr:uid="{2EB4847E-AABF-49C2-BBC3-699C23BAA574}"/>
    <cellStyle name="Migliaia 6 2 2 8 3 3" xfId="6878" xr:uid="{C938C781-808E-420C-A6F6-4A5482B92763}"/>
    <cellStyle name="Migliaia 6 2 2 8 3 3 2" xfId="22058" xr:uid="{150C4F41-1BFE-4EAB-B26C-8642A3173CAD}"/>
    <cellStyle name="Migliaia 6 2 2 8 3 4" xfId="18770" xr:uid="{15B02A1D-B2C3-4C23-9634-5788E6F7BA00}"/>
    <cellStyle name="Migliaia 6 2 2 8 4" xfId="4816" xr:uid="{62B448A5-547A-4B7E-845B-86E9F2D77DD9}"/>
    <cellStyle name="Migliaia 6 2 2 8 4 2" xfId="12301" xr:uid="{F88CDC5D-1374-42A5-A79C-51643FBD02FA}"/>
    <cellStyle name="Migliaia 6 2 2 8 4 2 2" xfId="15847" xr:uid="{8EB81135-359E-4983-9228-192039C45B8E}"/>
    <cellStyle name="Migliaia 6 2 2 8 4 2 2 2" xfId="31024" xr:uid="{EE528F36-40AA-48CD-B763-E5990592ADE6}"/>
    <cellStyle name="Migliaia 6 2 2 8 4 2 3" xfId="27479" xr:uid="{86CEBFEB-2252-49B3-A27B-7617DA4AAB42}"/>
    <cellStyle name="Migliaia 6 2 2 8 4 3" xfId="8127" xr:uid="{1F95E08D-6DE6-4CF2-8EE4-F111865B13A5}"/>
    <cellStyle name="Migliaia 6 2 2 8 4 3 2" xfId="23307" xr:uid="{865D121D-89D3-4606-8856-47E576C7C584}"/>
    <cellStyle name="Migliaia 6 2 2 8 4 4" xfId="20019" xr:uid="{F8380EE0-05E3-41AD-9D45-B43F107377C5}"/>
    <cellStyle name="Migliaia 6 2 2 8 5" xfId="4966" xr:uid="{99F7FAAA-9676-4768-9821-33AA3921B767}"/>
    <cellStyle name="Migliaia 6 2 2 8 5 2" xfId="12450" xr:uid="{A90B1920-852F-4745-92A3-60B05EE6208C}"/>
    <cellStyle name="Migliaia 6 2 2 8 5 2 2" xfId="15996" xr:uid="{24579F4D-624B-413E-A355-22BFBA25BA55}"/>
    <cellStyle name="Migliaia 6 2 2 8 5 2 2 2" xfId="31173" xr:uid="{2FC2452F-AAFA-4BDE-AE90-C43ECF39ADB7}"/>
    <cellStyle name="Migliaia 6 2 2 8 5 2 3" xfId="27628" xr:uid="{4FA0EE15-E4E1-4B18-8C5A-A0DB72C9BDC5}"/>
    <cellStyle name="Migliaia 6 2 2 8 5 3" xfId="8276" xr:uid="{ADB1B929-29EE-4A15-A256-C85EF3F52A4A}"/>
    <cellStyle name="Migliaia 6 2 2 8 5 3 2" xfId="23456" xr:uid="{E73868FF-DA05-4992-A2C7-C4B0BD7C2698}"/>
    <cellStyle name="Migliaia 6 2 2 8 5 4" xfId="20168" xr:uid="{0390E78C-3D67-4C9D-BD70-055922DE203B}"/>
    <cellStyle name="Migliaia 6 2 2 8 6" xfId="1787" xr:uid="{D12FD10F-9006-4B91-AB65-F5717C17E99B}"/>
    <cellStyle name="Migliaia 6 2 2 8 6 2" xfId="9284" xr:uid="{D5FBC02C-FC00-4E54-ACB2-D41C2B388DCD}"/>
    <cellStyle name="Migliaia 6 2 2 8 6 2 2" xfId="24462" xr:uid="{E3C9F200-E4FA-4BBD-BD1A-99ADF011A40E}"/>
    <cellStyle name="Migliaia 6 2 2 8 6 3" xfId="17002" xr:uid="{EDDB8B6D-71B2-4D9F-B2F7-40F883E4BDBD}"/>
    <cellStyle name="Migliaia 6 2 2 8 7" xfId="8770" xr:uid="{3B8E7AC6-0B96-45A5-A96F-44BA56378E7D}"/>
    <cellStyle name="Migliaia 6 2 2 8 7 2" xfId="12943" xr:uid="{69077A51-204B-4F85-A1E0-C0C6E675091C}"/>
    <cellStyle name="Migliaia 6 2 2 8 7 2 2" xfId="28120" xr:uid="{37F68948-B60C-408B-99D9-1476BC0C05FA}"/>
    <cellStyle name="Migliaia 6 2 2 8 7 3" xfId="23948" xr:uid="{E5D317AB-71E5-4354-9B8E-8E2A764A68ED}"/>
    <cellStyle name="Migliaia 6 2 2 8 8" xfId="5110" xr:uid="{E47EDB88-F696-4D90-A321-E505E9CD67E4}"/>
    <cellStyle name="Migliaia 6 2 2 8 8 2" xfId="20290" xr:uid="{A763F4D4-F72B-42A1-81BB-3868F4A80A0C}"/>
    <cellStyle name="Migliaia 6 2 2 8 9" xfId="16488" xr:uid="{BF7C0631-3079-4D68-819A-76FE6BACF89C}"/>
    <cellStyle name="Migliaia 6 2 2 9" xfId="1349" xr:uid="{5B6C2A15-F942-4558-9874-BC9B86041A8D}"/>
    <cellStyle name="Migliaia 6 2 2 9 2" xfId="2775" xr:uid="{67DC0941-BDD2-4BAD-B258-DBA277C7AB02}"/>
    <cellStyle name="Migliaia 6 2 2 9 2 2" xfId="10266" xr:uid="{16E22C6E-8141-4DED-9CBA-D41288D3DBF2}"/>
    <cellStyle name="Migliaia 6 2 2 9 2 2 2" xfId="13861" xr:uid="{6DB03D85-F326-4D2A-88F2-CC56F460A07F}"/>
    <cellStyle name="Migliaia 6 2 2 9 2 2 2 2" xfId="29038" xr:uid="{41B2CDEA-8A8A-4643-926B-DAB906BE89E9}"/>
    <cellStyle name="Migliaia 6 2 2 9 2 2 3" xfId="25444" xr:uid="{7FE01368-4BAF-45F5-B72D-144EA5AF7026}"/>
    <cellStyle name="Migliaia 6 2 2 9 2 3" xfId="6092" xr:uid="{6B709885-96BF-44D7-A1ED-BD3E86E2498C}"/>
    <cellStyle name="Migliaia 6 2 2 9 2 3 2" xfId="21272" xr:uid="{A5449463-5B3A-44F8-81B0-ED595FC028E9}"/>
    <cellStyle name="Migliaia 6 2 2 9 2 4" xfId="17984" xr:uid="{A5572EA0-B52B-4AE4-A6BE-961B5F1AEDB4}"/>
    <cellStyle name="Migliaia 6 2 2 9 3" xfId="3662" xr:uid="{1D144B22-73F7-4BAD-AB77-4FA3B3930407}"/>
    <cellStyle name="Migliaia 6 2 2 9 3 2" xfId="11150" xr:uid="{510E9FF1-2AAD-4E53-872F-5E6C4D9C1B2C}"/>
    <cellStyle name="Migliaia 6 2 2 9 3 2 2" xfId="14696" xr:uid="{F1925152-943F-49CF-B837-13CBECAA505E}"/>
    <cellStyle name="Migliaia 6 2 2 9 3 2 2 2" xfId="29873" xr:uid="{9BB434DD-755C-4FE6-BAE9-E4BC070F3EA7}"/>
    <cellStyle name="Migliaia 6 2 2 9 3 2 3" xfId="26328" xr:uid="{9D9F0CA3-E322-4559-826F-B61D6B5E5E0C}"/>
    <cellStyle name="Migliaia 6 2 2 9 3 3" xfId="6976" xr:uid="{8E3F7708-9972-49D0-9079-BD70564B7E78}"/>
    <cellStyle name="Migliaia 6 2 2 9 3 3 2" xfId="22156" xr:uid="{68B87AE9-7E2E-4927-81A6-D16C549BB9A7}"/>
    <cellStyle name="Migliaia 6 2 2 9 3 4" xfId="18868" xr:uid="{D22837FD-E717-4F56-BCA0-E97959AE2CE2}"/>
    <cellStyle name="Migliaia 6 2 2 9 4" xfId="4817" xr:uid="{F1D88029-FFAA-4695-A31D-9D3A10300D7F}"/>
    <cellStyle name="Migliaia 6 2 2 9 4 2" xfId="12302" xr:uid="{1EB92B9C-40E0-4A7B-A742-1EEC81256786}"/>
    <cellStyle name="Migliaia 6 2 2 9 4 2 2" xfId="15848" xr:uid="{1D3EBEBE-D3DC-456C-A365-011830E304C1}"/>
    <cellStyle name="Migliaia 6 2 2 9 4 2 2 2" xfId="31025" xr:uid="{A8EF5060-FC55-404F-8781-DD8111FC2CC6}"/>
    <cellStyle name="Migliaia 6 2 2 9 4 2 3" xfId="27480" xr:uid="{CC27FC34-66AF-4F24-B3DF-4BA873BE0853}"/>
    <cellStyle name="Migliaia 6 2 2 9 4 3" xfId="8128" xr:uid="{173E1CF9-008A-442F-8C37-31E12E5CAE3F}"/>
    <cellStyle name="Migliaia 6 2 2 9 4 3 2" xfId="23308" xr:uid="{908EBD0F-2640-4A5A-B753-CF2840D23133}"/>
    <cellStyle name="Migliaia 6 2 2 9 4 4" xfId="20020" xr:uid="{B8BF092E-94D7-41E4-8061-B2BAD6DC9666}"/>
    <cellStyle name="Migliaia 6 2 2 9 5" xfId="1885" xr:uid="{943BF65A-4B3D-4F2E-9549-002404AD831B}"/>
    <cellStyle name="Migliaia 6 2 2 9 5 2" xfId="9382" xr:uid="{07EEC510-E1EF-4D17-941C-3B2FB1586D9F}"/>
    <cellStyle name="Migliaia 6 2 2 9 5 2 2" xfId="24560" xr:uid="{B63B890D-25C3-4F83-9668-61DBA6D53C93}"/>
    <cellStyle name="Migliaia 6 2 2 9 5 3" xfId="17100" xr:uid="{2F00DCC2-2C3F-46B5-8A4B-88EF4C0EDFE7}"/>
    <cellStyle name="Migliaia 6 2 2 9 6" xfId="8868" xr:uid="{BF64CDE5-6B4C-4F13-9C8F-DB3B44853FFD}"/>
    <cellStyle name="Migliaia 6 2 2 9 6 2" xfId="13041" xr:uid="{D7802E7B-6317-49F0-900E-5D38BE97BC4B}"/>
    <cellStyle name="Migliaia 6 2 2 9 6 2 2" xfId="28218" xr:uid="{2065723A-ACFC-4EF6-B939-8F0B24C91A8B}"/>
    <cellStyle name="Migliaia 6 2 2 9 6 3" xfId="24046" xr:uid="{97C3184B-0610-41C1-9704-D90E8CDA709D}"/>
    <cellStyle name="Migliaia 6 2 2 9 7" xfId="5208" xr:uid="{7149F5AE-8A70-4ECF-A3F3-1B08DDD8906C}"/>
    <cellStyle name="Migliaia 6 2 2 9 7 2" xfId="20388" xr:uid="{6070762C-04CB-4F95-825D-C563B0044C93}"/>
    <cellStyle name="Migliaia 6 2 2 9 8" xfId="16586" xr:uid="{5257E050-2B86-4AED-A61D-1CEFCC82EDA3}"/>
    <cellStyle name="Migliaia 6 2 3" xfId="569" xr:uid="{4AF3759F-A5C5-434B-8B5C-0E87724D1C64}"/>
    <cellStyle name="Migliaia 6 2 3 10" xfId="16192" xr:uid="{B2C150F9-06C4-4A92-A4FF-46FBDC2F912E}"/>
    <cellStyle name="Migliaia 6 2 3 11" xfId="31282" xr:uid="{33C672F3-3570-4E14-9849-5B5EF9A42EE3}"/>
    <cellStyle name="Migliaia 6 2 3 12" xfId="31632" xr:uid="{242989FA-292C-449C-A293-81ECE0A20F57}"/>
    <cellStyle name="Migliaia 6 2 3 13" xfId="860" xr:uid="{BBC5A870-87AD-4B41-8013-E24F59F56A3D}"/>
    <cellStyle name="Migliaia 6 2 3 2" xfId="1223" xr:uid="{F6AB8786-52FD-4714-827D-EA2FD4759400}"/>
    <cellStyle name="Migliaia 6 2 3 2 2" xfId="3540" xr:uid="{A15FD27B-DD3D-41C6-BFFE-EDB4797B671B}"/>
    <cellStyle name="Migliaia 6 2 3 2 2 2" xfId="11028" xr:uid="{ED820252-11EC-406F-81E7-AA0262AB9134}"/>
    <cellStyle name="Migliaia 6 2 3 2 2 2 2" xfId="14574" xr:uid="{BA262F6B-50A1-441F-A1AB-F44C24871E23}"/>
    <cellStyle name="Migliaia 6 2 3 2 2 2 2 2" xfId="29751" xr:uid="{F09E079D-739F-4D55-AF88-5BFECF625C3D}"/>
    <cellStyle name="Migliaia 6 2 3 2 2 2 3" xfId="26206" xr:uid="{A0F079AF-8987-4BCF-BDBC-7D69E7928428}"/>
    <cellStyle name="Migliaia 6 2 3 2 2 3" xfId="6854" xr:uid="{B66915E3-A1E6-4D33-9934-0281811A0DB5}"/>
    <cellStyle name="Migliaia 6 2 3 2 2 3 2" xfId="22034" xr:uid="{3DB41F80-A93A-4E8A-A818-6CE7B1C1B589}"/>
    <cellStyle name="Migliaia 6 2 3 2 2 4" xfId="18746" xr:uid="{71694F08-B7D9-419B-AD3A-6ADA4E328456}"/>
    <cellStyle name="Migliaia 6 2 3 2 3" xfId="4818" xr:uid="{387F9AFF-389E-4B9E-80CA-01075EA730F3}"/>
    <cellStyle name="Migliaia 6 2 3 2 3 2" xfId="12303" xr:uid="{94886946-37AE-4B4D-AE76-D7835D81FF6F}"/>
    <cellStyle name="Migliaia 6 2 3 2 3 2 2" xfId="15849" xr:uid="{3B37F414-6238-4365-93CB-8D66B581F7B7}"/>
    <cellStyle name="Migliaia 6 2 3 2 3 2 2 2" xfId="31026" xr:uid="{97F29969-F018-442F-BB2E-CAFE680E49A2}"/>
    <cellStyle name="Migliaia 6 2 3 2 3 2 3" xfId="27481" xr:uid="{1E12B75D-0E86-4188-876C-6AEA53C45306}"/>
    <cellStyle name="Migliaia 6 2 3 2 3 3" xfId="8129" xr:uid="{EC6563D8-F36A-4847-8A74-B304529F7540}"/>
    <cellStyle name="Migliaia 6 2 3 2 3 3 2" xfId="23309" xr:uid="{EB0A634B-D4AF-4516-BBA6-311EA1219914}"/>
    <cellStyle name="Migliaia 6 2 3 2 3 4" xfId="20021" xr:uid="{B649475F-08E6-4EF5-9393-69B21807AD87}"/>
    <cellStyle name="Migliaia 6 2 3 2 4" xfId="2653" xr:uid="{9CD10FA2-6F6F-4677-B8A9-EAAD24C19DD5}"/>
    <cellStyle name="Migliaia 6 2 3 2 4 2" xfId="10144" xr:uid="{0180E6C3-135C-4321-905E-547C2DCD0815}"/>
    <cellStyle name="Migliaia 6 2 3 2 4 2 2" xfId="25322" xr:uid="{0ADA8372-5002-4B9C-BBC5-24E665AEB6D3}"/>
    <cellStyle name="Migliaia 6 2 3 2 4 3" xfId="17862" xr:uid="{0A57C5F3-0937-44CB-B8D1-DA6E25184307}"/>
    <cellStyle name="Migliaia 6 2 3 2 5" xfId="8746" xr:uid="{6C1F5F72-C88E-4BCE-A6F9-C37C226C904A}"/>
    <cellStyle name="Migliaia 6 2 3 2 5 2" xfId="12919" xr:uid="{8B4A1BCD-BF8C-4FBC-B083-97C664E94F3D}"/>
    <cellStyle name="Migliaia 6 2 3 2 5 2 2" xfId="28096" xr:uid="{655A2082-7264-4FBF-93D9-195CA9BFF472}"/>
    <cellStyle name="Migliaia 6 2 3 2 5 3" xfId="23924" xr:uid="{314F918E-7724-4F9D-AF9C-FFA0F1454293}"/>
    <cellStyle name="Migliaia 6 2 3 2 6" xfId="5970" xr:uid="{30BD052D-2364-4F96-A4C6-348CD1D52ADB}"/>
    <cellStyle name="Migliaia 6 2 3 2 6 2" xfId="21150" xr:uid="{A96A082F-B7A5-4FB8-A62D-079572C46780}"/>
    <cellStyle name="Migliaia 6 2 3 2 7" xfId="16464" xr:uid="{87B7C6F8-9595-42CA-9253-39F93ADBDAFD}"/>
    <cellStyle name="Migliaia 6 2 3 3" xfId="2378" xr:uid="{CA8F9DA4-31E0-44D0-A98A-2AF37E8144AC}"/>
    <cellStyle name="Migliaia 6 2 3 3 2" xfId="9872" xr:uid="{AED2FB47-9139-4F58-AE1F-8DFCCD49F68C}"/>
    <cellStyle name="Migliaia 6 2 3 3 2 2" xfId="13531" xr:uid="{5F2E846D-E9E5-48CF-B26E-616D4634F436}"/>
    <cellStyle name="Migliaia 6 2 3 3 2 2 2" xfId="28708" xr:uid="{AA13B455-FCEA-492D-8DEC-12845C72C588}"/>
    <cellStyle name="Migliaia 6 2 3 3 2 3" xfId="25050" xr:uid="{BD6F6ACB-BB74-4EB8-BBFD-5DD345D560FD}"/>
    <cellStyle name="Migliaia 6 2 3 3 3" xfId="5698" xr:uid="{33199FC9-E469-47F5-AE73-7221649001BC}"/>
    <cellStyle name="Migliaia 6 2 3 3 3 2" xfId="20878" xr:uid="{AA2DABE0-E617-460A-895C-DADD6257F8D3}"/>
    <cellStyle name="Migliaia 6 2 3 3 4" xfId="17590" xr:uid="{AB5F66B2-3B21-48C8-8455-34F2F90DCDC6}"/>
    <cellStyle name="Migliaia 6 2 3 4" xfId="3268" xr:uid="{C66E1C9E-AF14-4CCF-A458-A233C2D2EC59}"/>
    <cellStyle name="Migliaia 6 2 3 4 2" xfId="10756" xr:uid="{7AAA2EF3-D9D1-41F7-BC15-B54E1CEA10E8}"/>
    <cellStyle name="Migliaia 6 2 3 4 2 2" xfId="14302" xr:uid="{213599C0-A6FB-4942-8029-BA69CB746077}"/>
    <cellStyle name="Migliaia 6 2 3 4 2 2 2" xfId="29479" xr:uid="{4C250F4D-7D77-4CC1-945A-BFC9CF777E6B}"/>
    <cellStyle name="Migliaia 6 2 3 4 2 3" xfId="25934" xr:uid="{219DF39C-4901-4793-8EFD-FA6DB080E171}"/>
    <cellStyle name="Migliaia 6 2 3 4 3" xfId="6582" xr:uid="{60ED54AA-DDD3-4450-A3F9-1F358B64AC97}"/>
    <cellStyle name="Migliaia 6 2 3 4 3 2" xfId="21762" xr:uid="{AF2B73D6-594A-4143-8819-3587D6FE0AD5}"/>
    <cellStyle name="Migliaia 6 2 3 4 4" xfId="18474" xr:uid="{A10C12D7-FB79-4322-A874-74390E7F7448}"/>
    <cellStyle name="Migliaia 6 2 3 5" xfId="4819" xr:uid="{8ADEEB47-C616-4A87-BB29-1CE21F3705F4}"/>
    <cellStyle name="Migliaia 6 2 3 5 2" xfId="12304" xr:uid="{024DFEBA-462E-4DED-A050-742F47618A72}"/>
    <cellStyle name="Migliaia 6 2 3 5 2 2" xfId="15850" xr:uid="{D4365DDE-A5FA-41D5-948D-363EA81A2408}"/>
    <cellStyle name="Migliaia 6 2 3 5 2 2 2" xfId="31027" xr:uid="{5FCBE9BB-939E-415F-B964-CF7DD0E223B9}"/>
    <cellStyle name="Migliaia 6 2 3 5 2 3" xfId="27482" xr:uid="{9B1F2A9D-415C-4865-97AE-81055924A916}"/>
    <cellStyle name="Migliaia 6 2 3 5 3" xfId="8130" xr:uid="{7C2A255E-1FAE-47EB-96D3-67BB70BAB3D7}"/>
    <cellStyle name="Migliaia 6 2 3 5 3 2" xfId="23310" xr:uid="{8E416FED-27C5-47B0-AE1C-23085AF48B2C}"/>
    <cellStyle name="Migliaia 6 2 3 5 4" xfId="20022" xr:uid="{F3068108-81D4-4B00-8C4B-8EE2149D350C}"/>
    <cellStyle name="Migliaia 6 2 3 6" xfId="4942" xr:uid="{D8E97827-807E-43CA-B519-F965C8350688}"/>
    <cellStyle name="Migliaia 6 2 3 6 2" xfId="12426" xr:uid="{799BF9E6-AA13-40E1-8939-01E1B81886DF}"/>
    <cellStyle name="Migliaia 6 2 3 6 2 2" xfId="15972" xr:uid="{288FA37C-3C44-4BA6-A65D-810CE88F2B70}"/>
    <cellStyle name="Migliaia 6 2 3 6 2 2 2" xfId="31149" xr:uid="{595FB29C-04D1-4AA6-830B-DC9FF399671F}"/>
    <cellStyle name="Migliaia 6 2 3 6 2 3" xfId="27604" xr:uid="{0EB90C2F-F5F2-40A1-AE4E-115FCAB99CA2}"/>
    <cellStyle name="Migliaia 6 2 3 6 3" xfId="8252" xr:uid="{FAEBF01A-C250-4C74-B94C-E8DE6BC71F33}"/>
    <cellStyle name="Migliaia 6 2 3 6 3 2" xfId="23432" xr:uid="{57D89DB4-6FA3-46C2-B428-C4555F85621D}"/>
    <cellStyle name="Migliaia 6 2 3 6 4" xfId="20144" xr:uid="{CD9B77EC-FE0B-4CAC-871B-0479B36EBF74}"/>
    <cellStyle name="Migliaia 6 2 3 7" xfId="1763" xr:uid="{1FBC7A58-C5F4-43A1-9CE9-5F4A0999E588}"/>
    <cellStyle name="Migliaia 6 2 3 7 2" xfId="9260" xr:uid="{2C209983-DF53-4F69-9031-60D55CA93C0A}"/>
    <cellStyle name="Migliaia 6 2 3 7 2 2" xfId="24438" xr:uid="{44262495-5420-42E0-9B38-72153EFDEAA7}"/>
    <cellStyle name="Migliaia 6 2 3 7 3" xfId="16978" xr:uid="{DE9F9D37-0B21-4C50-A405-F5E9C731F279}"/>
    <cellStyle name="Migliaia 6 2 3 8" xfId="8474" xr:uid="{DB14B140-A730-452D-A2A4-42C2B259A568}"/>
    <cellStyle name="Migliaia 6 2 3 8 2" xfId="12647" xr:uid="{DBA3DA07-E17C-47C4-9B58-74C5F0F24EF4}"/>
    <cellStyle name="Migliaia 6 2 3 8 2 2" xfId="27824" xr:uid="{A1DE92B8-D6D8-4FD5-AAFC-DD0D2AA9F987}"/>
    <cellStyle name="Migliaia 6 2 3 8 3" xfId="23652" xr:uid="{86F4043B-F507-4655-8B00-1744AA8E4DA1}"/>
    <cellStyle name="Migliaia 6 2 3 9" xfId="5086" xr:uid="{F7583D6F-A0A7-488E-A581-9F6BBDB7FB19}"/>
    <cellStyle name="Migliaia 6 2 3 9 2" xfId="20266" xr:uid="{ACCAE69B-A02F-4339-B068-DB1484D06777}"/>
    <cellStyle name="Migliaia 6 2 4" xfId="31412" xr:uid="{451CD3A9-D0F9-46FE-9718-628EA4E96252}"/>
    <cellStyle name="Migliaia 6 2 5" xfId="620" xr:uid="{80DAAEF8-CE64-455A-B7A7-4D76A43CBBFA}"/>
    <cellStyle name="Migliaia 6 3" xfId="474" xr:uid="{35A37FF7-8F22-4E66-9AA3-82CEB8C322A0}"/>
    <cellStyle name="Migliaia 6 3 10" xfId="1441" xr:uid="{3415DE0D-140D-4D8A-87C5-F04BF6FE198C}"/>
    <cellStyle name="Migliaia 6 3 10 2" xfId="2866" xr:uid="{F5D43E9D-969E-46A0-A734-1E8193AC6CCC}"/>
    <cellStyle name="Migliaia 6 3 10 2 2" xfId="10357" xr:uid="{057E67AE-4B2E-4941-929B-8E10FC14C379}"/>
    <cellStyle name="Migliaia 6 3 10 2 2 2" xfId="13903" xr:uid="{8C1357E6-CFDF-471C-A5A0-A7C0DC53C445}"/>
    <cellStyle name="Migliaia 6 3 10 2 2 2 2" xfId="29080" xr:uid="{C6AA3814-D057-457B-87A4-66A61715A0D1}"/>
    <cellStyle name="Migliaia 6 3 10 2 2 3" xfId="25535" xr:uid="{EC274545-FA91-48D2-B01E-CD7D59161285}"/>
    <cellStyle name="Migliaia 6 3 10 2 3" xfId="6183" xr:uid="{D2BEE60E-BCE4-490B-8DBD-E9FD9B857BD4}"/>
    <cellStyle name="Migliaia 6 3 10 2 3 2" xfId="21363" xr:uid="{CB0BB5DD-A1A0-42FF-BE50-F37933AEE265}"/>
    <cellStyle name="Migliaia 6 3 10 2 4" xfId="18075" xr:uid="{86C844C9-C39F-4766-AF41-0EF985C4389C}"/>
    <cellStyle name="Migliaia 6 3 10 3" xfId="3753" xr:uid="{4FCDE828-FE14-4D81-9D5A-8D9FC5E9D8F8}"/>
    <cellStyle name="Migliaia 6 3 10 3 2" xfId="11241" xr:uid="{CE2E1714-5E0C-4F9F-BB24-8055DCCDA63C}"/>
    <cellStyle name="Migliaia 6 3 10 3 2 2" xfId="14787" xr:uid="{5334E018-07AB-4F3F-8448-1F7F8E5C777F}"/>
    <cellStyle name="Migliaia 6 3 10 3 2 2 2" xfId="29964" xr:uid="{9C8DBA59-E68B-4187-8706-4C1AA0B40BCB}"/>
    <cellStyle name="Migliaia 6 3 10 3 2 3" xfId="26419" xr:uid="{98A932EF-8734-4E73-B06D-E84755B9AFA0}"/>
    <cellStyle name="Migliaia 6 3 10 3 3" xfId="7067" xr:uid="{B8B78D33-7539-401B-A593-2230CFC21125}"/>
    <cellStyle name="Migliaia 6 3 10 3 3 2" xfId="22247" xr:uid="{B21040D1-3C1B-48C7-9E0E-C8D0DADCE825}"/>
    <cellStyle name="Migliaia 6 3 10 3 4" xfId="18959" xr:uid="{E5D8D42C-42E8-4ED8-AFC8-9F47E864E6A0}"/>
    <cellStyle name="Migliaia 6 3 10 4" xfId="4820" xr:uid="{42C6BCC2-8E69-433E-AEB5-AF4A83C4FD3D}"/>
    <cellStyle name="Migliaia 6 3 10 4 2" xfId="12305" xr:uid="{AA9E647F-BE09-41C3-894A-6701E3D6DD1A}"/>
    <cellStyle name="Migliaia 6 3 10 4 2 2" xfId="15851" xr:uid="{7785F7C3-44E8-410C-967B-95FAEC712593}"/>
    <cellStyle name="Migliaia 6 3 10 4 2 2 2" xfId="31028" xr:uid="{FBECE56B-8CB2-4370-AC01-B37F49BE1FB0}"/>
    <cellStyle name="Migliaia 6 3 10 4 2 3" xfId="27483" xr:uid="{0011788C-E312-4F0E-8E90-EA9C4942D0F3}"/>
    <cellStyle name="Migliaia 6 3 10 4 3" xfId="8131" xr:uid="{733D7110-E4FC-4587-B028-9098BF2B6018}"/>
    <cellStyle name="Migliaia 6 3 10 4 3 2" xfId="23311" xr:uid="{F42F0353-34B9-4ED5-BCDB-DA626F665D85}"/>
    <cellStyle name="Migliaia 6 3 10 4 4" xfId="20023" xr:uid="{88B4B405-D399-4CC5-B9C0-E842128BEC1F}"/>
    <cellStyle name="Migliaia 6 3 10 5" xfId="1976" xr:uid="{3D7840FC-F2FF-4400-A40F-511D17123EF7}"/>
    <cellStyle name="Migliaia 6 3 10 5 2" xfId="9473" xr:uid="{D096EC37-22EF-408E-AE46-43346B9374C7}"/>
    <cellStyle name="Migliaia 6 3 10 5 2 2" xfId="24651" xr:uid="{2C01F578-09D7-43FA-AD65-18E88331F1AC}"/>
    <cellStyle name="Migliaia 6 3 10 5 3" xfId="17191" xr:uid="{A1969831-C6D0-41FA-9479-FA5D3279036C}"/>
    <cellStyle name="Migliaia 6 3 10 6" xfId="8959" xr:uid="{F20299BA-1B28-41D2-9C3C-98CF4F0C57A6}"/>
    <cellStyle name="Migliaia 6 3 10 6 2" xfId="13132" xr:uid="{716F85D0-F9F1-4A8A-A850-0ECE0BC85BEE}"/>
    <cellStyle name="Migliaia 6 3 10 6 2 2" xfId="28309" xr:uid="{69E03339-F4F0-4894-9F9F-9C456D69AEA4}"/>
    <cellStyle name="Migliaia 6 3 10 6 3" xfId="24137" xr:uid="{91D3F521-BBCD-4E60-9270-8DA8E16E5245}"/>
    <cellStyle name="Migliaia 6 3 10 7" xfId="5299" xr:uid="{85F766A9-6406-437A-B09E-36277D5CD84D}"/>
    <cellStyle name="Migliaia 6 3 10 7 2" xfId="20479" xr:uid="{909FF913-2608-452A-B790-722852B39430}"/>
    <cellStyle name="Migliaia 6 3 10 8" xfId="16677" xr:uid="{7FEBAD78-83AE-4BE5-8E9D-82ACAF2F1DA0}"/>
    <cellStyle name="Migliaia 6 3 11" xfId="1544" xr:uid="{FD22D3BA-C3BA-4742-B464-CC82FBFDD2EC}"/>
    <cellStyle name="Migliaia 6 3 11 2" xfId="2964" xr:uid="{F790EABC-171C-4935-965A-AB860935DFC4}"/>
    <cellStyle name="Migliaia 6 3 11 2 2" xfId="10455" xr:uid="{4F25D00D-9AA7-418F-B633-74EA5F6C12DA}"/>
    <cellStyle name="Migliaia 6 3 11 2 2 2" xfId="14001" xr:uid="{45F632BA-AB5A-4228-B951-DDAE1F53BFD0}"/>
    <cellStyle name="Migliaia 6 3 11 2 2 2 2" xfId="29178" xr:uid="{1B9BBAC1-A45C-463E-9B53-B0B6252D633D}"/>
    <cellStyle name="Migliaia 6 3 11 2 2 3" xfId="25633" xr:uid="{E68113BC-EC19-4EB6-BECE-ACC0D9194ABB}"/>
    <cellStyle name="Migliaia 6 3 11 2 3" xfId="6281" xr:uid="{4B3025A0-A2EB-4E12-BC73-7BACF813A0D3}"/>
    <cellStyle name="Migliaia 6 3 11 2 3 2" xfId="21461" xr:uid="{E3CECF35-AE1F-4FE4-99CE-629E0EE507CD}"/>
    <cellStyle name="Migliaia 6 3 11 2 4" xfId="18173" xr:uid="{2CA9F885-2A0E-44A8-B8EF-6687E30DC090}"/>
    <cellStyle name="Migliaia 6 3 11 3" xfId="3851" xr:uid="{FDE1A440-5D1A-4641-9AB6-E601F5DD8BF2}"/>
    <cellStyle name="Migliaia 6 3 11 3 2" xfId="11339" xr:uid="{07F68753-0B1E-430B-88F0-615086A0F4AA}"/>
    <cellStyle name="Migliaia 6 3 11 3 2 2" xfId="14885" xr:uid="{1D0865C9-E19B-4BF6-AF2D-FA4FAA8527C4}"/>
    <cellStyle name="Migliaia 6 3 11 3 2 2 2" xfId="30062" xr:uid="{A4FBBC93-768A-4C7E-AD39-ADDFC70BF863}"/>
    <cellStyle name="Migliaia 6 3 11 3 2 3" xfId="26517" xr:uid="{D191F2A6-C2A6-4EAD-B29F-B25FB770062A}"/>
    <cellStyle name="Migliaia 6 3 11 3 3" xfId="7165" xr:uid="{E13D5377-D4D2-4E90-8559-CD310A3A3EDA}"/>
    <cellStyle name="Migliaia 6 3 11 3 3 2" xfId="22345" xr:uid="{4BBE18B4-B117-4322-8ED4-C5DF76B028E0}"/>
    <cellStyle name="Migliaia 6 3 11 3 4" xfId="19057" xr:uid="{39C92F7A-A4C6-45E4-B213-B2703522372B}"/>
    <cellStyle name="Migliaia 6 3 11 4" xfId="4821" xr:uid="{F0C12C80-A52A-44E7-AEF2-C793170BBA67}"/>
    <cellStyle name="Migliaia 6 3 11 4 2" xfId="12306" xr:uid="{12D51A88-89AB-43E6-BF80-CF87461109DD}"/>
    <cellStyle name="Migliaia 6 3 11 4 2 2" xfId="15852" xr:uid="{23A2DFFE-3129-4324-9EE2-CEA6EAD01DC5}"/>
    <cellStyle name="Migliaia 6 3 11 4 2 2 2" xfId="31029" xr:uid="{81F106E5-41CE-49A8-BE53-8E5900151FE0}"/>
    <cellStyle name="Migliaia 6 3 11 4 2 3" xfId="27484" xr:uid="{1C228066-C394-424A-AB14-5A27D08F7FCA}"/>
    <cellStyle name="Migliaia 6 3 11 4 3" xfId="8132" xr:uid="{E7B00E35-B0E3-4D87-9CAC-0DC2BFEBC25D}"/>
    <cellStyle name="Migliaia 6 3 11 4 3 2" xfId="23312" xr:uid="{1863729F-F0F5-47B6-AE6D-95051F317FFA}"/>
    <cellStyle name="Migliaia 6 3 11 4 4" xfId="20024" xr:uid="{E8EADEDA-D373-4E5D-A72C-8B1E8AAEB24F}"/>
    <cellStyle name="Migliaia 6 3 11 5" xfId="2074" xr:uid="{2F4AD404-31E6-4772-9B79-EDE0872DA7C2}"/>
    <cellStyle name="Migliaia 6 3 11 5 2" xfId="9571" xr:uid="{BF4399FB-A7BB-40B7-AB57-2158955EACAF}"/>
    <cellStyle name="Migliaia 6 3 11 5 2 2" xfId="24749" xr:uid="{B2E5D739-1AC5-43EF-934D-869A17577649}"/>
    <cellStyle name="Migliaia 6 3 11 5 3" xfId="17289" xr:uid="{0A741F8D-0055-495B-8923-844A07DDC923}"/>
    <cellStyle name="Migliaia 6 3 11 6" xfId="9057" xr:uid="{8668E102-A7F2-423D-892D-2A109B4DDA3E}"/>
    <cellStyle name="Migliaia 6 3 11 6 2" xfId="13230" xr:uid="{28A5A915-FD3F-499F-83BD-96D7A831DF2E}"/>
    <cellStyle name="Migliaia 6 3 11 6 2 2" xfId="28407" xr:uid="{1FD75010-E66A-4C66-8FAB-D0C4CECF8663}"/>
    <cellStyle name="Migliaia 6 3 11 6 3" xfId="24235" xr:uid="{29B4D5C2-1997-40D1-8D15-31D632A9C938}"/>
    <cellStyle name="Migliaia 6 3 11 7" xfId="5397" xr:uid="{227B89A6-3859-46C7-A784-D0EB4B3BA9B3}"/>
    <cellStyle name="Migliaia 6 3 11 7 2" xfId="20577" xr:uid="{4943C549-CF9A-4A2D-BE96-1F2F5375D925}"/>
    <cellStyle name="Migliaia 6 3 11 8" xfId="16775" xr:uid="{13E64394-80F6-41FB-8AF8-72F2EB70E270}"/>
    <cellStyle name="Migliaia 6 3 12" xfId="1643" xr:uid="{4062350E-7F1B-45D0-AF51-D765B44F8EC9}"/>
    <cellStyle name="Migliaia 6 3 12 2" xfId="3062" xr:uid="{ADBDCE47-5EC6-45AF-B555-0B9A3B72FB0C}"/>
    <cellStyle name="Migliaia 6 3 12 2 2" xfId="10553" xr:uid="{9E198E6B-2078-409D-94EC-FA36578D9C6D}"/>
    <cellStyle name="Migliaia 6 3 12 2 2 2" xfId="14099" xr:uid="{A8430DE9-0703-4279-BEF4-79972D5EBB95}"/>
    <cellStyle name="Migliaia 6 3 12 2 2 2 2" xfId="29276" xr:uid="{D7DEBBCA-9214-4DB5-88A0-426EA485FB5E}"/>
    <cellStyle name="Migliaia 6 3 12 2 2 3" xfId="25731" xr:uid="{71F3F858-089D-49DC-AC89-BEF997CB6F22}"/>
    <cellStyle name="Migliaia 6 3 12 2 3" xfId="6379" xr:uid="{C8915393-16A8-4459-9B2F-ED15E97C91E5}"/>
    <cellStyle name="Migliaia 6 3 12 2 3 2" xfId="21559" xr:uid="{969A27F0-F0E6-4B54-9BC7-4EF7A28E27B0}"/>
    <cellStyle name="Migliaia 6 3 12 2 4" xfId="18271" xr:uid="{24FF4378-84F9-418F-8860-9E75B9DE0FBD}"/>
    <cellStyle name="Migliaia 6 3 12 3" xfId="3949" xr:uid="{7AFEB508-A42B-4CD1-896C-C416BC3A1656}"/>
    <cellStyle name="Migliaia 6 3 12 3 2" xfId="11437" xr:uid="{52AEA7A8-4F96-4009-A0E9-06719132ADD9}"/>
    <cellStyle name="Migliaia 6 3 12 3 2 2" xfId="14983" xr:uid="{ED716089-8668-4B38-816A-F31739852BD3}"/>
    <cellStyle name="Migliaia 6 3 12 3 2 2 2" xfId="30160" xr:uid="{622D0CA9-E215-4E1E-B841-40FE01A2BC85}"/>
    <cellStyle name="Migliaia 6 3 12 3 2 3" xfId="26615" xr:uid="{BECD9BDB-09D1-446D-9060-B50F72CC777C}"/>
    <cellStyle name="Migliaia 6 3 12 3 3" xfId="7263" xr:uid="{899D85B2-6860-4FE3-B6E8-0365092C01BC}"/>
    <cellStyle name="Migliaia 6 3 12 3 3 2" xfId="22443" xr:uid="{863DCDAF-2B23-4304-B4EE-67D6FF00D941}"/>
    <cellStyle name="Migliaia 6 3 12 3 4" xfId="19155" xr:uid="{20F255F1-B6CD-43EA-A11E-825ED75205F9}"/>
    <cellStyle name="Migliaia 6 3 12 4" xfId="4822" xr:uid="{ED8B2E4B-B3B9-4694-BC12-9A5BEB927124}"/>
    <cellStyle name="Migliaia 6 3 12 4 2" xfId="12307" xr:uid="{32AC81C6-3D13-4256-B97F-DA250F226F48}"/>
    <cellStyle name="Migliaia 6 3 12 4 2 2" xfId="15853" xr:uid="{54A6E0F6-2262-4724-883F-323121EE53CD}"/>
    <cellStyle name="Migliaia 6 3 12 4 2 2 2" xfId="31030" xr:uid="{58238D02-85A3-4EAA-83D7-485C1EFD846C}"/>
    <cellStyle name="Migliaia 6 3 12 4 2 3" xfId="27485" xr:uid="{E5CBDF5C-7115-41F1-9B62-6A48F50CBA81}"/>
    <cellStyle name="Migliaia 6 3 12 4 3" xfId="8133" xr:uid="{21D581FB-656B-4F17-A810-667C227295B6}"/>
    <cellStyle name="Migliaia 6 3 12 4 3 2" xfId="23313" xr:uid="{19159061-BD00-4B04-9B31-43FED4DA18E3}"/>
    <cellStyle name="Migliaia 6 3 12 4 4" xfId="20025" xr:uid="{C9573CA7-60F8-4CB7-B8EC-2BBBAD671952}"/>
    <cellStyle name="Migliaia 6 3 12 5" xfId="2172" xr:uid="{E28B00AD-A7E7-47E1-8270-A9D894E9725B}"/>
    <cellStyle name="Migliaia 6 3 12 5 2" xfId="9669" xr:uid="{072E7FD7-4EEB-4892-A999-55484EF2B46A}"/>
    <cellStyle name="Migliaia 6 3 12 5 2 2" xfId="24847" xr:uid="{D5E06606-E998-4C91-8E93-34E24999CA44}"/>
    <cellStyle name="Migliaia 6 3 12 5 3" xfId="17387" xr:uid="{C2BDB3C9-F685-4F42-B4F2-C040019B588E}"/>
    <cellStyle name="Migliaia 6 3 12 6" xfId="9155" xr:uid="{B4396C9A-903D-43B6-AD66-CDA84CB94F47}"/>
    <cellStyle name="Migliaia 6 3 12 6 2" xfId="13328" xr:uid="{6C1F3BA7-B127-4ED1-85DE-5B4CF53C05DC}"/>
    <cellStyle name="Migliaia 6 3 12 6 2 2" xfId="28505" xr:uid="{E83EA6D1-70A6-4B87-8B9A-2B91C7E5498A}"/>
    <cellStyle name="Migliaia 6 3 12 6 3" xfId="24333" xr:uid="{233AC1F1-9762-440A-BD7C-7DFC132A0FC3}"/>
    <cellStyle name="Migliaia 6 3 12 7" xfId="5495" xr:uid="{40EECB5F-9FDD-4503-80EA-E23C197732D0}"/>
    <cellStyle name="Migliaia 6 3 12 7 2" xfId="20675" xr:uid="{66EE61E7-3430-4F73-8A49-9A3FE3DD4CAE}"/>
    <cellStyle name="Migliaia 6 3 12 8" xfId="16873" xr:uid="{506B51D8-4DC7-4839-B1AC-8D5113C2540E}"/>
    <cellStyle name="Migliaia 6 3 13" xfId="2272" xr:uid="{2E7B70F6-82A6-449F-930B-E0C305DBA5F7}"/>
    <cellStyle name="Migliaia 6 3 13 2" xfId="9767" xr:uid="{BAB5A6E8-5FF8-4778-8757-0F5E73CC6600}"/>
    <cellStyle name="Migliaia 6 3 13 2 2" xfId="13426" xr:uid="{ADFB001B-A473-4A19-B300-7F928A7CB422}"/>
    <cellStyle name="Migliaia 6 3 13 2 2 2" xfId="28603" xr:uid="{613C6820-CE7F-4168-9674-9C29B42C8F9F}"/>
    <cellStyle name="Migliaia 6 3 13 2 3" xfId="24945" xr:uid="{1702EE89-A744-4340-B440-6F5059EF37C7}"/>
    <cellStyle name="Migliaia 6 3 13 3" xfId="5593" xr:uid="{43F3F22C-2C2C-44C0-998F-6C9FCBFA8525}"/>
    <cellStyle name="Migliaia 6 3 13 3 2" xfId="20773" xr:uid="{DB02EB05-21A9-4323-A1C4-AF7DD1083B6C}"/>
    <cellStyle name="Migliaia 6 3 13 4" xfId="17485" xr:uid="{604A6472-60E2-4689-ADC1-F3E1E1C30CD7}"/>
    <cellStyle name="Migliaia 6 3 14" xfId="3162" xr:uid="{136AF3EE-3C35-43BF-8B25-741E81F2ED20}"/>
    <cellStyle name="Migliaia 6 3 14 2" xfId="10651" xr:uid="{D57C1164-5486-4CCB-9554-711D47135B08}"/>
    <cellStyle name="Migliaia 6 3 14 2 2" xfId="14197" xr:uid="{C9D0611C-943A-44A7-8686-E3ECC113B51D}"/>
    <cellStyle name="Migliaia 6 3 14 2 2 2" xfId="29374" xr:uid="{BD24520B-DC6D-43B5-AD01-D0753BC70676}"/>
    <cellStyle name="Migliaia 6 3 14 2 3" xfId="25829" xr:uid="{E66AAA9C-EAA5-49F5-AAEF-BF5789885E05}"/>
    <cellStyle name="Migliaia 6 3 14 3" xfId="6477" xr:uid="{FE3E71B4-B87B-4061-A75E-6F24D9DC6C8D}"/>
    <cellStyle name="Migliaia 6 3 14 3 2" xfId="21657" xr:uid="{0CF13F4F-EE71-4A87-BCB4-2A9264BFF984}"/>
    <cellStyle name="Migliaia 6 3 14 4" xfId="18369" xr:uid="{DBDD2C1F-E33F-447C-A334-C9223B12E1E7}"/>
    <cellStyle name="Migliaia 6 3 15" xfId="4823" xr:uid="{1722470D-B1E6-44B8-87DF-B73A97C5925B}"/>
    <cellStyle name="Migliaia 6 3 15 2" xfId="12308" xr:uid="{534E32AD-CFA0-4F3F-832C-E9522AE256B9}"/>
    <cellStyle name="Migliaia 6 3 15 2 2" xfId="15854" xr:uid="{F400ACB1-65E5-4326-9669-37FDC185433D}"/>
    <cellStyle name="Migliaia 6 3 15 2 2 2" xfId="31031" xr:uid="{E01B8665-8585-46B9-8F40-6FAADF1421D0}"/>
    <cellStyle name="Migliaia 6 3 15 2 3" xfId="27486" xr:uid="{9E616B83-3500-4A0C-957C-F73D3EFF28C9}"/>
    <cellStyle name="Migliaia 6 3 15 3" xfId="8134" xr:uid="{03903201-8FE1-41E4-BC43-97E69A1E75AF}"/>
    <cellStyle name="Migliaia 6 3 15 3 2" xfId="23314" xr:uid="{66A2ED00-0644-4DF1-A600-5C2D8F165000}"/>
    <cellStyle name="Migliaia 6 3 15 4" xfId="20026" xr:uid="{3D9F303E-5B70-4388-989E-87DEB83EEB03}"/>
    <cellStyle name="Migliaia 6 3 16" xfId="8368" xr:uid="{D2F123F4-55BE-41D5-AD0F-3760711957F7}"/>
    <cellStyle name="Migliaia 6 3 16 2" xfId="12542" xr:uid="{B4F6906D-76A4-4DC1-AAD3-0DF633169A5E}"/>
    <cellStyle name="Migliaia 6 3 16 2 2" xfId="27719" xr:uid="{9FE3882B-7F0C-4955-8476-F21513449810}"/>
    <cellStyle name="Migliaia 6 3 16 3" xfId="23547" xr:uid="{C6703034-371A-4C96-90F6-F34FDBFCB480}"/>
    <cellStyle name="Migliaia 6 3 17" xfId="16087" xr:uid="{93CAB463-62BC-4375-B5A5-BF85A07E56D9}"/>
    <cellStyle name="Migliaia 6 3 18" xfId="31429" xr:uid="{ACFC18DD-61C8-4DB9-9476-90A7EB731D4A}"/>
    <cellStyle name="Migliaia 6 3 19" xfId="689" xr:uid="{6412F79F-7FDA-4AF5-A0B8-0CCE76F298A5}"/>
    <cellStyle name="Migliaia 6 3 2" xfId="587" xr:uid="{3E402A47-0E17-4E3B-A34A-970BC5622A82}"/>
    <cellStyle name="Migliaia 6 3 2 10" xfId="2297" xr:uid="{ACF1866C-2B66-4854-8A5C-2D3C2E09C7B9}"/>
    <cellStyle name="Migliaia 6 3 2 10 2" xfId="9792" xr:uid="{05E37EFA-95CD-4D67-90D2-E7121030FC73}"/>
    <cellStyle name="Migliaia 6 3 2 10 2 2" xfId="13451" xr:uid="{ADD6407E-D76C-4888-93BD-5627FAC474CA}"/>
    <cellStyle name="Migliaia 6 3 2 10 2 2 2" xfId="28628" xr:uid="{F03796AD-A6C6-4917-8037-01EAC354AEE3}"/>
    <cellStyle name="Migliaia 6 3 2 10 2 3" xfId="24970" xr:uid="{D585BE6F-B3CC-4B35-8F9F-D95CA3937065}"/>
    <cellStyle name="Migliaia 6 3 2 10 3" xfId="5618" xr:uid="{4DC67393-9B10-4EE8-BE11-3881009AF27C}"/>
    <cellStyle name="Migliaia 6 3 2 10 3 2" xfId="20798" xr:uid="{7FF780A9-D19B-4A28-992C-23AB2FC7206A}"/>
    <cellStyle name="Migliaia 6 3 2 10 4" xfId="17510" xr:uid="{F549C68A-2C8B-46D3-B8E0-FC40D362FB2F}"/>
    <cellStyle name="Migliaia 6 3 2 11" xfId="3187" xr:uid="{0413A68D-3B5D-40C2-80BF-1E06A1B7720C}"/>
    <cellStyle name="Migliaia 6 3 2 11 2" xfId="10676" xr:uid="{B93FCF6C-B18D-4F77-8BD0-62585FEBCCA1}"/>
    <cellStyle name="Migliaia 6 3 2 11 2 2" xfId="14222" xr:uid="{124FAA22-52A1-4E1E-898F-5DCFFC2C158C}"/>
    <cellStyle name="Migliaia 6 3 2 11 2 2 2" xfId="29399" xr:uid="{420B0BB8-D147-4A0C-A849-AB898ADCFB87}"/>
    <cellStyle name="Migliaia 6 3 2 11 2 3" xfId="25854" xr:uid="{62686EF4-8576-4185-923F-B146D062E42B}"/>
    <cellStyle name="Migliaia 6 3 2 11 3" xfId="6502" xr:uid="{A73E02D5-197C-4EA2-9625-9E55F1FA93A7}"/>
    <cellStyle name="Migliaia 6 3 2 11 3 2" xfId="21682" xr:uid="{76AAFB24-1C69-48F3-8F75-DE3224F26D8C}"/>
    <cellStyle name="Migliaia 6 3 2 11 4" xfId="18394" xr:uid="{75E993FD-ABFE-4649-AB4B-E520461C948A}"/>
    <cellStyle name="Migliaia 6 3 2 12" xfId="4824" xr:uid="{EDE21D35-C611-44E1-8DBE-2D2E25788F68}"/>
    <cellStyle name="Migliaia 6 3 2 12 2" xfId="12309" xr:uid="{E4475FAB-1EC4-4C45-AA72-288F5B5CB26C}"/>
    <cellStyle name="Migliaia 6 3 2 12 2 2" xfId="15855" xr:uid="{55CD09FC-E722-4AB9-98B3-A3CA45DE7F5A}"/>
    <cellStyle name="Migliaia 6 3 2 12 2 2 2" xfId="31032" xr:uid="{35C07DF6-98CC-4C0D-8258-0A9466A56D20}"/>
    <cellStyle name="Migliaia 6 3 2 12 2 3" xfId="27487" xr:uid="{BF15DA2A-6633-4239-AE1D-3DD00017EA51}"/>
    <cellStyle name="Migliaia 6 3 2 12 3" xfId="8135" xr:uid="{89D45509-FEB7-477B-9089-06A53327147B}"/>
    <cellStyle name="Migliaia 6 3 2 12 3 2" xfId="23315" xr:uid="{0B654271-A799-4912-AE62-B2929910F6E2}"/>
    <cellStyle name="Migliaia 6 3 2 12 4" xfId="20027" xr:uid="{711A03D0-0570-4D52-8802-00920D67A371}"/>
    <cellStyle name="Migliaia 6 3 2 13" xfId="8393" xr:uid="{33699AAC-63BE-4580-99E3-2F56D75F51F6}"/>
    <cellStyle name="Migliaia 6 3 2 13 2" xfId="12567" xr:uid="{BD74A903-58B5-4F94-8F67-DDAC6FC59268}"/>
    <cellStyle name="Migliaia 6 3 2 13 2 2" xfId="27744" xr:uid="{C216D00C-E1F7-43A9-9CA8-6B88E7149F8B}"/>
    <cellStyle name="Migliaia 6 3 2 13 3" xfId="23572" xr:uid="{1E801C54-3DDE-484C-9F06-328F77562D17}"/>
    <cellStyle name="Migliaia 6 3 2 14" xfId="16112" xr:uid="{779CF1D6-E17D-4076-9F48-F19E990CF180}"/>
    <cellStyle name="Migliaia 6 3 2 15" xfId="31454" xr:uid="{62DCFC02-9909-477A-AC41-A8CA61FA864D}"/>
    <cellStyle name="Migliaia 6 3 2 16" xfId="724" xr:uid="{A8C9F9B1-201A-4EB2-AD1A-92ED3CDD389C}"/>
    <cellStyle name="Migliaia 6 3 2 2" xfId="776" xr:uid="{0EA8C9A4-5E81-462C-BC46-81CD883D3F01}"/>
    <cellStyle name="Migliaia 6 3 2 2 10" xfId="8442" xr:uid="{C7794551-D281-4BAB-8DD3-9D4378CC19CC}"/>
    <cellStyle name="Migliaia 6 3 2 2 10 2" xfId="12616" xr:uid="{1DEE7FA4-B15A-4651-A504-18299204F8D9}"/>
    <cellStyle name="Migliaia 6 3 2 2 10 2 2" xfId="27793" xr:uid="{647A70EF-35FA-4725-A243-3744B05EF707}"/>
    <cellStyle name="Migliaia 6 3 2 2 10 3" xfId="23621" xr:uid="{22BC0844-9633-461A-9833-8FA53D1CCEAA}"/>
    <cellStyle name="Migliaia 6 3 2 2 11" xfId="16161" xr:uid="{4C3E6076-762D-44E2-9233-D48ECCA733EA}"/>
    <cellStyle name="Migliaia 6 3 2 2 12" xfId="31503" xr:uid="{E63B575A-5198-48B2-95BC-4FE4BEB14D24}"/>
    <cellStyle name="Migliaia 6 3 2 2 2" xfId="953" xr:uid="{CF763B88-8FD0-49D5-AB43-7BAA6E9EB74A}"/>
    <cellStyle name="Migliaia 6 3 2 2 2 10" xfId="16283" xr:uid="{3D2C86A3-27E5-4926-BD78-14219EF67700}"/>
    <cellStyle name="Migliaia 6 3 2 2 2 11" xfId="31373" xr:uid="{A4A63088-839D-4CF1-A49F-ACBF44F69067}"/>
    <cellStyle name="Migliaia 6 3 2 2 2 12" xfId="31723" xr:uid="{D3D5958F-9291-442F-918B-BDC3D9E0643C}"/>
    <cellStyle name="Migliaia 6 3 2 2 2 2" xfId="1314" xr:uid="{D46BA428-DF07-4079-9640-F574C8DA82B2}"/>
    <cellStyle name="Migliaia 6 3 2 2 2 2 2" xfId="3631" xr:uid="{FD77F702-E6ED-4267-84D1-5A1088ED1F51}"/>
    <cellStyle name="Migliaia 6 3 2 2 2 2 2 2" xfId="11119" xr:uid="{FFD49D58-A1C8-4431-A83F-91D2A7BF8D68}"/>
    <cellStyle name="Migliaia 6 3 2 2 2 2 2 2 2" xfId="14665" xr:uid="{E688F83D-9A59-4663-96FD-8C11063D1530}"/>
    <cellStyle name="Migliaia 6 3 2 2 2 2 2 2 2 2" xfId="29842" xr:uid="{845BA37B-2671-47AA-A588-17FDD1526226}"/>
    <cellStyle name="Migliaia 6 3 2 2 2 2 2 2 3" xfId="26297" xr:uid="{34456FC0-1B3D-4021-90AF-E4257433A54A}"/>
    <cellStyle name="Migliaia 6 3 2 2 2 2 2 3" xfId="6945" xr:uid="{B62314D2-C378-401B-B6DD-C3E30C4F6D35}"/>
    <cellStyle name="Migliaia 6 3 2 2 2 2 2 3 2" xfId="22125" xr:uid="{231D383F-19F8-44C8-A6F7-00A13FCDE79D}"/>
    <cellStyle name="Migliaia 6 3 2 2 2 2 2 4" xfId="18837" xr:uid="{4386E2EF-C3C0-42C8-83D0-C50313793666}"/>
    <cellStyle name="Migliaia 6 3 2 2 2 2 3" xfId="4825" xr:uid="{6A062738-8B47-45CD-A4AF-2054CD1DCA04}"/>
    <cellStyle name="Migliaia 6 3 2 2 2 2 3 2" xfId="12310" xr:uid="{D71511AC-2B1B-4499-9E69-2AD5140D736B}"/>
    <cellStyle name="Migliaia 6 3 2 2 2 2 3 2 2" xfId="15856" xr:uid="{96EC9287-4A8B-4166-A4B9-3819BAADA043}"/>
    <cellStyle name="Migliaia 6 3 2 2 2 2 3 2 2 2" xfId="31033" xr:uid="{2C0A8241-930D-469F-9D75-3F71CD7C007C}"/>
    <cellStyle name="Migliaia 6 3 2 2 2 2 3 2 3" xfId="27488" xr:uid="{C906BB03-464C-47A7-89DF-1B8F6C24B88F}"/>
    <cellStyle name="Migliaia 6 3 2 2 2 2 3 3" xfId="8136" xr:uid="{830B7BDB-C279-4863-9486-5799F7613516}"/>
    <cellStyle name="Migliaia 6 3 2 2 2 2 3 3 2" xfId="23316" xr:uid="{5BC4AA9A-2399-40F0-8849-FB43C03B5C50}"/>
    <cellStyle name="Migliaia 6 3 2 2 2 2 3 4" xfId="20028" xr:uid="{F75B936A-308D-44F1-A398-CBEA9F370529}"/>
    <cellStyle name="Migliaia 6 3 2 2 2 2 4" xfId="2744" xr:uid="{866B318F-CBFA-4A5F-AF09-C6CCC8D7E42B}"/>
    <cellStyle name="Migliaia 6 3 2 2 2 2 4 2" xfId="10235" xr:uid="{E8F8A825-E081-48EC-B96D-B5DFBC88ED4C}"/>
    <cellStyle name="Migliaia 6 3 2 2 2 2 4 2 2" xfId="25413" xr:uid="{8CB43608-5901-470B-A711-5001FA6025A2}"/>
    <cellStyle name="Migliaia 6 3 2 2 2 2 4 3" xfId="17953" xr:uid="{C8076D19-042F-4122-BCD3-061B4160C793}"/>
    <cellStyle name="Migliaia 6 3 2 2 2 2 5" xfId="8837" xr:uid="{8BDD35AC-5077-4E2E-AAFA-18C38BDB12EE}"/>
    <cellStyle name="Migliaia 6 3 2 2 2 2 5 2" xfId="13010" xr:uid="{FDC0EC98-E6C8-4AD0-8FFA-85E3AC188CD8}"/>
    <cellStyle name="Migliaia 6 3 2 2 2 2 5 2 2" xfId="28187" xr:uid="{D9208A83-E371-4C03-A7BD-E0BEFD900874}"/>
    <cellStyle name="Migliaia 6 3 2 2 2 2 5 3" xfId="24015" xr:uid="{E98EFCC9-9D04-4060-B9B2-8E46450FE95A}"/>
    <cellStyle name="Migliaia 6 3 2 2 2 2 6" xfId="6061" xr:uid="{F7E6A8F1-C383-4785-BA6E-D61CBC673776}"/>
    <cellStyle name="Migliaia 6 3 2 2 2 2 6 2" xfId="21241" xr:uid="{471E95CD-C91F-4A88-8D55-EBA3BC5EF707}"/>
    <cellStyle name="Migliaia 6 3 2 2 2 2 7" xfId="16555" xr:uid="{F6AA0564-E71A-4DB6-A976-9A6476908623}"/>
    <cellStyle name="Migliaia 6 3 2 2 2 3" xfId="2471" xr:uid="{957A823F-8E51-42E2-ACBC-098606E4D979}"/>
    <cellStyle name="Migliaia 6 3 2 2 2 3 2" xfId="9963" xr:uid="{E26A24C5-517D-4A13-9115-CF8A541D2652}"/>
    <cellStyle name="Migliaia 6 3 2 2 2 3 2 2" xfId="13622" xr:uid="{583140C1-A42C-48D3-89A1-A80BE6A2438D}"/>
    <cellStyle name="Migliaia 6 3 2 2 2 3 2 2 2" xfId="28799" xr:uid="{6BA13912-C3CE-430A-A652-B47F88FD4047}"/>
    <cellStyle name="Migliaia 6 3 2 2 2 3 2 3" xfId="25141" xr:uid="{BC2781FC-E376-4C1B-9E03-E789B5FDE56D}"/>
    <cellStyle name="Migliaia 6 3 2 2 2 3 3" xfId="5789" xr:uid="{02627212-0D76-48AD-B96D-B7CB088E1930}"/>
    <cellStyle name="Migliaia 6 3 2 2 2 3 3 2" xfId="20969" xr:uid="{4876E0B3-4F8B-43AE-BB6B-CE7662A936F1}"/>
    <cellStyle name="Migliaia 6 3 2 2 2 3 4" xfId="17681" xr:uid="{F3750F5B-083E-46BF-A04B-0F98D1B80A16}"/>
    <cellStyle name="Migliaia 6 3 2 2 2 4" xfId="3359" xr:uid="{052409FD-DBBB-4415-BC23-27F218300ED5}"/>
    <cellStyle name="Migliaia 6 3 2 2 2 4 2" xfId="10847" xr:uid="{75CA20B7-6394-47B8-AA8A-A32B4836E124}"/>
    <cellStyle name="Migliaia 6 3 2 2 2 4 2 2" xfId="14393" xr:uid="{B9A28EB3-8AF6-4078-A5A1-50FD9FC7950F}"/>
    <cellStyle name="Migliaia 6 3 2 2 2 4 2 2 2" xfId="29570" xr:uid="{5DABC28C-8667-4620-B8A3-47041225EB6D}"/>
    <cellStyle name="Migliaia 6 3 2 2 2 4 2 3" xfId="26025" xr:uid="{105C69E5-29FF-4E0D-9905-FE6F1DFD8C1B}"/>
    <cellStyle name="Migliaia 6 3 2 2 2 4 3" xfId="6673" xr:uid="{234C0D3F-A549-4CF6-A6D1-F91134593260}"/>
    <cellStyle name="Migliaia 6 3 2 2 2 4 3 2" xfId="21853" xr:uid="{EAD4C79D-0CE5-4534-815E-E9899DE52CEC}"/>
    <cellStyle name="Migliaia 6 3 2 2 2 4 4" xfId="18565" xr:uid="{8E801A21-F5C0-4F4A-8BB4-113B7DBCD220}"/>
    <cellStyle name="Migliaia 6 3 2 2 2 5" xfId="4826" xr:uid="{DD4E6CA9-C2B0-44F2-A00D-F790C7FE46E8}"/>
    <cellStyle name="Migliaia 6 3 2 2 2 5 2" xfId="12311" xr:uid="{B98B30F2-F644-442B-95F6-2DD72FD6322C}"/>
    <cellStyle name="Migliaia 6 3 2 2 2 5 2 2" xfId="15857" xr:uid="{7C5BAE92-DC4B-4BD5-AAE9-CC972B95C0E4}"/>
    <cellStyle name="Migliaia 6 3 2 2 2 5 2 2 2" xfId="31034" xr:uid="{219D20E4-DC87-457A-BF28-E000AF9D4FFD}"/>
    <cellStyle name="Migliaia 6 3 2 2 2 5 2 3" xfId="27489" xr:uid="{976D4440-2758-4F29-B8AD-8B5176A3887F}"/>
    <cellStyle name="Migliaia 6 3 2 2 2 5 3" xfId="8137" xr:uid="{42150938-9B9B-4EA0-BCDA-53438C44928D}"/>
    <cellStyle name="Migliaia 6 3 2 2 2 5 3 2" xfId="23317" xr:uid="{A1704829-DC3C-4E78-B956-2ECD29DA4B8F}"/>
    <cellStyle name="Migliaia 6 3 2 2 2 5 4" xfId="20029" xr:uid="{9DE32E13-3F11-4911-9FED-88F481380087}"/>
    <cellStyle name="Migliaia 6 3 2 2 2 6" xfId="5033" xr:uid="{F05A712B-B437-4219-BC61-0E0FF828AD29}"/>
    <cellStyle name="Migliaia 6 3 2 2 2 6 2" xfId="12517" xr:uid="{C7615DBA-85DA-46C8-945E-86A09A70B249}"/>
    <cellStyle name="Migliaia 6 3 2 2 2 6 2 2" xfId="16063" xr:uid="{8AB22179-A11D-4146-BD2B-59C30FE8AAED}"/>
    <cellStyle name="Migliaia 6 3 2 2 2 6 2 2 2" xfId="31240" xr:uid="{CA83C543-2D54-4666-9EC1-F798D1F71D8F}"/>
    <cellStyle name="Migliaia 6 3 2 2 2 6 2 3" xfId="27695" xr:uid="{B4E78E1C-98B4-4C7F-9437-D90B5257C021}"/>
    <cellStyle name="Migliaia 6 3 2 2 2 6 3" xfId="8343" xr:uid="{BD3F9A2E-35E8-405A-A12A-59326FC528A1}"/>
    <cellStyle name="Migliaia 6 3 2 2 2 6 3 2" xfId="23523" xr:uid="{19839D0E-A2B5-4081-90C7-B2F954B12A22}"/>
    <cellStyle name="Migliaia 6 3 2 2 2 6 4" xfId="20235" xr:uid="{9EBF9D60-18E2-4758-A198-91A93980184C}"/>
    <cellStyle name="Migliaia 6 3 2 2 2 7" xfId="1854" xr:uid="{7F8F95CD-E3D9-481A-86FA-7A2674068F51}"/>
    <cellStyle name="Migliaia 6 3 2 2 2 7 2" xfId="9351" xr:uid="{BAB9E593-FCE5-4F08-851B-34DD15E98381}"/>
    <cellStyle name="Migliaia 6 3 2 2 2 7 2 2" xfId="24529" xr:uid="{4CD113F5-B4F9-40B0-BD10-E4EC32EBFEF8}"/>
    <cellStyle name="Migliaia 6 3 2 2 2 7 3" xfId="17069" xr:uid="{A815BB0F-700A-4D0C-B960-CC88628244BF}"/>
    <cellStyle name="Migliaia 6 3 2 2 2 8" xfId="8565" xr:uid="{0C5144D2-1ECB-4219-974F-BD5E74126740}"/>
    <cellStyle name="Migliaia 6 3 2 2 2 8 2" xfId="12738" xr:uid="{071161F8-A043-4F76-88CA-A49249BD97DB}"/>
    <cellStyle name="Migliaia 6 3 2 2 2 8 2 2" xfId="27915" xr:uid="{17BED809-3D43-4F0A-A8B0-1B46A9E1EF4B}"/>
    <cellStyle name="Migliaia 6 3 2 2 2 8 3" xfId="23743" xr:uid="{87EA7D5F-6F30-4618-BBCD-84422D08F7E2}"/>
    <cellStyle name="Migliaia 6 3 2 2 2 9" xfId="5177" xr:uid="{CFF74110-A0A1-468E-A57C-687AED30C506}"/>
    <cellStyle name="Migliaia 6 3 2 2 2 9 2" xfId="20357" xr:uid="{FBF0B0A1-BB96-4624-9C83-CA5C6A7820E8}"/>
    <cellStyle name="Migliaia 6 3 2 2 3" xfId="1056" xr:uid="{8390D778-E45C-40C8-883C-E56422D4434E}"/>
    <cellStyle name="Migliaia 6 3 2 2 3 10" xfId="31601" xr:uid="{64E81DF8-0D70-463D-9540-70349E240A18}"/>
    <cellStyle name="Migliaia 6 3 2 2 3 2" xfId="1416" xr:uid="{68F65AD3-89EB-4648-BF65-55B9CE25E9F6}"/>
    <cellStyle name="Migliaia 6 3 2 2 3 2 2" xfId="3729" xr:uid="{2B3B47F2-A09C-45AA-9FDF-2D26ECE3DBCC}"/>
    <cellStyle name="Migliaia 6 3 2 2 3 2 2 2" xfId="11217" xr:uid="{BCDC983D-E2D6-412F-955B-3C05989CFBF5}"/>
    <cellStyle name="Migliaia 6 3 2 2 3 2 2 2 2" xfId="14763" xr:uid="{F4F55734-1863-4C7F-A3FC-E2000FEEC64B}"/>
    <cellStyle name="Migliaia 6 3 2 2 3 2 2 2 2 2" xfId="29940" xr:uid="{2CC49DC2-1972-4EC4-B413-918E33E7FA22}"/>
    <cellStyle name="Migliaia 6 3 2 2 3 2 2 2 3" xfId="26395" xr:uid="{9D702D59-0DD4-4781-ABA3-A343C613CBAE}"/>
    <cellStyle name="Migliaia 6 3 2 2 3 2 2 3" xfId="7043" xr:uid="{DAD48A75-6C2F-4752-B70E-B11E2D6E55E5}"/>
    <cellStyle name="Migliaia 6 3 2 2 3 2 2 3 2" xfId="22223" xr:uid="{3356C1C8-51A8-4913-8DA4-FA64C2DB28B0}"/>
    <cellStyle name="Migliaia 6 3 2 2 3 2 2 4" xfId="18935" xr:uid="{41D67C00-4426-4300-974E-5305F9B8EC09}"/>
    <cellStyle name="Migliaia 6 3 2 2 3 2 3" xfId="4827" xr:uid="{E87B900E-8CBF-44A1-92DB-E0136BCDBAE9}"/>
    <cellStyle name="Migliaia 6 3 2 2 3 2 3 2" xfId="12312" xr:uid="{1EC09A8A-A49B-4DA2-B44E-B65154E65C13}"/>
    <cellStyle name="Migliaia 6 3 2 2 3 2 3 2 2" xfId="15858" xr:uid="{CE7C7316-0D25-4BBB-9258-543456DB85D8}"/>
    <cellStyle name="Migliaia 6 3 2 2 3 2 3 2 2 2" xfId="31035" xr:uid="{540A5319-6654-4A48-84D5-D47FB733C059}"/>
    <cellStyle name="Migliaia 6 3 2 2 3 2 3 2 3" xfId="27490" xr:uid="{EE95FE2E-6281-4A64-8F25-65ED99E37FEF}"/>
    <cellStyle name="Migliaia 6 3 2 2 3 2 3 3" xfId="8138" xr:uid="{F50A8653-C596-4C50-BBED-E1C032EFF041}"/>
    <cellStyle name="Migliaia 6 3 2 2 3 2 3 3 2" xfId="23318" xr:uid="{C31EC545-1A9E-44BF-AC24-9B4BEFADA62D}"/>
    <cellStyle name="Migliaia 6 3 2 2 3 2 3 4" xfId="20030" xr:uid="{5A10CC8D-389B-411B-9B08-A3530AA2991D}"/>
    <cellStyle name="Migliaia 6 3 2 2 3 2 4" xfId="2842" xr:uid="{743CD747-32E3-4FB9-9FBF-B96CAB5F5FE2}"/>
    <cellStyle name="Migliaia 6 3 2 2 3 2 4 2" xfId="10333" xr:uid="{3395587F-725F-438A-A40F-13B7C059A3C5}"/>
    <cellStyle name="Migliaia 6 3 2 2 3 2 4 2 2" xfId="25511" xr:uid="{8BF44846-2EC6-4427-86FD-CBE9892E034D}"/>
    <cellStyle name="Migliaia 6 3 2 2 3 2 4 3" xfId="18051" xr:uid="{47F0DA61-11A2-46ED-AD08-E467A6BFAFE6}"/>
    <cellStyle name="Migliaia 6 3 2 2 3 2 5" xfId="8935" xr:uid="{FBE8DB70-5A2A-4D2C-A2B2-CEC43B67B83D}"/>
    <cellStyle name="Migliaia 6 3 2 2 3 2 5 2" xfId="13108" xr:uid="{87B3D963-8957-4725-A035-985CD4E6831D}"/>
    <cellStyle name="Migliaia 6 3 2 2 3 2 5 2 2" xfId="28285" xr:uid="{C850719B-800E-4EE4-B9EF-4F31224A171C}"/>
    <cellStyle name="Migliaia 6 3 2 2 3 2 5 3" xfId="24113" xr:uid="{050C7075-12B8-4C8D-8FEB-152C8A3F771A}"/>
    <cellStyle name="Migliaia 6 3 2 2 3 2 6" xfId="6159" xr:uid="{EAEF9E96-5EBA-4DB4-8A2D-44A580221230}"/>
    <cellStyle name="Migliaia 6 3 2 2 3 2 6 2" xfId="21339" xr:uid="{6B589430-EDD3-4BA6-96C2-88E2290200F0}"/>
    <cellStyle name="Migliaia 6 3 2 2 3 2 7" xfId="16653" xr:uid="{C4DB7E85-CC34-4912-86CD-C0C47B4B6867}"/>
    <cellStyle name="Migliaia 6 3 2 2 3 3" xfId="2569" xr:uid="{8968E67E-91B2-4F05-B010-3B4A620C6D12}"/>
    <cellStyle name="Migliaia 6 3 2 2 3 3 2" xfId="10061" xr:uid="{B4DB2B55-5898-4584-9B12-C3901770763A}"/>
    <cellStyle name="Migliaia 6 3 2 2 3 3 2 2" xfId="13720" xr:uid="{1CADF04B-B519-45F8-B688-B089FE0B47EB}"/>
    <cellStyle name="Migliaia 6 3 2 2 3 3 2 2 2" xfId="28897" xr:uid="{45AACA76-2704-489C-B47D-FAE4E84AE156}"/>
    <cellStyle name="Migliaia 6 3 2 2 3 3 2 3" xfId="25239" xr:uid="{D52C9A7A-3997-4EC1-880E-272EDB28135C}"/>
    <cellStyle name="Migliaia 6 3 2 2 3 3 3" xfId="5887" xr:uid="{34B07F28-E0AB-489C-B9ED-E3820B4735A6}"/>
    <cellStyle name="Migliaia 6 3 2 2 3 3 3 2" xfId="21067" xr:uid="{52199855-4B56-4093-A407-A31F8D8E8896}"/>
    <cellStyle name="Migliaia 6 3 2 2 3 3 4" xfId="17779" xr:uid="{18DB4D5A-C0A0-4CCC-B74C-1AFCFD3E50AC}"/>
    <cellStyle name="Migliaia 6 3 2 2 3 4" xfId="3457" xr:uid="{F6BEAC39-EFEB-4876-90E4-7FC05A1DD7FA}"/>
    <cellStyle name="Migliaia 6 3 2 2 3 4 2" xfId="10945" xr:uid="{FD1D9010-FED2-4E44-8E91-1B67AABECF74}"/>
    <cellStyle name="Migliaia 6 3 2 2 3 4 2 2" xfId="14491" xr:uid="{7D2C400B-5AA1-41D0-A41C-7372ABC15720}"/>
    <cellStyle name="Migliaia 6 3 2 2 3 4 2 2 2" xfId="29668" xr:uid="{DDAF1C5E-EB1F-4C47-ADA5-475A1AAB2613}"/>
    <cellStyle name="Migliaia 6 3 2 2 3 4 2 3" xfId="26123" xr:uid="{7C21B998-506F-4857-A83B-A35EB0E89A39}"/>
    <cellStyle name="Migliaia 6 3 2 2 3 4 3" xfId="6771" xr:uid="{21575577-DD03-4E31-B74F-AEC6CE721938}"/>
    <cellStyle name="Migliaia 6 3 2 2 3 4 3 2" xfId="21951" xr:uid="{DB25EA98-A0C4-452A-9A82-EB655314C4FA}"/>
    <cellStyle name="Migliaia 6 3 2 2 3 4 4" xfId="18663" xr:uid="{BB2D73A9-052E-4D5A-A30E-11047D1530B5}"/>
    <cellStyle name="Migliaia 6 3 2 2 3 5" xfId="4828" xr:uid="{F42D7A19-F1B1-440E-99CA-E54CACA60882}"/>
    <cellStyle name="Migliaia 6 3 2 2 3 5 2" xfId="12313" xr:uid="{0A63FBB1-CF06-4A35-8245-96026E7AD4AB}"/>
    <cellStyle name="Migliaia 6 3 2 2 3 5 2 2" xfId="15859" xr:uid="{176ED441-0A94-4B39-95CC-1F9E8581048D}"/>
    <cellStyle name="Migliaia 6 3 2 2 3 5 2 2 2" xfId="31036" xr:uid="{48FB5462-41D3-4C84-911E-CE132D80760F}"/>
    <cellStyle name="Migliaia 6 3 2 2 3 5 2 3" xfId="27491" xr:uid="{9697278D-7FA5-4668-8628-3D46FBBC266D}"/>
    <cellStyle name="Migliaia 6 3 2 2 3 5 3" xfId="8139" xr:uid="{C2A03F67-E23D-4AA9-89E7-E943E8C75E9E}"/>
    <cellStyle name="Migliaia 6 3 2 2 3 5 3 2" xfId="23319" xr:uid="{5782B380-E47A-45E1-A4A4-C0C73E23EF56}"/>
    <cellStyle name="Migliaia 6 3 2 2 3 5 4" xfId="20031" xr:uid="{AB1E9018-EB59-4A65-8EB6-FBD6A917F710}"/>
    <cellStyle name="Migliaia 6 3 2 2 3 6" xfId="1952" xr:uid="{EA78CB79-1744-4964-BFB3-BD00A1DB2008}"/>
    <cellStyle name="Migliaia 6 3 2 2 3 6 2" xfId="9449" xr:uid="{7CD269C5-3C02-4E3D-8109-D8CC335DED49}"/>
    <cellStyle name="Migliaia 6 3 2 2 3 6 2 2" xfId="24627" xr:uid="{430DB1FC-CFF8-4261-B4BF-698D8BB8AD3B}"/>
    <cellStyle name="Migliaia 6 3 2 2 3 6 3" xfId="17167" xr:uid="{22B40835-01DC-4293-8DF2-510D6BD40D4A}"/>
    <cellStyle name="Migliaia 6 3 2 2 3 7" xfId="8663" xr:uid="{848F3413-9F98-4074-81E0-EE0B9B2C04A2}"/>
    <cellStyle name="Migliaia 6 3 2 2 3 7 2" xfId="12836" xr:uid="{EC7D5384-2A86-449A-BF07-0A06A066A9DA}"/>
    <cellStyle name="Migliaia 6 3 2 2 3 7 2 2" xfId="28013" xr:uid="{296220D8-B12A-48B5-B899-286A33759F6A}"/>
    <cellStyle name="Migliaia 6 3 2 2 3 7 3" xfId="23841" xr:uid="{0170F857-53FE-4AD5-9F92-2ED2F44B9354}"/>
    <cellStyle name="Migliaia 6 3 2 2 3 8" xfId="5275" xr:uid="{697294E5-196E-4179-9755-A87170E76083}"/>
    <cellStyle name="Migliaia 6 3 2 2 3 8 2" xfId="20455" xr:uid="{127FDD40-D516-40CE-9D2F-3CDC909232D0}"/>
    <cellStyle name="Migliaia 6 3 2 2 3 9" xfId="16381" xr:uid="{0DACA2E0-6E9C-4DEC-983E-665B81E8B616}"/>
    <cellStyle name="Migliaia 6 3 2 2 4" xfId="1515" xr:uid="{35DCF96D-9D1C-4D1A-B5C3-DB28976713A3}"/>
    <cellStyle name="Migliaia 6 3 2 2 4 2" xfId="2940" xr:uid="{4A30E543-6624-429A-B458-29EA0CF7A664}"/>
    <cellStyle name="Migliaia 6 3 2 2 4 2 2" xfId="10431" xr:uid="{63652D03-C355-46A0-9FC4-B398EFC41531}"/>
    <cellStyle name="Migliaia 6 3 2 2 4 2 2 2" xfId="13977" xr:uid="{AE7730B0-3B35-48B4-A07C-02A4FA8B6FE6}"/>
    <cellStyle name="Migliaia 6 3 2 2 4 2 2 2 2" xfId="29154" xr:uid="{16EF1A93-9B67-4A30-85DD-BBA7733E315B}"/>
    <cellStyle name="Migliaia 6 3 2 2 4 2 2 3" xfId="25609" xr:uid="{AF634E9C-DAA2-4DBF-A1F0-535D9BB934D1}"/>
    <cellStyle name="Migliaia 6 3 2 2 4 2 3" xfId="6257" xr:uid="{1EAD2D95-00CA-4BE9-BA46-38BB964E6A48}"/>
    <cellStyle name="Migliaia 6 3 2 2 4 2 3 2" xfId="21437" xr:uid="{C2DABA42-C61A-4834-9DA4-77DF03AAD8D6}"/>
    <cellStyle name="Migliaia 6 3 2 2 4 2 4" xfId="18149" xr:uid="{D7E1FDB7-093F-41F3-9A87-8D22D3193276}"/>
    <cellStyle name="Migliaia 6 3 2 2 4 3" xfId="3827" xr:uid="{DA29AB87-030E-449D-BA76-7267323E2D93}"/>
    <cellStyle name="Migliaia 6 3 2 2 4 3 2" xfId="11315" xr:uid="{12961F68-AFE5-4BDF-B4C8-079F497D00C2}"/>
    <cellStyle name="Migliaia 6 3 2 2 4 3 2 2" xfId="14861" xr:uid="{B078D9BB-F280-477E-B929-7BC8388F0769}"/>
    <cellStyle name="Migliaia 6 3 2 2 4 3 2 2 2" xfId="30038" xr:uid="{67A263C3-698C-4CE6-88F2-25AE112EAC1F}"/>
    <cellStyle name="Migliaia 6 3 2 2 4 3 2 3" xfId="26493" xr:uid="{6492BCDE-22F8-4057-B960-AB75248B451A}"/>
    <cellStyle name="Migliaia 6 3 2 2 4 3 3" xfId="7141" xr:uid="{0AD576B1-2D88-4C13-8B84-3BC88AB8D19C}"/>
    <cellStyle name="Migliaia 6 3 2 2 4 3 3 2" xfId="22321" xr:uid="{8300EBBE-A7E5-46B2-A357-A09E058046EC}"/>
    <cellStyle name="Migliaia 6 3 2 2 4 3 4" xfId="19033" xr:uid="{157B7FA1-D9A0-4391-BAA4-BD993F09E522}"/>
    <cellStyle name="Migliaia 6 3 2 2 4 4" xfId="4829" xr:uid="{FE536737-1823-4AAF-B1C6-A548D95D4C67}"/>
    <cellStyle name="Migliaia 6 3 2 2 4 4 2" xfId="12314" xr:uid="{C8F4F218-9A6A-4C47-B534-6AC9320F066C}"/>
    <cellStyle name="Migliaia 6 3 2 2 4 4 2 2" xfId="15860" xr:uid="{70D24E41-92A1-44B7-8678-B94127668627}"/>
    <cellStyle name="Migliaia 6 3 2 2 4 4 2 2 2" xfId="31037" xr:uid="{D18CFC13-0C04-4D01-8881-8D2EAA33411C}"/>
    <cellStyle name="Migliaia 6 3 2 2 4 4 2 3" xfId="27492" xr:uid="{0B0AC37A-65E9-45B3-BF5E-4C027A0623B4}"/>
    <cellStyle name="Migliaia 6 3 2 2 4 4 3" xfId="8140" xr:uid="{331A0C33-352D-429A-A5D1-1784F355C361}"/>
    <cellStyle name="Migliaia 6 3 2 2 4 4 3 2" xfId="23320" xr:uid="{E8C483A7-EBBA-41E6-A02C-E5EC5C9F148F}"/>
    <cellStyle name="Migliaia 6 3 2 2 4 4 4" xfId="20032" xr:uid="{4E36393A-A23C-4F6B-BF2D-FE7FC38F247B}"/>
    <cellStyle name="Migliaia 6 3 2 2 4 5" xfId="2050" xr:uid="{63398038-4FB4-4112-904C-EB7A00B014E5}"/>
    <cellStyle name="Migliaia 6 3 2 2 4 5 2" xfId="9547" xr:uid="{49A9C0EB-BB3E-4334-BB6D-313324C644DF}"/>
    <cellStyle name="Migliaia 6 3 2 2 4 5 2 2" xfId="24725" xr:uid="{945267CA-B911-4037-AC63-314C5FBC8F7A}"/>
    <cellStyle name="Migliaia 6 3 2 2 4 5 3" xfId="17265" xr:uid="{543F5F39-0178-4F23-9511-CD8CEE1B1CC2}"/>
    <cellStyle name="Migliaia 6 3 2 2 4 6" xfId="9033" xr:uid="{BF6F2821-293F-465E-9502-B0272A78160A}"/>
    <cellStyle name="Migliaia 6 3 2 2 4 6 2" xfId="13206" xr:uid="{F30C2E4C-31AE-415F-8C6B-97334FA9DD07}"/>
    <cellStyle name="Migliaia 6 3 2 2 4 6 2 2" xfId="28383" xr:uid="{9D21ED38-67C7-4698-A82A-AE3A8C071355}"/>
    <cellStyle name="Migliaia 6 3 2 2 4 6 3" xfId="24211" xr:uid="{FECD8DE5-7DEF-40B8-A466-E4C9F30696BB}"/>
    <cellStyle name="Migliaia 6 3 2 2 4 7" xfId="5373" xr:uid="{1C6613A2-9677-4A70-A598-1D25605CCE39}"/>
    <cellStyle name="Migliaia 6 3 2 2 4 7 2" xfId="20553" xr:uid="{EE5BF40D-21C2-4F0E-9F1B-FB424B7DFBB0}"/>
    <cellStyle name="Migliaia 6 3 2 2 4 8" xfId="16751" xr:uid="{498FC5AC-7B61-46D3-BE0C-889D3824FF37}"/>
    <cellStyle name="Migliaia 6 3 2 2 5" xfId="1618" xr:uid="{E74D6704-33C6-43E3-A123-1F89DBAEC206}"/>
    <cellStyle name="Migliaia 6 3 2 2 5 2" xfId="3038" xr:uid="{D2CFA4A8-55FC-481A-A9A1-1C5717F9EE56}"/>
    <cellStyle name="Migliaia 6 3 2 2 5 2 2" xfId="10529" xr:uid="{46DBBEE0-7AC9-4A5F-A48D-6076C096509B}"/>
    <cellStyle name="Migliaia 6 3 2 2 5 2 2 2" xfId="14075" xr:uid="{34B54D68-D3F2-4925-ADCD-C7C17475D838}"/>
    <cellStyle name="Migliaia 6 3 2 2 5 2 2 2 2" xfId="29252" xr:uid="{38FD8ACA-F403-4600-9684-46A2A0013496}"/>
    <cellStyle name="Migliaia 6 3 2 2 5 2 2 3" xfId="25707" xr:uid="{FB1043F6-F2E6-4B12-93C3-957D1AA92B43}"/>
    <cellStyle name="Migliaia 6 3 2 2 5 2 3" xfId="6355" xr:uid="{93497115-6152-4730-9528-6CC80340F118}"/>
    <cellStyle name="Migliaia 6 3 2 2 5 2 3 2" xfId="21535" xr:uid="{00540956-40BE-4134-AF1D-AABFB2B97ABF}"/>
    <cellStyle name="Migliaia 6 3 2 2 5 2 4" xfId="18247" xr:uid="{B750F1BA-B699-4153-B590-43FCBE783D54}"/>
    <cellStyle name="Migliaia 6 3 2 2 5 3" xfId="3925" xr:uid="{DC0270C1-FF87-4A08-B88B-096D42CFEEE8}"/>
    <cellStyle name="Migliaia 6 3 2 2 5 3 2" xfId="11413" xr:uid="{54C4B315-5DF6-4B53-BDC8-F3D366FAD707}"/>
    <cellStyle name="Migliaia 6 3 2 2 5 3 2 2" xfId="14959" xr:uid="{4BB87341-9A68-407E-BB76-B9006BF0B72C}"/>
    <cellStyle name="Migliaia 6 3 2 2 5 3 2 2 2" xfId="30136" xr:uid="{D5453071-DC4B-4E2D-A691-6581F0F9052F}"/>
    <cellStyle name="Migliaia 6 3 2 2 5 3 2 3" xfId="26591" xr:uid="{B705771B-692C-4A63-B8D1-85DECF2BAEE1}"/>
    <cellStyle name="Migliaia 6 3 2 2 5 3 3" xfId="7239" xr:uid="{D12FC9CF-D6BA-4F60-8027-051BD4BF3873}"/>
    <cellStyle name="Migliaia 6 3 2 2 5 3 3 2" xfId="22419" xr:uid="{6B899172-7967-4285-AEF2-00A12AF57998}"/>
    <cellStyle name="Migliaia 6 3 2 2 5 3 4" xfId="19131" xr:uid="{E4122D39-B3CB-4B5B-A649-1128198E8C17}"/>
    <cellStyle name="Migliaia 6 3 2 2 5 4" xfId="4830" xr:uid="{D1EF3601-5E99-40F9-B352-14F24830A3B1}"/>
    <cellStyle name="Migliaia 6 3 2 2 5 4 2" xfId="12315" xr:uid="{EC9A84E4-1E52-4CE6-B45D-574445E16932}"/>
    <cellStyle name="Migliaia 6 3 2 2 5 4 2 2" xfId="15861" xr:uid="{51846968-C883-4EFD-A5D8-E0FE7358498E}"/>
    <cellStyle name="Migliaia 6 3 2 2 5 4 2 2 2" xfId="31038" xr:uid="{9C98B478-2DB9-44B0-B171-41D689E17B25}"/>
    <cellStyle name="Migliaia 6 3 2 2 5 4 2 3" xfId="27493" xr:uid="{F62FD100-6C50-46BB-8535-13E5BB177D57}"/>
    <cellStyle name="Migliaia 6 3 2 2 5 4 3" xfId="8141" xr:uid="{48414B52-63BE-459B-848D-C5686435867E}"/>
    <cellStyle name="Migliaia 6 3 2 2 5 4 3 2" xfId="23321" xr:uid="{5445841A-2BF3-4353-BCD3-17B81511F0DB}"/>
    <cellStyle name="Migliaia 6 3 2 2 5 4 4" xfId="20033" xr:uid="{DB43294A-61E6-4ACC-9E32-4070A1361E8C}"/>
    <cellStyle name="Migliaia 6 3 2 2 5 5" xfId="2148" xr:uid="{83983B29-0B2A-4FDA-BBCB-793A8231B55A}"/>
    <cellStyle name="Migliaia 6 3 2 2 5 5 2" xfId="9645" xr:uid="{00A7C4BD-5F5A-4826-B39F-E7CD74A89480}"/>
    <cellStyle name="Migliaia 6 3 2 2 5 5 2 2" xfId="24823" xr:uid="{60125CD9-2ADE-4BDE-B3B6-7F7A524842FE}"/>
    <cellStyle name="Migliaia 6 3 2 2 5 5 3" xfId="17363" xr:uid="{E70483A3-C526-4EC1-97F4-EE9C042F08BC}"/>
    <cellStyle name="Migliaia 6 3 2 2 5 6" xfId="9131" xr:uid="{8685EAEA-17BD-4417-8833-4DE8B307F1F9}"/>
    <cellStyle name="Migliaia 6 3 2 2 5 6 2" xfId="13304" xr:uid="{D2F3055F-B748-4C98-9CAB-8C38DCFEC012}"/>
    <cellStyle name="Migliaia 6 3 2 2 5 6 2 2" xfId="28481" xr:uid="{9B841FFB-B9A4-4F35-BAEB-91CF3F0A4E9E}"/>
    <cellStyle name="Migliaia 6 3 2 2 5 6 3" xfId="24309" xr:uid="{39628CE7-7190-408B-B7B0-A933A2A30399}"/>
    <cellStyle name="Migliaia 6 3 2 2 5 7" xfId="5471" xr:uid="{68FD99F0-231B-4F0F-AC35-9CEA5B66BDCE}"/>
    <cellStyle name="Migliaia 6 3 2 2 5 7 2" xfId="20651" xr:uid="{3BA10C64-1AFB-4FC0-BD12-DB5BFF667D13}"/>
    <cellStyle name="Migliaia 6 3 2 2 5 8" xfId="16849" xr:uid="{7F09364F-A239-4CDB-83BA-6AEF37E33EDC}"/>
    <cellStyle name="Migliaia 6 3 2 2 6" xfId="1717" xr:uid="{1CE8A54C-2E06-4B69-B390-7C333278FAFC}"/>
    <cellStyle name="Migliaia 6 3 2 2 6 2" xfId="3136" xr:uid="{EF299F42-A85C-4B5C-AFCD-E61D644468C8}"/>
    <cellStyle name="Migliaia 6 3 2 2 6 2 2" xfId="10627" xr:uid="{906A669F-D420-4ACA-B145-6FDE7A853A2A}"/>
    <cellStyle name="Migliaia 6 3 2 2 6 2 2 2" xfId="14173" xr:uid="{42831C79-0205-4BE5-A3CF-F93B06B08579}"/>
    <cellStyle name="Migliaia 6 3 2 2 6 2 2 2 2" xfId="29350" xr:uid="{8BDCC41F-EAF3-4098-876B-844810010AE8}"/>
    <cellStyle name="Migliaia 6 3 2 2 6 2 2 3" xfId="25805" xr:uid="{CEBADF96-F00A-49D3-A937-5660D2E960F1}"/>
    <cellStyle name="Migliaia 6 3 2 2 6 2 3" xfId="6453" xr:uid="{4F7A8365-6665-44D5-8183-90990568AF6F}"/>
    <cellStyle name="Migliaia 6 3 2 2 6 2 3 2" xfId="21633" xr:uid="{CF19AD26-07BE-401E-BBEF-66F0C752002F}"/>
    <cellStyle name="Migliaia 6 3 2 2 6 2 4" xfId="18345" xr:uid="{56DAF985-C8B4-40ED-B581-22CEE72FFDF3}"/>
    <cellStyle name="Migliaia 6 3 2 2 6 3" xfId="4023" xr:uid="{6833F4E4-0433-4A39-A2B0-8BC1E7FE857A}"/>
    <cellStyle name="Migliaia 6 3 2 2 6 3 2" xfId="11511" xr:uid="{77CC6EA5-FBCF-4469-AE4E-88775F1AD8F4}"/>
    <cellStyle name="Migliaia 6 3 2 2 6 3 2 2" xfId="15057" xr:uid="{5143D2A0-6E94-4E0C-BF1D-93A2FEDD3E7A}"/>
    <cellStyle name="Migliaia 6 3 2 2 6 3 2 2 2" xfId="30234" xr:uid="{BBD619BA-DEBE-4B73-9EA9-A4003442E41D}"/>
    <cellStyle name="Migliaia 6 3 2 2 6 3 2 3" xfId="26689" xr:uid="{FCDA2F47-C03A-4C6A-8106-1A184C711DE4}"/>
    <cellStyle name="Migliaia 6 3 2 2 6 3 3" xfId="7337" xr:uid="{AE8BCD07-9A0B-41C4-A468-F35D739BDFCB}"/>
    <cellStyle name="Migliaia 6 3 2 2 6 3 3 2" xfId="22517" xr:uid="{1F73DDA0-CDCD-48CC-BF74-932A7EEE48B5}"/>
    <cellStyle name="Migliaia 6 3 2 2 6 3 4" xfId="19229" xr:uid="{E052643F-0238-4283-B37A-B119FFD8F1F0}"/>
    <cellStyle name="Migliaia 6 3 2 2 6 4" xfId="4831" xr:uid="{4B6C4CA2-3154-4BFB-BD01-4D320E23A204}"/>
    <cellStyle name="Migliaia 6 3 2 2 6 4 2" xfId="12316" xr:uid="{2332262B-0449-4EA6-B9B4-52765B7CCAFE}"/>
    <cellStyle name="Migliaia 6 3 2 2 6 4 2 2" xfId="15862" xr:uid="{1D621CE2-DF06-47C5-BD50-7F602E260A71}"/>
    <cellStyle name="Migliaia 6 3 2 2 6 4 2 2 2" xfId="31039" xr:uid="{E4AC8DCA-08F8-4C19-8714-5775FAFC6CA9}"/>
    <cellStyle name="Migliaia 6 3 2 2 6 4 2 3" xfId="27494" xr:uid="{3A5CC69C-9BCC-4D59-B36E-AC05989D704E}"/>
    <cellStyle name="Migliaia 6 3 2 2 6 4 3" xfId="8142" xr:uid="{61FA6611-C32D-4E12-87D6-FCAD3E4CF78A}"/>
    <cellStyle name="Migliaia 6 3 2 2 6 4 3 2" xfId="23322" xr:uid="{23420458-EC9B-41F0-A24C-9EC929A9B5A2}"/>
    <cellStyle name="Migliaia 6 3 2 2 6 4 4" xfId="20034" xr:uid="{2BEE01CE-D599-4F96-81F3-513B3C289605}"/>
    <cellStyle name="Migliaia 6 3 2 2 6 5" xfId="2246" xr:uid="{5D80FFB9-CA15-42BE-808E-FC50E5B0D185}"/>
    <cellStyle name="Migliaia 6 3 2 2 6 5 2" xfId="9743" xr:uid="{D3FC1DEE-0B1E-46BA-B367-50AA7ED819B3}"/>
    <cellStyle name="Migliaia 6 3 2 2 6 5 2 2" xfId="24921" xr:uid="{EE8A02C0-F080-4168-BA74-71D98DCA67A4}"/>
    <cellStyle name="Migliaia 6 3 2 2 6 5 3" xfId="17461" xr:uid="{06749A3C-DBC3-445A-AF08-682484511AD4}"/>
    <cellStyle name="Migliaia 6 3 2 2 6 6" xfId="9229" xr:uid="{26E17A24-16FE-4174-9F47-DF40ACB713BE}"/>
    <cellStyle name="Migliaia 6 3 2 2 6 6 2" xfId="13402" xr:uid="{6523F986-D254-4AEB-A331-81AB5017DDD8}"/>
    <cellStyle name="Migliaia 6 3 2 2 6 6 2 2" xfId="28579" xr:uid="{A040BC20-BCCA-4747-B4CE-96608A64AB64}"/>
    <cellStyle name="Migliaia 6 3 2 2 6 6 3" xfId="24407" xr:uid="{F41BB2D6-37D7-48C3-860F-AD35ACFAED60}"/>
    <cellStyle name="Migliaia 6 3 2 2 6 7" xfId="5569" xr:uid="{3DB5E084-F7D7-46A5-8190-23DD86AF7417}"/>
    <cellStyle name="Migliaia 6 3 2 2 6 7 2" xfId="20749" xr:uid="{73E4487B-BED6-4BAC-9DCA-E1EC85BE9361}"/>
    <cellStyle name="Migliaia 6 3 2 2 6 8" xfId="16947" xr:uid="{66F16490-A976-4E62-AFEC-69DE1A454588}"/>
    <cellStyle name="Migliaia 6 3 2 2 7" xfId="2346" xr:uid="{58FB5DAF-80CB-4A68-9CD2-5FF3A506C509}"/>
    <cellStyle name="Migliaia 6 3 2 2 7 2" xfId="9841" xr:uid="{069D1202-C452-49A5-A30E-050949F3BA55}"/>
    <cellStyle name="Migliaia 6 3 2 2 7 2 2" xfId="13500" xr:uid="{824941F9-5F87-4582-905C-325C1DF4E81E}"/>
    <cellStyle name="Migliaia 6 3 2 2 7 2 2 2" xfId="28677" xr:uid="{1105D2B5-C392-4279-A809-62E9E6555BCE}"/>
    <cellStyle name="Migliaia 6 3 2 2 7 2 3" xfId="25019" xr:uid="{F76D58A3-079F-4C1A-9D26-81093974119D}"/>
    <cellStyle name="Migliaia 6 3 2 2 7 3" xfId="5667" xr:uid="{940F3F1E-EC54-45E6-80E9-1355B3016AD3}"/>
    <cellStyle name="Migliaia 6 3 2 2 7 3 2" xfId="20847" xr:uid="{3D736C2A-116F-4113-8156-F8E6378E0B99}"/>
    <cellStyle name="Migliaia 6 3 2 2 7 4" xfId="17559" xr:uid="{655BCC80-62A5-4ACC-8276-C56D3752F52C}"/>
    <cellStyle name="Migliaia 6 3 2 2 8" xfId="3236" xr:uid="{8C268E70-1C5A-4487-AAE1-8BFEED41FB61}"/>
    <cellStyle name="Migliaia 6 3 2 2 8 2" xfId="10725" xr:uid="{0C978F77-BB30-4BB0-B62D-2631268CFCF0}"/>
    <cellStyle name="Migliaia 6 3 2 2 8 2 2" xfId="14271" xr:uid="{34277AE2-C8F4-4A2F-998D-2A8264C2FF85}"/>
    <cellStyle name="Migliaia 6 3 2 2 8 2 2 2" xfId="29448" xr:uid="{3CF8B966-4C44-4C87-89B1-F88EA7F8B89C}"/>
    <cellStyle name="Migliaia 6 3 2 2 8 2 3" xfId="25903" xr:uid="{2D379AFF-3BC3-4C7B-9AAF-DF196065364B}"/>
    <cellStyle name="Migliaia 6 3 2 2 8 3" xfId="6551" xr:uid="{9F2D2D29-EEAE-4808-8FBE-835E0D0BAA64}"/>
    <cellStyle name="Migliaia 6 3 2 2 8 3 2" xfId="21731" xr:uid="{58FABB07-B1E6-48C7-894F-2C3974B0459D}"/>
    <cellStyle name="Migliaia 6 3 2 2 8 4" xfId="18443" xr:uid="{9AEBCEEE-FECB-4985-BEDE-8F69EA111150}"/>
    <cellStyle name="Migliaia 6 3 2 2 9" xfId="4832" xr:uid="{BD0A6642-AF41-4CCE-8AD6-941FD2BAEBA8}"/>
    <cellStyle name="Migliaia 6 3 2 2 9 2" xfId="12317" xr:uid="{BD0B844F-06F1-4093-8172-E5FE5A9E083B}"/>
    <cellStyle name="Migliaia 6 3 2 2 9 2 2" xfId="15863" xr:uid="{C67A2444-90E0-41BD-8214-91A50D319AE8}"/>
    <cellStyle name="Migliaia 6 3 2 2 9 2 2 2" xfId="31040" xr:uid="{E937BC6F-F42F-4236-8258-6C6D91B1D1D4}"/>
    <cellStyle name="Migliaia 6 3 2 2 9 2 3" xfId="27495" xr:uid="{353308E0-5FFC-4706-B4E1-B23CDD9813A4}"/>
    <cellStyle name="Migliaia 6 3 2 2 9 3" xfId="8143" xr:uid="{E26BC4AD-5F0B-4B30-9750-DB0D135687D1}"/>
    <cellStyle name="Migliaia 6 3 2 2 9 3 2" xfId="23323" xr:uid="{51E61B2D-48CB-4E0A-B742-460875908DA1}"/>
    <cellStyle name="Migliaia 6 3 2 2 9 4" xfId="20035" xr:uid="{73346F0C-91D9-4CA4-BDFF-38FEA80624AD}"/>
    <cellStyle name="Migliaia 6 3 2 3" xfId="904" xr:uid="{7D577F39-B5AD-4DA2-A593-C07C5B3FB16B}"/>
    <cellStyle name="Migliaia 6 3 2 3 2" xfId="2422" xr:uid="{D1A72FA1-BA61-4466-B697-8E0DB0F018CE}"/>
    <cellStyle name="Migliaia 6 3 2 3 2 2" xfId="9914" xr:uid="{82563E20-7912-4311-AF76-DD2EA3518FBE}"/>
    <cellStyle name="Migliaia 6 3 2 3 2 2 2" xfId="13573" xr:uid="{931822BB-AF39-4902-B90F-1B8080A250EE}"/>
    <cellStyle name="Migliaia 6 3 2 3 2 2 2 2" xfId="28750" xr:uid="{FD52EC55-706B-4B7D-A1C7-36EEE4802E12}"/>
    <cellStyle name="Migliaia 6 3 2 3 2 2 3" xfId="25092" xr:uid="{C3DB9C1C-0F80-41B7-8296-9612E3B34019}"/>
    <cellStyle name="Migliaia 6 3 2 3 2 3" xfId="5740" xr:uid="{ECB98113-3681-4DEB-8F81-F15F548FE810}"/>
    <cellStyle name="Migliaia 6 3 2 3 2 3 2" xfId="20920" xr:uid="{686847F9-B1A6-46E6-9CDE-64563D515CCB}"/>
    <cellStyle name="Migliaia 6 3 2 3 2 4" xfId="17632" xr:uid="{B2DF497E-352C-41DB-8A03-52D03E2B3509}"/>
    <cellStyle name="Migliaia 6 3 2 3 3" xfId="3310" xr:uid="{10A3665B-62B7-4E10-8CDF-EB1C0C2A536E}"/>
    <cellStyle name="Migliaia 6 3 2 3 3 2" xfId="10798" xr:uid="{ABB2BAFE-7C74-4A8C-A903-6BBEE2971109}"/>
    <cellStyle name="Migliaia 6 3 2 3 3 2 2" xfId="14344" xr:uid="{1E1BE89B-A88F-4304-8DC6-40C70DFF8479}"/>
    <cellStyle name="Migliaia 6 3 2 3 3 2 2 2" xfId="29521" xr:uid="{FC9E0E47-6B03-491C-9031-620E0EAA9EAA}"/>
    <cellStyle name="Migliaia 6 3 2 3 3 2 3" xfId="25976" xr:uid="{7E52F730-A92C-4DBA-A2DF-B4F58175038C}"/>
    <cellStyle name="Migliaia 6 3 2 3 3 3" xfId="6624" xr:uid="{1618C89C-DBB6-4491-969F-1B5461A610EA}"/>
    <cellStyle name="Migliaia 6 3 2 3 3 3 2" xfId="21804" xr:uid="{8DECE45C-2ADF-4971-8094-39CFC8C4B77C}"/>
    <cellStyle name="Migliaia 6 3 2 3 3 4" xfId="18516" xr:uid="{C59EC964-8F12-4693-A271-4F069D0DFCC3}"/>
    <cellStyle name="Migliaia 6 3 2 3 4" xfId="4833" xr:uid="{54ACE858-81A6-4B18-B288-6676ADAA5C8D}"/>
    <cellStyle name="Migliaia 6 3 2 3 4 2" xfId="12318" xr:uid="{6A66AA5F-BD38-4B30-922C-C6E0B15751D1}"/>
    <cellStyle name="Migliaia 6 3 2 3 4 2 2" xfId="15864" xr:uid="{A6F9B47F-4B27-4212-89FB-FF5272797B2E}"/>
    <cellStyle name="Migliaia 6 3 2 3 4 2 2 2" xfId="31041" xr:uid="{CDEB1CEE-A648-4E24-8036-56DAB26C2A92}"/>
    <cellStyle name="Migliaia 6 3 2 3 4 2 3" xfId="27496" xr:uid="{B1D58914-EA25-4E24-9D15-3227C21E883B}"/>
    <cellStyle name="Migliaia 6 3 2 3 4 3" xfId="8144" xr:uid="{DBE33BE4-BCD0-444F-9A8F-0F0A1AF80C03}"/>
    <cellStyle name="Migliaia 6 3 2 3 4 3 2" xfId="23324" xr:uid="{A738B570-936E-4690-892D-413D09ED6EE9}"/>
    <cellStyle name="Migliaia 6 3 2 3 4 4" xfId="20036" xr:uid="{3BCABC94-4209-4ED4-9489-836FC44C8165}"/>
    <cellStyle name="Migliaia 6 3 2 3 5" xfId="8516" xr:uid="{D16A614C-A05C-43EE-B3CC-33FA02146AF1}"/>
    <cellStyle name="Migliaia 6 3 2 3 5 2" xfId="12689" xr:uid="{2004954B-CB86-4D12-94FE-DB748A2871B9}"/>
    <cellStyle name="Migliaia 6 3 2 3 5 2 2" xfId="27866" xr:uid="{FFC21438-BDF8-4E34-A564-1EA7ACD6B456}"/>
    <cellStyle name="Migliaia 6 3 2 3 5 3" xfId="23694" xr:uid="{2EBA4E3E-2EA3-43F0-BE60-8C951D515C6B}"/>
    <cellStyle name="Migliaia 6 3 2 3 6" xfId="16234" xr:uid="{D2944CC1-7A10-41CB-B60A-D4B53897CDBA}"/>
    <cellStyle name="Migliaia 6 3 2 3 7" xfId="31674" xr:uid="{E6A56A82-8F6C-4879-9B96-52FD86B5A269}"/>
    <cellStyle name="Migliaia 6 3 2 4" xfId="1007" xr:uid="{E3EC9E3C-5B44-4DA9-87D7-94F9465CF494}"/>
    <cellStyle name="Migliaia 6 3 2 4 2" xfId="2520" xr:uid="{422F8658-9BA7-4A48-886D-D3EF79B3E3D3}"/>
    <cellStyle name="Migliaia 6 3 2 4 2 2" xfId="10012" xr:uid="{7182B3DD-F8F7-4724-8191-6FA651633C3F}"/>
    <cellStyle name="Migliaia 6 3 2 4 2 2 2" xfId="13671" xr:uid="{86F25B14-9B9E-4A7A-9177-B8FCA5ABEF28}"/>
    <cellStyle name="Migliaia 6 3 2 4 2 2 2 2" xfId="28848" xr:uid="{DA55AE5C-7B56-47F1-B03D-AB040EEDFD7E}"/>
    <cellStyle name="Migliaia 6 3 2 4 2 2 3" xfId="25190" xr:uid="{145BB83D-1535-4D27-91A8-D950463C9A4A}"/>
    <cellStyle name="Migliaia 6 3 2 4 2 3" xfId="5838" xr:uid="{F1265511-2AEC-40F2-A452-D493B940928F}"/>
    <cellStyle name="Migliaia 6 3 2 4 2 3 2" xfId="21018" xr:uid="{ADC76186-326E-4120-8B37-18AF0600F826}"/>
    <cellStyle name="Migliaia 6 3 2 4 2 4" xfId="17730" xr:uid="{BABCC39F-FDE8-4DCF-981C-3BF89EF4F16D}"/>
    <cellStyle name="Migliaia 6 3 2 4 3" xfId="3408" xr:uid="{1CFBCB8C-4A29-4DE9-890C-9FF18E7A0784}"/>
    <cellStyle name="Migliaia 6 3 2 4 3 2" xfId="10896" xr:uid="{E2962F75-95C2-4C59-992D-055F0072EEA6}"/>
    <cellStyle name="Migliaia 6 3 2 4 3 2 2" xfId="14442" xr:uid="{BA9E3B10-12BF-42C5-AB66-3680CF0E1FE5}"/>
    <cellStyle name="Migliaia 6 3 2 4 3 2 2 2" xfId="29619" xr:uid="{EE0FA3BC-B89D-4833-A3FF-4EC9716885DD}"/>
    <cellStyle name="Migliaia 6 3 2 4 3 2 3" xfId="26074" xr:uid="{61228178-C93C-4381-92D9-0B87058C85AE}"/>
    <cellStyle name="Migliaia 6 3 2 4 3 3" xfId="6722" xr:uid="{2E59DFC5-BE26-4470-B1C5-25C43F94B2A2}"/>
    <cellStyle name="Migliaia 6 3 2 4 3 3 2" xfId="21902" xr:uid="{B2F7AA51-B51F-4C00-97A1-3731BCF74C83}"/>
    <cellStyle name="Migliaia 6 3 2 4 3 4" xfId="18614" xr:uid="{E701F760-C48A-44F6-A055-93582BA28228}"/>
    <cellStyle name="Migliaia 6 3 2 4 4" xfId="4834" xr:uid="{9A7D3B3B-A9CD-4FFB-9D35-97E5670B2CD5}"/>
    <cellStyle name="Migliaia 6 3 2 4 4 2" xfId="12319" xr:uid="{7E41176D-D08A-4230-8F78-A4A6631C8DDC}"/>
    <cellStyle name="Migliaia 6 3 2 4 4 2 2" xfId="15865" xr:uid="{CDBCEE10-2C2C-4CCB-873E-3C9B8AF57594}"/>
    <cellStyle name="Migliaia 6 3 2 4 4 2 2 2" xfId="31042" xr:uid="{9521B9CE-5826-42DF-9869-5321DA385005}"/>
    <cellStyle name="Migliaia 6 3 2 4 4 2 3" xfId="27497" xr:uid="{C8309D30-0DC9-462C-AEDB-8D04CAE7767E}"/>
    <cellStyle name="Migliaia 6 3 2 4 4 3" xfId="8145" xr:uid="{5EB735CC-B380-48DC-AFE8-292DBF060706}"/>
    <cellStyle name="Migliaia 6 3 2 4 4 3 2" xfId="23325" xr:uid="{604C8D77-3193-43E9-90E6-4B5236E96FCA}"/>
    <cellStyle name="Migliaia 6 3 2 4 4 4" xfId="20037" xr:uid="{DECC78ED-96B2-4F84-9919-35A4694B328C}"/>
    <cellStyle name="Migliaia 6 3 2 4 5" xfId="8614" xr:uid="{B969066C-732A-4C3E-BBC0-B827AA3210EF}"/>
    <cellStyle name="Migliaia 6 3 2 4 5 2" xfId="12787" xr:uid="{BBF102E0-A467-47DC-9250-0755E2F971BD}"/>
    <cellStyle name="Migliaia 6 3 2 4 5 2 2" xfId="27964" xr:uid="{95140F00-BAAF-4606-9FFC-FC463F438046}"/>
    <cellStyle name="Migliaia 6 3 2 4 5 3" xfId="23792" xr:uid="{AE165161-5945-4930-8F3A-24E08A8ECFE9}"/>
    <cellStyle name="Migliaia 6 3 2 4 6" xfId="16332" xr:uid="{89527388-2298-45F1-94DF-2EEFDD2413FB}"/>
    <cellStyle name="Migliaia 6 3 2 4 7" xfId="31552" xr:uid="{1C9CF196-7B38-4275-81E9-E7F15692C940}"/>
    <cellStyle name="Migliaia 6 3 2 5" xfId="1265" xr:uid="{88D1ECE7-BA82-4AE8-BDBF-1BCDD82983D8}"/>
    <cellStyle name="Migliaia 6 3 2 5 10" xfId="31324" xr:uid="{47FDF3F8-C132-45F5-9C09-C85B4A80E4BB}"/>
    <cellStyle name="Migliaia 6 3 2 5 2" xfId="2695" xr:uid="{23CDD0CD-6A51-415A-BCCD-A77958ECA2A8}"/>
    <cellStyle name="Migliaia 6 3 2 5 2 2" xfId="10186" xr:uid="{69D3844C-A1FD-4F7F-9116-9FB0C8666161}"/>
    <cellStyle name="Migliaia 6 3 2 5 2 2 2" xfId="13830" xr:uid="{608EFF2D-AFE8-407D-B8AF-76CD40FBAF2B}"/>
    <cellStyle name="Migliaia 6 3 2 5 2 2 2 2" xfId="29007" xr:uid="{5EEEC201-F2AB-4740-ABFF-299A056AAD4B}"/>
    <cellStyle name="Migliaia 6 3 2 5 2 2 3" xfId="25364" xr:uid="{ED096F0B-DDD7-413A-BAC5-F1873F2AF18D}"/>
    <cellStyle name="Migliaia 6 3 2 5 2 3" xfId="6012" xr:uid="{5D5AF3AE-241E-46CF-96E1-22BDFA0B6DB6}"/>
    <cellStyle name="Migliaia 6 3 2 5 2 3 2" xfId="21192" xr:uid="{5ED7E291-B8E0-4428-979E-3E460FADE605}"/>
    <cellStyle name="Migliaia 6 3 2 5 2 4" xfId="17904" xr:uid="{5112A22F-3FCF-44BC-A753-F7C157432C6E}"/>
    <cellStyle name="Migliaia 6 3 2 5 3" xfId="3582" xr:uid="{ACD66D95-DA2E-4491-9720-881DA18F8D6D}"/>
    <cellStyle name="Migliaia 6 3 2 5 3 2" xfId="11070" xr:uid="{8893638F-0ED5-4A5F-9C1F-5957058B16A2}"/>
    <cellStyle name="Migliaia 6 3 2 5 3 2 2" xfId="14616" xr:uid="{F8967081-9A04-48F5-AD0B-997D6E8F171B}"/>
    <cellStyle name="Migliaia 6 3 2 5 3 2 2 2" xfId="29793" xr:uid="{1C17B514-221F-4A80-844C-4ED43F052F47}"/>
    <cellStyle name="Migliaia 6 3 2 5 3 2 3" xfId="26248" xr:uid="{4AB8AF5A-AD70-4B8E-A120-ACEA3EB2735C}"/>
    <cellStyle name="Migliaia 6 3 2 5 3 3" xfId="6896" xr:uid="{281608E6-5509-4F8B-9258-E4BBB2F6CA02}"/>
    <cellStyle name="Migliaia 6 3 2 5 3 3 2" xfId="22076" xr:uid="{F1328461-5A4E-47E9-8EEC-B04B54BE7AA6}"/>
    <cellStyle name="Migliaia 6 3 2 5 3 4" xfId="18788" xr:uid="{51B331BB-3FC8-42CE-BBDF-BE9FA123AF4A}"/>
    <cellStyle name="Migliaia 6 3 2 5 4" xfId="4835" xr:uid="{C0FF48F9-5531-44B1-B002-49328E5E2698}"/>
    <cellStyle name="Migliaia 6 3 2 5 4 2" xfId="12320" xr:uid="{424AECD9-3C9D-4335-832F-0A667DA730FA}"/>
    <cellStyle name="Migliaia 6 3 2 5 4 2 2" xfId="15866" xr:uid="{8F366B06-0D82-41D1-B8A2-60058085A9E7}"/>
    <cellStyle name="Migliaia 6 3 2 5 4 2 2 2" xfId="31043" xr:uid="{2F8A4FF3-D671-49C2-BB5E-18E2F37B705E}"/>
    <cellStyle name="Migliaia 6 3 2 5 4 2 3" xfId="27498" xr:uid="{5D59D86D-E448-484B-B0B9-F03515A498FB}"/>
    <cellStyle name="Migliaia 6 3 2 5 4 3" xfId="8146" xr:uid="{0DE6B27F-FF3D-4C38-9AF5-93F8181FC622}"/>
    <cellStyle name="Migliaia 6 3 2 5 4 3 2" xfId="23326" xr:uid="{A7DA1C8D-D1AC-4F89-8D36-7F9724B884E5}"/>
    <cellStyle name="Migliaia 6 3 2 5 4 4" xfId="20038" xr:uid="{ECA39BC6-BD33-4AEC-85E7-E644D59E0C73}"/>
    <cellStyle name="Migliaia 6 3 2 5 5" xfId="4984" xr:uid="{8311A910-9610-491C-A3A7-502FFAAD0D0E}"/>
    <cellStyle name="Migliaia 6 3 2 5 5 2" xfId="12468" xr:uid="{D9B5A454-0229-4894-9B1F-8DB0893D46D5}"/>
    <cellStyle name="Migliaia 6 3 2 5 5 2 2" xfId="16014" xr:uid="{703BE77D-5AFD-4636-8E4E-E94E0BA6821F}"/>
    <cellStyle name="Migliaia 6 3 2 5 5 2 2 2" xfId="31191" xr:uid="{6B965A5C-2FAF-40E4-B79B-1F0C441D209D}"/>
    <cellStyle name="Migliaia 6 3 2 5 5 2 3" xfId="27646" xr:uid="{43BC6217-C4E2-4A63-8731-B96C57FC5221}"/>
    <cellStyle name="Migliaia 6 3 2 5 5 3" xfId="8294" xr:uid="{AAB849B5-6367-4C14-8CEF-BD3885F47A7C}"/>
    <cellStyle name="Migliaia 6 3 2 5 5 3 2" xfId="23474" xr:uid="{EB0D352D-8AF0-4087-85BD-6760747F3B15}"/>
    <cellStyle name="Migliaia 6 3 2 5 5 4" xfId="20186" xr:uid="{350153A2-A9DB-41E4-A785-204F2AD7179C}"/>
    <cellStyle name="Migliaia 6 3 2 5 6" xfId="1805" xr:uid="{CF60A447-6383-4AE0-9717-E13BE96AEF01}"/>
    <cellStyle name="Migliaia 6 3 2 5 6 2" xfId="9302" xr:uid="{0B6457B8-1530-450F-BDC9-BFD254F6BC95}"/>
    <cellStyle name="Migliaia 6 3 2 5 6 2 2" xfId="24480" xr:uid="{18170633-613C-4A35-8924-BF3FCBD1A43B}"/>
    <cellStyle name="Migliaia 6 3 2 5 6 3" xfId="17020" xr:uid="{E89F3665-A88A-4530-95FF-94CF3E2AFDB1}"/>
    <cellStyle name="Migliaia 6 3 2 5 7" xfId="8788" xr:uid="{67ED1995-2A03-433F-86DE-64BE5B0048E0}"/>
    <cellStyle name="Migliaia 6 3 2 5 7 2" xfId="12961" xr:uid="{B8802D76-7123-4A35-B732-BACA80C0200D}"/>
    <cellStyle name="Migliaia 6 3 2 5 7 2 2" xfId="28138" xr:uid="{81B378E4-6476-44E3-BA9D-FDA7015809FA}"/>
    <cellStyle name="Migliaia 6 3 2 5 7 3" xfId="23966" xr:uid="{CFE6B753-4242-463C-AEBB-C9BE074FC4AF}"/>
    <cellStyle name="Migliaia 6 3 2 5 8" xfId="5128" xr:uid="{1E61142C-21D7-47F8-97BC-A71D377BDA65}"/>
    <cellStyle name="Migliaia 6 3 2 5 8 2" xfId="20308" xr:uid="{CAC4A836-09C8-4904-82B9-650A6531B44E}"/>
    <cellStyle name="Migliaia 6 3 2 5 9" xfId="16506" xr:uid="{6250AD19-3088-45C1-AD3A-BDC783E9113D}"/>
    <cellStyle name="Migliaia 6 3 2 6" xfId="1367" xr:uid="{76238538-74C9-47F2-A552-DBFBA183EA68}"/>
    <cellStyle name="Migliaia 6 3 2 6 2" xfId="2793" xr:uid="{6025BE57-3EF3-4E5F-BF36-4DA06B09B077}"/>
    <cellStyle name="Migliaia 6 3 2 6 2 2" xfId="10284" xr:uid="{6966168B-C696-4F86-9973-3224192DF76D}"/>
    <cellStyle name="Migliaia 6 3 2 6 2 2 2" xfId="13879" xr:uid="{A0A69A53-147E-4D04-8168-9850208ECDEF}"/>
    <cellStyle name="Migliaia 6 3 2 6 2 2 2 2" xfId="29056" xr:uid="{6B6684A0-6C25-4097-AF65-35A738577A4B}"/>
    <cellStyle name="Migliaia 6 3 2 6 2 2 3" xfId="25462" xr:uid="{7C8EE490-DB5C-4999-8BF9-304639191488}"/>
    <cellStyle name="Migliaia 6 3 2 6 2 3" xfId="6110" xr:uid="{C7E52505-ADAA-43FE-9115-B2376D8EAFCC}"/>
    <cellStyle name="Migliaia 6 3 2 6 2 3 2" xfId="21290" xr:uid="{FDC61018-75B2-4153-B98A-1ACFC00AE82D}"/>
    <cellStyle name="Migliaia 6 3 2 6 2 4" xfId="18002" xr:uid="{2ECDF7CD-844C-487A-BA72-AC8E105BB324}"/>
    <cellStyle name="Migliaia 6 3 2 6 3" xfId="3680" xr:uid="{758F4841-06AF-4103-9F2D-0BFA26E52DFE}"/>
    <cellStyle name="Migliaia 6 3 2 6 3 2" xfId="11168" xr:uid="{E92CF9A0-F5AB-44CA-9537-48DC3BBF2F9F}"/>
    <cellStyle name="Migliaia 6 3 2 6 3 2 2" xfId="14714" xr:uid="{DD8AA273-0547-4074-BE75-10064EE25490}"/>
    <cellStyle name="Migliaia 6 3 2 6 3 2 2 2" xfId="29891" xr:uid="{B849048A-EAFC-4110-A572-AF6EA01E3588}"/>
    <cellStyle name="Migliaia 6 3 2 6 3 2 3" xfId="26346" xr:uid="{3939A4F9-E8F3-4D24-B21B-35F8004D1E79}"/>
    <cellStyle name="Migliaia 6 3 2 6 3 3" xfId="6994" xr:uid="{6CC1D4A7-AC49-4FD7-8E5C-B8877050B8DA}"/>
    <cellStyle name="Migliaia 6 3 2 6 3 3 2" xfId="22174" xr:uid="{C83A2CC3-B8DE-40EC-9EEC-1B169BB57A8F}"/>
    <cellStyle name="Migliaia 6 3 2 6 3 4" xfId="18886" xr:uid="{521027BD-6F44-4F49-8707-B3FE2E980313}"/>
    <cellStyle name="Migliaia 6 3 2 6 4" xfId="4836" xr:uid="{65BCE9E2-BF8B-492C-A96E-FF8282BD449B}"/>
    <cellStyle name="Migliaia 6 3 2 6 4 2" xfId="12321" xr:uid="{F7CE0233-BBB1-43AB-B743-AC346503B04E}"/>
    <cellStyle name="Migliaia 6 3 2 6 4 2 2" xfId="15867" xr:uid="{DB9DC11C-920B-475D-BC8C-C4A9F0AF0C0F}"/>
    <cellStyle name="Migliaia 6 3 2 6 4 2 2 2" xfId="31044" xr:uid="{CE0A82E9-DCC8-4C91-929C-60A9C16FD8E4}"/>
    <cellStyle name="Migliaia 6 3 2 6 4 2 3" xfId="27499" xr:uid="{6947BC3E-6FE8-4AEB-ABE9-DF8764377522}"/>
    <cellStyle name="Migliaia 6 3 2 6 4 3" xfId="8147" xr:uid="{15A014E6-09D8-4CAE-A868-80DC11B7DB2E}"/>
    <cellStyle name="Migliaia 6 3 2 6 4 3 2" xfId="23327" xr:uid="{2152C5D4-E3B3-4925-B415-CF19F36D9666}"/>
    <cellStyle name="Migliaia 6 3 2 6 4 4" xfId="20039" xr:uid="{D452BC80-4DCF-418A-AA46-D537719E4CF9}"/>
    <cellStyle name="Migliaia 6 3 2 6 5" xfId="1903" xr:uid="{AD738430-A413-4E5A-8451-9988E2015896}"/>
    <cellStyle name="Migliaia 6 3 2 6 5 2" xfId="9400" xr:uid="{F22FD894-D85F-4676-83C1-60F3CD7F463F}"/>
    <cellStyle name="Migliaia 6 3 2 6 5 2 2" xfId="24578" xr:uid="{5E2DADF4-ABDE-4B5E-ACF4-74F02FD98E8E}"/>
    <cellStyle name="Migliaia 6 3 2 6 5 3" xfId="17118" xr:uid="{F870D7CA-E63B-4687-B5C4-06D2EC9DCE08}"/>
    <cellStyle name="Migliaia 6 3 2 6 6" xfId="8886" xr:uid="{944D32F5-4181-4350-9D95-01A456518CCF}"/>
    <cellStyle name="Migliaia 6 3 2 6 6 2" xfId="13059" xr:uid="{FB229903-D912-47CF-B8C1-BA0D193834D0}"/>
    <cellStyle name="Migliaia 6 3 2 6 6 2 2" xfId="28236" xr:uid="{B4E44306-CB4B-4AB8-8112-0084518FF25C}"/>
    <cellStyle name="Migliaia 6 3 2 6 6 3" xfId="24064" xr:uid="{E1FEF753-00F5-466B-9D92-DD0A159C4E72}"/>
    <cellStyle name="Migliaia 6 3 2 6 7" xfId="5226" xr:uid="{447E1E68-E89C-4DCB-8137-AF3B8F14B0F8}"/>
    <cellStyle name="Migliaia 6 3 2 6 7 2" xfId="20406" xr:uid="{B935C8CA-826D-4F4D-BCE2-0CDDD7D5C7E9}"/>
    <cellStyle name="Migliaia 6 3 2 6 8" xfId="16604" xr:uid="{FE97C62F-28A7-4596-9859-ECE8779D6636}"/>
    <cellStyle name="Migliaia 6 3 2 7" xfId="1466" xr:uid="{8920AF3C-56E2-4B51-9789-88CB750CF387}"/>
    <cellStyle name="Migliaia 6 3 2 7 2" xfId="2891" xr:uid="{A966A090-FBF6-4276-B38A-9C8151F8322E}"/>
    <cellStyle name="Migliaia 6 3 2 7 2 2" xfId="10382" xr:uid="{4028F932-BDC5-4757-A7FF-A94D32439B8D}"/>
    <cellStyle name="Migliaia 6 3 2 7 2 2 2" xfId="13928" xr:uid="{07333929-32A7-4890-9DC3-D60BE0403962}"/>
    <cellStyle name="Migliaia 6 3 2 7 2 2 2 2" xfId="29105" xr:uid="{D2C4CA36-5C12-4029-A770-947820B34522}"/>
    <cellStyle name="Migliaia 6 3 2 7 2 2 3" xfId="25560" xr:uid="{0E096A64-E74F-41FD-93A8-3005564FE284}"/>
    <cellStyle name="Migliaia 6 3 2 7 2 3" xfId="6208" xr:uid="{4D27AAAD-BAAB-4E38-B522-BB4176CB1BF2}"/>
    <cellStyle name="Migliaia 6 3 2 7 2 3 2" xfId="21388" xr:uid="{40F512FF-BCD7-48ED-9D34-A5F482E0146A}"/>
    <cellStyle name="Migliaia 6 3 2 7 2 4" xfId="18100" xr:uid="{3432B445-7E13-43EB-95C4-810061E4D300}"/>
    <cellStyle name="Migliaia 6 3 2 7 3" xfId="3778" xr:uid="{C31DBD2C-0467-4A7D-8F85-D6EAEDE20343}"/>
    <cellStyle name="Migliaia 6 3 2 7 3 2" xfId="11266" xr:uid="{9A3E07DB-0113-4433-BE03-615B339C5D04}"/>
    <cellStyle name="Migliaia 6 3 2 7 3 2 2" xfId="14812" xr:uid="{0A4C9569-FCC7-40FE-AF0D-6DD474727F3A}"/>
    <cellStyle name="Migliaia 6 3 2 7 3 2 2 2" xfId="29989" xr:uid="{C0F88508-3FFE-4A8A-86F6-050934EF6F26}"/>
    <cellStyle name="Migliaia 6 3 2 7 3 2 3" xfId="26444" xr:uid="{75C1780F-461D-4B29-AEAE-3FCFA5FBB58F}"/>
    <cellStyle name="Migliaia 6 3 2 7 3 3" xfId="7092" xr:uid="{AF2512CC-6302-428C-BF61-970F5E3B293D}"/>
    <cellStyle name="Migliaia 6 3 2 7 3 3 2" xfId="22272" xr:uid="{7036858B-6FCB-48F1-BC8C-D3DB21EEF926}"/>
    <cellStyle name="Migliaia 6 3 2 7 3 4" xfId="18984" xr:uid="{DB81C1E8-B03A-4909-B86E-4638718C6FBD}"/>
    <cellStyle name="Migliaia 6 3 2 7 4" xfId="4837" xr:uid="{A548918E-A90B-4642-90BD-C5EBDEDB22B7}"/>
    <cellStyle name="Migliaia 6 3 2 7 4 2" xfId="12322" xr:uid="{10AC5162-E3FD-4897-8850-54BEC352223C}"/>
    <cellStyle name="Migliaia 6 3 2 7 4 2 2" xfId="15868" xr:uid="{AAC10741-9DC2-4416-A8AD-F42A2C5571C1}"/>
    <cellStyle name="Migliaia 6 3 2 7 4 2 2 2" xfId="31045" xr:uid="{8E28B2F8-2931-4940-9053-E1FEDB52D655}"/>
    <cellStyle name="Migliaia 6 3 2 7 4 2 3" xfId="27500" xr:uid="{C391409A-D53E-4EDF-823A-2F4D638520FB}"/>
    <cellStyle name="Migliaia 6 3 2 7 4 3" xfId="8148" xr:uid="{3B4E8BF4-1901-4066-B8AC-FB706E48CDCB}"/>
    <cellStyle name="Migliaia 6 3 2 7 4 3 2" xfId="23328" xr:uid="{9E0835E0-1B4D-49E2-B31F-E23377634309}"/>
    <cellStyle name="Migliaia 6 3 2 7 4 4" xfId="20040" xr:uid="{BD040AB2-5C5D-46E0-B8E2-A0A1CD784BCD}"/>
    <cellStyle name="Migliaia 6 3 2 7 5" xfId="2001" xr:uid="{3D5D57C9-948E-455B-8F25-E6C2090958BD}"/>
    <cellStyle name="Migliaia 6 3 2 7 5 2" xfId="9498" xr:uid="{5C8D1542-C0CD-49BE-A683-CFCB69B5F6F9}"/>
    <cellStyle name="Migliaia 6 3 2 7 5 2 2" xfId="24676" xr:uid="{35C53D81-94FE-4FDA-9F60-385F941FC3A6}"/>
    <cellStyle name="Migliaia 6 3 2 7 5 3" xfId="17216" xr:uid="{B2504C74-07AE-4E53-BE58-F9D9EBB93D96}"/>
    <cellStyle name="Migliaia 6 3 2 7 6" xfId="8984" xr:uid="{22C0FFFB-10C6-470D-8673-B4D0175019C2}"/>
    <cellStyle name="Migliaia 6 3 2 7 6 2" xfId="13157" xr:uid="{FF27A372-11C9-4477-A5EC-F65392ABF0C8}"/>
    <cellStyle name="Migliaia 6 3 2 7 6 2 2" xfId="28334" xr:uid="{856CD35D-C7F5-41E3-87ED-113A09B514F1}"/>
    <cellStyle name="Migliaia 6 3 2 7 6 3" xfId="24162" xr:uid="{4FBA060C-D059-417E-9944-94E06592845A}"/>
    <cellStyle name="Migliaia 6 3 2 7 7" xfId="5324" xr:uid="{8AD3C06C-893C-4EB5-A6D5-A6946E1996A9}"/>
    <cellStyle name="Migliaia 6 3 2 7 7 2" xfId="20504" xr:uid="{72D88E5F-B8E5-4DB9-A490-4F012C5B76BA}"/>
    <cellStyle name="Migliaia 6 3 2 7 8" xfId="16702" xr:uid="{B8A1D5A5-5505-4161-A7BB-1A7E3A56496D}"/>
    <cellStyle name="Migliaia 6 3 2 8" xfId="1569" xr:uid="{8CA282B1-FACD-48F1-B60F-7DB8662E4555}"/>
    <cellStyle name="Migliaia 6 3 2 8 2" xfId="2989" xr:uid="{16E25F50-39E6-4F40-8289-BAF1279C576A}"/>
    <cellStyle name="Migliaia 6 3 2 8 2 2" xfId="10480" xr:uid="{6F9619B1-9513-4A64-80B7-6005EF8EE93A}"/>
    <cellStyle name="Migliaia 6 3 2 8 2 2 2" xfId="14026" xr:uid="{2F0B7FF0-810B-490A-8713-DEA49F8585A5}"/>
    <cellStyle name="Migliaia 6 3 2 8 2 2 2 2" xfId="29203" xr:uid="{89E233BD-393C-4B43-A4E5-FF74375A4DB5}"/>
    <cellStyle name="Migliaia 6 3 2 8 2 2 3" xfId="25658" xr:uid="{0D94C8D2-61A2-4995-A5E1-F322E85D5FDC}"/>
    <cellStyle name="Migliaia 6 3 2 8 2 3" xfId="6306" xr:uid="{FEBA5EB3-2389-44D6-A24F-2E254E78291A}"/>
    <cellStyle name="Migliaia 6 3 2 8 2 3 2" xfId="21486" xr:uid="{986D7676-4F1E-49C1-B282-FC4AF4D2768C}"/>
    <cellStyle name="Migliaia 6 3 2 8 2 4" xfId="18198" xr:uid="{3E0936E7-3482-456F-AAAA-7B6390D52F01}"/>
    <cellStyle name="Migliaia 6 3 2 8 3" xfId="3876" xr:uid="{612C17DA-4311-45BA-8C9C-7098D020CF2E}"/>
    <cellStyle name="Migliaia 6 3 2 8 3 2" xfId="11364" xr:uid="{CB172EC2-35CB-487E-A639-4DB5FC646A8E}"/>
    <cellStyle name="Migliaia 6 3 2 8 3 2 2" xfId="14910" xr:uid="{1AB005CE-AB0A-4C68-B6F8-2EE3C21C0A63}"/>
    <cellStyle name="Migliaia 6 3 2 8 3 2 2 2" xfId="30087" xr:uid="{03500192-C37D-420D-AD5B-2B3722BAD50B}"/>
    <cellStyle name="Migliaia 6 3 2 8 3 2 3" xfId="26542" xr:uid="{5FE07E11-42CA-4E74-A4B3-F8B176AF3AED}"/>
    <cellStyle name="Migliaia 6 3 2 8 3 3" xfId="7190" xr:uid="{E98EF9F4-C4BE-475F-A526-824253CF5B1D}"/>
    <cellStyle name="Migliaia 6 3 2 8 3 3 2" xfId="22370" xr:uid="{764F371D-1E3F-46E6-9C06-ED7F9568BDF3}"/>
    <cellStyle name="Migliaia 6 3 2 8 3 4" xfId="19082" xr:uid="{26175EE9-86E0-4A83-B947-64D320DD5947}"/>
    <cellStyle name="Migliaia 6 3 2 8 4" xfId="4838" xr:uid="{7DC958AF-2DEB-44FF-99AA-3CEC50865BB1}"/>
    <cellStyle name="Migliaia 6 3 2 8 4 2" xfId="12323" xr:uid="{CDFDE6BA-B6E4-4F2A-9AC6-1BB75304C6B7}"/>
    <cellStyle name="Migliaia 6 3 2 8 4 2 2" xfId="15869" xr:uid="{075A3F45-F67D-4D8A-8FA4-EEEC51086BD9}"/>
    <cellStyle name="Migliaia 6 3 2 8 4 2 2 2" xfId="31046" xr:uid="{6A1E8417-D979-4981-B820-F39615AA7F82}"/>
    <cellStyle name="Migliaia 6 3 2 8 4 2 3" xfId="27501" xr:uid="{A3AED549-0002-4E1A-8D6D-A3756D41A4B3}"/>
    <cellStyle name="Migliaia 6 3 2 8 4 3" xfId="8149" xr:uid="{C3C6B0EB-1571-42FE-A5F9-73ABA8FC65AB}"/>
    <cellStyle name="Migliaia 6 3 2 8 4 3 2" xfId="23329" xr:uid="{F49FFBA3-1C2D-4740-9C90-35BCD79EAE6C}"/>
    <cellStyle name="Migliaia 6 3 2 8 4 4" xfId="20041" xr:uid="{3D3A56BE-B888-481D-95D9-F740F0BE001E}"/>
    <cellStyle name="Migliaia 6 3 2 8 5" xfId="2099" xr:uid="{0E93EB2F-7109-473D-8FCC-2C2F41529721}"/>
    <cellStyle name="Migliaia 6 3 2 8 5 2" xfId="9596" xr:uid="{0528AC3E-05CF-4C78-BA54-43669B1A3F68}"/>
    <cellStyle name="Migliaia 6 3 2 8 5 2 2" xfId="24774" xr:uid="{4C295575-7150-4876-8138-8507F12B5036}"/>
    <cellStyle name="Migliaia 6 3 2 8 5 3" xfId="17314" xr:uid="{4E7E3F21-A8F1-4B2B-A6C7-17DFCB4302CA}"/>
    <cellStyle name="Migliaia 6 3 2 8 6" xfId="9082" xr:uid="{70EA7AB0-CC5B-4933-8461-C5F6E9A6B5CF}"/>
    <cellStyle name="Migliaia 6 3 2 8 6 2" xfId="13255" xr:uid="{E4366139-28CF-4EA4-82F9-85555547EA52}"/>
    <cellStyle name="Migliaia 6 3 2 8 6 2 2" xfId="28432" xr:uid="{44BB6A40-5DFE-4D37-906A-E85B65205261}"/>
    <cellStyle name="Migliaia 6 3 2 8 6 3" xfId="24260" xr:uid="{471B4CE5-31DC-481D-A0F4-00031249BC9C}"/>
    <cellStyle name="Migliaia 6 3 2 8 7" xfId="5422" xr:uid="{E17A70E3-0AD6-4571-8259-AE1EF5D986EF}"/>
    <cellStyle name="Migliaia 6 3 2 8 7 2" xfId="20602" xr:uid="{8DA2E2CA-4547-4B40-B092-F82B984ACE01}"/>
    <cellStyle name="Migliaia 6 3 2 8 8" xfId="16800" xr:uid="{C530DFAA-FF55-4FA2-BCC7-078F4AE1949D}"/>
    <cellStyle name="Migliaia 6 3 2 9" xfId="1668" xr:uid="{6D039ABF-7642-42B7-8BAE-7361CB54104C}"/>
    <cellStyle name="Migliaia 6 3 2 9 2" xfId="3087" xr:uid="{D914E8A8-862C-45CF-A0CA-7BCD5BA6FD8F}"/>
    <cellStyle name="Migliaia 6 3 2 9 2 2" xfId="10578" xr:uid="{7479987F-D372-4466-BD07-5A9E09F6DCB5}"/>
    <cellStyle name="Migliaia 6 3 2 9 2 2 2" xfId="14124" xr:uid="{F25EB7D0-EFEC-44BC-A53E-BA2ECA0A5240}"/>
    <cellStyle name="Migliaia 6 3 2 9 2 2 2 2" xfId="29301" xr:uid="{B1F0C28B-9A45-4FFE-9029-471B5268D39F}"/>
    <cellStyle name="Migliaia 6 3 2 9 2 2 3" xfId="25756" xr:uid="{5D50CAEA-FFA7-4110-91A8-57B33FB5881A}"/>
    <cellStyle name="Migliaia 6 3 2 9 2 3" xfId="6404" xr:uid="{EDD1F8C0-E463-4CAD-B38C-8E55BF50B7E6}"/>
    <cellStyle name="Migliaia 6 3 2 9 2 3 2" xfId="21584" xr:uid="{B74FC39E-6366-4B04-BEA2-0A120388629B}"/>
    <cellStyle name="Migliaia 6 3 2 9 2 4" xfId="18296" xr:uid="{151B5C50-12B9-4876-807F-D47846A4F781}"/>
    <cellStyle name="Migliaia 6 3 2 9 3" xfId="3974" xr:uid="{451EF3CF-0504-41BB-82ED-118E4134E819}"/>
    <cellStyle name="Migliaia 6 3 2 9 3 2" xfId="11462" xr:uid="{A10A3E9E-A09C-4890-89C7-700D2DA54B61}"/>
    <cellStyle name="Migliaia 6 3 2 9 3 2 2" xfId="15008" xr:uid="{48E12042-D0FE-4C86-A6AE-6567CB4D369A}"/>
    <cellStyle name="Migliaia 6 3 2 9 3 2 2 2" xfId="30185" xr:uid="{94CCCF96-2BD5-42B9-B835-6A0BFAC5E213}"/>
    <cellStyle name="Migliaia 6 3 2 9 3 2 3" xfId="26640" xr:uid="{F6E15F5E-E91D-47D9-86D3-1AD628CD4D74}"/>
    <cellStyle name="Migliaia 6 3 2 9 3 3" xfId="7288" xr:uid="{DB8E557A-7621-4130-9F5A-AF23817A498D}"/>
    <cellStyle name="Migliaia 6 3 2 9 3 3 2" xfId="22468" xr:uid="{2F68BACF-5C37-47D7-AD65-F0FB02DB797A}"/>
    <cellStyle name="Migliaia 6 3 2 9 3 4" xfId="19180" xr:uid="{A3F7269F-6579-450F-A057-887014086CBA}"/>
    <cellStyle name="Migliaia 6 3 2 9 4" xfId="4839" xr:uid="{78B5E72C-599C-49A6-AD5F-1401E67C8EA8}"/>
    <cellStyle name="Migliaia 6 3 2 9 4 2" xfId="12324" xr:uid="{10CAC0B5-8764-4105-A993-DF238BCFB6CA}"/>
    <cellStyle name="Migliaia 6 3 2 9 4 2 2" xfId="15870" xr:uid="{1A861B59-B34F-4B63-8C3B-7443E198484C}"/>
    <cellStyle name="Migliaia 6 3 2 9 4 2 2 2" xfId="31047" xr:uid="{1C0FE63E-3715-4FA0-89B6-1FD4755B855E}"/>
    <cellStyle name="Migliaia 6 3 2 9 4 2 3" xfId="27502" xr:uid="{8A63861B-8302-40E3-8E7E-3D6CAD4D934D}"/>
    <cellStyle name="Migliaia 6 3 2 9 4 3" xfId="8150" xr:uid="{81A27775-14BB-4684-880C-17A3BF24698F}"/>
    <cellStyle name="Migliaia 6 3 2 9 4 3 2" xfId="23330" xr:uid="{B3F8E758-F883-47FB-A350-556D7FBFB147}"/>
    <cellStyle name="Migliaia 6 3 2 9 4 4" xfId="20042" xr:uid="{B6C3A73A-E678-44D1-B351-CD98C9D49AAC}"/>
    <cellStyle name="Migliaia 6 3 2 9 5" xfId="2197" xr:uid="{B4A68737-E3A3-45F5-987D-25BBAEE2EDCA}"/>
    <cellStyle name="Migliaia 6 3 2 9 5 2" xfId="9694" xr:uid="{3242B3FB-5D07-4FF7-BC01-239246469B37}"/>
    <cellStyle name="Migliaia 6 3 2 9 5 2 2" xfId="24872" xr:uid="{63F692A9-D5C7-4B23-8B04-7765B7914BF1}"/>
    <cellStyle name="Migliaia 6 3 2 9 5 3" xfId="17412" xr:uid="{7B397ADA-618F-471A-B188-244468161D80}"/>
    <cellStyle name="Migliaia 6 3 2 9 6" xfId="9180" xr:uid="{9F9A4A32-A9F9-4BB0-A104-9C9218EE6D95}"/>
    <cellStyle name="Migliaia 6 3 2 9 6 2" xfId="13353" xr:uid="{E40456D0-8B33-469B-96A0-311D5174134B}"/>
    <cellStyle name="Migliaia 6 3 2 9 6 2 2" xfId="28530" xr:uid="{F946300B-0ABD-4585-9C4D-824AB5FEC497}"/>
    <cellStyle name="Migliaia 6 3 2 9 6 3" xfId="24358" xr:uid="{7CD7C73D-51F6-4721-8C96-409C1174EFC4}"/>
    <cellStyle name="Migliaia 6 3 2 9 7" xfId="5520" xr:uid="{26762481-5BD8-4394-BA19-A2415B4D05A7}"/>
    <cellStyle name="Migliaia 6 3 2 9 7 2" xfId="20700" xr:uid="{D137983F-6609-4882-82AC-CB19E7C09B04}"/>
    <cellStyle name="Migliaia 6 3 2 9 8" xfId="16898" xr:uid="{59EAC375-EBCE-4864-8768-43D9841862F8}"/>
    <cellStyle name="Migliaia 6 3 3" xfId="751" xr:uid="{2AB77191-9B98-46F9-8842-F17999E2397D}"/>
    <cellStyle name="Migliaia 6 3 3 10" xfId="8417" xr:uid="{93A641A8-D0B2-4E12-9A74-38E9C6B0E394}"/>
    <cellStyle name="Migliaia 6 3 3 10 2" xfId="12591" xr:uid="{BAED4F1C-AB82-41E3-BD38-C9932DA673D0}"/>
    <cellStyle name="Migliaia 6 3 3 10 2 2" xfId="27768" xr:uid="{314B7C92-3DCF-494A-A14D-83B07ACFAABB}"/>
    <cellStyle name="Migliaia 6 3 3 10 3" xfId="23596" xr:uid="{B71AD382-C566-4ECA-88EB-72F9773F7E6D}"/>
    <cellStyle name="Migliaia 6 3 3 11" xfId="16136" xr:uid="{E6FF18AA-4C6B-4DFF-B00E-D11ADEF56014}"/>
    <cellStyle name="Migliaia 6 3 3 12" xfId="31478" xr:uid="{2771DB66-EFD8-44A5-86C3-9DA52AF5324D}"/>
    <cellStyle name="Migliaia 6 3 3 2" xfId="928" xr:uid="{49B8CDB4-48FA-48B6-9271-3E2DA555E807}"/>
    <cellStyle name="Migliaia 6 3 3 2 10" xfId="16258" xr:uid="{F6967325-02A2-48C3-86C3-201702A3CBF3}"/>
    <cellStyle name="Migliaia 6 3 3 2 11" xfId="31348" xr:uid="{CB49BB83-653A-485E-88F6-E0DEE71B3EA4}"/>
    <cellStyle name="Migliaia 6 3 3 2 12" xfId="31698" xr:uid="{D5BD2F11-18A9-4E62-BFE6-B5F3B3A5A8A0}"/>
    <cellStyle name="Migliaia 6 3 3 2 2" xfId="1289" xr:uid="{BDCA26D9-8838-4168-B4D7-95997B807F09}"/>
    <cellStyle name="Migliaia 6 3 3 2 2 2" xfId="3606" xr:uid="{6097812D-B175-4229-B889-94DB58EDDA77}"/>
    <cellStyle name="Migliaia 6 3 3 2 2 2 2" xfId="11094" xr:uid="{81481D6A-880E-4516-B1A4-9A58560B709E}"/>
    <cellStyle name="Migliaia 6 3 3 2 2 2 2 2" xfId="14640" xr:uid="{2FA51496-08E4-468B-92A6-A891503B9665}"/>
    <cellStyle name="Migliaia 6 3 3 2 2 2 2 2 2" xfId="29817" xr:uid="{17F08929-2FC9-45D5-868A-AB2CE2E2434C}"/>
    <cellStyle name="Migliaia 6 3 3 2 2 2 2 3" xfId="26272" xr:uid="{43F57DCF-5C05-434A-804B-A1FA36FBB370}"/>
    <cellStyle name="Migliaia 6 3 3 2 2 2 3" xfId="6920" xr:uid="{228E9447-1C5F-494A-8FF4-8ECE3C0C71DE}"/>
    <cellStyle name="Migliaia 6 3 3 2 2 2 3 2" xfId="22100" xr:uid="{FE489696-0590-4CCF-B047-81C37511D132}"/>
    <cellStyle name="Migliaia 6 3 3 2 2 2 4" xfId="18812" xr:uid="{B90EED35-B235-4EE5-BFEE-E81DFFBDAB4A}"/>
    <cellStyle name="Migliaia 6 3 3 2 2 3" xfId="4840" xr:uid="{9DCC1E2F-EFBD-452B-B848-875994D1FF84}"/>
    <cellStyle name="Migliaia 6 3 3 2 2 3 2" xfId="12325" xr:uid="{4645B914-6316-4709-A6E2-90C35D725E65}"/>
    <cellStyle name="Migliaia 6 3 3 2 2 3 2 2" xfId="15871" xr:uid="{5EA0BB37-0159-4948-952D-7D548CB1F53C}"/>
    <cellStyle name="Migliaia 6 3 3 2 2 3 2 2 2" xfId="31048" xr:uid="{F1264E2F-EC97-4895-A451-36114D6F7E9B}"/>
    <cellStyle name="Migliaia 6 3 3 2 2 3 2 3" xfId="27503" xr:uid="{746E9F84-0169-4605-ACEE-BDEA3F4AEDBB}"/>
    <cellStyle name="Migliaia 6 3 3 2 2 3 3" xfId="8151" xr:uid="{B1BD1F2F-5500-4656-9305-AE6611235305}"/>
    <cellStyle name="Migliaia 6 3 3 2 2 3 3 2" xfId="23331" xr:uid="{34FA5A8F-A28C-4284-8745-AF422B33D9FD}"/>
    <cellStyle name="Migliaia 6 3 3 2 2 3 4" xfId="20043" xr:uid="{7FA005ED-BD77-4039-8ED3-63ACD81677B8}"/>
    <cellStyle name="Migliaia 6 3 3 2 2 4" xfId="2719" xr:uid="{BE33B4D8-F279-4949-B7BA-98CEE0493CD5}"/>
    <cellStyle name="Migliaia 6 3 3 2 2 4 2" xfId="10210" xr:uid="{902774FD-9599-4526-BA6D-0E493786B0C6}"/>
    <cellStyle name="Migliaia 6 3 3 2 2 4 2 2" xfId="25388" xr:uid="{EC931915-2BF6-4A58-8FCF-0139C5A946A5}"/>
    <cellStyle name="Migliaia 6 3 3 2 2 4 3" xfId="17928" xr:uid="{87FA1088-C2B3-49E0-A2AF-363764869D6E}"/>
    <cellStyle name="Migliaia 6 3 3 2 2 5" xfId="8812" xr:uid="{4752E911-3666-49DA-8905-6625CC9192D8}"/>
    <cellStyle name="Migliaia 6 3 3 2 2 5 2" xfId="12985" xr:uid="{8B4EA566-E036-4B5A-A179-D78A6844D38B}"/>
    <cellStyle name="Migliaia 6 3 3 2 2 5 2 2" xfId="28162" xr:uid="{1A3E4135-0586-42BC-AE9C-22178D4276D1}"/>
    <cellStyle name="Migliaia 6 3 3 2 2 5 3" xfId="23990" xr:uid="{A0CFD2DD-42F6-4E32-94BA-20CF5BBCA245}"/>
    <cellStyle name="Migliaia 6 3 3 2 2 6" xfId="6036" xr:uid="{B219F81A-0948-411B-8BCB-000B4B234ADC}"/>
    <cellStyle name="Migliaia 6 3 3 2 2 6 2" xfId="21216" xr:uid="{D6C21FB2-21C4-4F37-918C-D8EA1299F2EE}"/>
    <cellStyle name="Migliaia 6 3 3 2 2 7" xfId="16530" xr:uid="{FFB83FE7-E069-4EA9-B9F8-25A7905DA7FA}"/>
    <cellStyle name="Migliaia 6 3 3 2 3" xfId="2446" xr:uid="{696397A7-7183-48A0-AFC5-2F8F30448FB8}"/>
    <cellStyle name="Migliaia 6 3 3 2 3 2" xfId="9938" xr:uid="{9B99A431-FCA2-44C7-8871-C09FA3E57220}"/>
    <cellStyle name="Migliaia 6 3 3 2 3 2 2" xfId="13597" xr:uid="{5594873A-0234-4AEA-879F-378E8940AB59}"/>
    <cellStyle name="Migliaia 6 3 3 2 3 2 2 2" xfId="28774" xr:uid="{3026DDD2-15C6-49C4-950A-3715D3D349AF}"/>
    <cellStyle name="Migliaia 6 3 3 2 3 2 3" xfId="25116" xr:uid="{C6D5BA7D-FC97-4B1E-94C8-3B8DE2CF8176}"/>
    <cellStyle name="Migliaia 6 3 3 2 3 3" xfId="5764" xr:uid="{35933946-FA72-40E1-88D4-9D33CEC39B74}"/>
    <cellStyle name="Migliaia 6 3 3 2 3 3 2" xfId="20944" xr:uid="{4C825B5D-7169-45CE-A384-DFD9D43F7482}"/>
    <cellStyle name="Migliaia 6 3 3 2 3 4" xfId="17656" xr:uid="{88FEBADF-0C66-446F-B864-1542B2462EA1}"/>
    <cellStyle name="Migliaia 6 3 3 2 4" xfId="3334" xr:uid="{57D26259-C0B7-4DE6-911E-4780136DB2F9}"/>
    <cellStyle name="Migliaia 6 3 3 2 4 2" xfId="10822" xr:uid="{D0DE8E5B-4A39-4AC3-8A7C-AC73DFAA1585}"/>
    <cellStyle name="Migliaia 6 3 3 2 4 2 2" xfId="14368" xr:uid="{98A04CB5-D537-4D21-A769-DB47D3178BC1}"/>
    <cellStyle name="Migliaia 6 3 3 2 4 2 2 2" xfId="29545" xr:uid="{042DE2CA-F84D-4348-B03B-6F0208619CAE}"/>
    <cellStyle name="Migliaia 6 3 3 2 4 2 3" xfId="26000" xr:uid="{27853F3B-CB69-46F1-B79B-B7F3EF8D291E}"/>
    <cellStyle name="Migliaia 6 3 3 2 4 3" xfId="6648" xr:uid="{646436A3-95DC-4581-A6C6-AF86B0573C9F}"/>
    <cellStyle name="Migliaia 6 3 3 2 4 3 2" xfId="21828" xr:uid="{0251404A-72AE-484A-8361-D38F8C71C7FC}"/>
    <cellStyle name="Migliaia 6 3 3 2 4 4" xfId="18540" xr:uid="{0C2A9AFB-4A80-45F6-A160-EB59ED469608}"/>
    <cellStyle name="Migliaia 6 3 3 2 5" xfId="4841" xr:uid="{CEFC645C-305C-43E0-B0FC-1CA07C33FED7}"/>
    <cellStyle name="Migliaia 6 3 3 2 5 2" xfId="12326" xr:uid="{22ABBCD3-7035-407F-A33D-3ED6F14D8A11}"/>
    <cellStyle name="Migliaia 6 3 3 2 5 2 2" xfId="15872" xr:uid="{F02BEF8D-F1EC-44FA-9592-AA9CE3AC0570}"/>
    <cellStyle name="Migliaia 6 3 3 2 5 2 2 2" xfId="31049" xr:uid="{F4F53FA8-F17A-40F9-A00A-0D72D82F7E42}"/>
    <cellStyle name="Migliaia 6 3 3 2 5 2 3" xfId="27504" xr:uid="{12ED005C-C1BC-4795-BA56-1659FE3E3325}"/>
    <cellStyle name="Migliaia 6 3 3 2 5 3" xfId="8152" xr:uid="{A7B1396C-B5E9-4EAD-BCF8-6937FF2E148D}"/>
    <cellStyle name="Migliaia 6 3 3 2 5 3 2" xfId="23332" xr:uid="{A0C79B72-1160-4672-B673-A63E71A127D4}"/>
    <cellStyle name="Migliaia 6 3 3 2 5 4" xfId="20044" xr:uid="{8243E471-A4AD-4086-A5DC-CC1793843D35}"/>
    <cellStyle name="Migliaia 6 3 3 2 6" xfId="5008" xr:uid="{B9F052F9-706C-41FF-9671-8ED4D793E344}"/>
    <cellStyle name="Migliaia 6 3 3 2 6 2" xfId="12492" xr:uid="{5A315D61-AAE4-4054-B2D3-B800F6AD94AA}"/>
    <cellStyle name="Migliaia 6 3 3 2 6 2 2" xfId="16038" xr:uid="{F70545F7-1315-498D-AAB6-BA2EB7834DCE}"/>
    <cellStyle name="Migliaia 6 3 3 2 6 2 2 2" xfId="31215" xr:uid="{B5A109FD-AF57-4BB4-88D1-7F909313B6A8}"/>
    <cellStyle name="Migliaia 6 3 3 2 6 2 3" xfId="27670" xr:uid="{67533D6A-C3D8-463E-B065-C7D9DCAA0AF2}"/>
    <cellStyle name="Migliaia 6 3 3 2 6 3" xfId="8318" xr:uid="{DF94AC57-9882-480A-88FF-AB53AA838CC6}"/>
    <cellStyle name="Migliaia 6 3 3 2 6 3 2" xfId="23498" xr:uid="{AA88C6D9-EACA-44D8-BB35-840F8067524C}"/>
    <cellStyle name="Migliaia 6 3 3 2 6 4" xfId="20210" xr:uid="{8098D0F1-A732-4000-822E-51B958ED00B9}"/>
    <cellStyle name="Migliaia 6 3 3 2 7" xfId="1829" xr:uid="{86A00135-C508-45B8-9424-77864D27F12C}"/>
    <cellStyle name="Migliaia 6 3 3 2 7 2" xfId="9326" xr:uid="{91138031-E042-40B1-8B71-71A71819FFBF}"/>
    <cellStyle name="Migliaia 6 3 3 2 7 2 2" xfId="24504" xr:uid="{B492DB40-6B31-4C31-A640-2608EB15ADA7}"/>
    <cellStyle name="Migliaia 6 3 3 2 7 3" xfId="17044" xr:uid="{66DC3494-AF50-47A7-A116-C5F00DAFF2A2}"/>
    <cellStyle name="Migliaia 6 3 3 2 8" xfId="8540" xr:uid="{7E62FAE3-D27D-4078-8003-FD881B3FB694}"/>
    <cellStyle name="Migliaia 6 3 3 2 8 2" xfId="12713" xr:uid="{674F02F0-6C78-4828-AA6C-4963CC434BFC}"/>
    <cellStyle name="Migliaia 6 3 3 2 8 2 2" xfId="27890" xr:uid="{DD2F4917-BD18-4BA4-89D7-752B9C2898E2}"/>
    <cellStyle name="Migliaia 6 3 3 2 8 3" xfId="23718" xr:uid="{30082CE9-23AA-4A17-AD83-5E2C5B61A27D}"/>
    <cellStyle name="Migliaia 6 3 3 2 9" xfId="5152" xr:uid="{D67C37E9-0110-487D-A91C-87D5772791E5}"/>
    <cellStyle name="Migliaia 6 3 3 2 9 2" xfId="20332" xr:uid="{C18DDBB2-4FF7-43B5-80F8-EAB4A79C0570}"/>
    <cellStyle name="Migliaia 6 3 3 3" xfId="1031" xr:uid="{E4725F58-B837-4620-B534-503282FAD380}"/>
    <cellStyle name="Migliaia 6 3 3 3 10" xfId="31576" xr:uid="{5BA72B73-B7FD-4681-BE02-0EBC6C2B96A0}"/>
    <cellStyle name="Migliaia 6 3 3 3 2" xfId="1391" xr:uid="{2442E729-E491-40F5-B167-E2F6B1714387}"/>
    <cellStyle name="Migliaia 6 3 3 3 2 2" xfId="3704" xr:uid="{31419969-40DC-4408-A99B-020FC94AB524}"/>
    <cellStyle name="Migliaia 6 3 3 3 2 2 2" xfId="11192" xr:uid="{D0A740E4-581C-4E11-8A32-773FAAF9D87D}"/>
    <cellStyle name="Migliaia 6 3 3 3 2 2 2 2" xfId="14738" xr:uid="{87CDFFC1-42C3-48C9-BAFF-969D1C00351F}"/>
    <cellStyle name="Migliaia 6 3 3 3 2 2 2 2 2" xfId="29915" xr:uid="{7E8907B7-55C2-4074-BF8D-EBA019E2035C}"/>
    <cellStyle name="Migliaia 6 3 3 3 2 2 2 3" xfId="26370" xr:uid="{71D21513-D88A-4916-A9EC-14044E6BC7DF}"/>
    <cellStyle name="Migliaia 6 3 3 3 2 2 3" xfId="7018" xr:uid="{A3682FF7-5CCE-4B95-828C-ED2BF3657A76}"/>
    <cellStyle name="Migliaia 6 3 3 3 2 2 3 2" xfId="22198" xr:uid="{44EBC1B9-A6B1-4B48-8CFE-9DA3EC489F79}"/>
    <cellStyle name="Migliaia 6 3 3 3 2 2 4" xfId="18910" xr:uid="{6B1597B7-1F30-4D9A-932F-B93516F73433}"/>
    <cellStyle name="Migliaia 6 3 3 3 2 3" xfId="4842" xr:uid="{527A32AE-422A-4221-B80D-82B5765DADA8}"/>
    <cellStyle name="Migliaia 6 3 3 3 2 3 2" xfId="12327" xr:uid="{745C4FA3-53D1-4D66-BF65-10D5521A0048}"/>
    <cellStyle name="Migliaia 6 3 3 3 2 3 2 2" xfId="15873" xr:uid="{168BD8B7-63C3-4208-8613-A2A1709F608B}"/>
    <cellStyle name="Migliaia 6 3 3 3 2 3 2 2 2" xfId="31050" xr:uid="{AA697F76-A5B4-45CE-B904-6A17411FE905}"/>
    <cellStyle name="Migliaia 6 3 3 3 2 3 2 3" xfId="27505" xr:uid="{97C6EB9B-DF66-4869-81A1-76F260672617}"/>
    <cellStyle name="Migliaia 6 3 3 3 2 3 3" xfId="8153" xr:uid="{F6F59BBB-7C5C-4A92-98CE-253E469918E5}"/>
    <cellStyle name="Migliaia 6 3 3 3 2 3 3 2" xfId="23333" xr:uid="{16BC3250-1E1B-4441-86DD-0F6E68E0C97A}"/>
    <cellStyle name="Migliaia 6 3 3 3 2 3 4" xfId="20045" xr:uid="{29AE5EA0-CC66-4604-BEE0-E943179344EE}"/>
    <cellStyle name="Migliaia 6 3 3 3 2 4" xfId="2817" xr:uid="{7530DC44-2EC2-4ACC-8C21-2011C0B06E1D}"/>
    <cellStyle name="Migliaia 6 3 3 3 2 4 2" xfId="10308" xr:uid="{C9D9A6CF-BC6D-41A8-B4D6-C270BAD73B1E}"/>
    <cellStyle name="Migliaia 6 3 3 3 2 4 2 2" xfId="25486" xr:uid="{AEE9E6EB-4BA3-4045-900A-C952E2552861}"/>
    <cellStyle name="Migliaia 6 3 3 3 2 4 3" xfId="18026" xr:uid="{CF54562B-F383-4C81-96D4-DBF7D14E7049}"/>
    <cellStyle name="Migliaia 6 3 3 3 2 5" xfId="8910" xr:uid="{505C3CF1-178B-466D-9F2E-A9593A8D5CFF}"/>
    <cellStyle name="Migliaia 6 3 3 3 2 5 2" xfId="13083" xr:uid="{B188C38F-599B-42BC-BA1C-0A1E92BCDDC4}"/>
    <cellStyle name="Migliaia 6 3 3 3 2 5 2 2" xfId="28260" xr:uid="{6B99A58B-205A-40D4-8885-376062E313E1}"/>
    <cellStyle name="Migliaia 6 3 3 3 2 5 3" xfId="24088" xr:uid="{0F2DD4F6-A34A-4FC2-8155-245B2CD0D006}"/>
    <cellStyle name="Migliaia 6 3 3 3 2 6" xfId="6134" xr:uid="{6F8A3A46-DC98-4F7E-85C8-3F8AF524ED29}"/>
    <cellStyle name="Migliaia 6 3 3 3 2 6 2" xfId="21314" xr:uid="{82AC2C67-B749-46C5-9F73-02763D73EE69}"/>
    <cellStyle name="Migliaia 6 3 3 3 2 7" xfId="16628" xr:uid="{D640D3EE-CF1F-4DE9-8D03-A62C69DE40F5}"/>
    <cellStyle name="Migliaia 6 3 3 3 3" xfId="2544" xr:uid="{057D1A9A-A075-4420-82BF-D6371EACA867}"/>
    <cellStyle name="Migliaia 6 3 3 3 3 2" xfId="10036" xr:uid="{61DAA0AB-FAA9-492A-836D-245B903DD17B}"/>
    <cellStyle name="Migliaia 6 3 3 3 3 2 2" xfId="13695" xr:uid="{CF7B5EA8-9330-495B-B19C-2073DCF227D7}"/>
    <cellStyle name="Migliaia 6 3 3 3 3 2 2 2" xfId="28872" xr:uid="{52C24490-BBD7-4EDE-BC8F-1D4280E212E0}"/>
    <cellStyle name="Migliaia 6 3 3 3 3 2 3" xfId="25214" xr:uid="{11B24D03-627D-4FFF-8C19-B4690BFA5298}"/>
    <cellStyle name="Migliaia 6 3 3 3 3 3" xfId="5862" xr:uid="{7DDA6C7A-A2C9-43AA-BED4-CA7551BBA4FB}"/>
    <cellStyle name="Migliaia 6 3 3 3 3 3 2" xfId="21042" xr:uid="{7463BD40-7B98-41A2-AAEE-482A169086F6}"/>
    <cellStyle name="Migliaia 6 3 3 3 3 4" xfId="17754" xr:uid="{46ADED74-4F99-4F98-AD0A-769DD95C7D64}"/>
    <cellStyle name="Migliaia 6 3 3 3 4" xfId="3432" xr:uid="{B41A46D5-62A9-413B-8412-E3492D6C4805}"/>
    <cellStyle name="Migliaia 6 3 3 3 4 2" xfId="10920" xr:uid="{B957BCCB-4399-4267-8BBD-33D9154BD714}"/>
    <cellStyle name="Migliaia 6 3 3 3 4 2 2" xfId="14466" xr:uid="{15A01DEB-8C18-4EA2-A37A-1C0E335339F3}"/>
    <cellStyle name="Migliaia 6 3 3 3 4 2 2 2" xfId="29643" xr:uid="{21872202-4C35-4603-8F7D-D209A94253FA}"/>
    <cellStyle name="Migliaia 6 3 3 3 4 2 3" xfId="26098" xr:uid="{10418DD2-B3D4-4E5D-A797-C6F173E7C1EF}"/>
    <cellStyle name="Migliaia 6 3 3 3 4 3" xfId="6746" xr:uid="{ECDFAC27-68D7-40CD-A207-C5F85903590B}"/>
    <cellStyle name="Migliaia 6 3 3 3 4 3 2" xfId="21926" xr:uid="{7F691BE9-ACDD-4E29-ADFD-56B5CB3206A4}"/>
    <cellStyle name="Migliaia 6 3 3 3 4 4" xfId="18638" xr:uid="{5DC75FEF-C23E-4D4B-BE8F-3866132D852C}"/>
    <cellStyle name="Migliaia 6 3 3 3 5" xfId="4843" xr:uid="{76BF9841-964A-426E-ADBA-498E260F7BFC}"/>
    <cellStyle name="Migliaia 6 3 3 3 5 2" xfId="12328" xr:uid="{710BA8F2-9FE4-494D-B17E-058C1E261F55}"/>
    <cellStyle name="Migliaia 6 3 3 3 5 2 2" xfId="15874" xr:uid="{A2C6A593-988F-4B36-9E70-CBE61480D9A1}"/>
    <cellStyle name="Migliaia 6 3 3 3 5 2 2 2" xfId="31051" xr:uid="{F9346ADE-15D4-4265-92BB-6333FC66C839}"/>
    <cellStyle name="Migliaia 6 3 3 3 5 2 3" xfId="27506" xr:uid="{2D2522A0-52F9-4819-B3B7-52168E725EE4}"/>
    <cellStyle name="Migliaia 6 3 3 3 5 3" xfId="8154" xr:uid="{C4B93FAB-F19F-4B8C-A72B-4DC560321F9B}"/>
    <cellStyle name="Migliaia 6 3 3 3 5 3 2" xfId="23334" xr:uid="{8E8C461C-AB12-4BB1-98E2-F6AE5F6498A1}"/>
    <cellStyle name="Migliaia 6 3 3 3 5 4" xfId="20046" xr:uid="{8DCA4733-B6A8-47B1-AC28-AA62B1C7BCA2}"/>
    <cellStyle name="Migliaia 6 3 3 3 6" xfId="1927" xr:uid="{E2BD1278-9314-48CA-AE4E-2E289EB0003E}"/>
    <cellStyle name="Migliaia 6 3 3 3 6 2" xfId="9424" xr:uid="{6C1AFA4C-2C01-4961-9F0A-69551291F600}"/>
    <cellStyle name="Migliaia 6 3 3 3 6 2 2" xfId="24602" xr:uid="{6F2F5F77-D298-4ED4-B941-5BD93760C162}"/>
    <cellStyle name="Migliaia 6 3 3 3 6 3" xfId="17142" xr:uid="{BE10ACC5-0ECB-4649-98D0-BD987DE15DE6}"/>
    <cellStyle name="Migliaia 6 3 3 3 7" xfId="8638" xr:uid="{E4333DE0-0355-4373-89CC-A9D6453E6A88}"/>
    <cellStyle name="Migliaia 6 3 3 3 7 2" xfId="12811" xr:uid="{FC3267BB-0357-4EAC-B4F1-5C820EADAD6E}"/>
    <cellStyle name="Migliaia 6 3 3 3 7 2 2" xfId="27988" xr:uid="{5A648B26-35CD-4F65-AC32-F76CCBE062C8}"/>
    <cellStyle name="Migliaia 6 3 3 3 7 3" xfId="23816" xr:uid="{38B4117F-D030-4E0F-9DF0-F12D226C87CF}"/>
    <cellStyle name="Migliaia 6 3 3 3 8" xfId="5250" xr:uid="{593DD871-06EB-4A0C-8125-8146F1E57A9A}"/>
    <cellStyle name="Migliaia 6 3 3 3 8 2" xfId="20430" xr:uid="{4C4F6C44-A04D-4A2F-B4E7-665FD80B4421}"/>
    <cellStyle name="Migliaia 6 3 3 3 9" xfId="16356" xr:uid="{99A76F44-C740-4D71-8AF2-8691E4DEB7CC}"/>
    <cellStyle name="Migliaia 6 3 3 4" xfId="1490" xr:uid="{E915F362-ACB5-476E-8E15-9445D4E30A78}"/>
    <cellStyle name="Migliaia 6 3 3 4 2" xfId="2915" xr:uid="{05C1EEC1-686A-45FE-B90C-85741E46C08D}"/>
    <cellStyle name="Migliaia 6 3 3 4 2 2" xfId="10406" xr:uid="{44B5ABC0-3AE9-4417-833B-F6BFB5E12FFD}"/>
    <cellStyle name="Migliaia 6 3 3 4 2 2 2" xfId="13952" xr:uid="{FB5DDCD0-BAA5-48DA-8E67-659037D90EBC}"/>
    <cellStyle name="Migliaia 6 3 3 4 2 2 2 2" xfId="29129" xr:uid="{F3040579-5B47-4143-AE9F-CCEF9BA21197}"/>
    <cellStyle name="Migliaia 6 3 3 4 2 2 3" xfId="25584" xr:uid="{571AF983-2517-44EC-A1DF-6B148F0178C2}"/>
    <cellStyle name="Migliaia 6 3 3 4 2 3" xfId="6232" xr:uid="{1A3D48B3-6587-4589-B883-8FB03BC41797}"/>
    <cellStyle name="Migliaia 6 3 3 4 2 3 2" xfId="21412" xr:uid="{AE887D59-A71C-44B4-AA42-6CC69225EFB4}"/>
    <cellStyle name="Migliaia 6 3 3 4 2 4" xfId="18124" xr:uid="{04588784-7E14-4D71-A26B-5C702709315F}"/>
    <cellStyle name="Migliaia 6 3 3 4 3" xfId="3802" xr:uid="{0B192A41-7C88-4B98-81F6-9B7594A34A1F}"/>
    <cellStyle name="Migliaia 6 3 3 4 3 2" xfId="11290" xr:uid="{8B9257DD-ABB3-480A-AE75-7880D453A12D}"/>
    <cellStyle name="Migliaia 6 3 3 4 3 2 2" xfId="14836" xr:uid="{891BAC74-7C8F-41BF-ABE4-EDDCA9B98E56}"/>
    <cellStyle name="Migliaia 6 3 3 4 3 2 2 2" xfId="30013" xr:uid="{DD572283-D730-47FB-9C13-49F7860D507A}"/>
    <cellStyle name="Migliaia 6 3 3 4 3 2 3" xfId="26468" xr:uid="{0FEA9A8F-910B-4D9D-B9B7-8FF578F6F0FF}"/>
    <cellStyle name="Migliaia 6 3 3 4 3 3" xfId="7116" xr:uid="{467707FD-D09D-47BA-AF90-912780748C50}"/>
    <cellStyle name="Migliaia 6 3 3 4 3 3 2" xfId="22296" xr:uid="{F0581DE8-55F4-44BB-B1D8-6D19E48CB594}"/>
    <cellStyle name="Migliaia 6 3 3 4 3 4" xfId="19008" xr:uid="{E153455E-60D0-4A97-8380-F27645B9D8D2}"/>
    <cellStyle name="Migliaia 6 3 3 4 4" xfId="4844" xr:uid="{7D7C5189-2609-494B-91F3-A0C75272D474}"/>
    <cellStyle name="Migliaia 6 3 3 4 4 2" xfId="12329" xr:uid="{F7A2FBF3-BAA9-4CDC-AC51-3513CF5C901C}"/>
    <cellStyle name="Migliaia 6 3 3 4 4 2 2" xfId="15875" xr:uid="{55FC2EF1-436B-4B58-B6B7-50EEB7784E5F}"/>
    <cellStyle name="Migliaia 6 3 3 4 4 2 2 2" xfId="31052" xr:uid="{6ECD8939-6CE6-4470-BD74-66861BB07BF0}"/>
    <cellStyle name="Migliaia 6 3 3 4 4 2 3" xfId="27507" xr:uid="{66FA8F80-36CC-4A06-8E56-6E97FFCD04D6}"/>
    <cellStyle name="Migliaia 6 3 3 4 4 3" xfId="8155" xr:uid="{4B69B038-729E-4FC5-B46C-69729C7B0C43}"/>
    <cellStyle name="Migliaia 6 3 3 4 4 3 2" xfId="23335" xr:uid="{F735A685-1F07-4602-989A-3315B1C79BFD}"/>
    <cellStyle name="Migliaia 6 3 3 4 4 4" xfId="20047" xr:uid="{424EACCF-20ED-47E2-869E-64A44E772A52}"/>
    <cellStyle name="Migliaia 6 3 3 4 5" xfId="2025" xr:uid="{645264A8-B28B-47FC-B448-68B896F5C9FE}"/>
    <cellStyle name="Migliaia 6 3 3 4 5 2" xfId="9522" xr:uid="{969D834E-DB8E-4BD8-9528-B72B64C14C99}"/>
    <cellStyle name="Migliaia 6 3 3 4 5 2 2" xfId="24700" xr:uid="{CE99F4DD-9144-4ABC-B1E4-6B6F46BB67E2}"/>
    <cellStyle name="Migliaia 6 3 3 4 5 3" xfId="17240" xr:uid="{68E5EE35-44CD-4BDE-94F9-44F8E6FE70C0}"/>
    <cellStyle name="Migliaia 6 3 3 4 6" xfId="9008" xr:uid="{B160155A-0CBA-4026-A822-2DF25527200B}"/>
    <cellStyle name="Migliaia 6 3 3 4 6 2" xfId="13181" xr:uid="{3E791F63-FFD9-4BD4-95AC-E68685A184A3}"/>
    <cellStyle name="Migliaia 6 3 3 4 6 2 2" xfId="28358" xr:uid="{828936F9-8CE5-46DC-BEB3-A75AA85FF0EF}"/>
    <cellStyle name="Migliaia 6 3 3 4 6 3" xfId="24186" xr:uid="{E57A2BF3-6788-49EB-B220-4B0890FA5848}"/>
    <cellStyle name="Migliaia 6 3 3 4 7" xfId="5348" xr:uid="{544FF0DF-615F-482E-AC72-FBD18FD03475}"/>
    <cellStyle name="Migliaia 6 3 3 4 7 2" xfId="20528" xr:uid="{8CD68712-89E6-4286-B154-5299922C5000}"/>
    <cellStyle name="Migliaia 6 3 3 4 8" xfId="16726" xr:uid="{A826601E-AC53-46C7-89A7-42865EF93C91}"/>
    <cellStyle name="Migliaia 6 3 3 5" xfId="1593" xr:uid="{22ACB5B0-BEDA-4562-9C82-F089D6CF857A}"/>
    <cellStyle name="Migliaia 6 3 3 5 2" xfId="3013" xr:uid="{830B1A5E-FE47-401C-BCE9-7B5D54DBAAED}"/>
    <cellStyle name="Migliaia 6 3 3 5 2 2" xfId="10504" xr:uid="{10A7DD65-9F3E-405D-BA3B-725352DF0ACF}"/>
    <cellStyle name="Migliaia 6 3 3 5 2 2 2" xfId="14050" xr:uid="{48AA1F91-6E7E-4B32-9631-C00EA1DA90AA}"/>
    <cellStyle name="Migliaia 6 3 3 5 2 2 2 2" xfId="29227" xr:uid="{A7BBD3FC-2486-43F2-A6DA-4C81387BB153}"/>
    <cellStyle name="Migliaia 6 3 3 5 2 2 3" xfId="25682" xr:uid="{1F154C0A-F3E3-4D5D-BC2F-D665A6870CA2}"/>
    <cellStyle name="Migliaia 6 3 3 5 2 3" xfId="6330" xr:uid="{0A933383-761B-4B52-B29A-3F181980AFB4}"/>
    <cellStyle name="Migliaia 6 3 3 5 2 3 2" xfId="21510" xr:uid="{55764DA8-EBFA-4791-B139-9A1D5BA29D30}"/>
    <cellStyle name="Migliaia 6 3 3 5 2 4" xfId="18222" xr:uid="{BA9E8358-2D18-4FEC-B0A4-6AD6B444E6A8}"/>
    <cellStyle name="Migliaia 6 3 3 5 3" xfId="3900" xr:uid="{97F24D4E-1420-4C93-BDCB-B826593A39DD}"/>
    <cellStyle name="Migliaia 6 3 3 5 3 2" xfId="11388" xr:uid="{0DC941DA-DE05-4E43-BAD1-6A80E7723533}"/>
    <cellStyle name="Migliaia 6 3 3 5 3 2 2" xfId="14934" xr:uid="{D9A683F2-3BBD-40D9-84DB-A65BFCB68302}"/>
    <cellStyle name="Migliaia 6 3 3 5 3 2 2 2" xfId="30111" xr:uid="{2F53FBF6-FD34-4994-806D-D8D7DDE9C99A}"/>
    <cellStyle name="Migliaia 6 3 3 5 3 2 3" xfId="26566" xr:uid="{E3E7ABEF-9E63-4ECE-A559-47FBB97406BD}"/>
    <cellStyle name="Migliaia 6 3 3 5 3 3" xfId="7214" xr:uid="{72E3C0AC-C71B-4EC9-BAA4-22972A740E9E}"/>
    <cellStyle name="Migliaia 6 3 3 5 3 3 2" xfId="22394" xr:uid="{AAA2B6DE-F8B8-4A2F-BC13-564BC3737784}"/>
    <cellStyle name="Migliaia 6 3 3 5 3 4" xfId="19106" xr:uid="{2270048A-EC79-4569-80F9-66768E701461}"/>
    <cellStyle name="Migliaia 6 3 3 5 4" xfId="4845" xr:uid="{0FCA81D1-27BD-47E2-ABD1-BE66374139C7}"/>
    <cellStyle name="Migliaia 6 3 3 5 4 2" xfId="12330" xr:uid="{2CA44B9D-63FE-4929-8932-FAE497E05831}"/>
    <cellStyle name="Migliaia 6 3 3 5 4 2 2" xfId="15876" xr:uid="{62294F06-1458-4420-AB48-D10FE7B095BB}"/>
    <cellStyle name="Migliaia 6 3 3 5 4 2 2 2" xfId="31053" xr:uid="{A48D7F9D-9A61-4252-B65D-AE00C2EFCB16}"/>
    <cellStyle name="Migliaia 6 3 3 5 4 2 3" xfId="27508" xr:uid="{AB4B39A9-B4EE-4BCC-A040-E898EE996BFC}"/>
    <cellStyle name="Migliaia 6 3 3 5 4 3" xfId="8156" xr:uid="{AC3BBB24-810E-47BF-8A43-F31E81929032}"/>
    <cellStyle name="Migliaia 6 3 3 5 4 3 2" xfId="23336" xr:uid="{0BA3F8E2-A311-43B3-956F-5F2DD50C3DE7}"/>
    <cellStyle name="Migliaia 6 3 3 5 4 4" xfId="20048" xr:uid="{49701952-CF6F-4134-9799-AE369909A8BA}"/>
    <cellStyle name="Migliaia 6 3 3 5 5" xfId="2123" xr:uid="{D8B2B477-D283-4A20-91B2-96ABBD9C31DE}"/>
    <cellStyle name="Migliaia 6 3 3 5 5 2" xfId="9620" xr:uid="{A9020BA0-545B-4E1A-A791-281D75E3D610}"/>
    <cellStyle name="Migliaia 6 3 3 5 5 2 2" xfId="24798" xr:uid="{2AC7D309-0266-46FD-B189-7EE6C3ECC973}"/>
    <cellStyle name="Migliaia 6 3 3 5 5 3" xfId="17338" xr:uid="{49D2766B-D237-4C17-9698-44EA5C7A319D}"/>
    <cellStyle name="Migliaia 6 3 3 5 6" xfId="9106" xr:uid="{E7A241B7-E544-4777-8FB9-C595914095A5}"/>
    <cellStyle name="Migliaia 6 3 3 5 6 2" xfId="13279" xr:uid="{D01C84B4-E754-423C-858C-396646074C6B}"/>
    <cellStyle name="Migliaia 6 3 3 5 6 2 2" xfId="28456" xr:uid="{592B7B86-4CA5-42FB-BD74-73150B364BEA}"/>
    <cellStyle name="Migliaia 6 3 3 5 6 3" xfId="24284" xr:uid="{27805D5B-28B7-4B40-95EE-3E1C8D74ACD7}"/>
    <cellStyle name="Migliaia 6 3 3 5 7" xfId="5446" xr:uid="{062DA920-A9CB-4E6C-99BF-FD209F680D0C}"/>
    <cellStyle name="Migliaia 6 3 3 5 7 2" xfId="20626" xr:uid="{54BB878E-EAB8-401A-94FD-613CC30281F3}"/>
    <cellStyle name="Migliaia 6 3 3 5 8" xfId="16824" xr:uid="{41433548-4E29-4783-B2F7-5FCE66369488}"/>
    <cellStyle name="Migliaia 6 3 3 6" xfId="1692" xr:uid="{C01BFA57-47BC-460C-8C3C-A22921DC1BE0}"/>
    <cellStyle name="Migliaia 6 3 3 6 2" xfId="3111" xr:uid="{1ADB9C1F-664A-4895-906F-F06549929564}"/>
    <cellStyle name="Migliaia 6 3 3 6 2 2" xfId="10602" xr:uid="{41AA0457-0708-4AAE-A405-D2F0761FED17}"/>
    <cellStyle name="Migliaia 6 3 3 6 2 2 2" xfId="14148" xr:uid="{C57CAA04-7880-4605-A055-CAC9D3E04887}"/>
    <cellStyle name="Migliaia 6 3 3 6 2 2 2 2" xfId="29325" xr:uid="{A399CFFB-1C91-4A20-8839-5F4F93B5D654}"/>
    <cellStyle name="Migliaia 6 3 3 6 2 2 3" xfId="25780" xr:uid="{7A8AC750-F881-4EFA-B6E8-7277D33946D5}"/>
    <cellStyle name="Migliaia 6 3 3 6 2 3" xfId="6428" xr:uid="{7B8DB8D4-D2F3-43C7-99BE-2F02DE5D68A3}"/>
    <cellStyle name="Migliaia 6 3 3 6 2 3 2" xfId="21608" xr:uid="{1FD9222E-460C-40DB-ABCA-2472BBC67AF9}"/>
    <cellStyle name="Migliaia 6 3 3 6 2 4" xfId="18320" xr:uid="{86FB8A50-F94C-4061-B98E-EFD2ACF38AD5}"/>
    <cellStyle name="Migliaia 6 3 3 6 3" xfId="3998" xr:uid="{15C6B1F0-8DB8-414F-AD7B-42797DCC2AE6}"/>
    <cellStyle name="Migliaia 6 3 3 6 3 2" xfId="11486" xr:uid="{59998A40-E29A-4C44-AD5A-CF7E330DCAC2}"/>
    <cellStyle name="Migliaia 6 3 3 6 3 2 2" xfId="15032" xr:uid="{66945174-9D26-4326-8F52-05CEC0DC3642}"/>
    <cellStyle name="Migliaia 6 3 3 6 3 2 2 2" xfId="30209" xr:uid="{02AE6490-16D1-4D5D-8933-EB510B88B6C6}"/>
    <cellStyle name="Migliaia 6 3 3 6 3 2 3" xfId="26664" xr:uid="{FC9C729B-254C-4E60-B70C-595D7DD28E06}"/>
    <cellStyle name="Migliaia 6 3 3 6 3 3" xfId="7312" xr:uid="{40AA2609-715C-4218-A4D5-27A0FFD66316}"/>
    <cellStyle name="Migliaia 6 3 3 6 3 3 2" xfId="22492" xr:uid="{E853A825-4E04-43D2-BF10-154F48CB1D48}"/>
    <cellStyle name="Migliaia 6 3 3 6 3 4" xfId="19204" xr:uid="{CDFB1DA1-1610-4837-9841-F3F91644A803}"/>
    <cellStyle name="Migliaia 6 3 3 6 4" xfId="4846" xr:uid="{CEF783D6-4029-40FE-9883-3C68FFDEBC96}"/>
    <cellStyle name="Migliaia 6 3 3 6 4 2" xfId="12331" xr:uid="{A319C411-6EAD-46B6-B6EF-EE96C13DB94A}"/>
    <cellStyle name="Migliaia 6 3 3 6 4 2 2" xfId="15877" xr:uid="{0ACF4549-0E3A-492C-B9B6-E3103B5C0880}"/>
    <cellStyle name="Migliaia 6 3 3 6 4 2 2 2" xfId="31054" xr:uid="{20E1C4F7-BCAA-40AC-956B-A0AF3020CFA2}"/>
    <cellStyle name="Migliaia 6 3 3 6 4 2 3" xfId="27509" xr:uid="{919C06A1-B1C6-4685-B513-936486CC8077}"/>
    <cellStyle name="Migliaia 6 3 3 6 4 3" xfId="8157" xr:uid="{DF056C58-0686-4627-A5AF-79352D7F749A}"/>
    <cellStyle name="Migliaia 6 3 3 6 4 3 2" xfId="23337" xr:uid="{E59A330E-C6E1-4A8C-8419-534DFEC94C9D}"/>
    <cellStyle name="Migliaia 6 3 3 6 4 4" xfId="20049" xr:uid="{F5852AE0-0D38-48A7-BF88-F8126AA71C97}"/>
    <cellStyle name="Migliaia 6 3 3 6 5" xfId="2221" xr:uid="{867A4DC8-2FC5-454B-B221-48823528C8B4}"/>
    <cellStyle name="Migliaia 6 3 3 6 5 2" xfId="9718" xr:uid="{C84359B9-A71A-4E5D-9BAA-BF07D6050DBC}"/>
    <cellStyle name="Migliaia 6 3 3 6 5 2 2" xfId="24896" xr:uid="{B2710909-FB76-4AA8-8ED4-91D9226925EA}"/>
    <cellStyle name="Migliaia 6 3 3 6 5 3" xfId="17436" xr:uid="{3509EDF0-A791-4AC1-A13B-8D7B1F050F79}"/>
    <cellStyle name="Migliaia 6 3 3 6 6" xfId="9204" xr:uid="{AEC46A11-E3B9-478B-A047-2A9020CDEEB7}"/>
    <cellStyle name="Migliaia 6 3 3 6 6 2" xfId="13377" xr:uid="{D439D971-7900-41B8-A8FA-EBF03CDE93E6}"/>
    <cellStyle name="Migliaia 6 3 3 6 6 2 2" xfId="28554" xr:uid="{FB030D35-55F5-4A7D-BF56-F631EF82F5CC}"/>
    <cellStyle name="Migliaia 6 3 3 6 6 3" xfId="24382" xr:uid="{04394C43-8E9E-4DDA-9F76-9BFF5FAD7994}"/>
    <cellStyle name="Migliaia 6 3 3 6 7" xfId="5544" xr:uid="{C5D754E2-B7E9-4C3D-950F-238B9A55AA23}"/>
    <cellStyle name="Migliaia 6 3 3 6 7 2" xfId="20724" xr:uid="{BE675946-7E30-4E8A-B809-3EC7F5550FFF}"/>
    <cellStyle name="Migliaia 6 3 3 6 8" xfId="16922" xr:uid="{EC700E6A-D13E-45D6-92D2-D528F0E0FABC}"/>
    <cellStyle name="Migliaia 6 3 3 7" xfId="2321" xr:uid="{C26BE4FF-5AAC-43AC-9D3F-FF36E973684D}"/>
    <cellStyle name="Migliaia 6 3 3 7 2" xfId="9816" xr:uid="{03E93C95-628C-40E1-BC57-A08BAEAB0D02}"/>
    <cellStyle name="Migliaia 6 3 3 7 2 2" xfId="13475" xr:uid="{26B4930A-D73B-48B8-9272-59993CBFF0B1}"/>
    <cellStyle name="Migliaia 6 3 3 7 2 2 2" xfId="28652" xr:uid="{03877434-A437-44F2-AC61-C15CDC81C078}"/>
    <cellStyle name="Migliaia 6 3 3 7 2 3" xfId="24994" xr:uid="{223C123B-11F8-49B0-9211-C32FE5C5A2EF}"/>
    <cellStyle name="Migliaia 6 3 3 7 3" xfId="5642" xr:uid="{52C0813B-A345-4E8A-A79A-37DFA9B2155E}"/>
    <cellStyle name="Migliaia 6 3 3 7 3 2" xfId="20822" xr:uid="{4129C9C2-800D-40D3-8862-9FB22F7B880D}"/>
    <cellStyle name="Migliaia 6 3 3 7 4" xfId="17534" xr:uid="{D2CE158A-D312-4513-B4E5-37E5A9354F95}"/>
    <cellStyle name="Migliaia 6 3 3 8" xfId="3211" xr:uid="{1597EAFD-E5D0-4817-9396-F58268E7E783}"/>
    <cellStyle name="Migliaia 6 3 3 8 2" xfId="10700" xr:uid="{85B5A24E-A087-45F5-B9CB-E18F53B8A1B8}"/>
    <cellStyle name="Migliaia 6 3 3 8 2 2" xfId="14246" xr:uid="{FC1DCE37-8280-4282-A457-E28F3B3D5018}"/>
    <cellStyle name="Migliaia 6 3 3 8 2 2 2" xfId="29423" xr:uid="{6722B267-3BAE-4E62-ABF6-E2634568CC56}"/>
    <cellStyle name="Migliaia 6 3 3 8 2 3" xfId="25878" xr:uid="{F9163A74-7964-44DD-B2C8-9BAACAE8A5DD}"/>
    <cellStyle name="Migliaia 6 3 3 8 3" xfId="6526" xr:uid="{558E12E8-A178-4B4B-94CB-B8858F953950}"/>
    <cellStyle name="Migliaia 6 3 3 8 3 2" xfId="21706" xr:uid="{F001052A-04F6-43CC-8DB6-8B0F9250E260}"/>
    <cellStyle name="Migliaia 6 3 3 8 4" xfId="18418" xr:uid="{D95F8775-1D64-41F3-B7F1-48E72C526394}"/>
    <cellStyle name="Migliaia 6 3 3 9" xfId="4847" xr:uid="{93150243-1A6A-471F-9378-B4FB11C66B29}"/>
    <cellStyle name="Migliaia 6 3 3 9 2" xfId="12332" xr:uid="{9B091A6E-E671-43E9-B6D3-64E5A439679D}"/>
    <cellStyle name="Migliaia 6 3 3 9 2 2" xfId="15878" xr:uid="{29FBAE30-5436-40A8-8098-D01DA0693B3D}"/>
    <cellStyle name="Migliaia 6 3 3 9 2 2 2" xfId="31055" xr:uid="{69939501-18FC-4E0A-AF70-9A67BEE72CF5}"/>
    <cellStyle name="Migliaia 6 3 3 9 2 3" xfId="27510" xr:uid="{5D5B2486-EF49-41C2-9472-C454BDB83229}"/>
    <cellStyle name="Migliaia 6 3 3 9 3" xfId="8158" xr:uid="{68CAEE03-4286-4D9B-B4F2-892DF9707320}"/>
    <cellStyle name="Migliaia 6 3 3 9 3 2" xfId="23338" xr:uid="{80AB6134-DB5C-4C49-A55F-EA75354E4702}"/>
    <cellStyle name="Migliaia 6 3 3 9 4" xfId="20050" xr:uid="{A1C924AD-999B-4969-9C45-6D822CD63531}"/>
    <cellStyle name="Migliaia 6 3 4" xfId="879" xr:uid="{266D950D-591F-48D8-B066-B994C7A75853}"/>
    <cellStyle name="Migliaia 6 3 4 2" xfId="2397" xr:uid="{1067B4CF-0CAE-4F43-80C1-E1B938F9DD21}"/>
    <cellStyle name="Migliaia 6 3 4 2 2" xfId="9889" xr:uid="{B282D69D-5CEC-4FFE-9BEA-57656829D01B}"/>
    <cellStyle name="Migliaia 6 3 4 2 2 2" xfId="13548" xr:uid="{66A68912-D190-4EC8-9DB1-275DC94EE3A5}"/>
    <cellStyle name="Migliaia 6 3 4 2 2 2 2" xfId="28725" xr:uid="{1A3A3B49-9D53-42A3-ACD1-1B73D0ADFE7C}"/>
    <cellStyle name="Migliaia 6 3 4 2 2 3" xfId="25067" xr:uid="{C98A70C2-EEF0-4718-AB0E-92E78E9C3EED}"/>
    <cellStyle name="Migliaia 6 3 4 2 3" xfId="5715" xr:uid="{930E9F2A-86F1-431E-B3B4-F020BD389159}"/>
    <cellStyle name="Migliaia 6 3 4 2 3 2" xfId="20895" xr:uid="{53E26205-1F64-47F1-A5A9-9E6AEC67A106}"/>
    <cellStyle name="Migliaia 6 3 4 2 4" xfId="17607" xr:uid="{377F4B17-ECDB-49C1-9704-825CB2DD1C2A}"/>
    <cellStyle name="Migliaia 6 3 4 3" xfId="3285" xr:uid="{E5D51E6C-CDB8-4A16-AF28-8060FC0D7507}"/>
    <cellStyle name="Migliaia 6 3 4 3 2" xfId="10773" xr:uid="{0301D55E-2B3D-49EC-B9B3-025E087C4A90}"/>
    <cellStyle name="Migliaia 6 3 4 3 2 2" xfId="14319" xr:uid="{ABC8719B-02D8-48EB-B7A4-BBCE85EE2D4F}"/>
    <cellStyle name="Migliaia 6 3 4 3 2 2 2" xfId="29496" xr:uid="{1E5ED353-E8ED-4BE2-B66E-494D5AD39EB0}"/>
    <cellStyle name="Migliaia 6 3 4 3 2 3" xfId="25951" xr:uid="{BA30A70C-61BA-41DA-83FC-91C4C66A0769}"/>
    <cellStyle name="Migliaia 6 3 4 3 3" xfId="6599" xr:uid="{77E5325F-2960-4CA2-B67B-8E520AAF9117}"/>
    <cellStyle name="Migliaia 6 3 4 3 3 2" xfId="21779" xr:uid="{FE1EF27C-109A-4391-9D28-A3D77290B2CB}"/>
    <cellStyle name="Migliaia 6 3 4 3 4" xfId="18491" xr:uid="{6D5F3108-4FE7-4D95-BF55-BA54C81DB2B9}"/>
    <cellStyle name="Migliaia 6 3 4 4" xfId="4848" xr:uid="{0AA6EE4E-CF78-43D9-AE94-90406242FEAE}"/>
    <cellStyle name="Migliaia 6 3 4 4 2" xfId="12333" xr:uid="{8890E581-8B85-4738-B77B-C0659ECA2923}"/>
    <cellStyle name="Migliaia 6 3 4 4 2 2" xfId="15879" xr:uid="{9DC42B3A-3CEA-4E47-9041-70F8A4181720}"/>
    <cellStyle name="Migliaia 6 3 4 4 2 2 2" xfId="31056" xr:uid="{77A1BA18-1A6C-42A3-8339-0E3B01C45224}"/>
    <cellStyle name="Migliaia 6 3 4 4 2 3" xfId="27511" xr:uid="{7FBB4FFE-61BA-4077-9A96-4EE4E607E35E}"/>
    <cellStyle name="Migliaia 6 3 4 4 3" xfId="8159" xr:uid="{3349659F-56A2-45B0-AC4E-4D95D1117571}"/>
    <cellStyle name="Migliaia 6 3 4 4 3 2" xfId="23339" xr:uid="{800A9405-AFC9-4389-8012-1097ADD5881E}"/>
    <cellStyle name="Migliaia 6 3 4 4 4" xfId="20051" xr:uid="{DF998A95-95B0-4916-99DF-31A593CB3ED5}"/>
    <cellStyle name="Migliaia 6 3 4 5" xfId="8491" xr:uid="{F1B848A6-5E72-4034-B382-DC957972473F}"/>
    <cellStyle name="Migliaia 6 3 4 5 2" xfId="12664" xr:uid="{9E40D1CA-A16A-4CFE-B268-DC8576614258}"/>
    <cellStyle name="Migliaia 6 3 4 5 2 2" xfId="27841" xr:uid="{9403FC85-0D12-4D97-8CB5-4AF101680326}"/>
    <cellStyle name="Migliaia 6 3 4 5 3" xfId="23669" xr:uid="{602D2E17-DCCD-40E6-9542-BCE8F4210392}"/>
    <cellStyle name="Migliaia 6 3 4 6" xfId="16209" xr:uid="{CF97C0AA-6C0F-47A4-92BE-9FD91D83548A}"/>
    <cellStyle name="Migliaia 6 3 4 7" xfId="31649" xr:uid="{25C7AEF7-2233-4811-909A-E3B0BA7A7A99}"/>
    <cellStyle name="Migliaia 6 3 5" xfId="982" xr:uid="{BB2442B7-6F11-403F-A72F-FFDAF4919F13}"/>
    <cellStyle name="Migliaia 6 3 5 2" xfId="2495" xr:uid="{D0018929-681E-4D94-A25F-2FB97BA42DBC}"/>
    <cellStyle name="Migliaia 6 3 5 2 2" xfId="9987" xr:uid="{8A273790-83A4-4CC8-B9E6-12ACCD848706}"/>
    <cellStyle name="Migliaia 6 3 5 2 2 2" xfId="13646" xr:uid="{E11084A8-895D-4793-ACBF-B05D9A0420B7}"/>
    <cellStyle name="Migliaia 6 3 5 2 2 2 2" xfId="28823" xr:uid="{AEC4832C-A58B-48B9-9E47-FE847CD60407}"/>
    <cellStyle name="Migliaia 6 3 5 2 2 3" xfId="25165" xr:uid="{FA74A63A-6A55-4F4C-9933-ECB64DBDFB96}"/>
    <cellStyle name="Migliaia 6 3 5 2 3" xfId="5813" xr:uid="{C23CA4F9-74AF-4D52-8BA5-6DD1658C1A26}"/>
    <cellStyle name="Migliaia 6 3 5 2 3 2" xfId="20993" xr:uid="{A16773D4-C710-4AA2-B22D-DA66EE103497}"/>
    <cellStyle name="Migliaia 6 3 5 2 4" xfId="17705" xr:uid="{1E3DDB9E-D552-4451-9F58-1553472A0DF3}"/>
    <cellStyle name="Migliaia 6 3 5 3" xfId="3383" xr:uid="{50D82E92-DB9D-4612-9561-310874A3BE9F}"/>
    <cellStyle name="Migliaia 6 3 5 3 2" xfId="10871" xr:uid="{C76120E1-7710-42F8-8C56-17C41769106E}"/>
    <cellStyle name="Migliaia 6 3 5 3 2 2" xfId="14417" xr:uid="{D842AB74-31C6-4D96-9B5A-3E91E502D316}"/>
    <cellStyle name="Migliaia 6 3 5 3 2 2 2" xfId="29594" xr:uid="{E8AEC65A-3847-4586-884C-40C2BC686B49}"/>
    <cellStyle name="Migliaia 6 3 5 3 2 3" xfId="26049" xr:uid="{7EBB91FC-7796-411D-A46E-8F2423ECB0BB}"/>
    <cellStyle name="Migliaia 6 3 5 3 3" xfId="6697" xr:uid="{CE226AB1-0F36-4B9A-A64E-012FBFCB6FE8}"/>
    <cellStyle name="Migliaia 6 3 5 3 3 2" xfId="21877" xr:uid="{86E5B411-A792-4B0B-AD5F-1AAD470C9D7F}"/>
    <cellStyle name="Migliaia 6 3 5 3 4" xfId="18589" xr:uid="{66AAF87E-C37B-4030-878E-443D9E42097E}"/>
    <cellStyle name="Migliaia 6 3 5 4" xfId="4849" xr:uid="{05E69F45-42B2-47D2-80F7-B6879D51892B}"/>
    <cellStyle name="Migliaia 6 3 5 4 2" xfId="12334" xr:uid="{485C13C4-917D-4175-8C50-89D9D0DE67B4}"/>
    <cellStyle name="Migliaia 6 3 5 4 2 2" xfId="15880" xr:uid="{FD715628-55C8-4C10-BFB5-27D23CD98B85}"/>
    <cellStyle name="Migliaia 6 3 5 4 2 2 2" xfId="31057" xr:uid="{5F69CC16-2DBF-4AE7-B14F-38FBCFB950A0}"/>
    <cellStyle name="Migliaia 6 3 5 4 2 3" xfId="27512" xr:uid="{0857F663-3B56-4765-B8D2-1F95677CD97B}"/>
    <cellStyle name="Migliaia 6 3 5 4 3" xfId="8160" xr:uid="{FF5582DA-BC59-46DA-9D02-F3C4AC4E81FA}"/>
    <cellStyle name="Migliaia 6 3 5 4 3 2" xfId="23340" xr:uid="{0DCCC672-9F70-4545-9F7C-048D88A5D80D}"/>
    <cellStyle name="Migliaia 6 3 5 4 4" xfId="20052" xr:uid="{FFF99183-DD93-4786-B913-86480F04F2F1}"/>
    <cellStyle name="Migliaia 6 3 5 5" xfId="8589" xr:uid="{60995E4D-70BD-4804-B794-ABB338271A0F}"/>
    <cellStyle name="Migliaia 6 3 5 5 2" xfId="12762" xr:uid="{40EDEF89-C386-4585-92F6-7C6DE72C9BD1}"/>
    <cellStyle name="Migliaia 6 3 5 5 2 2" xfId="27939" xr:uid="{7063C1CD-C4C6-4706-8789-51056BE15B5C}"/>
    <cellStyle name="Migliaia 6 3 5 5 3" xfId="23767" xr:uid="{FD21E16E-DE0B-4A86-9473-7B444ED8441E}"/>
    <cellStyle name="Migliaia 6 3 5 6" xfId="16307" xr:uid="{6654D033-E771-4B97-94EB-5593B2AD8612}"/>
    <cellStyle name="Migliaia 6 3 5 7" xfId="31527" xr:uid="{72676FE6-0A9C-4A69-92DC-DC1B0EF9B652}"/>
    <cellStyle name="Migliaia 6 3 6" xfId="1165" xr:uid="{BE83AB81-6E22-4CD0-8E6A-1E0276376324}"/>
    <cellStyle name="Migliaia 6 3 6 2" xfId="2598" xr:uid="{90B983A0-870D-42BD-A686-66AEC2E48F58}"/>
    <cellStyle name="Migliaia 6 3 6 2 2" xfId="10089" xr:uid="{4A9452FE-26CC-43A4-9019-0B4B175D96FE}"/>
    <cellStyle name="Migliaia 6 3 6 2 2 2" xfId="13747" xr:uid="{FC27E99A-34B7-4A98-8A11-8D2E96847E40}"/>
    <cellStyle name="Migliaia 6 3 6 2 2 2 2" xfId="28924" xr:uid="{E851ACBC-10D3-49F0-BA02-BE672AC8ACCA}"/>
    <cellStyle name="Migliaia 6 3 6 2 2 3" xfId="25267" xr:uid="{526C798A-F4D5-403B-BD53-846B6F2573F1}"/>
    <cellStyle name="Migliaia 6 3 6 2 3" xfId="5915" xr:uid="{217657E3-7363-4288-8DCC-3E040B639661}"/>
    <cellStyle name="Migliaia 6 3 6 2 3 2" xfId="21095" xr:uid="{829C1AAD-2E3F-41D2-9380-72987ACF488A}"/>
    <cellStyle name="Migliaia 6 3 6 2 4" xfId="17807" xr:uid="{9CB36208-B5FF-46D2-96E7-7B546A019C22}"/>
    <cellStyle name="Migliaia 6 3 6 3" xfId="3485" xr:uid="{8095E433-B289-4127-AE76-12DF0B9A8BDA}"/>
    <cellStyle name="Migliaia 6 3 6 3 2" xfId="10973" xr:uid="{18C632B1-F6D6-43DD-B3F0-5848A7262553}"/>
    <cellStyle name="Migliaia 6 3 6 3 2 2" xfId="14519" xr:uid="{A6ACB0CE-DEFE-4847-8D51-DF788E46C751}"/>
    <cellStyle name="Migliaia 6 3 6 3 2 2 2" xfId="29696" xr:uid="{EF52BDE5-2B5C-4EDC-AFDA-EEB6B737AB08}"/>
    <cellStyle name="Migliaia 6 3 6 3 2 3" xfId="26151" xr:uid="{D1E77250-07EE-4C7C-AF8F-E83405E82F45}"/>
    <cellStyle name="Migliaia 6 3 6 3 3" xfId="6799" xr:uid="{D38AD483-E64A-4D71-B9DB-205B0FA394E8}"/>
    <cellStyle name="Migliaia 6 3 6 3 3 2" xfId="21979" xr:uid="{D606BD35-6E22-416B-8792-84BD19637C04}"/>
    <cellStyle name="Migliaia 6 3 6 3 4" xfId="18691" xr:uid="{E950E273-CB45-4C98-9A09-AF896341A089}"/>
    <cellStyle name="Migliaia 6 3 6 4" xfId="4850" xr:uid="{3C62FA78-EF8D-4E63-A880-301ED2B52602}"/>
    <cellStyle name="Migliaia 6 3 6 4 2" xfId="12335" xr:uid="{55967702-C616-444C-BF9F-85520AF4BCA6}"/>
    <cellStyle name="Migliaia 6 3 6 4 2 2" xfId="15881" xr:uid="{D6AE4BAB-0CBB-4216-8F1E-9066CC2F4D18}"/>
    <cellStyle name="Migliaia 6 3 6 4 2 2 2" xfId="31058" xr:uid="{AE8BC1C5-89F7-4CBF-835B-1BF7078EFBFE}"/>
    <cellStyle name="Migliaia 6 3 6 4 2 3" xfId="27513" xr:uid="{F7A74E1C-9AE2-49B8-B748-C574F9E6CD52}"/>
    <cellStyle name="Migliaia 6 3 6 4 3" xfId="8161" xr:uid="{365DE3BB-254B-423C-AA17-7C570134769B}"/>
    <cellStyle name="Migliaia 6 3 6 4 3 2" xfId="23341" xr:uid="{A36EBEDD-F97A-49E6-BE68-22067AB9688A}"/>
    <cellStyle name="Migliaia 6 3 6 4 4" xfId="20053" xr:uid="{FA653E36-52FF-465B-A0E3-DBACF5F4017A}"/>
    <cellStyle name="Migliaia 6 3 6 5" xfId="8691" xr:uid="{99319BAD-0E0B-4EC0-BBAB-A4C0A46A5B6E}"/>
    <cellStyle name="Migliaia 6 3 6 5 2" xfId="12864" xr:uid="{FEB73747-CF5A-4FAB-9301-73A759F5D0E6}"/>
    <cellStyle name="Migliaia 6 3 6 5 2 2" xfId="28041" xr:uid="{1E8A74B7-0371-4282-AF7A-1209E41CE148}"/>
    <cellStyle name="Migliaia 6 3 6 5 3" xfId="23869" xr:uid="{8101C26D-E56F-4814-89DE-189590F21BDA}"/>
    <cellStyle name="Migliaia 6 3 6 6" xfId="16409" xr:uid="{2C9429D5-0AEF-4639-9C90-412C8F47CB2A}"/>
    <cellStyle name="Migliaia 6 3 7" xfId="1191" xr:uid="{C276EA3E-CD99-4C36-AB9A-D99FCB93A33E}"/>
    <cellStyle name="Migliaia 6 3 7 2" xfId="2622" xr:uid="{453C9883-8D8D-4525-BED1-C056F32B705D}"/>
    <cellStyle name="Migliaia 6 3 7 2 2" xfId="10113" xr:uid="{BFC442CE-E0A1-4A74-930E-FF141D33F62A}"/>
    <cellStyle name="Migliaia 6 3 7 2 2 2" xfId="13771" xr:uid="{D96A70AD-9979-4679-A269-5BB8266372D8}"/>
    <cellStyle name="Migliaia 6 3 7 2 2 2 2" xfId="28948" xr:uid="{8498D767-A321-45A3-8A11-0F8607CDAA5D}"/>
    <cellStyle name="Migliaia 6 3 7 2 2 3" xfId="25291" xr:uid="{AA923F51-558D-4EC5-BD99-A5170291E8CE}"/>
    <cellStyle name="Migliaia 6 3 7 2 3" xfId="5939" xr:uid="{D1663F27-B71A-4BD7-BC10-92D2B1E0DE9E}"/>
    <cellStyle name="Migliaia 6 3 7 2 3 2" xfId="21119" xr:uid="{ECA54E31-5ACA-4D28-877E-BD6CF4440FD7}"/>
    <cellStyle name="Migliaia 6 3 7 2 4" xfId="17831" xr:uid="{CCD71810-5172-4982-AB4B-309394381E04}"/>
    <cellStyle name="Migliaia 6 3 7 3" xfId="3509" xr:uid="{BAB0F29C-2040-41EB-B367-311C22C1B7EC}"/>
    <cellStyle name="Migliaia 6 3 7 3 2" xfId="10997" xr:uid="{ACC7CC5D-5148-4992-B98A-C2F8FF31A36A}"/>
    <cellStyle name="Migliaia 6 3 7 3 2 2" xfId="14543" xr:uid="{16307BB2-E113-4BE0-99D3-D3D6EED40DD8}"/>
    <cellStyle name="Migliaia 6 3 7 3 2 2 2" xfId="29720" xr:uid="{FAE9CF32-E941-4F9B-8E1C-B66970CA876A}"/>
    <cellStyle name="Migliaia 6 3 7 3 2 3" xfId="26175" xr:uid="{45D5A569-6832-4872-84A2-2C45ABF44FEB}"/>
    <cellStyle name="Migliaia 6 3 7 3 3" xfId="6823" xr:uid="{8D4CD55F-A14F-451D-A343-E50B5B6D5339}"/>
    <cellStyle name="Migliaia 6 3 7 3 3 2" xfId="22003" xr:uid="{227B4E60-21A9-4F63-9248-8670BAA38B29}"/>
    <cellStyle name="Migliaia 6 3 7 3 4" xfId="18715" xr:uid="{D4C7AAAF-E9F4-4F4E-9504-53E60E9179A3}"/>
    <cellStyle name="Migliaia 6 3 7 4" xfId="4851" xr:uid="{BE17B051-5D12-459D-9FF4-B44C7B9D6C6F}"/>
    <cellStyle name="Migliaia 6 3 7 4 2" xfId="12336" xr:uid="{0C70076B-8786-4787-B5F0-DC0B8E0E1840}"/>
    <cellStyle name="Migliaia 6 3 7 4 2 2" xfId="15882" xr:uid="{4D4391DD-2E1F-437D-95B3-4B3B3798F9EE}"/>
    <cellStyle name="Migliaia 6 3 7 4 2 2 2" xfId="31059" xr:uid="{C95C8864-BBFB-41A3-B3A5-1C30BA032F76}"/>
    <cellStyle name="Migliaia 6 3 7 4 2 3" xfId="27514" xr:uid="{17C151B7-47EA-4CBA-BB87-C6EF4F551A4F}"/>
    <cellStyle name="Migliaia 6 3 7 4 3" xfId="8162" xr:uid="{4A77A182-4373-4093-9ED3-23AD25ED363B}"/>
    <cellStyle name="Migliaia 6 3 7 4 3 2" xfId="23342" xr:uid="{EED48AC8-36CA-49EC-B7EF-D1FDBB6031D0}"/>
    <cellStyle name="Migliaia 6 3 7 4 4" xfId="20054" xr:uid="{9A94E716-3807-4BFD-A8F6-CA5E43E1B15F}"/>
    <cellStyle name="Migliaia 6 3 7 5" xfId="8715" xr:uid="{8C497431-AED3-49FC-910D-44CB0612D5DB}"/>
    <cellStyle name="Migliaia 6 3 7 5 2" xfId="12888" xr:uid="{A13D9C69-5E38-4C85-8FED-0EC635C9491E}"/>
    <cellStyle name="Migliaia 6 3 7 5 2 2" xfId="28065" xr:uid="{84076A1C-B977-4BCA-81B8-BD61B725DA34}"/>
    <cellStyle name="Migliaia 6 3 7 5 3" xfId="23893" xr:uid="{5A05B487-F76D-4A3D-9B3A-C69749C4D669}"/>
    <cellStyle name="Migliaia 6 3 7 6" xfId="16433" xr:uid="{C2AF05F3-5C75-4D28-AFF4-B2690AC5CD79}"/>
    <cellStyle name="Migliaia 6 3 8" xfId="1240" xr:uid="{0A96968D-BFF6-4AFD-91FD-7DC588CD1EF6}"/>
    <cellStyle name="Migliaia 6 3 8 10" xfId="31299" xr:uid="{67C4017F-B1DF-4D89-9BF5-41B885A940A1}"/>
    <cellStyle name="Migliaia 6 3 8 2" xfId="2670" xr:uid="{C803DEE9-C225-4B37-893B-4E9EC774733D}"/>
    <cellStyle name="Migliaia 6 3 8 2 2" xfId="10161" xr:uid="{C4010839-4EC3-470B-BF6D-247F59C3C1DC}"/>
    <cellStyle name="Migliaia 6 3 8 2 2 2" xfId="13805" xr:uid="{9AB35780-73DB-4473-9CE7-554981D3E434}"/>
    <cellStyle name="Migliaia 6 3 8 2 2 2 2" xfId="28982" xr:uid="{7FDFCE11-F2AB-4E87-BBC4-F4E7ED2EE241}"/>
    <cellStyle name="Migliaia 6 3 8 2 2 3" xfId="25339" xr:uid="{9C2F9E13-4798-49CA-B506-EB9966D5603A}"/>
    <cellStyle name="Migliaia 6 3 8 2 3" xfId="5987" xr:uid="{29CD8EA7-3554-4F0E-B3A6-BAF39895F91E}"/>
    <cellStyle name="Migliaia 6 3 8 2 3 2" xfId="21167" xr:uid="{80E70E22-39B8-4DB8-A31E-0193F803B94F}"/>
    <cellStyle name="Migliaia 6 3 8 2 4" xfId="17879" xr:uid="{0272621E-AC19-417D-999B-AF5CB724F262}"/>
    <cellStyle name="Migliaia 6 3 8 3" xfId="3557" xr:uid="{FE164586-E47A-4BB0-A56B-6B1FA5CFA02C}"/>
    <cellStyle name="Migliaia 6 3 8 3 2" xfId="11045" xr:uid="{26B212A4-CA80-44BA-8069-12B57741D2CB}"/>
    <cellStyle name="Migliaia 6 3 8 3 2 2" xfId="14591" xr:uid="{268397E1-8D30-4D4B-9A2F-F25E538396EF}"/>
    <cellStyle name="Migliaia 6 3 8 3 2 2 2" xfId="29768" xr:uid="{93A2C62A-39F9-48EE-8E04-F0F9A035EFE7}"/>
    <cellStyle name="Migliaia 6 3 8 3 2 3" xfId="26223" xr:uid="{1D4C1E00-570D-4C27-B6CC-7786A6830873}"/>
    <cellStyle name="Migliaia 6 3 8 3 3" xfId="6871" xr:uid="{8CA6EF3D-6321-4FEE-A66C-A42229CCDBFE}"/>
    <cellStyle name="Migliaia 6 3 8 3 3 2" xfId="22051" xr:uid="{9B23CE40-D868-4F2E-9AD4-031AF6C3E297}"/>
    <cellStyle name="Migliaia 6 3 8 3 4" xfId="18763" xr:uid="{7B22DA4F-0F0B-4CCD-A78B-40DCB5810273}"/>
    <cellStyle name="Migliaia 6 3 8 4" xfId="4852" xr:uid="{835DD717-4CFF-46A5-BE63-6EF536758319}"/>
    <cellStyle name="Migliaia 6 3 8 4 2" xfId="12337" xr:uid="{767C427A-C0B3-4D1C-95AC-BD77F9CC9E01}"/>
    <cellStyle name="Migliaia 6 3 8 4 2 2" xfId="15883" xr:uid="{FEE46C7C-1103-4313-A409-583BC579B9DB}"/>
    <cellStyle name="Migliaia 6 3 8 4 2 2 2" xfId="31060" xr:uid="{60A4E1DB-2C46-4C8A-B455-FAFBA3699DBF}"/>
    <cellStyle name="Migliaia 6 3 8 4 2 3" xfId="27515" xr:uid="{93FF8F81-85DF-480A-A5FE-4E4C8EA1FA9E}"/>
    <cellStyle name="Migliaia 6 3 8 4 3" xfId="8163" xr:uid="{94361457-3E38-44C2-85C1-0C65DB2B837C}"/>
    <cellStyle name="Migliaia 6 3 8 4 3 2" xfId="23343" xr:uid="{62ADD550-1FA9-43F8-A97F-0A9884A62780}"/>
    <cellStyle name="Migliaia 6 3 8 4 4" xfId="20055" xr:uid="{D719C3F6-387B-47DF-AD75-5CB8C161C530}"/>
    <cellStyle name="Migliaia 6 3 8 5" xfId="4959" xr:uid="{7C159930-B16B-4E2C-BD3E-884BCD37AB43}"/>
    <cellStyle name="Migliaia 6 3 8 5 2" xfId="12443" xr:uid="{38C0AB78-B932-4E1B-8DFD-886973EFE1D3}"/>
    <cellStyle name="Migliaia 6 3 8 5 2 2" xfId="15989" xr:uid="{5A74002D-B0B6-421B-831C-51476764F598}"/>
    <cellStyle name="Migliaia 6 3 8 5 2 2 2" xfId="31166" xr:uid="{B1B4AE4B-AE10-4E83-9569-36CF2A9EDBEB}"/>
    <cellStyle name="Migliaia 6 3 8 5 2 3" xfId="27621" xr:uid="{AB73151F-AE44-443E-B486-8C07228348FE}"/>
    <cellStyle name="Migliaia 6 3 8 5 3" xfId="8269" xr:uid="{373312E9-8DA4-4D9F-83D6-618AA06520E7}"/>
    <cellStyle name="Migliaia 6 3 8 5 3 2" xfId="23449" xr:uid="{D73DF8B3-F57F-41FB-9943-BCC0ABF9AEFB}"/>
    <cellStyle name="Migliaia 6 3 8 5 4" xfId="20161" xr:uid="{0F005877-2743-445E-9604-5A0D92EA5D5E}"/>
    <cellStyle name="Migliaia 6 3 8 6" xfId="1780" xr:uid="{29FDACDD-5EC2-4F71-A3D4-299745BD5B1F}"/>
    <cellStyle name="Migliaia 6 3 8 6 2" xfId="9277" xr:uid="{DB4D5AA5-0A2B-4EB5-9328-36EA36A99B8E}"/>
    <cellStyle name="Migliaia 6 3 8 6 2 2" xfId="24455" xr:uid="{F5FDB306-A716-43AA-9ACC-4E3029BA4A63}"/>
    <cellStyle name="Migliaia 6 3 8 6 3" xfId="16995" xr:uid="{9926295B-C0A1-4414-9517-89ECAC594546}"/>
    <cellStyle name="Migliaia 6 3 8 7" xfId="8763" xr:uid="{A946BAFE-517D-4F87-ACA5-8102AA31E5CA}"/>
    <cellStyle name="Migliaia 6 3 8 7 2" xfId="12936" xr:uid="{42B9E940-81E1-43C4-94C4-34D767D7D2EF}"/>
    <cellStyle name="Migliaia 6 3 8 7 2 2" xfId="28113" xr:uid="{29C1605B-6EF5-494B-A79E-875B3E7F639D}"/>
    <cellStyle name="Migliaia 6 3 8 7 3" xfId="23941" xr:uid="{CCA04435-BF8A-46EC-8586-5BA67D58B498}"/>
    <cellStyle name="Migliaia 6 3 8 8" xfId="5103" xr:uid="{CD4E14B1-090C-4EAC-8D1E-B32311EF4435}"/>
    <cellStyle name="Migliaia 6 3 8 8 2" xfId="20283" xr:uid="{9E421102-0BC8-4EED-BC6E-4D219C34E93F}"/>
    <cellStyle name="Migliaia 6 3 8 9" xfId="16481" xr:uid="{7B3315FA-D9F4-4759-A236-03DFAC839AAC}"/>
    <cellStyle name="Migliaia 6 3 9" xfId="1342" xr:uid="{645897A2-625F-49D3-BB10-33EDA00E01D1}"/>
    <cellStyle name="Migliaia 6 3 9 2" xfId="2768" xr:uid="{8816FE65-DDF4-480B-9328-427C9D71B25F}"/>
    <cellStyle name="Migliaia 6 3 9 2 2" xfId="10259" xr:uid="{31D47FF7-8BBB-4BBD-A1BE-7A9792716565}"/>
    <cellStyle name="Migliaia 6 3 9 2 2 2" xfId="13854" xr:uid="{B6F76EBB-E789-4871-A5A0-1795B7DFF3CF}"/>
    <cellStyle name="Migliaia 6 3 9 2 2 2 2" xfId="29031" xr:uid="{301A5A1E-84C2-4FBB-AB5E-465D192D10A0}"/>
    <cellStyle name="Migliaia 6 3 9 2 2 3" xfId="25437" xr:uid="{F4AD3872-32AD-4569-A01F-60874F5ECBDA}"/>
    <cellStyle name="Migliaia 6 3 9 2 3" xfId="6085" xr:uid="{ED4E0D91-A7BE-4055-9910-78F7C591870C}"/>
    <cellStyle name="Migliaia 6 3 9 2 3 2" xfId="21265" xr:uid="{F97B9EA7-16AB-4EA5-ACE4-779932A45B02}"/>
    <cellStyle name="Migliaia 6 3 9 2 4" xfId="17977" xr:uid="{BE93A3D6-DE84-44BE-874D-19AA3FF40019}"/>
    <cellStyle name="Migliaia 6 3 9 3" xfId="3655" xr:uid="{8CA35E74-27A2-4595-A1B0-240D3FC16110}"/>
    <cellStyle name="Migliaia 6 3 9 3 2" xfId="11143" xr:uid="{77CF3DD3-F1FC-444A-986C-02C9906A058E}"/>
    <cellStyle name="Migliaia 6 3 9 3 2 2" xfId="14689" xr:uid="{DA46F1F2-2FAC-45A3-9E0F-F52F1DB923DC}"/>
    <cellStyle name="Migliaia 6 3 9 3 2 2 2" xfId="29866" xr:uid="{9D6B0110-B517-4550-A80F-E1D1963D1FDD}"/>
    <cellStyle name="Migliaia 6 3 9 3 2 3" xfId="26321" xr:uid="{4A0A92E0-1E79-4F9F-A33F-47E013B26A26}"/>
    <cellStyle name="Migliaia 6 3 9 3 3" xfId="6969" xr:uid="{5AD289B7-D836-483A-B320-EA01765D436F}"/>
    <cellStyle name="Migliaia 6 3 9 3 3 2" xfId="22149" xr:uid="{CEAD2E6D-6259-4948-947D-846E020679EA}"/>
    <cellStyle name="Migliaia 6 3 9 3 4" xfId="18861" xr:uid="{82D5B425-8678-4B00-A5B4-09B0E1865B07}"/>
    <cellStyle name="Migliaia 6 3 9 4" xfId="4853" xr:uid="{9F02F910-CC8D-4ED1-A522-5725BEEFE6DC}"/>
    <cellStyle name="Migliaia 6 3 9 4 2" xfId="12338" xr:uid="{1D85A909-C3DF-45AD-95F4-C92BB7610A10}"/>
    <cellStyle name="Migliaia 6 3 9 4 2 2" xfId="15884" xr:uid="{B8FFCC06-FDEF-40A5-8B05-3624D7A86A5B}"/>
    <cellStyle name="Migliaia 6 3 9 4 2 2 2" xfId="31061" xr:uid="{AC6F120A-C247-4A81-8F66-AB7B621E0BD0}"/>
    <cellStyle name="Migliaia 6 3 9 4 2 3" xfId="27516" xr:uid="{14F3BBA4-AEA8-4EDC-B934-65A28ACB2E8D}"/>
    <cellStyle name="Migliaia 6 3 9 4 3" xfId="8164" xr:uid="{796297AA-DF79-4EFD-B2FC-7B7B80FB6C04}"/>
    <cellStyle name="Migliaia 6 3 9 4 3 2" xfId="23344" xr:uid="{18DEDE01-10F5-4F2C-A94A-27A7A3C29B29}"/>
    <cellStyle name="Migliaia 6 3 9 4 4" xfId="20056" xr:uid="{44C57C35-BEB0-46E5-95D7-2D2C2E4227A1}"/>
    <cellStyle name="Migliaia 6 3 9 5" xfId="1878" xr:uid="{FAF2C0D5-918E-444E-9F6B-8CB3DAD1B08D}"/>
    <cellStyle name="Migliaia 6 3 9 5 2" xfId="9375" xr:uid="{0A09C9DA-F440-47C1-B2CD-65B02B91EDCB}"/>
    <cellStyle name="Migliaia 6 3 9 5 2 2" xfId="24553" xr:uid="{77AD623D-E08C-4396-9FC5-350F45E14B02}"/>
    <cellStyle name="Migliaia 6 3 9 5 3" xfId="17093" xr:uid="{704702A6-0D0A-4D85-B0B3-761FAA696C3E}"/>
    <cellStyle name="Migliaia 6 3 9 6" xfId="8861" xr:uid="{0FCD9F84-1928-41D8-A196-CEE946350C65}"/>
    <cellStyle name="Migliaia 6 3 9 6 2" xfId="13034" xr:uid="{7202209E-60D9-4F1F-BE5B-EBAC36A6E6A5}"/>
    <cellStyle name="Migliaia 6 3 9 6 2 2" xfId="28211" xr:uid="{7B2CB9E1-CC6C-4FF9-9DA1-99E91F1E58C7}"/>
    <cellStyle name="Migliaia 6 3 9 6 3" xfId="24039" xr:uid="{AAB107BB-DD47-4758-8ECF-5F6BE35DEB66}"/>
    <cellStyle name="Migliaia 6 3 9 7" xfId="5201" xr:uid="{697FAECE-D9E3-4957-A045-53D783A63D19}"/>
    <cellStyle name="Migliaia 6 3 9 7 2" xfId="20381" xr:uid="{CCE47EB4-0582-4781-B988-117ACC394260}"/>
    <cellStyle name="Migliaia 6 3 9 8" xfId="16579" xr:uid="{A7EF90D9-DD3E-469A-809C-4DD063821CCF}"/>
    <cellStyle name="Migliaia 6 4" xfId="562" xr:uid="{28D6BF75-0FAA-4DA8-8896-9A3608BCE173}"/>
    <cellStyle name="Migliaia 6 4 10" xfId="16185" xr:uid="{3BCE4C18-0039-4B43-9C20-C1C87BB610DB}"/>
    <cellStyle name="Migliaia 6 4 11" xfId="31275" xr:uid="{E07945B3-C0E7-4115-B8C6-301B0D7DB206}"/>
    <cellStyle name="Migliaia 6 4 12" xfId="31625" xr:uid="{47FB05CA-FE6E-4AD6-AD7E-D369D6BBF915}"/>
    <cellStyle name="Migliaia 6 4 13" xfId="853" xr:uid="{510B204C-3FD8-48BD-9AF5-B2B90C7E14A6}"/>
    <cellStyle name="Migliaia 6 4 2" xfId="1216" xr:uid="{833C83F5-6BA3-4D32-BE71-BCB79B376310}"/>
    <cellStyle name="Migliaia 6 4 2 2" xfId="3533" xr:uid="{CEF72CFC-3FED-43AF-8A66-E2C7D855CBBF}"/>
    <cellStyle name="Migliaia 6 4 2 2 2" xfId="11021" xr:uid="{20188AA2-DFD6-4DCA-97B8-B8693BFFCF56}"/>
    <cellStyle name="Migliaia 6 4 2 2 2 2" xfId="14567" xr:uid="{32D42B27-09E5-4783-A316-0C19F788A801}"/>
    <cellStyle name="Migliaia 6 4 2 2 2 2 2" xfId="29744" xr:uid="{AD2AE3AA-BEBD-4298-9D72-6F311030F215}"/>
    <cellStyle name="Migliaia 6 4 2 2 2 3" xfId="26199" xr:uid="{B37E1361-0EC3-46CC-9D1E-69115EFE9218}"/>
    <cellStyle name="Migliaia 6 4 2 2 3" xfId="6847" xr:uid="{32B5F460-3532-49BE-A542-EDB0467E8C28}"/>
    <cellStyle name="Migliaia 6 4 2 2 3 2" xfId="22027" xr:uid="{A13B6F4D-20C7-47B9-94F0-632AFDBF1761}"/>
    <cellStyle name="Migliaia 6 4 2 2 4" xfId="18739" xr:uid="{34E86ED2-3593-4B43-930D-B2BBD7F52C78}"/>
    <cellStyle name="Migliaia 6 4 2 3" xfId="4854" xr:uid="{5D529627-7CC2-4204-9CCA-8477AF18BE9E}"/>
    <cellStyle name="Migliaia 6 4 2 3 2" xfId="12339" xr:uid="{A15187DC-5BBD-4A16-B256-D4BA5E891F4D}"/>
    <cellStyle name="Migliaia 6 4 2 3 2 2" xfId="15885" xr:uid="{C62225A0-8D8E-4848-9948-F04ED89B7CD0}"/>
    <cellStyle name="Migliaia 6 4 2 3 2 2 2" xfId="31062" xr:uid="{85B7D8A5-80D6-4102-A33B-A34EA8894901}"/>
    <cellStyle name="Migliaia 6 4 2 3 2 3" xfId="27517" xr:uid="{E61CAA88-7A7A-4312-BA52-F2F3E86A8AA6}"/>
    <cellStyle name="Migliaia 6 4 2 3 3" xfId="8165" xr:uid="{B34A40C5-534A-4252-AC76-17834C9568C4}"/>
    <cellStyle name="Migliaia 6 4 2 3 3 2" xfId="23345" xr:uid="{72E7C98F-44ED-45B7-8EA8-D7361D690EAC}"/>
    <cellStyle name="Migliaia 6 4 2 3 4" xfId="20057" xr:uid="{AC40D1E4-76CF-4D63-B0D2-370AEF6CA976}"/>
    <cellStyle name="Migliaia 6 4 2 4" xfId="2646" xr:uid="{1A366A9D-A638-4D36-98B3-8FF5098FE585}"/>
    <cellStyle name="Migliaia 6 4 2 4 2" xfId="10137" xr:uid="{95CD6FDB-099B-437C-9829-103EEA827853}"/>
    <cellStyle name="Migliaia 6 4 2 4 2 2" xfId="25315" xr:uid="{ADCA191E-0831-4946-95E0-407B47E50612}"/>
    <cellStyle name="Migliaia 6 4 2 4 3" xfId="17855" xr:uid="{8A246800-F66F-49CC-871E-21C720895E30}"/>
    <cellStyle name="Migliaia 6 4 2 5" xfId="8739" xr:uid="{04A4DDD0-CD48-4672-947B-5977D0DB01E0}"/>
    <cellStyle name="Migliaia 6 4 2 5 2" xfId="12912" xr:uid="{3D88E10B-A4C4-49B9-BCCE-E9306E3C7AC1}"/>
    <cellStyle name="Migliaia 6 4 2 5 2 2" xfId="28089" xr:uid="{28CA5BBC-F3A5-4DB2-9DDF-2A48FC794B32}"/>
    <cellStyle name="Migliaia 6 4 2 5 3" xfId="23917" xr:uid="{6401E3C7-818B-48DF-A492-C1121A7FCC84}"/>
    <cellStyle name="Migliaia 6 4 2 6" xfId="5963" xr:uid="{A9B275AD-05A9-4FED-8C64-67E3A454F70A}"/>
    <cellStyle name="Migliaia 6 4 2 6 2" xfId="21143" xr:uid="{1AA7FEC6-19EC-48D7-9EF6-76D199D337F7}"/>
    <cellStyle name="Migliaia 6 4 2 7" xfId="16457" xr:uid="{9075045B-0A11-4786-A872-298FC44FE407}"/>
    <cellStyle name="Migliaia 6 4 3" xfId="2371" xr:uid="{2A070376-872F-4450-915C-0DFCF7FE125E}"/>
    <cellStyle name="Migliaia 6 4 3 2" xfId="9865" xr:uid="{C6DF7FE2-40F8-4AC0-840E-A7EE7D85CB84}"/>
    <cellStyle name="Migliaia 6 4 3 2 2" xfId="13524" xr:uid="{8DB0925D-CE28-441F-94DF-89300BC8A46E}"/>
    <cellStyle name="Migliaia 6 4 3 2 2 2" xfId="28701" xr:uid="{7C12EFA9-1E81-47D1-8A6A-26CE75A2E4FF}"/>
    <cellStyle name="Migliaia 6 4 3 2 3" xfId="25043" xr:uid="{F074E359-E9F4-4478-B9CB-C92058327953}"/>
    <cellStyle name="Migliaia 6 4 3 3" xfId="5691" xr:uid="{03CCC67B-0155-4E58-B311-8BC4ABC065A2}"/>
    <cellStyle name="Migliaia 6 4 3 3 2" xfId="20871" xr:uid="{19854889-2FF5-4B34-9E49-A3BCC7B33888}"/>
    <cellStyle name="Migliaia 6 4 3 4" xfId="17583" xr:uid="{8B9A1B8E-4499-414A-BF65-0619C604D070}"/>
    <cellStyle name="Migliaia 6 4 4" xfId="3261" xr:uid="{505B9DC5-10ED-4028-AC01-507400202B7D}"/>
    <cellStyle name="Migliaia 6 4 4 2" xfId="10749" xr:uid="{E6587B52-3A70-4E0F-9EE2-D661B1466D36}"/>
    <cellStyle name="Migliaia 6 4 4 2 2" xfId="14295" xr:uid="{A083CBC0-71AF-40D1-96CE-C76A40B51F14}"/>
    <cellStyle name="Migliaia 6 4 4 2 2 2" xfId="29472" xr:uid="{628DAA53-76AA-42C9-AFD4-FC517D757501}"/>
    <cellStyle name="Migliaia 6 4 4 2 3" xfId="25927" xr:uid="{ABD66A25-2E8E-45A5-90B4-9104EF600BB2}"/>
    <cellStyle name="Migliaia 6 4 4 3" xfId="6575" xr:uid="{F888488A-1128-4C04-8F1C-7E1FCDEAC968}"/>
    <cellStyle name="Migliaia 6 4 4 3 2" xfId="21755" xr:uid="{4732C83E-3610-457C-AD61-71E502018AE1}"/>
    <cellStyle name="Migliaia 6 4 4 4" xfId="18467" xr:uid="{8C6C1676-CDC8-4C39-B09F-0838B297CE21}"/>
    <cellStyle name="Migliaia 6 4 5" xfId="4855" xr:uid="{D169BD8A-9CE8-41DA-A5B6-2A408D9B9C81}"/>
    <cellStyle name="Migliaia 6 4 5 2" xfId="12340" xr:uid="{85AABECE-E524-4CBE-8EEE-E35BD7DD5E73}"/>
    <cellStyle name="Migliaia 6 4 5 2 2" xfId="15886" xr:uid="{2EE24E5B-5B46-4C98-8B91-66C5CFD49690}"/>
    <cellStyle name="Migliaia 6 4 5 2 2 2" xfId="31063" xr:uid="{3825DD63-5596-4788-A73C-1A23DB9C67B0}"/>
    <cellStyle name="Migliaia 6 4 5 2 3" xfId="27518" xr:uid="{DF14BE77-E6CD-4B88-876A-8562AB5BBCC2}"/>
    <cellStyle name="Migliaia 6 4 5 3" xfId="8166" xr:uid="{FCBA0835-5690-48BD-B0E5-FB7E9BB39247}"/>
    <cellStyle name="Migliaia 6 4 5 3 2" xfId="23346" xr:uid="{9540A708-9978-4B75-B349-2DF022955364}"/>
    <cellStyle name="Migliaia 6 4 5 4" xfId="20058" xr:uid="{F739764B-2B7E-43BF-93A4-0D07D1B55342}"/>
    <cellStyle name="Migliaia 6 4 6" xfId="4935" xr:uid="{65F22A95-13CD-46FB-97BA-85A442DA96D7}"/>
    <cellStyle name="Migliaia 6 4 6 2" xfId="12419" xr:uid="{25ACD237-ADBA-442A-A8EF-B0D2ED0447B1}"/>
    <cellStyle name="Migliaia 6 4 6 2 2" xfId="15965" xr:uid="{1FB69D69-955A-4FD8-AC29-4C7537498112}"/>
    <cellStyle name="Migliaia 6 4 6 2 2 2" xfId="31142" xr:uid="{2D035285-2013-4035-B08B-A973E0350D0D}"/>
    <cellStyle name="Migliaia 6 4 6 2 3" xfId="27597" xr:uid="{5F51336C-9C0B-4B14-B88D-A7667683CC1E}"/>
    <cellStyle name="Migliaia 6 4 6 3" xfId="8245" xr:uid="{2AE6F28A-6FAE-4A50-BEBF-651FCBFE52D8}"/>
    <cellStyle name="Migliaia 6 4 6 3 2" xfId="23425" xr:uid="{400C6F39-3B5F-4233-8087-831D758ECE18}"/>
    <cellStyle name="Migliaia 6 4 6 4" xfId="20137" xr:uid="{7D0E29A5-78ED-4643-9122-0EE8FE3BBC32}"/>
    <cellStyle name="Migliaia 6 4 7" xfId="1756" xr:uid="{3B5AB5EB-B917-4D50-8E1B-2F637C37300A}"/>
    <cellStyle name="Migliaia 6 4 7 2" xfId="9253" xr:uid="{5E4D3FA4-5E32-476B-B91B-101120BEFD03}"/>
    <cellStyle name="Migliaia 6 4 7 2 2" xfId="24431" xr:uid="{A6564140-3999-4E52-831F-3146377DA599}"/>
    <cellStyle name="Migliaia 6 4 7 3" xfId="16971" xr:uid="{D0771A6A-3D7D-4135-ABEC-0A982489F813}"/>
    <cellStyle name="Migliaia 6 4 8" xfId="8467" xr:uid="{610E9F52-9E97-46BE-9B15-61043CA7C585}"/>
    <cellStyle name="Migliaia 6 4 8 2" xfId="12640" xr:uid="{1386FB7C-BB39-426C-A11F-5D68CD95CB7F}"/>
    <cellStyle name="Migliaia 6 4 8 2 2" xfId="27817" xr:uid="{3AB7271F-989D-4B92-BDB4-1B9E36DB979F}"/>
    <cellStyle name="Migliaia 6 4 8 3" xfId="23645" xr:uid="{C00191CE-DF19-4600-89A7-E6B4A2D79ACF}"/>
    <cellStyle name="Migliaia 6 4 9" xfId="5079" xr:uid="{C00BB26A-0CEE-4FBF-8DFE-2E94412BDB01}"/>
    <cellStyle name="Migliaia 6 4 9 2" xfId="20259" xr:uid="{4F0AF480-D878-4930-B256-C50BDAB1DA31}"/>
    <cellStyle name="Migliaia 6 5" xfId="31405" xr:uid="{AC7D2EF8-5F0E-4B58-9398-332C16758077}"/>
    <cellStyle name="Migliaia 6 6" xfId="613" xr:uid="{D236B1E8-EF8A-4182-9E7E-8449A14BC715}"/>
    <cellStyle name="Migliaia 7" xfId="358" xr:uid="{059C272F-CB7F-4583-8563-D836256A1480}"/>
    <cellStyle name="Migliaia 7 2" xfId="488" xr:uid="{85CAA26D-4E05-4FBB-93DE-8BACE3D66650}"/>
    <cellStyle name="Migliaia 7 2 10" xfId="1454" xr:uid="{8D77F487-2FFE-4D60-A51A-A12BCB19201D}"/>
    <cellStyle name="Migliaia 7 2 10 2" xfId="2879" xr:uid="{E8B60D98-58B8-4A6E-944C-C806D129E720}"/>
    <cellStyle name="Migliaia 7 2 10 2 2" xfId="10370" xr:uid="{A8E4C00E-A565-4AC6-AFB3-6F6B07358B8A}"/>
    <cellStyle name="Migliaia 7 2 10 2 2 2" xfId="13916" xr:uid="{D5A300E2-3AB2-4504-91FE-49366074B012}"/>
    <cellStyle name="Migliaia 7 2 10 2 2 2 2" xfId="29093" xr:uid="{0BED06E8-F650-46CE-8089-C97E0E965CD7}"/>
    <cellStyle name="Migliaia 7 2 10 2 2 3" xfId="25548" xr:uid="{AE017EEA-E28D-41E1-94CC-76F8E1224E8F}"/>
    <cellStyle name="Migliaia 7 2 10 2 3" xfId="6196" xr:uid="{FF3BC4CD-0723-4D26-8ECD-6199260A6F46}"/>
    <cellStyle name="Migliaia 7 2 10 2 3 2" xfId="21376" xr:uid="{F73D69EF-D847-4435-8012-6C2CBD373C0E}"/>
    <cellStyle name="Migliaia 7 2 10 2 4" xfId="18088" xr:uid="{73A7C9F0-0468-4573-8657-CAD7C2A3F2C8}"/>
    <cellStyle name="Migliaia 7 2 10 3" xfId="3766" xr:uid="{377498F5-04B4-44A1-9F79-779EA9A0313A}"/>
    <cellStyle name="Migliaia 7 2 10 3 2" xfId="11254" xr:uid="{0B60A629-0811-4949-9235-FC9D756048D1}"/>
    <cellStyle name="Migliaia 7 2 10 3 2 2" xfId="14800" xr:uid="{70687896-5589-40CE-A173-56DFF7427273}"/>
    <cellStyle name="Migliaia 7 2 10 3 2 2 2" xfId="29977" xr:uid="{657C072E-56E5-4BB2-B950-D41F19C4DCD3}"/>
    <cellStyle name="Migliaia 7 2 10 3 2 3" xfId="26432" xr:uid="{E050ED4B-2AC2-4A77-8D77-51092606F578}"/>
    <cellStyle name="Migliaia 7 2 10 3 3" xfId="7080" xr:uid="{043557C5-E9B1-430C-BF05-08C2F3F04220}"/>
    <cellStyle name="Migliaia 7 2 10 3 3 2" xfId="22260" xr:uid="{C67DB7F2-D945-4C29-9886-58B44065E806}"/>
    <cellStyle name="Migliaia 7 2 10 3 4" xfId="18972" xr:uid="{E8587F1A-671A-4201-AA4D-1CFB6DD90EBC}"/>
    <cellStyle name="Migliaia 7 2 10 4" xfId="4856" xr:uid="{059EDEFA-6E55-460A-8A30-445CCCA38E29}"/>
    <cellStyle name="Migliaia 7 2 10 4 2" xfId="12341" xr:uid="{F380410A-21A9-4F25-9CB0-45C3CEE2A7B2}"/>
    <cellStyle name="Migliaia 7 2 10 4 2 2" xfId="15887" xr:uid="{04463BF6-D19D-4BA5-9084-4B6E2580CCC6}"/>
    <cellStyle name="Migliaia 7 2 10 4 2 2 2" xfId="31064" xr:uid="{13829B29-3DC0-4844-A791-6B4B79A218A9}"/>
    <cellStyle name="Migliaia 7 2 10 4 2 3" xfId="27519" xr:uid="{71E8D0A6-AE32-4DAA-AEEF-67B3BAA96D49}"/>
    <cellStyle name="Migliaia 7 2 10 4 3" xfId="8167" xr:uid="{C47023F9-FA90-4ACC-9B24-3994B1EF09E4}"/>
    <cellStyle name="Migliaia 7 2 10 4 3 2" xfId="23347" xr:uid="{02B5BC42-0552-4316-B665-14FC5D0D910E}"/>
    <cellStyle name="Migliaia 7 2 10 4 4" xfId="20059" xr:uid="{71E9E13F-76E1-4593-B24B-B5CECDDF4550}"/>
    <cellStyle name="Migliaia 7 2 10 5" xfId="1989" xr:uid="{85D84003-6F74-41CC-9A98-27C10A4219CE}"/>
    <cellStyle name="Migliaia 7 2 10 5 2" xfId="9486" xr:uid="{AAA2CB92-604E-4D1D-9E54-D76A10CFF6A1}"/>
    <cellStyle name="Migliaia 7 2 10 5 2 2" xfId="24664" xr:uid="{B32B4685-5BB6-4027-A3C5-3C7D8717A865}"/>
    <cellStyle name="Migliaia 7 2 10 5 3" xfId="17204" xr:uid="{9DBF3B3A-5033-4858-9232-1DE64313D7BC}"/>
    <cellStyle name="Migliaia 7 2 10 6" xfId="8972" xr:uid="{088472AC-35F2-44F4-B813-707982F58345}"/>
    <cellStyle name="Migliaia 7 2 10 6 2" xfId="13145" xr:uid="{88FA8E95-8310-4ECF-B832-57E393B7C0A6}"/>
    <cellStyle name="Migliaia 7 2 10 6 2 2" xfId="28322" xr:uid="{F3806B8E-3C5D-4D55-A53E-288C0A90364D}"/>
    <cellStyle name="Migliaia 7 2 10 6 3" xfId="24150" xr:uid="{85783A3F-262F-406D-A3EF-093D57A1AF55}"/>
    <cellStyle name="Migliaia 7 2 10 7" xfId="5312" xr:uid="{95BEDF0A-0916-42B0-9644-756875D70669}"/>
    <cellStyle name="Migliaia 7 2 10 7 2" xfId="20492" xr:uid="{4CEB5CFF-13FD-4A55-A2D6-C2F31E351519}"/>
    <cellStyle name="Migliaia 7 2 10 8" xfId="16690" xr:uid="{3109A9E3-A22D-4888-A3F6-9E9FAA11FA44}"/>
    <cellStyle name="Migliaia 7 2 11" xfId="1557" xr:uid="{B4437D9B-1AFB-48CF-AEE7-DFC2D8972FCE}"/>
    <cellStyle name="Migliaia 7 2 11 2" xfId="2977" xr:uid="{D14E648D-9813-455A-8D19-A7261730E5C5}"/>
    <cellStyle name="Migliaia 7 2 11 2 2" xfId="10468" xr:uid="{39F5DACB-3152-4C99-820C-E1CB06EE1DE5}"/>
    <cellStyle name="Migliaia 7 2 11 2 2 2" xfId="14014" xr:uid="{CECB8EE2-5E78-498B-9650-A03376743696}"/>
    <cellStyle name="Migliaia 7 2 11 2 2 2 2" xfId="29191" xr:uid="{2EBBF26D-6C74-47AE-8CE2-C4C97C736350}"/>
    <cellStyle name="Migliaia 7 2 11 2 2 3" xfId="25646" xr:uid="{8D1526AC-8538-44A0-A242-452F6B76A9F7}"/>
    <cellStyle name="Migliaia 7 2 11 2 3" xfId="6294" xr:uid="{7BE064BD-D311-4EB1-86CA-98D094E3E70E}"/>
    <cellStyle name="Migliaia 7 2 11 2 3 2" xfId="21474" xr:uid="{4122D2B0-C9EA-4C4A-9A5C-0BB774653E9B}"/>
    <cellStyle name="Migliaia 7 2 11 2 4" xfId="18186" xr:uid="{47FFE8C7-D08C-487B-AB87-8B2A224EF5DE}"/>
    <cellStyle name="Migliaia 7 2 11 3" xfId="3864" xr:uid="{1E11A793-15D0-43CE-902F-705E5F8C9A94}"/>
    <cellStyle name="Migliaia 7 2 11 3 2" xfId="11352" xr:uid="{0BF826B4-F1A7-4B2D-A7F6-E0C9C480C44A}"/>
    <cellStyle name="Migliaia 7 2 11 3 2 2" xfId="14898" xr:uid="{F19E1B28-4548-41F9-9971-089375497F43}"/>
    <cellStyle name="Migliaia 7 2 11 3 2 2 2" xfId="30075" xr:uid="{B9403CF5-BF02-46C6-865C-1BC1227E733C}"/>
    <cellStyle name="Migliaia 7 2 11 3 2 3" xfId="26530" xr:uid="{F7BA1053-CACC-4486-9337-D1313765D1E2}"/>
    <cellStyle name="Migliaia 7 2 11 3 3" xfId="7178" xr:uid="{E49E496D-5439-413F-9AF5-51BE352ED97B}"/>
    <cellStyle name="Migliaia 7 2 11 3 3 2" xfId="22358" xr:uid="{1DD95E90-078E-466E-8671-7BA1FF9B7E04}"/>
    <cellStyle name="Migliaia 7 2 11 3 4" xfId="19070" xr:uid="{19FF6229-DB2C-443B-BD11-9AFE7856263E}"/>
    <cellStyle name="Migliaia 7 2 11 4" xfId="4857" xr:uid="{9AF51F6E-B86E-40B7-8247-5973B83EFA58}"/>
    <cellStyle name="Migliaia 7 2 11 4 2" xfId="12342" xr:uid="{60C1F77C-B186-4951-B2D1-83755477BCCB}"/>
    <cellStyle name="Migliaia 7 2 11 4 2 2" xfId="15888" xr:uid="{0DD50406-9CC4-4887-861C-00019E29E93B}"/>
    <cellStyle name="Migliaia 7 2 11 4 2 2 2" xfId="31065" xr:uid="{6125E361-19DC-4BF7-8333-B9D31D1DB168}"/>
    <cellStyle name="Migliaia 7 2 11 4 2 3" xfId="27520" xr:uid="{CAEFBB56-6B54-4454-A37B-34E1C695D02B}"/>
    <cellStyle name="Migliaia 7 2 11 4 3" xfId="8168" xr:uid="{90F5C5E8-FAC9-4ECD-B835-0223AC58887A}"/>
    <cellStyle name="Migliaia 7 2 11 4 3 2" xfId="23348" xr:uid="{54434ED4-586B-4CD0-8AF6-E4CA62A578A3}"/>
    <cellStyle name="Migliaia 7 2 11 4 4" xfId="20060" xr:uid="{82A9FB45-7BD3-4464-AC44-77C90C8CC5E9}"/>
    <cellStyle name="Migliaia 7 2 11 5" xfId="2087" xr:uid="{52A4083D-35D9-40D3-8227-D8089F107151}"/>
    <cellStyle name="Migliaia 7 2 11 5 2" xfId="9584" xr:uid="{1F7A8489-775F-4505-BE85-E0641740F103}"/>
    <cellStyle name="Migliaia 7 2 11 5 2 2" xfId="24762" xr:uid="{2F118AE9-082E-4AE8-B9CC-1844BFDC5FB6}"/>
    <cellStyle name="Migliaia 7 2 11 5 3" xfId="17302" xr:uid="{75964CBB-66D0-4B19-AF6B-10B3F9C83DAE}"/>
    <cellStyle name="Migliaia 7 2 11 6" xfId="9070" xr:uid="{15042DC2-886E-4B3E-A19D-B635DEE7425D}"/>
    <cellStyle name="Migliaia 7 2 11 6 2" xfId="13243" xr:uid="{746B52C2-F856-47BA-BC76-B1F06C462D53}"/>
    <cellStyle name="Migliaia 7 2 11 6 2 2" xfId="28420" xr:uid="{A35B9B7E-3DDC-4DBF-A3E0-8F2BE804DF46}"/>
    <cellStyle name="Migliaia 7 2 11 6 3" xfId="24248" xr:uid="{EEBA6EB7-4C2A-422A-9CEF-EB169F869E13}"/>
    <cellStyle name="Migliaia 7 2 11 7" xfId="5410" xr:uid="{1E7C1E9E-FC7E-47C3-8A07-EDF195C61A5D}"/>
    <cellStyle name="Migliaia 7 2 11 7 2" xfId="20590" xr:uid="{62CB0648-732F-4977-9047-EF59C7C49E28}"/>
    <cellStyle name="Migliaia 7 2 11 8" xfId="16788" xr:uid="{2BAA5BEA-F799-4307-A662-18A5D26347BE}"/>
    <cellStyle name="Migliaia 7 2 12" xfId="1656" xr:uid="{B28729C5-B744-4F4F-A7B6-9EA498292FE1}"/>
    <cellStyle name="Migliaia 7 2 12 2" xfId="3075" xr:uid="{2921AADA-D0AE-4169-AD04-7045D585B839}"/>
    <cellStyle name="Migliaia 7 2 12 2 2" xfId="10566" xr:uid="{681D627B-6D1E-464C-A8FC-026B94BBAB0B}"/>
    <cellStyle name="Migliaia 7 2 12 2 2 2" xfId="14112" xr:uid="{852CEB1B-BB70-419A-B1BD-B6B3A3154D11}"/>
    <cellStyle name="Migliaia 7 2 12 2 2 2 2" xfId="29289" xr:uid="{E3E93575-1DD6-42B0-90BA-2BDED923F7B6}"/>
    <cellStyle name="Migliaia 7 2 12 2 2 3" xfId="25744" xr:uid="{90994943-7902-435C-85B2-9F9FE0E46FC8}"/>
    <cellStyle name="Migliaia 7 2 12 2 3" xfId="6392" xr:uid="{9822D6AA-9954-4926-896C-8724682F285B}"/>
    <cellStyle name="Migliaia 7 2 12 2 3 2" xfId="21572" xr:uid="{0E32F33E-062D-428C-B594-EA3ABE4D5B5D}"/>
    <cellStyle name="Migliaia 7 2 12 2 4" xfId="18284" xr:uid="{C07CB972-A06E-4E18-8D1F-72C50827D16C}"/>
    <cellStyle name="Migliaia 7 2 12 3" xfId="3962" xr:uid="{1A287869-C053-4B44-BA84-7F612B0AD9B7}"/>
    <cellStyle name="Migliaia 7 2 12 3 2" xfId="11450" xr:uid="{7D786B78-A434-45E1-B6B4-9D8198A9D7CA}"/>
    <cellStyle name="Migliaia 7 2 12 3 2 2" xfId="14996" xr:uid="{4698069C-855D-47AB-9A42-F614A397DC1A}"/>
    <cellStyle name="Migliaia 7 2 12 3 2 2 2" xfId="30173" xr:uid="{13A8E6B3-5AD9-4CAA-9507-CE7E372E1022}"/>
    <cellStyle name="Migliaia 7 2 12 3 2 3" xfId="26628" xr:uid="{9EDE9893-B6A6-4844-A2D9-1125CF7D9A8C}"/>
    <cellStyle name="Migliaia 7 2 12 3 3" xfId="7276" xr:uid="{E96B462A-FC3A-4642-9FCC-92D1866FF408}"/>
    <cellStyle name="Migliaia 7 2 12 3 3 2" xfId="22456" xr:uid="{D1D8E134-D628-458A-ABF8-F6941A5D42AF}"/>
    <cellStyle name="Migliaia 7 2 12 3 4" xfId="19168" xr:uid="{F2748630-782A-4DE7-9D2B-9CE33312872E}"/>
    <cellStyle name="Migliaia 7 2 12 4" xfId="4858" xr:uid="{F6DB55DF-482D-41DC-9609-634CC85B0340}"/>
    <cellStyle name="Migliaia 7 2 12 4 2" xfId="12343" xr:uid="{4DAF7D55-567D-4966-BFFD-0BDEB3A437DD}"/>
    <cellStyle name="Migliaia 7 2 12 4 2 2" xfId="15889" xr:uid="{6423BB37-E1E2-40DC-A0ED-43E1A3FEC54F}"/>
    <cellStyle name="Migliaia 7 2 12 4 2 2 2" xfId="31066" xr:uid="{47B6168D-CC1C-469F-A5F4-450A1F73D583}"/>
    <cellStyle name="Migliaia 7 2 12 4 2 3" xfId="27521" xr:uid="{00D22139-AC02-48F4-A15E-C086ACE4E786}"/>
    <cellStyle name="Migliaia 7 2 12 4 3" xfId="8169" xr:uid="{C87980BF-14A2-45DC-AD10-B83F54DEF7EA}"/>
    <cellStyle name="Migliaia 7 2 12 4 3 2" xfId="23349" xr:uid="{AB1A363A-BA70-4025-8553-9E08CC544D3B}"/>
    <cellStyle name="Migliaia 7 2 12 4 4" xfId="20061" xr:uid="{62BD31EA-AEC1-47E2-9D34-E986B896D41B}"/>
    <cellStyle name="Migliaia 7 2 12 5" xfId="2185" xr:uid="{B9FA3F47-6CD0-49B0-88FC-D4268CDF29FC}"/>
    <cellStyle name="Migliaia 7 2 12 5 2" xfId="9682" xr:uid="{34B0F6D3-E124-4355-A4D4-49AA6AF21E1D}"/>
    <cellStyle name="Migliaia 7 2 12 5 2 2" xfId="24860" xr:uid="{098F364C-55C6-4E10-8C72-39F02F09EC6B}"/>
    <cellStyle name="Migliaia 7 2 12 5 3" xfId="17400" xr:uid="{9708E279-918C-46CA-BFB1-8BF86FF97D3E}"/>
    <cellStyle name="Migliaia 7 2 12 6" xfId="9168" xr:uid="{9C0A4024-ADCC-4FFD-AFAE-79B766EFF4F0}"/>
    <cellStyle name="Migliaia 7 2 12 6 2" xfId="13341" xr:uid="{A5DFC784-9AB5-4A8B-88C1-718AE3CC3B47}"/>
    <cellStyle name="Migliaia 7 2 12 6 2 2" xfId="28518" xr:uid="{DD2642C9-1207-4A36-9B33-AC206DBB7B74}"/>
    <cellStyle name="Migliaia 7 2 12 6 3" xfId="24346" xr:uid="{A35D59D1-350F-412E-8CCC-846489845D29}"/>
    <cellStyle name="Migliaia 7 2 12 7" xfId="5508" xr:uid="{F53FE179-5F1A-49C0-AFA9-0D34C0B2DC54}"/>
    <cellStyle name="Migliaia 7 2 12 7 2" xfId="20688" xr:uid="{1322741F-28D4-42F7-AE5B-E1B3F0AFF995}"/>
    <cellStyle name="Migliaia 7 2 12 8" xfId="16886" xr:uid="{4D7F117A-F808-425A-BC06-A368F2D709FF}"/>
    <cellStyle name="Migliaia 7 2 13" xfId="2285" xr:uid="{6F8F652A-38BC-4EF7-B786-7F831CD146E8}"/>
    <cellStyle name="Migliaia 7 2 13 2" xfId="9780" xr:uid="{0C93CB35-9403-4ECF-900E-F94BC89EA773}"/>
    <cellStyle name="Migliaia 7 2 13 2 2" xfId="13439" xr:uid="{1B9A880A-B353-49B2-9F52-D42C249B168F}"/>
    <cellStyle name="Migliaia 7 2 13 2 2 2" xfId="28616" xr:uid="{7A983161-EE88-4F1B-B5D7-DDD01A438688}"/>
    <cellStyle name="Migliaia 7 2 13 2 3" xfId="24958" xr:uid="{84FDF2B9-614B-406B-88E2-D635119C8954}"/>
    <cellStyle name="Migliaia 7 2 13 3" xfId="5606" xr:uid="{504648C1-844F-46A3-9904-05EFC82CF614}"/>
    <cellStyle name="Migliaia 7 2 13 3 2" xfId="20786" xr:uid="{3ACFD370-01A1-460D-AD8E-788AFE66EB75}"/>
    <cellStyle name="Migliaia 7 2 13 4" xfId="17498" xr:uid="{C0DA1896-771D-473A-B389-8A57F5FDE313}"/>
    <cellStyle name="Migliaia 7 2 14" xfId="3175" xr:uid="{4A7A5600-7091-49F0-9E8F-DA45EA787913}"/>
    <cellStyle name="Migliaia 7 2 14 2" xfId="10664" xr:uid="{16B3C253-8349-4692-9E95-D2E7FA13DE0C}"/>
    <cellStyle name="Migliaia 7 2 14 2 2" xfId="14210" xr:uid="{73C7560F-16BB-41D4-A251-79564D9049EC}"/>
    <cellStyle name="Migliaia 7 2 14 2 2 2" xfId="29387" xr:uid="{9436DA2F-8FFE-4CE7-847E-E42A92371C60}"/>
    <cellStyle name="Migliaia 7 2 14 2 3" xfId="25842" xr:uid="{2FD8A2A7-74ED-489A-B1DC-D51BB3DCC5CF}"/>
    <cellStyle name="Migliaia 7 2 14 3" xfId="6490" xr:uid="{026EE752-8926-4856-92D7-16F9AB9C20D6}"/>
    <cellStyle name="Migliaia 7 2 14 3 2" xfId="21670" xr:uid="{2D5962DC-3FB9-4FBD-AD79-9BB38091EFEA}"/>
    <cellStyle name="Migliaia 7 2 14 4" xfId="18382" xr:uid="{B795C5F6-45FF-448E-BE89-5011EAECCAD7}"/>
    <cellStyle name="Migliaia 7 2 15" xfId="4859" xr:uid="{E028CACA-6B5A-4108-95E2-CB27CFF91B87}"/>
    <cellStyle name="Migliaia 7 2 15 2" xfId="12344" xr:uid="{093AF776-DF73-48AE-B1CD-B98DFEADC036}"/>
    <cellStyle name="Migliaia 7 2 15 2 2" xfId="15890" xr:uid="{56BCFDFE-7B8F-405D-B649-4E435E2D57B1}"/>
    <cellStyle name="Migliaia 7 2 15 2 2 2" xfId="31067" xr:uid="{B3344EF1-1F19-4A41-82C7-3BCAC35AD646}"/>
    <cellStyle name="Migliaia 7 2 15 2 3" xfId="27522" xr:uid="{A2D97AAD-35F4-445E-9DB5-B20DE5960F77}"/>
    <cellStyle name="Migliaia 7 2 15 3" xfId="8170" xr:uid="{D32CB118-F91E-4643-B04E-9ED3C7770F11}"/>
    <cellStyle name="Migliaia 7 2 15 3 2" xfId="23350" xr:uid="{5E766DBE-9E4C-426D-A397-B86F3B8E4D5C}"/>
    <cellStyle name="Migliaia 7 2 15 4" xfId="20062" xr:uid="{89A4166D-D7B5-484A-9DBC-C860A1C39DE1}"/>
    <cellStyle name="Migliaia 7 2 16" xfId="8381" xr:uid="{96158502-3CC7-49BA-91A4-A3267BD9AAE8}"/>
    <cellStyle name="Migliaia 7 2 16 2" xfId="12555" xr:uid="{84175612-07EF-46AC-B75F-F359E9FBA192}"/>
    <cellStyle name="Migliaia 7 2 16 2 2" xfId="27732" xr:uid="{8F2B6906-372F-40A0-BF97-AAFC3833A73A}"/>
    <cellStyle name="Migliaia 7 2 16 3" xfId="23560" xr:uid="{BA0CA641-5670-4A89-AA65-94680679D6A9}"/>
    <cellStyle name="Migliaia 7 2 17" xfId="16100" xr:uid="{6550B2F7-4723-4E40-BDE0-337645F25DEE}"/>
    <cellStyle name="Migliaia 7 2 18" xfId="31442" xr:uid="{539F0F8A-DA88-41F0-A037-F60AAF17FCD4}"/>
    <cellStyle name="Migliaia 7 2 19" xfId="702" xr:uid="{BDCBE0FE-7781-4746-959D-D318021819E4}"/>
    <cellStyle name="Migliaia 7 2 2" xfId="600" xr:uid="{65A470AA-6D24-4937-8E1B-E1893F667FBB}"/>
    <cellStyle name="Migliaia 7 2 2 10" xfId="2310" xr:uid="{9FA05D72-83C7-40F0-8B03-278FA193959B}"/>
    <cellStyle name="Migliaia 7 2 2 10 2" xfId="9805" xr:uid="{D622C009-6588-4DF9-92CF-A5996EB275A4}"/>
    <cellStyle name="Migliaia 7 2 2 10 2 2" xfId="13464" xr:uid="{7878BC0D-8ADC-4A8F-ACDE-A399AA3D615E}"/>
    <cellStyle name="Migliaia 7 2 2 10 2 2 2" xfId="28641" xr:uid="{17A3D94D-97F3-4572-80FC-1A63FF1E9492}"/>
    <cellStyle name="Migliaia 7 2 2 10 2 3" xfId="24983" xr:uid="{A62B75BD-A4E7-4F77-AF50-0287B902F4D2}"/>
    <cellStyle name="Migliaia 7 2 2 10 3" xfId="5631" xr:uid="{82644C86-6C76-48DA-8920-A7A9E39E842C}"/>
    <cellStyle name="Migliaia 7 2 2 10 3 2" xfId="20811" xr:uid="{A6E15291-E500-4868-9D07-44F4954AF589}"/>
    <cellStyle name="Migliaia 7 2 2 10 4" xfId="17523" xr:uid="{DA23A581-CB59-4163-BE37-E030B05C2059}"/>
    <cellStyle name="Migliaia 7 2 2 11" xfId="3200" xr:uid="{12B7B2B4-FC10-4D4F-8E0A-6C6EB4E876D4}"/>
    <cellStyle name="Migliaia 7 2 2 11 2" xfId="10689" xr:uid="{FC4CA415-FDC6-42C9-89BA-46CAEB3ACE54}"/>
    <cellStyle name="Migliaia 7 2 2 11 2 2" xfId="14235" xr:uid="{116F88F0-FD1C-4CCF-88D8-1E7F0804C6D1}"/>
    <cellStyle name="Migliaia 7 2 2 11 2 2 2" xfId="29412" xr:uid="{E928BE95-D214-48AE-A98C-0BA655BEE19C}"/>
    <cellStyle name="Migliaia 7 2 2 11 2 3" xfId="25867" xr:uid="{92FB4E6D-49A9-46EC-89AF-B5CAEF79F6D2}"/>
    <cellStyle name="Migliaia 7 2 2 11 3" xfId="6515" xr:uid="{10C9BC4C-3590-4F71-83EB-602CC1741588}"/>
    <cellStyle name="Migliaia 7 2 2 11 3 2" xfId="21695" xr:uid="{FAFE8E3C-D6BB-4C8E-A468-B0E54634266A}"/>
    <cellStyle name="Migliaia 7 2 2 11 4" xfId="18407" xr:uid="{AB212CFB-1718-4C35-B455-10DDA604103E}"/>
    <cellStyle name="Migliaia 7 2 2 12" xfId="4860" xr:uid="{A39DB727-6A4C-4387-A1BE-B019F9BDC182}"/>
    <cellStyle name="Migliaia 7 2 2 12 2" xfId="12345" xr:uid="{C155890A-5DA3-451A-B867-F8D8D2B45FD6}"/>
    <cellStyle name="Migliaia 7 2 2 12 2 2" xfId="15891" xr:uid="{D8CC7171-8EB7-4F68-91E9-23B97BC9B68A}"/>
    <cellStyle name="Migliaia 7 2 2 12 2 2 2" xfId="31068" xr:uid="{8393A207-7760-434B-83DB-C8C9C92C178A}"/>
    <cellStyle name="Migliaia 7 2 2 12 2 3" xfId="27523" xr:uid="{EF9E33E3-6AB3-4C40-8743-2AF2308A1B2D}"/>
    <cellStyle name="Migliaia 7 2 2 12 3" xfId="8171" xr:uid="{45DB0040-0868-4F13-812E-DFFA8B44422B}"/>
    <cellStyle name="Migliaia 7 2 2 12 3 2" xfId="23351" xr:uid="{42D79F89-0361-4EAC-AAE4-4309C6313747}"/>
    <cellStyle name="Migliaia 7 2 2 12 4" xfId="20063" xr:uid="{2644C834-320C-48BD-8A2F-E40564B040EE}"/>
    <cellStyle name="Migliaia 7 2 2 13" xfId="8406" xr:uid="{7E01193B-986F-43C6-BB6E-A157E5EE4BDA}"/>
    <cellStyle name="Migliaia 7 2 2 13 2" xfId="12580" xr:uid="{1A2D3A4F-4DA5-4408-846A-15575360B9EC}"/>
    <cellStyle name="Migliaia 7 2 2 13 2 2" xfId="27757" xr:uid="{7912CCAC-3F20-4F94-8F46-04CEBDF74EDD}"/>
    <cellStyle name="Migliaia 7 2 2 13 3" xfId="23585" xr:uid="{87B8E3F4-9512-45A6-A7E9-95673D6166D9}"/>
    <cellStyle name="Migliaia 7 2 2 14" xfId="16125" xr:uid="{3E8A2C30-2971-4173-9DE3-FEFEEE7ED461}"/>
    <cellStyle name="Migliaia 7 2 2 15" xfId="31467" xr:uid="{726D4C49-3EF4-48E8-9E28-B94F6242EC19}"/>
    <cellStyle name="Migliaia 7 2 2 16" xfId="737" xr:uid="{F900C9D1-374B-449B-A26A-E96E6BABBB2A}"/>
    <cellStyle name="Migliaia 7 2 2 2" xfId="789" xr:uid="{81CDD747-ED1A-4CAE-84EE-C6E1E0007FB3}"/>
    <cellStyle name="Migliaia 7 2 2 2 10" xfId="8455" xr:uid="{8D6FE887-2EA5-4E53-8074-84B81A3A8EA0}"/>
    <cellStyle name="Migliaia 7 2 2 2 10 2" xfId="12629" xr:uid="{7AF4E6BA-F80E-49D0-B3B4-C17BA1C70459}"/>
    <cellStyle name="Migliaia 7 2 2 2 10 2 2" xfId="27806" xr:uid="{E546BD11-0C48-4231-A3D8-0213DC657AAC}"/>
    <cellStyle name="Migliaia 7 2 2 2 10 3" xfId="23634" xr:uid="{8F62A877-32F6-47C1-82F0-555B090C496B}"/>
    <cellStyle name="Migliaia 7 2 2 2 11" xfId="16174" xr:uid="{C84020E2-EADF-491F-9CF6-97BAC662E9FF}"/>
    <cellStyle name="Migliaia 7 2 2 2 12" xfId="31516" xr:uid="{08430EF3-69D0-4364-B7F9-F2E11D8C9049}"/>
    <cellStyle name="Migliaia 7 2 2 2 2" xfId="966" xr:uid="{15E1118C-E0D3-4B10-92B1-1F74AE4A9B51}"/>
    <cellStyle name="Migliaia 7 2 2 2 2 10" xfId="16296" xr:uid="{523117B5-3D5E-4F2C-BBBE-60BAE1A77120}"/>
    <cellStyle name="Migliaia 7 2 2 2 2 11" xfId="31386" xr:uid="{D59688AD-956A-437C-84C6-A833BCD4AF72}"/>
    <cellStyle name="Migliaia 7 2 2 2 2 12" xfId="31736" xr:uid="{7A19E9DA-7080-4AE1-869C-F179948E9B82}"/>
    <cellStyle name="Migliaia 7 2 2 2 2 2" xfId="1327" xr:uid="{E8A6AA6E-2D65-4A07-A79F-580FE746575F}"/>
    <cellStyle name="Migliaia 7 2 2 2 2 2 2" xfId="3644" xr:uid="{7B236A45-2FEB-4AC7-ABFF-21AE1733A435}"/>
    <cellStyle name="Migliaia 7 2 2 2 2 2 2 2" xfId="11132" xr:uid="{88AA079C-28B9-45E1-B534-41C44F18DF69}"/>
    <cellStyle name="Migliaia 7 2 2 2 2 2 2 2 2" xfId="14678" xr:uid="{7BD78071-D7D1-419E-86D3-5D0C3B94F83A}"/>
    <cellStyle name="Migliaia 7 2 2 2 2 2 2 2 2 2" xfId="29855" xr:uid="{37E95BF9-CFB0-45B6-BD31-864622436CB1}"/>
    <cellStyle name="Migliaia 7 2 2 2 2 2 2 2 3" xfId="26310" xr:uid="{107D3855-4387-484B-A4A1-BFABE171F140}"/>
    <cellStyle name="Migliaia 7 2 2 2 2 2 2 3" xfId="6958" xr:uid="{034F45AD-92EC-41ED-B744-C3CFB92D6A7C}"/>
    <cellStyle name="Migliaia 7 2 2 2 2 2 2 3 2" xfId="22138" xr:uid="{912A0D6F-7369-46F6-8710-E9A988973C46}"/>
    <cellStyle name="Migliaia 7 2 2 2 2 2 2 4" xfId="18850" xr:uid="{1C247D0F-BB33-4517-87C0-534ED0E28A19}"/>
    <cellStyle name="Migliaia 7 2 2 2 2 2 3" xfId="4861" xr:uid="{07FEDE0C-5E9C-4D4A-9E41-B45857C5A9E5}"/>
    <cellStyle name="Migliaia 7 2 2 2 2 2 3 2" xfId="12346" xr:uid="{AF610FF0-F996-4D9E-94E0-BE58DAA779F0}"/>
    <cellStyle name="Migliaia 7 2 2 2 2 2 3 2 2" xfId="15892" xr:uid="{2708E1FF-874E-4FE8-91E8-2BE2D50870CE}"/>
    <cellStyle name="Migliaia 7 2 2 2 2 2 3 2 2 2" xfId="31069" xr:uid="{24D43E1E-EFF6-4950-A589-029C3EE3CF5F}"/>
    <cellStyle name="Migliaia 7 2 2 2 2 2 3 2 3" xfId="27524" xr:uid="{C54302A3-8A1D-420B-86DE-4A3A19C26368}"/>
    <cellStyle name="Migliaia 7 2 2 2 2 2 3 3" xfId="8172" xr:uid="{FF49D217-7FFF-45C1-A98D-A6BE848DDF2B}"/>
    <cellStyle name="Migliaia 7 2 2 2 2 2 3 3 2" xfId="23352" xr:uid="{A48D57A5-C101-4481-92DA-C5AE9CCD8294}"/>
    <cellStyle name="Migliaia 7 2 2 2 2 2 3 4" xfId="20064" xr:uid="{AFE4F561-723E-46C1-8E87-6DAD88B1C93B}"/>
    <cellStyle name="Migliaia 7 2 2 2 2 2 4" xfId="2757" xr:uid="{626CFDE5-7C8C-440E-9CA6-50D6F2005E33}"/>
    <cellStyle name="Migliaia 7 2 2 2 2 2 4 2" xfId="10248" xr:uid="{D1561C9D-3C26-4E2F-AFC3-A99CEDDE8917}"/>
    <cellStyle name="Migliaia 7 2 2 2 2 2 4 2 2" xfId="25426" xr:uid="{46422F13-1116-4852-938D-92A730BFA412}"/>
    <cellStyle name="Migliaia 7 2 2 2 2 2 4 3" xfId="17966" xr:uid="{E110DFEA-4FBA-43A9-BC50-F19B743C5B52}"/>
    <cellStyle name="Migliaia 7 2 2 2 2 2 5" xfId="8850" xr:uid="{C46B1895-DA82-4F75-BAC5-3D65C2F1D0E0}"/>
    <cellStyle name="Migliaia 7 2 2 2 2 2 5 2" xfId="13023" xr:uid="{4E58C8E7-F847-4550-91E1-59E90E915821}"/>
    <cellStyle name="Migliaia 7 2 2 2 2 2 5 2 2" xfId="28200" xr:uid="{8A4E4BED-FDCA-4975-BF73-FB861BC47F70}"/>
    <cellStyle name="Migliaia 7 2 2 2 2 2 5 3" xfId="24028" xr:uid="{615A253D-894F-4CBE-BD61-CC7E9572B76D}"/>
    <cellStyle name="Migliaia 7 2 2 2 2 2 6" xfId="6074" xr:uid="{D3A5A95D-9C65-489D-95D6-E1C16436CC23}"/>
    <cellStyle name="Migliaia 7 2 2 2 2 2 6 2" xfId="21254" xr:uid="{23121CF6-2022-45B3-AF17-438C9E497368}"/>
    <cellStyle name="Migliaia 7 2 2 2 2 2 7" xfId="16568" xr:uid="{F8861124-43FF-46F2-8ACA-F8DDA88650CB}"/>
    <cellStyle name="Migliaia 7 2 2 2 2 3" xfId="2484" xr:uid="{9B430E94-842A-4F86-83A7-674B99E46520}"/>
    <cellStyle name="Migliaia 7 2 2 2 2 3 2" xfId="9976" xr:uid="{1CCE8B53-A9B5-47BF-85EA-70C7C9CCC463}"/>
    <cellStyle name="Migliaia 7 2 2 2 2 3 2 2" xfId="13635" xr:uid="{26A9389E-ADA6-4066-B447-61FF32B76DD4}"/>
    <cellStyle name="Migliaia 7 2 2 2 2 3 2 2 2" xfId="28812" xr:uid="{B04B4426-7514-43F4-9A1D-5A2687268D37}"/>
    <cellStyle name="Migliaia 7 2 2 2 2 3 2 3" xfId="25154" xr:uid="{CD93CC41-5480-4919-9C63-4CE472EA0260}"/>
    <cellStyle name="Migliaia 7 2 2 2 2 3 3" xfId="5802" xr:uid="{8D09AB4E-C478-4191-8393-C95B5EBFB49E}"/>
    <cellStyle name="Migliaia 7 2 2 2 2 3 3 2" xfId="20982" xr:uid="{82949EAC-E261-4549-BF7C-A8E40A9EE3A8}"/>
    <cellStyle name="Migliaia 7 2 2 2 2 3 4" xfId="17694" xr:uid="{1049FB53-AEEB-4699-9635-2144B3D4995F}"/>
    <cellStyle name="Migliaia 7 2 2 2 2 4" xfId="3372" xr:uid="{B20A334A-AC8C-4C8C-A40F-A17BD0272110}"/>
    <cellStyle name="Migliaia 7 2 2 2 2 4 2" xfId="10860" xr:uid="{73A79A76-51E4-4E49-B2E1-EF9214078033}"/>
    <cellStyle name="Migliaia 7 2 2 2 2 4 2 2" xfId="14406" xr:uid="{30CF57F6-3A7A-4D43-B309-0AFFFE80135C}"/>
    <cellStyle name="Migliaia 7 2 2 2 2 4 2 2 2" xfId="29583" xr:uid="{AD1A993C-373F-4B22-B015-9A45F8E14FF7}"/>
    <cellStyle name="Migliaia 7 2 2 2 2 4 2 3" xfId="26038" xr:uid="{B44FB729-AD5F-49A1-92AC-280C1BB4F9A1}"/>
    <cellStyle name="Migliaia 7 2 2 2 2 4 3" xfId="6686" xr:uid="{DCCF6C7A-674F-4582-957D-9E0FE67E7700}"/>
    <cellStyle name="Migliaia 7 2 2 2 2 4 3 2" xfId="21866" xr:uid="{3B934710-0729-41F4-AF50-BBE2D109760E}"/>
    <cellStyle name="Migliaia 7 2 2 2 2 4 4" xfId="18578" xr:uid="{D1C42912-960A-401C-A3F7-7077C82B5179}"/>
    <cellStyle name="Migliaia 7 2 2 2 2 5" xfId="4862" xr:uid="{458E2C19-5C44-4A55-94E5-DCA977422388}"/>
    <cellStyle name="Migliaia 7 2 2 2 2 5 2" xfId="12347" xr:uid="{84515F0D-E603-4394-86D6-5A0D081AB0B2}"/>
    <cellStyle name="Migliaia 7 2 2 2 2 5 2 2" xfId="15893" xr:uid="{7B4F7DC6-7488-4E50-8746-B2D9EA69BA99}"/>
    <cellStyle name="Migliaia 7 2 2 2 2 5 2 2 2" xfId="31070" xr:uid="{78350EC4-00AE-4F75-BB14-D232E38F9C3A}"/>
    <cellStyle name="Migliaia 7 2 2 2 2 5 2 3" xfId="27525" xr:uid="{261AD1CE-4100-420F-8CAD-F606BF615912}"/>
    <cellStyle name="Migliaia 7 2 2 2 2 5 3" xfId="8173" xr:uid="{0313859E-CF10-415A-A2D0-FE9105071BCB}"/>
    <cellStyle name="Migliaia 7 2 2 2 2 5 3 2" xfId="23353" xr:uid="{F9C64AAB-D2D7-41FB-95EB-AEED6F278F9A}"/>
    <cellStyle name="Migliaia 7 2 2 2 2 5 4" xfId="20065" xr:uid="{81D516A2-9955-4B79-833C-D4B2B25D27D9}"/>
    <cellStyle name="Migliaia 7 2 2 2 2 6" xfId="5046" xr:uid="{000C0A10-45F9-4FAF-974C-DDC82BD7F781}"/>
    <cellStyle name="Migliaia 7 2 2 2 2 6 2" xfId="12530" xr:uid="{C20E7572-578B-4CC6-92EC-F9FFB12C6722}"/>
    <cellStyle name="Migliaia 7 2 2 2 2 6 2 2" xfId="16076" xr:uid="{7AD6286E-FC2B-4E64-986F-E58715040701}"/>
    <cellStyle name="Migliaia 7 2 2 2 2 6 2 2 2" xfId="31253" xr:uid="{04E7C66B-590F-4F22-9DA3-E52735341B7B}"/>
    <cellStyle name="Migliaia 7 2 2 2 2 6 2 3" xfId="27708" xr:uid="{D887D691-B366-4998-845E-E8BDA6543EE6}"/>
    <cellStyle name="Migliaia 7 2 2 2 2 6 3" xfId="8356" xr:uid="{6BA939CA-08BA-4E2D-964E-784803E91FFA}"/>
    <cellStyle name="Migliaia 7 2 2 2 2 6 3 2" xfId="23536" xr:uid="{C532F108-2D73-4222-A5BF-8B14D7163C75}"/>
    <cellStyle name="Migliaia 7 2 2 2 2 6 4" xfId="20248" xr:uid="{4A4EA1AB-0A6B-4F8D-A906-A2D57B945C3A}"/>
    <cellStyle name="Migliaia 7 2 2 2 2 7" xfId="1867" xr:uid="{442899EE-FB12-4A27-8191-75613F8B7D08}"/>
    <cellStyle name="Migliaia 7 2 2 2 2 7 2" xfId="9364" xr:uid="{DB881E42-46E2-42FA-AA43-3619028D40C6}"/>
    <cellStyle name="Migliaia 7 2 2 2 2 7 2 2" xfId="24542" xr:uid="{404D312E-AA4D-4741-B9F8-1314089B943B}"/>
    <cellStyle name="Migliaia 7 2 2 2 2 7 3" xfId="17082" xr:uid="{F235C32E-A5E1-4856-8253-EF257E51DAF8}"/>
    <cellStyle name="Migliaia 7 2 2 2 2 8" xfId="8578" xr:uid="{C4222FD9-1311-40FD-9283-E273558DA569}"/>
    <cellStyle name="Migliaia 7 2 2 2 2 8 2" xfId="12751" xr:uid="{2C5BF2C6-AD54-445A-879A-460BBB22BC25}"/>
    <cellStyle name="Migliaia 7 2 2 2 2 8 2 2" xfId="27928" xr:uid="{6D77654F-8843-4310-A7C8-290964721F2E}"/>
    <cellStyle name="Migliaia 7 2 2 2 2 8 3" xfId="23756" xr:uid="{8B28B587-24D8-453F-B754-FF0D72FFF860}"/>
    <cellStyle name="Migliaia 7 2 2 2 2 9" xfId="5190" xr:uid="{C1626D4B-3814-47CE-A0A8-7BC394EC6BE4}"/>
    <cellStyle name="Migliaia 7 2 2 2 2 9 2" xfId="20370" xr:uid="{412188A4-AEB9-4D53-B4BC-5A5BC3E31A70}"/>
    <cellStyle name="Migliaia 7 2 2 2 3" xfId="1069" xr:uid="{357849F5-DB20-4C3A-9B03-A9597E4167E7}"/>
    <cellStyle name="Migliaia 7 2 2 2 3 10" xfId="31614" xr:uid="{797B53FE-D585-4D82-9C5E-703802C6C6AF}"/>
    <cellStyle name="Migliaia 7 2 2 2 3 2" xfId="1429" xr:uid="{963E44EB-2933-4795-A094-25D8B4AD0492}"/>
    <cellStyle name="Migliaia 7 2 2 2 3 2 2" xfId="3742" xr:uid="{D1BBE511-E138-4BF9-BEB8-BDCCF7E8AB68}"/>
    <cellStyle name="Migliaia 7 2 2 2 3 2 2 2" xfId="11230" xr:uid="{7B9DE965-FF3D-4877-89FA-089F4C465BA0}"/>
    <cellStyle name="Migliaia 7 2 2 2 3 2 2 2 2" xfId="14776" xr:uid="{5DA8EDE9-3C85-4819-B1AC-EAB7606A0549}"/>
    <cellStyle name="Migliaia 7 2 2 2 3 2 2 2 2 2" xfId="29953" xr:uid="{83193E1E-27E8-49F2-8F32-9DEDD5C5F349}"/>
    <cellStyle name="Migliaia 7 2 2 2 3 2 2 2 3" xfId="26408" xr:uid="{D01B0601-66D3-4DA3-A14B-BAAABB0C51D4}"/>
    <cellStyle name="Migliaia 7 2 2 2 3 2 2 3" xfId="7056" xr:uid="{801D6C79-1A8A-4DF8-9464-B3D71D82AFC9}"/>
    <cellStyle name="Migliaia 7 2 2 2 3 2 2 3 2" xfId="22236" xr:uid="{76571CCD-86BA-472A-B9A5-9A6C9E153EA7}"/>
    <cellStyle name="Migliaia 7 2 2 2 3 2 2 4" xfId="18948" xr:uid="{F0A68956-5B8F-48A5-BCE5-66ED1A77AA20}"/>
    <cellStyle name="Migliaia 7 2 2 2 3 2 3" xfId="4863" xr:uid="{1922FCE5-7EE5-4B48-B622-70E7953CD094}"/>
    <cellStyle name="Migliaia 7 2 2 2 3 2 3 2" xfId="12348" xr:uid="{31524BF9-7F7F-48F6-88E8-D9ED8539E9F1}"/>
    <cellStyle name="Migliaia 7 2 2 2 3 2 3 2 2" xfId="15894" xr:uid="{548DB9B1-2F89-4119-A5ED-1D334BAB8744}"/>
    <cellStyle name="Migliaia 7 2 2 2 3 2 3 2 2 2" xfId="31071" xr:uid="{762940AE-272C-4A36-B286-FC2849E4C4DC}"/>
    <cellStyle name="Migliaia 7 2 2 2 3 2 3 2 3" xfId="27526" xr:uid="{B31E6C5E-E6FF-480A-8DF2-BA4A50847B9D}"/>
    <cellStyle name="Migliaia 7 2 2 2 3 2 3 3" xfId="8174" xr:uid="{D0C675F0-E0F3-4D8C-8E51-FD1BCF685032}"/>
    <cellStyle name="Migliaia 7 2 2 2 3 2 3 3 2" xfId="23354" xr:uid="{794DE863-E03D-4276-8A95-8D9506EA6608}"/>
    <cellStyle name="Migliaia 7 2 2 2 3 2 3 4" xfId="20066" xr:uid="{27705047-1F08-4B32-A812-C5467D91C624}"/>
    <cellStyle name="Migliaia 7 2 2 2 3 2 4" xfId="2855" xr:uid="{1F276400-D9E0-41EC-8E77-79C2905F2D75}"/>
    <cellStyle name="Migliaia 7 2 2 2 3 2 4 2" xfId="10346" xr:uid="{FDB6334D-F4F4-45FD-A7C3-F83DEA684B38}"/>
    <cellStyle name="Migliaia 7 2 2 2 3 2 4 2 2" xfId="25524" xr:uid="{60837375-A684-4940-A9E8-5251D981BFE1}"/>
    <cellStyle name="Migliaia 7 2 2 2 3 2 4 3" xfId="18064" xr:uid="{4BABC32F-808A-433C-BB47-E29F7D674146}"/>
    <cellStyle name="Migliaia 7 2 2 2 3 2 5" xfId="8948" xr:uid="{9A9318EA-D8E4-4CE4-94C6-E2B5CA60F761}"/>
    <cellStyle name="Migliaia 7 2 2 2 3 2 5 2" xfId="13121" xr:uid="{B612B31D-1090-42D8-8ACB-5A73E7A636F8}"/>
    <cellStyle name="Migliaia 7 2 2 2 3 2 5 2 2" xfId="28298" xr:uid="{1F7D8644-B35E-4C29-B2D9-80440805F0EF}"/>
    <cellStyle name="Migliaia 7 2 2 2 3 2 5 3" xfId="24126" xr:uid="{4EC24FDB-4345-4C77-B7B1-3F347AB2DA25}"/>
    <cellStyle name="Migliaia 7 2 2 2 3 2 6" xfId="6172" xr:uid="{979C43AE-2374-4EAD-B65D-2E9386A126A9}"/>
    <cellStyle name="Migliaia 7 2 2 2 3 2 6 2" xfId="21352" xr:uid="{F6F1ED03-85DD-4BD0-B464-9101568B02E2}"/>
    <cellStyle name="Migliaia 7 2 2 2 3 2 7" xfId="16666" xr:uid="{0436AAC3-5E60-412D-9AE4-68D5D4CCB3C0}"/>
    <cellStyle name="Migliaia 7 2 2 2 3 3" xfId="2582" xr:uid="{5F9232ED-5D2A-4858-B2FD-54B0B716A18C}"/>
    <cellStyle name="Migliaia 7 2 2 2 3 3 2" xfId="10074" xr:uid="{782BFC2D-4D71-49B6-9226-3B9484B781C5}"/>
    <cellStyle name="Migliaia 7 2 2 2 3 3 2 2" xfId="13733" xr:uid="{0F8D6318-48F7-4C40-A2EA-807CAA9CC19D}"/>
    <cellStyle name="Migliaia 7 2 2 2 3 3 2 2 2" xfId="28910" xr:uid="{8CF2458A-39EC-4111-9564-BC750B4F2FED}"/>
    <cellStyle name="Migliaia 7 2 2 2 3 3 2 3" xfId="25252" xr:uid="{D946D846-7F78-43A8-BF93-33134DCE6972}"/>
    <cellStyle name="Migliaia 7 2 2 2 3 3 3" xfId="5900" xr:uid="{66A35A94-6BBB-4828-9ADE-97EE9F1DA2AE}"/>
    <cellStyle name="Migliaia 7 2 2 2 3 3 3 2" xfId="21080" xr:uid="{BD1CF3CD-F4F8-4FC8-A2F3-51CF987A076E}"/>
    <cellStyle name="Migliaia 7 2 2 2 3 3 4" xfId="17792" xr:uid="{8DB6A154-C13D-40C4-91C4-7F1CBC0D4A5A}"/>
    <cellStyle name="Migliaia 7 2 2 2 3 4" xfId="3470" xr:uid="{AF0DB428-EC20-4F4B-B589-4E63FC074600}"/>
    <cellStyle name="Migliaia 7 2 2 2 3 4 2" xfId="10958" xr:uid="{41F48EC3-9ED6-4E83-9F7E-2D101AA5801A}"/>
    <cellStyle name="Migliaia 7 2 2 2 3 4 2 2" xfId="14504" xr:uid="{15042731-01EC-4605-9982-3F4ED65A9B00}"/>
    <cellStyle name="Migliaia 7 2 2 2 3 4 2 2 2" xfId="29681" xr:uid="{5C629E64-222F-4F6D-99B6-06DECD243E39}"/>
    <cellStyle name="Migliaia 7 2 2 2 3 4 2 3" xfId="26136" xr:uid="{366CBAB7-76A7-434E-A3CF-19ECBF5CB3C9}"/>
    <cellStyle name="Migliaia 7 2 2 2 3 4 3" xfId="6784" xr:uid="{67CE23DA-F4E4-4994-A803-C82369508967}"/>
    <cellStyle name="Migliaia 7 2 2 2 3 4 3 2" xfId="21964" xr:uid="{4EEAEE06-A807-402D-ADF3-3356ADCB64EE}"/>
    <cellStyle name="Migliaia 7 2 2 2 3 4 4" xfId="18676" xr:uid="{9ECCD35F-6F3B-4D10-8E41-57D6982E5355}"/>
    <cellStyle name="Migliaia 7 2 2 2 3 5" xfId="4864" xr:uid="{7F1A8546-32EB-44DC-B826-E230C30BA5A1}"/>
    <cellStyle name="Migliaia 7 2 2 2 3 5 2" xfId="12349" xr:uid="{EE03EF7F-1A56-4DCD-9531-BE88E73A69A8}"/>
    <cellStyle name="Migliaia 7 2 2 2 3 5 2 2" xfId="15895" xr:uid="{842E0CEC-924E-4B56-AD4F-9D8DFA0F108F}"/>
    <cellStyle name="Migliaia 7 2 2 2 3 5 2 2 2" xfId="31072" xr:uid="{7D4C0839-D352-445A-AB3F-A114FC636A0C}"/>
    <cellStyle name="Migliaia 7 2 2 2 3 5 2 3" xfId="27527" xr:uid="{45ED7E20-E3ED-4EB9-8AEF-37903A1212DE}"/>
    <cellStyle name="Migliaia 7 2 2 2 3 5 3" xfId="8175" xr:uid="{90994022-A8A3-40CD-B1D9-9BB8F056B10D}"/>
    <cellStyle name="Migliaia 7 2 2 2 3 5 3 2" xfId="23355" xr:uid="{8BDF534F-8764-40D8-AD23-A9C92D4C4EA0}"/>
    <cellStyle name="Migliaia 7 2 2 2 3 5 4" xfId="20067" xr:uid="{DF8A5A24-16E6-4ACC-B59B-3A1768C7B250}"/>
    <cellStyle name="Migliaia 7 2 2 2 3 6" xfId="1965" xr:uid="{515AE83C-AEBC-4749-9F70-43F10E9AE280}"/>
    <cellStyle name="Migliaia 7 2 2 2 3 6 2" xfId="9462" xr:uid="{8DC38987-7309-4763-AD61-473665DFB036}"/>
    <cellStyle name="Migliaia 7 2 2 2 3 6 2 2" xfId="24640" xr:uid="{CE6A954F-48FB-40C3-8E52-CDC80C9055C3}"/>
    <cellStyle name="Migliaia 7 2 2 2 3 6 3" xfId="17180" xr:uid="{957747C5-AB59-4FEF-85D0-3CD3AE03B7F5}"/>
    <cellStyle name="Migliaia 7 2 2 2 3 7" xfId="8676" xr:uid="{536D08A9-C1EA-4AEC-A537-206B627ADA03}"/>
    <cellStyle name="Migliaia 7 2 2 2 3 7 2" xfId="12849" xr:uid="{10C26F2B-0A2D-449B-B39D-193439DF7126}"/>
    <cellStyle name="Migliaia 7 2 2 2 3 7 2 2" xfId="28026" xr:uid="{CC2854A9-0E70-45EB-9CE8-887F4820A0AE}"/>
    <cellStyle name="Migliaia 7 2 2 2 3 7 3" xfId="23854" xr:uid="{88226165-668F-4E09-9C7F-05567497003F}"/>
    <cellStyle name="Migliaia 7 2 2 2 3 8" xfId="5288" xr:uid="{8345D6D7-C300-49E5-A693-10382A2AADBB}"/>
    <cellStyle name="Migliaia 7 2 2 2 3 8 2" xfId="20468" xr:uid="{4283BEE3-7336-4590-80F6-34D04EA81D4D}"/>
    <cellStyle name="Migliaia 7 2 2 2 3 9" xfId="16394" xr:uid="{C1B1ACC8-5F36-4939-A061-D960B20C155B}"/>
    <cellStyle name="Migliaia 7 2 2 2 4" xfId="1528" xr:uid="{279608A5-6876-4F2B-8909-B01876D9D98C}"/>
    <cellStyle name="Migliaia 7 2 2 2 4 2" xfId="2953" xr:uid="{112E63E2-5554-47C5-84F1-557616FE07F8}"/>
    <cellStyle name="Migliaia 7 2 2 2 4 2 2" xfId="10444" xr:uid="{530DA230-CCDA-466C-867E-319D0C918F83}"/>
    <cellStyle name="Migliaia 7 2 2 2 4 2 2 2" xfId="13990" xr:uid="{A1115527-D03B-4699-BA01-3F59F81ACC97}"/>
    <cellStyle name="Migliaia 7 2 2 2 4 2 2 2 2" xfId="29167" xr:uid="{7C2D6FF3-77BA-409D-8F93-B01EE91D70C5}"/>
    <cellStyle name="Migliaia 7 2 2 2 4 2 2 3" xfId="25622" xr:uid="{E55B686E-0024-4ABF-97B7-D51D51501BDE}"/>
    <cellStyle name="Migliaia 7 2 2 2 4 2 3" xfId="6270" xr:uid="{7D543883-866C-430E-BB53-78F60D1A4EB7}"/>
    <cellStyle name="Migliaia 7 2 2 2 4 2 3 2" xfId="21450" xr:uid="{1A4D7B2B-9CEA-48F0-8FB9-E30ECBAB2446}"/>
    <cellStyle name="Migliaia 7 2 2 2 4 2 4" xfId="18162" xr:uid="{71256F47-E12F-46C4-BA90-49CFC77D041B}"/>
    <cellStyle name="Migliaia 7 2 2 2 4 3" xfId="3840" xr:uid="{5D352975-EB21-49E7-B965-37A481DA55B5}"/>
    <cellStyle name="Migliaia 7 2 2 2 4 3 2" xfId="11328" xr:uid="{BDBB1A10-19B3-4882-A1FB-539A98FE02DF}"/>
    <cellStyle name="Migliaia 7 2 2 2 4 3 2 2" xfId="14874" xr:uid="{7A48E16B-9C69-4F67-923E-076B1D46B4B6}"/>
    <cellStyle name="Migliaia 7 2 2 2 4 3 2 2 2" xfId="30051" xr:uid="{E5AFAFD7-2E1D-4A45-A9DC-B4FEF6338DD1}"/>
    <cellStyle name="Migliaia 7 2 2 2 4 3 2 3" xfId="26506" xr:uid="{A3BE2C39-B299-4DA5-B1D5-BD1379DF8F39}"/>
    <cellStyle name="Migliaia 7 2 2 2 4 3 3" xfId="7154" xr:uid="{CE02FD58-DB16-47E5-BD5E-38CE8FFEEDD0}"/>
    <cellStyle name="Migliaia 7 2 2 2 4 3 3 2" xfId="22334" xr:uid="{D5B6BB45-2294-4C2D-B6E3-C2262072473F}"/>
    <cellStyle name="Migliaia 7 2 2 2 4 3 4" xfId="19046" xr:uid="{BDC019BE-947B-4136-8932-1B1147FD4E1C}"/>
    <cellStyle name="Migliaia 7 2 2 2 4 4" xfId="4865" xr:uid="{4CF74117-E93E-4494-B444-70F3AC97D1B7}"/>
    <cellStyle name="Migliaia 7 2 2 2 4 4 2" xfId="12350" xr:uid="{8AC13AB0-183E-45D9-A3AB-7D9EB11F5C55}"/>
    <cellStyle name="Migliaia 7 2 2 2 4 4 2 2" xfId="15896" xr:uid="{98BF1402-3070-40F4-A3C3-3D4EC3954B25}"/>
    <cellStyle name="Migliaia 7 2 2 2 4 4 2 2 2" xfId="31073" xr:uid="{B62CA9FA-894B-4356-9057-D40DED3D7162}"/>
    <cellStyle name="Migliaia 7 2 2 2 4 4 2 3" xfId="27528" xr:uid="{18D13B0E-C150-450D-8B59-3DCE3350467A}"/>
    <cellStyle name="Migliaia 7 2 2 2 4 4 3" xfId="8176" xr:uid="{14690788-2EE4-4984-8638-CB3F8785FBA4}"/>
    <cellStyle name="Migliaia 7 2 2 2 4 4 3 2" xfId="23356" xr:uid="{69E72C93-E7D5-406F-A844-C52CFAD2E808}"/>
    <cellStyle name="Migliaia 7 2 2 2 4 4 4" xfId="20068" xr:uid="{76F5BD5A-59B5-408E-A5F8-29416696507D}"/>
    <cellStyle name="Migliaia 7 2 2 2 4 5" xfId="2063" xr:uid="{D3B6F595-0CE6-4CF2-A301-ACFA008B0674}"/>
    <cellStyle name="Migliaia 7 2 2 2 4 5 2" xfId="9560" xr:uid="{820BC0BB-65EA-4888-A34E-79631E5D231C}"/>
    <cellStyle name="Migliaia 7 2 2 2 4 5 2 2" xfId="24738" xr:uid="{3945E107-CEC5-432A-BD8C-4ECC069E46C8}"/>
    <cellStyle name="Migliaia 7 2 2 2 4 5 3" xfId="17278" xr:uid="{F1BD10A6-C65E-4145-A319-F43D2296C544}"/>
    <cellStyle name="Migliaia 7 2 2 2 4 6" xfId="9046" xr:uid="{01CCB9E3-C7D5-4E73-B012-B3D86901133B}"/>
    <cellStyle name="Migliaia 7 2 2 2 4 6 2" xfId="13219" xr:uid="{B76328A7-1A95-4DBF-A27E-BE5720276182}"/>
    <cellStyle name="Migliaia 7 2 2 2 4 6 2 2" xfId="28396" xr:uid="{42F58325-2E17-4EBD-ACDB-FB8036BEC799}"/>
    <cellStyle name="Migliaia 7 2 2 2 4 6 3" xfId="24224" xr:uid="{2F176C83-93F9-4446-A3A7-0281DE1DC554}"/>
    <cellStyle name="Migliaia 7 2 2 2 4 7" xfId="5386" xr:uid="{3470F6B5-AB37-4867-904A-D77C93571CBE}"/>
    <cellStyle name="Migliaia 7 2 2 2 4 7 2" xfId="20566" xr:uid="{A2C47FDC-4A43-43F7-81F4-55ACD3A762AC}"/>
    <cellStyle name="Migliaia 7 2 2 2 4 8" xfId="16764" xr:uid="{FBCA1F36-FB96-4E1B-B1B3-D3358A9F04E5}"/>
    <cellStyle name="Migliaia 7 2 2 2 5" xfId="1631" xr:uid="{B08EE5F7-E376-4504-A6D4-9BD064B281CF}"/>
    <cellStyle name="Migliaia 7 2 2 2 5 2" xfId="3051" xr:uid="{16243C4C-FD1F-48CA-9CA3-C78701CB728A}"/>
    <cellStyle name="Migliaia 7 2 2 2 5 2 2" xfId="10542" xr:uid="{6C3E6B13-09CB-430D-A101-F0A4A1CE5516}"/>
    <cellStyle name="Migliaia 7 2 2 2 5 2 2 2" xfId="14088" xr:uid="{04370078-CEB3-4229-B360-3E422A0EA6DD}"/>
    <cellStyle name="Migliaia 7 2 2 2 5 2 2 2 2" xfId="29265" xr:uid="{6022EA8E-2052-434C-979D-53E14872F3EE}"/>
    <cellStyle name="Migliaia 7 2 2 2 5 2 2 3" xfId="25720" xr:uid="{90FFEB46-ED35-42AF-BE72-3DDA66271135}"/>
    <cellStyle name="Migliaia 7 2 2 2 5 2 3" xfId="6368" xr:uid="{8372DCE1-D0B9-490A-AF1A-613DCD3A11B5}"/>
    <cellStyle name="Migliaia 7 2 2 2 5 2 3 2" xfId="21548" xr:uid="{3992130A-950D-4D3D-A52B-20321D6FB398}"/>
    <cellStyle name="Migliaia 7 2 2 2 5 2 4" xfId="18260" xr:uid="{C371052E-2FDD-4A43-844F-E4C4AFC4FCA7}"/>
    <cellStyle name="Migliaia 7 2 2 2 5 3" xfId="3938" xr:uid="{91CDA236-1BDD-4DAE-A2E2-B1D7E537F14F}"/>
    <cellStyle name="Migliaia 7 2 2 2 5 3 2" xfId="11426" xr:uid="{94E21F98-6E44-43AF-8E00-FA997B55A13C}"/>
    <cellStyle name="Migliaia 7 2 2 2 5 3 2 2" xfId="14972" xr:uid="{175DDA8F-E35B-411A-BB8D-F5FC2E1D0EBC}"/>
    <cellStyle name="Migliaia 7 2 2 2 5 3 2 2 2" xfId="30149" xr:uid="{01E4CADD-A67B-4DB3-A28D-D61D7D893898}"/>
    <cellStyle name="Migliaia 7 2 2 2 5 3 2 3" xfId="26604" xr:uid="{908AD0AF-6978-4B05-A26F-9A3F6C3C1600}"/>
    <cellStyle name="Migliaia 7 2 2 2 5 3 3" xfId="7252" xr:uid="{C2A3F433-1DF6-4CBC-AD1F-6BCFDF0F0137}"/>
    <cellStyle name="Migliaia 7 2 2 2 5 3 3 2" xfId="22432" xr:uid="{6339E609-0F4D-4A8B-A5A4-ADDC38EE84D3}"/>
    <cellStyle name="Migliaia 7 2 2 2 5 3 4" xfId="19144" xr:uid="{5F459FBC-E920-494F-A3EF-B024CBE9FB9A}"/>
    <cellStyle name="Migliaia 7 2 2 2 5 4" xfId="4866" xr:uid="{C40EA925-F87E-47C7-9A5B-AC0218231297}"/>
    <cellStyle name="Migliaia 7 2 2 2 5 4 2" xfId="12351" xr:uid="{2A48D8BF-EBE4-444A-97FF-41E57C64337D}"/>
    <cellStyle name="Migliaia 7 2 2 2 5 4 2 2" xfId="15897" xr:uid="{8AAB8DBF-D4D5-440C-B01F-393EDE0D1870}"/>
    <cellStyle name="Migliaia 7 2 2 2 5 4 2 2 2" xfId="31074" xr:uid="{8BBDCAC8-C7BE-49A8-A24C-E3FD73423C09}"/>
    <cellStyle name="Migliaia 7 2 2 2 5 4 2 3" xfId="27529" xr:uid="{2523A42B-B2E4-4F9C-A891-7D053F7B9968}"/>
    <cellStyle name="Migliaia 7 2 2 2 5 4 3" xfId="8177" xr:uid="{6AFFC8BE-8884-4103-A0A7-3D71510CB16D}"/>
    <cellStyle name="Migliaia 7 2 2 2 5 4 3 2" xfId="23357" xr:uid="{B2D955B0-4817-4FBC-8410-149B11B84ED2}"/>
    <cellStyle name="Migliaia 7 2 2 2 5 4 4" xfId="20069" xr:uid="{59E71120-FAA0-4846-99D5-E6A4335A550E}"/>
    <cellStyle name="Migliaia 7 2 2 2 5 5" xfId="2161" xr:uid="{F2F75227-DB52-49E0-96F4-4AF2588D1456}"/>
    <cellStyle name="Migliaia 7 2 2 2 5 5 2" xfId="9658" xr:uid="{1B95D556-4059-4949-9E01-1317A7EC867A}"/>
    <cellStyle name="Migliaia 7 2 2 2 5 5 2 2" xfId="24836" xr:uid="{6F545598-6AC3-42E8-9CF5-5F6A30526138}"/>
    <cellStyle name="Migliaia 7 2 2 2 5 5 3" xfId="17376" xr:uid="{4BD82839-EA67-4E19-9062-76788EFCA86C}"/>
    <cellStyle name="Migliaia 7 2 2 2 5 6" xfId="9144" xr:uid="{B3165537-959F-4AA8-A9E6-8BF5A26064DB}"/>
    <cellStyle name="Migliaia 7 2 2 2 5 6 2" xfId="13317" xr:uid="{E1FE1507-5286-402C-999D-0C0470BB2185}"/>
    <cellStyle name="Migliaia 7 2 2 2 5 6 2 2" xfId="28494" xr:uid="{ABBE12E4-48B8-472C-A6D3-431AE4DCABC9}"/>
    <cellStyle name="Migliaia 7 2 2 2 5 6 3" xfId="24322" xr:uid="{B377E39B-58E2-41CE-93DA-061E8CABC7C5}"/>
    <cellStyle name="Migliaia 7 2 2 2 5 7" xfId="5484" xr:uid="{4287E21F-4D3B-40ED-A847-1C320CC68865}"/>
    <cellStyle name="Migliaia 7 2 2 2 5 7 2" xfId="20664" xr:uid="{3B5D8144-FE8B-4176-8ED7-5866837F6C8B}"/>
    <cellStyle name="Migliaia 7 2 2 2 5 8" xfId="16862" xr:uid="{29684A9D-B07A-413E-9F83-A9336ADB60D1}"/>
    <cellStyle name="Migliaia 7 2 2 2 6" xfId="1730" xr:uid="{096FEDC6-A96E-42C6-AD43-2BFBCFB6AD2F}"/>
    <cellStyle name="Migliaia 7 2 2 2 6 2" xfId="3149" xr:uid="{92468A6D-DF4A-4EFA-9A12-449EE3EDC1D6}"/>
    <cellStyle name="Migliaia 7 2 2 2 6 2 2" xfId="10640" xr:uid="{5AA00708-30B4-42B4-8ABB-1F3AB1AE259F}"/>
    <cellStyle name="Migliaia 7 2 2 2 6 2 2 2" xfId="14186" xr:uid="{8465C8DE-24C8-4C3B-B56A-EE61558D70E5}"/>
    <cellStyle name="Migliaia 7 2 2 2 6 2 2 2 2" xfId="29363" xr:uid="{AA2F5224-6D31-43F6-8AB0-395BCFDCC981}"/>
    <cellStyle name="Migliaia 7 2 2 2 6 2 2 3" xfId="25818" xr:uid="{C4DC1F13-02DD-45B0-854E-5BA8EF2D80D2}"/>
    <cellStyle name="Migliaia 7 2 2 2 6 2 3" xfId="6466" xr:uid="{646E5C3A-5D4C-4E15-8CA7-4AD747264F22}"/>
    <cellStyle name="Migliaia 7 2 2 2 6 2 3 2" xfId="21646" xr:uid="{49B6D1E9-279C-439F-AB7D-681D2504D248}"/>
    <cellStyle name="Migliaia 7 2 2 2 6 2 4" xfId="18358" xr:uid="{ECEB6734-9409-48B8-BF68-1E1A9C6DE2CC}"/>
    <cellStyle name="Migliaia 7 2 2 2 6 3" xfId="4036" xr:uid="{B186FA6C-9DAA-49C4-A59E-0D33ECE6FE71}"/>
    <cellStyle name="Migliaia 7 2 2 2 6 3 2" xfId="11524" xr:uid="{E6AFAD01-1982-4B85-A001-644F27605CBE}"/>
    <cellStyle name="Migliaia 7 2 2 2 6 3 2 2" xfId="15070" xr:uid="{31CE319C-3158-4FCC-B31B-D70948704FC2}"/>
    <cellStyle name="Migliaia 7 2 2 2 6 3 2 2 2" xfId="30247" xr:uid="{CCA3E217-6E00-4F2D-87A7-BCA5CB758AFE}"/>
    <cellStyle name="Migliaia 7 2 2 2 6 3 2 3" xfId="26702" xr:uid="{9AE589A2-F40B-4F8C-B059-DEC405CA9A68}"/>
    <cellStyle name="Migliaia 7 2 2 2 6 3 3" xfId="7350" xr:uid="{B0202923-030E-4968-B0E5-1C9A2D492130}"/>
    <cellStyle name="Migliaia 7 2 2 2 6 3 3 2" xfId="22530" xr:uid="{FDB09119-5AA7-4CD6-8C07-45BEB038CD34}"/>
    <cellStyle name="Migliaia 7 2 2 2 6 3 4" xfId="19242" xr:uid="{741EE1F5-9625-4AB6-8242-22CC07D5909E}"/>
    <cellStyle name="Migliaia 7 2 2 2 6 4" xfId="4867" xr:uid="{D910C702-EB30-4EB3-B5D6-888C86214CE4}"/>
    <cellStyle name="Migliaia 7 2 2 2 6 4 2" xfId="12352" xr:uid="{E03D561D-B5C8-4FB3-B7AD-666C434831AB}"/>
    <cellStyle name="Migliaia 7 2 2 2 6 4 2 2" xfId="15898" xr:uid="{754571A7-D877-42CA-9446-2DA0619D6A11}"/>
    <cellStyle name="Migliaia 7 2 2 2 6 4 2 2 2" xfId="31075" xr:uid="{4676652C-D060-43F9-971B-95E8A529011A}"/>
    <cellStyle name="Migliaia 7 2 2 2 6 4 2 3" xfId="27530" xr:uid="{0954F20C-4286-4F44-ABDA-3E63382B9B66}"/>
    <cellStyle name="Migliaia 7 2 2 2 6 4 3" xfId="8178" xr:uid="{FFA7E3C2-9D38-45BF-94A8-83385F7D2F23}"/>
    <cellStyle name="Migliaia 7 2 2 2 6 4 3 2" xfId="23358" xr:uid="{BEEAA743-E507-404F-A5B5-33789F4D0382}"/>
    <cellStyle name="Migliaia 7 2 2 2 6 4 4" xfId="20070" xr:uid="{DA5B5696-F83F-4A66-AA7B-4EF6B74194C3}"/>
    <cellStyle name="Migliaia 7 2 2 2 6 5" xfId="2259" xr:uid="{ED3C214D-7ABE-4EF8-AA3B-E372C48887C3}"/>
    <cellStyle name="Migliaia 7 2 2 2 6 5 2" xfId="9756" xr:uid="{636F5422-B728-4976-8CE5-A03773DC52A0}"/>
    <cellStyle name="Migliaia 7 2 2 2 6 5 2 2" xfId="24934" xr:uid="{2340B72B-BEA7-4AD6-A89F-6A7217A0037B}"/>
    <cellStyle name="Migliaia 7 2 2 2 6 5 3" xfId="17474" xr:uid="{5C942004-1B43-4533-8602-60B15B43D921}"/>
    <cellStyle name="Migliaia 7 2 2 2 6 6" xfId="9242" xr:uid="{8C6F912D-4375-4C96-B5C3-A51B11947D17}"/>
    <cellStyle name="Migliaia 7 2 2 2 6 6 2" xfId="13415" xr:uid="{22FF0F71-BFC8-4A26-A0F4-CC7F1A487330}"/>
    <cellStyle name="Migliaia 7 2 2 2 6 6 2 2" xfId="28592" xr:uid="{C5EC1EB3-4830-4AFA-BADC-C342680E44ED}"/>
    <cellStyle name="Migliaia 7 2 2 2 6 6 3" xfId="24420" xr:uid="{A7C48D5B-6D1F-44A6-98DF-D84A5003E158}"/>
    <cellStyle name="Migliaia 7 2 2 2 6 7" xfId="5582" xr:uid="{40101C36-B713-4857-B830-3F1C4E416CEE}"/>
    <cellStyle name="Migliaia 7 2 2 2 6 7 2" xfId="20762" xr:uid="{1FD7FC25-6E5C-4C55-A9A2-2764DC94CA4B}"/>
    <cellStyle name="Migliaia 7 2 2 2 6 8" xfId="16960" xr:uid="{A5FAE615-5E1D-4823-A598-4F539E88821C}"/>
    <cellStyle name="Migliaia 7 2 2 2 7" xfId="2359" xr:uid="{FCC2CFAD-FE77-487D-B197-97B0028EE2C8}"/>
    <cellStyle name="Migliaia 7 2 2 2 7 2" xfId="9854" xr:uid="{A7243D6F-3BA2-4153-9D69-D87BE5B590E7}"/>
    <cellStyle name="Migliaia 7 2 2 2 7 2 2" xfId="13513" xr:uid="{2B8C4588-6054-40DE-9168-26C1B18127C7}"/>
    <cellStyle name="Migliaia 7 2 2 2 7 2 2 2" xfId="28690" xr:uid="{A3DE6347-D8FF-47F7-9F00-B66A330F0144}"/>
    <cellStyle name="Migliaia 7 2 2 2 7 2 3" xfId="25032" xr:uid="{FFE8C08D-9990-48A6-B276-C8056C415818}"/>
    <cellStyle name="Migliaia 7 2 2 2 7 3" xfId="5680" xr:uid="{7E25C9E8-3BF6-4E47-AFC7-5B2229312FCA}"/>
    <cellStyle name="Migliaia 7 2 2 2 7 3 2" xfId="20860" xr:uid="{70CC9194-63A8-453A-BDA3-1B344D4F33E0}"/>
    <cellStyle name="Migliaia 7 2 2 2 7 4" xfId="17572" xr:uid="{D7E68854-0E6B-4E99-AD0B-A3548294965D}"/>
    <cellStyle name="Migliaia 7 2 2 2 8" xfId="3249" xr:uid="{FFC516A5-1E84-4418-9FF6-F4C63617D313}"/>
    <cellStyle name="Migliaia 7 2 2 2 8 2" xfId="10738" xr:uid="{6F5457C4-7527-4E1D-8709-46B7F89F6A20}"/>
    <cellStyle name="Migliaia 7 2 2 2 8 2 2" xfId="14284" xr:uid="{5E331722-C0BB-4E7C-A7FE-57C0081E853B}"/>
    <cellStyle name="Migliaia 7 2 2 2 8 2 2 2" xfId="29461" xr:uid="{B4AF238B-7888-47A7-886B-E4654662EB41}"/>
    <cellStyle name="Migliaia 7 2 2 2 8 2 3" xfId="25916" xr:uid="{8975CB45-7557-49AB-ADE3-2309941457A3}"/>
    <cellStyle name="Migliaia 7 2 2 2 8 3" xfId="6564" xr:uid="{F7832C33-6FB1-4E0E-A964-932A157FE86B}"/>
    <cellStyle name="Migliaia 7 2 2 2 8 3 2" xfId="21744" xr:uid="{CB4633F8-359A-46CA-B9EF-8FBE246FCD41}"/>
    <cellStyle name="Migliaia 7 2 2 2 8 4" xfId="18456" xr:uid="{EE52520F-7C68-4E9F-8595-9F6E415E1A3E}"/>
    <cellStyle name="Migliaia 7 2 2 2 9" xfId="4868" xr:uid="{114DE6A9-17E9-434D-8F8E-901B54204877}"/>
    <cellStyle name="Migliaia 7 2 2 2 9 2" xfId="12353" xr:uid="{F03345CB-6F63-4E26-BCE7-58DA8F0C35FA}"/>
    <cellStyle name="Migliaia 7 2 2 2 9 2 2" xfId="15899" xr:uid="{A736D073-E18A-4FA0-A601-080871F442E0}"/>
    <cellStyle name="Migliaia 7 2 2 2 9 2 2 2" xfId="31076" xr:uid="{FF534077-4D98-4791-A9AB-209B0612A7B3}"/>
    <cellStyle name="Migliaia 7 2 2 2 9 2 3" xfId="27531" xr:uid="{D9118D44-A0CE-48EE-BCCD-5EBBD2CF4174}"/>
    <cellStyle name="Migliaia 7 2 2 2 9 3" xfId="8179" xr:uid="{D088D918-E491-40D9-94E1-3D3C43E31AEE}"/>
    <cellStyle name="Migliaia 7 2 2 2 9 3 2" xfId="23359" xr:uid="{B98474AE-C976-4B0F-831F-936483C29A2E}"/>
    <cellStyle name="Migliaia 7 2 2 2 9 4" xfId="20071" xr:uid="{9851CDB6-CAFC-4BE8-9790-1A5C43BFC4CF}"/>
    <cellStyle name="Migliaia 7 2 2 3" xfId="917" xr:uid="{00BCCC08-D22A-45AD-830D-B8F5E82393D4}"/>
    <cellStyle name="Migliaia 7 2 2 3 2" xfId="2435" xr:uid="{1E874EA5-9426-439B-AFD6-5A3E424C11AF}"/>
    <cellStyle name="Migliaia 7 2 2 3 2 2" xfId="9927" xr:uid="{510F241C-8CC8-4B18-94C7-9129F2EC5352}"/>
    <cellStyle name="Migliaia 7 2 2 3 2 2 2" xfId="13586" xr:uid="{27C28048-B33D-4C32-AA58-1D4FC6D21F2F}"/>
    <cellStyle name="Migliaia 7 2 2 3 2 2 2 2" xfId="28763" xr:uid="{95660A52-0077-4CAB-A859-CC33C3F3A366}"/>
    <cellStyle name="Migliaia 7 2 2 3 2 2 3" xfId="25105" xr:uid="{EBF1F811-860B-4907-92C3-B61763A59B34}"/>
    <cellStyle name="Migliaia 7 2 2 3 2 3" xfId="5753" xr:uid="{99B2F611-CC42-41DE-97FF-4F447AC36291}"/>
    <cellStyle name="Migliaia 7 2 2 3 2 3 2" xfId="20933" xr:uid="{B623C45D-296D-4428-9E55-5E6A3D921276}"/>
    <cellStyle name="Migliaia 7 2 2 3 2 4" xfId="17645" xr:uid="{118720CE-EEEF-44F8-81B3-EBAB069467CD}"/>
    <cellStyle name="Migliaia 7 2 2 3 3" xfId="3323" xr:uid="{CEDDC3DE-F5E0-42B7-8FC2-2F9F6D5A85D7}"/>
    <cellStyle name="Migliaia 7 2 2 3 3 2" xfId="10811" xr:uid="{A180703D-E3DF-43FA-B4E9-FDF8670C5447}"/>
    <cellStyle name="Migliaia 7 2 2 3 3 2 2" xfId="14357" xr:uid="{AAC9AE1C-C676-4891-8DC1-F4B0B7DBFB97}"/>
    <cellStyle name="Migliaia 7 2 2 3 3 2 2 2" xfId="29534" xr:uid="{B56F1B42-6428-4513-936F-E7AFA26E1399}"/>
    <cellStyle name="Migliaia 7 2 2 3 3 2 3" xfId="25989" xr:uid="{4A9D6BF1-9ADB-42CB-A7A2-54E93B5088C2}"/>
    <cellStyle name="Migliaia 7 2 2 3 3 3" xfId="6637" xr:uid="{3AD57CEA-8846-4D39-911F-0F2D3FD61F7B}"/>
    <cellStyle name="Migliaia 7 2 2 3 3 3 2" xfId="21817" xr:uid="{14C5F17E-02DB-410A-97E6-F109D22042EE}"/>
    <cellStyle name="Migliaia 7 2 2 3 3 4" xfId="18529" xr:uid="{812F2DC2-8DE8-434F-B530-7BD314DCCB15}"/>
    <cellStyle name="Migliaia 7 2 2 3 4" xfId="4869" xr:uid="{F360ACF0-AA44-4596-84DE-189FCD49AD6C}"/>
    <cellStyle name="Migliaia 7 2 2 3 4 2" xfId="12354" xr:uid="{19089772-0727-485F-8933-DFBE7A3DF4AE}"/>
    <cellStyle name="Migliaia 7 2 2 3 4 2 2" xfId="15900" xr:uid="{5B97A748-308C-419F-9BF7-4EB9A231E928}"/>
    <cellStyle name="Migliaia 7 2 2 3 4 2 2 2" xfId="31077" xr:uid="{E558FEEB-BC46-475D-BBC5-7E05B9DBDEF4}"/>
    <cellStyle name="Migliaia 7 2 2 3 4 2 3" xfId="27532" xr:uid="{F09C2D91-12B9-45E2-95E4-5CA40AACFDCF}"/>
    <cellStyle name="Migliaia 7 2 2 3 4 3" xfId="8180" xr:uid="{873A0D3F-68A6-491D-ACD6-B88F97C11DD6}"/>
    <cellStyle name="Migliaia 7 2 2 3 4 3 2" xfId="23360" xr:uid="{CB98ACE5-3F35-4DB6-918D-D752295BFE6D}"/>
    <cellStyle name="Migliaia 7 2 2 3 4 4" xfId="20072" xr:uid="{4FF01006-F91F-44CB-A9C5-4BBC69F5EF58}"/>
    <cellStyle name="Migliaia 7 2 2 3 5" xfId="8529" xr:uid="{B7B73916-74BB-4E53-9B80-23015509E4AD}"/>
    <cellStyle name="Migliaia 7 2 2 3 5 2" xfId="12702" xr:uid="{F571907A-A9EF-4E2B-B723-FEFD0FB0E2C2}"/>
    <cellStyle name="Migliaia 7 2 2 3 5 2 2" xfId="27879" xr:uid="{FEFD135F-42A8-4F1A-896F-BF33A90315A1}"/>
    <cellStyle name="Migliaia 7 2 2 3 5 3" xfId="23707" xr:uid="{94109288-BE5D-46CD-9E80-89CD25E44288}"/>
    <cellStyle name="Migliaia 7 2 2 3 6" xfId="16247" xr:uid="{F5E7FF23-AABA-4449-8FF8-9C623DD69F2F}"/>
    <cellStyle name="Migliaia 7 2 2 3 7" xfId="31687" xr:uid="{A06A292C-2A75-406F-A7DF-FE14A6DF4E8B}"/>
    <cellStyle name="Migliaia 7 2 2 4" xfId="1020" xr:uid="{8B8A19D1-7C77-4F19-8F3F-BC4291F2797A}"/>
    <cellStyle name="Migliaia 7 2 2 4 2" xfId="2533" xr:uid="{4F1CC4B2-3523-4F12-942C-6570970AB83A}"/>
    <cellStyle name="Migliaia 7 2 2 4 2 2" xfId="10025" xr:uid="{24E5FAE7-61B5-4E98-B5A5-2999121D5E49}"/>
    <cellStyle name="Migliaia 7 2 2 4 2 2 2" xfId="13684" xr:uid="{77C4DDE9-4ADD-4B7A-8F61-2BC296E3DD6D}"/>
    <cellStyle name="Migliaia 7 2 2 4 2 2 2 2" xfId="28861" xr:uid="{83AE605B-C192-4B28-9D3D-BF8678F493FD}"/>
    <cellStyle name="Migliaia 7 2 2 4 2 2 3" xfId="25203" xr:uid="{9FD00183-A0BF-42A4-8A1E-3FB210853B63}"/>
    <cellStyle name="Migliaia 7 2 2 4 2 3" xfId="5851" xr:uid="{99137E74-CFA9-4154-961C-6BAFB4E3003F}"/>
    <cellStyle name="Migliaia 7 2 2 4 2 3 2" xfId="21031" xr:uid="{6C62BDB3-4AF1-447E-81AA-6E82479ABB08}"/>
    <cellStyle name="Migliaia 7 2 2 4 2 4" xfId="17743" xr:uid="{45D86FFE-F0A7-4293-8A9E-602F24AEFF7C}"/>
    <cellStyle name="Migliaia 7 2 2 4 3" xfId="3421" xr:uid="{7BECF950-A21E-484E-91CF-06ED9F57B792}"/>
    <cellStyle name="Migliaia 7 2 2 4 3 2" xfId="10909" xr:uid="{3851E592-929B-439A-883C-8699ABD76D32}"/>
    <cellStyle name="Migliaia 7 2 2 4 3 2 2" xfId="14455" xr:uid="{27789855-4060-48B5-9039-746883897DE2}"/>
    <cellStyle name="Migliaia 7 2 2 4 3 2 2 2" xfId="29632" xr:uid="{F3471189-B9C8-4826-934C-D16C38E78B01}"/>
    <cellStyle name="Migliaia 7 2 2 4 3 2 3" xfId="26087" xr:uid="{0C5932B4-D90E-489C-B080-D17E656D13B1}"/>
    <cellStyle name="Migliaia 7 2 2 4 3 3" xfId="6735" xr:uid="{BE3304F2-DB01-4B9B-B8E6-344AAD21436E}"/>
    <cellStyle name="Migliaia 7 2 2 4 3 3 2" xfId="21915" xr:uid="{3A383863-D098-4048-B7CE-313C105D2A7D}"/>
    <cellStyle name="Migliaia 7 2 2 4 3 4" xfId="18627" xr:uid="{A7B98D7A-DC0C-43A3-9276-65BF4BF83973}"/>
    <cellStyle name="Migliaia 7 2 2 4 4" xfId="4870" xr:uid="{4523B217-5868-4796-A3B3-B55F11B29772}"/>
    <cellStyle name="Migliaia 7 2 2 4 4 2" xfId="12355" xr:uid="{FEF7B281-C156-4C4B-A92F-41CA154658E5}"/>
    <cellStyle name="Migliaia 7 2 2 4 4 2 2" xfId="15901" xr:uid="{31E2EC64-FEE6-4752-836E-E4B8A9B45261}"/>
    <cellStyle name="Migliaia 7 2 2 4 4 2 2 2" xfId="31078" xr:uid="{5081F50B-035C-47F6-A61E-E8B3D7D975AC}"/>
    <cellStyle name="Migliaia 7 2 2 4 4 2 3" xfId="27533" xr:uid="{47F0498C-A16F-4DDD-9BC2-2611D91541F1}"/>
    <cellStyle name="Migliaia 7 2 2 4 4 3" xfId="8181" xr:uid="{5D1968F7-C50E-4673-A603-63D6B2694753}"/>
    <cellStyle name="Migliaia 7 2 2 4 4 3 2" xfId="23361" xr:uid="{6E97913A-8908-4DEB-BFF2-63BEAE63DEC0}"/>
    <cellStyle name="Migliaia 7 2 2 4 4 4" xfId="20073" xr:uid="{4C041447-035C-426A-B4CE-438FD68B85F4}"/>
    <cellStyle name="Migliaia 7 2 2 4 5" xfId="8627" xr:uid="{0A939072-6CEC-4F2D-B05E-D0561ED84280}"/>
    <cellStyle name="Migliaia 7 2 2 4 5 2" xfId="12800" xr:uid="{0E73991E-9CD4-47EC-8326-E1961F475005}"/>
    <cellStyle name="Migliaia 7 2 2 4 5 2 2" xfId="27977" xr:uid="{3C75C634-0F79-48BB-A3D3-97B9B0B225E8}"/>
    <cellStyle name="Migliaia 7 2 2 4 5 3" xfId="23805" xr:uid="{B042028C-D78F-4DAB-8783-07F4D4C4AF57}"/>
    <cellStyle name="Migliaia 7 2 2 4 6" xfId="16345" xr:uid="{453C5BB7-3166-4D91-94E6-DD30F7AE39C8}"/>
    <cellStyle name="Migliaia 7 2 2 4 7" xfId="31565" xr:uid="{44FF57B7-4885-413D-84F9-37DC13FEFE2B}"/>
    <cellStyle name="Migliaia 7 2 2 5" xfId="1278" xr:uid="{9FA70B1D-74AC-42E1-8A5C-E10A10B27399}"/>
    <cellStyle name="Migliaia 7 2 2 5 10" xfId="31337" xr:uid="{50CA5AF1-760F-4BAE-9988-45F857E684A1}"/>
    <cellStyle name="Migliaia 7 2 2 5 2" xfId="2708" xr:uid="{B8663D28-1F68-4931-92D6-F61460E1D5D2}"/>
    <cellStyle name="Migliaia 7 2 2 5 2 2" xfId="10199" xr:uid="{975B8CF6-F5B4-4B2B-8F00-AF714770B8A9}"/>
    <cellStyle name="Migliaia 7 2 2 5 2 2 2" xfId="13843" xr:uid="{DA7A1478-5F51-413E-809B-0E8E230EABF7}"/>
    <cellStyle name="Migliaia 7 2 2 5 2 2 2 2" xfId="29020" xr:uid="{B96EAB1C-1A07-43E7-B61B-93C167593F87}"/>
    <cellStyle name="Migliaia 7 2 2 5 2 2 3" xfId="25377" xr:uid="{6EED5CF0-A49B-4FF7-8261-CD569C6C85D9}"/>
    <cellStyle name="Migliaia 7 2 2 5 2 3" xfId="6025" xr:uid="{A54E2BF4-E438-4921-B6DB-714792CD8B79}"/>
    <cellStyle name="Migliaia 7 2 2 5 2 3 2" xfId="21205" xr:uid="{6C8C7CB8-73E6-4995-B107-BCEEBEFF24CD}"/>
    <cellStyle name="Migliaia 7 2 2 5 2 4" xfId="17917" xr:uid="{6F10CE4D-2444-4F99-87D0-BC75BACB9C3F}"/>
    <cellStyle name="Migliaia 7 2 2 5 3" xfId="3595" xr:uid="{E430F5F2-446F-48F6-8484-BEC5690773B4}"/>
    <cellStyle name="Migliaia 7 2 2 5 3 2" xfId="11083" xr:uid="{0742B856-FD32-435D-A63E-91EAF63C5607}"/>
    <cellStyle name="Migliaia 7 2 2 5 3 2 2" xfId="14629" xr:uid="{97BF6AB0-4DAA-4458-94B7-CC571AA03923}"/>
    <cellStyle name="Migliaia 7 2 2 5 3 2 2 2" xfId="29806" xr:uid="{4D2DB27A-D88D-42EB-A096-5A58560C83EA}"/>
    <cellStyle name="Migliaia 7 2 2 5 3 2 3" xfId="26261" xr:uid="{5FF32DB7-DD9F-4C2C-82DC-6A31534EEFD5}"/>
    <cellStyle name="Migliaia 7 2 2 5 3 3" xfId="6909" xr:uid="{8FC96710-329B-4269-9F2B-F4E1F5F147F0}"/>
    <cellStyle name="Migliaia 7 2 2 5 3 3 2" xfId="22089" xr:uid="{6DE90B32-DB3F-4C84-9B1B-D00195C2FCD8}"/>
    <cellStyle name="Migliaia 7 2 2 5 3 4" xfId="18801" xr:uid="{C4AFFACC-1DA8-4F5B-9A87-4C011D9264B6}"/>
    <cellStyle name="Migliaia 7 2 2 5 4" xfId="4871" xr:uid="{AA00EEA0-4CD8-43FF-AD41-1E80373F4222}"/>
    <cellStyle name="Migliaia 7 2 2 5 4 2" xfId="12356" xr:uid="{AEF04625-0E86-4568-A46C-E1EBE730FCD5}"/>
    <cellStyle name="Migliaia 7 2 2 5 4 2 2" xfId="15902" xr:uid="{B0CA28F2-195F-47F6-9FBB-6FCE887621B5}"/>
    <cellStyle name="Migliaia 7 2 2 5 4 2 2 2" xfId="31079" xr:uid="{3DCE7DAC-D3B5-4906-A4E5-0D0F0876AD30}"/>
    <cellStyle name="Migliaia 7 2 2 5 4 2 3" xfId="27534" xr:uid="{5909BC5B-7875-49F6-884B-4018DBA3307E}"/>
    <cellStyle name="Migliaia 7 2 2 5 4 3" xfId="8182" xr:uid="{E6EBD57E-B4BB-43DF-A768-DAEB73259C4F}"/>
    <cellStyle name="Migliaia 7 2 2 5 4 3 2" xfId="23362" xr:uid="{A648A2EF-8D0B-4D5B-AD30-2D8C0060ADAC}"/>
    <cellStyle name="Migliaia 7 2 2 5 4 4" xfId="20074" xr:uid="{0E76CAB4-4902-4749-BE2F-88CDDF5DF221}"/>
    <cellStyle name="Migliaia 7 2 2 5 5" xfId="4997" xr:uid="{82607792-AF74-4550-8D51-2F8E884FEAC4}"/>
    <cellStyle name="Migliaia 7 2 2 5 5 2" xfId="12481" xr:uid="{280FECF0-AB61-44C2-B812-D93C7EDEC85A}"/>
    <cellStyle name="Migliaia 7 2 2 5 5 2 2" xfId="16027" xr:uid="{49FFBBBF-0928-4BC4-8756-E1CF842E2F47}"/>
    <cellStyle name="Migliaia 7 2 2 5 5 2 2 2" xfId="31204" xr:uid="{A7680583-5309-4438-999E-140B5A5B4407}"/>
    <cellStyle name="Migliaia 7 2 2 5 5 2 3" xfId="27659" xr:uid="{398267FE-35CB-40C1-BADB-3B5EDA4BE642}"/>
    <cellStyle name="Migliaia 7 2 2 5 5 3" xfId="8307" xr:uid="{DA3AA3D3-5995-4930-8188-9ABFD3C13D8B}"/>
    <cellStyle name="Migliaia 7 2 2 5 5 3 2" xfId="23487" xr:uid="{87B6B072-639C-4427-9A25-9D8542D950C6}"/>
    <cellStyle name="Migliaia 7 2 2 5 5 4" xfId="20199" xr:uid="{A2B4CBF2-6914-4A52-B815-8DB6DA7BBD8A}"/>
    <cellStyle name="Migliaia 7 2 2 5 6" xfId="1818" xr:uid="{39B792BA-E46B-4169-BA21-2BDF6C5F58F6}"/>
    <cellStyle name="Migliaia 7 2 2 5 6 2" xfId="9315" xr:uid="{C4D4B14D-2334-42D3-A943-148FE554E4A4}"/>
    <cellStyle name="Migliaia 7 2 2 5 6 2 2" xfId="24493" xr:uid="{5470412A-B0CB-42B3-8644-2CBF7640D224}"/>
    <cellStyle name="Migliaia 7 2 2 5 6 3" xfId="17033" xr:uid="{92A79698-D50E-4092-B99B-B32C534F5E97}"/>
    <cellStyle name="Migliaia 7 2 2 5 7" xfId="8801" xr:uid="{F2BB9CEF-A4FD-4745-AB38-08E0B12F6811}"/>
    <cellStyle name="Migliaia 7 2 2 5 7 2" xfId="12974" xr:uid="{674EC472-E74A-4E4B-91CE-B9B3DAA818EC}"/>
    <cellStyle name="Migliaia 7 2 2 5 7 2 2" xfId="28151" xr:uid="{97A5C018-952A-41E5-A9BF-407100BF9F13}"/>
    <cellStyle name="Migliaia 7 2 2 5 7 3" xfId="23979" xr:uid="{DF933B20-F0EB-4EBC-AB76-473BA3A923AC}"/>
    <cellStyle name="Migliaia 7 2 2 5 8" xfId="5141" xr:uid="{31CC0D46-EDC1-4268-8C46-8078B4978845}"/>
    <cellStyle name="Migliaia 7 2 2 5 8 2" xfId="20321" xr:uid="{20E1D5F1-C0AE-46D4-8EDA-A28D3B24664D}"/>
    <cellStyle name="Migliaia 7 2 2 5 9" xfId="16519" xr:uid="{2FFA17CE-339E-43CA-8F6E-222BE500A290}"/>
    <cellStyle name="Migliaia 7 2 2 6" xfId="1380" xr:uid="{79A35AFC-719C-47AA-9CE3-EF64157242E4}"/>
    <cellStyle name="Migliaia 7 2 2 6 2" xfId="2806" xr:uid="{D789BEB8-DFC1-4A6F-96D6-8720F02EAFA3}"/>
    <cellStyle name="Migliaia 7 2 2 6 2 2" xfId="10297" xr:uid="{FCD15C4A-F0E0-47D0-8B6C-33EAC08F5360}"/>
    <cellStyle name="Migliaia 7 2 2 6 2 2 2" xfId="13892" xr:uid="{C24000A4-3E0F-4519-B774-DAA036BC6C48}"/>
    <cellStyle name="Migliaia 7 2 2 6 2 2 2 2" xfId="29069" xr:uid="{B59C0415-A8E0-4367-8DCB-086B698FF6E7}"/>
    <cellStyle name="Migliaia 7 2 2 6 2 2 3" xfId="25475" xr:uid="{C05FBBDE-F777-4C49-B887-9BB45C854DA7}"/>
    <cellStyle name="Migliaia 7 2 2 6 2 3" xfId="6123" xr:uid="{CC831D95-5257-445D-B274-C25490FC8ED8}"/>
    <cellStyle name="Migliaia 7 2 2 6 2 3 2" xfId="21303" xr:uid="{B85E3D4F-A7DC-4653-A49B-92741EC2626A}"/>
    <cellStyle name="Migliaia 7 2 2 6 2 4" xfId="18015" xr:uid="{AE67ED26-5795-41D1-9122-B14C97664E2B}"/>
    <cellStyle name="Migliaia 7 2 2 6 3" xfId="3693" xr:uid="{321C9EF3-1234-4435-9EB6-555744475492}"/>
    <cellStyle name="Migliaia 7 2 2 6 3 2" xfId="11181" xr:uid="{B95E6798-577F-4D23-95ED-0982B4924DD8}"/>
    <cellStyle name="Migliaia 7 2 2 6 3 2 2" xfId="14727" xr:uid="{4BC8A761-7EF1-4A25-A8A6-6C1768A1D86F}"/>
    <cellStyle name="Migliaia 7 2 2 6 3 2 2 2" xfId="29904" xr:uid="{10FBFA41-149E-4125-B512-72BBA57173DA}"/>
    <cellStyle name="Migliaia 7 2 2 6 3 2 3" xfId="26359" xr:uid="{788992B3-2E03-4663-A5FA-60CCF5ADCECC}"/>
    <cellStyle name="Migliaia 7 2 2 6 3 3" xfId="7007" xr:uid="{D5787866-3241-4350-9128-A5162ECE65B4}"/>
    <cellStyle name="Migliaia 7 2 2 6 3 3 2" xfId="22187" xr:uid="{983B22F5-9535-42A6-BA29-F6A1C98B9B44}"/>
    <cellStyle name="Migliaia 7 2 2 6 3 4" xfId="18899" xr:uid="{00904952-E5C2-41A2-97B2-82F4482DC5C5}"/>
    <cellStyle name="Migliaia 7 2 2 6 4" xfId="4872" xr:uid="{35F46A52-CE5E-4482-A3EE-875B58F0D37E}"/>
    <cellStyle name="Migliaia 7 2 2 6 4 2" xfId="12357" xr:uid="{86C1AFF4-CAE6-4E89-8A5B-EFDDD55EA063}"/>
    <cellStyle name="Migliaia 7 2 2 6 4 2 2" xfId="15903" xr:uid="{5FA500E2-744D-48B8-8055-C0B9BCE9D84B}"/>
    <cellStyle name="Migliaia 7 2 2 6 4 2 2 2" xfId="31080" xr:uid="{AD1E601A-C8F9-4243-A45A-47FB22006076}"/>
    <cellStyle name="Migliaia 7 2 2 6 4 2 3" xfId="27535" xr:uid="{A1C7E74F-766E-43C8-B081-F73FEBC93A68}"/>
    <cellStyle name="Migliaia 7 2 2 6 4 3" xfId="8183" xr:uid="{3C2993C8-2224-4321-BE9E-1004146B29D0}"/>
    <cellStyle name="Migliaia 7 2 2 6 4 3 2" xfId="23363" xr:uid="{A6405C91-E046-4F1C-900E-4AD4B792FF3B}"/>
    <cellStyle name="Migliaia 7 2 2 6 4 4" xfId="20075" xr:uid="{D84AE342-FC21-4708-BEA4-989FA762E705}"/>
    <cellStyle name="Migliaia 7 2 2 6 5" xfId="1916" xr:uid="{A74D32FD-CE88-4185-A1FC-270149B10B5C}"/>
    <cellStyle name="Migliaia 7 2 2 6 5 2" xfId="9413" xr:uid="{B1C7C30C-E2FC-4DDF-9348-1E0EFCE9E388}"/>
    <cellStyle name="Migliaia 7 2 2 6 5 2 2" xfId="24591" xr:uid="{49B72E2C-EA3F-4F9C-BA54-46CA8632CD10}"/>
    <cellStyle name="Migliaia 7 2 2 6 5 3" xfId="17131" xr:uid="{35364437-3B96-4C5D-9D47-8FD20630AE69}"/>
    <cellStyle name="Migliaia 7 2 2 6 6" xfId="8899" xr:uid="{195915F2-3310-4C33-87F7-D2FE9AD28C66}"/>
    <cellStyle name="Migliaia 7 2 2 6 6 2" xfId="13072" xr:uid="{D51240D5-B6FA-453A-8BC4-E64360635615}"/>
    <cellStyle name="Migliaia 7 2 2 6 6 2 2" xfId="28249" xr:uid="{F1F40CA5-74CF-46CD-BA9C-00ACE4AE07F2}"/>
    <cellStyle name="Migliaia 7 2 2 6 6 3" xfId="24077" xr:uid="{59217621-524F-4FF8-BFC7-D966B40ADB93}"/>
    <cellStyle name="Migliaia 7 2 2 6 7" xfId="5239" xr:uid="{D8BE1F02-0911-44DA-96A8-50E73A2BCC40}"/>
    <cellStyle name="Migliaia 7 2 2 6 7 2" xfId="20419" xr:uid="{C5CF3849-5FCA-4E49-A8B0-32C5412FD16C}"/>
    <cellStyle name="Migliaia 7 2 2 6 8" xfId="16617" xr:uid="{03F759C2-C0B2-49E6-AFA1-EF5B8DBF9EE0}"/>
    <cellStyle name="Migliaia 7 2 2 7" xfId="1479" xr:uid="{368D8DC2-D71B-4F55-BB0A-DC2E4136EE89}"/>
    <cellStyle name="Migliaia 7 2 2 7 2" xfId="2904" xr:uid="{77FA52C9-B5E0-4B7D-A326-57440D228074}"/>
    <cellStyle name="Migliaia 7 2 2 7 2 2" xfId="10395" xr:uid="{E50EEF6F-DD12-4292-8565-A442F7564991}"/>
    <cellStyle name="Migliaia 7 2 2 7 2 2 2" xfId="13941" xr:uid="{93A14E35-143A-415F-9A36-500225E303BB}"/>
    <cellStyle name="Migliaia 7 2 2 7 2 2 2 2" xfId="29118" xr:uid="{C7F55C1F-FA64-48A8-97A6-66F820C2CD48}"/>
    <cellStyle name="Migliaia 7 2 2 7 2 2 3" xfId="25573" xr:uid="{DD7104DD-32D0-4244-96F5-B652BCF5E95C}"/>
    <cellStyle name="Migliaia 7 2 2 7 2 3" xfId="6221" xr:uid="{DDAAB13D-00BB-4179-8CBF-1F45515A8F50}"/>
    <cellStyle name="Migliaia 7 2 2 7 2 3 2" xfId="21401" xr:uid="{34A3337B-8EFA-4378-B17A-981FBED0384C}"/>
    <cellStyle name="Migliaia 7 2 2 7 2 4" xfId="18113" xr:uid="{8539534D-84DF-44ED-8371-173791114EC3}"/>
    <cellStyle name="Migliaia 7 2 2 7 3" xfId="3791" xr:uid="{339DC538-453C-4DCF-9326-E545BCDA632E}"/>
    <cellStyle name="Migliaia 7 2 2 7 3 2" xfId="11279" xr:uid="{6223D30C-6507-4698-AB86-C5246BE90ABD}"/>
    <cellStyle name="Migliaia 7 2 2 7 3 2 2" xfId="14825" xr:uid="{D58F3162-CC2F-4FD2-BD37-8C570C47D5B4}"/>
    <cellStyle name="Migliaia 7 2 2 7 3 2 2 2" xfId="30002" xr:uid="{AE77DAE1-A232-4D05-BAF9-76D41905BDA6}"/>
    <cellStyle name="Migliaia 7 2 2 7 3 2 3" xfId="26457" xr:uid="{6983BD75-606E-446E-A692-2C30399166CF}"/>
    <cellStyle name="Migliaia 7 2 2 7 3 3" xfId="7105" xr:uid="{E7592809-2EF4-4510-B950-3F6F774AC5C9}"/>
    <cellStyle name="Migliaia 7 2 2 7 3 3 2" xfId="22285" xr:uid="{485BF125-1DD2-4195-990D-BE038763B0D8}"/>
    <cellStyle name="Migliaia 7 2 2 7 3 4" xfId="18997" xr:uid="{609C2E3F-028B-4401-B46B-18611551DB93}"/>
    <cellStyle name="Migliaia 7 2 2 7 4" xfId="4873" xr:uid="{09409CF6-8EC9-4C10-941B-B0FC138EC83B}"/>
    <cellStyle name="Migliaia 7 2 2 7 4 2" xfId="12358" xr:uid="{5466A897-2040-486C-926E-AD8B7B52DDE8}"/>
    <cellStyle name="Migliaia 7 2 2 7 4 2 2" xfId="15904" xr:uid="{2E423105-471B-47ED-B58D-3C99F008D41D}"/>
    <cellStyle name="Migliaia 7 2 2 7 4 2 2 2" xfId="31081" xr:uid="{210A7113-4302-43DE-99FC-44CDF8CB28D9}"/>
    <cellStyle name="Migliaia 7 2 2 7 4 2 3" xfId="27536" xr:uid="{04066CB0-CB5E-41E4-85ED-AA15067446EA}"/>
    <cellStyle name="Migliaia 7 2 2 7 4 3" xfId="8184" xr:uid="{3C2BD4E4-ED28-4F3C-9CEE-3E91371B8E1B}"/>
    <cellStyle name="Migliaia 7 2 2 7 4 3 2" xfId="23364" xr:uid="{5CE70C90-3123-4B04-B1D4-3E4238715AF7}"/>
    <cellStyle name="Migliaia 7 2 2 7 4 4" xfId="20076" xr:uid="{DCE3FCBC-F607-4F4D-A131-0BE0D15EF4EF}"/>
    <cellStyle name="Migliaia 7 2 2 7 5" xfId="2014" xr:uid="{5DF479A5-2267-4B2C-953A-4AC33174A320}"/>
    <cellStyle name="Migliaia 7 2 2 7 5 2" xfId="9511" xr:uid="{140319F0-31DC-4313-A43F-CEFBE8D0F605}"/>
    <cellStyle name="Migliaia 7 2 2 7 5 2 2" xfId="24689" xr:uid="{BB114A71-6819-419A-A342-7B329B283598}"/>
    <cellStyle name="Migliaia 7 2 2 7 5 3" xfId="17229" xr:uid="{3EFDB89F-13B7-4542-B274-820D4C18BF73}"/>
    <cellStyle name="Migliaia 7 2 2 7 6" xfId="8997" xr:uid="{31FD58A1-5CCB-4E8A-9D86-D2ADA5E9CC98}"/>
    <cellStyle name="Migliaia 7 2 2 7 6 2" xfId="13170" xr:uid="{FB02BD7B-1A15-4FBC-B707-126C151A86CB}"/>
    <cellStyle name="Migliaia 7 2 2 7 6 2 2" xfId="28347" xr:uid="{1DA0C71D-5CD5-41CA-B848-61F120DC07B2}"/>
    <cellStyle name="Migliaia 7 2 2 7 6 3" xfId="24175" xr:uid="{80D7E05C-EBA6-428D-A2BB-7C76B5467A41}"/>
    <cellStyle name="Migliaia 7 2 2 7 7" xfId="5337" xr:uid="{FC620EC9-DA49-47F1-BEAA-A2B39DD45AE5}"/>
    <cellStyle name="Migliaia 7 2 2 7 7 2" xfId="20517" xr:uid="{A564160B-0BEA-4557-A4FB-2099E2B5C7CB}"/>
    <cellStyle name="Migliaia 7 2 2 7 8" xfId="16715" xr:uid="{DD90BC89-0D48-4BCE-A166-A9ED0F3CEC53}"/>
    <cellStyle name="Migliaia 7 2 2 8" xfId="1582" xr:uid="{A743ECA5-8688-42CA-9B7E-7854C30847A6}"/>
    <cellStyle name="Migliaia 7 2 2 8 2" xfId="3002" xr:uid="{A3C8931B-8489-44D5-9E71-C9E6474204F5}"/>
    <cellStyle name="Migliaia 7 2 2 8 2 2" xfId="10493" xr:uid="{1EFAE1E3-E157-4C9F-8CDE-8C12CAE68AA6}"/>
    <cellStyle name="Migliaia 7 2 2 8 2 2 2" xfId="14039" xr:uid="{3397C0CD-8AA5-4C1B-A076-B0940DCFECE9}"/>
    <cellStyle name="Migliaia 7 2 2 8 2 2 2 2" xfId="29216" xr:uid="{AF4BAA48-038E-411C-BB95-C16EBBADE804}"/>
    <cellStyle name="Migliaia 7 2 2 8 2 2 3" xfId="25671" xr:uid="{48A85D46-4412-4198-B61A-CC0513D9D771}"/>
    <cellStyle name="Migliaia 7 2 2 8 2 3" xfId="6319" xr:uid="{DFD82E0B-AC1F-4818-A517-CA457BCBC568}"/>
    <cellStyle name="Migliaia 7 2 2 8 2 3 2" xfId="21499" xr:uid="{4DCAA941-8040-4D41-9C06-D26F695716EE}"/>
    <cellStyle name="Migliaia 7 2 2 8 2 4" xfId="18211" xr:uid="{EE60F257-34DD-434A-BC75-444E2312F79A}"/>
    <cellStyle name="Migliaia 7 2 2 8 3" xfId="3889" xr:uid="{0B81DFAB-FA72-4801-A0BC-6FECAA2241CA}"/>
    <cellStyle name="Migliaia 7 2 2 8 3 2" xfId="11377" xr:uid="{ACA45729-58C6-418C-81D0-F1EE971D00D0}"/>
    <cellStyle name="Migliaia 7 2 2 8 3 2 2" xfId="14923" xr:uid="{2C0FE9F0-1666-4C8A-912F-63DE078E7A1A}"/>
    <cellStyle name="Migliaia 7 2 2 8 3 2 2 2" xfId="30100" xr:uid="{51DD18C7-675F-414D-94D2-CA56C5E65B31}"/>
    <cellStyle name="Migliaia 7 2 2 8 3 2 3" xfId="26555" xr:uid="{700F7616-18FD-45C7-A55E-B2404DD20E55}"/>
    <cellStyle name="Migliaia 7 2 2 8 3 3" xfId="7203" xr:uid="{B8B3C68C-94DE-4A56-B305-706E70F13F4E}"/>
    <cellStyle name="Migliaia 7 2 2 8 3 3 2" xfId="22383" xr:uid="{63774890-BB20-4947-ADE7-31873A90C574}"/>
    <cellStyle name="Migliaia 7 2 2 8 3 4" xfId="19095" xr:uid="{8F9B2346-0518-423B-81F2-5C78D2A47EAD}"/>
    <cellStyle name="Migliaia 7 2 2 8 4" xfId="4874" xr:uid="{AA33CF65-74C8-40F4-AEE0-896D4F3ED012}"/>
    <cellStyle name="Migliaia 7 2 2 8 4 2" xfId="12359" xr:uid="{51C3198E-8961-4FAE-9A66-C500961BA121}"/>
    <cellStyle name="Migliaia 7 2 2 8 4 2 2" xfId="15905" xr:uid="{D9AAC81F-E972-4912-90A9-F849F782289A}"/>
    <cellStyle name="Migliaia 7 2 2 8 4 2 2 2" xfId="31082" xr:uid="{AD7D39EC-63C9-40AF-9FF5-8141EC29C88C}"/>
    <cellStyle name="Migliaia 7 2 2 8 4 2 3" xfId="27537" xr:uid="{76D82892-9C63-44EB-858B-F86B78EF2ED7}"/>
    <cellStyle name="Migliaia 7 2 2 8 4 3" xfId="8185" xr:uid="{3DE67EEB-D08B-4B26-B541-A8D099022E23}"/>
    <cellStyle name="Migliaia 7 2 2 8 4 3 2" xfId="23365" xr:uid="{04F30DC6-0022-41CC-BA66-63D439080872}"/>
    <cellStyle name="Migliaia 7 2 2 8 4 4" xfId="20077" xr:uid="{2EDEABD2-3613-425D-9F1B-563157560C82}"/>
    <cellStyle name="Migliaia 7 2 2 8 5" xfId="2112" xr:uid="{9068D569-6322-4CF6-B173-1621AAFB39D4}"/>
    <cellStyle name="Migliaia 7 2 2 8 5 2" xfId="9609" xr:uid="{D5976441-464E-48D2-A9FE-72A2315FDC1C}"/>
    <cellStyle name="Migliaia 7 2 2 8 5 2 2" xfId="24787" xr:uid="{1FD0DAC3-E2DD-4F50-9B56-0DE02A2D0FCC}"/>
    <cellStyle name="Migliaia 7 2 2 8 5 3" xfId="17327" xr:uid="{239E97E0-B6FB-4311-84D3-AC3A93F008DD}"/>
    <cellStyle name="Migliaia 7 2 2 8 6" xfId="9095" xr:uid="{AE9873BB-5012-40D2-B52A-98B1A0C8E434}"/>
    <cellStyle name="Migliaia 7 2 2 8 6 2" xfId="13268" xr:uid="{729E6576-EAC6-41DD-97CB-83C494246C1C}"/>
    <cellStyle name="Migliaia 7 2 2 8 6 2 2" xfId="28445" xr:uid="{969D8B9E-AB7E-47D2-965C-1CC20502E1E5}"/>
    <cellStyle name="Migliaia 7 2 2 8 6 3" xfId="24273" xr:uid="{E06256FA-7AD3-45BC-A2FB-53D576C77328}"/>
    <cellStyle name="Migliaia 7 2 2 8 7" xfId="5435" xr:uid="{B20B26AD-8177-4720-9775-418BDAC52049}"/>
    <cellStyle name="Migliaia 7 2 2 8 7 2" xfId="20615" xr:uid="{D4A99085-E105-4D59-9436-0C21CF5A02E0}"/>
    <cellStyle name="Migliaia 7 2 2 8 8" xfId="16813" xr:uid="{9383B484-55BD-4E08-AB1B-F48553DDB951}"/>
    <cellStyle name="Migliaia 7 2 2 9" xfId="1681" xr:uid="{BB56D3CA-95A2-49F7-A220-AF7F0A5A86A1}"/>
    <cellStyle name="Migliaia 7 2 2 9 2" xfId="3100" xr:uid="{CA3A7F9F-4EF5-43C2-AB85-A537B12CBF10}"/>
    <cellStyle name="Migliaia 7 2 2 9 2 2" xfId="10591" xr:uid="{30D95E1E-BD20-4120-8DC5-2EAEC7A70D8C}"/>
    <cellStyle name="Migliaia 7 2 2 9 2 2 2" xfId="14137" xr:uid="{6641B7AF-DBBF-4738-B6F3-C5CD5E1C1A90}"/>
    <cellStyle name="Migliaia 7 2 2 9 2 2 2 2" xfId="29314" xr:uid="{9BD85FEA-C5A6-486D-B4F6-B9DCBC32440E}"/>
    <cellStyle name="Migliaia 7 2 2 9 2 2 3" xfId="25769" xr:uid="{B8556DB6-DC48-4074-9559-041156620D86}"/>
    <cellStyle name="Migliaia 7 2 2 9 2 3" xfId="6417" xr:uid="{22A014B7-A207-4A15-8783-239D91530F71}"/>
    <cellStyle name="Migliaia 7 2 2 9 2 3 2" xfId="21597" xr:uid="{24FE88E4-391E-48B6-BCED-9C50C89EEA4F}"/>
    <cellStyle name="Migliaia 7 2 2 9 2 4" xfId="18309" xr:uid="{EA4F47D0-DE54-4B9C-A7C3-C72223B551A3}"/>
    <cellStyle name="Migliaia 7 2 2 9 3" xfId="3987" xr:uid="{3E0B4D6B-C9EB-42EA-8BCA-780088C263E1}"/>
    <cellStyle name="Migliaia 7 2 2 9 3 2" xfId="11475" xr:uid="{CC5430EE-D46F-406E-B9FF-CAF0CBA6E839}"/>
    <cellStyle name="Migliaia 7 2 2 9 3 2 2" xfId="15021" xr:uid="{325992D8-BFF4-43E7-9D5D-1C164663B751}"/>
    <cellStyle name="Migliaia 7 2 2 9 3 2 2 2" xfId="30198" xr:uid="{F21D0801-A28B-4E89-84E6-D8F37C486BFA}"/>
    <cellStyle name="Migliaia 7 2 2 9 3 2 3" xfId="26653" xr:uid="{7DA73B9D-5651-4FAB-93AC-02B7F66A6BCB}"/>
    <cellStyle name="Migliaia 7 2 2 9 3 3" xfId="7301" xr:uid="{96D82CB9-49B4-48D2-9D2B-E6BA92FC4B2E}"/>
    <cellStyle name="Migliaia 7 2 2 9 3 3 2" xfId="22481" xr:uid="{29254F8D-F971-4FE6-8648-B7F01D9D6651}"/>
    <cellStyle name="Migliaia 7 2 2 9 3 4" xfId="19193" xr:uid="{8D52218F-2529-4FC0-9EE6-AFE8F0E690B3}"/>
    <cellStyle name="Migliaia 7 2 2 9 4" xfId="4875" xr:uid="{E4F293D9-5168-48F4-8861-DD82866A1A82}"/>
    <cellStyle name="Migliaia 7 2 2 9 4 2" xfId="12360" xr:uid="{7CB6193D-245B-450D-98CA-78C37C0FC368}"/>
    <cellStyle name="Migliaia 7 2 2 9 4 2 2" xfId="15906" xr:uid="{6F6FFDEF-E4CB-41A7-A0E5-8AB23171F686}"/>
    <cellStyle name="Migliaia 7 2 2 9 4 2 2 2" xfId="31083" xr:uid="{76D9AA87-02B1-4C5D-A72F-39F45C1D26C2}"/>
    <cellStyle name="Migliaia 7 2 2 9 4 2 3" xfId="27538" xr:uid="{3CCA9B2A-A861-4F83-A25C-815FDFCDFEA7}"/>
    <cellStyle name="Migliaia 7 2 2 9 4 3" xfId="8186" xr:uid="{C0B3DDA3-9D07-42A9-89BB-DEA7816D6594}"/>
    <cellStyle name="Migliaia 7 2 2 9 4 3 2" xfId="23366" xr:uid="{010A6AE3-F1BA-437F-A4D3-21BF33312257}"/>
    <cellStyle name="Migliaia 7 2 2 9 4 4" xfId="20078" xr:uid="{E61EF689-ECF7-44A8-B998-0117E87BCCFC}"/>
    <cellStyle name="Migliaia 7 2 2 9 5" xfId="2210" xr:uid="{C52332ED-82E7-41AF-9ABE-D3BD33862655}"/>
    <cellStyle name="Migliaia 7 2 2 9 5 2" xfId="9707" xr:uid="{CD06709B-5EA9-431F-8CD6-9336DBB60B9B}"/>
    <cellStyle name="Migliaia 7 2 2 9 5 2 2" xfId="24885" xr:uid="{227713CA-0995-42CE-8505-DB5BDDACBD33}"/>
    <cellStyle name="Migliaia 7 2 2 9 5 3" xfId="17425" xr:uid="{C66447E2-92D7-4B8D-8B78-E6396D31AD82}"/>
    <cellStyle name="Migliaia 7 2 2 9 6" xfId="9193" xr:uid="{323BF5E2-7683-4AAA-87A1-030912746E0D}"/>
    <cellStyle name="Migliaia 7 2 2 9 6 2" xfId="13366" xr:uid="{361C0CDF-0571-499F-8F45-57133BEF70E9}"/>
    <cellStyle name="Migliaia 7 2 2 9 6 2 2" xfId="28543" xr:uid="{11165512-161A-4D5E-A4BE-1515E5F9FA1C}"/>
    <cellStyle name="Migliaia 7 2 2 9 6 3" xfId="24371" xr:uid="{54F61955-7A88-4FF2-9B0D-DBC55EEE9A29}"/>
    <cellStyle name="Migliaia 7 2 2 9 7" xfId="5533" xr:uid="{16A013F1-1CB1-4777-90FF-48A6FDAF11F2}"/>
    <cellStyle name="Migliaia 7 2 2 9 7 2" xfId="20713" xr:uid="{5BC7A84E-86DB-4EBF-8531-9396CEEF3810}"/>
    <cellStyle name="Migliaia 7 2 2 9 8" xfId="16911" xr:uid="{7D4CE4B6-F9B6-4BFC-ADD6-DB2C2C0AC0CA}"/>
    <cellStyle name="Migliaia 7 2 3" xfId="764" xr:uid="{7AF8FE0B-7831-47D7-BA28-E2D5BC24261D}"/>
    <cellStyle name="Migliaia 7 2 3 10" xfId="8430" xr:uid="{965F1328-15B4-4040-9393-2C36300B5342}"/>
    <cellStyle name="Migliaia 7 2 3 10 2" xfId="12604" xr:uid="{DFA38CE2-AC1E-4BD6-9873-C92326D12BA6}"/>
    <cellStyle name="Migliaia 7 2 3 10 2 2" xfId="27781" xr:uid="{D652AB19-AC01-40A5-BC69-7584D1A8E9B1}"/>
    <cellStyle name="Migliaia 7 2 3 10 3" xfId="23609" xr:uid="{7A1E604D-7C05-4720-9B28-81B780E314BB}"/>
    <cellStyle name="Migliaia 7 2 3 11" xfId="16149" xr:uid="{B7640497-8FBB-43CD-942B-1A35C07C534C}"/>
    <cellStyle name="Migliaia 7 2 3 12" xfId="31491" xr:uid="{70054AB6-1F6B-4D80-9EB0-A41799E413B2}"/>
    <cellStyle name="Migliaia 7 2 3 2" xfId="941" xr:uid="{E1FFC1DC-3A43-4A96-AEA9-9293E0DA3564}"/>
    <cellStyle name="Migliaia 7 2 3 2 10" xfId="16271" xr:uid="{80936A12-E98C-4EA9-B9C0-5A93E2657B4D}"/>
    <cellStyle name="Migliaia 7 2 3 2 11" xfId="31361" xr:uid="{C8BF4123-F9B1-4C4C-8723-56C0FD6045CE}"/>
    <cellStyle name="Migliaia 7 2 3 2 12" xfId="31711" xr:uid="{C1207490-9E41-4DE4-8375-95C44E1EC700}"/>
    <cellStyle name="Migliaia 7 2 3 2 2" xfId="1302" xr:uid="{37865A20-A07D-4AD4-820C-CA56A6752656}"/>
    <cellStyle name="Migliaia 7 2 3 2 2 2" xfId="3619" xr:uid="{D7C314F8-B8B1-4459-9640-FEA52B5E65FE}"/>
    <cellStyle name="Migliaia 7 2 3 2 2 2 2" xfId="11107" xr:uid="{9466D6B9-810E-484F-9BDF-5D7F7A7E34B7}"/>
    <cellStyle name="Migliaia 7 2 3 2 2 2 2 2" xfId="14653" xr:uid="{F8A21C64-943A-44FD-A871-ADE998BB62F2}"/>
    <cellStyle name="Migliaia 7 2 3 2 2 2 2 2 2" xfId="29830" xr:uid="{4119C5DA-427C-44E6-AC03-7D37B82E62C3}"/>
    <cellStyle name="Migliaia 7 2 3 2 2 2 2 3" xfId="26285" xr:uid="{4B452132-7EB3-45A8-A440-99B61FA44085}"/>
    <cellStyle name="Migliaia 7 2 3 2 2 2 3" xfId="6933" xr:uid="{70B6459B-E9C8-418C-94F0-384C3508AA82}"/>
    <cellStyle name="Migliaia 7 2 3 2 2 2 3 2" xfId="22113" xr:uid="{D36A3860-23E9-41CF-A75F-213FA0396797}"/>
    <cellStyle name="Migliaia 7 2 3 2 2 2 4" xfId="18825" xr:uid="{76762FEF-08D7-4B77-AE6D-E6726D8E92A1}"/>
    <cellStyle name="Migliaia 7 2 3 2 2 3" xfId="4876" xr:uid="{6B34D6B3-E3B0-411E-A330-BEDD122A34A6}"/>
    <cellStyle name="Migliaia 7 2 3 2 2 3 2" xfId="12361" xr:uid="{514FFF72-76FF-4512-B386-5E5D24DC6597}"/>
    <cellStyle name="Migliaia 7 2 3 2 2 3 2 2" xfId="15907" xr:uid="{F3D4FF69-CC33-46BE-9FB9-FB34CB0858E5}"/>
    <cellStyle name="Migliaia 7 2 3 2 2 3 2 2 2" xfId="31084" xr:uid="{C632EEA8-DE9C-4859-BFD6-553B07C3D4C0}"/>
    <cellStyle name="Migliaia 7 2 3 2 2 3 2 3" xfId="27539" xr:uid="{F8AC7A5A-B704-43AC-B9D9-98093EB616C8}"/>
    <cellStyle name="Migliaia 7 2 3 2 2 3 3" xfId="8187" xr:uid="{6F3383CA-95F3-42FF-BDFD-543649E80525}"/>
    <cellStyle name="Migliaia 7 2 3 2 2 3 3 2" xfId="23367" xr:uid="{01687EA2-648F-4F41-AFD1-DA9DC68E3103}"/>
    <cellStyle name="Migliaia 7 2 3 2 2 3 4" xfId="20079" xr:uid="{4D5E96C7-921A-4BBF-87B5-426773F65836}"/>
    <cellStyle name="Migliaia 7 2 3 2 2 4" xfId="2732" xr:uid="{6449DB4E-6487-49E0-B4EE-07D7FA585F30}"/>
    <cellStyle name="Migliaia 7 2 3 2 2 4 2" xfId="10223" xr:uid="{70312F95-B18C-4E76-AF6F-B30FFBD6EC0E}"/>
    <cellStyle name="Migliaia 7 2 3 2 2 4 2 2" xfId="25401" xr:uid="{3609B087-0B7D-446B-86E3-205A01588981}"/>
    <cellStyle name="Migliaia 7 2 3 2 2 4 3" xfId="17941" xr:uid="{0EE8B8F2-3F63-4BE3-B97C-A49AD26B47AB}"/>
    <cellStyle name="Migliaia 7 2 3 2 2 5" xfId="8825" xr:uid="{817869A0-24F0-4BAE-89D4-4304FD5DD73C}"/>
    <cellStyle name="Migliaia 7 2 3 2 2 5 2" xfId="12998" xr:uid="{27D706A4-6DC3-423A-8C18-BDB00B0E0001}"/>
    <cellStyle name="Migliaia 7 2 3 2 2 5 2 2" xfId="28175" xr:uid="{41C5C492-6EE6-4DE3-9D84-3C2864BE7F90}"/>
    <cellStyle name="Migliaia 7 2 3 2 2 5 3" xfId="24003" xr:uid="{00F9489F-E061-43A0-B280-1C2900064F8A}"/>
    <cellStyle name="Migliaia 7 2 3 2 2 6" xfId="6049" xr:uid="{D8F38306-F4AF-4CFE-BC4B-4A8D2640473B}"/>
    <cellStyle name="Migliaia 7 2 3 2 2 6 2" xfId="21229" xr:uid="{BF540E25-84D8-4303-BC63-50D56A46CF37}"/>
    <cellStyle name="Migliaia 7 2 3 2 2 7" xfId="16543" xr:uid="{A97D7FE9-F0F0-4CD7-972F-87E2F800B6BD}"/>
    <cellStyle name="Migliaia 7 2 3 2 3" xfId="2459" xr:uid="{DA2C1E6C-1AF6-4542-BE38-2789967068AE}"/>
    <cellStyle name="Migliaia 7 2 3 2 3 2" xfId="9951" xr:uid="{8C035C28-6CFA-48AE-B60B-557B48C73DD1}"/>
    <cellStyle name="Migliaia 7 2 3 2 3 2 2" xfId="13610" xr:uid="{B6B1E940-9A4C-42C2-BA82-F1F866297AB4}"/>
    <cellStyle name="Migliaia 7 2 3 2 3 2 2 2" xfId="28787" xr:uid="{B936AEBC-A31B-439A-8C75-9AFECE1B7207}"/>
    <cellStyle name="Migliaia 7 2 3 2 3 2 3" xfId="25129" xr:uid="{495FDADE-A0B9-4E62-8275-9515DDDD861B}"/>
    <cellStyle name="Migliaia 7 2 3 2 3 3" xfId="5777" xr:uid="{79C3C2D1-B944-4BE3-AE5A-D36DA21BC40B}"/>
    <cellStyle name="Migliaia 7 2 3 2 3 3 2" xfId="20957" xr:uid="{61981387-EFFA-400A-9865-BD5CC6EAB508}"/>
    <cellStyle name="Migliaia 7 2 3 2 3 4" xfId="17669" xr:uid="{CA9C116E-2FBC-4BD0-9A33-26542D6A5850}"/>
    <cellStyle name="Migliaia 7 2 3 2 4" xfId="3347" xr:uid="{1008DE70-152C-4F54-8178-EE35C28BA2DC}"/>
    <cellStyle name="Migliaia 7 2 3 2 4 2" xfId="10835" xr:uid="{F466C840-4824-43A9-AFBB-DC5B5056F6E7}"/>
    <cellStyle name="Migliaia 7 2 3 2 4 2 2" xfId="14381" xr:uid="{2F80C340-07C0-495D-8CA5-323C225178F4}"/>
    <cellStyle name="Migliaia 7 2 3 2 4 2 2 2" xfId="29558" xr:uid="{F3B9F2C2-4D41-4648-A2D1-49A7E7A39F3E}"/>
    <cellStyle name="Migliaia 7 2 3 2 4 2 3" xfId="26013" xr:uid="{45FB4617-E80D-433E-84FC-AE14E2F30D3C}"/>
    <cellStyle name="Migliaia 7 2 3 2 4 3" xfId="6661" xr:uid="{2F38F678-053F-41A3-B121-B77A26A21333}"/>
    <cellStyle name="Migliaia 7 2 3 2 4 3 2" xfId="21841" xr:uid="{FD3F1B99-AFCE-450D-9745-3E860F03F974}"/>
    <cellStyle name="Migliaia 7 2 3 2 4 4" xfId="18553" xr:uid="{0BE2EA89-7772-4052-9A5B-340B6A0E81F0}"/>
    <cellStyle name="Migliaia 7 2 3 2 5" xfId="4877" xr:uid="{2B357250-D8A7-4D3E-9877-2D3789B2B301}"/>
    <cellStyle name="Migliaia 7 2 3 2 5 2" xfId="12362" xr:uid="{5578F11E-B015-4649-8B66-D294594E087A}"/>
    <cellStyle name="Migliaia 7 2 3 2 5 2 2" xfId="15908" xr:uid="{D7C09C64-A5E7-460B-BDF5-5CD30C4FAA7B}"/>
    <cellStyle name="Migliaia 7 2 3 2 5 2 2 2" xfId="31085" xr:uid="{52C277D3-2F52-4455-97B3-7C8E0DEC9447}"/>
    <cellStyle name="Migliaia 7 2 3 2 5 2 3" xfId="27540" xr:uid="{97DC44CA-6CD8-4968-A90D-B0A155AD05D7}"/>
    <cellStyle name="Migliaia 7 2 3 2 5 3" xfId="8188" xr:uid="{9761CC46-989A-4598-943E-2F73DE4E9CFB}"/>
    <cellStyle name="Migliaia 7 2 3 2 5 3 2" xfId="23368" xr:uid="{0CF5B6C5-95C4-4A08-861B-D726962ADEE0}"/>
    <cellStyle name="Migliaia 7 2 3 2 5 4" xfId="20080" xr:uid="{C006129D-9CF1-495B-8381-AE6B5FE5D6E0}"/>
    <cellStyle name="Migliaia 7 2 3 2 6" xfId="5021" xr:uid="{3075A894-AEBB-49E6-AF93-A5D69CF87282}"/>
    <cellStyle name="Migliaia 7 2 3 2 6 2" xfId="12505" xr:uid="{858823C9-9B09-4BE0-B9BA-3FD9E92D72BA}"/>
    <cellStyle name="Migliaia 7 2 3 2 6 2 2" xfId="16051" xr:uid="{68FE6A7C-F477-4655-AEF8-951BAE48BD38}"/>
    <cellStyle name="Migliaia 7 2 3 2 6 2 2 2" xfId="31228" xr:uid="{C2390308-F9F4-41A0-93BE-1C8657AFF7E0}"/>
    <cellStyle name="Migliaia 7 2 3 2 6 2 3" xfId="27683" xr:uid="{EB3FEC55-5340-4344-921E-64F7E944E7FD}"/>
    <cellStyle name="Migliaia 7 2 3 2 6 3" xfId="8331" xr:uid="{AD7D2D5E-BEC7-467D-A741-DA68E6C293F0}"/>
    <cellStyle name="Migliaia 7 2 3 2 6 3 2" xfId="23511" xr:uid="{3F01DF86-3E4C-43A6-9F26-C083E3DA6958}"/>
    <cellStyle name="Migliaia 7 2 3 2 6 4" xfId="20223" xr:uid="{14E459E0-6427-46DC-AA2C-8389EC8C794E}"/>
    <cellStyle name="Migliaia 7 2 3 2 7" xfId="1842" xr:uid="{019182DC-2823-45B8-9DB8-25CCCB85FDE3}"/>
    <cellStyle name="Migliaia 7 2 3 2 7 2" xfId="9339" xr:uid="{0BE91D48-57E8-4979-B373-E78420119BEA}"/>
    <cellStyle name="Migliaia 7 2 3 2 7 2 2" xfId="24517" xr:uid="{A94CEBE7-155F-4D22-87D2-80D24271609A}"/>
    <cellStyle name="Migliaia 7 2 3 2 7 3" xfId="17057" xr:uid="{950B1F4A-DF2F-4016-8C7D-F444E4D87DAA}"/>
    <cellStyle name="Migliaia 7 2 3 2 8" xfId="8553" xr:uid="{FFB47FD2-B1F5-4A40-8609-BEC3759A0917}"/>
    <cellStyle name="Migliaia 7 2 3 2 8 2" xfId="12726" xr:uid="{EDC3C65C-721C-496A-90C9-2FDA39E59EFE}"/>
    <cellStyle name="Migliaia 7 2 3 2 8 2 2" xfId="27903" xr:uid="{C5A26590-543E-4376-B722-B341160AEE30}"/>
    <cellStyle name="Migliaia 7 2 3 2 8 3" xfId="23731" xr:uid="{C54E0201-5427-4094-8011-FD1B838FDF44}"/>
    <cellStyle name="Migliaia 7 2 3 2 9" xfId="5165" xr:uid="{3B7C136A-A503-45A8-86DD-49389F8CEF2F}"/>
    <cellStyle name="Migliaia 7 2 3 2 9 2" xfId="20345" xr:uid="{F0396312-4B82-4896-AA5D-322CE94A1BA9}"/>
    <cellStyle name="Migliaia 7 2 3 3" xfId="1044" xr:uid="{6D8579BD-766D-4C93-A333-58BECDC1F7FB}"/>
    <cellStyle name="Migliaia 7 2 3 3 10" xfId="31589" xr:uid="{8E79E13B-28B1-4330-8996-96E498D64192}"/>
    <cellStyle name="Migliaia 7 2 3 3 2" xfId="1404" xr:uid="{E41DC027-73C5-4893-B65C-8ECCA097FFD1}"/>
    <cellStyle name="Migliaia 7 2 3 3 2 2" xfId="3717" xr:uid="{6F15C327-0D25-4200-97E2-05B28F308C68}"/>
    <cellStyle name="Migliaia 7 2 3 3 2 2 2" xfId="11205" xr:uid="{0CE44F9A-7A2C-43E4-85EF-734183D58F29}"/>
    <cellStyle name="Migliaia 7 2 3 3 2 2 2 2" xfId="14751" xr:uid="{14B3FCE9-D1B5-49C6-B329-1DDF930FB169}"/>
    <cellStyle name="Migliaia 7 2 3 3 2 2 2 2 2" xfId="29928" xr:uid="{E45F8B37-89D9-4310-B02B-998C4D4FB5DA}"/>
    <cellStyle name="Migliaia 7 2 3 3 2 2 2 3" xfId="26383" xr:uid="{F3086A0B-4C29-44B0-B24D-223328A8F2BC}"/>
    <cellStyle name="Migliaia 7 2 3 3 2 2 3" xfId="7031" xr:uid="{07F952C4-D886-40BA-B15B-53077C69DD82}"/>
    <cellStyle name="Migliaia 7 2 3 3 2 2 3 2" xfId="22211" xr:uid="{AA589987-B215-4449-BB6A-2403629555F7}"/>
    <cellStyle name="Migliaia 7 2 3 3 2 2 4" xfId="18923" xr:uid="{D37D9079-64E6-4215-895E-DCF6AE26FB61}"/>
    <cellStyle name="Migliaia 7 2 3 3 2 3" xfId="4878" xr:uid="{87011934-C82D-4E17-BA8B-EF98778EDEDC}"/>
    <cellStyle name="Migliaia 7 2 3 3 2 3 2" xfId="12363" xr:uid="{A861E472-1CC4-46C2-8A27-28235661F9FB}"/>
    <cellStyle name="Migliaia 7 2 3 3 2 3 2 2" xfId="15909" xr:uid="{D416165E-EE8C-48B5-B5C1-2DC278B8C3C1}"/>
    <cellStyle name="Migliaia 7 2 3 3 2 3 2 2 2" xfId="31086" xr:uid="{065A5FE4-DD8A-48EF-AA3C-E33F6D539B2C}"/>
    <cellStyle name="Migliaia 7 2 3 3 2 3 2 3" xfId="27541" xr:uid="{80B16A59-8D28-4867-9AAB-B62AAAFB3336}"/>
    <cellStyle name="Migliaia 7 2 3 3 2 3 3" xfId="8189" xr:uid="{C88E94A9-E709-4E07-AC6C-D8E938ED709F}"/>
    <cellStyle name="Migliaia 7 2 3 3 2 3 3 2" xfId="23369" xr:uid="{38A30A97-F1A7-4A4E-A7F8-9C64890BD201}"/>
    <cellStyle name="Migliaia 7 2 3 3 2 3 4" xfId="20081" xr:uid="{CB53C220-CA1B-407F-AFF9-0F3BACAFA688}"/>
    <cellStyle name="Migliaia 7 2 3 3 2 4" xfId="2830" xr:uid="{1B379536-B9CA-48D9-BE0E-50104E0A51DD}"/>
    <cellStyle name="Migliaia 7 2 3 3 2 4 2" xfId="10321" xr:uid="{109C2B37-60B8-423E-BC8E-79DB5C9AB096}"/>
    <cellStyle name="Migliaia 7 2 3 3 2 4 2 2" xfId="25499" xr:uid="{63DB4506-74A9-45D4-BEDB-39B9B10ABC75}"/>
    <cellStyle name="Migliaia 7 2 3 3 2 4 3" xfId="18039" xr:uid="{C631E0DA-D7A8-404D-B353-50C4412AB9B3}"/>
    <cellStyle name="Migliaia 7 2 3 3 2 5" xfId="8923" xr:uid="{F1981CFD-7AF5-48BD-9307-06F99B046A71}"/>
    <cellStyle name="Migliaia 7 2 3 3 2 5 2" xfId="13096" xr:uid="{B3954F06-145F-442C-ABF5-F1499FF8DDFF}"/>
    <cellStyle name="Migliaia 7 2 3 3 2 5 2 2" xfId="28273" xr:uid="{C7926619-C65B-4C4F-B72C-83A1E0DD6E62}"/>
    <cellStyle name="Migliaia 7 2 3 3 2 5 3" xfId="24101" xr:uid="{C7C5D831-E6EA-45CF-B8ED-FF09F90A8485}"/>
    <cellStyle name="Migliaia 7 2 3 3 2 6" xfId="6147" xr:uid="{90273852-D9E8-4EFD-A1CF-9E9CAC11D6F7}"/>
    <cellStyle name="Migliaia 7 2 3 3 2 6 2" xfId="21327" xr:uid="{28DE461E-056F-4B58-9A2A-A09D9EE26290}"/>
    <cellStyle name="Migliaia 7 2 3 3 2 7" xfId="16641" xr:uid="{EDFF2F98-1D98-45DA-ADC4-CF5F7EEA7F84}"/>
    <cellStyle name="Migliaia 7 2 3 3 3" xfId="2557" xr:uid="{9FBCC84B-6C80-49CC-B4E6-952CE7E49625}"/>
    <cellStyle name="Migliaia 7 2 3 3 3 2" xfId="10049" xr:uid="{4D57DE55-328B-49F1-85C4-93F232206E7F}"/>
    <cellStyle name="Migliaia 7 2 3 3 3 2 2" xfId="13708" xr:uid="{185BF961-A55A-4F68-990E-F307FD0519E9}"/>
    <cellStyle name="Migliaia 7 2 3 3 3 2 2 2" xfId="28885" xr:uid="{667559C6-706C-40FC-B283-115F6DB2189B}"/>
    <cellStyle name="Migliaia 7 2 3 3 3 2 3" xfId="25227" xr:uid="{8FBEBCA1-CF76-419A-B241-DE5157CC0D3E}"/>
    <cellStyle name="Migliaia 7 2 3 3 3 3" xfId="5875" xr:uid="{B2268D71-B52B-453B-BCCD-1602602AC947}"/>
    <cellStyle name="Migliaia 7 2 3 3 3 3 2" xfId="21055" xr:uid="{0083B190-0D27-4F62-BD6C-66AE95C52337}"/>
    <cellStyle name="Migliaia 7 2 3 3 3 4" xfId="17767" xr:uid="{7DFF10A2-4019-435F-A525-97D86D61F8C2}"/>
    <cellStyle name="Migliaia 7 2 3 3 4" xfId="3445" xr:uid="{11B9A70D-9818-4AFE-A9FE-D9B9152C2D38}"/>
    <cellStyle name="Migliaia 7 2 3 3 4 2" xfId="10933" xr:uid="{FAB51B46-A3F7-4565-B2CC-138E4655EDED}"/>
    <cellStyle name="Migliaia 7 2 3 3 4 2 2" xfId="14479" xr:uid="{4246C504-778C-4C50-A3AA-5CD75E9E6108}"/>
    <cellStyle name="Migliaia 7 2 3 3 4 2 2 2" xfId="29656" xr:uid="{8BA2E5FD-C591-4C94-80F6-9B1535B19F12}"/>
    <cellStyle name="Migliaia 7 2 3 3 4 2 3" xfId="26111" xr:uid="{2B097B1F-632A-4CE4-A5A4-6F15779518A8}"/>
    <cellStyle name="Migliaia 7 2 3 3 4 3" xfId="6759" xr:uid="{0BD0BAB4-02A0-4D0F-B8A1-3A76C9D35D61}"/>
    <cellStyle name="Migliaia 7 2 3 3 4 3 2" xfId="21939" xr:uid="{044FC88C-D4F3-414D-9269-19EE02E828EB}"/>
    <cellStyle name="Migliaia 7 2 3 3 4 4" xfId="18651" xr:uid="{1A30D603-D57C-485B-BB3F-60BBD8E613A0}"/>
    <cellStyle name="Migliaia 7 2 3 3 5" xfId="4879" xr:uid="{63325DDA-89E1-4F0D-9AB7-9C3CDFBD79E5}"/>
    <cellStyle name="Migliaia 7 2 3 3 5 2" xfId="12364" xr:uid="{47D430EE-B9F8-45F8-9938-DE64C68C197F}"/>
    <cellStyle name="Migliaia 7 2 3 3 5 2 2" xfId="15910" xr:uid="{146429D6-19B6-4A18-BE9B-BC83944BF293}"/>
    <cellStyle name="Migliaia 7 2 3 3 5 2 2 2" xfId="31087" xr:uid="{1314989E-3223-479F-B79D-60C9C7E2DDAE}"/>
    <cellStyle name="Migliaia 7 2 3 3 5 2 3" xfId="27542" xr:uid="{42A7DE03-3383-45D0-BF98-89E84625D1BB}"/>
    <cellStyle name="Migliaia 7 2 3 3 5 3" xfId="8190" xr:uid="{5403AAC1-D472-47D4-A759-A33FE7695B9B}"/>
    <cellStyle name="Migliaia 7 2 3 3 5 3 2" xfId="23370" xr:uid="{FCE433F1-81C9-42CB-8089-5E68A7ADA13C}"/>
    <cellStyle name="Migliaia 7 2 3 3 5 4" xfId="20082" xr:uid="{1E55D02F-52C7-458D-9779-F58C96B31969}"/>
    <cellStyle name="Migliaia 7 2 3 3 6" xfId="1940" xr:uid="{3F84177B-AA22-44AA-B3CE-8F7CD113F9EC}"/>
    <cellStyle name="Migliaia 7 2 3 3 6 2" xfId="9437" xr:uid="{7B25DEC8-A9D7-4634-A9C1-5A25ED800A6B}"/>
    <cellStyle name="Migliaia 7 2 3 3 6 2 2" xfId="24615" xr:uid="{79594A2D-B040-4862-A14B-77F339363567}"/>
    <cellStyle name="Migliaia 7 2 3 3 6 3" xfId="17155" xr:uid="{6FC3D364-B69E-4BA2-BAF5-95B4C4D9FA17}"/>
    <cellStyle name="Migliaia 7 2 3 3 7" xfId="8651" xr:uid="{4A3A6F08-7BFF-4A48-BE51-07D8844E1B8A}"/>
    <cellStyle name="Migliaia 7 2 3 3 7 2" xfId="12824" xr:uid="{9CF8AA71-9FF6-4381-815B-923BB49112A2}"/>
    <cellStyle name="Migliaia 7 2 3 3 7 2 2" xfId="28001" xr:uid="{497F0349-AFE4-4F37-A596-92C84CB5F17F}"/>
    <cellStyle name="Migliaia 7 2 3 3 7 3" xfId="23829" xr:uid="{107845C4-A1BA-4329-9AE6-3598B4C6593B}"/>
    <cellStyle name="Migliaia 7 2 3 3 8" xfId="5263" xr:uid="{8AFBE251-5339-4073-BD23-585B807E7747}"/>
    <cellStyle name="Migliaia 7 2 3 3 8 2" xfId="20443" xr:uid="{9770D52D-0C37-443B-ACFE-44E2111F5C33}"/>
    <cellStyle name="Migliaia 7 2 3 3 9" xfId="16369" xr:uid="{1C6B9DA8-C135-4011-A26E-34BAA6963647}"/>
    <cellStyle name="Migliaia 7 2 3 4" xfId="1503" xr:uid="{4068CF09-B90C-45E6-A582-BAA89FE0C4CD}"/>
    <cellStyle name="Migliaia 7 2 3 4 2" xfId="2928" xr:uid="{F96BF4EE-A104-4111-A13C-ED5E0BCF1D8C}"/>
    <cellStyle name="Migliaia 7 2 3 4 2 2" xfId="10419" xr:uid="{17A49912-DD1A-4303-9988-7C9DAA0C4BE7}"/>
    <cellStyle name="Migliaia 7 2 3 4 2 2 2" xfId="13965" xr:uid="{4C1F0F20-B9E3-4660-8F96-DEFB688F290F}"/>
    <cellStyle name="Migliaia 7 2 3 4 2 2 2 2" xfId="29142" xr:uid="{C2CC051B-0B37-40E6-97AA-DE45DFECA3E3}"/>
    <cellStyle name="Migliaia 7 2 3 4 2 2 3" xfId="25597" xr:uid="{3D6D940A-9455-4966-B481-92EC127F9182}"/>
    <cellStyle name="Migliaia 7 2 3 4 2 3" xfId="6245" xr:uid="{DE26FC2E-70F9-445A-99EF-C63EA38A0609}"/>
    <cellStyle name="Migliaia 7 2 3 4 2 3 2" xfId="21425" xr:uid="{1A8027D7-5062-4E4D-B5B5-2B22FBF9B970}"/>
    <cellStyle name="Migliaia 7 2 3 4 2 4" xfId="18137" xr:uid="{33D812B6-BE82-4F6B-8159-64BABA099A85}"/>
    <cellStyle name="Migliaia 7 2 3 4 3" xfId="3815" xr:uid="{7AFC3513-5F7A-4D53-A418-9B5F819296B0}"/>
    <cellStyle name="Migliaia 7 2 3 4 3 2" xfId="11303" xr:uid="{51DE8629-EE2E-41C6-8905-CB22D43D46FE}"/>
    <cellStyle name="Migliaia 7 2 3 4 3 2 2" xfId="14849" xr:uid="{8F6D7A6B-024C-4088-BFBB-695E01A40A3B}"/>
    <cellStyle name="Migliaia 7 2 3 4 3 2 2 2" xfId="30026" xr:uid="{A41C16EB-C6CF-4A4D-8ABE-7D3E4D65CF8A}"/>
    <cellStyle name="Migliaia 7 2 3 4 3 2 3" xfId="26481" xr:uid="{7F230E52-AFEC-4C3A-AE0B-C52DCCF6EDCA}"/>
    <cellStyle name="Migliaia 7 2 3 4 3 3" xfId="7129" xr:uid="{597C12A8-8801-4828-877D-9BA0B68FC4A2}"/>
    <cellStyle name="Migliaia 7 2 3 4 3 3 2" xfId="22309" xr:uid="{69FB1069-6838-41DB-ADFC-B96ADEB48EAD}"/>
    <cellStyle name="Migliaia 7 2 3 4 3 4" xfId="19021" xr:uid="{ABD8C34D-A9D1-4E34-BEDC-5BDF0062FD88}"/>
    <cellStyle name="Migliaia 7 2 3 4 4" xfId="4880" xr:uid="{07771635-2BC9-453E-B52A-EDADDA6EDEF6}"/>
    <cellStyle name="Migliaia 7 2 3 4 4 2" xfId="12365" xr:uid="{627DD7D1-F06D-4740-96EE-71D484232DFA}"/>
    <cellStyle name="Migliaia 7 2 3 4 4 2 2" xfId="15911" xr:uid="{6FE520AD-9C86-4426-933D-D4021B8538D2}"/>
    <cellStyle name="Migliaia 7 2 3 4 4 2 2 2" xfId="31088" xr:uid="{6E8A3009-9B4B-49F4-A784-084855FCAC8E}"/>
    <cellStyle name="Migliaia 7 2 3 4 4 2 3" xfId="27543" xr:uid="{B5BC9535-DBBF-4F84-9EB5-1E00E51C19AE}"/>
    <cellStyle name="Migliaia 7 2 3 4 4 3" xfId="8191" xr:uid="{ED6C9149-4D62-41B3-AD5C-3091D279FE4A}"/>
    <cellStyle name="Migliaia 7 2 3 4 4 3 2" xfId="23371" xr:uid="{A1EE07B2-CFFD-46F4-B951-50A54544920A}"/>
    <cellStyle name="Migliaia 7 2 3 4 4 4" xfId="20083" xr:uid="{2E2C355A-69BD-4D52-B4E1-72A459A1C72E}"/>
    <cellStyle name="Migliaia 7 2 3 4 5" xfId="2038" xr:uid="{5FA9FE06-C9CE-4100-8113-33AC6CD355F0}"/>
    <cellStyle name="Migliaia 7 2 3 4 5 2" xfId="9535" xr:uid="{8E67B08B-7393-4CFE-88D9-165AA8D3A0A9}"/>
    <cellStyle name="Migliaia 7 2 3 4 5 2 2" xfId="24713" xr:uid="{0848CF16-5E94-4F0A-86EA-3A861337A45C}"/>
    <cellStyle name="Migliaia 7 2 3 4 5 3" xfId="17253" xr:uid="{D15F178E-C41B-460B-AF27-F288FA7E3BA0}"/>
    <cellStyle name="Migliaia 7 2 3 4 6" xfId="9021" xr:uid="{9650CB56-AE8A-4E7E-A87B-5E445BF47B24}"/>
    <cellStyle name="Migliaia 7 2 3 4 6 2" xfId="13194" xr:uid="{D6F5BE99-630A-4F2D-8CF7-B4A68368ECC0}"/>
    <cellStyle name="Migliaia 7 2 3 4 6 2 2" xfId="28371" xr:uid="{93C0C0BA-F369-46E7-BEF5-220012943A4B}"/>
    <cellStyle name="Migliaia 7 2 3 4 6 3" xfId="24199" xr:uid="{2862FC16-2ECE-4EC9-937E-9BED8C4CAB99}"/>
    <cellStyle name="Migliaia 7 2 3 4 7" xfId="5361" xr:uid="{B282757D-32D7-4F45-A720-4A83865BA1CC}"/>
    <cellStyle name="Migliaia 7 2 3 4 7 2" xfId="20541" xr:uid="{10C3466F-611F-4235-B50B-D3220FF88F42}"/>
    <cellStyle name="Migliaia 7 2 3 4 8" xfId="16739" xr:uid="{EE853EEF-453B-4F5B-923C-2804E707341D}"/>
    <cellStyle name="Migliaia 7 2 3 5" xfId="1606" xr:uid="{02AB4F50-172E-47E1-8165-BFE21A0901EF}"/>
    <cellStyle name="Migliaia 7 2 3 5 2" xfId="3026" xr:uid="{1317A182-19D4-4265-8715-68E25CE46A4A}"/>
    <cellStyle name="Migliaia 7 2 3 5 2 2" xfId="10517" xr:uid="{543AA4B0-4261-479A-B222-DAD8943E4FFC}"/>
    <cellStyle name="Migliaia 7 2 3 5 2 2 2" xfId="14063" xr:uid="{6D27E2B6-5E16-47D1-999B-CCAA3E39B0A2}"/>
    <cellStyle name="Migliaia 7 2 3 5 2 2 2 2" xfId="29240" xr:uid="{55AC1FD3-C468-47C5-A01C-0BBAD01AA021}"/>
    <cellStyle name="Migliaia 7 2 3 5 2 2 3" xfId="25695" xr:uid="{587DFCC3-2DC4-4AC3-BF83-C162F6E13392}"/>
    <cellStyle name="Migliaia 7 2 3 5 2 3" xfId="6343" xr:uid="{C0F2E37E-9FDB-4AE7-89B7-F4CF1548D60D}"/>
    <cellStyle name="Migliaia 7 2 3 5 2 3 2" xfId="21523" xr:uid="{445F166C-0FA1-448E-8945-3435D9F14EDC}"/>
    <cellStyle name="Migliaia 7 2 3 5 2 4" xfId="18235" xr:uid="{7E880E6A-ACCA-4D13-9678-B0EFC4BE4D00}"/>
    <cellStyle name="Migliaia 7 2 3 5 3" xfId="3913" xr:uid="{31996B6D-BD75-44DF-B202-8090A4FD0821}"/>
    <cellStyle name="Migliaia 7 2 3 5 3 2" xfId="11401" xr:uid="{590F62C6-1F49-434C-9B37-9F77625C4CD7}"/>
    <cellStyle name="Migliaia 7 2 3 5 3 2 2" xfId="14947" xr:uid="{D76F6CDA-48BB-4ABD-AD57-B9AD4C4093BD}"/>
    <cellStyle name="Migliaia 7 2 3 5 3 2 2 2" xfId="30124" xr:uid="{4A7FD660-97E9-404E-99A5-05726335E561}"/>
    <cellStyle name="Migliaia 7 2 3 5 3 2 3" xfId="26579" xr:uid="{0F6BA9E6-A5F9-41B5-BF17-253CCD31DDE0}"/>
    <cellStyle name="Migliaia 7 2 3 5 3 3" xfId="7227" xr:uid="{A7425375-9A27-41C9-9235-09BE07B73799}"/>
    <cellStyle name="Migliaia 7 2 3 5 3 3 2" xfId="22407" xr:uid="{D028B443-FFDA-484D-963D-845D59CD6EC7}"/>
    <cellStyle name="Migliaia 7 2 3 5 3 4" xfId="19119" xr:uid="{D7194725-51D6-452F-843F-A7131776B6E1}"/>
    <cellStyle name="Migliaia 7 2 3 5 4" xfId="4881" xr:uid="{4FC7DA0C-CA43-4E25-AA7C-B629875524C0}"/>
    <cellStyle name="Migliaia 7 2 3 5 4 2" xfId="12366" xr:uid="{3C9877AC-A7A0-4BCC-8705-4F31C439578E}"/>
    <cellStyle name="Migliaia 7 2 3 5 4 2 2" xfId="15912" xr:uid="{D2C4C6C1-1717-4583-8FB5-E24824BEFAB7}"/>
    <cellStyle name="Migliaia 7 2 3 5 4 2 2 2" xfId="31089" xr:uid="{A2295048-BA83-4AB3-B7F3-B1FCF278F066}"/>
    <cellStyle name="Migliaia 7 2 3 5 4 2 3" xfId="27544" xr:uid="{FC445928-F533-42C2-B1FD-486A32ABE816}"/>
    <cellStyle name="Migliaia 7 2 3 5 4 3" xfId="8192" xr:uid="{5DB67821-9659-4A85-B8C7-F084E10C1930}"/>
    <cellStyle name="Migliaia 7 2 3 5 4 3 2" xfId="23372" xr:uid="{C9A161B7-78D8-40AB-9B5B-28737633C392}"/>
    <cellStyle name="Migliaia 7 2 3 5 4 4" xfId="20084" xr:uid="{45DBFE57-C0AE-4BF2-9459-099D1C6C9729}"/>
    <cellStyle name="Migliaia 7 2 3 5 5" xfId="2136" xr:uid="{42AB053F-F85A-43EB-B95E-69F86C41B81E}"/>
    <cellStyle name="Migliaia 7 2 3 5 5 2" xfId="9633" xr:uid="{AB0956D7-25DC-48BE-87A9-3D25713FB120}"/>
    <cellStyle name="Migliaia 7 2 3 5 5 2 2" xfId="24811" xr:uid="{9A97252B-6CB2-4B94-9989-F5EDB6C2E092}"/>
    <cellStyle name="Migliaia 7 2 3 5 5 3" xfId="17351" xr:uid="{3C6CDFC6-B6B7-49D0-B3E7-7B1277B58D7A}"/>
    <cellStyle name="Migliaia 7 2 3 5 6" xfId="9119" xr:uid="{68F350E5-2312-4267-B7A5-DC18F41985FC}"/>
    <cellStyle name="Migliaia 7 2 3 5 6 2" xfId="13292" xr:uid="{376125D1-8ADA-4549-8001-1DAFDAB4AE2E}"/>
    <cellStyle name="Migliaia 7 2 3 5 6 2 2" xfId="28469" xr:uid="{0F6AC9BB-A998-41EF-9BC7-AF8110C2F58E}"/>
    <cellStyle name="Migliaia 7 2 3 5 6 3" xfId="24297" xr:uid="{2DCD7578-5B53-4B62-B416-29E98F40D44B}"/>
    <cellStyle name="Migliaia 7 2 3 5 7" xfId="5459" xr:uid="{777B0F28-D162-447C-9A68-9349238B522D}"/>
    <cellStyle name="Migliaia 7 2 3 5 7 2" xfId="20639" xr:uid="{0DA8E2C6-5E65-41F3-9395-3483D9B41895}"/>
    <cellStyle name="Migliaia 7 2 3 5 8" xfId="16837" xr:uid="{B9D14B87-2214-4F0A-AD72-D6FF5881F23C}"/>
    <cellStyle name="Migliaia 7 2 3 6" xfId="1705" xr:uid="{B9794279-F2A3-4A8C-886C-666638739742}"/>
    <cellStyle name="Migliaia 7 2 3 6 2" xfId="3124" xr:uid="{504EF014-28D7-4B2B-9E09-388235E6F2EF}"/>
    <cellStyle name="Migliaia 7 2 3 6 2 2" xfId="10615" xr:uid="{67044F65-BCDF-4FD6-B5C4-6CA46977E3B8}"/>
    <cellStyle name="Migliaia 7 2 3 6 2 2 2" xfId="14161" xr:uid="{4458A98B-6E33-446E-97A5-7E16C1FCA663}"/>
    <cellStyle name="Migliaia 7 2 3 6 2 2 2 2" xfId="29338" xr:uid="{EA85F8DA-B782-426C-A1F6-8F1EB71ECDD6}"/>
    <cellStyle name="Migliaia 7 2 3 6 2 2 3" xfId="25793" xr:uid="{28E157F5-CCBB-4CCC-B19A-95DCBE1625D7}"/>
    <cellStyle name="Migliaia 7 2 3 6 2 3" xfId="6441" xr:uid="{B54ECD24-102A-4640-A678-95144AD2B348}"/>
    <cellStyle name="Migliaia 7 2 3 6 2 3 2" xfId="21621" xr:uid="{731E2EB0-C4CC-4B41-8577-49320BF18CE6}"/>
    <cellStyle name="Migliaia 7 2 3 6 2 4" xfId="18333" xr:uid="{935A920F-F336-4624-A9FA-AD67DBBD2B65}"/>
    <cellStyle name="Migliaia 7 2 3 6 3" xfId="4011" xr:uid="{EFC489D0-2427-4964-B5D2-0C68E5BAE130}"/>
    <cellStyle name="Migliaia 7 2 3 6 3 2" xfId="11499" xr:uid="{E5759C2D-DBAF-421B-875F-24EBC8F3D2B9}"/>
    <cellStyle name="Migliaia 7 2 3 6 3 2 2" xfId="15045" xr:uid="{823768B8-64A6-4F71-84CD-B0BDEF3AE2B8}"/>
    <cellStyle name="Migliaia 7 2 3 6 3 2 2 2" xfId="30222" xr:uid="{CCDD9156-89AF-4EF6-9431-D77713177B0A}"/>
    <cellStyle name="Migliaia 7 2 3 6 3 2 3" xfId="26677" xr:uid="{1A191FC2-9F05-43F1-8AFA-F15E1265AB7E}"/>
    <cellStyle name="Migliaia 7 2 3 6 3 3" xfId="7325" xr:uid="{4FC131E9-2640-45BD-B7CA-CD1BF6F56B41}"/>
    <cellStyle name="Migliaia 7 2 3 6 3 3 2" xfId="22505" xr:uid="{02ACE660-2C2D-4EDF-A82E-D2746207E624}"/>
    <cellStyle name="Migliaia 7 2 3 6 3 4" xfId="19217" xr:uid="{1903CD70-1AA1-477D-9635-CBAB84E85502}"/>
    <cellStyle name="Migliaia 7 2 3 6 4" xfId="4882" xr:uid="{FB1DC8F0-DD8F-46DB-AE33-66F8D631F57C}"/>
    <cellStyle name="Migliaia 7 2 3 6 4 2" xfId="12367" xr:uid="{A8C8A51B-FBF5-4995-B3CA-9BAF2081AED4}"/>
    <cellStyle name="Migliaia 7 2 3 6 4 2 2" xfId="15913" xr:uid="{7F55360E-D3D8-4569-A1A1-A99C98297F61}"/>
    <cellStyle name="Migliaia 7 2 3 6 4 2 2 2" xfId="31090" xr:uid="{D30A5DB2-6C9B-46E0-A339-9AB46B170613}"/>
    <cellStyle name="Migliaia 7 2 3 6 4 2 3" xfId="27545" xr:uid="{D40543EF-61D2-46B7-BE7E-EA5BA826C443}"/>
    <cellStyle name="Migliaia 7 2 3 6 4 3" xfId="8193" xr:uid="{79CD7F1B-206C-41E6-9F6C-F572BA347D4E}"/>
    <cellStyle name="Migliaia 7 2 3 6 4 3 2" xfId="23373" xr:uid="{64421478-1F64-4D93-A006-145DC959E964}"/>
    <cellStyle name="Migliaia 7 2 3 6 4 4" xfId="20085" xr:uid="{0C63A5EC-929D-4D9D-9081-DCF0D9EA1835}"/>
    <cellStyle name="Migliaia 7 2 3 6 5" xfId="2234" xr:uid="{055B97F5-4A5A-4338-BDF2-F8DDCACCCDA3}"/>
    <cellStyle name="Migliaia 7 2 3 6 5 2" xfId="9731" xr:uid="{64353668-FBD5-4371-8B43-9DDC75006C4C}"/>
    <cellStyle name="Migliaia 7 2 3 6 5 2 2" xfId="24909" xr:uid="{E30AEA9D-C7BD-4C65-B802-0620B8F13029}"/>
    <cellStyle name="Migliaia 7 2 3 6 5 3" xfId="17449" xr:uid="{D5D72844-3B0E-44E2-AD24-FA05F60F0A94}"/>
    <cellStyle name="Migliaia 7 2 3 6 6" xfId="9217" xr:uid="{9C8FD60D-F6C1-4EB8-8A1D-D11352892599}"/>
    <cellStyle name="Migliaia 7 2 3 6 6 2" xfId="13390" xr:uid="{FDCCFE27-66B1-44AF-B1A4-2C18D8208091}"/>
    <cellStyle name="Migliaia 7 2 3 6 6 2 2" xfId="28567" xr:uid="{618CB4DE-87A0-47C9-B6EA-465A3A858054}"/>
    <cellStyle name="Migliaia 7 2 3 6 6 3" xfId="24395" xr:uid="{79AB34AB-AD03-458E-A0DE-E9B644408642}"/>
    <cellStyle name="Migliaia 7 2 3 6 7" xfId="5557" xr:uid="{B5AC145B-A9FA-4365-93F8-222E9506FE24}"/>
    <cellStyle name="Migliaia 7 2 3 6 7 2" xfId="20737" xr:uid="{1331D233-AE39-422E-BBCE-A84F86E59CFB}"/>
    <cellStyle name="Migliaia 7 2 3 6 8" xfId="16935" xr:uid="{4832FDA3-E2E8-4C87-890B-8677EBF18089}"/>
    <cellStyle name="Migliaia 7 2 3 7" xfId="2334" xr:uid="{9DC439ED-CB31-458F-AA72-3549A646D2E7}"/>
    <cellStyle name="Migliaia 7 2 3 7 2" xfId="9829" xr:uid="{19B3E2B2-B0DE-4605-8999-FBF69CD6A055}"/>
    <cellStyle name="Migliaia 7 2 3 7 2 2" xfId="13488" xr:uid="{852BFF52-F41C-479C-A6F6-F117755BB1CC}"/>
    <cellStyle name="Migliaia 7 2 3 7 2 2 2" xfId="28665" xr:uid="{279CD6B5-8070-4182-BAC2-B0F444C817B9}"/>
    <cellStyle name="Migliaia 7 2 3 7 2 3" xfId="25007" xr:uid="{1B4F16C6-871C-4E2B-AC42-58AA390A8CA2}"/>
    <cellStyle name="Migliaia 7 2 3 7 3" xfId="5655" xr:uid="{121218E8-230F-401E-A792-773060C9632E}"/>
    <cellStyle name="Migliaia 7 2 3 7 3 2" xfId="20835" xr:uid="{AFB9B7FA-2D4C-4996-B238-AADB5FFD7298}"/>
    <cellStyle name="Migliaia 7 2 3 7 4" xfId="17547" xr:uid="{8F1C9519-F6AE-476A-BEE8-015273FA4138}"/>
    <cellStyle name="Migliaia 7 2 3 8" xfId="3224" xr:uid="{E167987D-D745-4843-A1C7-4D1DEBF9D490}"/>
    <cellStyle name="Migliaia 7 2 3 8 2" xfId="10713" xr:uid="{28ECA327-222F-40C5-9C2B-99A42EDDB014}"/>
    <cellStyle name="Migliaia 7 2 3 8 2 2" xfId="14259" xr:uid="{09B27A37-561B-417D-AD4B-2796E30BEA40}"/>
    <cellStyle name="Migliaia 7 2 3 8 2 2 2" xfId="29436" xr:uid="{26A24722-33D4-4763-912A-0F08C423C6E1}"/>
    <cellStyle name="Migliaia 7 2 3 8 2 3" xfId="25891" xr:uid="{BE3A7C91-3D01-4C6C-8D47-C5BAEE60638B}"/>
    <cellStyle name="Migliaia 7 2 3 8 3" xfId="6539" xr:uid="{19FDC062-4957-48A9-A220-E65E5BC9898B}"/>
    <cellStyle name="Migliaia 7 2 3 8 3 2" xfId="21719" xr:uid="{1519EE59-0A31-4199-BDA8-73FED7934C67}"/>
    <cellStyle name="Migliaia 7 2 3 8 4" xfId="18431" xr:uid="{F5133FA2-2965-47B6-8949-0F4DD1B2BACA}"/>
    <cellStyle name="Migliaia 7 2 3 9" xfId="4883" xr:uid="{DC8D56D3-4A0A-424D-8CCA-9DF80F7C6631}"/>
    <cellStyle name="Migliaia 7 2 3 9 2" xfId="12368" xr:uid="{62E0BC2C-EC27-4B4E-B749-A0D83FACE5FD}"/>
    <cellStyle name="Migliaia 7 2 3 9 2 2" xfId="15914" xr:uid="{9A32B087-1B5E-4BF3-8952-04F18BEA74F1}"/>
    <cellStyle name="Migliaia 7 2 3 9 2 2 2" xfId="31091" xr:uid="{13D59F37-29DC-4DFD-AD1B-161F74A988F5}"/>
    <cellStyle name="Migliaia 7 2 3 9 2 3" xfId="27546" xr:uid="{B3469BE9-7B47-4993-9BC9-1B6543159D31}"/>
    <cellStyle name="Migliaia 7 2 3 9 3" xfId="8194" xr:uid="{18BA2E33-73AC-450D-9786-731E55FC78CF}"/>
    <cellStyle name="Migliaia 7 2 3 9 3 2" xfId="23374" xr:uid="{787B715B-C9DD-4976-B5F6-4B4E10353780}"/>
    <cellStyle name="Migliaia 7 2 3 9 4" xfId="20086" xr:uid="{078D9CED-016D-4391-9F0D-EB9C3BFC49C4}"/>
    <cellStyle name="Migliaia 7 2 4" xfId="892" xr:uid="{C84CB8D3-BDFF-42EF-B3EC-228E87007C10}"/>
    <cellStyle name="Migliaia 7 2 4 2" xfId="2410" xr:uid="{684651AA-31DC-422E-83C0-606157CC6CB9}"/>
    <cellStyle name="Migliaia 7 2 4 2 2" xfId="9902" xr:uid="{F285094F-2755-4378-AECE-A11A67F24E25}"/>
    <cellStyle name="Migliaia 7 2 4 2 2 2" xfId="13561" xr:uid="{624716D8-8573-43B7-804C-E03245C52A1C}"/>
    <cellStyle name="Migliaia 7 2 4 2 2 2 2" xfId="28738" xr:uid="{DB6AF375-4692-443D-BA27-BC109D2FE053}"/>
    <cellStyle name="Migliaia 7 2 4 2 2 3" xfId="25080" xr:uid="{8637227F-77BD-4479-9B48-73EB3346A7E3}"/>
    <cellStyle name="Migliaia 7 2 4 2 3" xfId="5728" xr:uid="{B98E9CF4-CAF3-4046-A017-C04442245548}"/>
    <cellStyle name="Migliaia 7 2 4 2 3 2" xfId="20908" xr:uid="{635A4F0E-8C30-4CDA-ABD4-19AB9F728C5D}"/>
    <cellStyle name="Migliaia 7 2 4 2 4" xfId="17620" xr:uid="{27111EA9-EF18-4773-9E14-4C35D2FC57A5}"/>
    <cellStyle name="Migliaia 7 2 4 3" xfId="3298" xr:uid="{6F65138D-DC38-4428-8BB7-4153B21A7FED}"/>
    <cellStyle name="Migliaia 7 2 4 3 2" xfId="10786" xr:uid="{DA8D3F9C-62D8-4FDF-B33B-767E9A8A51A3}"/>
    <cellStyle name="Migliaia 7 2 4 3 2 2" xfId="14332" xr:uid="{0B0B33B3-601F-4695-8F19-CCB5ACD53A73}"/>
    <cellStyle name="Migliaia 7 2 4 3 2 2 2" xfId="29509" xr:uid="{BBD7602B-C4D6-4307-B7BE-2E6716C7EC9E}"/>
    <cellStyle name="Migliaia 7 2 4 3 2 3" xfId="25964" xr:uid="{3FDD798C-1ADB-4245-B0E4-6F9D8E277C2C}"/>
    <cellStyle name="Migliaia 7 2 4 3 3" xfId="6612" xr:uid="{8AC7AFD6-4428-4446-BA95-096EB33AD754}"/>
    <cellStyle name="Migliaia 7 2 4 3 3 2" xfId="21792" xr:uid="{70B3CBCB-503E-43DE-8B32-568ACE925139}"/>
    <cellStyle name="Migliaia 7 2 4 3 4" xfId="18504" xr:uid="{EC3BADEB-234F-465F-9556-2E5600849139}"/>
    <cellStyle name="Migliaia 7 2 4 4" xfId="4884" xr:uid="{370E3C32-023E-4126-A850-C25B87341845}"/>
    <cellStyle name="Migliaia 7 2 4 4 2" xfId="12369" xr:uid="{45195FDA-DF0C-4744-B8A5-EB93BDA7B982}"/>
    <cellStyle name="Migliaia 7 2 4 4 2 2" xfId="15915" xr:uid="{07062D54-1352-4389-B7C4-C495DF233681}"/>
    <cellStyle name="Migliaia 7 2 4 4 2 2 2" xfId="31092" xr:uid="{81B0D102-6A29-4EB2-910C-3F132391BAB1}"/>
    <cellStyle name="Migliaia 7 2 4 4 2 3" xfId="27547" xr:uid="{829785DB-825F-4FAF-BB09-A2A019982181}"/>
    <cellStyle name="Migliaia 7 2 4 4 3" xfId="8195" xr:uid="{71BEA825-9FEF-423C-BC6B-58830163CBC5}"/>
    <cellStyle name="Migliaia 7 2 4 4 3 2" xfId="23375" xr:uid="{A6BFF652-4CF2-4C66-AA4A-70FB95696BBB}"/>
    <cellStyle name="Migliaia 7 2 4 4 4" xfId="20087" xr:uid="{F520D05B-F94D-4477-ADDF-EB4E3D763AA6}"/>
    <cellStyle name="Migliaia 7 2 4 5" xfId="8504" xr:uid="{C5E4BAFE-1842-4DFF-AA6E-20D7EF276F99}"/>
    <cellStyle name="Migliaia 7 2 4 5 2" xfId="12677" xr:uid="{EADDF131-04B4-4073-AACE-134079523A2F}"/>
    <cellStyle name="Migliaia 7 2 4 5 2 2" xfId="27854" xr:uid="{C398F6AB-263B-4994-BD11-27DC6E172A49}"/>
    <cellStyle name="Migliaia 7 2 4 5 3" xfId="23682" xr:uid="{E47318D2-119B-498F-9F11-166C57F5C52D}"/>
    <cellStyle name="Migliaia 7 2 4 6" xfId="16222" xr:uid="{40581016-D5A2-4738-99E5-2C73F4416EB4}"/>
    <cellStyle name="Migliaia 7 2 4 7" xfId="31662" xr:uid="{E7F59738-8107-478C-86D4-72E91D327542}"/>
    <cellStyle name="Migliaia 7 2 5" xfId="995" xr:uid="{AD593ADC-98B5-4EFD-9FAC-476C214D8323}"/>
    <cellStyle name="Migliaia 7 2 5 2" xfId="2508" xr:uid="{2F0D32A1-0516-4EA5-A4C8-5212D7CC4030}"/>
    <cellStyle name="Migliaia 7 2 5 2 2" xfId="10000" xr:uid="{32DFECDC-F978-4FAA-9EFF-35AC2C7DCB05}"/>
    <cellStyle name="Migliaia 7 2 5 2 2 2" xfId="13659" xr:uid="{95A10533-774D-40C5-BF38-0C7815F845E0}"/>
    <cellStyle name="Migliaia 7 2 5 2 2 2 2" xfId="28836" xr:uid="{E70C0F46-9561-4600-993A-A525CE2027FD}"/>
    <cellStyle name="Migliaia 7 2 5 2 2 3" xfId="25178" xr:uid="{E0B32D2D-49C0-45DF-903F-B028CA2261B9}"/>
    <cellStyle name="Migliaia 7 2 5 2 3" xfId="5826" xr:uid="{0CB8E26F-8D0D-4CCC-AF9F-56CDBAC1905A}"/>
    <cellStyle name="Migliaia 7 2 5 2 3 2" xfId="21006" xr:uid="{DF615691-5095-44C2-859F-3584BA172C89}"/>
    <cellStyle name="Migliaia 7 2 5 2 4" xfId="17718" xr:uid="{E12C163B-7307-4D9A-AC11-A5B452F6AD84}"/>
    <cellStyle name="Migliaia 7 2 5 3" xfId="3396" xr:uid="{6C52C88E-3A1B-4E76-9E4E-5FB9E03CEF41}"/>
    <cellStyle name="Migliaia 7 2 5 3 2" xfId="10884" xr:uid="{A78AB157-3F90-41D8-8AD4-38160B7D7EC1}"/>
    <cellStyle name="Migliaia 7 2 5 3 2 2" xfId="14430" xr:uid="{89AF6002-4216-4DFA-8D6C-5A23EDD3E931}"/>
    <cellStyle name="Migliaia 7 2 5 3 2 2 2" xfId="29607" xr:uid="{30D9DA5A-BC13-4BA5-A4D0-DB51958E9006}"/>
    <cellStyle name="Migliaia 7 2 5 3 2 3" xfId="26062" xr:uid="{33277856-8183-4CC7-A32E-66732277694C}"/>
    <cellStyle name="Migliaia 7 2 5 3 3" xfId="6710" xr:uid="{4C9161DC-BBA9-4571-A6C5-5314387FC87D}"/>
    <cellStyle name="Migliaia 7 2 5 3 3 2" xfId="21890" xr:uid="{2C60CC61-C62C-44E4-9DD3-3CA3B66D3ABC}"/>
    <cellStyle name="Migliaia 7 2 5 3 4" xfId="18602" xr:uid="{6E1A8826-9E82-4197-A2A0-0E83E07D961B}"/>
    <cellStyle name="Migliaia 7 2 5 4" xfId="4885" xr:uid="{F09F27F2-E762-428B-8106-B562B4F18BF0}"/>
    <cellStyle name="Migliaia 7 2 5 4 2" xfId="12370" xr:uid="{FA355AC2-CF03-4869-8290-0320CF4B1F2D}"/>
    <cellStyle name="Migliaia 7 2 5 4 2 2" xfId="15916" xr:uid="{20258822-D262-47AB-B171-5A4E65A9ED49}"/>
    <cellStyle name="Migliaia 7 2 5 4 2 2 2" xfId="31093" xr:uid="{42DEC71A-4EC3-482F-956F-03DB8345F3B6}"/>
    <cellStyle name="Migliaia 7 2 5 4 2 3" xfId="27548" xr:uid="{0230F80A-4E1E-4AA6-B231-1034284D011A}"/>
    <cellStyle name="Migliaia 7 2 5 4 3" xfId="8196" xr:uid="{2E32CB5F-801D-4CBA-A9FC-E984D26A0034}"/>
    <cellStyle name="Migliaia 7 2 5 4 3 2" xfId="23376" xr:uid="{231D2EC7-F3AF-4B37-9367-B9F5A12A23D8}"/>
    <cellStyle name="Migliaia 7 2 5 4 4" xfId="20088" xr:uid="{D606BEAA-8C96-44B8-8DA7-74C0BA29658C}"/>
    <cellStyle name="Migliaia 7 2 5 5" xfId="8602" xr:uid="{19314F15-F9FB-4FFE-951A-AD58620B8845}"/>
    <cellStyle name="Migliaia 7 2 5 5 2" xfId="12775" xr:uid="{7D6268DC-A317-4FC8-90D3-DCC77917A120}"/>
    <cellStyle name="Migliaia 7 2 5 5 2 2" xfId="27952" xr:uid="{038BFAFF-7505-40AF-90AA-47462FBE8B2C}"/>
    <cellStyle name="Migliaia 7 2 5 5 3" xfId="23780" xr:uid="{C7A94CFD-79A8-4EEC-B572-8CD686DD340F}"/>
    <cellStyle name="Migliaia 7 2 5 6" xfId="16320" xr:uid="{17FC0261-F87E-4A06-9C00-62EA2CC3DB9B}"/>
    <cellStyle name="Migliaia 7 2 5 7" xfId="31540" xr:uid="{081810D8-7244-43C9-96B9-4FE5016B9DB1}"/>
    <cellStyle name="Migliaia 7 2 6" xfId="1178" xr:uid="{C104CC36-5E67-4B42-98AC-1841BCB68A0B}"/>
    <cellStyle name="Migliaia 7 2 6 2" xfId="2611" xr:uid="{9231DE61-8504-4BF3-B24F-7A0F6E3893F5}"/>
    <cellStyle name="Migliaia 7 2 6 2 2" xfId="10102" xr:uid="{7FE4DEE9-9EC2-4F3F-8467-2684C55E38E8}"/>
    <cellStyle name="Migliaia 7 2 6 2 2 2" xfId="13760" xr:uid="{B7BD074A-9C92-41AC-888C-35EEED28DE52}"/>
    <cellStyle name="Migliaia 7 2 6 2 2 2 2" xfId="28937" xr:uid="{BAC6D366-2C0A-43F7-A171-95D2B037B9AB}"/>
    <cellStyle name="Migliaia 7 2 6 2 2 3" xfId="25280" xr:uid="{A6B756F7-F7E2-465D-A626-ABE6ADDBAD92}"/>
    <cellStyle name="Migliaia 7 2 6 2 3" xfId="5928" xr:uid="{0587447B-FC43-466B-B9A7-50433BCAA217}"/>
    <cellStyle name="Migliaia 7 2 6 2 3 2" xfId="21108" xr:uid="{9BE15674-2531-4289-9FBD-E3AD69997929}"/>
    <cellStyle name="Migliaia 7 2 6 2 4" xfId="17820" xr:uid="{E34B6DA0-C6F6-46AD-8234-5062D7CBBE61}"/>
    <cellStyle name="Migliaia 7 2 6 3" xfId="3498" xr:uid="{D61061CE-AE42-472C-82C4-537B93A4D10A}"/>
    <cellStyle name="Migliaia 7 2 6 3 2" xfId="10986" xr:uid="{CEDE3313-BFFA-4C7E-9394-88A0E1DB617F}"/>
    <cellStyle name="Migliaia 7 2 6 3 2 2" xfId="14532" xr:uid="{57DBEE5A-C1C4-4AB7-A649-C9104AEDB154}"/>
    <cellStyle name="Migliaia 7 2 6 3 2 2 2" xfId="29709" xr:uid="{65AC0119-587C-472B-AB08-85D5CD9190DB}"/>
    <cellStyle name="Migliaia 7 2 6 3 2 3" xfId="26164" xr:uid="{D0A8FC98-0F0B-40A4-8E9F-90097C7664FE}"/>
    <cellStyle name="Migliaia 7 2 6 3 3" xfId="6812" xr:uid="{5C752067-96D2-4BD6-867C-307132B4FAF9}"/>
    <cellStyle name="Migliaia 7 2 6 3 3 2" xfId="21992" xr:uid="{71FB84A0-1CB6-47D9-AFE4-DAF9A136D38A}"/>
    <cellStyle name="Migliaia 7 2 6 3 4" xfId="18704" xr:uid="{0037D6AB-3C82-457B-A883-1ACD2645EA2B}"/>
    <cellStyle name="Migliaia 7 2 6 4" xfId="4886" xr:uid="{20C531DF-B9F0-4B2D-B376-5D1FCC1931AB}"/>
    <cellStyle name="Migliaia 7 2 6 4 2" xfId="12371" xr:uid="{B4E24BD3-159D-4972-8966-466A7ACECC59}"/>
    <cellStyle name="Migliaia 7 2 6 4 2 2" xfId="15917" xr:uid="{299FE582-735A-448B-9C36-E5AD6331DF58}"/>
    <cellStyle name="Migliaia 7 2 6 4 2 2 2" xfId="31094" xr:uid="{D4E224C3-BC1B-4D99-9561-C0E0E4E8D8F2}"/>
    <cellStyle name="Migliaia 7 2 6 4 2 3" xfId="27549" xr:uid="{ACA732C6-83DA-4CF6-9D5E-DC7416013445}"/>
    <cellStyle name="Migliaia 7 2 6 4 3" xfId="8197" xr:uid="{D11FB8EA-82B1-4D65-992B-8685005334CE}"/>
    <cellStyle name="Migliaia 7 2 6 4 3 2" xfId="23377" xr:uid="{96D171CC-5EEA-401B-9011-877F6D09909F}"/>
    <cellStyle name="Migliaia 7 2 6 4 4" xfId="20089" xr:uid="{6B57B4CA-7E6C-46C3-BBBB-485009B6F705}"/>
    <cellStyle name="Migliaia 7 2 6 5" xfId="8704" xr:uid="{282E8621-659C-4D59-9D0F-46F82E48D83D}"/>
    <cellStyle name="Migliaia 7 2 6 5 2" xfId="12877" xr:uid="{AAEFE8B6-F099-4CA2-B671-FD5123B0C32F}"/>
    <cellStyle name="Migliaia 7 2 6 5 2 2" xfId="28054" xr:uid="{F3CBC9A2-DBD4-4802-82A8-8747C5DCAE63}"/>
    <cellStyle name="Migliaia 7 2 6 5 3" xfId="23882" xr:uid="{D6678BF3-E7A6-4889-A5B6-5D1B88FD72F4}"/>
    <cellStyle name="Migliaia 7 2 6 6" xfId="16422" xr:uid="{F4AE3619-74A8-4D9D-92D3-86AA6435C85C}"/>
    <cellStyle name="Migliaia 7 2 7" xfId="1204" xr:uid="{A01F17AF-25A6-4263-941E-BA74D1C4B74A}"/>
    <cellStyle name="Migliaia 7 2 7 2" xfId="2635" xr:uid="{11585B5F-7166-4B19-BB12-EEFA7999AB8D}"/>
    <cellStyle name="Migliaia 7 2 7 2 2" xfId="10126" xr:uid="{F04608B6-4EC1-4B73-87AC-84DF9923F942}"/>
    <cellStyle name="Migliaia 7 2 7 2 2 2" xfId="13784" xr:uid="{0C9B15DD-A432-4F07-A3D1-9B2DEFD9C247}"/>
    <cellStyle name="Migliaia 7 2 7 2 2 2 2" xfId="28961" xr:uid="{964BFC45-7B77-40CC-A2EF-A6081A1C4D92}"/>
    <cellStyle name="Migliaia 7 2 7 2 2 3" xfId="25304" xr:uid="{C095DDA7-0CB3-4666-846D-E0EA08E511CA}"/>
    <cellStyle name="Migliaia 7 2 7 2 3" xfId="5952" xr:uid="{F64DCBD0-AB8B-4B59-B9D7-BA9B986B24AE}"/>
    <cellStyle name="Migliaia 7 2 7 2 3 2" xfId="21132" xr:uid="{FE24A311-84CB-4EF4-A15E-A97C4FA87274}"/>
    <cellStyle name="Migliaia 7 2 7 2 4" xfId="17844" xr:uid="{69E8C3F6-7615-416A-A2D0-1CD18B46DAA7}"/>
    <cellStyle name="Migliaia 7 2 7 3" xfId="3522" xr:uid="{E8DBC30E-7BA7-4B51-8357-EA7A2A8C328C}"/>
    <cellStyle name="Migliaia 7 2 7 3 2" xfId="11010" xr:uid="{7622FAE5-27F3-4F52-83B7-4A5AB6584CE8}"/>
    <cellStyle name="Migliaia 7 2 7 3 2 2" xfId="14556" xr:uid="{B6ECCE48-A7A1-4850-8242-071C07E004B6}"/>
    <cellStyle name="Migliaia 7 2 7 3 2 2 2" xfId="29733" xr:uid="{1135BBCE-044C-48A8-A477-8F89C113BBCA}"/>
    <cellStyle name="Migliaia 7 2 7 3 2 3" xfId="26188" xr:uid="{865E510E-5728-40C3-A214-A2D21F1D0EFD}"/>
    <cellStyle name="Migliaia 7 2 7 3 3" xfId="6836" xr:uid="{37163FC3-209A-4E44-AA28-D6629CB6E597}"/>
    <cellStyle name="Migliaia 7 2 7 3 3 2" xfId="22016" xr:uid="{FFB78D97-AAEE-4E2B-8B12-FDCB0733A4DD}"/>
    <cellStyle name="Migliaia 7 2 7 3 4" xfId="18728" xr:uid="{5C86443F-3B9D-4E7F-8607-7C1828447707}"/>
    <cellStyle name="Migliaia 7 2 7 4" xfId="4887" xr:uid="{B6447DDF-6121-4484-82A8-5563D8FE54CE}"/>
    <cellStyle name="Migliaia 7 2 7 4 2" xfId="12372" xr:uid="{A2D741C2-E2A5-430D-904E-3B1CC465D3D3}"/>
    <cellStyle name="Migliaia 7 2 7 4 2 2" xfId="15918" xr:uid="{E2889B0D-6372-4225-AD10-C9994E8E40D5}"/>
    <cellStyle name="Migliaia 7 2 7 4 2 2 2" xfId="31095" xr:uid="{A3E34502-70DF-4471-956F-C02A32C91823}"/>
    <cellStyle name="Migliaia 7 2 7 4 2 3" xfId="27550" xr:uid="{1233AA7A-7922-4102-8686-233DFCFC156D}"/>
    <cellStyle name="Migliaia 7 2 7 4 3" xfId="8198" xr:uid="{D4C463B0-153E-4EA6-9FF9-6F8466A64388}"/>
    <cellStyle name="Migliaia 7 2 7 4 3 2" xfId="23378" xr:uid="{8F463BB5-C7A5-439B-A1AB-52DE9A52D080}"/>
    <cellStyle name="Migliaia 7 2 7 4 4" xfId="20090" xr:uid="{4D3D62DD-6660-46AA-9C8F-1C6326033209}"/>
    <cellStyle name="Migliaia 7 2 7 5" xfId="8728" xr:uid="{96A40284-E572-4F68-97B6-9374011C82F9}"/>
    <cellStyle name="Migliaia 7 2 7 5 2" xfId="12901" xr:uid="{9C64021E-694C-4796-8C5B-25020868C7D0}"/>
    <cellStyle name="Migliaia 7 2 7 5 2 2" xfId="28078" xr:uid="{3103DA70-46E3-46CF-99B3-4D89F5CAFF53}"/>
    <cellStyle name="Migliaia 7 2 7 5 3" xfId="23906" xr:uid="{793EE493-9B82-4739-BC01-0DFDDB0CA3F7}"/>
    <cellStyle name="Migliaia 7 2 7 6" xfId="16446" xr:uid="{3DBF054A-8707-42D3-A570-1C54849EF02A}"/>
    <cellStyle name="Migliaia 7 2 8" xfId="1253" xr:uid="{27FE67E7-8494-45A7-A18A-D28ED757ED54}"/>
    <cellStyle name="Migliaia 7 2 8 10" xfId="31312" xr:uid="{34B13AC9-2B71-42FA-8D7B-069C31893197}"/>
    <cellStyle name="Migliaia 7 2 8 2" xfId="2683" xr:uid="{F2C0EC8A-649C-493A-8A23-68454766D1FB}"/>
    <cellStyle name="Migliaia 7 2 8 2 2" xfId="10174" xr:uid="{06B8F538-76A6-4BCE-B8A7-AB142C13BB97}"/>
    <cellStyle name="Migliaia 7 2 8 2 2 2" xfId="13818" xr:uid="{028E1E47-A1C6-4E8A-B393-DE68B40EE6A8}"/>
    <cellStyle name="Migliaia 7 2 8 2 2 2 2" xfId="28995" xr:uid="{F5BF3A0B-DFED-4C2D-90C6-FCD7CAADB890}"/>
    <cellStyle name="Migliaia 7 2 8 2 2 3" xfId="25352" xr:uid="{0B6065DF-5A19-4851-85E3-93B71F0B1705}"/>
    <cellStyle name="Migliaia 7 2 8 2 3" xfId="6000" xr:uid="{49470ACB-401F-448E-83A6-7264D04CB406}"/>
    <cellStyle name="Migliaia 7 2 8 2 3 2" xfId="21180" xr:uid="{049711DA-52BF-4548-92C0-F4023AB2B479}"/>
    <cellStyle name="Migliaia 7 2 8 2 4" xfId="17892" xr:uid="{ADDFDFE7-A349-4FB1-9B1D-6A2C57BD4C51}"/>
    <cellStyle name="Migliaia 7 2 8 3" xfId="3570" xr:uid="{76D93F06-93F2-456C-8919-40CE73AC5C23}"/>
    <cellStyle name="Migliaia 7 2 8 3 2" xfId="11058" xr:uid="{4F2BF268-7D0C-4682-8732-07BB30774C0A}"/>
    <cellStyle name="Migliaia 7 2 8 3 2 2" xfId="14604" xr:uid="{B26A76D5-5AAE-4E33-9727-49D2E1D22051}"/>
    <cellStyle name="Migliaia 7 2 8 3 2 2 2" xfId="29781" xr:uid="{8237F6CA-92C6-4F83-A954-A4DDC8F2262C}"/>
    <cellStyle name="Migliaia 7 2 8 3 2 3" xfId="26236" xr:uid="{04CFA1DB-4BF2-4D10-8DE3-1BA30A454304}"/>
    <cellStyle name="Migliaia 7 2 8 3 3" xfId="6884" xr:uid="{13D53CEF-34FD-4A6D-9418-FAC882AA4773}"/>
    <cellStyle name="Migliaia 7 2 8 3 3 2" xfId="22064" xr:uid="{66C49FEC-CB0B-45BB-BD7E-3C6DD30E70A4}"/>
    <cellStyle name="Migliaia 7 2 8 3 4" xfId="18776" xr:uid="{E69A459E-07D8-4D93-8378-8DBD9E114C61}"/>
    <cellStyle name="Migliaia 7 2 8 4" xfId="4888" xr:uid="{6046324B-CBF1-4632-BCBA-A9608714B08F}"/>
    <cellStyle name="Migliaia 7 2 8 4 2" xfId="12373" xr:uid="{A54D6FE3-15A7-4694-8C1A-8E4742939537}"/>
    <cellStyle name="Migliaia 7 2 8 4 2 2" xfId="15919" xr:uid="{278A91B9-A8AE-4B9C-A5D6-FC45E770DADA}"/>
    <cellStyle name="Migliaia 7 2 8 4 2 2 2" xfId="31096" xr:uid="{DA3340E1-3854-46D0-B527-05E8B47106C6}"/>
    <cellStyle name="Migliaia 7 2 8 4 2 3" xfId="27551" xr:uid="{E8D7D671-9D6E-44D1-8A5A-4BAC043382CC}"/>
    <cellStyle name="Migliaia 7 2 8 4 3" xfId="8199" xr:uid="{891D8CD6-E0E0-4BBA-A9FD-71ED7700FAAC}"/>
    <cellStyle name="Migliaia 7 2 8 4 3 2" xfId="23379" xr:uid="{2DA6DEED-7D25-4B7A-AEA3-D3336BDD4D1C}"/>
    <cellStyle name="Migliaia 7 2 8 4 4" xfId="20091" xr:uid="{8653AA25-A429-4A88-8B6B-12B66C66AAF4}"/>
    <cellStyle name="Migliaia 7 2 8 5" xfId="4972" xr:uid="{7DD116C4-8984-40E6-AB67-CDE19E195047}"/>
    <cellStyle name="Migliaia 7 2 8 5 2" xfId="12456" xr:uid="{3903B157-5BA1-4EDA-B8E5-900210860537}"/>
    <cellStyle name="Migliaia 7 2 8 5 2 2" xfId="16002" xr:uid="{9CCA6AEA-292B-4DF6-BA43-2D4DF65165AC}"/>
    <cellStyle name="Migliaia 7 2 8 5 2 2 2" xfId="31179" xr:uid="{83A9A57B-F90F-48CE-8364-2BE60F2A8F18}"/>
    <cellStyle name="Migliaia 7 2 8 5 2 3" xfId="27634" xr:uid="{73B529A7-AE43-4037-BD20-931B52373E91}"/>
    <cellStyle name="Migliaia 7 2 8 5 3" xfId="8282" xr:uid="{E7C72902-9F9A-452A-AD2C-93EB67F4B7E8}"/>
    <cellStyle name="Migliaia 7 2 8 5 3 2" xfId="23462" xr:uid="{FC9DDD3B-1331-488B-BDE9-0FD268482473}"/>
    <cellStyle name="Migliaia 7 2 8 5 4" xfId="20174" xr:uid="{96BDE9CD-53F8-4722-8853-4D2838875A67}"/>
    <cellStyle name="Migliaia 7 2 8 6" xfId="1793" xr:uid="{CED3AF63-08AC-4903-A0D6-E48E0A92386C}"/>
    <cellStyle name="Migliaia 7 2 8 6 2" xfId="9290" xr:uid="{038F3415-A36A-4C7F-BAD3-C095C7D21719}"/>
    <cellStyle name="Migliaia 7 2 8 6 2 2" xfId="24468" xr:uid="{BF70E36B-D908-4ACD-96BB-BAE9D2569EB7}"/>
    <cellStyle name="Migliaia 7 2 8 6 3" xfId="17008" xr:uid="{E1390FCE-2EB2-476D-B0F6-325D59C5245D}"/>
    <cellStyle name="Migliaia 7 2 8 7" xfId="8776" xr:uid="{D73E7B92-9BB0-4331-B584-23E2A9F27608}"/>
    <cellStyle name="Migliaia 7 2 8 7 2" xfId="12949" xr:uid="{9E0B826F-24C3-4CE9-84FD-EB957C2CE442}"/>
    <cellStyle name="Migliaia 7 2 8 7 2 2" xfId="28126" xr:uid="{7A024DC7-3D85-4099-9021-7A3132291525}"/>
    <cellStyle name="Migliaia 7 2 8 7 3" xfId="23954" xr:uid="{7F4ACAC3-F8DC-41A3-8FD3-4E2A1B7A0995}"/>
    <cellStyle name="Migliaia 7 2 8 8" xfId="5116" xr:uid="{5D336BCA-B1D5-4E0D-999F-DDA5EAA51656}"/>
    <cellStyle name="Migliaia 7 2 8 8 2" xfId="20296" xr:uid="{8F10B86B-0234-46FC-9F99-52F817B3CC77}"/>
    <cellStyle name="Migliaia 7 2 8 9" xfId="16494" xr:uid="{9CFD90B8-6C3B-4424-954E-FF53E1A6319A}"/>
    <cellStyle name="Migliaia 7 2 9" xfId="1355" xr:uid="{A550F24E-9120-40A7-A48C-883955863AA1}"/>
    <cellStyle name="Migliaia 7 2 9 2" xfId="2781" xr:uid="{2459001B-6EF0-484D-966F-340E3C0B0440}"/>
    <cellStyle name="Migliaia 7 2 9 2 2" xfId="10272" xr:uid="{C96A633A-27C5-4F7C-972F-A84AD98835B7}"/>
    <cellStyle name="Migliaia 7 2 9 2 2 2" xfId="13867" xr:uid="{844E6B48-D0A2-4B93-841F-536CA14E2771}"/>
    <cellStyle name="Migliaia 7 2 9 2 2 2 2" xfId="29044" xr:uid="{4F5F59EB-92B0-4C1D-AF8F-493EDC1CFB90}"/>
    <cellStyle name="Migliaia 7 2 9 2 2 3" xfId="25450" xr:uid="{9B0C01F6-ACD6-4493-8CC1-4AF5BB464E8C}"/>
    <cellStyle name="Migliaia 7 2 9 2 3" xfId="6098" xr:uid="{83565D55-C096-4BC1-AE9A-FBDD1299EB89}"/>
    <cellStyle name="Migliaia 7 2 9 2 3 2" xfId="21278" xr:uid="{2927C4E6-B916-4D82-9A47-B5204F5B3578}"/>
    <cellStyle name="Migliaia 7 2 9 2 4" xfId="17990" xr:uid="{FD7C8B86-20B9-4A68-B5E1-F9977669F1C0}"/>
    <cellStyle name="Migliaia 7 2 9 3" xfId="3668" xr:uid="{65B5D934-FE25-4D62-9FA0-822C62E1B93F}"/>
    <cellStyle name="Migliaia 7 2 9 3 2" xfId="11156" xr:uid="{1FC426D5-E8B6-4D7C-A039-C3FA101EA519}"/>
    <cellStyle name="Migliaia 7 2 9 3 2 2" xfId="14702" xr:uid="{2B13EC5B-D916-4C60-B6DE-62F4028A4998}"/>
    <cellStyle name="Migliaia 7 2 9 3 2 2 2" xfId="29879" xr:uid="{4697384E-31A0-4BC4-9F0E-14887450F105}"/>
    <cellStyle name="Migliaia 7 2 9 3 2 3" xfId="26334" xr:uid="{7A883F96-6233-4202-9F18-C8D045D05588}"/>
    <cellStyle name="Migliaia 7 2 9 3 3" xfId="6982" xr:uid="{3D8202E1-75B6-4B41-9965-92260860156A}"/>
    <cellStyle name="Migliaia 7 2 9 3 3 2" xfId="22162" xr:uid="{387AA7D2-F108-4066-BFFF-16C25D1ABE45}"/>
    <cellStyle name="Migliaia 7 2 9 3 4" xfId="18874" xr:uid="{4955CC04-74C6-4E58-8BEC-E1666A76FD59}"/>
    <cellStyle name="Migliaia 7 2 9 4" xfId="4889" xr:uid="{A4C796F3-520E-4267-8B43-3EEB5D3DE8C4}"/>
    <cellStyle name="Migliaia 7 2 9 4 2" xfId="12374" xr:uid="{28F2BCDD-FAA8-4453-98DD-F28A35FE4662}"/>
    <cellStyle name="Migliaia 7 2 9 4 2 2" xfId="15920" xr:uid="{03E09D3A-CDBB-4238-A8C6-1897B3D8CC90}"/>
    <cellStyle name="Migliaia 7 2 9 4 2 2 2" xfId="31097" xr:uid="{BB44AE5F-AA21-425C-8E57-93A807AD7802}"/>
    <cellStyle name="Migliaia 7 2 9 4 2 3" xfId="27552" xr:uid="{5634927E-E037-403E-B417-F5C1E6A6DD17}"/>
    <cellStyle name="Migliaia 7 2 9 4 3" xfId="8200" xr:uid="{A2B8504B-081C-41CB-B8E2-2EAA46D9B765}"/>
    <cellStyle name="Migliaia 7 2 9 4 3 2" xfId="23380" xr:uid="{843C93D9-185A-47B7-A66D-38DFB66B4AD8}"/>
    <cellStyle name="Migliaia 7 2 9 4 4" xfId="20092" xr:uid="{3F34C18A-4108-4B4E-91CD-C12FC69780F9}"/>
    <cellStyle name="Migliaia 7 2 9 5" xfId="1891" xr:uid="{DCDB0221-E93E-4A09-ACBB-081A1D1AA719}"/>
    <cellStyle name="Migliaia 7 2 9 5 2" xfId="9388" xr:uid="{CEFEDDE5-F4F2-4312-B655-5A76245BD965}"/>
    <cellStyle name="Migliaia 7 2 9 5 2 2" xfId="24566" xr:uid="{CB2F3870-685E-4640-95C3-8E27DC67A94E}"/>
    <cellStyle name="Migliaia 7 2 9 5 3" xfId="17106" xr:uid="{B15795EB-FACE-41B1-BD6C-555AAF44309D}"/>
    <cellStyle name="Migliaia 7 2 9 6" xfId="8874" xr:uid="{E813072C-F517-4F20-A57A-391D2EBE41E6}"/>
    <cellStyle name="Migliaia 7 2 9 6 2" xfId="13047" xr:uid="{8CB54627-7EF5-481A-BB0F-70C8ABD564A6}"/>
    <cellStyle name="Migliaia 7 2 9 6 2 2" xfId="28224" xr:uid="{B132091A-B290-42CA-A3CB-151762DF34E9}"/>
    <cellStyle name="Migliaia 7 2 9 6 3" xfId="24052" xr:uid="{455B0D97-BA67-424A-949B-964FA3B1ADBA}"/>
    <cellStyle name="Migliaia 7 2 9 7" xfId="5214" xr:uid="{390B78A5-61B3-4112-AA93-8207D5F0B553}"/>
    <cellStyle name="Migliaia 7 2 9 7 2" xfId="20394" xr:uid="{1C105F19-4B77-4CDC-8FFE-1221B6AE2E4B}"/>
    <cellStyle name="Migliaia 7 2 9 8" xfId="16592" xr:uid="{19783E22-07F5-4535-87F1-A8D09902C8A2}"/>
    <cellStyle name="Migliaia 7 3" xfId="575" xr:uid="{B85AB1B7-F3CF-4764-8432-BFABA9E0CE69}"/>
    <cellStyle name="Migliaia 7 3 10" xfId="16198" xr:uid="{47CD05A3-D607-4422-8771-C760238E7E3A}"/>
    <cellStyle name="Migliaia 7 3 11" xfId="31288" xr:uid="{32D55388-6890-4C5D-8991-F951732965E1}"/>
    <cellStyle name="Migliaia 7 3 12" xfId="31638" xr:uid="{8CE42752-711E-4530-AE6D-AAC16CF81524}"/>
    <cellStyle name="Migliaia 7 3 13" xfId="866" xr:uid="{A9DF19F0-37B7-4B40-82F7-6CE46DC98C4C}"/>
    <cellStyle name="Migliaia 7 3 2" xfId="1229" xr:uid="{4C010AEE-6E87-4AD0-B084-C4B2B121A8E3}"/>
    <cellStyle name="Migliaia 7 3 2 2" xfId="3546" xr:uid="{9808CA3F-EB14-4B92-A90F-9359376E6129}"/>
    <cellStyle name="Migliaia 7 3 2 2 2" xfId="11034" xr:uid="{A2EB3B54-18CB-4817-8C7C-0E550D4E709A}"/>
    <cellStyle name="Migliaia 7 3 2 2 2 2" xfId="14580" xr:uid="{138EF527-E9DF-4F3F-A838-9677CA519AC8}"/>
    <cellStyle name="Migliaia 7 3 2 2 2 2 2" xfId="29757" xr:uid="{3CAE329D-A404-4D16-A957-251C3A323ADD}"/>
    <cellStyle name="Migliaia 7 3 2 2 2 3" xfId="26212" xr:uid="{878D158A-3B55-4534-856B-B7EF71B77B49}"/>
    <cellStyle name="Migliaia 7 3 2 2 3" xfId="6860" xr:uid="{8B327FB9-06F2-49D1-A685-1D29361E6F97}"/>
    <cellStyle name="Migliaia 7 3 2 2 3 2" xfId="22040" xr:uid="{CDE65CE1-8B92-465B-A24E-54744D846206}"/>
    <cellStyle name="Migliaia 7 3 2 2 4" xfId="18752" xr:uid="{D02A2DEB-5C67-46CC-BE74-FA0E49614339}"/>
    <cellStyle name="Migliaia 7 3 2 3" xfId="4890" xr:uid="{575D06B9-EAD4-4784-B791-FCC56A7A3FA2}"/>
    <cellStyle name="Migliaia 7 3 2 3 2" xfId="12375" xr:uid="{0B3FFA5D-9C6A-434F-A9AF-3192551EB85B}"/>
    <cellStyle name="Migliaia 7 3 2 3 2 2" xfId="15921" xr:uid="{179A087A-E57E-473F-AE10-CEE34C134D26}"/>
    <cellStyle name="Migliaia 7 3 2 3 2 2 2" xfId="31098" xr:uid="{AF976421-8CCC-4A4C-A0BA-EF881A5218E5}"/>
    <cellStyle name="Migliaia 7 3 2 3 2 3" xfId="27553" xr:uid="{D2AB8A80-F4A3-4AC6-B11F-AA5BFEBFF6B3}"/>
    <cellStyle name="Migliaia 7 3 2 3 3" xfId="8201" xr:uid="{FAC250C5-2FA0-48B8-BA79-F5B7787B4A1E}"/>
    <cellStyle name="Migliaia 7 3 2 3 3 2" xfId="23381" xr:uid="{0FDBF8B8-6F2E-4264-AC5C-B421AC803D1D}"/>
    <cellStyle name="Migliaia 7 3 2 3 4" xfId="20093" xr:uid="{8785DC38-7D40-459F-B922-EA4750655D09}"/>
    <cellStyle name="Migliaia 7 3 2 4" xfId="2659" xr:uid="{9330BEDB-7F90-43D9-8B32-323401A95FB1}"/>
    <cellStyle name="Migliaia 7 3 2 4 2" xfId="10150" xr:uid="{FF0CD9FD-A2FB-4AAB-8964-C89803A89B9B}"/>
    <cellStyle name="Migliaia 7 3 2 4 2 2" xfId="25328" xr:uid="{6116E4A3-8B39-4979-9018-049B6ED1459E}"/>
    <cellStyle name="Migliaia 7 3 2 4 3" xfId="17868" xr:uid="{32BCAB5C-E7BD-428E-BBA8-71FBF842D93C}"/>
    <cellStyle name="Migliaia 7 3 2 5" xfId="8752" xr:uid="{E3F1B6E3-CC25-4A87-B4B6-4311DD1AC75F}"/>
    <cellStyle name="Migliaia 7 3 2 5 2" xfId="12925" xr:uid="{6D5B1C1A-C2EC-4E59-8A75-2EC95C0AFE4B}"/>
    <cellStyle name="Migliaia 7 3 2 5 2 2" xfId="28102" xr:uid="{3B406004-72B6-46EB-A530-9E7A68223A49}"/>
    <cellStyle name="Migliaia 7 3 2 5 3" xfId="23930" xr:uid="{97A0814D-2803-4E27-87F3-DCEE32DE1D32}"/>
    <cellStyle name="Migliaia 7 3 2 6" xfId="5976" xr:uid="{E98417CD-93B8-4172-8C3C-E88312B5EB40}"/>
    <cellStyle name="Migliaia 7 3 2 6 2" xfId="21156" xr:uid="{5644B677-AC0A-4F60-9785-19196BA4E13B}"/>
    <cellStyle name="Migliaia 7 3 2 7" xfId="16470" xr:uid="{2D22196D-BAC2-4043-83F0-C93C4EB0F1EA}"/>
    <cellStyle name="Migliaia 7 3 3" xfId="2384" xr:uid="{0E4DC439-C92D-4C9F-836F-1B9EF8A46DA4}"/>
    <cellStyle name="Migliaia 7 3 3 2" xfId="9878" xr:uid="{ED1E7217-1F34-4E35-8BE5-1767B04D94B7}"/>
    <cellStyle name="Migliaia 7 3 3 2 2" xfId="13537" xr:uid="{763A2BEF-FA0D-49E5-B30C-C3577CD7FCC7}"/>
    <cellStyle name="Migliaia 7 3 3 2 2 2" xfId="28714" xr:uid="{5C8A487C-D3F3-475E-87D1-076742F6B1F4}"/>
    <cellStyle name="Migliaia 7 3 3 2 3" xfId="25056" xr:uid="{98C3EE0B-9381-4063-99F8-A3DF6C979D10}"/>
    <cellStyle name="Migliaia 7 3 3 3" xfId="5704" xr:uid="{5CB4B534-4ADF-4F8B-8719-0752F5DA23F0}"/>
    <cellStyle name="Migliaia 7 3 3 3 2" xfId="20884" xr:uid="{B630FE60-4CD2-488C-BB3E-12A94BB5C122}"/>
    <cellStyle name="Migliaia 7 3 3 4" xfId="17596" xr:uid="{D19104A6-5F48-4F91-8485-2D4CF2EAF76F}"/>
    <cellStyle name="Migliaia 7 3 4" xfId="3274" xr:uid="{867062F1-BF88-404A-8C00-9368F22FC74E}"/>
    <cellStyle name="Migliaia 7 3 4 2" xfId="10762" xr:uid="{2AC05E13-62CB-4697-93B4-247C996FF882}"/>
    <cellStyle name="Migliaia 7 3 4 2 2" xfId="14308" xr:uid="{4A7F8211-C5E3-4F0E-9D08-7A0F7DBE1499}"/>
    <cellStyle name="Migliaia 7 3 4 2 2 2" xfId="29485" xr:uid="{8AC369C2-F5E2-4F18-86F6-CD8049C4E7E1}"/>
    <cellStyle name="Migliaia 7 3 4 2 3" xfId="25940" xr:uid="{3CDC83D5-CF89-4422-9A52-98D45E5C04B5}"/>
    <cellStyle name="Migliaia 7 3 4 3" xfId="6588" xr:uid="{C68B019D-77EF-4D3C-847D-3577454530D9}"/>
    <cellStyle name="Migliaia 7 3 4 3 2" xfId="21768" xr:uid="{A0F3A361-9CE1-4551-AE5C-25BB70062DAD}"/>
    <cellStyle name="Migliaia 7 3 4 4" xfId="18480" xr:uid="{7481C86B-D346-4F48-B2A0-EC9C710BEB5B}"/>
    <cellStyle name="Migliaia 7 3 5" xfId="4891" xr:uid="{2D4A6A0B-249C-4505-BACC-1301F8A444F0}"/>
    <cellStyle name="Migliaia 7 3 5 2" xfId="12376" xr:uid="{A809F9C6-B578-46FC-B5CB-1F5B6F1DFAE4}"/>
    <cellStyle name="Migliaia 7 3 5 2 2" xfId="15922" xr:uid="{758A5B57-D9EE-4D31-AB4D-4BED73B1270D}"/>
    <cellStyle name="Migliaia 7 3 5 2 2 2" xfId="31099" xr:uid="{35FC46D5-BD45-4930-85CB-EFADF17F5BB5}"/>
    <cellStyle name="Migliaia 7 3 5 2 3" xfId="27554" xr:uid="{FFAF88DD-F6BC-4ADD-881E-4DE29E3959D3}"/>
    <cellStyle name="Migliaia 7 3 5 3" xfId="8202" xr:uid="{6015F514-C9C8-407F-95D1-107F386577DE}"/>
    <cellStyle name="Migliaia 7 3 5 3 2" xfId="23382" xr:uid="{077DBA76-7E55-49DE-979C-F64DD4B2E753}"/>
    <cellStyle name="Migliaia 7 3 5 4" xfId="20094" xr:uid="{2E8AFBEA-9519-4C24-B656-DCC5F2324AAC}"/>
    <cellStyle name="Migliaia 7 3 6" xfId="4948" xr:uid="{390A14D3-342A-4ED0-B8A7-3D6450E47210}"/>
    <cellStyle name="Migliaia 7 3 6 2" xfId="12432" xr:uid="{54065DBD-E18A-4462-BE6B-A7C2C7360DBD}"/>
    <cellStyle name="Migliaia 7 3 6 2 2" xfId="15978" xr:uid="{71C92224-2541-466D-915F-09B54124B0DB}"/>
    <cellStyle name="Migliaia 7 3 6 2 2 2" xfId="31155" xr:uid="{AEF83EC8-B525-4ADC-82F5-3AACFA294E85}"/>
    <cellStyle name="Migliaia 7 3 6 2 3" xfId="27610" xr:uid="{3C475614-086A-42A3-A614-CD8BDADF5150}"/>
    <cellStyle name="Migliaia 7 3 6 3" xfId="8258" xr:uid="{CFE5BB5B-A87F-4721-836E-315CF6768B09}"/>
    <cellStyle name="Migliaia 7 3 6 3 2" xfId="23438" xr:uid="{E2A17C39-2819-4684-B645-D8B4DD1D6C62}"/>
    <cellStyle name="Migliaia 7 3 6 4" xfId="20150" xr:uid="{3A9FC5F8-25AB-4508-9ED5-70FDB6D7472E}"/>
    <cellStyle name="Migliaia 7 3 7" xfId="1769" xr:uid="{A5EC4824-A87F-462B-B837-F1A0316DE56D}"/>
    <cellStyle name="Migliaia 7 3 7 2" xfId="9266" xr:uid="{E4AA12F1-FAE0-46A0-B222-0DA268E06A1C}"/>
    <cellStyle name="Migliaia 7 3 7 2 2" xfId="24444" xr:uid="{78D9BFFF-5C44-4A0E-908C-B512FAE380EE}"/>
    <cellStyle name="Migliaia 7 3 7 3" xfId="16984" xr:uid="{4E73E905-BB58-465A-817D-A001FF63934D}"/>
    <cellStyle name="Migliaia 7 3 8" xfId="8480" xr:uid="{97C65C8C-32E7-491C-A9DC-EBBD5EB545D5}"/>
    <cellStyle name="Migliaia 7 3 8 2" xfId="12653" xr:uid="{A0CC6580-C0C1-4B5B-A666-AD2FFCBB8149}"/>
    <cellStyle name="Migliaia 7 3 8 2 2" xfId="27830" xr:uid="{5C71C6A5-F408-4617-B37E-A74D508DCD0F}"/>
    <cellStyle name="Migliaia 7 3 8 3" xfId="23658" xr:uid="{59A5BDD4-A5D9-4FF7-A536-CD7F1E080ED3}"/>
    <cellStyle name="Migliaia 7 3 9" xfId="5092" xr:uid="{5FC5647E-6D97-418F-8D21-E4322969311B}"/>
    <cellStyle name="Migliaia 7 3 9 2" xfId="20272" xr:uid="{15D2FE20-814F-4637-AED7-6910294680F0}"/>
    <cellStyle name="Migliaia 7 4" xfId="31418" xr:uid="{EF1A4703-914F-4AD1-AD9B-2B1CBCAF6498}"/>
    <cellStyle name="Migliaia 7 5" xfId="626" xr:uid="{218D7785-0F43-4FCF-89B3-788995306469}"/>
    <cellStyle name="Migliaia 8" xfId="291" xr:uid="{A0F65E7E-C7ED-4C3F-89C5-C411F2612F56}"/>
    <cellStyle name="Migliaia 8 2" xfId="480" xr:uid="{C7DC6AAE-CDBE-4D50-8D90-385270C5DB90}"/>
    <cellStyle name="Migliaia 8 2 10" xfId="1447" xr:uid="{995F7ED8-317D-4080-AD2F-1ACB033D713B}"/>
    <cellStyle name="Migliaia 8 2 10 2" xfId="2872" xr:uid="{0028C25A-D513-4F55-8C82-0BAB671DD584}"/>
    <cellStyle name="Migliaia 8 2 10 2 2" xfId="10363" xr:uid="{F7B5B526-3978-4DAD-9491-F1EB8D5A9D52}"/>
    <cellStyle name="Migliaia 8 2 10 2 2 2" xfId="13909" xr:uid="{8C75125E-541F-4518-9228-DDF6D0EB1E18}"/>
    <cellStyle name="Migliaia 8 2 10 2 2 2 2" xfId="29086" xr:uid="{9FC633D6-5034-4FEB-9F06-335E25725CAB}"/>
    <cellStyle name="Migliaia 8 2 10 2 2 3" xfId="25541" xr:uid="{0CDB043A-7FAA-4052-B3F4-36030C24374A}"/>
    <cellStyle name="Migliaia 8 2 10 2 3" xfId="6189" xr:uid="{72D76442-AFB4-4398-8FE5-893033914D89}"/>
    <cellStyle name="Migliaia 8 2 10 2 3 2" xfId="21369" xr:uid="{BA503C93-6BED-4080-B920-A2D5C811C3DE}"/>
    <cellStyle name="Migliaia 8 2 10 2 4" xfId="18081" xr:uid="{4946B34A-8E1A-4F89-A287-A95A2E4495CE}"/>
    <cellStyle name="Migliaia 8 2 10 3" xfId="3759" xr:uid="{E541C7E2-06CB-4764-A219-1CF7D12EBA7E}"/>
    <cellStyle name="Migliaia 8 2 10 3 2" xfId="11247" xr:uid="{A65F9B87-DE4A-417A-890D-E55813D36507}"/>
    <cellStyle name="Migliaia 8 2 10 3 2 2" xfId="14793" xr:uid="{83596EE1-8F0A-466A-9E20-7D739E33F741}"/>
    <cellStyle name="Migliaia 8 2 10 3 2 2 2" xfId="29970" xr:uid="{6DC13C71-6739-4C4E-A6F2-FD201108A641}"/>
    <cellStyle name="Migliaia 8 2 10 3 2 3" xfId="26425" xr:uid="{7498C32B-2A5A-472B-8BF9-C2A9A6647535}"/>
    <cellStyle name="Migliaia 8 2 10 3 3" xfId="7073" xr:uid="{9927CCA0-9E5E-424D-B66C-276853C64B21}"/>
    <cellStyle name="Migliaia 8 2 10 3 3 2" xfId="22253" xr:uid="{2C68A196-9428-48EC-AFA0-F7935A937FB8}"/>
    <cellStyle name="Migliaia 8 2 10 3 4" xfId="18965" xr:uid="{939DE97B-F59D-40F7-BF75-0B543F701EAB}"/>
    <cellStyle name="Migliaia 8 2 10 4" xfId="4892" xr:uid="{0DEEB7A5-327D-416C-8318-87F32A8F277B}"/>
    <cellStyle name="Migliaia 8 2 10 4 2" xfId="12377" xr:uid="{251266CC-20C7-4E0D-BE13-506DC4D583E2}"/>
    <cellStyle name="Migliaia 8 2 10 4 2 2" xfId="15923" xr:uid="{F5052389-A9E5-4DCC-8518-26CEF188C518}"/>
    <cellStyle name="Migliaia 8 2 10 4 2 2 2" xfId="31100" xr:uid="{B4F30E97-BB07-4F7C-A55D-6359F0922F22}"/>
    <cellStyle name="Migliaia 8 2 10 4 2 3" xfId="27555" xr:uid="{3E5B71FE-CA4D-4A69-91BB-B90C434CEF61}"/>
    <cellStyle name="Migliaia 8 2 10 4 3" xfId="8203" xr:uid="{85D092A7-38B5-4AB1-BBB9-0A944A5768B2}"/>
    <cellStyle name="Migliaia 8 2 10 4 3 2" xfId="23383" xr:uid="{7C518354-2468-4A22-882D-62B75F11F89F}"/>
    <cellStyle name="Migliaia 8 2 10 4 4" xfId="20095" xr:uid="{3A5F2226-2C9B-4A1D-8451-20E111DD02FC}"/>
    <cellStyle name="Migliaia 8 2 10 5" xfId="1982" xr:uid="{8C339633-A7EA-4128-8C72-D79DF1F9AE43}"/>
    <cellStyle name="Migliaia 8 2 10 5 2" xfId="9479" xr:uid="{141B243A-4B53-47BB-B442-C4BDFDC7DE00}"/>
    <cellStyle name="Migliaia 8 2 10 5 2 2" xfId="24657" xr:uid="{C6526A5C-6571-4D7D-86B6-563B176AA847}"/>
    <cellStyle name="Migliaia 8 2 10 5 3" xfId="17197" xr:uid="{357DE104-82E8-4523-9580-C1390D184E94}"/>
    <cellStyle name="Migliaia 8 2 10 6" xfId="8965" xr:uid="{8B386422-33AB-4371-BA8C-A3F6CB084BA1}"/>
    <cellStyle name="Migliaia 8 2 10 6 2" xfId="13138" xr:uid="{97DE5954-DF8E-45E8-9834-9BAA33C80402}"/>
    <cellStyle name="Migliaia 8 2 10 6 2 2" xfId="28315" xr:uid="{EDB10396-9498-4D8C-A2C4-6A644D1E90F8}"/>
    <cellStyle name="Migliaia 8 2 10 6 3" xfId="24143" xr:uid="{14F0DFFC-1BF0-43D6-9086-9D9678E64FAC}"/>
    <cellStyle name="Migliaia 8 2 10 7" xfId="5305" xr:uid="{7F0E6651-8C45-497B-AE97-472F7AA8C27F}"/>
    <cellStyle name="Migliaia 8 2 10 7 2" xfId="20485" xr:uid="{BFB44990-437B-4BD7-BD48-1DE98C3363BC}"/>
    <cellStyle name="Migliaia 8 2 10 8" xfId="16683" xr:uid="{D8A24975-1950-47AE-86B8-83F530FC94F8}"/>
    <cellStyle name="Migliaia 8 2 11" xfId="1550" xr:uid="{153AB522-BFBF-4BAF-BCA3-53876A4B2250}"/>
    <cellStyle name="Migliaia 8 2 11 2" xfId="2970" xr:uid="{FD3D32EF-394F-422C-9706-4A4E548EBBD3}"/>
    <cellStyle name="Migliaia 8 2 11 2 2" xfId="10461" xr:uid="{9134542D-070A-4CB5-8A5F-DE1B083A8234}"/>
    <cellStyle name="Migliaia 8 2 11 2 2 2" xfId="14007" xr:uid="{3AB9F8A2-E8CE-474A-866B-521910877D58}"/>
    <cellStyle name="Migliaia 8 2 11 2 2 2 2" xfId="29184" xr:uid="{C76D0FD6-5931-4BC8-9C63-0AE2AABE2755}"/>
    <cellStyle name="Migliaia 8 2 11 2 2 3" xfId="25639" xr:uid="{DD4C01B4-BDB1-480D-8D15-176D4E5D938E}"/>
    <cellStyle name="Migliaia 8 2 11 2 3" xfId="6287" xr:uid="{44E2BB3C-3AC5-42D8-A458-AE74B02F7EA9}"/>
    <cellStyle name="Migliaia 8 2 11 2 3 2" xfId="21467" xr:uid="{A7B3484B-00AB-4F43-87FB-D155FD0E4598}"/>
    <cellStyle name="Migliaia 8 2 11 2 4" xfId="18179" xr:uid="{B99928E8-A522-4B33-BCCE-0ACDD0270754}"/>
    <cellStyle name="Migliaia 8 2 11 3" xfId="3857" xr:uid="{D9F751D4-B4AD-4734-8C10-7C1BF73AE958}"/>
    <cellStyle name="Migliaia 8 2 11 3 2" xfId="11345" xr:uid="{A6EA2057-C7D4-4D10-A1F1-11DF9C9F511D}"/>
    <cellStyle name="Migliaia 8 2 11 3 2 2" xfId="14891" xr:uid="{192CB6FE-C36F-4318-972A-E23B34FA6BE1}"/>
    <cellStyle name="Migliaia 8 2 11 3 2 2 2" xfId="30068" xr:uid="{CE235108-94D8-4506-B765-ED67D530DC61}"/>
    <cellStyle name="Migliaia 8 2 11 3 2 3" xfId="26523" xr:uid="{B7722D13-88E5-4718-BCF0-DE6B64656791}"/>
    <cellStyle name="Migliaia 8 2 11 3 3" xfId="7171" xr:uid="{96CACC9B-896C-45F4-88F7-FCC37BA1F9A8}"/>
    <cellStyle name="Migliaia 8 2 11 3 3 2" xfId="22351" xr:uid="{6A5FC630-AD9C-47F1-8F6A-6E5568294552}"/>
    <cellStyle name="Migliaia 8 2 11 3 4" xfId="19063" xr:uid="{CE5E4946-E346-4B91-8D0F-4F574475DEDA}"/>
    <cellStyle name="Migliaia 8 2 11 4" xfId="4893" xr:uid="{48CE7119-9976-4447-96AB-CFB5B87AF8D9}"/>
    <cellStyle name="Migliaia 8 2 11 4 2" xfId="12378" xr:uid="{014ABBD4-1697-4726-AAEC-2AF0AC42050A}"/>
    <cellStyle name="Migliaia 8 2 11 4 2 2" xfId="15924" xr:uid="{CF3325F3-BAB6-4A18-AB3C-BE0023EF8986}"/>
    <cellStyle name="Migliaia 8 2 11 4 2 2 2" xfId="31101" xr:uid="{122BA08D-7D44-4553-998F-A14D9DCF2820}"/>
    <cellStyle name="Migliaia 8 2 11 4 2 3" xfId="27556" xr:uid="{744ECD10-E8C3-45D8-B45D-4FDDA2D277D5}"/>
    <cellStyle name="Migliaia 8 2 11 4 3" xfId="8204" xr:uid="{A469BB7B-9BFE-403F-9BD4-5E48D1756194}"/>
    <cellStyle name="Migliaia 8 2 11 4 3 2" xfId="23384" xr:uid="{6EBD178A-2C8D-442E-A075-E05152934AAF}"/>
    <cellStyle name="Migliaia 8 2 11 4 4" xfId="20096" xr:uid="{D262FC82-78C4-4EA4-BFBE-F66F08570F8B}"/>
    <cellStyle name="Migliaia 8 2 11 5" xfId="2080" xr:uid="{426B5C6D-CFCF-412F-8D7D-E1F22C78750E}"/>
    <cellStyle name="Migliaia 8 2 11 5 2" xfId="9577" xr:uid="{0CDF30F9-B108-42F7-A8D7-A97131BE6C1F}"/>
    <cellStyle name="Migliaia 8 2 11 5 2 2" xfId="24755" xr:uid="{D0FF6F17-8F4E-4837-9E89-A689DA1EF71F}"/>
    <cellStyle name="Migliaia 8 2 11 5 3" xfId="17295" xr:uid="{D550C049-3D80-4E6A-8BDA-E87F36F72403}"/>
    <cellStyle name="Migliaia 8 2 11 6" xfId="9063" xr:uid="{C59D1D18-9301-4A09-B8C0-28DEC7FC293E}"/>
    <cellStyle name="Migliaia 8 2 11 6 2" xfId="13236" xr:uid="{4CED2E05-1302-494C-BCF6-C1ECBC348102}"/>
    <cellStyle name="Migliaia 8 2 11 6 2 2" xfId="28413" xr:uid="{F5A76E53-D539-487A-813D-A4A75E39AF57}"/>
    <cellStyle name="Migliaia 8 2 11 6 3" xfId="24241" xr:uid="{77BF1DD5-B26B-4BE9-A9FC-A27888705E57}"/>
    <cellStyle name="Migliaia 8 2 11 7" xfId="5403" xr:uid="{8AD57F34-EF52-40C0-BE7E-06463CBB314A}"/>
    <cellStyle name="Migliaia 8 2 11 7 2" xfId="20583" xr:uid="{7E20E3F8-0E7F-4011-A6BB-6372D0A229F5}"/>
    <cellStyle name="Migliaia 8 2 11 8" xfId="16781" xr:uid="{D8E538F9-C1F2-4357-8B36-09B9A6B9AF73}"/>
    <cellStyle name="Migliaia 8 2 12" xfId="1649" xr:uid="{A2E17959-C4CE-4796-94DA-7244406EC4A0}"/>
    <cellStyle name="Migliaia 8 2 12 2" xfId="3068" xr:uid="{7F69D05D-309F-4BA6-9DFA-81FC9EAD4428}"/>
    <cellStyle name="Migliaia 8 2 12 2 2" xfId="10559" xr:uid="{11CBA51B-6531-4D63-A1EC-CC82BB17B1CA}"/>
    <cellStyle name="Migliaia 8 2 12 2 2 2" xfId="14105" xr:uid="{CDD1FFBF-60CF-496E-8D9C-A4C7C22C86F4}"/>
    <cellStyle name="Migliaia 8 2 12 2 2 2 2" xfId="29282" xr:uid="{A1C751F9-EC08-4D8B-B98E-CE846843C6AE}"/>
    <cellStyle name="Migliaia 8 2 12 2 2 3" xfId="25737" xr:uid="{93BD6008-75DC-438F-9002-E765FC0A4738}"/>
    <cellStyle name="Migliaia 8 2 12 2 3" xfId="6385" xr:uid="{57FED6D5-2EE7-4528-BDEE-82EA951B1A13}"/>
    <cellStyle name="Migliaia 8 2 12 2 3 2" xfId="21565" xr:uid="{007965B4-DF90-4FD3-822D-858164A9BE65}"/>
    <cellStyle name="Migliaia 8 2 12 2 4" xfId="18277" xr:uid="{1EE1AD85-D418-4D39-BE70-2DE746CF31F9}"/>
    <cellStyle name="Migliaia 8 2 12 3" xfId="3955" xr:uid="{F660DDBB-9AF0-4F84-9747-C142D82F897C}"/>
    <cellStyle name="Migliaia 8 2 12 3 2" xfId="11443" xr:uid="{06E7C641-560B-4FF4-991A-6CADC7A5DDCB}"/>
    <cellStyle name="Migliaia 8 2 12 3 2 2" xfId="14989" xr:uid="{748CFA1F-560A-479D-B095-F59E4E78555B}"/>
    <cellStyle name="Migliaia 8 2 12 3 2 2 2" xfId="30166" xr:uid="{FCF0956E-63CF-4271-AFF1-9342AFDAC43C}"/>
    <cellStyle name="Migliaia 8 2 12 3 2 3" xfId="26621" xr:uid="{B11D0A8C-2232-42F5-8F2C-B8294653C708}"/>
    <cellStyle name="Migliaia 8 2 12 3 3" xfId="7269" xr:uid="{A9868BCE-50BA-41A1-9F9A-32D57BE72551}"/>
    <cellStyle name="Migliaia 8 2 12 3 3 2" xfId="22449" xr:uid="{1B04B471-2405-418C-BCDE-DA95C94CB3D1}"/>
    <cellStyle name="Migliaia 8 2 12 3 4" xfId="19161" xr:uid="{1EEDD3C5-7CDD-4A40-976A-AD2D273444E1}"/>
    <cellStyle name="Migliaia 8 2 12 4" xfId="4894" xr:uid="{032A6A75-785A-41DD-AA55-F6B78D7155CD}"/>
    <cellStyle name="Migliaia 8 2 12 4 2" xfId="12379" xr:uid="{EFB7D429-FD0C-45FC-A0A7-D1940464183D}"/>
    <cellStyle name="Migliaia 8 2 12 4 2 2" xfId="15925" xr:uid="{3A533165-D773-4A3B-A8B8-CA6D161D03C6}"/>
    <cellStyle name="Migliaia 8 2 12 4 2 2 2" xfId="31102" xr:uid="{617C6F6D-16AF-41EE-9F47-CC55996B8771}"/>
    <cellStyle name="Migliaia 8 2 12 4 2 3" xfId="27557" xr:uid="{7E856CE5-4AB9-4FB4-8C2C-3DA57A34D101}"/>
    <cellStyle name="Migliaia 8 2 12 4 3" xfId="8205" xr:uid="{84D3DF9C-C068-4C87-8C4E-FA3001325B48}"/>
    <cellStyle name="Migliaia 8 2 12 4 3 2" xfId="23385" xr:uid="{FB7E89C5-D26D-40C7-A116-FCDF18449CBE}"/>
    <cellStyle name="Migliaia 8 2 12 4 4" xfId="20097" xr:uid="{FD16DA7E-F02C-418D-9148-CB22A0CD884F}"/>
    <cellStyle name="Migliaia 8 2 12 5" xfId="2178" xr:uid="{27DEB663-4952-4483-ACB0-A72682DEF647}"/>
    <cellStyle name="Migliaia 8 2 12 5 2" xfId="9675" xr:uid="{90A18E34-2CEF-4447-89C4-1B6D7DFE46A7}"/>
    <cellStyle name="Migliaia 8 2 12 5 2 2" xfId="24853" xr:uid="{EF6D92A4-2B6A-4895-98C3-A2217F26C45D}"/>
    <cellStyle name="Migliaia 8 2 12 5 3" xfId="17393" xr:uid="{2C18637C-C82E-4330-B8DC-167864E6320E}"/>
    <cellStyle name="Migliaia 8 2 12 6" xfId="9161" xr:uid="{5BD0B442-CA34-4FDB-A89B-AF52D4DDEEA1}"/>
    <cellStyle name="Migliaia 8 2 12 6 2" xfId="13334" xr:uid="{B6EB4391-9BAD-45A9-B25E-839D10C2850C}"/>
    <cellStyle name="Migliaia 8 2 12 6 2 2" xfId="28511" xr:uid="{769C0189-460A-426B-A49A-DFAFCB12BE17}"/>
    <cellStyle name="Migliaia 8 2 12 6 3" xfId="24339" xr:uid="{5B421A27-65E4-4AEF-88EF-CE7B716BE6FE}"/>
    <cellStyle name="Migliaia 8 2 12 7" xfId="5501" xr:uid="{5DEB14C4-6949-48B8-B5F3-A1AEAAF781B8}"/>
    <cellStyle name="Migliaia 8 2 12 7 2" xfId="20681" xr:uid="{42C504D9-8F83-4E45-89BE-956B94585933}"/>
    <cellStyle name="Migliaia 8 2 12 8" xfId="16879" xr:uid="{9EB7C8FC-E4AB-49C1-BC33-57BCC81433B1}"/>
    <cellStyle name="Migliaia 8 2 13" xfId="2278" xr:uid="{12C5DBBE-D2CB-46CF-ACD1-3C334133DB4A}"/>
    <cellStyle name="Migliaia 8 2 13 2" xfId="9773" xr:uid="{E8126EC3-090B-437E-9AED-2883C5313CC4}"/>
    <cellStyle name="Migliaia 8 2 13 2 2" xfId="13432" xr:uid="{D9E76679-0C4C-40AA-9560-1586DEC6BB37}"/>
    <cellStyle name="Migliaia 8 2 13 2 2 2" xfId="28609" xr:uid="{411B3A28-91E5-4912-BF62-E86A6B32A1F5}"/>
    <cellStyle name="Migliaia 8 2 13 2 3" xfId="24951" xr:uid="{5F490F0E-7EB3-4713-AFA6-F1EAAAB0493C}"/>
    <cellStyle name="Migliaia 8 2 13 3" xfId="5599" xr:uid="{892AAF84-A72E-4B63-81C8-73CF3016CF1B}"/>
    <cellStyle name="Migliaia 8 2 13 3 2" xfId="20779" xr:uid="{AFDAE5F9-3258-4D38-BB2F-D97C871C5EFA}"/>
    <cellStyle name="Migliaia 8 2 13 4" xfId="17491" xr:uid="{988FDA82-30F8-4200-84A1-7AF79514FCC0}"/>
    <cellStyle name="Migliaia 8 2 14" xfId="3168" xr:uid="{9C1B36C0-DEA2-4BE1-A584-384F140D91B2}"/>
    <cellStyle name="Migliaia 8 2 14 2" xfId="10657" xr:uid="{A0B69437-E30A-4C26-93BF-5AC9C51CF02D}"/>
    <cellStyle name="Migliaia 8 2 14 2 2" xfId="14203" xr:uid="{0D808AAC-70FF-4CF3-87F6-01570260798E}"/>
    <cellStyle name="Migliaia 8 2 14 2 2 2" xfId="29380" xr:uid="{16BF5512-3B54-44D7-B8D1-D1CCE8D9338C}"/>
    <cellStyle name="Migliaia 8 2 14 2 3" xfId="25835" xr:uid="{9CE2AAC3-F62C-4928-AA6B-4351B4F0E259}"/>
    <cellStyle name="Migliaia 8 2 14 3" xfId="6483" xr:uid="{84F75A91-F9FC-4E0A-87D5-2DB913F0CBF5}"/>
    <cellStyle name="Migliaia 8 2 14 3 2" xfId="21663" xr:uid="{330D4FB0-B3BE-41D8-B834-0CB1C2D4D237}"/>
    <cellStyle name="Migliaia 8 2 14 4" xfId="18375" xr:uid="{4E198F0D-546F-41B9-86E1-561BCB0D37D9}"/>
    <cellStyle name="Migliaia 8 2 15" xfId="4895" xr:uid="{BE63BBD0-34DC-4ED3-8875-A6AB6BC2B51A}"/>
    <cellStyle name="Migliaia 8 2 15 2" xfId="12380" xr:uid="{5927B037-D215-4D62-A8EC-0FED201AEF21}"/>
    <cellStyle name="Migliaia 8 2 15 2 2" xfId="15926" xr:uid="{90AFF9D5-CE88-46A3-B02A-9984BEF3C92C}"/>
    <cellStyle name="Migliaia 8 2 15 2 2 2" xfId="31103" xr:uid="{CFC53586-48AB-4BB7-8223-6C3CEED60D3E}"/>
    <cellStyle name="Migliaia 8 2 15 2 3" xfId="27558" xr:uid="{E9A0E8CB-B8D6-4BBD-88EA-406C769D1CE7}"/>
    <cellStyle name="Migliaia 8 2 15 3" xfId="8206" xr:uid="{4D0AB997-755C-45D0-A4FD-F9AC64C166F9}"/>
    <cellStyle name="Migliaia 8 2 15 3 2" xfId="23386" xr:uid="{AC8F2514-F446-4C58-A801-4B8EA15E53CE}"/>
    <cellStyle name="Migliaia 8 2 15 4" xfId="20098" xr:uid="{0E8D5929-F56C-4E58-93C7-920A85B9C831}"/>
    <cellStyle name="Migliaia 8 2 16" xfId="8374" xr:uid="{D06F4BE3-6429-4780-8942-4055C910D8E7}"/>
    <cellStyle name="Migliaia 8 2 16 2" xfId="12548" xr:uid="{9F7302DA-6F1E-4CB0-9AC0-ED8EB3038AEB}"/>
    <cellStyle name="Migliaia 8 2 16 2 2" xfId="27725" xr:uid="{17AF31AF-EE31-4129-9613-74149493CB2C}"/>
    <cellStyle name="Migliaia 8 2 16 3" xfId="23553" xr:uid="{9A271843-1303-4ED1-AD9D-11319B20311D}"/>
    <cellStyle name="Migliaia 8 2 17" xfId="16093" xr:uid="{F88BFC18-E6E7-4CC0-A807-B6C23B38EF4E}"/>
    <cellStyle name="Migliaia 8 2 18" xfId="31435" xr:uid="{1A730BB7-6161-4885-B54E-69383A1E8E1E}"/>
    <cellStyle name="Migliaia 8 2 19" xfId="695" xr:uid="{10370D9E-A54D-4AAD-A38B-8F6DDC6094A6}"/>
    <cellStyle name="Migliaia 8 2 2" xfId="593" xr:uid="{1BE5A07A-2B2E-48AE-8451-E969BA15B8FC}"/>
    <cellStyle name="Migliaia 8 2 2 10" xfId="2303" xr:uid="{4C2E8642-3F3C-4604-9616-C547722C0847}"/>
    <cellStyle name="Migliaia 8 2 2 10 2" xfId="9798" xr:uid="{C51A5EA5-BE34-45F2-B246-DC4F69C28FC1}"/>
    <cellStyle name="Migliaia 8 2 2 10 2 2" xfId="13457" xr:uid="{F14484D2-3F14-42F7-856D-62746D545EA7}"/>
    <cellStyle name="Migliaia 8 2 2 10 2 2 2" xfId="28634" xr:uid="{DF649E78-821C-44E8-BD53-843205BB232E}"/>
    <cellStyle name="Migliaia 8 2 2 10 2 3" xfId="24976" xr:uid="{E5708DDA-0DAB-4856-9E2C-6C277A25B12A}"/>
    <cellStyle name="Migliaia 8 2 2 10 3" xfId="5624" xr:uid="{1321CE97-8A5B-4014-92AD-22289D8622B6}"/>
    <cellStyle name="Migliaia 8 2 2 10 3 2" xfId="20804" xr:uid="{6F5BF755-D2AA-4238-97AF-E4A11F4438A3}"/>
    <cellStyle name="Migliaia 8 2 2 10 4" xfId="17516" xr:uid="{6A705AC8-B8C4-4685-A1CB-071E2084F64F}"/>
    <cellStyle name="Migliaia 8 2 2 11" xfId="3193" xr:uid="{7F1F4710-9A97-417A-ABE3-2C1394CD808D}"/>
    <cellStyle name="Migliaia 8 2 2 11 2" xfId="10682" xr:uid="{EC9B7470-F133-46BA-90A4-57CA4D3E1371}"/>
    <cellStyle name="Migliaia 8 2 2 11 2 2" xfId="14228" xr:uid="{EF7A729F-CBB1-4FB6-AC4D-EA894016C12A}"/>
    <cellStyle name="Migliaia 8 2 2 11 2 2 2" xfId="29405" xr:uid="{DD8CE55B-9FFC-4109-8866-EA0A5F947522}"/>
    <cellStyle name="Migliaia 8 2 2 11 2 3" xfId="25860" xr:uid="{AFC7CA17-E5E6-4CDC-98A9-3E268A8E640C}"/>
    <cellStyle name="Migliaia 8 2 2 11 3" xfId="6508" xr:uid="{A28DB715-4E52-499C-9D76-8F3018AC1513}"/>
    <cellStyle name="Migliaia 8 2 2 11 3 2" xfId="21688" xr:uid="{89DD5922-3FD2-47A0-9CF0-323967E59DE5}"/>
    <cellStyle name="Migliaia 8 2 2 11 4" xfId="18400" xr:uid="{EF8B59A9-7D2C-4902-98E0-8EF48ADBD49C}"/>
    <cellStyle name="Migliaia 8 2 2 12" xfId="4896" xr:uid="{F4235641-3A28-4FC2-909D-D43F72F59856}"/>
    <cellStyle name="Migliaia 8 2 2 12 2" xfId="12381" xr:uid="{8202F6D1-9E52-4342-9901-D90394BD321F}"/>
    <cellStyle name="Migliaia 8 2 2 12 2 2" xfId="15927" xr:uid="{6411BC21-D746-4985-85E9-9728A3766F38}"/>
    <cellStyle name="Migliaia 8 2 2 12 2 2 2" xfId="31104" xr:uid="{4E45C276-3D87-4FF7-97CF-FFA26B3F9DE0}"/>
    <cellStyle name="Migliaia 8 2 2 12 2 3" xfId="27559" xr:uid="{52412BE8-F0B9-4273-9DAF-C4EA7834C672}"/>
    <cellStyle name="Migliaia 8 2 2 12 3" xfId="8207" xr:uid="{4AA82A4E-E34B-459D-B55E-0E55743D5AB1}"/>
    <cellStyle name="Migliaia 8 2 2 12 3 2" xfId="23387" xr:uid="{F71C7762-A5D6-40C7-8CE3-17763B0FEB2D}"/>
    <cellStyle name="Migliaia 8 2 2 12 4" xfId="20099" xr:uid="{2A8C2E72-51A1-4DE6-8819-01CF76BF4ACF}"/>
    <cellStyle name="Migliaia 8 2 2 13" xfId="8399" xr:uid="{84AAF8A5-23B7-4CE3-9627-F727B7387B60}"/>
    <cellStyle name="Migliaia 8 2 2 13 2" xfId="12573" xr:uid="{74CA522E-D59C-4BE8-A251-C052E9E8890D}"/>
    <cellStyle name="Migliaia 8 2 2 13 2 2" xfId="27750" xr:uid="{EDF8C2BD-48B1-4D15-9B57-87C0AF303EC6}"/>
    <cellStyle name="Migliaia 8 2 2 13 3" xfId="23578" xr:uid="{A700CCFD-FAB8-401F-A137-AD336E42E7A1}"/>
    <cellStyle name="Migliaia 8 2 2 14" xfId="16118" xr:uid="{766DD375-5513-4B85-A981-D7540C2237C3}"/>
    <cellStyle name="Migliaia 8 2 2 15" xfId="31460" xr:uid="{DCB8E0DE-8476-4777-9D4E-1BABE9B0D8E0}"/>
    <cellStyle name="Migliaia 8 2 2 16" xfId="730" xr:uid="{4A0B03EF-E4E9-49BA-8079-C7270378B83C}"/>
    <cellStyle name="Migliaia 8 2 2 2" xfId="782" xr:uid="{E35CC3A6-9124-48D9-B38A-B47F12847F93}"/>
    <cellStyle name="Migliaia 8 2 2 2 10" xfId="8448" xr:uid="{ECB29AD5-4C6F-4884-9F66-79B5D476DA0E}"/>
    <cellStyle name="Migliaia 8 2 2 2 10 2" xfId="12622" xr:uid="{A34A20DD-0803-460A-BF4D-5B2760E28607}"/>
    <cellStyle name="Migliaia 8 2 2 2 10 2 2" xfId="27799" xr:uid="{2E375A23-F830-439C-90B9-161C170BBDAA}"/>
    <cellStyle name="Migliaia 8 2 2 2 10 3" xfId="23627" xr:uid="{93C7874F-345B-41D9-9A1D-718F9661E987}"/>
    <cellStyle name="Migliaia 8 2 2 2 11" xfId="16167" xr:uid="{3EE3B6BD-1C55-45C0-8AB5-C95C3D467D0C}"/>
    <cellStyle name="Migliaia 8 2 2 2 12" xfId="31509" xr:uid="{BEC95036-C072-4979-8491-53C6ADDEC364}"/>
    <cellStyle name="Migliaia 8 2 2 2 2" xfId="959" xr:uid="{5D1E83AF-3E0D-439B-995D-EDE6B81C2222}"/>
    <cellStyle name="Migliaia 8 2 2 2 2 10" xfId="16289" xr:uid="{0BC1CC66-671C-48ED-B77B-DCD26CCF3012}"/>
    <cellStyle name="Migliaia 8 2 2 2 2 11" xfId="31379" xr:uid="{8AECDC0C-8462-4F59-AFD1-B99F291603CD}"/>
    <cellStyle name="Migliaia 8 2 2 2 2 12" xfId="31729" xr:uid="{128529B3-124E-4694-8F91-5B3201542F9F}"/>
    <cellStyle name="Migliaia 8 2 2 2 2 2" xfId="1320" xr:uid="{0C41BF46-B4C8-40A9-81EC-9BBB5FD31070}"/>
    <cellStyle name="Migliaia 8 2 2 2 2 2 2" xfId="3637" xr:uid="{1CF45DA0-4CCC-41A7-BE3D-4F72E5EEBBED}"/>
    <cellStyle name="Migliaia 8 2 2 2 2 2 2 2" xfId="11125" xr:uid="{FB0BD0ED-41C1-46E2-ADB0-4FCA3C8301FA}"/>
    <cellStyle name="Migliaia 8 2 2 2 2 2 2 2 2" xfId="14671" xr:uid="{FBF032C1-0653-4F55-A94F-596358A45063}"/>
    <cellStyle name="Migliaia 8 2 2 2 2 2 2 2 2 2" xfId="29848" xr:uid="{7C2A2EE8-8A04-48FD-A73B-5DBE97F91808}"/>
    <cellStyle name="Migliaia 8 2 2 2 2 2 2 2 3" xfId="26303" xr:uid="{30243E04-B879-442C-BE57-8D84C22FEA99}"/>
    <cellStyle name="Migliaia 8 2 2 2 2 2 2 3" xfId="6951" xr:uid="{DD387F07-7012-4EAA-98DA-F9778A8B7233}"/>
    <cellStyle name="Migliaia 8 2 2 2 2 2 2 3 2" xfId="22131" xr:uid="{B86E1F99-7991-49F8-8C17-B769A97C665B}"/>
    <cellStyle name="Migliaia 8 2 2 2 2 2 2 4" xfId="18843" xr:uid="{0EC44AC0-4FA8-4128-95B2-0AE4BD60C682}"/>
    <cellStyle name="Migliaia 8 2 2 2 2 2 3" xfId="4897" xr:uid="{924986FF-2F45-42D5-8D29-9AD4F6CAA871}"/>
    <cellStyle name="Migliaia 8 2 2 2 2 2 3 2" xfId="12382" xr:uid="{B638A464-6E65-480B-AB37-2ACAFE41712B}"/>
    <cellStyle name="Migliaia 8 2 2 2 2 2 3 2 2" xfId="15928" xr:uid="{E9D3A09A-0BD7-4F3D-9DCF-BA31CC8B8134}"/>
    <cellStyle name="Migliaia 8 2 2 2 2 2 3 2 2 2" xfId="31105" xr:uid="{97B91B6D-3F75-4D6F-92EB-943B2EF07E9F}"/>
    <cellStyle name="Migliaia 8 2 2 2 2 2 3 2 3" xfId="27560" xr:uid="{CA0169D2-0F48-4066-A7C0-C73AC1F5E988}"/>
    <cellStyle name="Migliaia 8 2 2 2 2 2 3 3" xfId="8208" xr:uid="{FCBB2EC7-B0CA-4854-AC95-7C013E23A4C7}"/>
    <cellStyle name="Migliaia 8 2 2 2 2 2 3 3 2" xfId="23388" xr:uid="{BE8E2E1C-9DBF-443C-98BE-3AA538F0298E}"/>
    <cellStyle name="Migliaia 8 2 2 2 2 2 3 4" xfId="20100" xr:uid="{AD0500F8-E141-4CF3-8FAC-E58024221309}"/>
    <cellStyle name="Migliaia 8 2 2 2 2 2 4" xfId="2750" xr:uid="{074FFC26-5513-454F-AFD5-0E301FD28B21}"/>
    <cellStyle name="Migliaia 8 2 2 2 2 2 4 2" xfId="10241" xr:uid="{61B020FC-AC0B-4725-BB27-C108573CBF1B}"/>
    <cellStyle name="Migliaia 8 2 2 2 2 2 4 2 2" xfId="25419" xr:uid="{15DA8F2A-A88F-4368-B8DB-4B1759AE430C}"/>
    <cellStyle name="Migliaia 8 2 2 2 2 2 4 3" xfId="17959" xr:uid="{CA1C4C0B-06BB-4310-ABD0-006289AFEE08}"/>
    <cellStyle name="Migliaia 8 2 2 2 2 2 5" xfId="8843" xr:uid="{C6944732-A743-4DB3-9E59-A263776A9594}"/>
    <cellStyle name="Migliaia 8 2 2 2 2 2 5 2" xfId="13016" xr:uid="{000153AC-A826-4CFF-9996-C84DF2DF854A}"/>
    <cellStyle name="Migliaia 8 2 2 2 2 2 5 2 2" xfId="28193" xr:uid="{DF3E0EDD-2E63-4E29-9485-69506CDF8AC4}"/>
    <cellStyle name="Migliaia 8 2 2 2 2 2 5 3" xfId="24021" xr:uid="{401F430D-80F4-4887-9A2D-57FFC0BEF53E}"/>
    <cellStyle name="Migliaia 8 2 2 2 2 2 6" xfId="6067" xr:uid="{8ACE8449-83DB-47E2-9412-567937095E05}"/>
    <cellStyle name="Migliaia 8 2 2 2 2 2 6 2" xfId="21247" xr:uid="{7CCE4E02-275A-4CB2-9822-328F04FDC013}"/>
    <cellStyle name="Migliaia 8 2 2 2 2 2 7" xfId="16561" xr:uid="{664C7782-4271-4B1F-A36A-BBA26084ED90}"/>
    <cellStyle name="Migliaia 8 2 2 2 2 3" xfId="2477" xr:uid="{B49B6F05-B455-4AB6-B21C-FFB6F2E2F7A0}"/>
    <cellStyle name="Migliaia 8 2 2 2 2 3 2" xfId="9969" xr:uid="{E77B628D-D4B4-42B6-8198-273EF4E4576E}"/>
    <cellStyle name="Migliaia 8 2 2 2 2 3 2 2" xfId="13628" xr:uid="{047C010D-3797-45A1-9E62-2BF1EFB284CB}"/>
    <cellStyle name="Migliaia 8 2 2 2 2 3 2 2 2" xfId="28805" xr:uid="{E2080AA0-2D48-494D-97CB-5159ADE31E0A}"/>
    <cellStyle name="Migliaia 8 2 2 2 2 3 2 3" xfId="25147" xr:uid="{F729A994-2728-4289-9896-DB9B9AD65031}"/>
    <cellStyle name="Migliaia 8 2 2 2 2 3 3" xfId="5795" xr:uid="{5A99760E-08A3-4A7E-998A-330DCD7EDE52}"/>
    <cellStyle name="Migliaia 8 2 2 2 2 3 3 2" xfId="20975" xr:uid="{A1B3995A-6444-45F0-9ED9-84C5CDB14E19}"/>
    <cellStyle name="Migliaia 8 2 2 2 2 3 4" xfId="17687" xr:uid="{F6ED7937-3EDF-4243-83AC-FDEF6BCBD8B4}"/>
    <cellStyle name="Migliaia 8 2 2 2 2 4" xfId="3365" xr:uid="{EA3ECEF6-46F0-450F-BC51-4ED9301E778D}"/>
    <cellStyle name="Migliaia 8 2 2 2 2 4 2" xfId="10853" xr:uid="{6B46DCDD-958F-4D5E-A25E-1C63BD1FE9B9}"/>
    <cellStyle name="Migliaia 8 2 2 2 2 4 2 2" xfId="14399" xr:uid="{375C1A11-4301-4BF4-8F5B-3FEF6BD594EB}"/>
    <cellStyle name="Migliaia 8 2 2 2 2 4 2 2 2" xfId="29576" xr:uid="{362B063E-2F13-4DB3-8453-4F10E5862179}"/>
    <cellStyle name="Migliaia 8 2 2 2 2 4 2 3" xfId="26031" xr:uid="{649BF7DA-43F9-43F5-B3CD-35B956B20DA0}"/>
    <cellStyle name="Migliaia 8 2 2 2 2 4 3" xfId="6679" xr:uid="{A05C63A2-D368-4EB7-B394-E5D47A11612F}"/>
    <cellStyle name="Migliaia 8 2 2 2 2 4 3 2" xfId="21859" xr:uid="{CD8ED322-A897-4F0D-B057-11D38FA907B2}"/>
    <cellStyle name="Migliaia 8 2 2 2 2 4 4" xfId="18571" xr:uid="{5F1AB375-FA79-4547-8F78-F13E0A2D84C6}"/>
    <cellStyle name="Migliaia 8 2 2 2 2 5" xfId="4898" xr:uid="{A837B0E4-805C-4DD3-B76D-54EF2F5C57B8}"/>
    <cellStyle name="Migliaia 8 2 2 2 2 5 2" xfId="12383" xr:uid="{77679B7F-50E8-4AA9-BFE3-71940CF83A83}"/>
    <cellStyle name="Migliaia 8 2 2 2 2 5 2 2" xfId="15929" xr:uid="{6DADE930-6865-4777-B252-2E8262A4E5BA}"/>
    <cellStyle name="Migliaia 8 2 2 2 2 5 2 2 2" xfId="31106" xr:uid="{FE6E138D-5286-4821-AD99-FB609C4F9B30}"/>
    <cellStyle name="Migliaia 8 2 2 2 2 5 2 3" xfId="27561" xr:uid="{0B838DB8-0514-4964-957A-ED2736739EA6}"/>
    <cellStyle name="Migliaia 8 2 2 2 2 5 3" xfId="8209" xr:uid="{3E0E9525-7DF1-41A4-8534-8C2249B205B1}"/>
    <cellStyle name="Migliaia 8 2 2 2 2 5 3 2" xfId="23389" xr:uid="{EFE8E610-615A-4224-A12E-5DB2F115861D}"/>
    <cellStyle name="Migliaia 8 2 2 2 2 5 4" xfId="20101" xr:uid="{0C0EAF86-D2A6-4CDB-81B9-BC5E29BEF450}"/>
    <cellStyle name="Migliaia 8 2 2 2 2 6" xfId="5039" xr:uid="{1689604A-7C47-4A45-B1F7-67B40664D858}"/>
    <cellStyle name="Migliaia 8 2 2 2 2 6 2" xfId="12523" xr:uid="{91454EFD-70C4-4E42-9C05-7A9276E7C096}"/>
    <cellStyle name="Migliaia 8 2 2 2 2 6 2 2" xfId="16069" xr:uid="{AD9FC457-D5DD-4ED5-9F9C-05C8745E4210}"/>
    <cellStyle name="Migliaia 8 2 2 2 2 6 2 2 2" xfId="31246" xr:uid="{76E09D9E-0C17-45F4-B299-978C3B2E6196}"/>
    <cellStyle name="Migliaia 8 2 2 2 2 6 2 3" xfId="27701" xr:uid="{E75697C8-9846-48B2-A5CA-A1D2A2C3025D}"/>
    <cellStyle name="Migliaia 8 2 2 2 2 6 3" xfId="8349" xr:uid="{76233CAA-44F2-4CFF-A4E8-05861868E264}"/>
    <cellStyle name="Migliaia 8 2 2 2 2 6 3 2" xfId="23529" xr:uid="{FB311A69-C7E9-4934-A46A-62A617A59C75}"/>
    <cellStyle name="Migliaia 8 2 2 2 2 6 4" xfId="20241" xr:uid="{388B1614-FCC9-49DE-902E-CF1ABE4FC482}"/>
    <cellStyle name="Migliaia 8 2 2 2 2 7" xfId="1860" xr:uid="{2FF9E326-75DA-4B0F-91C9-EDEF53EF9697}"/>
    <cellStyle name="Migliaia 8 2 2 2 2 7 2" xfId="9357" xr:uid="{D63C3269-285B-4CD5-BF48-EF393BFA82C9}"/>
    <cellStyle name="Migliaia 8 2 2 2 2 7 2 2" xfId="24535" xr:uid="{41751A7B-D29D-41FA-9AEE-025A4DBFDE57}"/>
    <cellStyle name="Migliaia 8 2 2 2 2 7 3" xfId="17075" xr:uid="{5C48C04A-1C13-45CF-961C-6F67573AEAA7}"/>
    <cellStyle name="Migliaia 8 2 2 2 2 8" xfId="8571" xr:uid="{BEF64D2E-F628-4E98-A441-91602207C403}"/>
    <cellStyle name="Migliaia 8 2 2 2 2 8 2" xfId="12744" xr:uid="{BE78ED98-AC1B-4635-A81B-BCC677F428AC}"/>
    <cellStyle name="Migliaia 8 2 2 2 2 8 2 2" xfId="27921" xr:uid="{E68AE701-5BD2-4255-A834-B73D7FD5C82B}"/>
    <cellStyle name="Migliaia 8 2 2 2 2 8 3" xfId="23749" xr:uid="{BF7E3498-4BE5-4D3E-8F53-F45265954993}"/>
    <cellStyle name="Migliaia 8 2 2 2 2 9" xfId="5183" xr:uid="{86B4B703-0019-4CA4-9525-5DF16F5F3AEE}"/>
    <cellStyle name="Migliaia 8 2 2 2 2 9 2" xfId="20363" xr:uid="{8E0B37FC-3E09-406D-9627-B0C3F926837C}"/>
    <cellStyle name="Migliaia 8 2 2 2 3" xfId="1062" xr:uid="{592D5B67-AED2-4B7E-978A-6D8D1B768A91}"/>
    <cellStyle name="Migliaia 8 2 2 2 3 10" xfId="31607" xr:uid="{C7ED4CC5-3ABC-408C-B35B-FBDF6F0F3EF4}"/>
    <cellStyle name="Migliaia 8 2 2 2 3 2" xfId="1422" xr:uid="{FF5AD9D3-7688-43B1-B13F-42424336EDC8}"/>
    <cellStyle name="Migliaia 8 2 2 2 3 2 2" xfId="3735" xr:uid="{C89EB67F-8AD6-415E-ABA6-7533FAED3C9A}"/>
    <cellStyle name="Migliaia 8 2 2 2 3 2 2 2" xfId="11223" xr:uid="{1940824B-D482-4747-9BAB-C1F4CDB81E71}"/>
    <cellStyle name="Migliaia 8 2 2 2 3 2 2 2 2" xfId="14769" xr:uid="{51896E02-2ED5-49C4-8632-4E3CE1BB77BB}"/>
    <cellStyle name="Migliaia 8 2 2 2 3 2 2 2 2 2" xfId="29946" xr:uid="{E7906051-9AAC-45EB-8BC2-A7CA47CD9366}"/>
    <cellStyle name="Migliaia 8 2 2 2 3 2 2 2 3" xfId="26401" xr:uid="{0930B893-A599-47DD-B052-D9BD68518D81}"/>
    <cellStyle name="Migliaia 8 2 2 2 3 2 2 3" xfId="7049" xr:uid="{FC949A3A-696A-419B-9853-A0F23A5B9C41}"/>
    <cellStyle name="Migliaia 8 2 2 2 3 2 2 3 2" xfId="22229" xr:uid="{B6CA4B0A-FD68-4448-B2FC-DBF410F164CC}"/>
    <cellStyle name="Migliaia 8 2 2 2 3 2 2 4" xfId="18941" xr:uid="{9CBF522D-80AD-4EDA-9691-49E7C7B2F6A3}"/>
    <cellStyle name="Migliaia 8 2 2 2 3 2 3" xfId="4899" xr:uid="{69F8F372-06D6-4BBE-8AEA-AB1F968F491F}"/>
    <cellStyle name="Migliaia 8 2 2 2 3 2 3 2" xfId="12384" xr:uid="{C3B67EEE-CF14-459D-A8B2-37CE614FFE4F}"/>
    <cellStyle name="Migliaia 8 2 2 2 3 2 3 2 2" xfId="15930" xr:uid="{93580408-F300-439D-8DA9-3EC326897797}"/>
    <cellStyle name="Migliaia 8 2 2 2 3 2 3 2 2 2" xfId="31107" xr:uid="{9DE75F55-1903-4EB7-9344-DFE8F9B7AF11}"/>
    <cellStyle name="Migliaia 8 2 2 2 3 2 3 2 3" xfId="27562" xr:uid="{A92358BA-F0CB-40B6-BEDD-02E73F4E5728}"/>
    <cellStyle name="Migliaia 8 2 2 2 3 2 3 3" xfId="8210" xr:uid="{777D3D9C-EDAE-4400-BB06-203838B98ECC}"/>
    <cellStyle name="Migliaia 8 2 2 2 3 2 3 3 2" xfId="23390" xr:uid="{45051EAC-E49E-4D59-96F1-DAF8892FC240}"/>
    <cellStyle name="Migliaia 8 2 2 2 3 2 3 4" xfId="20102" xr:uid="{F93EC171-DB48-4F5B-84DF-FFB76B918CFF}"/>
    <cellStyle name="Migliaia 8 2 2 2 3 2 4" xfId="2848" xr:uid="{1888B8C8-2349-4983-A81C-D028350A7EF0}"/>
    <cellStyle name="Migliaia 8 2 2 2 3 2 4 2" xfId="10339" xr:uid="{6940C124-38A1-4629-BAD2-664EC1E1BDD2}"/>
    <cellStyle name="Migliaia 8 2 2 2 3 2 4 2 2" xfId="25517" xr:uid="{B6B8A087-F732-46FC-88E0-37427C92DE52}"/>
    <cellStyle name="Migliaia 8 2 2 2 3 2 4 3" xfId="18057" xr:uid="{3F95277F-4C2D-4F88-83CA-BF6F22A15ED9}"/>
    <cellStyle name="Migliaia 8 2 2 2 3 2 5" xfId="8941" xr:uid="{3EAEFEC0-0267-4D27-9EEA-BD70E43F7ACE}"/>
    <cellStyle name="Migliaia 8 2 2 2 3 2 5 2" xfId="13114" xr:uid="{BF0130FD-DFE3-477D-B79B-5E97212ADB64}"/>
    <cellStyle name="Migliaia 8 2 2 2 3 2 5 2 2" xfId="28291" xr:uid="{1092FD34-DD10-4E83-B10C-56C32544F5B0}"/>
    <cellStyle name="Migliaia 8 2 2 2 3 2 5 3" xfId="24119" xr:uid="{993EEF37-D3CC-42B1-8D31-3273BFD5CD58}"/>
    <cellStyle name="Migliaia 8 2 2 2 3 2 6" xfId="6165" xr:uid="{A02CBA5C-33E6-495A-B878-4061DE4EC77B}"/>
    <cellStyle name="Migliaia 8 2 2 2 3 2 6 2" xfId="21345" xr:uid="{3286234C-A760-4D02-8A86-2609E5BBEF00}"/>
    <cellStyle name="Migliaia 8 2 2 2 3 2 7" xfId="16659" xr:uid="{F755A89A-EAD0-46A9-AEBF-96AAF4DD2E17}"/>
    <cellStyle name="Migliaia 8 2 2 2 3 3" xfId="2575" xr:uid="{DCF03294-FD31-43F2-9BC6-D884DF66510C}"/>
    <cellStyle name="Migliaia 8 2 2 2 3 3 2" xfId="10067" xr:uid="{6B1B7478-861C-4B2B-9A4A-8287B6B6BA81}"/>
    <cellStyle name="Migliaia 8 2 2 2 3 3 2 2" xfId="13726" xr:uid="{B15B83F7-AECF-4FF5-A582-3ED4CF68758D}"/>
    <cellStyle name="Migliaia 8 2 2 2 3 3 2 2 2" xfId="28903" xr:uid="{7CA4381A-6B41-45C8-8707-75997F228573}"/>
    <cellStyle name="Migliaia 8 2 2 2 3 3 2 3" xfId="25245" xr:uid="{454DEB54-B16D-493D-958D-8AB8AFF6F3C3}"/>
    <cellStyle name="Migliaia 8 2 2 2 3 3 3" xfId="5893" xr:uid="{772EAF0D-5A96-472C-821B-01866F29083F}"/>
    <cellStyle name="Migliaia 8 2 2 2 3 3 3 2" xfId="21073" xr:uid="{701E4FBC-8BD5-465E-8C05-757C382D56E6}"/>
    <cellStyle name="Migliaia 8 2 2 2 3 3 4" xfId="17785" xr:uid="{C03D4A0E-07A2-4F72-84B0-E0500D02B227}"/>
    <cellStyle name="Migliaia 8 2 2 2 3 4" xfId="3463" xr:uid="{6D3D9898-A5E9-4674-9E3A-5EEB0B4ABF04}"/>
    <cellStyle name="Migliaia 8 2 2 2 3 4 2" xfId="10951" xr:uid="{B908F05B-C47C-42C9-B19E-F856A35ADAD2}"/>
    <cellStyle name="Migliaia 8 2 2 2 3 4 2 2" xfId="14497" xr:uid="{CDC37C99-F480-4055-86FF-8100959BF0D5}"/>
    <cellStyle name="Migliaia 8 2 2 2 3 4 2 2 2" xfId="29674" xr:uid="{4583263A-2302-4038-9B80-DE70405E07D4}"/>
    <cellStyle name="Migliaia 8 2 2 2 3 4 2 3" xfId="26129" xr:uid="{4043775D-C1AD-4491-9A04-24D77DB94F9A}"/>
    <cellStyle name="Migliaia 8 2 2 2 3 4 3" xfId="6777" xr:uid="{DCBA6CBA-6825-4817-AEDF-ED11985719C7}"/>
    <cellStyle name="Migliaia 8 2 2 2 3 4 3 2" xfId="21957" xr:uid="{9317F9B3-C507-426A-A90D-3E1F2695101B}"/>
    <cellStyle name="Migliaia 8 2 2 2 3 4 4" xfId="18669" xr:uid="{7F8AE726-D315-464B-A9C2-2C76A979691B}"/>
    <cellStyle name="Migliaia 8 2 2 2 3 5" xfId="4900" xr:uid="{6E59FD46-EE1F-4DF0-B4AD-D1ACCA8683F8}"/>
    <cellStyle name="Migliaia 8 2 2 2 3 5 2" xfId="12385" xr:uid="{0E500991-9D09-47BD-B9BC-415AE54D5197}"/>
    <cellStyle name="Migliaia 8 2 2 2 3 5 2 2" xfId="15931" xr:uid="{7E08877A-0D04-4EEF-9D2E-7554D78A01A6}"/>
    <cellStyle name="Migliaia 8 2 2 2 3 5 2 2 2" xfId="31108" xr:uid="{21803F1F-578B-42DC-8021-7370D26207DB}"/>
    <cellStyle name="Migliaia 8 2 2 2 3 5 2 3" xfId="27563" xr:uid="{C38DF9E9-7B22-4909-B59A-DD3C7BB98CDB}"/>
    <cellStyle name="Migliaia 8 2 2 2 3 5 3" xfId="8211" xr:uid="{88ABDDDF-4F14-4C06-84CE-876368F937AE}"/>
    <cellStyle name="Migliaia 8 2 2 2 3 5 3 2" xfId="23391" xr:uid="{6E092EC9-E4A0-4C8C-B73F-8CDADBBE1B57}"/>
    <cellStyle name="Migliaia 8 2 2 2 3 5 4" xfId="20103" xr:uid="{E6731FD3-34E5-443D-B763-A092BED9938F}"/>
    <cellStyle name="Migliaia 8 2 2 2 3 6" xfId="1958" xr:uid="{DB210DCB-6637-46DE-8A3A-5CA73F2C9A2F}"/>
    <cellStyle name="Migliaia 8 2 2 2 3 6 2" xfId="9455" xr:uid="{B81884E1-775F-431C-8B02-2F912E7C2F65}"/>
    <cellStyle name="Migliaia 8 2 2 2 3 6 2 2" xfId="24633" xr:uid="{2E168D4A-9B25-4A76-88FF-A5C84DF84713}"/>
    <cellStyle name="Migliaia 8 2 2 2 3 6 3" xfId="17173" xr:uid="{4C4AB386-883C-4AC5-A569-41FAF9B8E56B}"/>
    <cellStyle name="Migliaia 8 2 2 2 3 7" xfId="8669" xr:uid="{D6612112-3203-4157-BBC9-D014D831C364}"/>
    <cellStyle name="Migliaia 8 2 2 2 3 7 2" xfId="12842" xr:uid="{D897D77C-3483-4F97-99B0-98DC77585FDF}"/>
    <cellStyle name="Migliaia 8 2 2 2 3 7 2 2" xfId="28019" xr:uid="{B7DDBCC4-B784-47C5-80AE-BAC3322AEADD}"/>
    <cellStyle name="Migliaia 8 2 2 2 3 7 3" xfId="23847" xr:uid="{6DAEFB0E-3C0A-40BF-B391-93BA9DF7910A}"/>
    <cellStyle name="Migliaia 8 2 2 2 3 8" xfId="5281" xr:uid="{673FE3FC-C585-464F-BCB4-4C2543783AB5}"/>
    <cellStyle name="Migliaia 8 2 2 2 3 8 2" xfId="20461" xr:uid="{A122EC3F-A29E-4029-AAE7-FB55C8C9366B}"/>
    <cellStyle name="Migliaia 8 2 2 2 3 9" xfId="16387" xr:uid="{8966260F-7820-44EC-9DF5-E434F48C1775}"/>
    <cellStyle name="Migliaia 8 2 2 2 4" xfId="1521" xr:uid="{8D620139-DDC9-4F8D-B9EF-8EE88E73E7CD}"/>
    <cellStyle name="Migliaia 8 2 2 2 4 2" xfId="2946" xr:uid="{F79E1F03-9281-4C29-A282-FC208FD0C6E6}"/>
    <cellStyle name="Migliaia 8 2 2 2 4 2 2" xfId="10437" xr:uid="{79D719FD-7502-4E7A-8778-C8AA31558CE2}"/>
    <cellStyle name="Migliaia 8 2 2 2 4 2 2 2" xfId="13983" xr:uid="{26EF91CA-BCAA-449C-840A-9DFB0BBC85AC}"/>
    <cellStyle name="Migliaia 8 2 2 2 4 2 2 2 2" xfId="29160" xr:uid="{A5D5F3E2-0748-42BD-894C-0B311C0CFE4C}"/>
    <cellStyle name="Migliaia 8 2 2 2 4 2 2 3" xfId="25615" xr:uid="{2BABD673-62FE-4978-BA0C-16238A348EB5}"/>
    <cellStyle name="Migliaia 8 2 2 2 4 2 3" xfId="6263" xr:uid="{98A0B0CE-F79C-47B0-A010-19127A3A5579}"/>
    <cellStyle name="Migliaia 8 2 2 2 4 2 3 2" xfId="21443" xr:uid="{B03ACCA9-586C-4FE5-B287-BB2F4B107717}"/>
    <cellStyle name="Migliaia 8 2 2 2 4 2 4" xfId="18155" xr:uid="{332FC394-E15D-4E9E-B1C9-EFAA057B7A4A}"/>
    <cellStyle name="Migliaia 8 2 2 2 4 3" xfId="3833" xr:uid="{C287A03C-D7D6-4A15-BA31-CE961F317030}"/>
    <cellStyle name="Migliaia 8 2 2 2 4 3 2" xfId="11321" xr:uid="{E054543F-1AE8-4DEE-8522-28043381CFBC}"/>
    <cellStyle name="Migliaia 8 2 2 2 4 3 2 2" xfId="14867" xr:uid="{22C7885F-CA7E-414E-BD46-FFC4A97A0DEA}"/>
    <cellStyle name="Migliaia 8 2 2 2 4 3 2 2 2" xfId="30044" xr:uid="{9A96FCB9-696D-4DBF-AAD7-5E6F1C9F8251}"/>
    <cellStyle name="Migliaia 8 2 2 2 4 3 2 3" xfId="26499" xr:uid="{4EF84430-C73D-4AB9-8DD3-5F685BB6065C}"/>
    <cellStyle name="Migliaia 8 2 2 2 4 3 3" xfId="7147" xr:uid="{5364E085-0453-40EA-8802-89017CA01B21}"/>
    <cellStyle name="Migliaia 8 2 2 2 4 3 3 2" xfId="22327" xr:uid="{6ADAF4E3-C4F1-4511-93D7-243D49073AE4}"/>
    <cellStyle name="Migliaia 8 2 2 2 4 3 4" xfId="19039" xr:uid="{181D30AE-9821-44EF-942A-BB82E3688014}"/>
    <cellStyle name="Migliaia 8 2 2 2 4 4" xfId="4901" xr:uid="{A6EA31CA-EBF5-4709-A889-CB0B865E50F9}"/>
    <cellStyle name="Migliaia 8 2 2 2 4 4 2" xfId="12386" xr:uid="{BB270462-99E4-43E5-829A-490BA6C8E8C0}"/>
    <cellStyle name="Migliaia 8 2 2 2 4 4 2 2" xfId="15932" xr:uid="{1F86A874-6F47-486B-AF33-9E214798EE0C}"/>
    <cellStyle name="Migliaia 8 2 2 2 4 4 2 2 2" xfId="31109" xr:uid="{03337657-1C31-4DC0-A4E7-EE3BEE7EB7C2}"/>
    <cellStyle name="Migliaia 8 2 2 2 4 4 2 3" xfId="27564" xr:uid="{AED9026B-248A-4D51-99AA-2F87AB0116B3}"/>
    <cellStyle name="Migliaia 8 2 2 2 4 4 3" xfId="8212" xr:uid="{61C3A9E6-91DA-46F1-9A1F-4F95322059CA}"/>
    <cellStyle name="Migliaia 8 2 2 2 4 4 3 2" xfId="23392" xr:uid="{FB2730FF-2EA5-4EFD-8B9D-4F862C8B8FFE}"/>
    <cellStyle name="Migliaia 8 2 2 2 4 4 4" xfId="20104" xr:uid="{C73D1DF6-FC10-48EF-ABA1-0CDFA4DE023E}"/>
    <cellStyle name="Migliaia 8 2 2 2 4 5" xfId="2056" xr:uid="{8BE82C79-B0A9-4070-A1A6-026560380694}"/>
    <cellStyle name="Migliaia 8 2 2 2 4 5 2" xfId="9553" xr:uid="{23E8EE16-CCD8-4A2F-A588-2DF001B9E489}"/>
    <cellStyle name="Migliaia 8 2 2 2 4 5 2 2" xfId="24731" xr:uid="{54E04A9F-6676-4BAC-8836-48FF212B63E8}"/>
    <cellStyle name="Migliaia 8 2 2 2 4 5 3" xfId="17271" xr:uid="{B8E4BCFB-56FD-43C1-8B96-6D5DDD045898}"/>
    <cellStyle name="Migliaia 8 2 2 2 4 6" xfId="9039" xr:uid="{DC5A3F16-9B95-43E6-B3E9-55F27462285A}"/>
    <cellStyle name="Migliaia 8 2 2 2 4 6 2" xfId="13212" xr:uid="{7CA9143B-F57E-4F19-A5C6-C524136A3D71}"/>
    <cellStyle name="Migliaia 8 2 2 2 4 6 2 2" xfId="28389" xr:uid="{87BA1A1A-0C8D-4C23-8124-D1DCE23A8254}"/>
    <cellStyle name="Migliaia 8 2 2 2 4 6 3" xfId="24217" xr:uid="{472B85F4-91C1-4F06-A0FC-052027BD141B}"/>
    <cellStyle name="Migliaia 8 2 2 2 4 7" xfId="5379" xr:uid="{E8A4E8E3-DFB2-48ED-9A4E-2CC17ECC6194}"/>
    <cellStyle name="Migliaia 8 2 2 2 4 7 2" xfId="20559" xr:uid="{C4CF16D7-C173-4801-B7D2-E72FDAE2C2C9}"/>
    <cellStyle name="Migliaia 8 2 2 2 4 8" xfId="16757" xr:uid="{98A4B8E8-48FB-4F69-B66B-4F091EAEC4A4}"/>
    <cellStyle name="Migliaia 8 2 2 2 5" xfId="1624" xr:uid="{41051BD2-4C5B-445C-9D02-E954365E4072}"/>
    <cellStyle name="Migliaia 8 2 2 2 5 2" xfId="3044" xr:uid="{E4DBBF8B-84BD-4F76-B503-19E40E64B269}"/>
    <cellStyle name="Migliaia 8 2 2 2 5 2 2" xfId="10535" xr:uid="{AC2DB41B-4D2A-48A0-8FBD-7E1F7AD2EE47}"/>
    <cellStyle name="Migliaia 8 2 2 2 5 2 2 2" xfId="14081" xr:uid="{33C612F8-38C3-4F7A-9338-1D98F03426ED}"/>
    <cellStyle name="Migliaia 8 2 2 2 5 2 2 2 2" xfId="29258" xr:uid="{30762EA2-8D8A-46A3-A266-2D533E532B5D}"/>
    <cellStyle name="Migliaia 8 2 2 2 5 2 2 3" xfId="25713" xr:uid="{4DA48AA4-F3A7-4FEF-8270-96A3A732BABC}"/>
    <cellStyle name="Migliaia 8 2 2 2 5 2 3" xfId="6361" xr:uid="{E9090BE3-3580-4C81-985F-208712CA2822}"/>
    <cellStyle name="Migliaia 8 2 2 2 5 2 3 2" xfId="21541" xr:uid="{D4DCE875-DF33-4220-BABD-0330074E46D8}"/>
    <cellStyle name="Migliaia 8 2 2 2 5 2 4" xfId="18253" xr:uid="{D823F4F8-1B4A-4A46-927F-A44B00452C25}"/>
    <cellStyle name="Migliaia 8 2 2 2 5 3" xfId="3931" xr:uid="{23CEA842-70D8-423F-A334-D33EA8F2D608}"/>
    <cellStyle name="Migliaia 8 2 2 2 5 3 2" xfId="11419" xr:uid="{D7C7D9DA-CA79-4DA4-BBAB-4BF9D640F5B1}"/>
    <cellStyle name="Migliaia 8 2 2 2 5 3 2 2" xfId="14965" xr:uid="{97E8A846-A3EA-431A-9EBE-744C55DF591E}"/>
    <cellStyle name="Migliaia 8 2 2 2 5 3 2 2 2" xfId="30142" xr:uid="{BC5A91E3-66CB-4220-B03C-16A86AEFE62E}"/>
    <cellStyle name="Migliaia 8 2 2 2 5 3 2 3" xfId="26597" xr:uid="{E46688F0-A3BD-4626-A551-FF4A4F7688D6}"/>
    <cellStyle name="Migliaia 8 2 2 2 5 3 3" xfId="7245" xr:uid="{B716D092-F777-405D-9147-022FD78E8998}"/>
    <cellStyle name="Migliaia 8 2 2 2 5 3 3 2" xfId="22425" xr:uid="{D4CB807F-33D5-4ECD-948F-4E8EFB311453}"/>
    <cellStyle name="Migliaia 8 2 2 2 5 3 4" xfId="19137" xr:uid="{48A666B2-4A12-4890-AA78-CC9E3CB399CC}"/>
    <cellStyle name="Migliaia 8 2 2 2 5 4" xfId="4902" xr:uid="{14CCF478-6718-4D17-9A76-89200DDD10F1}"/>
    <cellStyle name="Migliaia 8 2 2 2 5 4 2" xfId="12387" xr:uid="{8C1CC4F5-D3E0-4172-BCC6-02C2DF33073A}"/>
    <cellStyle name="Migliaia 8 2 2 2 5 4 2 2" xfId="15933" xr:uid="{D88EB12E-1D3E-4810-B41B-D1D483E21F62}"/>
    <cellStyle name="Migliaia 8 2 2 2 5 4 2 2 2" xfId="31110" xr:uid="{BF4B11EF-0743-4EEC-A53A-594D95DB49D2}"/>
    <cellStyle name="Migliaia 8 2 2 2 5 4 2 3" xfId="27565" xr:uid="{80AD54DD-134B-4710-A3F7-5C744EA32D69}"/>
    <cellStyle name="Migliaia 8 2 2 2 5 4 3" xfId="8213" xr:uid="{E7D7143F-1EF2-4018-808E-12FFF554FB3B}"/>
    <cellStyle name="Migliaia 8 2 2 2 5 4 3 2" xfId="23393" xr:uid="{DAD93D86-C1F3-46BF-87AC-91B706248CBB}"/>
    <cellStyle name="Migliaia 8 2 2 2 5 4 4" xfId="20105" xr:uid="{7015EE04-8282-4028-9EF4-B743B99528EA}"/>
    <cellStyle name="Migliaia 8 2 2 2 5 5" xfId="2154" xr:uid="{CE8CFDBF-B373-4750-93F3-99E97228827B}"/>
    <cellStyle name="Migliaia 8 2 2 2 5 5 2" xfId="9651" xr:uid="{E3BC19AA-2C4D-45CA-8E48-0E12DBEDEFDE}"/>
    <cellStyle name="Migliaia 8 2 2 2 5 5 2 2" xfId="24829" xr:uid="{A8B73B92-EAAF-4B73-B843-CA953E9DDD4D}"/>
    <cellStyle name="Migliaia 8 2 2 2 5 5 3" xfId="17369" xr:uid="{621F7FCD-8C8B-47AE-971C-10EC3EE9A67B}"/>
    <cellStyle name="Migliaia 8 2 2 2 5 6" xfId="9137" xr:uid="{105F8187-D300-4B07-8D9E-DB5CAFB00BFB}"/>
    <cellStyle name="Migliaia 8 2 2 2 5 6 2" xfId="13310" xr:uid="{262EB7EB-E610-40B6-A25A-61AC08F89C01}"/>
    <cellStyle name="Migliaia 8 2 2 2 5 6 2 2" xfId="28487" xr:uid="{62BDB902-DD13-40E2-B462-B4D5EF093CCA}"/>
    <cellStyle name="Migliaia 8 2 2 2 5 6 3" xfId="24315" xr:uid="{F8302F28-EB4C-45DA-B916-391A8487DB06}"/>
    <cellStyle name="Migliaia 8 2 2 2 5 7" xfId="5477" xr:uid="{A8396CC7-5E79-4CA1-95A3-5632506589A7}"/>
    <cellStyle name="Migliaia 8 2 2 2 5 7 2" xfId="20657" xr:uid="{0C6B7F35-9E6F-48AC-B8F1-68660E7806BE}"/>
    <cellStyle name="Migliaia 8 2 2 2 5 8" xfId="16855" xr:uid="{484FCE11-7697-40F4-94CD-191E1D83198B}"/>
    <cellStyle name="Migliaia 8 2 2 2 6" xfId="1723" xr:uid="{CE476379-469C-4A4A-B731-FAE530F2C364}"/>
    <cellStyle name="Migliaia 8 2 2 2 6 2" xfId="3142" xr:uid="{C41FD455-0A2C-4B67-B7CD-9B7C4F831823}"/>
    <cellStyle name="Migliaia 8 2 2 2 6 2 2" xfId="10633" xr:uid="{41088759-8162-41CB-A407-36C336B5ABF9}"/>
    <cellStyle name="Migliaia 8 2 2 2 6 2 2 2" xfId="14179" xr:uid="{D8D3906B-FFDA-4398-9ADD-8D9537A3E78E}"/>
    <cellStyle name="Migliaia 8 2 2 2 6 2 2 2 2" xfId="29356" xr:uid="{96EA27E4-8A0C-4836-BE60-CF22D3430AE6}"/>
    <cellStyle name="Migliaia 8 2 2 2 6 2 2 3" xfId="25811" xr:uid="{CA13AADB-8452-4AC7-A119-D919C5D42A36}"/>
    <cellStyle name="Migliaia 8 2 2 2 6 2 3" xfId="6459" xr:uid="{915FD189-F1BA-4A20-BF75-078900AAFFFF}"/>
    <cellStyle name="Migliaia 8 2 2 2 6 2 3 2" xfId="21639" xr:uid="{CEFE7B75-34B4-4ED7-B38B-2754D2F341FF}"/>
    <cellStyle name="Migliaia 8 2 2 2 6 2 4" xfId="18351" xr:uid="{213BE179-E22A-4950-9DE7-CFBB260B7379}"/>
    <cellStyle name="Migliaia 8 2 2 2 6 3" xfId="4029" xr:uid="{20FB0E81-0B48-498A-B966-3BDDA8F7D3F9}"/>
    <cellStyle name="Migliaia 8 2 2 2 6 3 2" xfId="11517" xr:uid="{41624346-087A-4B74-9B28-6C59ACC91275}"/>
    <cellStyle name="Migliaia 8 2 2 2 6 3 2 2" xfId="15063" xr:uid="{BDA8FB39-87D0-4C16-8CE4-32256DE62872}"/>
    <cellStyle name="Migliaia 8 2 2 2 6 3 2 2 2" xfId="30240" xr:uid="{729DEBBB-3331-471F-A91F-44E73ED4D7A4}"/>
    <cellStyle name="Migliaia 8 2 2 2 6 3 2 3" xfId="26695" xr:uid="{2D27052A-4E22-4711-96C6-775EA2053B6B}"/>
    <cellStyle name="Migliaia 8 2 2 2 6 3 3" xfId="7343" xr:uid="{3B6CBA24-EE40-4BAE-89AB-694F6044E49A}"/>
    <cellStyle name="Migliaia 8 2 2 2 6 3 3 2" xfId="22523" xr:uid="{117509E2-2814-4136-A92D-34159FDD5D74}"/>
    <cellStyle name="Migliaia 8 2 2 2 6 3 4" xfId="19235" xr:uid="{0A59DD35-014D-4462-92F5-06CA63BCF0FA}"/>
    <cellStyle name="Migliaia 8 2 2 2 6 4" xfId="4903" xr:uid="{395856A8-D45D-486E-8972-F38154FF9EA8}"/>
    <cellStyle name="Migliaia 8 2 2 2 6 4 2" xfId="12388" xr:uid="{89C8249C-70A1-4F42-B444-2745EA94BC8E}"/>
    <cellStyle name="Migliaia 8 2 2 2 6 4 2 2" xfId="15934" xr:uid="{3185164E-09BB-4D9B-B53A-1107934CB204}"/>
    <cellStyle name="Migliaia 8 2 2 2 6 4 2 2 2" xfId="31111" xr:uid="{CF4A453F-F41B-4DAE-9AA8-1C59E1AD7C15}"/>
    <cellStyle name="Migliaia 8 2 2 2 6 4 2 3" xfId="27566" xr:uid="{CCB02856-BC8B-4D92-9BF1-9D08A0B1BBEC}"/>
    <cellStyle name="Migliaia 8 2 2 2 6 4 3" xfId="8214" xr:uid="{270E812E-5056-4C5B-89D1-68FDFAD7E6F6}"/>
    <cellStyle name="Migliaia 8 2 2 2 6 4 3 2" xfId="23394" xr:uid="{F130A538-F08E-45D0-8C81-CABEE11BFF12}"/>
    <cellStyle name="Migliaia 8 2 2 2 6 4 4" xfId="20106" xr:uid="{750AE24A-A6C6-45EA-ACF0-1190AD026F83}"/>
    <cellStyle name="Migliaia 8 2 2 2 6 5" xfId="2252" xr:uid="{2D62585C-B2C1-4CFD-89EF-DB4A4AD7ED1C}"/>
    <cellStyle name="Migliaia 8 2 2 2 6 5 2" xfId="9749" xr:uid="{159A2FBA-06A0-463E-8B9E-39B15F298A19}"/>
    <cellStyle name="Migliaia 8 2 2 2 6 5 2 2" xfId="24927" xr:uid="{41E39599-0618-4D2B-B875-4874DD4AD882}"/>
    <cellStyle name="Migliaia 8 2 2 2 6 5 3" xfId="17467" xr:uid="{FBAB23B2-008E-41A2-8DC3-547D46D6B9E3}"/>
    <cellStyle name="Migliaia 8 2 2 2 6 6" xfId="9235" xr:uid="{31943D5E-70A4-4DCD-8C70-EE42D0FD3591}"/>
    <cellStyle name="Migliaia 8 2 2 2 6 6 2" xfId="13408" xr:uid="{AC7EA52E-BF5C-4A5A-9B0B-845A3D612D81}"/>
    <cellStyle name="Migliaia 8 2 2 2 6 6 2 2" xfId="28585" xr:uid="{3A92CEB4-D3C4-4312-BC61-05E8E7DFE946}"/>
    <cellStyle name="Migliaia 8 2 2 2 6 6 3" xfId="24413" xr:uid="{F0BB75CB-D1F9-42D1-9D86-80C95CED63EE}"/>
    <cellStyle name="Migliaia 8 2 2 2 6 7" xfId="5575" xr:uid="{56075C9F-A00C-47AF-ABCE-AA2D34D29082}"/>
    <cellStyle name="Migliaia 8 2 2 2 6 7 2" xfId="20755" xr:uid="{5488AEEC-4419-488B-AC5D-8FC7206520F2}"/>
    <cellStyle name="Migliaia 8 2 2 2 6 8" xfId="16953" xr:uid="{8D2FD374-BA5D-4BD7-AC2C-DAC0F015CDFB}"/>
    <cellStyle name="Migliaia 8 2 2 2 7" xfId="2352" xr:uid="{E943B78D-30A1-4299-9336-5E919D9E4E07}"/>
    <cellStyle name="Migliaia 8 2 2 2 7 2" xfId="9847" xr:uid="{E1E58E4F-5540-478F-A2A5-540BF120CBE2}"/>
    <cellStyle name="Migliaia 8 2 2 2 7 2 2" xfId="13506" xr:uid="{4890A709-A63F-468E-8F08-D542635FDC04}"/>
    <cellStyle name="Migliaia 8 2 2 2 7 2 2 2" xfId="28683" xr:uid="{B901A9AD-F94F-4214-ABC5-8048B56F63CC}"/>
    <cellStyle name="Migliaia 8 2 2 2 7 2 3" xfId="25025" xr:uid="{822C8076-F035-4562-80DF-BB2325F74FDD}"/>
    <cellStyle name="Migliaia 8 2 2 2 7 3" xfId="5673" xr:uid="{454FC116-258F-45FA-9044-6D03E57B44D4}"/>
    <cellStyle name="Migliaia 8 2 2 2 7 3 2" xfId="20853" xr:uid="{FE430D50-A2AF-4E7D-893D-07D0D5A9C1F7}"/>
    <cellStyle name="Migliaia 8 2 2 2 7 4" xfId="17565" xr:uid="{F21742AE-0450-4747-8A8B-97875233803D}"/>
    <cellStyle name="Migliaia 8 2 2 2 8" xfId="3242" xr:uid="{DA9A6624-C0D8-4051-81D6-5B5281B5F7C4}"/>
    <cellStyle name="Migliaia 8 2 2 2 8 2" xfId="10731" xr:uid="{C9753587-5610-4435-855F-5A7FA84027E5}"/>
    <cellStyle name="Migliaia 8 2 2 2 8 2 2" xfId="14277" xr:uid="{E8191813-DA60-4CB9-ACE4-550518465595}"/>
    <cellStyle name="Migliaia 8 2 2 2 8 2 2 2" xfId="29454" xr:uid="{6CC9B0DE-5644-45B5-8DF4-8E6AA5F208EB}"/>
    <cellStyle name="Migliaia 8 2 2 2 8 2 3" xfId="25909" xr:uid="{9CFD07ED-736D-4298-898A-46B8FE78D3D2}"/>
    <cellStyle name="Migliaia 8 2 2 2 8 3" xfId="6557" xr:uid="{B604E7FB-2034-4852-92A3-4172EB4CCF2D}"/>
    <cellStyle name="Migliaia 8 2 2 2 8 3 2" xfId="21737" xr:uid="{AD674904-4061-4E5C-B4A9-316AA6FEF5CC}"/>
    <cellStyle name="Migliaia 8 2 2 2 8 4" xfId="18449" xr:uid="{5A2AC908-3B92-410D-8FE6-23AA35E44679}"/>
    <cellStyle name="Migliaia 8 2 2 2 9" xfId="4904" xr:uid="{6D7755A3-D066-4768-BF73-D84A8B8CDD77}"/>
    <cellStyle name="Migliaia 8 2 2 2 9 2" xfId="12389" xr:uid="{CAECD690-A2F8-4D75-BC90-88D78051E8FA}"/>
    <cellStyle name="Migliaia 8 2 2 2 9 2 2" xfId="15935" xr:uid="{AC9A2EE6-8547-4C57-963B-3B55CF809AA1}"/>
    <cellStyle name="Migliaia 8 2 2 2 9 2 2 2" xfId="31112" xr:uid="{FA75AE78-3AE0-42BA-AFAB-6DCEDFE1E2E5}"/>
    <cellStyle name="Migliaia 8 2 2 2 9 2 3" xfId="27567" xr:uid="{BFC8A7B9-F7D4-4B4C-86F5-7A7CBC0C6DB9}"/>
    <cellStyle name="Migliaia 8 2 2 2 9 3" xfId="8215" xr:uid="{0A8D053A-B46D-47B0-BD8B-3B62E0124072}"/>
    <cellStyle name="Migliaia 8 2 2 2 9 3 2" xfId="23395" xr:uid="{3D16BDB8-F3DD-4500-9167-0CA40CED3624}"/>
    <cellStyle name="Migliaia 8 2 2 2 9 4" xfId="20107" xr:uid="{868228AF-8EC6-47AA-9768-42180A85953D}"/>
    <cellStyle name="Migliaia 8 2 2 3" xfId="910" xr:uid="{30ACC8CB-ECED-4247-B4DF-304D5AB16694}"/>
    <cellStyle name="Migliaia 8 2 2 3 2" xfId="2428" xr:uid="{D4397C01-7C68-4EAF-8A27-FB979A002A82}"/>
    <cellStyle name="Migliaia 8 2 2 3 2 2" xfId="9920" xr:uid="{B601606E-74DB-4E59-B185-35755A31FF70}"/>
    <cellStyle name="Migliaia 8 2 2 3 2 2 2" xfId="13579" xr:uid="{73D32C78-0697-408B-9BBB-91EA70A6349C}"/>
    <cellStyle name="Migliaia 8 2 2 3 2 2 2 2" xfId="28756" xr:uid="{E9F73477-A0ED-4879-84B2-2AE1F72AEB1A}"/>
    <cellStyle name="Migliaia 8 2 2 3 2 2 3" xfId="25098" xr:uid="{ED4EEC6B-B1DD-4E2A-BBA4-3C672F5C80BB}"/>
    <cellStyle name="Migliaia 8 2 2 3 2 3" xfId="5746" xr:uid="{90F2F1B3-5AC1-4618-A5BA-70F8C2D7E49D}"/>
    <cellStyle name="Migliaia 8 2 2 3 2 3 2" xfId="20926" xr:uid="{D30AA35E-8C58-43F2-8CA9-881A84F3E6BE}"/>
    <cellStyle name="Migliaia 8 2 2 3 2 4" xfId="17638" xr:uid="{9D4420D4-5996-4737-9109-134CB7CF36B5}"/>
    <cellStyle name="Migliaia 8 2 2 3 3" xfId="3316" xr:uid="{2A10BFDC-08A2-4926-9213-7821C9081B35}"/>
    <cellStyle name="Migliaia 8 2 2 3 3 2" xfId="10804" xr:uid="{ABC47096-6578-434B-BB82-5CB885D23D05}"/>
    <cellStyle name="Migliaia 8 2 2 3 3 2 2" xfId="14350" xr:uid="{79CF164A-6DFF-4C4E-998A-A62D0FC7075E}"/>
    <cellStyle name="Migliaia 8 2 2 3 3 2 2 2" xfId="29527" xr:uid="{EB6A0BD0-E8C8-4C2E-8A15-C2C4991DB0AD}"/>
    <cellStyle name="Migliaia 8 2 2 3 3 2 3" xfId="25982" xr:uid="{869A5B99-AC0E-4CB4-9CD8-59EB04958A43}"/>
    <cellStyle name="Migliaia 8 2 2 3 3 3" xfId="6630" xr:uid="{096A3251-F0E1-49F5-940B-43020A81EB18}"/>
    <cellStyle name="Migliaia 8 2 2 3 3 3 2" xfId="21810" xr:uid="{52811EA6-7B77-42BE-90CF-E2DC03EB5C1C}"/>
    <cellStyle name="Migliaia 8 2 2 3 3 4" xfId="18522" xr:uid="{7FC399DD-8624-4C0D-90F0-4AC7ECB8E4D5}"/>
    <cellStyle name="Migliaia 8 2 2 3 4" xfId="4905" xr:uid="{C5B785F4-2D49-413B-8B95-3EE36566BDC5}"/>
    <cellStyle name="Migliaia 8 2 2 3 4 2" xfId="12390" xr:uid="{6987EE55-3398-487B-ABAD-8C3DCD4E5BA4}"/>
    <cellStyle name="Migliaia 8 2 2 3 4 2 2" xfId="15936" xr:uid="{2B3FCE06-F31A-4349-A97B-541EBACFAB03}"/>
    <cellStyle name="Migliaia 8 2 2 3 4 2 2 2" xfId="31113" xr:uid="{04BBA936-EFA2-4D95-B776-00E3D176DC7F}"/>
    <cellStyle name="Migliaia 8 2 2 3 4 2 3" xfId="27568" xr:uid="{46B6B692-B783-4EBF-9701-AA1C5F358902}"/>
    <cellStyle name="Migliaia 8 2 2 3 4 3" xfId="8216" xr:uid="{900D9B87-DC5F-4AB7-90A0-559C4256AFA0}"/>
    <cellStyle name="Migliaia 8 2 2 3 4 3 2" xfId="23396" xr:uid="{6FB64391-8FFE-424D-9063-37374BF78AEB}"/>
    <cellStyle name="Migliaia 8 2 2 3 4 4" xfId="20108" xr:uid="{D8C5793E-8AF5-4CAE-A30B-6A022DC5AA1E}"/>
    <cellStyle name="Migliaia 8 2 2 3 5" xfId="8522" xr:uid="{D53AA823-6848-4BCF-8964-B63B64FF5154}"/>
    <cellStyle name="Migliaia 8 2 2 3 5 2" xfId="12695" xr:uid="{4E66B15D-840D-4401-BEE0-D7C047A0DD8E}"/>
    <cellStyle name="Migliaia 8 2 2 3 5 2 2" xfId="27872" xr:uid="{4E75BCB5-93EA-4106-8706-70C049FCD791}"/>
    <cellStyle name="Migliaia 8 2 2 3 5 3" xfId="23700" xr:uid="{02A019CA-B5C2-4B67-B593-7B98742124BA}"/>
    <cellStyle name="Migliaia 8 2 2 3 6" xfId="16240" xr:uid="{BC9BFBAD-9F7B-4959-8216-2AFD495A2F9A}"/>
    <cellStyle name="Migliaia 8 2 2 3 7" xfId="31680" xr:uid="{3325DFED-3924-492B-B5B3-6C1FCF1FB3C7}"/>
    <cellStyle name="Migliaia 8 2 2 4" xfId="1013" xr:uid="{7E625E75-F988-4854-87AC-7503F05D3AF1}"/>
    <cellStyle name="Migliaia 8 2 2 4 2" xfId="2526" xr:uid="{E5D6A1D5-AB13-4D2F-9F63-071FCB330DF6}"/>
    <cellStyle name="Migliaia 8 2 2 4 2 2" xfId="10018" xr:uid="{E12923C8-FA2F-42F9-9F0A-CC5A7FF2AA3B}"/>
    <cellStyle name="Migliaia 8 2 2 4 2 2 2" xfId="13677" xr:uid="{FC06C884-200A-4E10-81B2-691C773B98F4}"/>
    <cellStyle name="Migliaia 8 2 2 4 2 2 2 2" xfId="28854" xr:uid="{2A88F451-2FC6-40D9-9B6B-1B7696851104}"/>
    <cellStyle name="Migliaia 8 2 2 4 2 2 3" xfId="25196" xr:uid="{D9591682-3C7A-47BE-9443-073CB8377D1F}"/>
    <cellStyle name="Migliaia 8 2 2 4 2 3" xfId="5844" xr:uid="{F7D475F7-2E10-4B59-AD2D-6B5CBCBD9DD9}"/>
    <cellStyle name="Migliaia 8 2 2 4 2 3 2" xfId="21024" xr:uid="{82DE2028-2306-410D-AFFB-94D2FF045386}"/>
    <cellStyle name="Migliaia 8 2 2 4 2 4" xfId="17736" xr:uid="{3D602386-E735-4964-B374-A154B127A4FD}"/>
    <cellStyle name="Migliaia 8 2 2 4 3" xfId="3414" xr:uid="{30629B6E-42BE-4A5C-A8E9-0D91FAC23F6C}"/>
    <cellStyle name="Migliaia 8 2 2 4 3 2" xfId="10902" xr:uid="{DE9C48EE-5FB9-45CB-87CB-C14EC39F118A}"/>
    <cellStyle name="Migliaia 8 2 2 4 3 2 2" xfId="14448" xr:uid="{9B0E5797-A2B8-4D0F-BB50-AC3DBDB1FB53}"/>
    <cellStyle name="Migliaia 8 2 2 4 3 2 2 2" xfId="29625" xr:uid="{3E2616F6-A450-4E02-BB8D-861FDB17608D}"/>
    <cellStyle name="Migliaia 8 2 2 4 3 2 3" xfId="26080" xr:uid="{E9B30D8A-CE7F-4DAD-B8B8-2A65C6A8AA73}"/>
    <cellStyle name="Migliaia 8 2 2 4 3 3" xfId="6728" xr:uid="{C83D9680-3CE8-4750-BC85-08D88E2894F9}"/>
    <cellStyle name="Migliaia 8 2 2 4 3 3 2" xfId="21908" xr:uid="{72A69481-510D-4285-8C4B-20EF5A5CE1B9}"/>
    <cellStyle name="Migliaia 8 2 2 4 3 4" xfId="18620" xr:uid="{F07BC8BA-8D0B-42B8-9651-7916ADE67448}"/>
    <cellStyle name="Migliaia 8 2 2 4 4" xfId="4906" xr:uid="{8503823A-D733-4CEC-BC0A-7BDC37CB401E}"/>
    <cellStyle name="Migliaia 8 2 2 4 4 2" xfId="12391" xr:uid="{8F402A7F-117A-41C2-AB7C-EADD939666D9}"/>
    <cellStyle name="Migliaia 8 2 2 4 4 2 2" xfId="15937" xr:uid="{DD5E286C-1D0B-4D77-8A24-10A6D8B954EB}"/>
    <cellStyle name="Migliaia 8 2 2 4 4 2 2 2" xfId="31114" xr:uid="{FA8FE9D2-EA5D-42A4-9DCB-E2602495D0E0}"/>
    <cellStyle name="Migliaia 8 2 2 4 4 2 3" xfId="27569" xr:uid="{C8418B00-4D91-48E7-856E-C0F4740B8E3C}"/>
    <cellStyle name="Migliaia 8 2 2 4 4 3" xfId="8217" xr:uid="{F02F8D4C-FA24-4544-9FE2-8382DCF1AA0B}"/>
    <cellStyle name="Migliaia 8 2 2 4 4 3 2" xfId="23397" xr:uid="{D2F09EED-EF40-49C6-A309-9ECA721A58EE}"/>
    <cellStyle name="Migliaia 8 2 2 4 4 4" xfId="20109" xr:uid="{4EFA93B8-C24B-482A-B3A6-F6C3572CF695}"/>
    <cellStyle name="Migliaia 8 2 2 4 5" xfId="8620" xr:uid="{BBF3F8E5-B3D2-4450-BE00-03E6CF2DCD36}"/>
    <cellStyle name="Migliaia 8 2 2 4 5 2" xfId="12793" xr:uid="{520209CA-F6D0-495E-AC15-0ED52CFDED8A}"/>
    <cellStyle name="Migliaia 8 2 2 4 5 2 2" xfId="27970" xr:uid="{D9B9DE00-0AC7-42DC-93E1-303145BADA65}"/>
    <cellStyle name="Migliaia 8 2 2 4 5 3" xfId="23798" xr:uid="{FB245822-9D4E-41FF-A8EE-0A2D862EC9F8}"/>
    <cellStyle name="Migliaia 8 2 2 4 6" xfId="16338" xr:uid="{23F43278-9595-446F-B6CD-3710B5093374}"/>
    <cellStyle name="Migliaia 8 2 2 4 7" xfId="31558" xr:uid="{0D48A258-A72D-4EC4-A693-D22534BED421}"/>
    <cellStyle name="Migliaia 8 2 2 5" xfId="1271" xr:uid="{E92E24AC-F010-454F-87C9-1211800C0671}"/>
    <cellStyle name="Migliaia 8 2 2 5 10" xfId="31330" xr:uid="{F1EA2B37-C656-4DFF-A543-1176F7BB4C4D}"/>
    <cellStyle name="Migliaia 8 2 2 5 2" xfId="2701" xr:uid="{34A1662C-719C-4403-B7CF-465C81393F78}"/>
    <cellStyle name="Migliaia 8 2 2 5 2 2" xfId="10192" xr:uid="{C95055AA-AF9E-48F4-B46E-2FDF63AD2EC1}"/>
    <cellStyle name="Migliaia 8 2 2 5 2 2 2" xfId="13836" xr:uid="{A65B6788-8982-4F02-9C6E-EF65DDA6D86A}"/>
    <cellStyle name="Migliaia 8 2 2 5 2 2 2 2" xfId="29013" xr:uid="{D794156D-3DEE-41FB-BC7E-52A240D156CB}"/>
    <cellStyle name="Migliaia 8 2 2 5 2 2 3" xfId="25370" xr:uid="{0269F8BF-8ACF-4035-A176-8F625E5A2BB7}"/>
    <cellStyle name="Migliaia 8 2 2 5 2 3" xfId="6018" xr:uid="{FEC58ACD-42B2-4752-B34C-CCB776DFFEB6}"/>
    <cellStyle name="Migliaia 8 2 2 5 2 3 2" xfId="21198" xr:uid="{68EC8DCA-0C7F-4C70-9E67-5EEEFC4B5F3B}"/>
    <cellStyle name="Migliaia 8 2 2 5 2 4" xfId="17910" xr:uid="{CBA08C62-2021-436A-B217-57BE068FE1E9}"/>
    <cellStyle name="Migliaia 8 2 2 5 3" xfId="3588" xr:uid="{968659C7-8281-49F3-9A4A-509502E361ED}"/>
    <cellStyle name="Migliaia 8 2 2 5 3 2" xfId="11076" xr:uid="{71EAD192-8A3C-4207-886B-5C862FBF0D4F}"/>
    <cellStyle name="Migliaia 8 2 2 5 3 2 2" xfId="14622" xr:uid="{CC55BE0E-94C4-476C-A5C1-17B62B1C20D3}"/>
    <cellStyle name="Migliaia 8 2 2 5 3 2 2 2" xfId="29799" xr:uid="{E0476BDF-89D8-44DA-8618-3EAD9D538260}"/>
    <cellStyle name="Migliaia 8 2 2 5 3 2 3" xfId="26254" xr:uid="{BEAA4800-6222-4E81-885C-925229154A1E}"/>
    <cellStyle name="Migliaia 8 2 2 5 3 3" xfId="6902" xr:uid="{09C5BCF3-9CFB-4339-B8B0-2A98E701776F}"/>
    <cellStyle name="Migliaia 8 2 2 5 3 3 2" xfId="22082" xr:uid="{6287DF4C-3FF1-4636-9D3D-1115869A1BF9}"/>
    <cellStyle name="Migliaia 8 2 2 5 3 4" xfId="18794" xr:uid="{89B624F6-D9AC-4FD0-8561-CE44BFAD837F}"/>
    <cellStyle name="Migliaia 8 2 2 5 4" xfId="4907" xr:uid="{8F62720F-12E1-4271-85CE-665601DC5037}"/>
    <cellStyle name="Migliaia 8 2 2 5 4 2" xfId="12392" xr:uid="{8B8A4BD0-5A9E-4111-A81D-D205B27A6024}"/>
    <cellStyle name="Migliaia 8 2 2 5 4 2 2" xfId="15938" xr:uid="{A30BA99C-D26C-4E1E-A3D9-96CFF4E7A42C}"/>
    <cellStyle name="Migliaia 8 2 2 5 4 2 2 2" xfId="31115" xr:uid="{4D07E62E-5D55-4FA4-9713-6B246923E4A1}"/>
    <cellStyle name="Migliaia 8 2 2 5 4 2 3" xfId="27570" xr:uid="{DB2B5F2E-D86F-4A1C-9ECC-FA68AA2CEB21}"/>
    <cellStyle name="Migliaia 8 2 2 5 4 3" xfId="8218" xr:uid="{3AA9DAD4-CDCA-48ED-BDEF-FD4560EF0F3A}"/>
    <cellStyle name="Migliaia 8 2 2 5 4 3 2" xfId="23398" xr:uid="{38C83CEC-1956-4F77-852E-CCA38BE4BEBE}"/>
    <cellStyle name="Migliaia 8 2 2 5 4 4" xfId="20110" xr:uid="{60C9F77C-6772-4802-8F18-F2ABCA056BA1}"/>
    <cellStyle name="Migliaia 8 2 2 5 5" xfId="4990" xr:uid="{6FD19A77-FF50-4ADC-A151-E00219A9F789}"/>
    <cellStyle name="Migliaia 8 2 2 5 5 2" xfId="12474" xr:uid="{D39E899A-1AD3-4859-A94F-C8A3188AEA99}"/>
    <cellStyle name="Migliaia 8 2 2 5 5 2 2" xfId="16020" xr:uid="{D9150B88-9F84-4BA5-B7F2-96F4B3C4AD5F}"/>
    <cellStyle name="Migliaia 8 2 2 5 5 2 2 2" xfId="31197" xr:uid="{555D1F55-DA08-405F-BA6C-322A2078852D}"/>
    <cellStyle name="Migliaia 8 2 2 5 5 2 3" xfId="27652" xr:uid="{65E3378D-A35C-459C-AFB7-1AC40DC38D4E}"/>
    <cellStyle name="Migliaia 8 2 2 5 5 3" xfId="8300" xr:uid="{C20F4EA6-AFBF-43F5-B12F-BADB07BB28FE}"/>
    <cellStyle name="Migliaia 8 2 2 5 5 3 2" xfId="23480" xr:uid="{38D82E03-DD6F-4835-9E16-9DED18CBB251}"/>
    <cellStyle name="Migliaia 8 2 2 5 5 4" xfId="20192" xr:uid="{292306B1-B726-4748-BAD0-434019C896F6}"/>
    <cellStyle name="Migliaia 8 2 2 5 6" xfId="1811" xr:uid="{A3DE76F0-A7B7-483F-89A8-41FA3A4F5D52}"/>
    <cellStyle name="Migliaia 8 2 2 5 6 2" xfId="9308" xr:uid="{7934FC0D-C77A-4973-9ACA-6FEA6841F60C}"/>
    <cellStyle name="Migliaia 8 2 2 5 6 2 2" xfId="24486" xr:uid="{DE67C185-4B8A-4C07-A5C1-FDB0B921FE9F}"/>
    <cellStyle name="Migliaia 8 2 2 5 6 3" xfId="17026" xr:uid="{6B9A3E28-D5C3-4025-B60D-7875CA010301}"/>
    <cellStyle name="Migliaia 8 2 2 5 7" xfId="8794" xr:uid="{061FC41C-4C80-4708-BE21-99F0E6AC4B37}"/>
    <cellStyle name="Migliaia 8 2 2 5 7 2" xfId="12967" xr:uid="{8F688CAC-8547-4500-8130-73E45325B644}"/>
    <cellStyle name="Migliaia 8 2 2 5 7 2 2" xfId="28144" xr:uid="{7CAA9D7D-A77F-4FA2-A204-F4544C203F43}"/>
    <cellStyle name="Migliaia 8 2 2 5 7 3" xfId="23972" xr:uid="{6E6A343D-1B87-4DF4-87C7-874D5153C907}"/>
    <cellStyle name="Migliaia 8 2 2 5 8" xfId="5134" xr:uid="{59F585F5-855C-4830-A2B5-FE25663E261B}"/>
    <cellStyle name="Migliaia 8 2 2 5 8 2" xfId="20314" xr:uid="{39F5EC8A-827C-4BDD-97E5-49E6643B2A4B}"/>
    <cellStyle name="Migliaia 8 2 2 5 9" xfId="16512" xr:uid="{F8833C28-76BA-44F7-8B0D-1376087CA9D1}"/>
    <cellStyle name="Migliaia 8 2 2 6" xfId="1373" xr:uid="{648A7348-5D88-4527-8C0B-AE59133960DA}"/>
    <cellStyle name="Migliaia 8 2 2 6 2" xfId="2799" xr:uid="{4FA5D563-9C6F-4172-82C4-6244A90C5D33}"/>
    <cellStyle name="Migliaia 8 2 2 6 2 2" xfId="10290" xr:uid="{A292014B-9C4A-4604-9C65-81A2EE2B7C9E}"/>
    <cellStyle name="Migliaia 8 2 2 6 2 2 2" xfId="13885" xr:uid="{6C4B1200-4956-4DC9-96D3-4C578B9D1919}"/>
    <cellStyle name="Migliaia 8 2 2 6 2 2 2 2" xfId="29062" xr:uid="{5C367173-FAF1-4FC7-A4CB-C47D3B4A4686}"/>
    <cellStyle name="Migliaia 8 2 2 6 2 2 3" xfId="25468" xr:uid="{D325907F-16FD-48EF-B293-27334A4D7803}"/>
    <cellStyle name="Migliaia 8 2 2 6 2 3" xfId="6116" xr:uid="{850B9833-BABB-4E07-8DED-0BC6BC459432}"/>
    <cellStyle name="Migliaia 8 2 2 6 2 3 2" xfId="21296" xr:uid="{B693634B-0A01-4A4C-BEF8-9BD58AAB978C}"/>
    <cellStyle name="Migliaia 8 2 2 6 2 4" xfId="18008" xr:uid="{6FE523CD-2686-4A3A-9AB6-9E5C7BEF76F4}"/>
    <cellStyle name="Migliaia 8 2 2 6 3" xfId="3686" xr:uid="{8354F22E-0F4A-42DB-95BC-7E580910F289}"/>
    <cellStyle name="Migliaia 8 2 2 6 3 2" xfId="11174" xr:uid="{EE360042-A7C2-4AA0-85CA-964C60C1BFEB}"/>
    <cellStyle name="Migliaia 8 2 2 6 3 2 2" xfId="14720" xr:uid="{2876BFA3-1A38-406C-BB72-D5DE225C7257}"/>
    <cellStyle name="Migliaia 8 2 2 6 3 2 2 2" xfId="29897" xr:uid="{199606E7-3F08-46C0-9D94-A0FC99488034}"/>
    <cellStyle name="Migliaia 8 2 2 6 3 2 3" xfId="26352" xr:uid="{6113C2C3-61BB-49A1-AE2B-2EC2AAFFF2D7}"/>
    <cellStyle name="Migliaia 8 2 2 6 3 3" xfId="7000" xr:uid="{0452CAFC-2524-4B9E-9C74-FEFAAA829128}"/>
    <cellStyle name="Migliaia 8 2 2 6 3 3 2" xfId="22180" xr:uid="{53033914-2747-4A28-B1A1-FA18043F6780}"/>
    <cellStyle name="Migliaia 8 2 2 6 3 4" xfId="18892" xr:uid="{7B9A8154-6FAD-4705-8CDE-88701D2EDE16}"/>
    <cellStyle name="Migliaia 8 2 2 6 4" xfId="4908" xr:uid="{32A0374E-27DC-41FC-A647-03299F3513DE}"/>
    <cellStyle name="Migliaia 8 2 2 6 4 2" xfId="12393" xr:uid="{F2EEC193-0296-41A7-8D54-781897DB2730}"/>
    <cellStyle name="Migliaia 8 2 2 6 4 2 2" xfId="15939" xr:uid="{0727394B-B608-42BD-AE7D-B5B2CF74D41B}"/>
    <cellStyle name="Migliaia 8 2 2 6 4 2 2 2" xfId="31116" xr:uid="{06A9650D-FB89-4AA9-8AD6-F0ABD541B6E9}"/>
    <cellStyle name="Migliaia 8 2 2 6 4 2 3" xfId="27571" xr:uid="{C3246B00-054F-41AE-9D86-7EE606F312C5}"/>
    <cellStyle name="Migliaia 8 2 2 6 4 3" xfId="8219" xr:uid="{1550E9C3-58E0-4529-BC39-3E18643E027B}"/>
    <cellStyle name="Migliaia 8 2 2 6 4 3 2" xfId="23399" xr:uid="{EDE720C3-6C44-491E-AF14-FFF80E0DCE96}"/>
    <cellStyle name="Migliaia 8 2 2 6 4 4" xfId="20111" xr:uid="{0D35F85F-E55F-4F85-88A4-4309060EC7CC}"/>
    <cellStyle name="Migliaia 8 2 2 6 5" xfId="1909" xr:uid="{82216F25-F2E5-4D96-9C17-BDBE3433ADB5}"/>
    <cellStyle name="Migliaia 8 2 2 6 5 2" xfId="9406" xr:uid="{C6330DC7-8BAA-4095-93C0-62E89DF944C9}"/>
    <cellStyle name="Migliaia 8 2 2 6 5 2 2" xfId="24584" xr:uid="{F57D293C-E60C-4214-973F-805377C38833}"/>
    <cellStyle name="Migliaia 8 2 2 6 5 3" xfId="17124" xr:uid="{9E2CF2D1-1309-478B-97BA-5790F0B94FE3}"/>
    <cellStyle name="Migliaia 8 2 2 6 6" xfId="8892" xr:uid="{E4EFAE2F-1E99-476F-B786-87571C6FC1CD}"/>
    <cellStyle name="Migliaia 8 2 2 6 6 2" xfId="13065" xr:uid="{9FE82B88-6046-44E3-A50D-890EF65CF641}"/>
    <cellStyle name="Migliaia 8 2 2 6 6 2 2" xfId="28242" xr:uid="{FFEF2A93-958D-4BA8-9FD7-C81577C96DF7}"/>
    <cellStyle name="Migliaia 8 2 2 6 6 3" xfId="24070" xr:uid="{59C1C27B-BC0D-4DE9-B6AF-A7E4FA9C49D3}"/>
    <cellStyle name="Migliaia 8 2 2 6 7" xfId="5232" xr:uid="{3821B77C-D921-4DAC-B800-0794EB345779}"/>
    <cellStyle name="Migliaia 8 2 2 6 7 2" xfId="20412" xr:uid="{692FE24A-F309-4D5F-8CE9-84B7BF130001}"/>
    <cellStyle name="Migliaia 8 2 2 6 8" xfId="16610" xr:uid="{3FAD6CCD-8B8C-4972-B588-17638AD2F24E}"/>
    <cellStyle name="Migliaia 8 2 2 7" xfId="1472" xr:uid="{9538FAF5-D0D5-45C4-B333-AC8898D6064F}"/>
    <cellStyle name="Migliaia 8 2 2 7 2" xfId="2897" xr:uid="{7634CC92-C132-4465-A1C3-84FEAF4731E4}"/>
    <cellStyle name="Migliaia 8 2 2 7 2 2" xfId="10388" xr:uid="{04F523EC-E30E-4B4A-A998-85A8277F350D}"/>
    <cellStyle name="Migliaia 8 2 2 7 2 2 2" xfId="13934" xr:uid="{524727F1-2D06-4B21-8498-9770BE6B3F08}"/>
    <cellStyle name="Migliaia 8 2 2 7 2 2 2 2" xfId="29111" xr:uid="{ED4A26E1-AE27-435A-A7B1-7231BDBAEC11}"/>
    <cellStyle name="Migliaia 8 2 2 7 2 2 3" xfId="25566" xr:uid="{94892A17-7592-42E1-85B9-01F466F8970B}"/>
    <cellStyle name="Migliaia 8 2 2 7 2 3" xfId="6214" xr:uid="{BA840F31-5789-4749-9284-47CBA103927C}"/>
    <cellStyle name="Migliaia 8 2 2 7 2 3 2" xfId="21394" xr:uid="{1057EEF3-0C6C-41E3-9C2D-A32CDDCB726E}"/>
    <cellStyle name="Migliaia 8 2 2 7 2 4" xfId="18106" xr:uid="{4903FB4D-ED8A-4297-B084-BE7B07F186EB}"/>
    <cellStyle name="Migliaia 8 2 2 7 3" xfId="3784" xr:uid="{FA71A6E7-71C1-4F20-9A5B-575D4ADEE417}"/>
    <cellStyle name="Migliaia 8 2 2 7 3 2" xfId="11272" xr:uid="{E93086A4-00A7-41E5-B850-01C16304F3D5}"/>
    <cellStyle name="Migliaia 8 2 2 7 3 2 2" xfId="14818" xr:uid="{E1A3D752-83C7-4DC9-B2DB-CC7361B06D95}"/>
    <cellStyle name="Migliaia 8 2 2 7 3 2 2 2" xfId="29995" xr:uid="{1D0120B7-AB08-42EE-8F89-318DAB5E5875}"/>
    <cellStyle name="Migliaia 8 2 2 7 3 2 3" xfId="26450" xr:uid="{4AFCE288-1538-49F6-A698-FB5B820446B2}"/>
    <cellStyle name="Migliaia 8 2 2 7 3 3" xfId="7098" xr:uid="{FA1006E0-705D-4AC9-BA8C-C0610F60D586}"/>
    <cellStyle name="Migliaia 8 2 2 7 3 3 2" xfId="22278" xr:uid="{D93ABEEB-FC97-49D5-ADA6-F0EB34D0AE4B}"/>
    <cellStyle name="Migliaia 8 2 2 7 3 4" xfId="18990" xr:uid="{F8A86815-113D-4E91-8942-AA4C5B95349A}"/>
    <cellStyle name="Migliaia 8 2 2 7 4" xfId="4909" xr:uid="{104F1ED2-599A-47C6-B4F6-C13AFF89317C}"/>
    <cellStyle name="Migliaia 8 2 2 7 4 2" xfId="12394" xr:uid="{AFDC6D18-B754-4A6F-A5A1-3DA510E44D19}"/>
    <cellStyle name="Migliaia 8 2 2 7 4 2 2" xfId="15940" xr:uid="{0D34A9B1-B1E2-4983-B118-5176C6AB6A60}"/>
    <cellStyle name="Migliaia 8 2 2 7 4 2 2 2" xfId="31117" xr:uid="{A28689EB-B9DB-4D88-9CED-F22CC2954361}"/>
    <cellStyle name="Migliaia 8 2 2 7 4 2 3" xfId="27572" xr:uid="{2BDE546D-8088-4371-BBEB-543D68D9F1DA}"/>
    <cellStyle name="Migliaia 8 2 2 7 4 3" xfId="8220" xr:uid="{7F78CCCB-8CC4-4F6C-B584-EF04A5E858A5}"/>
    <cellStyle name="Migliaia 8 2 2 7 4 3 2" xfId="23400" xr:uid="{F098C8FB-BCE7-4E26-9016-7424B7069FAA}"/>
    <cellStyle name="Migliaia 8 2 2 7 4 4" xfId="20112" xr:uid="{18AE53CF-6BBE-4512-9A41-FFBE89952206}"/>
    <cellStyle name="Migliaia 8 2 2 7 5" xfId="2007" xr:uid="{A6A656BC-4AA2-4AA4-8B22-D85B1F3DF8D6}"/>
    <cellStyle name="Migliaia 8 2 2 7 5 2" xfId="9504" xr:uid="{F99198AF-6753-4A56-A4BC-0788BAD4B24B}"/>
    <cellStyle name="Migliaia 8 2 2 7 5 2 2" xfId="24682" xr:uid="{5E11663E-660F-411C-8657-71290DC7B524}"/>
    <cellStyle name="Migliaia 8 2 2 7 5 3" xfId="17222" xr:uid="{8E9DDA56-BEF0-470A-851C-6B231F921FD7}"/>
    <cellStyle name="Migliaia 8 2 2 7 6" xfId="8990" xr:uid="{CB70DF39-224E-46C0-B83F-C30DE07A3115}"/>
    <cellStyle name="Migliaia 8 2 2 7 6 2" xfId="13163" xr:uid="{CD1C683B-2B69-4A2E-A8DC-B1FACA6B0F7A}"/>
    <cellStyle name="Migliaia 8 2 2 7 6 2 2" xfId="28340" xr:uid="{A80D0BBF-ED46-4A76-894D-D23D0A6DF71A}"/>
    <cellStyle name="Migliaia 8 2 2 7 6 3" xfId="24168" xr:uid="{F5BDF40A-0A55-4634-8086-7F52775AAB2E}"/>
    <cellStyle name="Migliaia 8 2 2 7 7" xfId="5330" xr:uid="{914AB0CB-5099-49BC-8618-368554EB4F6E}"/>
    <cellStyle name="Migliaia 8 2 2 7 7 2" xfId="20510" xr:uid="{29D7EC2A-223E-45E0-ABBC-749B47142EA1}"/>
    <cellStyle name="Migliaia 8 2 2 7 8" xfId="16708" xr:uid="{F561B065-6603-4238-BBF9-2236DFB448DF}"/>
    <cellStyle name="Migliaia 8 2 2 8" xfId="1575" xr:uid="{3F28F96C-17E7-44B3-9A18-3E2C57584DEE}"/>
    <cellStyle name="Migliaia 8 2 2 8 2" xfId="2995" xr:uid="{487697D0-0894-4D31-BF84-A6E8AD8CDA66}"/>
    <cellStyle name="Migliaia 8 2 2 8 2 2" xfId="10486" xr:uid="{C9C07123-563E-4BC4-BF6E-B5145C6FFA50}"/>
    <cellStyle name="Migliaia 8 2 2 8 2 2 2" xfId="14032" xr:uid="{7FBF07FE-7EE8-4093-A8B0-0B6A5CBCA5D1}"/>
    <cellStyle name="Migliaia 8 2 2 8 2 2 2 2" xfId="29209" xr:uid="{EBD73A75-53C9-42D8-92B0-4792EB82783E}"/>
    <cellStyle name="Migliaia 8 2 2 8 2 2 3" xfId="25664" xr:uid="{8940C2FA-A630-46FD-8D95-71E82109CFFF}"/>
    <cellStyle name="Migliaia 8 2 2 8 2 3" xfId="6312" xr:uid="{EBFDA2BA-1ACA-4819-B737-277405692849}"/>
    <cellStyle name="Migliaia 8 2 2 8 2 3 2" xfId="21492" xr:uid="{FB84165C-B54F-43F3-8488-70636EEC953F}"/>
    <cellStyle name="Migliaia 8 2 2 8 2 4" xfId="18204" xr:uid="{CD65EE5F-CB02-4558-9CE8-BEFB4DC368C9}"/>
    <cellStyle name="Migliaia 8 2 2 8 3" xfId="3882" xr:uid="{E2DC90FF-7A7F-44CA-9296-DF23C82A7A61}"/>
    <cellStyle name="Migliaia 8 2 2 8 3 2" xfId="11370" xr:uid="{5CE18399-C568-46CE-B650-3DAED4C7AD36}"/>
    <cellStyle name="Migliaia 8 2 2 8 3 2 2" xfId="14916" xr:uid="{3246D415-3D59-4BE3-A83E-A35D23DDE45D}"/>
    <cellStyle name="Migliaia 8 2 2 8 3 2 2 2" xfId="30093" xr:uid="{BDA7DA56-11E3-4D0C-A7A8-152E02E9933F}"/>
    <cellStyle name="Migliaia 8 2 2 8 3 2 3" xfId="26548" xr:uid="{33528B92-2BA7-41AF-8841-F85837EEE332}"/>
    <cellStyle name="Migliaia 8 2 2 8 3 3" xfId="7196" xr:uid="{3EB88280-43C5-4D09-9F47-4E3C873544C0}"/>
    <cellStyle name="Migliaia 8 2 2 8 3 3 2" xfId="22376" xr:uid="{CE99677C-0DE4-4989-A5AC-ACFB99A3EF95}"/>
    <cellStyle name="Migliaia 8 2 2 8 3 4" xfId="19088" xr:uid="{788BADCC-0B92-4396-BC47-27CCD74F8B25}"/>
    <cellStyle name="Migliaia 8 2 2 8 4" xfId="4910" xr:uid="{3144FBA2-EB99-4DE2-B3D3-A42931041836}"/>
    <cellStyle name="Migliaia 8 2 2 8 4 2" xfId="12395" xr:uid="{D8A39820-5B48-401D-9BF2-37FD7D765C9E}"/>
    <cellStyle name="Migliaia 8 2 2 8 4 2 2" xfId="15941" xr:uid="{EA76F167-173D-4793-9680-71B263999B54}"/>
    <cellStyle name="Migliaia 8 2 2 8 4 2 2 2" xfId="31118" xr:uid="{38954318-2D3F-4531-8C18-54AA21E06A01}"/>
    <cellStyle name="Migliaia 8 2 2 8 4 2 3" xfId="27573" xr:uid="{26561EBB-948F-4B3D-A8B2-C3A769AC74B8}"/>
    <cellStyle name="Migliaia 8 2 2 8 4 3" xfId="8221" xr:uid="{25330A9F-D804-4A41-A6CE-3829F0AA6129}"/>
    <cellStyle name="Migliaia 8 2 2 8 4 3 2" xfId="23401" xr:uid="{B3F44C9C-637D-43F6-86BC-C704D45AE294}"/>
    <cellStyle name="Migliaia 8 2 2 8 4 4" xfId="20113" xr:uid="{224B5000-6F80-4A41-9749-3257EB8E9E6D}"/>
    <cellStyle name="Migliaia 8 2 2 8 5" xfId="2105" xr:uid="{3F21A3B7-28C1-4D8A-894A-DA694262CD70}"/>
    <cellStyle name="Migliaia 8 2 2 8 5 2" xfId="9602" xr:uid="{7CA5927B-D7BF-4FED-9EB6-2823D25CA96D}"/>
    <cellStyle name="Migliaia 8 2 2 8 5 2 2" xfId="24780" xr:uid="{7C5EAF10-2CB8-4E95-9DF0-765889A49898}"/>
    <cellStyle name="Migliaia 8 2 2 8 5 3" xfId="17320" xr:uid="{FB5D1303-C848-45F8-AB12-5DECF40A2605}"/>
    <cellStyle name="Migliaia 8 2 2 8 6" xfId="9088" xr:uid="{68AB6A89-9577-4843-B0C8-2DECDD78EDC9}"/>
    <cellStyle name="Migliaia 8 2 2 8 6 2" xfId="13261" xr:uid="{5E879BE8-2225-448B-82C4-AC23DBDB04FD}"/>
    <cellStyle name="Migliaia 8 2 2 8 6 2 2" xfId="28438" xr:uid="{A1F2DF09-2924-45EA-9C1C-926A4C10895A}"/>
    <cellStyle name="Migliaia 8 2 2 8 6 3" xfId="24266" xr:uid="{CE8625C0-5DEA-42C3-BBE0-C1BE69E58162}"/>
    <cellStyle name="Migliaia 8 2 2 8 7" xfId="5428" xr:uid="{3396DB72-D49D-44B5-9C7B-5E1E8748B5E7}"/>
    <cellStyle name="Migliaia 8 2 2 8 7 2" xfId="20608" xr:uid="{2F635FEF-48A1-4A18-A65C-16412F25B517}"/>
    <cellStyle name="Migliaia 8 2 2 8 8" xfId="16806" xr:uid="{072E3D8E-C4C3-4736-9D67-BCDD63C44EF3}"/>
    <cellStyle name="Migliaia 8 2 2 9" xfId="1674" xr:uid="{B0AD0563-14F1-40C2-AB6A-492778A6E1ED}"/>
    <cellStyle name="Migliaia 8 2 2 9 2" xfId="3093" xr:uid="{99F99D37-99B1-49EE-BC9C-827E288CD489}"/>
    <cellStyle name="Migliaia 8 2 2 9 2 2" xfId="10584" xr:uid="{3269D7CE-6248-40EC-B92D-D34159BDB696}"/>
    <cellStyle name="Migliaia 8 2 2 9 2 2 2" xfId="14130" xr:uid="{77BB85F8-A918-4B8F-956B-3B7B71715DB6}"/>
    <cellStyle name="Migliaia 8 2 2 9 2 2 2 2" xfId="29307" xr:uid="{673E04D9-B0CD-4E72-993C-90136DFDE7B9}"/>
    <cellStyle name="Migliaia 8 2 2 9 2 2 3" xfId="25762" xr:uid="{FC9F3D57-2467-4F05-9FD5-3D1DE157AF2F}"/>
    <cellStyle name="Migliaia 8 2 2 9 2 3" xfId="6410" xr:uid="{9FF62D44-195A-42E5-B3B5-FEA9E513AD38}"/>
    <cellStyle name="Migliaia 8 2 2 9 2 3 2" xfId="21590" xr:uid="{FA1F2939-367E-4030-A82B-9EAB41C45C08}"/>
    <cellStyle name="Migliaia 8 2 2 9 2 4" xfId="18302" xr:uid="{D34E00BD-E8A1-482A-9788-5E768EF17787}"/>
    <cellStyle name="Migliaia 8 2 2 9 3" xfId="3980" xr:uid="{603B0D03-FF7D-4336-BB5D-2D7822FDB6A7}"/>
    <cellStyle name="Migliaia 8 2 2 9 3 2" xfId="11468" xr:uid="{E4FAB97E-73FF-40F1-B154-668D33D5D1EF}"/>
    <cellStyle name="Migliaia 8 2 2 9 3 2 2" xfId="15014" xr:uid="{DC4D13AC-D386-4275-B6ED-E0967B674FEC}"/>
    <cellStyle name="Migliaia 8 2 2 9 3 2 2 2" xfId="30191" xr:uid="{4D914221-6D0A-4ED7-B036-5747C644505A}"/>
    <cellStyle name="Migliaia 8 2 2 9 3 2 3" xfId="26646" xr:uid="{73C64713-0C32-467D-AE8A-EAD753A8C01A}"/>
    <cellStyle name="Migliaia 8 2 2 9 3 3" xfId="7294" xr:uid="{00B570C9-C724-4D6F-A567-8D234FE0CC46}"/>
    <cellStyle name="Migliaia 8 2 2 9 3 3 2" xfId="22474" xr:uid="{993379E1-1580-4097-BA2E-83B867C78AAD}"/>
    <cellStyle name="Migliaia 8 2 2 9 3 4" xfId="19186" xr:uid="{F6C4E73F-2D84-4159-897E-D8AAC5838847}"/>
    <cellStyle name="Migliaia 8 2 2 9 4" xfId="4911" xr:uid="{37D5AC4F-7513-4878-9406-3D2FCF2CE00F}"/>
    <cellStyle name="Migliaia 8 2 2 9 4 2" xfId="12396" xr:uid="{2E0FE467-74EB-41C1-8A4B-338CF74849F6}"/>
    <cellStyle name="Migliaia 8 2 2 9 4 2 2" xfId="15942" xr:uid="{F1FD422E-D7FD-422D-872D-F7E70EA15F5E}"/>
    <cellStyle name="Migliaia 8 2 2 9 4 2 2 2" xfId="31119" xr:uid="{95320EED-DFB0-40BC-92DD-95BD6845C714}"/>
    <cellStyle name="Migliaia 8 2 2 9 4 2 3" xfId="27574" xr:uid="{4D1F05C2-A684-44F8-9000-02C39FA8EB68}"/>
    <cellStyle name="Migliaia 8 2 2 9 4 3" xfId="8222" xr:uid="{38F166B3-022E-43C4-A38B-87F2D28800A3}"/>
    <cellStyle name="Migliaia 8 2 2 9 4 3 2" xfId="23402" xr:uid="{98A0E9DB-6C45-4B3E-9D37-A44212437ACC}"/>
    <cellStyle name="Migliaia 8 2 2 9 4 4" xfId="20114" xr:uid="{98CDF396-35C2-4650-97B6-8976AF160917}"/>
    <cellStyle name="Migliaia 8 2 2 9 5" xfId="2203" xr:uid="{A4835044-85C5-46EA-A135-3B9B98B23C97}"/>
    <cellStyle name="Migliaia 8 2 2 9 5 2" xfId="9700" xr:uid="{C5AF58B3-20A4-447A-A420-5A717857F818}"/>
    <cellStyle name="Migliaia 8 2 2 9 5 2 2" xfId="24878" xr:uid="{5E1E2F20-EAC4-4308-AFCC-81262DEC3141}"/>
    <cellStyle name="Migliaia 8 2 2 9 5 3" xfId="17418" xr:uid="{34CBA1FB-6E20-44D9-BB30-E2E2402E3F79}"/>
    <cellStyle name="Migliaia 8 2 2 9 6" xfId="9186" xr:uid="{87F90213-DBBC-420D-92D2-DD6610FB6FDD}"/>
    <cellStyle name="Migliaia 8 2 2 9 6 2" xfId="13359" xr:uid="{ED6EBB97-AB73-48C6-A025-ED5B31F3A76F}"/>
    <cellStyle name="Migliaia 8 2 2 9 6 2 2" xfId="28536" xr:uid="{0BAFFA19-03E2-48E8-AD6F-2D463FBC339B}"/>
    <cellStyle name="Migliaia 8 2 2 9 6 3" xfId="24364" xr:uid="{DD7CEAB9-97A5-4E8A-8193-EB901F8F4C2D}"/>
    <cellStyle name="Migliaia 8 2 2 9 7" xfId="5526" xr:uid="{A12D3AD5-DAC3-42CE-89EA-CEA924995873}"/>
    <cellStyle name="Migliaia 8 2 2 9 7 2" xfId="20706" xr:uid="{B0BCA274-3C66-4A32-BB18-BAB02DBDB033}"/>
    <cellStyle name="Migliaia 8 2 2 9 8" xfId="16904" xr:uid="{DCADC6E9-02B1-407C-BD7D-0501C8CB52B9}"/>
    <cellStyle name="Migliaia 8 2 3" xfId="757" xr:uid="{E3D33C0E-4332-4F1D-8DBC-5AE8E301B7C6}"/>
    <cellStyle name="Migliaia 8 2 3 10" xfId="8423" xr:uid="{B1FC46EB-408E-49F9-ABE8-FC9DD41D9EF8}"/>
    <cellStyle name="Migliaia 8 2 3 10 2" xfId="12597" xr:uid="{E747469F-F2D9-4643-8774-17EAA6DB4C44}"/>
    <cellStyle name="Migliaia 8 2 3 10 2 2" xfId="27774" xr:uid="{A4A8F992-4A1B-43B8-9330-EB12D6235B2B}"/>
    <cellStyle name="Migliaia 8 2 3 10 3" xfId="23602" xr:uid="{46C42766-0559-4692-8170-A97D4D9B1810}"/>
    <cellStyle name="Migliaia 8 2 3 11" xfId="16142" xr:uid="{C964F190-9572-4CB5-A0D3-66B85B85C10B}"/>
    <cellStyle name="Migliaia 8 2 3 12" xfId="31484" xr:uid="{041671C2-0D5A-4C52-854C-1A53A9235A03}"/>
    <cellStyle name="Migliaia 8 2 3 2" xfId="934" xr:uid="{559FEC13-9C16-4D98-8158-C4BE19D22B11}"/>
    <cellStyle name="Migliaia 8 2 3 2 10" xfId="16264" xr:uid="{399F4581-694C-42F1-8BC7-623C0EA2818E}"/>
    <cellStyle name="Migliaia 8 2 3 2 11" xfId="31354" xr:uid="{A7152D1F-D83C-4708-81D6-D5790937AA3B}"/>
    <cellStyle name="Migliaia 8 2 3 2 12" xfId="31704" xr:uid="{9E97AD50-33C7-4DC7-A807-83E8B9553C22}"/>
    <cellStyle name="Migliaia 8 2 3 2 2" xfId="1295" xr:uid="{D9B6E6BD-9490-4DB9-86B1-78C0107FFD0E}"/>
    <cellStyle name="Migliaia 8 2 3 2 2 2" xfId="3612" xr:uid="{06FA1BA4-E624-4754-8965-34FF58D16A71}"/>
    <cellStyle name="Migliaia 8 2 3 2 2 2 2" xfId="11100" xr:uid="{A4CE15C9-8D9A-463A-A503-11C44279B4F6}"/>
    <cellStyle name="Migliaia 8 2 3 2 2 2 2 2" xfId="14646" xr:uid="{2A1B2F71-4C09-427C-AD62-2DA03EF875BA}"/>
    <cellStyle name="Migliaia 8 2 3 2 2 2 2 2 2" xfId="29823" xr:uid="{73250D60-A485-4958-B126-191F9992F621}"/>
    <cellStyle name="Migliaia 8 2 3 2 2 2 2 3" xfId="26278" xr:uid="{3DC5E652-0A90-4A1B-82B9-DD06312DC1ED}"/>
    <cellStyle name="Migliaia 8 2 3 2 2 2 3" xfId="6926" xr:uid="{7353AF7F-51A1-4A10-A800-729EDAD8649A}"/>
    <cellStyle name="Migliaia 8 2 3 2 2 2 3 2" xfId="22106" xr:uid="{76E16BF1-FB62-44DB-BE04-29B97B3B21CF}"/>
    <cellStyle name="Migliaia 8 2 3 2 2 2 4" xfId="18818" xr:uid="{890DCC89-B60D-461E-8889-820753FB9DE8}"/>
    <cellStyle name="Migliaia 8 2 3 2 2 3" xfId="4912" xr:uid="{FD411682-66F8-4415-9DC0-3DDB40723129}"/>
    <cellStyle name="Migliaia 8 2 3 2 2 3 2" xfId="12397" xr:uid="{26CD4C9A-4B1E-4FAE-B4CD-8A833A19856C}"/>
    <cellStyle name="Migliaia 8 2 3 2 2 3 2 2" xfId="15943" xr:uid="{3050D442-E250-4BB9-A720-BCE6C27CCEE5}"/>
    <cellStyle name="Migliaia 8 2 3 2 2 3 2 2 2" xfId="31120" xr:uid="{2BDB8EC7-6A1B-4BD9-B03A-6DCADAAF2A6F}"/>
    <cellStyle name="Migliaia 8 2 3 2 2 3 2 3" xfId="27575" xr:uid="{7F97FC83-49AD-48C3-B870-6A96D222FFBD}"/>
    <cellStyle name="Migliaia 8 2 3 2 2 3 3" xfId="8223" xr:uid="{02094796-166E-4C05-85B1-DCD594D450D4}"/>
    <cellStyle name="Migliaia 8 2 3 2 2 3 3 2" xfId="23403" xr:uid="{7AD294D9-DFF1-4CD8-A11C-7094BEE4B378}"/>
    <cellStyle name="Migliaia 8 2 3 2 2 3 4" xfId="20115" xr:uid="{E65E5AE1-2FAB-4BD4-8DD0-6E20DAAC984F}"/>
    <cellStyle name="Migliaia 8 2 3 2 2 4" xfId="2725" xr:uid="{05CB80FA-2D11-48EC-847A-A8C36F5AF458}"/>
    <cellStyle name="Migliaia 8 2 3 2 2 4 2" xfId="10216" xr:uid="{D9B0D72A-77DC-40B0-99C6-C347B8AEBDFC}"/>
    <cellStyle name="Migliaia 8 2 3 2 2 4 2 2" xfId="25394" xr:uid="{A33454F3-96CA-4BC9-AA27-3166FF9C8F2A}"/>
    <cellStyle name="Migliaia 8 2 3 2 2 4 3" xfId="17934" xr:uid="{1A503F37-D160-405F-840E-330DF2437A2E}"/>
    <cellStyle name="Migliaia 8 2 3 2 2 5" xfId="8818" xr:uid="{A913A1E3-E7FE-4D33-AF50-8AB7163DA0FF}"/>
    <cellStyle name="Migliaia 8 2 3 2 2 5 2" xfId="12991" xr:uid="{4A087337-B91D-40E9-9520-D32DDA3776E7}"/>
    <cellStyle name="Migliaia 8 2 3 2 2 5 2 2" xfId="28168" xr:uid="{60C2AED7-14F7-4ADB-9A1B-2BD0BC98DB0C}"/>
    <cellStyle name="Migliaia 8 2 3 2 2 5 3" xfId="23996" xr:uid="{9C0EF9BF-6289-45F2-B9AD-E33F3B8D6B7B}"/>
    <cellStyle name="Migliaia 8 2 3 2 2 6" xfId="6042" xr:uid="{22FF394B-CE1F-4B29-92F2-B43AC8182CC6}"/>
    <cellStyle name="Migliaia 8 2 3 2 2 6 2" xfId="21222" xr:uid="{AC08F774-3762-4961-9751-F749ECC95C35}"/>
    <cellStyle name="Migliaia 8 2 3 2 2 7" xfId="16536" xr:uid="{5662C0BB-60F8-42E1-A19A-6D5FAF7AEF2F}"/>
    <cellStyle name="Migliaia 8 2 3 2 3" xfId="2452" xr:uid="{51BE27BC-5DCD-43B5-9D35-E7704869B253}"/>
    <cellStyle name="Migliaia 8 2 3 2 3 2" xfId="9944" xr:uid="{62EDE084-D49E-44A9-9A2E-016CFCFD0EBD}"/>
    <cellStyle name="Migliaia 8 2 3 2 3 2 2" xfId="13603" xr:uid="{975D529F-58EE-4D2E-9D65-D534340B3F24}"/>
    <cellStyle name="Migliaia 8 2 3 2 3 2 2 2" xfId="28780" xr:uid="{E99DC140-6B3E-4D2A-B233-32F336632A43}"/>
    <cellStyle name="Migliaia 8 2 3 2 3 2 3" xfId="25122" xr:uid="{BA1BD4FE-5D6D-4CED-8410-17A802CF802B}"/>
    <cellStyle name="Migliaia 8 2 3 2 3 3" xfId="5770" xr:uid="{D34814C1-9B09-44C6-AD8A-586597B89055}"/>
    <cellStyle name="Migliaia 8 2 3 2 3 3 2" xfId="20950" xr:uid="{6A8D1E88-874D-4A03-B641-DE8776031730}"/>
    <cellStyle name="Migliaia 8 2 3 2 3 4" xfId="17662" xr:uid="{F912B6DF-733B-409A-9865-75E567ECE470}"/>
    <cellStyle name="Migliaia 8 2 3 2 4" xfId="3340" xr:uid="{F4BF6584-C432-42B6-AEB6-49226DEED8E2}"/>
    <cellStyle name="Migliaia 8 2 3 2 4 2" xfId="10828" xr:uid="{6A3511C8-C0C8-47F8-9E05-D52050DA4896}"/>
    <cellStyle name="Migliaia 8 2 3 2 4 2 2" xfId="14374" xr:uid="{9679A36E-6AB4-4F65-BE1B-DE12E298C902}"/>
    <cellStyle name="Migliaia 8 2 3 2 4 2 2 2" xfId="29551" xr:uid="{EBD9F7E0-7B19-4A01-B5A4-EDC132C80D41}"/>
    <cellStyle name="Migliaia 8 2 3 2 4 2 3" xfId="26006" xr:uid="{AA0F8EAE-E7E3-4CE5-BB80-AEB933B6A617}"/>
    <cellStyle name="Migliaia 8 2 3 2 4 3" xfId="6654" xr:uid="{85121CAE-4FCD-4A69-92DB-13395992985B}"/>
    <cellStyle name="Migliaia 8 2 3 2 4 3 2" xfId="21834" xr:uid="{91596484-AC09-4022-8D75-92252D40ABA7}"/>
    <cellStyle name="Migliaia 8 2 3 2 4 4" xfId="18546" xr:uid="{CA0FBA16-CE91-4FDF-8509-432CBDFB5973}"/>
    <cellStyle name="Migliaia 8 2 3 2 5" xfId="4913" xr:uid="{A667E4AD-30D5-4C17-8E50-872DC5A1AD39}"/>
    <cellStyle name="Migliaia 8 2 3 2 5 2" xfId="12398" xr:uid="{F8B31D43-AA42-43EF-A0FD-CFDCF0A5D004}"/>
    <cellStyle name="Migliaia 8 2 3 2 5 2 2" xfId="15944" xr:uid="{0B195A04-CE3C-473C-978E-F58BE130252A}"/>
    <cellStyle name="Migliaia 8 2 3 2 5 2 2 2" xfId="31121" xr:uid="{087484D3-1C57-4518-AC6B-EA03C11D1914}"/>
    <cellStyle name="Migliaia 8 2 3 2 5 2 3" xfId="27576" xr:uid="{2EAEC22D-2208-4420-8213-EA02027EC17E}"/>
    <cellStyle name="Migliaia 8 2 3 2 5 3" xfId="8224" xr:uid="{E86EE7A4-665C-4341-A14D-55F706E6859F}"/>
    <cellStyle name="Migliaia 8 2 3 2 5 3 2" xfId="23404" xr:uid="{6F7AA073-8FE3-425D-BE69-25F6E586D81F}"/>
    <cellStyle name="Migliaia 8 2 3 2 5 4" xfId="20116" xr:uid="{80A7275A-E062-4F37-B241-44CE83301585}"/>
    <cellStyle name="Migliaia 8 2 3 2 6" xfId="5014" xr:uid="{012F7E07-9732-487D-9EAA-A2158F171B76}"/>
    <cellStyle name="Migliaia 8 2 3 2 6 2" xfId="12498" xr:uid="{75FFB705-6109-41EE-9E58-A410B43F1068}"/>
    <cellStyle name="Migliaia 8 2 3 2 6 2 2" xfId="16044" xr:uid="{C7859ECF-1ABE-4698-BF0D-31D6E5BFDD66}"/>
    <cellStyle name="Migliaia 8 2 3 2 6 2 2 2" xfId="31221" xr:uid="{982085F0-3C6A-4143-A239-6ACD8D6600CE}"/>
    <cellStyle name="Migliaia 8 2 3 2 6 2 3" xfId="27676" xr:uid="{7D8E2900-89C8-4AF8-BA49-761443E060E5}"/>
    <cellStyle name="Migliaia 8 2 3 2 6 3" xfId="8324" xr:uid="{A3374127-FEBD-4C8E-AEFB-F5AF7B9EF218}"/>
    <cellStyle name="Migliaia 8 2 3 2 6 3 2" xfId="23504" xr:uid="{344DAC32-9256-4986-878D-92AB0F4469FC}"/>
    <cellStyle name="Migliaia 8 2 3 2 6 4" xfId="20216" xr:uid="{4A17976F-21BB-4F71-A0C3-DF4C1766473D}"/>
    <cellStyle name="Migliaia 8 2 3 2 7" xfId="1835" xr:uid="{008FB7DF-172A-4F4E-98E5-96A8CEF88688}"/>
    <cellStyle name="Migliaia 8 2 3 2 7 2" xfId="9332" xr:uid="{85E89907-511E-43A4-9BBA-66A9D300FAA9}"/>
    <cellStyle name="Migliaia 8 2 3 2 7 2 2" xfId="24510" xr:uid="{A9F085ED-1F88-4AFC-8C25-8CD967CF0371}"/>
    <cellStyle name="Migliaia 8 2 3 2 7 3" xfId="17050" xr:uid="{065CF88B-674C-495E-9471-9BFA9186E59C}"/>
    <cellStyle name="Migliaia 8 2 3 2 8" xfId="8546" xr:uid="{E4978C1C-2E23-4CF3-862A-0BC81DF9BF9B}"/>
    <cellStyle name="Migliaia 8 2 3 2 8 2" xfId="12719" xr:uid="{16C5D013-3C7B-43AE-A911-FA5A1FF2B091}"/>
    <cellStyle name="Migliaia 8 2 3 2 8 2 2" xfId="27896" xr:uid="{3511D70F-18CC-4010-9BF4-1F969633C152}"/>
    <cellStyle name="Migliaia 8 2 3 2 8 3" xfId="23724" xr:uid="{C88E5CB3-01C8-4BBC-8317-A2DE8BBFED79}"/>
    <cellStyle name="Migliaia 8 2 3 2 9" xfId="5158" xr:uid="{81FE7581-43AB-4DDD-9584-57F9FF60CD0A}"/>
    <cellStyle name="Migliaia 8 2 3 2 9 2" xfId="20338" xr:uid="{E31D9F4A-B8D6-4CFA-8145-4335106F02EE}"/>
    <cellStyle name="Migliaia 8 2 3 3" xfId="1037" xr:uid="{0B8DA371-1128-410C-BC4C-0C4EA31FBEDC}"/>
    <cellStyle name="Migliaia 8 2 3 3 10" xfId="31582" xr:uid="{446BD145-15BF-4302-8F29-51D75DEA10D1}"/>
    <cellStyle name="Migliaia 8 2 3 3 2" xfId="1397" xr:uid="{C3C6CEE9-5B56-4232-A6EB-14ADC7C3104A}"/>
    <cellStyle name="Migliaia 8 2 3 3 2 2" xfId="3710" xr:uid="{7A8E7635-2F94-4842-BA94-24DEE37D13CD}"/>
    <cellStyle name="Migliaia 8 2 3 3 2 2 2" xfId="11198" xr:uid="{95FCB1E8-C050-4609-96C4-F35D06169C86}"/>
    <cellStyle name="Migliaia 8 2 3 3 2 2 2 2" xfId="14744" xr:uid="{77E6959F-07CA-4981-BA62-20E5B39BE26A}"/>
    <cellStyle name="Migliaia 8 2 3 3 2 2 2 2 2" xfId="29921" xr:uid="{F55571AD-A518-431C-AC79-FF90FC35F7F4}"/>
    <cellStyle name="Migliaia 8 2 3 3 2 2 2 3" xfId="26376" xr:uid="{336198AA-DE14-40F2-A54D-BD6FF7021EFE}"/>
    <cellStyle name="Migliaia 8 2 3 3 2 2 3" xfId="7024" xr:uid="{D94F4BCD-4D16-4D4A-B542-8A688ECFCBA1}"/>
    <cellStyle name="Migliaia 8 2 3 3 2 2 3 2" xfId="22204" xr:uid="{ECC06797-E8EE-40A5-B064-2D9B5FADDAF0}"/>
    <cellStyle name="Migliaia 8 2 3 3 2 2 4" xfId="18916" xr:uid="{214D1393-75A3-45C0-9789-121E1EB41FD2}"/>
    <cellStyle name="Migliaia 8 2 3 3 2 3" xfId="4914" xr:uid="{3C65168F-BFCD-4648-8B2B-BF845F65F89C}"/>
    <cellStyle name="Migliaia 8 2 3 3 2 3 2" xfId="12399" xr:uid="{25E83FAB-E498-4B88-B187-45B050F9DE21}"/>
    <cellStyle name="Migliaia 8 2 3 3 2 3 2 2" xfId="15945" xr:uid="{960E779D-E913-4FC3-920F-AF7642AE03CC}"/>
    <cellStyle name="Migliaia 8 2 3 3 2 3 2 2 2" xfId="31122" xr:uid="{5493AF85-D780-4BF4-BF0C-60CC45C0E4D0}"/>
    <cellStyle name="Migliaia 8 2 3 3 2 3 2 3" xfId="27577" xr:uid="{010F58DF-6229-4BDA-B855-FED0AF67DFB6}"/>
    <cellStyle name="Migliaia 8 2 3 3 2 3 3" xfId="8225" xr:uid="{F4CAA9E5-4F3D-48F2-843F-0F003F6B0052}"/>
    <cellStyle name="Migliaia 8 2 3 3 2 3 3 2" xfId="23405" xr:uid="{647B1F6D-6EEB-4CA5-B85C-08C80B0D3FF2}"/>
    <cellStyle name="Migliaia 8 2 3 3 2 3 4" xfId="20117" xr:uid="{2EDF585E-C7E2-424D-A137-C1D8632BDCF4}"/>
    <cellStyle name="Migliaia 8 2 3 3 2 4" xfId="2823" xr:uid="{37E276C0-784C-4BFD-9AA1-A8B072A6008E}"/>
    <cellStyle name="Migliaia 8 2 3 3 2 4 2" xfId="10314" xr:uid="{648D4C3C-3B60-450C-B98F-1F9F8806FFE5}"/>
    <cellStyle name="Migliaia 8 2 3 3 2 4 2 2" xfId="25492" xr:uid="{7881013A-E635-45A2-BB64-D41012D152E2}"/>
    <cellStyle name="Migliaia 8 2 3 3 2 4 3" xfId="18032" xr:uid="{7DB6AB1F-77D5-4903-B4BD-36D4D074640A}"/>
    <cellStyle name="Migliaia 8 2 3 3 2 5" xfId="8916" xr:uid="{E1639C66-B4F1-4536-B719-593DCA182E27}"/>
    <cellStyle name="Migliaia 8 2 3 3 2 5 2" xfId="13089" xr:uid="{151B7EE7-888E-48F2-B1DE-C6C3858388D2}"/>
    <cellStyle name="Migliaia 8 2 3 3 2 5 2 2" xfId="28266" xr:uid="{20C04B6B-95C8-43BF-B682-6B8287177BFE}"/>
    <cellStyle name="Migliaia 8 2 3 3 2 5 3" xfId="24094" xr:uid="{CA46F9BA-2201-436B-8274-57336ECFACFD}"/>
    <cellStyle name="Migliaia 8 2 3 3 2 6" xfId="6140" xr:uid="{D29438E6-AE83-401F-9B32-5C0CA5A0B5CF}"/>
    <cellStyle name="Migliaia 8 2 3 3 2 6 2" xfId="21320" xr:uid="{607E5B29-C898-417F-81F9-3D7CEEE81BE8}"/>
    <cellStyle name="Migliaia 8 2 3 3 2 7" xfId="16634" xr:uid="{3FE859A5-9E7B-4513-AF21-0B48EE597A1D}"/>
    <cellStyle name="Migliaia 8 2 3 3 3" xfId="2550" xr:uid="{DDA8C81E-E0FA-4C40-A7B5-98B8C176D6E2}"/>
    <cellStyle name="Migliaia 8 2 3 3 3 2" xfId="10042" xr:uid="{A2E0A5E9-3125-46E6-B090-758E1D456C76}"/>
    <cellStyle name="Migliaia 8 2 3 3 3 2 2" xfId="13701" xr:uid="{2A2D4DCC-08F2-4E36-AAD2-00732EE36D64}"/>
    <cellStyle name="Migliaia 8 2 3 3 3 2 2 2" xfId="28878" xr:uid="{20F4384F-FE62-4C00-9025-7BD317D81F3F}"/>
    <cellStyle name="Migliaia 8 2 3 3 3 2 3" xfId="25220" xr:uid="{A8DB5DC8-CC5A-4659-9609-8B4F1E7BABD0}"/>
    <cellStyle name="Migliaia 8 2 3 3 3 3" xfId="5868" xr:uid="{F009AF54-00A7-48C6-8790-00C85E238E57}"/>
    <cellStyle name="Migliaia 8 2 3 3 3 3 2" xfId="21048" xr:uid="{DD50DCB8-6109-4DE1-9614-A4F30759F396}"/>
    <cellStyle name="Migliaia 8 2 3 3 3 4" xfId="17760" xr:uid="{917E9AF7-089A-4B86-94D7-6D60084EA3EF}"/>
    <cellStyle name="Migliaia 8 2 3 3 4" xfId="3438" xr:uid="{06CFED0E-816E-46EA-B146-4AAA3E645069}"/>
    <cellStyle name="Migliaia 8 2 3 3 4 2" xfId="10926" xr:uid="{AFD466E3-B8C5-4ECD-B0B9-4230F742A6DC}"/>
    <cellStyle name="Migliaia 8 2 3 3 4 2 2" xfId="14472" xr:uid="{8C519464-84D7-4502-BC99-EAE1F4EE44EF}"/>
    <cellStyle name="Migliaia 8 2 3 3 4 2 2 2" xfId="29649" xr:uid="{171EA967-5C9D-4874-927A-71332CB93993}"/>
    <cellStyle name="Migliaia 8 2 3 3 4 2 3" xfId="26104" xr:uid="{7266639F-7A4B-4A43-82C2-B4E2A56F44D8}"/>
    <cellStyle name="Migliaia 8 2 3 3 4 3" xfId="6752" xr:uid="{34BDFF11-3DD6-4E21-81F1-071050B76123}"/>
    <cellStyle name="Migliaia 8 2 3 3 4 3 2" xfId="21932" xr:uid="{6D22AE79-034D-48DC-917E-CD3B131F3C7E}"/>
    <cellStyle name="Migliaia 8 2 3 3 4 4" xfId="18644" xr:uid="{B5527F74-7F10-41F9-A2B9-881D8F51CA90}"/>
    <cellStyle name="Migliaia 8 2 3 3 5" xfId="4915" xr:uid="{78CAD4AA-EB14-4C5B-A100-6154BAD74586}"/>
    <cellStyle name="Migliaia 8 2 3 3 5 2" xfId="12400" xr:uid="{2EE9289C-4EE2-4FD4-8F21-CCCAE5D99A5C}"/>
    <cellStyle name="Migliaia 8 2 3 3 5 2 2" xfId="15946" xr:uid="{52875C1F-3C68-4E7E-9695-1C151FA9027C}"/>
    <cellStyle name="Migliaia 8 2 3 3 5 2 2 2" xfId="31123" xr:uid="{5C9C9D79-DB31-4BD2-8AA3-2C8F44A3A7BA}"/>
    <cellStyle name="Migliaia 8 2 3 3 5 2 3" xfId="27578" xr:uid="{4149DB5F-2FDF-4E11-B610-33096BD0FE18}"/>
    <cellStyle name="Migliaia 8 2 3 3 5 3" xfId="8226" xr:uid="{9BA0455C-9568-4A27-B230-807CCDDF19E7}"/>
    <cellStyle name="Migliaia 8 2 3 3 5 3 2" xfId="23406" xr:uid="{6323E1BE-037A-4E4B-B402-997D5827AD33}"/>
    <cellStyle name="Migliaia 8 2 3 3 5 4" xfId="20118" xr:uid="{7863CF66-D85E-4FB7-8A0D-E60767F35E93}"/>
    <cellStyle name="Migliaia 8 2 3 3 6" xfId="1933" xr:uid="{4E711731-99EB-4D3E-810F-0483473BCCA7}"/>
    <cellStyle name="Migliaia 8 2 3 3 6 2" xfId="9430" xr:uid="{414A1CE9-C064-46B2-8DEF-6191BB4F6B00}"/>
    <cellStyle name="Migliaia 8 2 3 3 6 2 2" xfId="24608" xr:uid="{17E5C852-39B0-4B77-AB9E-4D81AA57D9CF}"/>
    <cellStyle name="Migliaia 8 2 3 3 6 3" xfId="17148" xr:uid="{5BDAE72E-F11C-4A0D-B36B-9CF54088C157}"/>
    <cellStyle name="Migliaia 8 2 3 3 7" xfId="8644" xr:uid="{AC586DA2-D369-4761-AD42-1AB0128EE95C}"/>
    <cellStyle name="Migliaia 8 2 3 3 7 2" xfId="12817" xr:uid="{EEF3929F-1911-40C6-BD0F-457153730438}"/>
    <cellStyle name="Migliaia 8 2 3 3 7 2 2" xfId="27994" xr:uid="{B82F1A06-3BC4-4DCC-9D0C-38833851C229}"/>
    <cellStyle name="Migliaia 8 2 3 3 7 3" xfId="23822" xr:uid="{EA35427C-E304-44F1-866D-B933C32DDC66}"/>
    <cellStyle name="Migliaia 8 2 3 3 8" xfId="5256" xr:uid="{E1602FDF-1305-46FD-8810-17185B6F7168}"/>
    <cellStyle name="Migliaia 8 2 3 3 8 2" xfId="20436" xr:uid="{FF396F46-BE38-416C-A787-DD461E5424BF}"/>
    <cellStyle name="Migliaia 8 2 3 3 9" xfId="16362" xr:uid="{5F0C6195-409A-480A-98F4-51A4DDD56FC6}"/>
    <cellStyle name="Migliaia 8 2 3 4" xfId="1496" xr:uid="{2AD921AE-3F34-44E7-97C7-5916D587DF61}"/>
    <cellStyle name="Migliaia 8 2 3 4 2" xfId="2921" xr:uid="{F97E8A2E-04D7-4779-A4F9-25BE600F7BC3}"/>
    <cellStyle name="Migliaia 8 2 3 4 2 2" xfId="10412" xr:uid="{46DEAEF4-1287-4A7C-8EF8-7A8682AE6034}"/>
    <cellStyle name="Migliaia 8 2 3 4 2 2 2" xfId="13958" xr:uid="{FBC51733-60AD-40EC-9A23-0D52B356906B}"/>
    <cellStyle name="Migliaia 8 2 3 4 2 2 2 2" xfId="29135" xr:uid="{5034B6F6-59F0-45C8-B218-52E4480C6303}"/>
    <cellStyle name="Migliaia 8 2 3 4 2 2 3" xfId="25590" xr:uid="{4ABD3DD3-2F2A-4A32-9D38-FC090A88AAA7}"/>
    <cellStyle name="Migliaia 8 2 3 4 2 3" xfId="6238" xr:uid="{9BBA26F8-667A-4CF7-BE43-7788ACA2EDAD}"/>
    <cellStyle name="Migliaia 8 2 3 4 2 3 2" xfId="21418" xr:uid="{A44D18E0-548A-4BFF-84ED-01D59D482D96}"/>
    <cellStyle name="Migliaia 8 2 3 4 2 4" xfId="18130" xr:uid="{07931ACD-9178-4B30-A0DA-C6F8CB8CE40E}"/>
    <cellStyle name="Migliaia 8 2 3 4 3" xfId="3808" xr:uid="{C0F369E3-506D-49AB-A34D-BC15E1D8012D}"/>
    <cellStyle name="Migliaia 8 2 3 4 3 2" xfId="11296" xr:uid="{7D41C9EC-3A83-40D1-B4D1-DBC6E5E2F287}"/>
    <cellStyle name="Migliaia 8 2 3 4 3 2 2" xfId="14842" xr:uid="{2737FB71-50B8-4E31-87C6-E831770B839E}"/>
    <cellStyle name="Migliaia 8 2 3 4 3 2 2 2" xfId="30019" xr:uid="{444E4E1E-F2EA-43C0-8D40-03A33FADD7B2}"/>
    <cellStyle name="Migliaia 8 2 3 4 3 2 3" xfId="26474" xr:uid="{BD87E5A0-080D-4F7C-BD63-F04B6CA27C4C}"/>
    <cellStyle name="Migliaia 8 2 3 4 3 3" xfId="7122" xr:uid="{85D106DD-7339-48A4-8729-553299F01D02}"/>
    <cellStyle name="Migliaia 8 2 3 4 3 3 2" xfId="22302" xr:uid="{0C354ED0-ACC6-4A7D-AC90-950AC237EAD4}"/>
    <cellStyle name="Migliaia 8 2 3 4 3 4" xfId="19014" xr:uid="{3D3E0238-151D-44AB-AFB7-1F6DF88FA3B2}"/>
    <cellStyle name="Migliaia 8 2 3 4 4" xfId="4916" xr:uid="{13164B91-891F-4BD5-95AD-57B39CEBB8A0}"/>
    <cellStyle name="Migliaia 8 2 3 4 4 2" xfId="12401" xr:uid="{330924F9-F728-415C-8B0B-E689671902B6}"/>
    <cellStyle name="Migliaia 8 2 3 4 4 2 2" xfId="15947" xr:uid="{FD7A9193-1376-4EA7-8DBC-14EC42C64276}"/>
    <cellStyle name="Migliaia 8 2 3 4 4 2 2 2" xfId="31124" xr:uid="{81B2027F-EC6B-4DD1-95AD-C52FE0E06F10}"/>
    <cellStyle name="Migliaia 8 2 3 4 4 2 3" xfId="27579" xr:uid="{415772F4-278C-4444-9DBC-28C6A74D41A1}"/>
    <cellStyle name="Migliaia 8 2 3 4 4 3" xfId="8227" xr:uid="{ED486E05-DF12-4B95-B4D9-816E744C891E}"/>
    <cellStyle name="Migliaia 8 2 3 4 4 3 2" xfId="23407" xr:uid="{017415E2-A944-40F3-A1AE-E85D0A69B627}"/>
    <cellStyle name="Migliaia 8 2 3 4 4 4" xfId="20119" xr:uid="{D82FE156-818E-4113-BACA-0B27995132A4}"/>
    <cellStyle name="Migliaia 8 2 3 4 5" xfId="2031" xr:uid="{810059E5-01B0-47FD-A8DB-A91A40014F80}"/>
    <cellStyle name="Migliaia 8 2 3 4 5 2" xfId="9528" xr:uid="{B70A3058-0E6D-48B3-9648-76906859308C}"/>
    <cellStyle name="Migliaia 8 2 3 4 5 2 2" xfId="24706" xr:uid="{2457C8D7-18E9-42BD-A50D-1FA5CA1F4F44}"/>
    <cellStyle name="Migliaia 8 2 3 4 5 3" xfId="17246" xr:uid="{246E69A4-3B57-410E-BA4E-71000F4164D8}"/>
    <cellStyle name="Migliaia 8 2 3 4 6" xfId="9014" xr:uid="{D7DDC8EE-3BD9-4A2E-A712-2838180CF9C8}"/>
    <cellStyle name="Migliaia 8 2 3 4 6 2" xfId="13187" xr:uid="{FFF3E083-5BA2-49B4-B853-D530FD476C4C}"/>
    <cellStyle name="Migliaia 8 2 3 4 6 2 2" xfId="28364" xr:uid="{5D60D687-FC49-4C7C-A9BC-61AC7BE400B4}"/>
    <cellStyle name="Migliaia 8 2 3 4 6 3" xfId="24192" xr:uid="{C4FEF705-B616-4608-B341-0CF1913488E9}"/>
    <cellStyle name="Migliaia 8 2 3 4 7" xfId="5354" xr:uid="{3474CECD-C41A-4DE8-8297-0D8939F84DF0}"/>
    <cellStyle name="Migliaia 8 2 3 4 7 2" xfId="20534" xr:uid="{FEFAAF2D-7650-475B-9837-7B065559D9A2}"/>
    <cellStyle name="Migliaia 8 2 3 4 8" xfId="16732" xr:uid="{A7B1C01B-F082-4D17-A81E-AC1706712889}"/>
    <cellStyle name="Migliaia 8 2 3 5" xfId="1599" xr:uid="{5489EB8A-5CAD-40E9-A464-00ECA51F2825}"/>
    <cellStyle name="Migliaia 8 2 3 5 2" xfId="3019" xr:uid="{91FE1608-2D22-4339-957C-BEBC319A0D6C}"/>
    <cellStyle name="Migliaia 8 2 3 5 2 2" xfId="10510" xr:uid="{83B7CA50-B7BC-45C4-A7A4-CE44C4023B33}"/>
    <cellStyle name="Migliaia 8 2 3 5 2 2 2" xfId="14056" xr:uid="{E724C442-BB65-436C-89C3-80E2F6502F25}"/>
    <cellStyle name="Migliaia 8 2 3 5 2 2 2 2" xfId="29233" xr:uid="{89B299AA-C7AE-459D-B719-0C4FB4E67418}"/>
    <cellStyle name="Migliaia 8 2 3 5 2 2 3" xfId="25688" xr:uid="{90503A0A-EE45-41B2-9B53-5DFB2E1B3206}"/>
    <cellStyle name="Migliaia 8 2 3 5 2 3" xfId="6336" xr:uid="{1C500EFB-1229-412C-8918-13D212F4095D}"/>
    <cellStyle name="Migliaia 8 2 3 5 2 3 2" xfId="21516" xr:uid="{3E49E190-CE6E-448C-AC28-B607B7A3D601}"/>
    <cellStyle name="Migliaia 8 2 3 5 2 4" xfId="18228" xr:uid="{ABF7E220-059F-4121-971E-9E0D4423D27E}"/>
    <cellStyle name="Migliaia 8 2 3 5 3" xfId="3906" xr:uid="{FCDA9BB2-FDD2-4A5A-91B4-A4815A5EAC4E}"/>
    <cellStyle name="Migliaia 8 2 3 5 3 2" xfId="11394" xr:uid="{7084AE79-D484-440E-B0AE-CCE209736ECC}"/>
    <cellStyle name="Migliaia 8 2 3 5 3 2 2" xfId="14940" xr:uid="{B4C31874-9B4C-4A2D-B5CB-84B9FC6B2143}"/>
    <cellStyle name="Migliaia 8 2 3 5 3 2 2 2" xfId="30117" xr:uid="{A269CBB8-ED9F-44C5-8CD6-17B010FCE596}"/>
    <cellStyle name="Migliaia 8 2 3 5 3 2 3" xfId="26572" xr:uid="{EB664D17-0FA0-4BED-BC6B-3CD58238EADC}"/>
    <cellStyle name="Migliaia 8 2 3 5 3 3" xfId="7220" xr:uid="{A48F782F-1469-413A-AADB-ACA1E913B6E4}"/>
    <cellStyle name="Migliaia 8 2 3 5 3 3 2" xfId="22400" xr:uid="{922A009F-968D-47FC-A5F8-65C026A82849}"/>
    <cellStyle name="Migliaia 8 2 3 5 3 4" xfId="19112" xr:uid="{A33C2611-8FE3-42F1-935C-A82379636A41}"/>
    <cellStyle name="Migliaia 8 2 3 5 4" xfId="4917" xr:uid="{A4464B98-7D00-4E9A-B7EC-5A9D45C25290}"/>
    <cellStyle name="Migliaia 8 2 3 5 4 2" xfId="12402" xr:uid="{212EF817-07AE-406F-897A-822C7190BE86}"/>
    <cellStyle name="Migliaia 8 2 3 5 4 2 2" xfId="15948" xr:uid="{21C8936B-11E5-4D93-B0D4-94E86AB229B2}"/>
    <cellStyle name="Migliaia 8 2 3 5 4 2 2 2" xfId="31125" xr:uid="{C546F87E-1977-459B-AD3A-F5DBAA8ACF68}"/>
    <cellStyle name="Migliaia 8 2 3 5 4 2 3" xfId="27580" xr:uid="{D56ECA98-821B-4AF8-9200-2BFBE2446D6F}"/>
    <cellStyle name="Migliaia 8 2 3 5 4 3" xfId="8228" xr:uid="{09E7BBCD-DA6E-452E-963D-5701D6733AF4}"/>
    <cellStyle name="Migliaia 8 2 3 5 4 3 2" xfId="23408" xr:uid="{3202E6EC-4E7F-457D-B5DC-5C4284536676}"/>
    <cellStyle name="Migliaia 8 2 3 5 4 4" xfId="20120" xr:uid="{E2A754F6-4001-4C15-8CD3-51683AC551F5}"/>
    <cellStyle name="Migliaia 8 2 3 5 5" xfId="2129" xr:uid="{665E38A2-D945-40B3-9323-F08BE4DE4EAD}"/>
    <cellStyle name="Migliaia 8 2 3 5 5 2" xfId="9626" xr:uid="{F25312D1-9F72-4282-AA26-4873FFB67C06}"/>
    <cellStyle name="Migliaia 8 2 3 5 5 2 2" xfId="24804" xr:uid="{AEB66C4C-D613-40C1-BB6F-291E3A155A2D}"/>
    <cellStyle name="Migliaia 8 2 3 5 5 3" xfId="17344" xr:uid="{FF8D744C-BF62-4DB7-AE97-A46573B73119}"/>
    <cellStyle name="Migliaia 8 2 3 5 6" xfId="9112" xr:uid="{392385FA-0E56-4134-BA21-7F130BB35C2F}"/>
    <cellStyle name="Migliaia 8 2 3 5 6 2" xfId="13285" xr:uid="{173AC0C8-A457-4EC7-B5E4-D76AB36C0A48}"/>
    <cellStyle name="Migliaia 8 2 3 5 6 2 2" xfId="28462" xr:uid="{7993AB28-31CB-4B55-8093-677AFEAE5146}"/>
    <cellStyle name="Migliaia 8 2 3 5 6 3" xfId="24290" xr:uid="{DD7D1649-9693-46AC-A150-EE830CEE6483}"/>
    <cellStyle name="Migliaia 8 2 3 5 7" xfId="5452" xr:uid="{1B423811-9732-460A-A9A4-8DE05FF385BF}"/>
    <cellStyle name="Migliaia 8 2 3 5 7 2" xfId="20632" xr:uid="{D9E641CC-59D0-4440-B7B5-0DD15499DBFD}"/>
    <cellStyle name="Migliaia 8 2 3 5 8" xfId="16830" xr:uid="{20FE9922-BDDC-48FA-9132-E8F065B82099}"/>
    <cellStyle name="Migliaia 8 2 3 6" xfId="1698" xr:uid="{45F04B8D-38E0-4117-842A-6DE501C64E88}"/>
    <cellStyle name="Migliaia 8 2 3 6 2" xfId="3117" xr:uid="{45096A78-A478-4B55-9563-B1B0465C04A4}"/>
    <cellStyle name="Migliaia 8 2 3 6 2 2" xfId="10608" xr:uid="{93295718-E4BF-4C93-AD05-8C97F9EA553C}"/>
    <cellStyle name="Migliaia 8 2 3 6 2 2 2" xfId="14154" xr:uid="{F4DA7A8D-7D67-48A9-A39F-4EA820D603A3}"/>
    <cellStyle name="Migliaia 8 2 3 6 2 2 2 2" xfId="29331" xr:uid="{A3CC4596-8A82-4A39-B80E-8E1B77332ACB}"/>
    <cellStyle name="Migliaia 8 2 3 6 2 2 3" xfId="25786" xr:uid="{817CCE5F-7EE2-4D5A-9621-5A6444E67A5A}"/>
    <cellStyle name="Migliaia 8 2 3 6 2 3" xfId="6434" xr:uid="{3B3A75EA-4223-4A67-A233-5311DA2096EF}"/>
    <cellStyle name="Migliaia 8 2 3 6 2 3 2" xfId="21614" xr:uid="{E639F8E4-1161-4EC4-A6CA-8AB6ACB71F53}"/>
    <cellStyle name="Migliaia 8 2 3 6 2 4" xfId="18326" xr:uid="{2DBC6CD8-CD6D-42B2-9050-FD76BA1AE215}"/>
    <cellStyle name="Migliaia 8 2 3 6 3" xfId="4004" xr:uid="{B0275FC5-6D52-4E22-8940-4C3C9565B568}"/>
    <cellStyle name="Migliaia 8 2 3 6 3 2" xfId="11492" xr:uid="{6D57F0DD-8BDF-476F-83B4-043DA12F0DDE}"/>
    <cellStyle name="Migliaia 8 2 3 6 3 2 2" xfId="15038" xr:uid="{4D62EE96-4A50-4942-9684-A33EE7B42118}"/>
    <cellStyle name="Migliaia 8 2 3 6 3 2 2 2" xfId="30215" xr:uid="{DE2C4AFB-6B59-44DC-B82A-61BB3B29A236}"/>
    <cellStyle name="Migliaia 8 2 3 6 3 2 3" xfId="26670" xr:uid="{F7861953-B262-4E42-8721-CC33CCA314D9}"/>
    <cellStyle name="Migliaia 8 2 3 6 3 3" xfId="7318" xr:uid="{8ADA4386-C622-4D4D-ABA3-569F894526DA}"/>
    <cellStyle name="Migliaia 8 2 3 6 3 3 2" xfId="22498" xr:uid="{21406117-4AAB-4531-A42E-59C258F5A2DF}"/>
    <cellStyle name="Migliaia 8 2 3 6 3 4" xfId="19210" xr:uid="{5E4D610F-4E3F-4FD0-A2A7-47FD04561964}"/>
    <cellStyle name="Migliaia 8 2 3 6 4" xfId="4918" xr:uid="{69A743D1-2F09-41E5-89A5-605CF007C11F}"/>
    <cellStyle name="Migliaia 8 2 3 6 4 2" xfId="12403" xr:uid="{2945D3E1-D409-46DF-9600-E00E2917B769}"/>
    <cellStyle name="Migliaia 8 2 3 6 4 2 2" xfId="15949" xr:uid="{7FB4C268-2B8A-43BA-8F3F-08DC9935B9CC}"/>
    <cellStyle name="Migliaia 8 2 3 6 4 2 2 2" xfId="31126" xr:uid="{208C1F2C-E286-4299-937E-A7357F778DEF}"/>
    <cellStyle name="Migliaia 8 2 3 6 4 2 3" xfId="27581" xr:uid="{445C6AA2-47AA-4D68-A50E-32344F68C657}"/>
    <cellStyle name="Migliaia 8 2 3 6 4 3" xfId="8229" xr:uid="{6F641AD2-2587-45CE-BF70-35F7AF6DEB4C}"/>
    <cellStyle name="Migliaia 8 2 3 6 4 3 2" xfId="23409" xr:uid="{DE4575D1-5647-4BAE-B165-4583478740AF}"/>
    <cellStyle name="Migliaia 8 2 3 6 4 4" xfId="20121" xr:uid="{21582A15-DD38-41C6-8B1F-6B5C3464B872}"/>
    <cellStyle name="Migliaia 8 2 3 6 5" xfId="2227" xr:uid="{956B935F-5DE9-4054-BE93-072FEEAC1E10}"/>
    <cellStyle name="Migliaia 8 2 3 6 5 2" xfId="9724" xr:uid="{FC463297-93FB-4ADD-87D1-92156F65B2BC}"/>
    <cellStyle name="Migliaia 8 2 3 6 5 2 2" xfId="24902" xr:uid="{7A335D68-2EF7-46FC-8B13-117CCF696308}"/>
    <cellStyle name="Migliaia 8 2 3 6 5 3" xfId="17442" xr:uid="{75EA5C17-1E8B-4C05-B4E9-709B86A41615}"/>
    <cellStyle name="Migliaia 8 2 3 6 6" xfId="9210" xr:uid="{D3D009FF-DE83-46EB-880F-4BE04CC47B64}"/>
    <cellStyle name="Migliaia 8 2 3 6 6 2" xfId="13383" xr:uid="{477A79AE-006F-4EA9-A8AB-4A94E2D604BA}"/>
    <cellStyle name="Migliaia 8 2 3 6 6 2 2" xfId="28560" xr:uid="{E7B3883F-D7CE-481D-B39C-5620EFDCA25A}"/>
    <cellStyle name="Migliaia 8 2 3 6 6 3" xfId="24388" xr:uid="{FE112226-2C93-4DD2-82BC-D1F981A707BA}"/>
    <cellStyle name="Migliaia 8 2 3 6 7" xfId="5550" xr:uid="{A0FC0885-CE07-4EF1-A589-2D28A0776E11}"/>
    <cellStyle name="Migliaia 8 2 3 6 7 2" xfId="20730" xr:uid="{9AB980F1-D48F-4F80-9A39-948BD50B5764}"/>
    <cellStyle name="Migliaia 8 2 3 6 8" xfId="16928" xr:uid="{44A39650-A2C2-4E30-983D-F8F134E53CD1}"/>
    <cellStyle name="Migliaia 8 2 3 7" xfId="2327" xr:uid="{208CF1D5-1F4C-4728-93B6-87509657E4A5}"/>
    <cellStyle name="Migliaia 8 2 3 7 2" xfId="9822" xr:uid="{28DF61F6-1593-48B5-8719-D4244F912802}"/>
    <cellStyle name="Migliaia 8 2 3 7 2 2" xfId="13481" xr:uid="{AC8D45E1-B014-4854-8980-38D081A7C741}"/>
    <cellStyle name="Migliaia 8 2 3 7 2 2 2" xfId="28658" xr:uid="{B0B60A58-C491-4A08-A3FC-3BDA3371F0AD}"/>
    <cellStyle name="Migliaia 8 2 3 7 2 3" xfId="25000" xr:uid="{0BF2C93A-9545-41D4-861D-276A78F38A98}"/>
    <cellStyle name="Migliaia 8 2 3 7 3" xfId="5648" xr:uid="{E85AEBEE-6CE1-48FC-9880-537F3571F08F}"/>
    <cellStyle name="Migliaia 8 2 3 7 3 2" xfId="20828" xr:uid="{A9B6B9C8-D380-4B81-B4F8-115FB115638B}"/>
    <cellStyle name="Migliaia 8 2 3 7 4" xfId="17540" xr:uid="{B08F41B2-DF14-407E-879D-EB750A4BF159}"/>
    <cellStyle name="Migliaia 8 2 3 8" xfId="3217" xr:uid="{C294A34A-8205-41E8-9408-EA6890E07351}"/>
    <cellStyle name="Migliaia 8 2 3 8 2" xfId="10706" xr:uid="{CCE5B52D-003F-450A-A487-78E3D0A41249}"/>
    <cellStyle name="Migliaia 8 2 3 8 2 2" xfId="14252" xr:uid="{357E9A6B-A3DC-41D2-966C-6848935A55A6}"/>
    <cellStyle name="Migliaia 8 2 3 8 2 2 2" xfId="29429" xr:uid="{3072D63F-F61D-49AF-9FE8-F58ABBDD0685}"/>
    <cellStyle name="Migliaia 8 2 3 8 2 3" xfId="25884" xr:uid="{25ED72D3-A4C9-4C7C-AFC0-8B6C9618A2B9}"/>
    <cellStyle name="Migliaia 8 2 3 8 3" xfId="6532" xr:uid="{36D26E26-2637-4365-ADA6-6E304E2980FF}"/>
    <cellStyle name="Migliaia 8 2 3 8 3 2" xfId="21712" xr:uid="{C4AD641E-1CEB-4132-A447-D51FE2941AAF}"/>
    <cellStyle name="Migliaia 8 2 3 8 4" xfId="18424" xr:uid="{1FA40F5B-D188-4369-9143-850F940512C5}"/>
    <cellStyle name="Migliaia 8 2 3 9" xfId="4919" xr:uid="{CA5C1A55-BB1A-4ED6-B36B-95CB34D1158D}"/>
    <cellStyle name="Migliaia 8 2 3 9 2" xfId="12404" xr:uid="{A3FFBD9E-EFF0-4A96-A18A-7B95BFF7DE56}"/>
    <cellStyle name="Migliaia 8 2 3 9 2 2" xfId="15950" xr:uid="{F9FB80A4-B2BE-4CD8-ABD2-AF7060B971E4}"/>
    <cellStyle name="Migliaia 8 2 3 9 2 2 2" xfId="31127" xr:uid="{1C44CB5E-0401-46A6-8F3D-EADA49930E73}"/>
    <cellStyle name="Migliaia 8 2 3 9 2 3" xfId="27582" xr:uid="{72A7BC5D-7D49-41AE-A6AB-19489AA0D932}"/>
    <cellStyle name="Migliaia 8 2 3 9 3" xfId="8230" xr:uid="{18ECA9D6-6057-4BC4-8972-6A328CF7F6A5}"/>
    <cellStyle name="Migliaia 8 2 3 9 3 2" xfId="23410" xr:uid="{9B86CADA-4B65-4595-B4AB-DC04E7F0FCF6}"/>
    <cellStyle name="Migliaia 8 2 3 9 4" xfId="20122" xr:uid="{36CCD4AE-A303-4238-9F07-8BC5EF1C0980}"/>
    <cellStyle name="Migliaia 8 2 4" xfId="885" xr:uid="{83C02A61-7E93-4734-BB2B-CE10B2486511}"/>
    <cellStyle name="Migliaia 8 2 4 2" xfId="2403" xr:uid="{6C6C63A5-45E4-4FEF-A8BF-EF5A6FE5FFD9}"/>
    <cellStyle name="Migliaia 8 2 4 2 2" xfId="9895" xr:uid="{8745F3F0-0C40-4CEC-8A3D-37895723E261}"/>
    <cellStyle name="Migliaia 8 2 4 2 2 2" xfId="13554" xr:uid="{B53BCB79-AA0E-4E13-8907-C62003DC14C0}"/>
    <cellStyle name="Migliaia 8 2 4 2 2 2 2" xfId="28731" xr:uid="{DC9ECF6D-1E96-428B-8416-A23A99697630}"/>
    <cellStyle name="Migliaia 8 2 4 2 2 3" xfId="25073" xr:uid="{CA699ACC-DC03-4210-B987-7468EC562469}"/>
    <cellStyle name="Migliaia 8 2 4 2 3" xfId="5721" xr:uid="{D947DA67-96AC-452C-B5F8-E8E41D46967E}"/>
    <cellStyle name="Migliaia 8 2 4 2 3 2" xfId="20901" xr:uid="{D8A695EA-2FCA-4996-A3D5-69A7162C6CC4}"/>
    <cellStyle name="Migliaia 8 2 4 2 4" xfId="17613" xr:uid="{BF71D388-8ACE-4FFC-B6B9-69CAC9A1AA79}"/>
    <cellStyle name="Migliaia 8 2 4 3" xfId="3291" xr:uid="{C635B3E8-B201-468B-90CC-2E683E6C86ED}"/>
    <cellStyle name="Migliaia 8 2 4 3 2" xfId="10779" xr:uid="{61E4F425-86D6-4959-98D4-E8CC6928ED5C}"/>
    <cellStyle name="Migliaia 8 2 4 3 2 2" xfId="14325" xr:uid="{5349617B-B4C2-4281-BDC7-966CF427ABA7}"/>
    <cellStyle name="Migliaia 8 2 4 3 2 2 2" xfId="29502" xr:uid="{182BD302-71F1-4163-B14B-1D8E30BFB03D}"/>
    <cellStyle name="Migliaia 8 2 4 3 2 3" xfId="25957" xr:uid="{8E38D663-7DB6-451D-AFE3-7053BC3EA5E9}"/>
    <cellStyle name="Migliaia 8 2 4 3 3" xfId="6605" xr:uid="{3133EFD9-7612-401E-9C85-83AB2DB2245D}"/>
    <cellStyle name="Migliaia 8 2 4 3 3 2" xfId="21785" xr:uid="{E1C82843-C42F-4530-8138-9A7BB6E81340}"/>
    <cellStyle name="Migliaia 8 2 4 3 4" xfId="18497" xr:uid="{426C29FD-5997-4E2D-B47F-444182BCD407}"/>
    <cellStyle name="Migliaia 8 2 4 4" xfId="4920" xr:uid="{5A76649B-67D8-491F-8421-321A7FD4D702}"/>
    <cellStyle name="Migliaia 8 2 4 4 2" xfId="12405" xr:uid="{9FCDB633-1758-4E2C-B735-7CC229232FE8}"/>
    <cellStyle name="Migliaia 8 2 4 4 2 2" xfId="15951" xr:uid="{2B5D38D0-5D89-4757-8B85-C94FA855BEDC}"/>
    <cellStyle name="Migliaia 8 2 4 4 2 2 2" xfId="31128" xr:uid="{45A3546A-451A-41DB-AB6A-7C3A1B789F39}"/>
    <cellStyle name="Migliaia 8 2 4 4 2 3" xfId="27583" xr:uid="{3653819C-ACF3-480A-A987-C893F26161D6}"/>
    <cellStyle name="Migliaia 8 2 4 4 3" xfId="8231" xr:uid="{859FDD0B-46B4-47DB-B900-0C1060530950}"/>
    <cellStyle name="Migliaia 8 2 4 4 3 2" xfId="23411" xr:uid="{AE2E973B-7B7B-4B20-BFCB-837ED82B836F}"/>
    <cellStyle name="Migliaia 8 2 4 4 4" xfId="20123" xr:uid="{CD9C0C26-0133-4AAB-97C7-AF50DFAF5056}"/>
    <cellStyle name="Migliaia 8 2 4 5" xfId="8497" xr:uid="{6FC8F3DE-6C47-426A-8759-6100C044DBAD}"/>
    <cellStyle name="Migliaia 8 2 4 5 2" xfId="12670" xr:uid="{640F2C67-D806-4B7E-8D94-319200EB1039}"/>
    <cellStyle name="Migliaia 8 2 4 5 2 2" xfId="27847" xr:uid="{FA6EA6B2-8762-4755-9D02-8B596FF96A5E}"/>
    <cellStyle name="Migliaia 8 2 4 5 3" xfId="23675" xr:uid="{3D8537E2-EB73-4ABB-A6E3-DF0713DC05D5}"/>
    <cellStyle name="Migliaia 8 2 4 6" xfId="16215" xr:uid="{A7B6A1BA-DB51-4D24-AD6B-72111518CA2E}"/>
    <cellStyle name="Migliaia 8 2 4 7" xfId="31655" xr:uid="{F3C859FE-AFA7-4245-9D40-B470B1EA3BAD}"/>
    <cellStyle name="Migliaia 8 2 5" xfId="988" xr:uid="{C1B2074F-C296-4F40-9D62-D6E8A8717EC7}"/>
    <cellStyle name="Migliaia 8 2 5 2" xfId="2501" xr:uid="{CF319B21-BEFB-4D72-968B-12CB76D019B0}"/>
    <cellStyle name="Migliaia 8 2 5 2 2" xfId="9993" xr:uid="{8857A927-3E82-4D0F-BB6F-D66A0B7D0C01}"/>
    <cellStyle name="Migliaia 8 2 5 2 2 2" xfId="13652" xr:uid="{838D1F43-849F-495C-ADE9-4626700D2B9B}"/>
    <cellStyle name="Migliaia 8 2 5 2 2 2 2" xfId="28829" xr:uid="{41C0DCFA-6939-446E-B97E-A6491E9E24FC}"/>
    <cellStyle name="Migliaia 8 2 5 2 2 3" xfId="25171" xr:uid="{2E0DFFCF-79A1-4409-B809-98F970C9B275}"/>
    <cellStyle name="Migliaia 8 2 5 2 3" xfId="5819" xr:uid="{A0001DF5-3ABE-439B-90BD-FB4EED8DED3F}"/>
    <cellStyle name="Migliaia 8 2 5 2 3 2" xfId="20999" xr:uid="{9165260B-1913-4CB5-836F-31ACE61D8917}"/>
    <cellStyle name="Migliaia 8 2 5 2 4" xfId="17711" xr:uid="{2BAB5268-BED7-467F-8F46-D2178F812580}"/>
    <cellStyle name="Migliaia 8 2 5 3" xfId="3389" xr:uid="{2E41C56B-292A-4576-9ABC-5D247E6B474B}"/>
    <cellStyle name="Migliaia 8 2 5 3 2" xfId="10877" xr:uid="{2184E8FB-0E3E-49FE-8F55-17B7CFDEFE70}"/>
    <cellStyle name="Migliaia 8 2 5 3 2 2" xfId="14423" xr:uid="{F2EE95D7-3B1C-4C2A-BB91-52D495D2D60A}"/>
    <cellStyle name="Migliaia 8 2 5 3 2 2 2" xfId="29600" xr:uid="{A58E6DFF-A0C1-428E-8655-A20F77D53C8F}"/>
    <cellStyle name="Migliaia 8 2 5 3 2 3" xfId="26055" xr:uid="{9A6E3DF8-33DB-4DD5-88AB-1995AF070E24}"/>
    <cellStyle name="Migliaia 8 2 5 3 3" xfId="6703" xr:uid="{ACF5DB7C-B82D-4DE2-9606-A556195BC41B}"/>
    <cellStyle name="Migliaia 8 2 5 3 3 2" xfId="21883" xr:uid="{460A3BFC-C968-4CCD-950F-73A47E3B6082}"/>
    <cellStyle name="Migliaia 8 2 5 3 4" xfId="18595" xr:uid="{0069FBB9-FF2C-4851-8E8D-7435386C4B4F}"/>
    <cellStyle name="Migliaia 8 2 5 4" xfId="4921" xr:uid="{8D0DC488-1C5E-4E9A-B734-FE7A4CDA1ED0}"/>
    <cellStyle name="Migliaia 8 2 5 4 2" xfId="12406" xr:uid="{36A39446-2A30-4C07-B625-F6526EFD6F3C}"/>
    <cellStyle name="Migliaia 8 2 5 4 2 2" xfId="15952" xr:uid="{46FC6CB6-4855-48D3-BBAF-4F204B154A1B}"/>
    <cellStyle name="Migliaia 8 2 5 4 2 2 2" xfId="31129" xr:uid="{31DD00E9-9FB0-4E81-9ED3-66DCC3C76FE5}"/>
    <cellStyle name="Migliaia 8 2 5 4 2 3" xfId="27584" xr:uid="{8F8F93A7-77DB-4E41-9577-EDA6F33217D7}"/>
    <cellStyle name="Migliaia 8 2 5 4 3" xfId="8232" xr:uid="{C366CAC0-6111-4377-801C-2DF4E3ED9388}"/>
    <cellStyle name="Migliaia 8 2 5 4 3 2" xfId="23412" xr:uid="{5B3702E2-DE3F-415A-B4DF-816114307D50}"/>
    <cellStyle name="Migliaia 8 2 5 4 4" xfId="20124" xr:uid="{F8E15232-2D87-4ECF-88EE-A565B9F97184}"/>
    <cellStyle name="Migliaia 8 2 5 5" xfId="8595" xr:uid="{096EC1D6-3AE4-4FB6-A90B-E4D764BF166B}"/>
    <cellStyle name="Migliaia 8 2 5 5 2" xfId="12768" xr:uid="{AF463ECA-4BD9-4107-918A-B1A9952E56B2}"/>
    <cellStyle name="Migliaia 8 2 5 5 2 2" xfId="27945" xr:uid="{C566F4F5-D28A-49E7-B045-D2529F858C2D}"/>
    <cellStyle name="Migliaia 8 2 5 5 3" xfId="23773" xr:uid="{4529E407-8183-4CF6-95E7-791083CC01EC}"/>
    <cellStyle name="Migliaia 8 2 5 6" xfId="16313" xr:uid="{9439E6D5-FE3E-48C1-8F78-C03953BF5177}"/>
    <cellStyle name="Migliaia 8 2 5 7" xfId="31533" xr:uid="{355B2863-6311-4FA5-8235-F9FED21869AA}"/>
    <cellStyle name="Migliaia 8 2 6" xfId="1171" xr:uid="{60043CA0-20DF-4585-8631-AD34A2168E0B}"/>
    <cellStyle name="Migliaia 8 2 6 2" xfId="2604" xr:uid="{33FFF3AF-0EAB-42D7-B506-3194F9AB0A51}"/>
    <cellStyle name="Migliaia 8 2 6 2 2" xfId="10095" xr:uid="{C4AB4B85-4148-4503-9CCC-2A2EEFC7D0E4}"/>
    <cellStyle name="Migliaia 8 2 6 2 2 2" xfId="13753" xr:uid="{BD53C35E-AB37-4BDC-BA90-30A6AC188BDC}"/>
    <cellStyle name="Migliaia 8 2 6 2 2 2 2" xfId="28930" xr:uid="{34A4B303-B0F4-4E64-83D4-1875F1C90F3C}"/>
    <cellStyle name="Migliaia 8 2 6 2 2 3" xfId="25273" xr:uid="{6745DB7C-8D7D-443D-8570-9610C75B149B}"/>
    <cellStyle name="Migliaia 8 2 6 2 3" xfId="5921" xr:uid="{0CE6F35C-8B18-4279-A73E-9DBB5824474D}"/>
    <cellStyle name="Migliaia 8 2 6 2 3 2" xfId="21101" xr:uid="{54F77C34-0FB8-4478-9AF5-E59B48FF7C54}"/>
    <cellStyle name="Migliaia 8 2 6 2 4" xfId="17813" xr:uid="{EEF788D0-EC4E-40B2-B1AE-1F9896E0422C}"/>
    <cellStyle name="Migliaia 8 2 6 3" xfId="3491" xr:uid="{C867CC3F-7035-4D83-B498-892590F6E6B0}"/>
    <cellStyle name="Migliaia 8 2 6 3 2" xfId="10979" xr:uid="{73C3979E-BE65-4BFF-A0B3-A150658CE97B}"/>
    <cellStyle name="Migliaia 8 2 6 3 2 2" xfId="14525" xr:uid="{6F68642C-6DA0-43BD-B362-D2945C499D5A}"/>
    <cellStyle name="Migliaia 8 2 6 3 2 2 2" xfId="29702" xr:uid="{CCD65553-9B6E-415B-997F-EE5C84021730}"/>
    <cellStyle name="Migliaia 8 2 6 3 2 3" xfId="26157" xr:uid="{C842FD7F-5E9F-4727-9D27-CBC27D1F3B40}"/>
    <cellStyle name="Migliaia 8 2 6 3 3" xfId="6805" xr:uid="{E06771C5-0C67-48AD-A022-7BA278C131CB}"/>
    <cellStyle name="Migliaia 8 2 6 3 3 2" xfId="21985" xr:uid="{D9FB2D10-1121-4A44-906B-65852547CF1A}"/>
    <cellStyle name="Migliaia 8 2 6 3 4" xfId="18697" xr:uid="{1181F250-3073-43B0-8289-3D1639D781D0}"/>
    <cellStyle name="Migliaia 8 2 6 4" xfId="4922" xr:uid="{F99CAE0F-3767-45D2-83E9-FE74AE25F226}"/>
    <cellStyle name="Migliaia 8 2 6 4 2" xfId="12407" xr:uid="{D4EF9DFE-D3C7-43BC-928D-E6E1DB8DAD77}"/>
    <cellStyle name="Migliaia 8 2 6 4 2 2" xfId="15953" xr:uid="{A0BA167A-5A2A-48A2-964B-056A2748CB30}"/>
    <cellStyle name="Migliaia 8 2 6 4 2 2 2" xfId="31130" xr:uid="{AFA98E97-00E6-47C3-BE50-5A750A40658D}"/>
    <cellStyle name="Migliaia 8 2 6 4 2 3" xfId="27585" xr:uid="{043806A3-29E9-4B7E-BF45-E139856DE49B}"/>
    <cellStyle name="Migliaia 8 2 6 4 3" xfId="8233" xr:uid="{EDECE108-5927-48D4-97EF-B2371728AF9A}"/>
    <cellStyle name="Migliaia 8 2 6 4 3 2" xfId="23413" xr:uid="{03B34EC1-4F59-49D2-8451-EAE162AAEEC3}"/>
    <cellStyle name="Migliaia 8 2 6 4 4" xfId="20125" xr:uid="{688193DE-EAC8-40E0-8FFD-E47449760D01}"/>
    <cellStyle name="Migliaia 8 2 6 5" xfId="8697" xr:uid="{03CDF95D-BD50-4AAF-B490-876493D78E24}"/>
    <cellStyle name="Migliaia 8 2 6 5 2" xfId="12870" xr:uid="{150908C0-F12F-4A8E-A092-63C8D09EA279}"/>
    <cellStyle name="Migliaia 8 2 6 5 2 2" xfId="28047" xr:uid="{1A62D167-CD6D-4D38-A70E-AD9568CBEE3E}"/>
    <cellStyle name="Migliaia 8 2 6 5 3" xfId="23875" xr:uid="{B79B82BC-3EC1-40D3-8F8B-3E4235DEC0B4}"/>
    <cellStyle name="Migliaia 8 2 6 6" xfId="16415" xr:uid="{5190E4D2-C7E2-498B-A5EC-443B83085183}"/>
    <cellStyle name="Migliaia 8 2 7" xfId="1197" xr:uid="{8EE73ABA-AA77-413A-8AA1-F5EA71B8D8FF}"/>
    <cellStyle name="Migliaia 8 2 7 2" xfId="2628" xr:uid="{E6CA0725-4B27-49BC-996B-02ADC9E3F36A}"/>
    <cellStyle name="Migliaia 8 2 7 2 2" xfId="10119" xr:uid="{C55B847E-343D-4BC3-AFD8-18BC3427A363}"/>
    <cellStyle name="Migliaia 8 2 7 2 2 2" xfId="13777" xr:uid="{2C4F1AA4-FF3C-4A72-8FB1-D6E5AA37EA27}"/>
    <cellStyle name="Migliaia 8 2 7 2 2 2 2" xfId="28954" xr:uid="{86EA2423-96D1-4A57-BE60-27E99C3917FC}"/>
    <cellStyle name="Migliaia 8 2 7 2 2 3" xfId="25297" xr:uid="{96F65751-2E4B-45B4-8BE8-5E69EEA9BEB4}"/>
    <cellStyle name="Migliaia 8 2 7 2 3" xfId="5945" xr:uid="{9507382B-ED06-4F5F-99BF-91800D254C2E}"/>
    <cellStyle name="Migliaia 8 2 7 2 3 2" xfId="21125" xr:uid="{EF87453C-E497-48E0-B29C-AEBEFAA86C30}"/>
    <cellStyle name="Migliaia 8 2 7 2 4" xfId="17837" xr:uid="{2D1CC3D8-E5AC-4863-9213-8950E8F3A5D7}"/>
    <cellStyle name="Migliaia 8 2 7 3" xfId="3515" xr:uid="{E5D0B788-EC14-4EBE-AAF6-F14AFFA1C486}"/>
    <cellStyle name="Migliaia 8 2 7 3 2" xfId="11003" xr:uid="{AFD4D41A-7292-46C1-BA98-18ECBD4991DC}"/>
    <cellStyle name="Migliaia 8 2 7 3 2 2" xfId="14549" xr:uid="{61DAC528-CD0E-4D3F-A95A-B9EAD81B84C6}"/>
    <cellStyle name="Migliaia 8 2 7 3 2 2 2" xfId="29726" xr:uid="{04B36E15-6D40-49D7-BF7A-B5B8429EF4BE}"/>
    <cellStyle name="Migliaia 8 2 7 3 2 3" xfId="26181" xr:uid="{89F6C693-86AF-493E-B1AB-2E4B840A0CA0}"/>
    <cellStyle name="Migliaia 8 2 7 3 3" xfId="6829" xr:uid="{D5BFC27A-99C9-4B12-AF80-74B0AD4E7B4D}"/>
    <cellStyle name="Migliaia 8 2 7 3 3 2" xfId="22009" xr:uid="{02C4FC83-846D-4BAA-A86F-93D0640DE694}"/>
    <cellStyle name="Migliaia 8 2 7 3 4" xfId="18721" xr:uid="{FD414C60-2B68-472F-9477-231F62562690}"/>
    <cellStyle name="Migliaia 8 2 7 4" xfId="4923" xr:uid="{6A877E52-3EDA-4441-8492-DB6C87D26D8A}"/>
    <cellStyle name="Migliaia 8 2 7 4 2" xfId="12408" xr:uid="{E6755228-C2F9-4FD8-AA5F-510EE991B742}"/>
    <cellStyle name="Migliaia 8 2 7 4 2 2" xfId="15954" xr:uid="{271FA113-55E7-4496-9A5E-E2B790496A29}"/>
    <cellStyle name="Migliaia 8 2 7 4 2 2 2" xfId="31131" xr:uid="{7BA9DC17-5D0B-4A1A-ACAF-220BCB20A3B7}"/>
    <cellStyle name="Migliaia 8 2 7 4 2 3" xfId="27586" xr:uid="{F00EA29E-13D8-4920-A2AD-0A8EC168C526}"/>
    <cellStyle name="Migliaia 8 2 7 4 3" xfId="8234" xr:uid="{FA1308C1-CE71-473F-8E4D-84C75A1E8118}"/>
    <cellStyle name="Migliaia 8 2 7 4 3 2" xfId="23414" xr:uid="{E2B39747-7BB0-478C-804A-F19516200F8D}"/>
    <cellStyle name="Migliaia 8 2 7 4 4" xfId="20126" xr:uid="{1C589B40-E8BA-4778-91F6-8EAA01BD4397}"/>
    <cellStyle name="Migliaia 8 2 7 5" xfId="8721" xr:uid="{F28C0EB2-D9F2-4325-93EB-59B3D35D9F24}"/>
    <cellStyle name="Migliaia 8 2 7 5 2" xfId="12894" xr:uid="{3A799A8B-F6D0-4D74-AA9B-AE9DE8FF66BC}"/>
    <cellStyle name="Migliaia 8 2 7 5 2 2" xfId="28071" xr:uid="{71C65B6D-4F46-4EC1-AD1F-25686986DB52}"/>
    <cellStyle name="Migliaia 8 2 7 5 3" xfId="23899" xr:uid="{36DE19B4-4A9D-43AE-A89A-17D0EEE75F17}"/>
    <cellStyle name="Migliaia 8 2 7 6" xfId="16439" xr:uid="{07AFDE74-AA53-4E57-B6E8-F6E8F656FE7B}"/>
    <cellStyle name="Migliaia 8 2 8" xfId="1246" xr:uid="{FD6ECA12-A259-49E4-ABA5-D9A14DCA994E}"/>
    <cellStyle name="Migliaia 8 2 8 10" xfId="31305" xr:uid="{46145432-D616-42D3-8B27-7FA44F6EEF45}"/>
    <cellStyle name="Migliaia 8 2 8 2" xfId="2676" xr:uid="{09FA5089-CBED-45A9-BFB4-923A1FB6A15F}"/>
    <cellStyle name="Migliaia 8 2 8 2 2" xfId="10167" xr:uid="{10A99CBE-F957-4351-8D62-ED57B1EDFAAB}"/>
    <cellStyle name="Migliaia 8 2 8 2 2 2" xfId="13811" xr:uid="{4BFF764F-9512-44FB-BDD8-BAB703E444BE}"/>
    <cellStyle name="Migliaia 8 2 8 2 2 2 2" xfId="28988" xr:uid="{99405BEB-58B3-41E9-8A10-B77B0E6F97A8}"/>
    <cellStyle name="Migliaia 8 2 8 2 2 3" xfId="25345" xr:uid="{47EED8F4-CC45-4231-A0B3-92047D453325}"/>
    <cellStyle name="Migliaia 8 2 8 2 3" xfId="5993" xr:uid="{0F81085B-7AB7-4DD6-971D-A59058FF2B8E}"/>
    <cellStyle name="Migliaia 8 2 8 2 3 2" xfId="21173" xr:uid="{B0610D0B-546B-4D33-A7A4-588703587C9B}"/>
    <cellStyle name="Migliaia 8 2 8 2 4" xfId="17885" xr:uid="{B2B105B8-6C41-4601-98A5-94F663CAC0F8}"/>
    <cellStyle name="Migliaia 8 2 8 3" xfId="3563" xr:uid="{2F3F5D95-AD8B-4425-AF18-35E06588269C}"/>
    <cellStyle name="Migliaia 8 2 8 3 2" xfId="11051" xr:uid="{3EF312DD-4585-4CA6-8F67-827AF338D56C}"/>
    <cellStyle name="Migliaia 8 2 8 3 2 2" xfId="14597" xr:uid="{7942D3D3-44FB-4ABC-9E9B-F2B87C908684}"/>
    <cellStyle name="Migliaia 8 2 8 3 2 2 2" xfId="29774" xr:uid="{CB97F7F2-2523-4C04-A4D7-A822CC025C37}"/>
    <cellStyle name="Migliaia 8 2 8 3 2 3" xfId="26229" xr:uid="{45AE1E12-AF2A-474C-9F63-E4DADC8CA76B}"/>
    <cellStyle name="Migliaia 8 2 8 3 3" xfId="6877" xr:uid="{7A83AF15-B58A-4A43-BCCF-8050C23CBA89}"/>
    <cellStyle name="Migliaia 8 2 8 3 3 2" xfId="22057" xr:uid="{3AFA4FC6-78C5-4EFA-9747-98A83A4E577A}"/>
    <cellStyle name="Migliaia 8 2 8 3 4" xfId="18769" xr:uid="{17B5F435-63B8-4F63-A6E5-F64E61A3935B}"/>
    <cellStyle name="Migliaia 8 2 8 4" xfId="4924" xr:uid="{82B666B9-C920-4E2B-99CC-D058D95F2D88}"/>
    <cellStyle name="Migliaia 8 2 8 4 2" xfId="12409" xr:uid="{3D9F8FF5-50B3-41C4-B5C9-CBB529A4F586}"/>
    <cellStyle name="Migliaia 8 2 8 4 2 2" xfId="15955" xr:uid="{207E657C-9BE6-4B6D-B696-3F05E6C53CA6}"/>
    <cellStyle name="Migliaia 8 2 8 4 2 2 2" xfId="31132" xr:uid="{A3AD128A-55A7-4C9E-93C9-A1A3EE4B0319}"/>
    <cellStyle name="Migliaia 8 2 8 4 2 3" xfId="27587" xr:uid="{73AA8BBF-542A-4034-A855-17F7F3056A9E}"/>
    <cellStyle name="Migliaia 8 2 8 4 3" xfId="8235" xr:uid="{F09D1184-B7A1-4D7B-865A-C99A42628383}"/>
    <cellStyle name="Migliaia 8 2 8 4 3 2" xfId="23415" xr:uid="{4735C4A4-DBB0-4D70-A977-8421E3840013}"/>
    <cellStyle name="Migliaia 8 2 8 4 4" xfId="20127" xr:uid="{DECE74B2-913E-4503-8838-544078295D70}"/>
    <cellStyle name="Migliaia 8 2 8 5" xfId="4965" xr:uid="{51D97C72-79B8-438D-A017-DA15174B5C09}"/>
    <cellStyle name="Migliaia 8 2 8 5 2" xfId="12449" xr:uid="{5E2034CC-A30E-4C05-81DF-50BE125DAA6D}"/>
    <cellStyle name="Migliaia 8 2 8 5 2 2" xfId="15995" xr:uid="{8C4735F4-0FEF-4C08-A1E5-20421DD10BEA}"/>
    <cellStyle name="Migliaia 8 2 8 5 2 2 2" xfId="31172" xr:uid="{EE609CA1-95A0-4E42-84F0-231BAF292AE3}"/>
    <cellStyle name="Migliaia 8 2 8 5 2 3" xfId="27627" xr:uid="{830CD68A-7F34-4FB9-93A0-01768C448198}"/>
    <cellStyle name="Migliaia 8 2 8 5 3" xfId="8275" xr:uid="{10C2E7F0-85C8-41B6-A49A-0F0EC4F00D35}"/>
    <cellStyle name="Migliaia 8 2 8 5 3 2" xfId="23455" xr:uid="{81070712-DF52-4A95-B3C3-A35A9B3531BB}"/>
    <cellStyle name="Migliaia 8 2 8 5 4" xfId="20167" xr:uid="{4025A087-3903-453F-8D81-A89517D78D5D}"/>
    <cellStyle name="Migliaia 8 2 8 6" xfId="1786" xr:uid="{2F2B93EF-2F42-435B-B059-962CC121C504}"/>
    <cellStyle name="Migliaia 8 2 8 6 2" xfId="9283" xr:uid="{A0358507-613E-47B6-A229-D7EEBC4E8D72}"/>
    <cellStyle name="Migliaia 8 2 8 6 2 2" xfId="24461" xr:uid="{5BA82A70-B4FE-4C42-9F9B-09CB25609F53}"/>
    <cellStyle name="Migliaia 8 2 8 6 3" xfId="17001" xr:uid="{D2FBEC45-3E51-42D0-8B6E-87D2BC655B1C}"/>
    <cellStyle name="Migliaia 8 2 8 7" xfId="8769" xr:uid="{10A22255-E40D-427E-B361-2E296C645F47}"/>
    <cellStyle name="Migliaia 8 2 8 7 2" xfId="12942" xr:uid="{5BCCC0A6-A5E7-45E6-B753-1555E6E5E1AA}"/>
    <cellStyle name="Migliaia 8 2 8 7 2 2" xfId="28119" xr:uid="{269D92DF-224F-4411-833B-69A665F51EAA}"/>
    <cellStyle name="Migliaia 8 2 8 7 3" xfId="23947" xr:uid="{A732C5B6-3CCB-4C7B-9CAF-4DC068A17BCA}"/>
    <cellStyle name="Migliaia 8 2 8 8" xfId="5109" xr:uid="{DF89CD7F-6005-4AF9-B5AA-53C8ED00E4DA}"/>
    <cellStyle name="Migliaia 8 2 8 8 2" xfId="20289" xr:uid="{BD2A3DB4-38CF-4441-9B53-94DFC4908A86}"/>
    <cellStyle name="Migliaia 8 2 8 9" xfId="16487" xr:uid="{94584D36-5258-4FD6-8187-4D9D23B4C748}"/>
    <cellStyle name="Migliaia 8 2 9" xfId="1348" xr:uid="{DE4AC001-73AF-4774-926F-CAE7C1DD0FD4}"/>
    <cellStyle name="Migliaia 8 2 9 2" xfId="2774" xr:uid="{B08370D9-79CE-4AA7-A34B-C726AF40E293}"/>
    <cellStyle name="Migliaia 8 2 9 2 2" xfId="10265" xr:uid="{0D4AF171-E7F5-4344-B8AA-74ADF06E657B}"/>
    <cellStyle name="Migliaia 8 2 9 2 2 2" xfId="13860" xr:uid="{6389C17D-659F-4A79-AE26-748C6CCF95BE}"/>
    <cellStyle name="Migliaia 8 2 9 2 2 2 2" xfId="29037" xr:uid="{F4091D4A-3681-4C86-B1AC-6B2AD8AD80EC}"/>
    <cellStyle name="Migliaia 8 2 9 2 2 3" xfId="25443" xr:uid="{12359BB6-58F5-4618-A180-68192CDE2945}"/>
    <cellStyle name="Migliaia 8 2 9 2 3" xfId="6091" xr:uid="{6F0C81AC-2DC0-4994-8323-4942CD1F56DF}"/>
    <cellStyle name="Migliaia 8 2 9 2 3 2" xfId="21271" xr:uid="{4B8A6653-D390-4BBC-B06F-A6ECFF27698F}"/>
    <cellStyle name="Migliaia 8 2 9 2 4" xfId="17983" xr:uid="{797F3786-C84E-4715-94CB-3D6ACC9E42DC}"/>
    <cellStyle name="Migliaia 8 2 9 3" xfId="3661" xr:uid="{27B483D2-0F03-4500-93ED-3B23D2270D10}"/>
    <cellStyle name="Migliaia 8 2 9 3 2" xfId="11149" xr:uid="{BE30B499-3E55-44AC-9FC5-3EC52585D109}"/>
    <cellStyle name="Migliaia 8 2 9 3 2 2" xfId="14695" xr:uid="{9D0B1606-1352-40CC-A948-408C0D0CDECE}"/>
    <cellStyle name="Migliaia 8 2 9 3 2 2 2" xfId="29872" xr:uid="{A368DCF4-5839-4066-9695-A79E7D90D734}"/>
    <cellStyle name="Migliaia 8 2 9 3 2 3" xfId="26327" xr:uid="{8E1A31E1-226E-464B-9B4E-D87841325BD6}"/>
    <cellStyle name="Migliaia 8 2 9 3 3" xfId="6975" xr:uid="{1EC2A536-57E8-40A3-9AFB-403B78E6EA37}"/>
    <cellStyle name="Migliaia 8 2 9 3 3 2" xfId="22155" xr:uid="{73C28381-301D-4E13-9ED2-D81ADB45072E}"/>
    <cellStyle name="Migliaia 8 2 9 3 4" xfId="18867" xr:uid="{8EEB5135-1D7C-4BE3-92DC-341343E870D1}"/>
    <cellStyle name="Migliaia 8 2 9 4" xfId="4925" xr:uid="{A5DFBB75-F3C9-4344-926D-7E85FC23429C}"/>
    <cellStyle name="Migliaia 8 2 9 4 2" xfId="12410" xr:uid="{05C05757-90FC-4578-AA7F-1D44B5858611}"/>
    <cellStyle name="Migliaia 8 2 9 4 2 2" xfId="15956" xr:uid="{D545D1A3-BB93-4BBE-B4B1-3832E70CFE9A}"/>
    <cellStyle name="Migliaia 8 2 9 4 2 2 2" xfId="31133" xr:uid="{1E448320-8984-4AD7-BB9C-A9144923DE0E}"/>
    <cellStyle name="Migliaia 8 2 9 4 2 3" xfId="27588" xr:uid="{48DDE18C-E378-4544-B9E9-3C00871AFDCA}"/>
    <cellStyle name="Migliaia 8 2 9 4 3" xfId="8236" xr:uid="{3A777652-6269-4D46-A365-16C6C91EBD4C}"/>
    <cellStyle name="Migliaia 8 2 9 4 3 2" xfId="23416" xr:uid="{4A22FBFB-8269-452A-B643-15020DE8EE6C}"/>
    <cellStyle name="Migliaia 8 2 9 4 4" xfId="20128" xr:uid="{E1D1D1C5-D6DC-43C6-B4D1-D0EB3CE6D654}"/>
    <cellStyle name="Migliaia 8 2 9 5" xfId="1884" xr:uid="{BBDA0811-45DE-475D-884E-19D884310D12}"/>
    <cellStyle name="Migliaia 8 2 9 5 2" xfId="9381" xr:uid="{721123AE-EB6E-4357-B22D-ADA6734594DD}"/>
    <cellStyle name="Migliaia 8 2 9 5 2 2" xfId="24559" xr:uid="{E4646BE4-F268-4E99-96D2-D2261EB7654E}"/>
    <cellStyle name="Migliaia 8 2 9 5 3" xfId="17099" xr:uid="{7BA15D2B-3D0D-44D9-B74C-0EBE411BAEF9}"/>
    <cellStyle name="Migliaia 8 2 9 6" xfId="8867" xr:uid="{5BBD27C2-491A-4635-9253-CCA26F92DB47}"/>
    <cellStyle name="Migliaia 8 2 9 6 2" xfId="13040" xr:uid="{457255D3-2CD7-4382-AF60-3BBEA8F31FC0}"/>
    <cellStyle name="Migliaia 8 2 9 6 2 2" xfId="28217" xr:uid="{94A826AF-5C35-4284-8C69-8B5E34893281}"/>
    <cellStyle name="Migliaia 8 2 9 6 3" xfId="24045" xr:uid="{0982C7E1-8A12-47AC-80BF-421763F43311}"/>
    <cellStyle name="Migliaia 8 2 9 7" xfId="5207" xr:uid="{8E2060CC-E68C-4D39-AD9E-310F0FEFD834}"/>
    <cellStyle name="Migliaia 8 2 9 7 2" xfId="20387" xr:uid="{36EFF2D7-5C23-4547-B817-FC1E45F45FBD}"/>
    <cellStyle name="Migliaia 8 2 9 8" xfId="16585" xr:uid="{B4F9E366-A9CD-47BC-B129-3E843816F03C}"/>
    <cellStyle name="Migliaia 8 3" xfId="568" xr:uid="{04669F1F-15D4-4FDF-95FF-AAAA33C6C83B}"/>
    <cellStyle name="Migliaia 8 3 10" xfId="16191" xr:uid="{7CCAB364-97B4-43A2-917B-ADDD51EFA6A6}"/>
    <cellStyle name="Migliaia 8 3 11" xfId="31281" xr:uid="{CD494021-B7FF-422B-A532-3D25E68EC9C7}"/>
    <cellStyle name="Migliaia 8 3 12" xfId="31631" xr:uid="{61FBC63F-5475-4896-9DC4-E56AD9D67129}"/>
    <cellStyle name="Migliaia 8 3 13" xfId="859" xr:uid="{C46A3482-D9BD-45A5-AEDB-0E998BB9FB96}"/>
    <cellStyle name="Migliaia 8 3 2" xfId="1222" xr:uid="{FD2FEEA0-82DB-46C3-ACBA-98B9839DFAC8}"/>
    <cellStyle name="Migliaia 8 3 2 2" xfId="3539" xr:uid="{7B9117D4-9131-4178-8C63-C2F6ADBF152C}"/>
    <cellStyle name="Migliaia 8 3 2 2 2" xfId="11027" xr:uid="{31A3627F-5803-42E4-BB2E-D966CEFDFFCD}"/>
    <cellStyle name="Migliaia 8 3 2 2 2 2" xfId="14573" xr:uid="{7D438E0E-1BEA-4080-931B-2E47903C0939}"/>
    <cellStyle name="Migliaia 8 3 2 2 2 2 2" xfId="29750" xr:uid="{588D791D-A7AD-41F1-BBA1-762A8C02ED9E}"/>
    <cellStyle name="Migliaia 8 3 2 2 2 3" xfId="26205" xr:uid="{7EA2BCE0-B224-40AF-A38F-C4486F7594F2}"/>
    <cellStyle name="Migliaia 8 3 2 2 3" xfId="6853" xr:uid="{FDE65A8C-32B6-4B0A-8523-CE606E57AC9B}"/>
    <cellStyle name="Migliaia 8 3 2 2 3 2" xfId="22033" xr:uid="{F05BDE21-4A2A-4722-AA89-95824A4438FE}"/>
    <cellStyle name="Migliaia 8 3 2 2 4" xfId="18745" xr:uid="{33954590-3436-41B1-BBD8-8FA198CFB711}"/>
    <cellStyle name="Migliaia 8 3 2 3" xfId="4926" xr:uid="{D6B4F4BE-E07A-4EBE-B18E-48A2480E0BD4}"/>
    <cellStyle name="Migliaia 8 3 2 3 2" xfId="12411" xr:uid="{12B119A8-653F-41A2-96B8-3C3E7A9FBBAA}"/>
    <cellStyle name="Migliaia 8 3 2 3 2 2" xfId="15957" xr:uid="{CB3F5E1B-0921-49F8-AFC5-1A16DB8B715B}"/>
    <cellStyle name="Migliaia 8 3 2 3 2 2 2" xfId="31134" xr:uid="{8963A71E-23C1-409D-AC4E-C2EE4C368E3F}"/>
    <cellStyle name="Migliaia 8 3 2 3 2 3" xfId="27589" xr:uid="{BEE4686A-18F7-4CB3-AA09-7C3EF4C4B023}"/>
    <cellStyle name="Migliaia 8 3 2 3 3" xfId="8237" xr:uid="{BE77A7FE-F05F-417B-ACCC-C25FEFE63FB4}"/>
    <cellStyle name="Migliaia 8 3 2 3 3 2" xfId="23417" xr:uid="{F72A56B8-6B96-4D61-8A40-4ABE1061CB3D}"/>
    <cellStyle name="Migliaia 8 3 2 3 4" xfId="20129" xr:uid="{8FB329F4-BD54-48D0-B20D-7A7FBE3CD1B4}"/>
    <cellStyle name="Migliaia 8 3 2 4" xfId="2652" xr:uid="{6262B5E2-AC78-4987-9C52-A21A3B1AB669}"/>
    <cellStyle name="Migliaia 8 3 2 4 2" xfId="10143" xr:uid="{45620835-045C-4F6A-A60B-FCF416E682E4}"/>
    <cellStyle name="Migliaia 8 3 2 4 2 2" xfId="25321" xr:uid="{4627761E-730E-403A-84E1-6EA986BB77C9}"/>
    <cellStyle name="Migliaia 8 3 2 4 3" xfId="17861" xr:uid="{2E305D73-B0FF-40C9-8DDB-FD1A40D36ED3}"/>
    <cellStyle name="Migliaia 8 3 2 5" xfId="8745" xr:uid="{D59C38FA-F79F-4060-9913-800F3BAAFE89}"/>
    <cellStyle name="Migliaia 8 3 2 5 2" xfId="12918" xr:uid="{7FA9C315-7609-4A68-BEBD-46873FDD5B49}"/>
    <cellStyle name="Migliaia 8 3 2 5 2 2" xfId="28095" xr:uid="{19E76C33-99C1-4435-933F-E31CCF8923B2}"/>
    <cellStyle name="Migliaia 8 3 2 5 3" xfId="23923" xr:uid="{B8E37F7C-02D8-43FF-A45E-DF9B2E615AB2}"/>
    <cellStyle name="Migliaia 8 3 2 6" xfId="5969" xr:uid="{77B77BDB-B194-485F-A5AF-0493B6C2A039}"/>
    <cellStyle name="Migliaia 8 3 2 6 2" xfId="21149" xr:uid="{0A30E531-C20E-43BE-92C0-9D1B20C7AE4E}"/>
    <cellStyle name="Migliaia 8 3 2 7" xfId="16463" xr:uid="{51048726-4463-4577-83DA-CACD348F6157}"/>
    <cellStyle name="Migliaia 8 3 3" xfId="2377" xr:uid="{19706155-BBDC-4836-8E7E-F0DD62444223}"/>
    <cellStyle name="Migliaia 8 3 3 2" xfId="9871" xr:uid="{E70DEE9D-E21F-4BF0-B24B-BC8477B39878}"/>
    <cellStyle name="Migliaia 8 3 3 2 2" xfId="13530" xr:uid="{F9ECEC07-939B-4298-88D8-3E28C2393557}"/>
    <cellStyle name="Migliaia 8 3 3 2 2 2" xfId="28707" xr:uid="{34FE3DF2-B319-4B0D-884C-0EDA59F15791}"/>
    <cellStyle name="Migliaia 8 3 3 2 3" xfId="25049" xr:uid="{CC03343D-3FA5-489C-9197-5CB40AFFBFB8}"/>
    <cellStyle name="Migliaia 8 3 3 3" xfId="5697" xr:uid="{4CB13900-0CB4-4EAF-9F88-FB76818DDAC8}"/>
    <cellStyle name="Migliaia 8 3 3 3 2" xfId="20877" xr:uid="{EFD7530E-F2A3-41F8-9374-47A1892510EF}"/>
    <cellStyle name="Migliaia 8 3 3 4" xfId="17589" xr:uid="{04078D49-7755-45A3-B232-B6C9BDD5D77C}"/>
    <cellStyle name="Migliaia 8 3 4" xfId="3267" xr:uid="{C8C348FB-0353-45F9-A4DE-56892EF6E7D0}"/>
    <cellStyle name="Migliaia 8 3 4 2" xfId="10755" xr:uid="{A74771F1-8C35-41D4-AF62-BE9FBC3F9C70}"/>
    <cellStyle name="Migliaia 8 3 4 2 2" xfId="14301" xr:uid="{707C1514-8158-4AE8-B100-B69DC4C70F89}"/>
    <cellStyle name="Migliaia 8 3 4 2 2 2" xfId="29478" xr:uid="{F9D62BF9-A6C2-4667-9FD0-6DCC6C343EBC}"/>
    <cellStyle name="Migliaia 8 3 4 2 3" xfId="25933" xr:uid="{A80DD38D-830F-43E4-B2C1-2A6BC7A8E6CE}"/>
    <cellStyle name="Migliaia 8 3 4 3" xfId="6581" xr:uid="{6B944ADC-513A-4FAA-8744-C44F817CE877}"/>
    <cellStyle name="Migliaia 8 3 4 3 2" xfId="21761" xr:uid="{670E9C19-544F-45A3-834B-12868EF04A5C}"/>
    <cellStyle name="Migliaia 8 3 4 4" xfId="18473" xr:uid="{B2C2DD07-B017-48BD-A690-C28B46096B0B}"/>
    <cellStyle name="Migliaia 8 3 5" xfId="4927" xr:uid="{C495CB18-32F0-4116-B29E-4A055C166C3E}"/>
    <cellStyle name="Migliaia 8 3 5 2" xfId="12412" xr:uid="{95CC7210-CBFC-4156-BDEA-438357C5A3DC}"/>
    <cellStyle name="Migliaia 8 3 5 2 2" xfId="15958" xr:uid="{D7202AFB-9382-45B4-B1F8-10BFABCEC83D}"/>
    <cellStyle name="Migliaia 8 3 5 2 2 2" xfId="31135" xr:uid="{60D15154-0B83-4930-B414-27F0D1F10EF1}"/>
    <cellStyle name="Migliaia 8 3 5 2 3" xfId="27590" xr:uid="{89562D82-084E-4673-A92F-3A3ED59F54C7}"/>
    <cellStyle name="Migliaia 8 3 5 3" xfId="8238" xr:uid="{70B23041-2E86-4AD8-9ADA-A0A4F2E1B104}"/>
    <cellStyle name="Migliaia 8 3 5 3 2" xfId="23418" xr:uid="{451F1853-B9DE-4161-B2AE-1137442CBEFF}"/>
    <cellStyle name="Migliaia 8 3 5 4" xfId="20130" xr:uid="{051909FF-F90A-43CD-9791-A380A9A8A5CB}"/>
    <cellStyle name="Migliaia 8 3 6" xfId="4941" xr:uid="{6021B34B-DC86-41E8-911B-BE5D36243354}"/>
    <cellStyle name="Migliaia 8 3 6 2" xfId="12425" xr:uid="{7C3C39F6-D36D-4A45-963A-4EFE388A6727}"/>
    <cellStyle name="Migliaia 8 3 6 2 2" xfId="15971" xr:uid="{1C4A3B01-08FC-4C21-89D0-7D291BD2DC4A}"/>
    <cellStyle name="Migliaia 8 3 6 2 2 2" xfId="31148" xr:uid="{B5738E53-D2EE-4F6F-84C4-9FCEE58BF49B}"/>
    <cellStyle name="Migliaia 8 3 6 2 3" xfId="27603" xr:uid="{1346B3FB-5DC3-4AB7-9059-411B2FA902E8}"/>
    <cellStyle name="Migliaia 8 3 6 3" xfId="8251" xr:uid="{4060F2A2-78A7-458E-BD63-6A78BB2CBBD1}"/>
    <cellStyle name="Migliaia 8 3 6 3 2" xfId="23431" xr:uid="{B8A1785D-04B6-4CE7-9768-48E9FD41AF30}"/>
    <cellStyle name="Migliaia 8 3 6 4" xfId="20143" xr:uid="{EC3C3AF8-9CF1-4932-A7DE-00456B0B4EEE}"/>
    <cellStyle name="Migliaia 8 3 7" xfId="1762" xr:uid="{A44B89C4-B17D-4242-91E3-DFBD5246371D}"/>
    <cellStyle name="Migliaia 8 3 7 2" xfId="9259" xr:uid="{B7FE080E-41A4-43AD-ACE8-EE79EDA12702}"/>
    <cellStyle name="Migliaia 8 3 7 2 2" xfId="24437" xr:uid="{207273D9-D4DE-4DF5-9D50-A0FE6A7568D1}"/>
    <cellStyle name="Migliaia 8 3 7 3" xfId="16977" xr:uid="{823625F9-5847-48F3-AF51-1026F7AE6E88}"/>
    <cellStyle name="Migliaia 8 3 8" xfId="8473" xr:uid="{ED100313-1762-41D7-8D88-6B9C49BA8070}"/>
    <cellStyle name="Migliaia 8 3 8 2" xfId="12646" xr:uid="{470F030E-4A72-4E85-BA95-3E56C1217037}"/>
    <cellStyle name="Migliaia 8 3 8 2 2" xfId="27823" xr:uid="{87E4FC07-C026-48DD-A246-10851E054E8A}"/>
    <cellStyle name="Migliaia 8 3 8 3" xfId="23651" xr:uid="{48E55EA3-D5EA-4C1B-99F6-B2B9D47C137D}"/>
    <cellStyle name="Migliaia 8 3 9" xfId="5085" xr:uid="{7E73B600-DE1B-4116-8233-7C92D1DA9852}"/>
    <cellStyle name="Migliaia 8 3 9 2" xfId="20265" xr:uid="{3BB0D3C6-51DC-4A7C-B53A-AD99CB6886E1}"/>
    <cellStyle name="Migliaia 8 4" xfId="31411" xr:uid="{7F3336A5-385B-426A-BA65-8ABECC4AB0E7}"/>
    <cellStyle name="Migliaia 8 5" xfId="619" xr:uid="{CE2DEBE1-2FE0-45E2-A275-1F72E0C61581}"/>
    <cellStyle name="Migliaia 9" xfId="468" xr:uid="{C5AB8F89-3D62-4C7E-ABE7-D7FC8923986D}"/>
    <cellStyle name="Migliaia 9 2" xfId="581" xr:uid="{5CD7C9E8-5460-4397-B501-70433F6309A7}"/>
    <cellStyle name="Migliaia 9 2 2" xfId="10083" xr:uid="{312E06D4-D317-4648-A6D1-25F910CA0603}"/>
    <cellStyle name="Migliaia 9 2 2 2" xfId="13741" xr:uid="{050204E9-8831-425F-8FEE-E96B70E9AFE7}"/>
    <cellStyle name="Migliaia 9 2 2 2 2" xfId="28918" xr:uid="{03A5785A-6A68-462F-AB70-B16AFC45C312}"/>
    <cellStyle name="Migliaia 9 2 2 3" xfId="25261" xr:uid="{C4A1BFF4-D9BB-4A7C-A889-2F223A443471}"/>
    <cellStyle name="Migliaia 9 2 3" xfId="5909" xr:uid="{450CAA7B-F7A1-435A-BB69-F698BC3C97F1}"/>
    <cellStyle name="Migliaia 9 2 3 2" xfId="21089" xr:uid="{D7CC1F48-FCD4-47FC-9822-6AA65D36DE1A}"/>
    <cellStyle name="Migliaia 9 2 4" xfId="17801" xr:uid="{B54B3FBF-05C7-412B-9C10-59C49FB339D8}"/>
    <cellStyle name="Migliaia 9 2 5" xfId="2592" xr:uid="{D7F90B49-B374-4BE6-8D68-279E83950368}"/>
    <cellStyle name="Migliaia 9 3" xfId="3479" xr:uid="{2A245CD1-5B33-4F59-AF04-4C3FF4AFAF70}"/>
    <cellStyle name="Migliaia 9 3 2" xfId="10967" xr:uid="{5F8B210E-91FC-4AAA-A478-57226A5C98D2}"/>
    <cellStyle name="Migliaia 9 3 2 2" xfId="14513" xr:uid="{794C98C6-54D6-42E7-BEB0-FE0459538AAD}"/>
    <cellStyle name="Migliaia 9 3 2 2 2" xfId="29690" xr:uid="{655E8FFB-6712-446B-A390-79C39F2FC959}"/>
    <cellStyle name="Migliaia 9 3 2 3" xfId="26145" xr:uid="{052861D6-330F-4355-ACED-3B2405A1F213}"/>
    <cellStyle name="Migliaia 9 3 3" xfId="6793" xr:uid="{BC730254-779C-49BD-8B6E-92A69779A0A9}"/>
    <cellStyle name="Migliaia 9 3 3 2" xfId="21973" xr:uid="{C5CA59BF-1788-4B8D-B8EE-98C02AE69CF8}"/>
    <cellStyle name="Migliaia 9 3 4" xfId="18685" xr:uid="{6822D4B4-382C-4360-AA0F-BAA5ADD78C98}"/>
    <cellStyle name="Migliaia 9 4" xfId="4928" xr:uid="{79C39373-B350-495E-B941-535278EB9C99}"/>
    <cellStyle name="Migliaia 9 4 2" xfId="12413" xr:uid="{9E63DFBA-A5E8-4CBE-B194-816B8B774A02}"/>
    <cellStyle name="Migliaia 9 4 2 2" xfId="15959" xr:uid="{FEB4CFC4-06B6-43D2-8009-DC0E76DDEAEB}"/>
    <cellStyle name="Migliaia 9 4 2 2 2" xfId="31136" xr:uid="{D5B5E82C-4BB5-4D5E-A310-664372C7A736}"/>
    <cellStyle name="Migliaia 9 4 2 3" xfId="27591" xr:uid="{B413F63A-EC2B-4ED4-8CD7-A019F6C69A93}"/>
    <cellStyle name="Migliaia 9 4 3" xfId="8239" xr:uid="{7543CD4D-647B-4399-98F4-D468267FD393}"/>
    <cellStyle name="Migliaia 9 4 3 2" xfId="23419" xr:uid="{62FCE690-5931-41CB-A04F-7BB029D50613}"/>
    <cellStyle name="Migliaia 9 4 4" xfId="20131" xr:uid="{E3D51732-5667-452D-BABF-7530B0F16A85}"/>
    <cellStyle name="Migliaia 9 5" xfId="8685" xr:uid="{0FF92E39-0CC8-4BD8-9E4C-367DBAEF93BA}"/>
    <cellStyle name="Migliaia 9 5 2" xfId="12858" xr:uid="{B4156795-61D0-47C6-8F75-23746D1BC96F}"/>
    <cellStyle name="Migliaia 9 5 2 2" xfId="28035" xr:uid="{DD21DB1F-1BF7-40B1-8DA2-FBDDB72C739D}"/>
    <cellStyle name="Migliaia 9 5 3" xfId="23863" xr:uid="{C793FB34-EF3B-4231-8625-295EF4790CC3}"/>
    <cellStyle name="Migliaia 9 6" xfId="16403" xr:uid="{E6BB5DC2-91B2-4752-8B83-387CB5B6EBD1}"/>
    <cellStyle name="Migliaia 9 7" xfId="1133" xr:uid="{5F78ED21-8493-4476-9602-56F50736FFD1}"/>
    <cellStyle name="Neutral 2" xfId="101" xr:uid="{50DDE689-857B-4A02-B658-ADB17C4892AC}"/>
    <cellStyle name="Neutral 2 2" xfId="502" xr:uid="{B57A03EE-01A9-4FD8-9001-C06757E6CD5E}"/>
    <cellStyle name="Neutral 2 3" xfId="1113" xr:uid="{650419D0-73FD-4C6D-9EB7-905E55C5C054}"/>
    <cellStyle name="Neutral 3" xfId="679" xr:uid="{1374B7CB-CD7D-48D2-9CEB-273B9F012F95}"/>
    <cellStyle name="Neutral 4" xfId="841" xr:uid="{3F172921-FA97-425C-9445-E3A71B5C0F74}"/>
    <cellStyle name="Neutrale" xfId="37" builtinId="28" customBuiltin="1"/>
    <cellStyle name="Neutrale 2" xfId="171" xr:uid="{87230A81-9C22-41A0-B88E-9BB9B5E56431}"/>
    <cellStyle name="Neutrale 3" xfId="207" xr:uid="{75352299-63CA-41D0-97BC-55303DD423C7}"/>
    <cellStyle name="Neutrale 3 2" xfId="429" xr:uid="{349F74DD-C551-493F-BA6F-9D5ABACCCDD7}"/>
    <cellStyle name="Neutrale 3 3" xfId="329" xr:uid="{042E50FF-B9E9-499E-92F7-A6EA720D0B60}"/>
    <cellStyle name="Normal 10" xfId="189" xr:uid="{AEEF6691-934B-49B8-8853-415745E3976C}"/>
    <cellStyle name="Normal 10 2" xfId="412" xr:uid="{FBAC074E-E5F6-4A9C-879B-7A5F3DB742A4}"/>
    <cellStyle name="Normal 100" xfId="5059" xr:uid="{470CCE75-A8EA-4C05-9BE4-8615D7348AA8}"/>
    <cellStyle name="Normal 101" xfId="5060" xr:uid="{6D88FC2E-F8E8-4D3C-B094-830F594EF46F}"/>
    <cellStyle name="Normal 102" xfId="5061" xr:uid="{07FFA772-5049-4BDB-B111-3ABFACFCCB3D}"/>
    <cellStyle name="Normal 103" xfId="5062" xr:uid="{2F167DEF-522E-4C81-B2D2-B388BDDCECEF}"/>
    <cellStyle name="Normal 103 2" xfId="8362" xr:uid="{22B6E85A-4635-4F9C-A5A3-089CBCA5FC8E}"/>
    <cellStyle name="Normal 104" xfId="5066" xr:uid="{941DBA8A-5CA7-4675-B111-CE37096851F1}"/>
    <cellStyle name="Normal 104 2" xfId="8461" xr:uid="{38A2B6CE-71E2-48B4-8551-CA7AEE614909}"/>
    <cellStyle name="Normal 105" xfId="5065" xr:uid="{E461FA7C-6D25-4A64-B30A-E79CECCE4DE0}"/>
    <cellStyle name="Normal 106" xfId="5067" xr:uid="{E63C650D-9FA1-48BA-86E4-591A217623F1}"/>
    <cellStyle name="Normal 107" xfId="5063" xr:uid="{7B039E20-2EA2-463C-B34E-7C4C7D685CB9}"/>
    <cellStyle name="Normal 108" xfId="5064" xr:uid="{75711966-3839-4773-8855-4BFD6C1FB0C0}"/>
    <cellStyle name="Normal 109" xfId="5068" xr:uid="{0C51C1DB-1E42-4A37-A39F-64542FC2DAC3}"/>
    <cellStyle name="Normal 11" xfId="190" xr:uid="{45DF69EF-CB64-497F-8919-2C6B88E52865}"/>
    <cellStyle name="Normal 11 2" xfId="413" xr:uid="{920D21B6-0D49-463A-A3FB-22E9036CBA39}"/>
    <cellStyle name="Normal 110" xfId="5070" xr:uid="{6B737060-7157-4390-95C4-1AB9C7089644}"/>
    <cellStyle name="Normal 111" xfId="5069" xr:uid="{0F2C2C63-EE47-4500-A71C-3FF16AA10606}"/>
    <cellStyle name="Normal 112" xfId="5071" xr:uid="{A52F68DB-5B12-48E5-9A1D-2F357919FE3E}"/>
    <cellStyle name="Normal 113" xfId="5072" xr:uid="{ACF1D6AC-5DD2-49B6-8258-966B41BDE795}"/>
    <cellStyle name="Normal 114" xfId="5073" xr:uid="{5D9B8B0A-AB22-479F-8945-FA0B4CC92792}"/>
    <cellStyle name="Normal 115" xfId="12536" xr:uid="{9278BA03-219F-443F-A166-8FF2686C6D12}"/>
    <cellStyle name="Normal 116" xfId="31259" xr:uid="{78134B9C-F59F-4528-9BC0-640BC1D19673}"/>
    <cellStyle name="Normal 117" xfId="31261" xr:uid="{32ECC26C-15E5-4BDA-979D-ABFF1FD29E62}"/>
    <cellStyle name="Normal 118" xfId="31260" xr:uid="{B68CDC36-395C-47E6-B91A-BD833728D33F}"/>
    <cellStyle name="Normal 119" xfId="31262" xr:uid="{8EFD388B-819D-4908-81FB-35DDE5ECAFFD}"/>
    <cellStyle name="Normal 12" xfId="191" xr:uid="{6E278C40-451A-428B-9CE5-F45CB7055CAB}"/>
    <cellStyle name="Normal 12 2" xfId="414" xr:uid="{B4A03992-4A25-4F65-9292-CBD49A25FDA7}"/>
    <cellStyle name="Normal 120" xfId="31263" xr:uid="{30EA34E9-A3BE-4D7B-ABC9-D237245F6D9E}"/>
    <cellStyle name="Normal 121" xfId="31265" xr:uid="{DA19C6D6-D332-4EB1-9B3E-4D7E6DF7E213}"/>
    <cellStyle name="Normal 122" xfId="31264" xr:uid="{FBB076C2-8826-4E94-BA0D-A01E4EFDC09B}"/>
    <cellStyle name="Normal 123" xfId="31266" xr:uid="{ECF56058-25D7-4BF2-88AD-3559EF4B5214}"/>
    <cellStyle name="Normal 124" xfId="31268" xr:uid="{9D8C47BC-AD3D-4807-A049-028B91FC1CF0}"/>
    <cellStyle name="Normal 125" xfId="31267" xr:uid="{D5E2BCB4-059E-45F2-B642-230B9E2EAB2C}"/>
    <cellStyle name="Normal 126" xfId="31269" xr:uid="{0D5CBD8F-6ACD-445C-B2E8-306AF6D62818}"/>
    <cellStyle name="Normal 127" xfId="31392" xr:uid="{95134A67-91A3-4071-B018-A69760999C03}"/>
    <cellStyle name="Normal 128" xfId="31394" xr:uid="{413530FB-3011-4B93-B797-09AE6498BCDB}"/>
    <cellStyle name="Normal 129" xfId="31393" xr:uid="{6265620F-02B6-4F76-B56F-338F4EE29F2B}"/>
    <cellStyle name="Normal 13" xfId="65" xr:uid="{C6111154-1561-4AFE-9DED-677E9F76868A}"/>
    <cellStyle name="Normal 13 2" xfId="494" xr:uid="{C141D288-ADCD-4FF6-BD7D-DECDB750726E}"/>
    <cellStyle name="Normal 13 3" xfId="1078" xr:uid="{77A7DB05-5D04-4604-B331-2279958C68EA}"/>
    <cellStyle name="Normal 130" xfId="31395" xr:uid="{002DCE5B-A12D-45E4-AD3C-C75FFC13BDB4}"/>
    <cellStyle name="Normal 131" xfId="31396" xr:uid="{F6BB9553-61A0-4104-9C8F-EAD51C3CC5F7}"/>
    <cellStyle name="Normal 132" xfId="31398" xr:uid="{77691B57-5ABA-4F5B-A01E-2AF3F8DD2014}"/>
    <cellStyle name="Normal 133" xfId="31397" xr:uid="{AAE672F4-14CE-4869-8774-2B8F7E81F120}"/>
    <cellStyle name="Normal 134" xfId="31399" xr:uid="{BBE9C410-E341-4781-9403-3D71647C0B12}"/>
    <cellStyle name="Normal 135" xfId="31742" xr:uid="{B7A2039C-DB01-4747-A29F-7749A101A334}"/>
    <cellStyle name="Normal 14" xfId="107" xr:uid="{3D2667D6-9FD2-48BF-913D-8AB86A12217F}"/>
    <cellStyle name="Normal 14 2" xfId="503" xr:uid="{564DAB1C-4251-400C-80B9-7E08F57A381D}"/>
    <cellStyle name="Normal 14 3" xfId="1118" xr:uid="{1D129ABF-5703-45AA-9503-A2E8C3C38146}"/>
    <cellStyle name="Normal 15" xfId="245" xr:uid="{A38545AF-A1A9-4775-9BF7-92C5C84357BC}"/>
    <cellStyle name="Normal 15 2" xfId="535" xr:uid="{F6583FDB-068F-4BEB-B70E-8EAA8B9DB9F0}"/>
    <cellStyle name="Normal 15 3" xfId="1120" xr:uid="{329608C4-208B-4564-8972-50FD39745A2A}"/>
    <cellStyle name="Normal 16" xfId="246" xr:uid="{457BECE4-8ADE-4632-BC67-4018176144FC}"/>
    <cellStyle name="Normal 16 2" xfId="536" xr:uid="{7A6BBC94-0B9D-491B-AC98-995163143D42}"/>
    <cellStyle name="Normal 16 3" xfId="1121" xr:uid="{09EE1765-9EF2-4572-AE9D-6AA661AFEB8F}"/>
    <cellStyle name="Normal 17" xfId="247" xr:uid="{D72C8497-C8CF-4C9D-B1EE-7E2B34662D67}"/>
    <cellStyle name="Normal 17 10" xfId="111" xr:uid="{99C4D5C5-2A08-40F0-845D-3F68DE6DE180}"/>
    <cellStyle name="Normal 17 2" xfId="537" xr:uid="{02854BDE-257D-4C46-8D54-7F3C4E114601}"/>
    <cellStyle name="Normal 17 2 2" xfId="120" xr:uid="{0B0FD67C-C213-4958-8E71-8FA09EA0AC6A}"/>
    <cellStyle name="Normal 17 3" xfId="1122" xr:uid="{C64858F6-994B-4816-9287-E54E659575CE}"/>
    <cellStyle name="Normal 18" xfId="248" xr:uid="{FE439113-A4F4-45DF-AE9C-CB65549E34DE}"/>
    <cellStyle name="Normal 18 2" xfId="538" xr:uid="{40642443-0451-4D84-95FB-1087176D8678}"/>
    <cellStyle name="Normal 18 3" xfId="1123" xr:uid="{D1936E8E-5CC4-471E-A56B-1CDF97F6C21C}"/>
    <cellStyle name="Normal 19" xfId="256" xr:uid="{A18D0E32-9BAF-4827-A5B7-A6C39619CE88}"/>
    <cellStyle name="Normal 19 2" xfId="1139" xr:uid="{D9E2F760-B619-4711-8167-EEC589AE3077}"/>
    <cellStyle name="Normal 19 3" xfId="1126" xr:uid="{1FC362CD-21FE-4A7E-BA81-76620223F5B7}"/>
    <cellStyle name="Normal 19 4" xfId="635" xr:uid="{B2726625-153D-45AE-974B-E8FDCEE00AC2}"/>
    <cellStyle name="Normal 2" xfId="45" xr:uid="{00000000-0005-0000-0000-000028000000}"/>
    <cellStyle name="Normal 2 10 2" xfId="121" xr:uid="{5BFA1389-E498-4031-A522-3679569764E5}"/>
    <cellStyle name="Normal 2 2" xfId="50" xr:uid="{F89FCAB9-0CCD-45C6-A251-046BF7069EA4}"/>
    <cellStyle name="Normal 2 3" xfId="178" xr:uid="{9070D9DC-E7D0-4E32-B4E5-9440001D298F}"/>
    <cellStyle name="Normal 2 4" xfId="109" xr:uid="{C190337A-4DFE-4B72-9326-AB229AFCADFF}"/>
    <cellStyle name="Normal 20" xfId="255" xr:uid="{E882DC63-CCB3-452A-98B3-0559B29535B1}"/>
    <cellStyle name="Normal 20 2" xfId="1140" xr:uid="{0D1A30AE-49FE-4477-A8AB-BAE3407E7C31}"/>
    <cellStyle name="Normal 20 3" xfId="1125" xr:uid="{A7C89663-D0C5-4F61-ABE7-FF15CBC15804}"/>
    <cellStyle name="Normal 20 4" xfId="636" xr:uid="{FB4055CA-DEFE-478A-8DA1-D1161B635473}"/>
    <cellStyle name="Normal 21" xfId="264" xr:uid="{E1E42C2B-6A2D-43EC-A48C-8FD843DEE4A8}"/>
    <cellStyle name="Normal 21 2" xfId="119" xr:uid="{4CD9F047-E819-429D-908C-A5C568DEF2DA}"/>
    <cellStyle name="Normal 22" xfId="265" xr:uid="{D3C57187-46C8-4D3C-81F0-28ACD22B114F}"/>
    <cellStyle name="Normal 22 2" xfId="1153" xr:uid="{AC99A2FF-97A7-45F9-8D4A-CE2926E2CEF4}"/>
    <cellStyle name="Normal 22 3" xfId="1127" xr:uid="{A35FE252-FFC0-4388-9777-0D86AB5AD9F0}"/>
    <cellStyle name="Normal 22 4" xfId="714" xr:uid="{245464AE-705D-4724-98FB-73BF556CE2E8}"/>
    <cellStyle name="Normal 23" xfId="64" xr:uid="{76663AFD-7FEA-4BF8-901C-8DAB77994EF5}"/>
    <cellStyle name="Normal 23 2" xfId="1155" xr:uid="{9D76F884-534E-483A-8A69-260B36CFFC7B}"/>
    <cellStyle name="Normal 23 3" xfId="1135" xr:uid="{401CD8C8-7A3E-44D8-8336-7470E4F6FCED}"/>
    <cellStyle name="Normal 24" xfId="542" xr:uid="{E766DAEA-CC9F-45AA-8766-886E851EDEE4}"/>
    <cellStyle name="Normal 24 2" xfId="1154" xr:uid="{DF921764-C7CF-4278-B887-94BC2D6D99B8}"/>
    <cellStyle name="Normal 24 3" xfId="1136" xr:uid="{324589FF-FEB2-4234-B9E9-683104C8F32E}"/>
    <cellStyle name="Normal 25" xfId="543" xr:uid="{7E9CBB90-E7AD-4137-834F-F54B6099A914}"/>
    <cellStyle name="Normal 25 2" xfId="805" xr:uid="{5D35E842-CBA5-48C6-AD74-77AE8BBCA5B6}"/>
    <cellStyle name="Normal 26" xfId="606" xr:uid="{113E8939-7EFC-4811-A55B-2B2B7FDD5C16}"/>
    <cellStyle name="Normal 26 2" xfId="847" xr:uid="{59B827ED-3689-42DB-B8B6-E9CCA44C4B20}"/>
    <cellStyle name="Normal 27" xfId="975" xr:uid="{0B6B8AB4-FE28-45A1-A7ED-5A734B7DD003}"/>
    <cellStyle name="Normal 28" xfId="974" xr:uid="{E766F592-3692-40A0-86BF-2FC168E44A17}"/>
    <cellStyle name="Normal 28 10" xfId="112" xr:uid="{6DCE6B73-8D7A-46A6-A6E8-441927A7ED88}"/>
    <cellStyle name="Normal 29" xfId="972" xr:uid="{8E5AA8D8-7A8B-4D48-8043-B283D83F254E}"/>
    <cellStyle name="Normal 3" xfId="59" xr:uid="{40E9B7E2-346C-44C2-8F51-BF0696ECF368}"/>
    <cellStyle name="Normal 3 2" xfId="405" xr:uid="{F72BF978-AA4A-47D1-BCAB-D8AF32501E81}"/>
    <cellStyle name="Normal 3 3" xfId="182" xr:uid="{9AADFB57-12A4-44D9-B9B1-164C7F341C6B}"/>
    <cellStyle name="Normal 30" xfId="973" xr:uid="{8C205DA4-01A1-46C0-83BC-AB45DDF12F0C}"/>
    <cellStyle name="Normal 31" xfId="804" xr:uid="{AED0EAED-2CC7-4F35-9FE6-05FE6AA8E6C4}"/>
    <cellStyle name="Normal 31 2" xfId="1143" xr:uid="{70B84DCE-AC83-475E-A5DB-6E8AC0EA149E}"/>
    <cellStyle name="Normal 31 3" xfId="2365" xr:uid="{7D002BBB-946D-4617-9A9B-B7F709407135}"/>
    <cellStyle name="Normal 32" xfId="873" xr:uid="{D62CA000-3671-450D-B77B-28B2C20A1B77}"/>
    <cellStyle name="Normal 32 10" xfId="115" xr:uid="{012AB372-0717-41C1-AAC7-AE50EC2128ED}"/>
    <cellStyle name="Normal 32 2" xfId="1144" xr:uid="{DA92E7A8-3229-4BDC-ADC3-9A53A105EA70}"/>
    <cellStyle name="Normal 32 3" xfId="2391" xr:uid="{F7CF8647-9EFA-45D3-8E53-1D1A1C9265B6}"/>
    <cellStyle name="Normal 33" xfId="976" xr:uid="{91B63427-E600-4CEE-A664-A354E6928B0B}"/>
    <cellStyle name="Normal 34" xfId="872" xr:uid="{B4AD3E2A-4BDA-4D8C-8DE3-6A93F23BF1FD}"/>
    <cellStyle name="Normal 34 2" xfId="1145" xr:uid="{496F56F5-AA2A-43C8-AB16-60EA75479CBB}"/>
    <cellStyle name="Normal 34 3" xfId="2390" xr:uid="{2F1F24C6-3A7D-49BC-9334-E0A36A7C65AC}"/>
    <cellStyle name="Normal 35" xfId="1075" xr:uid="{1EFE8035-E6C2-4896-A7E4-F077ED7C115C}"/>
    <cellStyle name="Normal 35 2" xfId="1146" xr:uid="{8489B657-A120-41AD-BC05-EB29EFC9E48D}"/>
    <cellStyle name="Normal 35 3" xfId="2588" xr:uid="{04565055-4CB3-4EA2-AAA6-E4A2CCE830A2}"/>
    <cellStyle name="Normal 36" xfId="1152" xr:uid="{07687A2B-5CA8-4355-934E-08995FA877EF}"/>
    <cellStyle name="Normal 37" xfId="1151" xr:uid="{63A2CF9C-4E53-47E8-8420-3A496A2953CE}"/>
    <cellStyle name="Normal 38" xfId="1149" xr:uid="{CBFF27C2-3BF3-4A6D-B853-AABD5E79F465}"/>
    <cellStyle name="Normal 39" xfId="1148" xr:uid="{F75BF67C-04E0-4C3E-8506-6414E29159B4}"/>
    <cellStyle name="Normal 4" xfId="183" xr:uid="{342A6661-56EC-4D41-8784-25DA67EF86F7}"/>
    <cellStyle name="Normal 4 2" xfId="406" xr:uid="{A342A33B-4026-42DC-8574-6A27BE70F190}"/>
    <cellStyle name="Normal 40" xfId="1150" xr:uid="{4FEBBECA-333F-4D16-8B3D-064C833E6FED}"/>
    <cellStyle name="Normal 40 10" xfId="114" xr:uid="{8D5DA0D6-9808-4445-991A-1E05C8333F9E}"/>
    <cellStyle name="Normal 41" xfId="1147" xr:uid="{22D88181-E788-4ADA-BBB0-38B67B8B9299}"/>
    <cellStyle name="Normal 42" xfId="1157" xr:uid="{6698242A-C028-462C-8472-FE9FBECEE709}"/>
    <cellStyle name="Normal 43" xfId="1159" xr:uid="{870D9C5F-6299-4A6D-BC0A-4DF1D628D959}"/>
    <cellStyle name="Normal 44" xfId="1158" xr:uid="{5DF390A3-F115-475B-AFBD-30CC90976317}"/>
    <cellStyle name="Normal 45" xfId="122" xr:uid="{0F83C207-F76C-4795-A666-BA0AC3A1C196}"/>
    <cellStyle name="Normal 45 2" xfId="372" xr:uid="{D416683F-1554-4654-8A05-64A16C307AB6}"/>
    <cellStyle name="Normal 46" xfId="1184" xr:uid="{26310EEE-2A81-49C0-8947-E42DA186C32D}"/>
    <cellStyle name="Normal 46 10" xfId="113" xr:uid="{91503E2C-8CA9-4F4D-8B84-3AD074036CC6}"/>
    <cellStyle name="Normal 47" xfId="123" xr:uid="{C01C16DF-5C8F-437F-B5C4-06B88EE54B13}"/>
    <cellStyle name="Normal 47 2" xfId="373" xr:uid="{77C7CC5B-1002-4A79-9163-0B5109556023}"/>
    <cellStyle name="Normal 48" xfId="124" xr:uid="{4116D6E3-950A-4AFD-8BC6-BAA86EF2ECCE}"/>
    <cellStyle name="Normal 48 2" xfId="374" xr:uid="{5B19C74D-C10D-4A29-99F8-AE700178B4D2}"/>
    <cellStyle name="Normal 49" xfId="125" xr:uid="{682326EF-79C2-4BEB-B2C2-E152C093E32D}"/>
    <cellStyle name="Normal 49 2" xfId="375" xr:uid="{1E60B37C-D355-4F24-9A56-76025E35B5B3}"/>
    <cellStyle name="Normal 5" xfId="184" xr:uid="{6AC0D635-34FC-46CE-A79C-0B86CA9E9C75}"/>
    <cellStyle name="Normal 5 2" xfId="407" xr:uid="{699FDAB5-681B-4773-9F38-193725F19CA7}"/>
    <cellStyle name="Normal 50" xfId="126" xr:uid="{F214D524-A0E6-4C32-AAA9-7D6E9B1660A3}"/>
    <cellStyle name="Normal 50 2" xfId="376" xr:uid="{64E4275C-0E02-4CF1-B268-621B0141A337}"/>
    <cellStyle name="Normal 51" xfId="127" xr:uid="{23603761-7495-484E-9AAA-90F5F8378A78}"/>
    <cellStyle name="Normal 51 2" xfId="377" xr:uid="{CD5632AB-C83F-4967-8430-D6F37ED6CD2E}"/>
    <cellStyle name="Normal 52" xfId="128" xr:uid="{EAD7C12D-8CEC-4E97-B425-D27498FC949E}"/>
    <cellStyle name="Normal 52 2" xfId="378" xr:uid="{F153033D-B461-4A9F-8142-A49F1922541C}"/>
    <cellStyle name="Normal 53" xfId="129" xr:uid="{DCC9AA5D-BC55-4406-B02C-C088F89AF516}"/>
    <cellStyle name="Normal 53 2" xfId="379" xr:uid="{EF32D2C5-29BE-400E-8997-CB43DD0943E7}"/>
    <cellStyle name="Normal 54" xfId="130" xr:uid="{82D89614-B6D3-4DA9-AD23-91FA5F406069}"/>
    <cellStyle name="Normal 54 2" xfId="380" xr:uid="{0CCC1F48-C3A9-440F-9540-9BE2C7B5A842}"/>
    <cellStyle name="Normal 55" xfId="131" xr:uid="{B62917A5-87EA-4682-A056-1C52CA5A8506}"/>
    <cellStyle name="Normal 55 2" xfId="381" xr:uid="{25B67C8B-48A3-4256-9F82-8F1312537035}"/>
    <cellStyle name="Normal 56" xfId="116" xr:uid="{AA41A149-CF06-4D02-82B6-8130AAF38ED0}"/>
    <cellStyle name="Normal 56 2" xfId="370" xr:uid="{0EC3C2A8-5BC6-4990-9067-4D45487C1386}"/>
    <cellStyle name="Normal 57" xfId="117" xr:uid="{E5ED894A-C378-4A2A-A6C9-3B37E2EE6701}"/>
    <cellStyle name="Normal 57 2" xfId="371" xr:uid="{44705D61-43FF-4776-A67C-8A09D4080865}"/>
    <cellStyle name="Normal 58" xfId="1185" xr:uid="{07366D2D-BECF-4A40-BC94-B9F72070194A}"/>
    <cellStyle name="Normal 59" xfId="1210" xr:uid="{662B0C5C-5DF1-4BA7-808A-8198AC7A6776}"/>
    <cellStyle name="Normal 6" xfId="185" xr:uid="{ED2965F8-06BB-4640-A2AE-22723923A635}"/>
    <cellStyle name="Normal 6 2" xfId="408" xr:uid="{6E0514D9-93AF-4E24-99FC-7FA25BFF819D}"/>
    <cellStyle name="Normal 6 3 10 2 10" xfId="118" xr:uid="{91C06E09-716B-4C90-B57E-2D36267E5AA9}"/>
    <cellStyle name="Normal 60" xfId="1333" xr:uid="{680BDB9F-3777-4160-87CC-B6E31F24F21D}"/>
    <cellStyle name="Normal 61" xfId="1336" xr:uid="{64BCE4A1-B0FC-441F-8A22-5690EB3D88C5}"/>
    <cellStyle name="Normal 62" xfId="1334" xr:uid="{5E14B0F7-AFCF-4418-A536-4A21A0117611}"/>
    <cellStyle name="Normal 63" xfId="1335" xr:uid="{DA0667D8-AE2E-4A38-AC2E-8F758B4A0EA2}"/>
    <cellStyle name="Normal 64" xfId="1435" xr:uid="{99C7BD87-75E1-4C68-B956-F49B095905A2}"/>
    <cellStyle name="Normal 65" xfId="1537" xr:uid="{19DA89DA-7FC2-42D6-9977-0BE8EF604E5E}"/>
    <cellStyle name="Normal 66" xfId="1538" xr:uid="{265261D8-5FAD-44E5-8879-63C29D8D1420}"/>
    <cellStyle name="Normal 67" xfId="1637" xr:uid="{E1505FAB-5AA1-487B-9208-2312401E967D}"/>
    <cellStyle name="Normal 68" xfId="1077" xr:uid="{1CBA59A7-104A-4DC6-9EE9-A52642A34815}"/>
    <cellStyle name="Normal 69" xfId="1141" xr:uid="{988FD41A-8219-4982-B300-F4E302FC7213}"/>
    <cellStyle name="Normal 7" xfId="186" xr:uid="{80560207-55E1-46BD-BD66-A094BE6AEE08}"/>
    <cellStyle name="Normal 7 2" xfId="409" xr:uid="{F47D6B8D-DA0F-4A1F-9C63-2E7430216307}"/>
    <cellStyle name="Normal 70" xfId="1131" xr:uid="{A9B4F4C6-98E6-4150-9B85-508173105477}"/>
    <cellStyle name="Normal 71" xfId="1130" xr:uid="{94376CDA-D7FF-4AF1-B29D-2A00C7D97D15}"/>
    <cellStyle name="Normal 72" xfId="1129" xr:uid="{8B9A63B7-A463-4292-AFEB-D1647470C8A3}"/>
    <cellStyle name="Normal 73" xfId="1142" xr:uid="{C1B86C8E-7604-4F8F-9718-CB52CB8FFC74}"/>
    <cellStyle name="Normal 74" xfId="1119" xr:uid="{C27A68A3-0D31-4F25-BFCA-CCB7E0C10704}"/>
    <cellStyle name="Normal 75" xfId="1156" xr:uid="{311B726A-5A96-40AA-922F-7C03B3A94CA4}"/>
    <cellStyle name="Normal 76" xfId="1736" xr:uid="{4F645626-7691-4F85-825C-719DBCCDDC83}"/>
    <cellStyle name="Normal 76 2" xfId="4042" xr:uid="{508ABAA7-6679-4D3E-B006-CA4B1418396E}"/>
    <cellStyle name="Normal 76 3" xfId="2265" xr:uid="{03632173-687D-4066-A2B6-1CD0DCB57F40}"/>
    <cellStyle name="Normal 77" xfId="1742" xr:uid="{1210D75E-1B8E-4309-8B26-4DE5FFD1230A}"/>
    <cellStyle name="Normal 77 2" xfId="4044" xr:uid="{FAD91B45-64D1-46A7-A3B5-354D9EC864AE}"/>
    <cellStyle name="Normal 77 3" xfId="2266" xr:uid="{059235D0-4E13-4AC6-83EF-31A0B65BFA1E}"/>
    <cellStyle name="Normal 78" xfId="1741" xr:uid="{8E75F755-8BC6-49D1-9784-744C8F56A78B}"/>
    <cellStyle name="Normal 78 2" xfId="4043" xr:uid="{A7172AF7-1265-4DBD-B0C6-3778CC7AB66F}"/>
    <cellStyle name="Normal 78 3" xfId="3155" xr:uid="{DD6F1FB2-31B5-434C-BCED-EEEDCDE586D0}"/>
    <cellStyle name="Normal 79" xfId="1743" xr:uid="{B40B9772-15A0-4CF0-ABD5-8727E7F94A46}"/>
    <cellStyle name="Normal 8" xfId="187" xr:uid="{6D33738F-8538-46B8-A8D6-D1A80197E3B6}"/>
    <cellStyle name="Normal 8 2" xfId="410" xr:uid="{DDBA08F1-EE98-4AA8-A9BA-CAD4346B9F6D}"/>
    <cellStyle name="Normal 80" xfId="1737" xr:uid="{7FB8DD92-2B6C-4946-A260-2717D2CAD9F7}"/>
    <cellStyle name="Normal 81" xfId="1738" xr:uid="{FCDBEAFD-2243-44D4-A6AB-48C801BB315F}"/>
    <cellStyle name="Normal 82" xfId="1739" xr:uid="{A2E8DE42-ED3F-451A-B14B-930AC0C4CBDE}"/>
    <cellStyle name="Normal 83" xfId="1745" xr:uid="{685ACAA4-A2D1-4ED4-9BED-96BCD12E5789}"/>
    <cellStyle name="Normal 84" xfId="1740" xr:uid="{8FF052F3-01A3-4D17-B7FB-9D86CB40559D}"/>
    <cellStyle name="Normal 85" xfId="1744" xr:uid="{E21FFB9F-F10D-4DC7-8B6B-7D5DED5AAFAD}"/>
    <cellStyle name="Normal 86" xfId="1746" xr:uid="{C745187B-87FD-40D9-9DCF-447CAFB80A05}"/>
    <cellStyle name="Normal 87" xfId="1747" xr:uid="{059EBDD9-3CEA-42E7-89B0-0A5B58F1F9C1}"/>
    <cellStyle name="Normal 88" xfId="1749" xr:uid="{6B6CFD45-E981-432B-AB0B-1153F2A6F330}"/>
    <cellStyle name="Normal 89" xfId="1748" xr:uid="{F53EB58A-C671-4D78-8F91-68E0DBE857EE}"/>
    <cellStyle name="Normal 9" xfId="188" xr:uid="{60118FB2-5980-4063-A786-D1AD4A1707E7}"/>
    <cellStyle name="Normal 9 2" xfId="411" xr:uid="{37ECD69C-28F3-4E29-886C-1F13F1EF4147}"/>
    <cellStyle name="Normal 90" xfId="3156" xr:uid="{E08FB2A4-A462-4218-98E1-4830A2812242}"/>
    <cellStyle name="Normal 91" xfId="3255" xr:uid="{A558B195-ECFF-418C-9052-5A22C5E9A0E5}"/>
    <cellStyle name="Normal 92" xfId="1750" xr:uid="{DD29576F-309F-4848-A4B1-FCE40CD88D1B}"/>
    <cellStyle name="Normal 93" xfId="5052" xr:uid="{A7B22592-C12F-4C26-97BB-0FCDC1609C93}"/>
    <cellStyle name="Normal 94" xfId="5053" xr:uid="{7DB40E07-6B54-45F1-AE3A-A252FF6F331C}"/>
    <cellStyle name="Normal 95" xfId="5054" xr:uid="{5FA1E69B-BC10-44D0-A214-726C90DC7FF4}"/>
    <cellStyle name="Normal 96" xfId="5055" xr:uid="{834328E1-9164-4DDF-8721-6FE9C0AAA07B}"/>
    <cellStyle name="Normal 97" xfId="5056" xr:uid="{D687D433-F063-4DC3-8FC0-C1C527E1FC3D}"/>
    <cellStyle name="Normal 98" xfId="5057" xr:uid="{2344957A-9FDF-47E3-926B-1E17E1CD52DF}"/>
    <cellStyle name="Normal 99" xfId="5058" xr:uid="{582DE011-CC24-4D64-B3EA-74B2F9A9A847}"/>
    <cellStyle name="Normale" xfId="0" builtinId="0"/>
    <cellStyle name="Normale 10" xfId="58" xr:uid="{F241649E-BF6A-445A-BAD0-FF437E839FC4}"/>
    <cellStyle name="Normale 11" xfId="63" xr:uid="{B13513F0-1BC5-4186-AC26-4B34A4BCE88B}"/>
    <cellStyle name="Normale 11 2" xfId="382" xr:uid="{CB8F45DB-4D45-42D8-A7E0-69CFD2BE766D}"/>
    <cellStyle name="Normale 12" xfId="135" xr:uid="{CF703E19-A6E4-429B-A9B0-6AA93959A245}"/>
    <cellStyle name="Normale 12 2" xfId="386" xr:uid="{4538E3A0-2732-4CA8-8311-ED0ADEB16A52}"/>
    <cellStyle name="Normale 13" xfId="132" xr:uid="{6A4A0510-F296-41C2-9F44-3844671060CD}"/>
    <cellStyle name="Normale 13 2" xfId="383" xr:uid="{1D94228E-F3F1-44D9-963C-98CFC8ED4CC1}"/>
    <cellStyle name="Normale 14" xfId="133" xr:uid="{C728F11B-13D5-4358-AC09-EEA133203434}"/>
    <cellStyle name="Normale 14 2" xfId="384" xr:uid="{EDB22186-DF71-448C-A135-9C3788C9868A}"/>
    <cellStyle name="Normale 15" xfId="180" xr:uid="{56695F95-7A28-4844-8EFF-60D7284BAC0C}"/>
    <cellStyle name="Normale 15 2" xfId="402" xr:uid="{218EDD18-F666-4032-9B55-26D12AC19EBA}"/>
    <cellStyle name="Normale 16" xfId="62" xr:uid="{0F8B7AEA-668D-454A-87E7-0CB2E194042E}"/>
    <cellStyle name="Normale 16 2" xfId="403" xr:uid="{14491127-30F2-49C9-9811-800B96CE17BA}"/>
    <cellStyle name="Normale 17" xfId="61" xr:uid="{5771CC2D-27CE-4FDE-9C06-D27D16086C28}"/>
    <cellStyle name="Normale 17 2" xfId="284" xr:uid="{65F4F069-E107-42EA-AD89-DE50AC40E7AC}"/>
    <cellStyle name="Normale 17 3" xfId="192" xr:uid="{8E8606A7-30F7-49D8-B070-61D3A569FBB5}"/>
    <cellStyle name="Normale 18" xfId="194" xr:uid="{D4022ECA-E433-4EF7-8DCB-3566775C3711}"/>
    <cellStyle name="Normale 18 2" xfId="416" xr:uid="{FAD0069A-4534-4120-9478-96214521BB72}"/>
    <cellStyle name="Normale 19" xfId="195" xr:uid="{42091FBD-5549-44F9-934C-DA56E32205D9}"/>
    <cellStyle name="Normale 19 2" xfId="417" xr:uid="{E3ECE180-790A-40DE-824A-71F39906C398}"/>
    <cellStyle name="Normale 2" xfId="47" xr:uid="{00000000-0005-0000-0000-000033000000}"/>
    <cellStyle name="Normale 2 2" xfId="49" xr:uid="{3541623F-40E2-4FE0-AA3B-FF1B4DEDD6A2}"/>
    <cellStyle name="Normale 2 2 2" xfId="338" xr:uid="{945686DE-BBF8-49C4-B460-1BBA438D2610}"/>
    <cellStyle name="Normale 2 2 3" xfId="362" xr:uid="{CA69046D-A856-4137-9A1D-6B693F54D37E}"/>
    <cellStyle name="Normale 2 3" xfId="360" xr:uid="{FB8BC06E-EBFE-40C9-9AD1-02A9B96BDF1C}"/>
    <cellStyle name="Normale 20" xfId="196" xr:uid="{0D0EA518-F65A-4BA4-BC8D-E6BDE9DDBCEA}"/>
    <cellStyle name="Normale 20 2" xfId="418" xr:uid="{67BBF77D-F9EB-4AC9-BEC7-EF1864659A5F}"/>
    <cellStyle name="Normale 21" xfId="197" xr:uid="{FFB11F84-7D3D-46E6-B017-4A758AB77030}"/>
    <cellStyle name="Normale 21 2" xfId="419" xr:uid="{207AE238-65BA-456F-8B99-AEABDBDCE821}"/>
    <cellStyle name="Normale 22" xfId="198" xr:uid="{ABC885FF-42FB-4672-9670-36AC01A2F2B4}"/>
    <cellStyle name="Normale 22 2" xfId="420" xr:uid="{4850A005-BD6A-4457-A9AB-DE729AC67747}"/>
    <cellStyle name="Normale 23" xfId="199" xr:uid="{D7081D17-0CC3-4B7E-9A77-33B8C667138B}"/>
    <cellStyle name="Normale 23 2" xfId="421" xr:uid="{75F3D664-EB9A-4BE0-98DD-77A0DD820758}"/>
    <cellStyle name="Normale 23 3" xfId="293" xr:uid="{78345F9F-F59D-4D0A-84B8-1D2F34DDED17}"/>
    <cellStyle name="Normale 24" xfId="241" xr:uid="{F535DC57-BA4B-48A0-883F-691C93B698EF}"/>
    <cellStyle name="Normale 25" xfId="243" xr:uid="{30282FE9-12B9-44BB-BCBC-678F4A54E59C}"/>
    <cellStyle name="Normale 26" xfId="242" xr:uid="{CAADA080-543F-4A79-B3EB-D4730C4A854C}"/>
    <cellStyle name="Normale 27" xfId="244" xr:uid="{99423DEC-70BF-4630-AFC3-D7C3E4255221}"/>
    <cellStyle name="Normale 28" xfId="257" xr:uid="{91D700E9-1338-4ADF-B085-C09F87FC0358}"/>
    <cellStyle name="Normale 28 2" xfId="343" xr:uid="{E078B047-326B-437E-B4A6-18642C9E7B60}"/>
    <cellStyle name="Normale 29" xfId="259" xr:uid="{55977CDB-C4ED-4BAF-9116-F7B8BA1BD275}"/>
    <cellStyle name="Normale 3" xfId="48" xr:uid="{00000000-0005-0000-0000-000034000000}"/>
    <cellStyle name="Normale 3 2" xfId="361" xr:uid="{2B9CCC58-B4F1-405A-A613-E7C0984D0C9E}"/>
    <cellStyle name="Normale 30" xfId="258" xr:uid="{912BE247-8381-4A96-9AAD-EB32A62B755E}"/>
    <cellStyle name="Normale 31" xfId="260" xr:uid="{A7F0FBB3-A189-4491-B485-5B56BF0744FC}"/>
    <cellStyle name="Normale 32" xfId="261" xr:uid="{D44DE94A-A6B1-4A56-95A6-1D5E938D46CB}"/>
    <cellStyle name="Normale 33" xfId="263" xr:uid="{06E10946-D43D-407B-A221-4602CD0BF56A}"/>
    <cellStyle name="Normale 34" xfId="262" xr:uid="{A51F09B4-8C6A-4506-9932-C4F4C61045A2}"/>
    <cellStyle name="Normale 35" xfId="283" xr:uid="{A61723E9-CD46-4413-8F82-047377BBF5CF}"/>
    <cellStyle name="Normale 36" xfId="278" xr:uid="{23B9E54E-7EA0-4158-8C89-A50866A8918E}"/>
    <cellStyle name="Normale 37" xfId="273" xr:uid="{55B0A45F-D65B-4665-B737-F0A769634EF3}"/>
    <cellStyle name="Normale 38" xfId="272" xr:uid="{765D9B34-1467-40D4-B1F6-D1F65826B116}"/>
    <cellStyle name="Normale 39" xfId="286" xr:uid="{850D9CD7-E124-4CD4-AC9B-C556A3B0140F}"/>
    <cellStyle name="Normale 4" xfId="51" xr:uid="{E373701C-BD64-4FA7-AE03-22A14609A87D}"/>
    <cellStyle name="Normale 4 2" xfId="363" xr:uid="{B43FF58C-457A-4F7A-9F3C-8A187856BE04}"/>
    <cellStyle name="Normale 40" xfId="276" xr:uid="{BE60B33A-5A9E-4B16-8EFA-43A0F78DDAFA}"/>
    <cellStyle name="Normale 41" xfId="279" xr:uid="{677827AF-8246-4333-943A-3E024968F633}"/>
    <cellStyle name="Normale 42" xfId="287" xr:uid="{65A75B41-3B43-4776-876D-54FAED2CA401}"/>
    <cellStyle name="Normale 43" xfId="289" xr:uid="{6D8D7AE9-D006-4CB9-98C1-8DC8A8368496}"/>
    <cellStyle name="Normale 44" xfId="288" xr:uid="{21E7B337-D833-4034-B973-F890083DD106}"/>
    <cellStyle name="Normale 45" xfId="290" xr:uid="{6AFBC193-391B-406B-A926-8A23B1415D59}"/>
    <cellStyle name="Normale 46" xfId="463" xr:uid="{51C2E0EF-52B7-4A16-8992-82AC24155255}"/>
    <cellStyle name="Normale 47" xfId="465" xr:uid="{53CE363B-404F-4A79-9AD6-D3D2E8AC00D8}"/>
    <cellStyle name="Normale 48" xfId="464" xr:uid="{9F332913-61B4-434F-89D9-9A3F8202D0AB}"/>
    <cellStyle name="Normale 49" xfId="466" xr:uid="{C50F2FF8-6B08-41DA-9FAA-49E84A4C2586}"/>
    <cellStyle name="Normale 5" xfId="53" xr:uid="{3129D9BA-9D0E-48E5-881B-15F693212AA4}"/>
    <cellStyle name="Normale 5 2" xfId="365" xr:uid="{3CC9CE0C-4A11-4874-8253-C6E3D0EA78DC}"/>
    <cellStyle name="Normale 50" xfId="539" xr:uid="{D42F0BB0-E19C-400A-A866-603FC8BE6C10}"/>
    <cellStyle name="Normale 51" xfId="541" xr:uid="{AA5A96D6-FC4F-4455-96D0-041F409CBC62}"/>
    <cellStyle name="Normale 52" xfId="540" xr:uid="{5E925342-64EA-4CF3-91CB-4264C4570712}"/>
    <cellStyle name="Normale 53" xfId="467" xr:uid="{C86BA679-C820-49AE-A247-8966D2D71F85}"/>
    <cellStyle name="Normale 53 2" xfId="1137" xr:uid="{82C2B3D4-0B03-4B4C-8304-69550549D63F}"/>
    <cellStyle name="Normale 53 3" xfId="1132" xr:uid="{E7154DDB-7AA7-4CA9-8D96-C0F861924E8E}"/>
    <cellStyle name="Normale 53 4" xfId="632" xr:uid="{6C934640-EC03-4230-85E2-AC9833D77EF5}"/>
    <cellStyle name="Normale 54" xfId="481" xr:uid="{7A144A15-A00F-4251-9A94-387FF1669DEA}"/>
    <cellStyle name="Normale 54 2" xfId="1138" xr:uid="{824D0D93-9925-439C-B425-AF543159B33C}"/>
    <cellStyle name="Normale 54 3" xfId="1134" xr:uid="{798920CF-B3DE-4C03-A355-74FA25C8D24A}"/>
    <cellStyle name="Normale 54 4" xfId="634" xr:uid="{D22F4876-037E-440A-AC96-8948A9239C39}"/>
    <cellStyle name="Normale 55" xfId="633" xr:uid="{48ED9D29-6494-4467-A665-B287A4F59B0C}"/>
    <cellStyle name="Normale 56" xfId="637" xr:uid="{0DF634CA-439A-4729-BA1C-3EAEC73EFB0C}"/>
    <cellStyle name="Normale 57" xfId="639" xr:uid="{6B5F7711-FC56-4D4E-8D52-EF67205DA6FE}"/>
    <cellStyle name="Normale 58" xfId="638" xr:uid="{8E252D3D-6542-4C90-A529-8D9BC33A11DF}"/>
    <cellStyle name="Normale 59" xfId="640" xr:uid="{62F21D8B-A86E-45E5-8D13-CC20D6D8E3B2}"/>
    <cellStyle name="Normale 6" xfId="54" xr:uid="{5916EA6C-897C-486E-BE65-57181A605066}"/>
    <cellStyle name="Normale 6 2" xfId="366" xr:uid="{DC72D6EA-73D8-4F19-B0BB-8DB774E83074}"/>
    <cellStyle name="Normale 60" xfId="642" xr:uid="{BDB88578-C2DB-4045-B913-45DDC4975DBE}"/>
    <cellStyle name="Normale 61" xfId="641" xr:uid="{F0B847A7-42B5-4EB7-8678-5C7806571CD0}"/>
    <cellStyle name="Normale 62" xfId="643" xr:uid="{D0DF96B4-80E3-41B1-999F-13DD7BD0F112}"/>
    <cellStyle name="Normale 63" xfId="644" xr:uid="{4723C835-6496-4C7A-835E-E87B7229A332}"/>
    <cellStyle name="Normale 64" xfId="708" xr:uid="{B41E1302-AC2A-4B8D-B801-26606212E369}"/>
    <cellStyle name="Normale 65" xfId="710" xr:uid="{7DD3489E-E29A-43BD-92F5-F63750B9A128}"/>
    <cellStyle name="Normale 66" xfId="709" xr:uid="{7F387FC9-325B-4165-B5BB-6150FFCCA97D}"/>
    <cellStyle name="Normale 67" xfId="711" xr:uid="{27605FEB-175B-481F-BC74-03A200F912EA}"/>
    <cellStyle name="Normale 68" xfId="713" xr:uid="{52676241-9190-41A2-B1FA-78B65F843E31}"/>
    <cellStyle name="Normale 69" xfId="712" xr:uid="{443B9B90-D8E1-43BA-93B0-39D8B5F57F17}"/>
    <cellStyle name="Normale 7" xfId="55" xr:uid="{39868774-8FCC-4298-8D50-DC543D98B7E1}"/>
    <cellStyle name="Normale 7 2" xfId="367" xr:uid="{5EB48C2F-BFD6-45C4-B5E3-B73E29429915}"/>
    <cellStyle name="Normale 70" xfId="715" xr:uid="{797A4F22-6DBC-4B7C-94CE-A05DF13B57B9}"/>
    <cellStyle name="Normale 71" xfId="717" xr:uid="{AC432543-5A59-46DB-983E-EF0909CBD597}"/>
    <cellStyle name="Normale 72" xfId="716" xr:uid="{E7B33D26-7E34-4A50-9157-6C0115B1F5F8}"/>
    <cellStyle name="Normale 73" xfId="743" xr:uid="{1E18C91F-1F6D-4AC1-B340-0386EEFE11F5}"/>
    <cellStyle name="Normale 74" xfId="745" xr:uid="{DC7010C0-920F-458F-989A-32E0610DA48B}"/>
    <cellStyle name="Normale 75" xfId="744" xr:uid="{E9D644C1-5C99-4972-8E3C-AACF37706E6B}"/>
    <cellStyle name="Normale 76" xfId="795" xr:uid="{24FFF6BA-C8D0-4499-AD1F-7BD43E104C32}"/>
    <cellStyle name="Normale 77" xfId="797" xr:uid="{D0579A68-EAA2-4569-9A75-F8F56641521B}"/>
    <cellStyle name="Normale 78" xfId="796" xr:uid="{0575C251-E3E8-42D5-A5C9-4CBB33B4C402}"/>
    <cellStyle name="Normale 79" xfId="798" xr:uid="{D3EC0B65-165B-4512-8184-C3EBD401F833}"/>
    <cellStyle name="Normale 8" xfId="56" xr:uid="{AB3A4BCE-88B3-4396-A33D-6FAB29260B1C}"/>
    <cellStyle name="Normale 8 2" xfId="368" xr:uid="{7E917175-F827-49C4-8825-3729945A80D5}"/>
    <cellStyle name="Normale 80" xfId="800" xr:uid="{BA31801F-6836-4AAE-864D-DBD47260950D}"/>
    <cellStyle name="Normale 81" xfId="799" xr:uid="{83D0B3FB-17EB-4FD2-819F-7C9A64B73AEE}"/>
    <cellStyle name="Normale 82" xfId="801" xr:uid="{29E23E59-3D65-4962-A207-71F4CA7EE289}"/>
    <cellStyle name="Normale 83" xfId="803" xr:uid="{0B59C5BC-BBD6-4746-BBD7-3CC3BE318A79}"/>
    <cellStyle name="Normale 84" xfId="802" xr:uid="{B4D79116-3294-4961-9F0C-3910C6A9DD0B}"/>
    <cellStyle name="Normale 85" xfId="1534" xr:uid="{5E3637DD-9348-4B93-9C8F-E6734A2397A0}"/>
    <cellStyle name="Normale 86" xfId="1536" xr:uid="{81D5AF6D-EBDC-4F92-B655-4934D1E732B6}"/>
    <cellStyle name="Normale 87" xfId="1535" xr:uid="{BC924B17-5C49-4F87-903F-466702DB8343}"/>
    <cellStyle name="Normale 88" xfId="4929" xr:uid="{8882A642-B09E-474E-BFCD-F17FC23EE9DA}"/>
    <cellStyle name="Normale 9" xfId="57" xr:uid="{5AEEA8D2-AFA1-4CAA-BEB9-E0AEACDA5420}"/>
    <cellStyle name="Normale 9 2" xfId="369" xr:uid="{D99196DB-1B91-49CF-A908-20C2386A66BB}"/>
    <cellStyle name="Nota" xfId="38" builtinId="10" customBuiltin="1"/>
    <cellStyle name="Nota 2" xfId="172" xr:uid="{46CD8765-1818-408E-B419-EFFB10AA88BB}"/>
    <cellStyle name="Nota 2 2" xfId="399" xr:uid="{898BA852-95EA-40F6-A494-B25C779317BC}"/>
    <cellStyle name="Nota 3" xfId="214" xr:uid="{66A0B244-1FF8-4B16-B2C2-4F2C0A2A4E91}"/>
    <cellStyle name="Nota 3 2" xfId="436" xr:uid="{760492F8-FA8E-45A9-ABD7-BE76299FCC7A}"/>
    <cellStyle name="Nota 3 3" xfId="330" xr:uid="{BA07DFE1-B006-4066-8C35-4AD28BD3B774}"/>
    <cellStyle name="Nota 4" xfId="356" xr:uid="{3193B657-448B-4649-8094-039F882012DA}"/>
    <cellStyle name="Note 2" xfId="102" xr:uid="{4F4AAAA6-C59B-4DDD-A5D7-EAFEA87DE65B}"/>
    <cellStyle name="Note 2 2" xfId="508" xr:uid="{60054071-4C37-42C8-BF6A-644CA74F724C}"/>
    <cellStyle name="Note 2 3" xfId="1114" xr:uid="{7DA1507F-A884-495D-8181-2F158750644A}"/>
    <cellStyle name="Note 3" xfId="680" xr:uid="{BDF3D3FD-10E5-4E5D-ABAB-2EB106A12CCA}"/>
    <cellStyle name="Note 4" xfId="842" xr:uid="{7E21FE9A-92DA-4E4D-A833-0787683087E3}"/>
    <cellStyle name="Output" xfId="39" builtinId="21" customBuiltin="1"/>
    <cellStyle name="Output 2" xfId="173" xr:uid="{85655052-5855-40F7-98A0-84ABC113F56D}"/>
    <cellStyle name="Output 3" xfId="209" xr:uid="{456E54AF-6D09-4E22-B0C8-B008F8B61C85}"/>
    <cellStyle name="Output 3 2" xfId="431" xr:uid="{1B01988C-23E7-43DF-85B2-441D018B9479}"/>
    <cellStyle name="Output 3 3" xfId="331" xr:uid="{14B7D4A2-8F37-4533-A01F-C8BD36D5E1A6}"/>
    <cellStyle name="Output 4" xfId="103" xr:uid="{10C7EB0E-1C7C-4FAC-B1B7-2596F9F4F698}"/>
    <cellStyle name="Output 5" xfId="843" xr:uid="{EB5AC2C8-13C6-4128-AE60-D3FECFBDBB4A}"/>
    <cellStyle name="Percentuale" xfId="43" builtinId="5"/>
    <cellStyle name="Percentuale 2" xfId="193" xr:uid="{2FE8EB2A-5477-4241-AF1D-275EA6C35B22}"/>
    <cellStyle name="Percentuale 2 2" xfId="285" xr:uid="{62CB859F-3557-4E52-96C8-8B6DEB302A89}"/>
    <cellStyle name="Percentuale 3" xfId="335" xr:uid="{C99D1F36-C176-40D6-B4E3-13F5DCC30420}"/>
    <cellStyle name="Percentuale 4" xfId="357" xr:uid="{BB5B05E7-3568-4C10-B372-E67AFA355AEE}"/>
    <cellStyle name="Percentuale 5" xfId="292" xr:uid="{9DAB12F8-A049-4D59-8330-90F87C07E4BB}"/>
    <cellStyle name="Testo avviso" xfId="42" builtinId="11" customBuiltin="1"/>
    <cellStyle name="Testo avviso 2" xfId="176" xr:uid="{2736A918-D8AA-44EE-B91D-E5E53D50659D}"/>
    <cellStyle name="Testo avviso 3" xfId="213" xr:uid="{D513E025-1123-41E8-9445-AE36D8F06A15}"/>
    <cellStyle name="Testo avviso 3 2" xfId="435" xr:uid="{096E44AE-92E3-48BE-A426-9D6721E69BA2}"/>
    <cellStyle name="Testo avviso 3 3" xfId="334" xr:uid="{2D00866E-92DE-41C0-A08F-416DE58A6906}"/>
    <cellStyle name="Testo descrittivo" xfId="29" builtinId="53" customBuiltin="1"/>
    <cellStyle name="Testo descrittivo 2" xfId="163" xr:uid="{EB34AB0B-A971-41D1-AC66-EF0F488F8DEE}"/>
    <cellStyle name="Testo descrittivo 3" xfId="215" xr:uid="{6DD728A2-A628-49A5-9625-FD3D521EF1C6}"/>
    <cellStyle name="Testo descrittivo 3 2" xfId="437" xr:uid="{4F048D52-D8CE-467E-82EF-679E2385290D}"/>
    <cellStyle name="Testo descrittivo 3 3" xfId="321" xr:uid="{5EC0B264-66BC-4544-A7CA-310A443F566A}"/>
    <cellStyle name="Title 2" xfId="104" xr:uid="{D4C44E9D-91B1-4251-9993-048CCC36C059}"/>
    <cellStyle name="Title 2 2" xfId="495" xr:uid="{71141A1D-50B2-47AF-991C-4C2BFBBCA507}"/>
    <cellStyle name="Title 2 3" xfId="1115" xr:uid="{9E151DA4-45A1-4BF3-BC15-9BE85F1AE2EA}"/>
    <cellStyle name="Title 3" xfId="681" xr:uid="{5B9BE01C-CF8B-42F1-865D-20475F1AF0A7}"/>
    <cellStyle name="Title 4" xfId="844" xr:uid="{DD8A68D2-FA19-4934-85E7-42EFB153C743}"/>
    <cellStyle name="Titolo" xfId="40" builtinId="15" customBuiltin="1"/>
    <cellStyle name="Titolo 1" xfId="31" builtinId="16" customBuiltin="1"/>
    <cellStyle name="Titolo 1 2" xfId="165" xr:uid="{35FFE1A6-ECEB-4B41-BE6A-DC78F4741F7D}"/>
    <cellStyle name="Titolo 1 3" xfId="201" xr:uid="{EE6DCE9A-15A5-4133-9BAE-53813EE6E6E7}"/>
    <cellStyle name="Titolo 1 3 2" xfId="423" xr:uid="{7BFEB5DF-D0A3-4400-9850-19168125E99A}"/>
    <cellStyle name="Titolo 1 3 3" xfId="323" xr:uid="{ABCEC5EA-2A63-4319-A60C-E4A8EA705249}"/>
    <cellStyle name="Titolo 2" xfId="32" builtinId="17" customBuiltin="1"/>
    <cellStyle name="Titolo 2 2" xfId="166" xr:uid="{0202DD20-83B0-490B-ABDA-E3CE415DBD21}"/>
    <cellStyle name="Titolo 2 3" xfId="202" xr:uid="{AE7CB0A5-224A-43BE-A533-1764BFA95286}"/>
    <cellStyle name="Titolo 2 3 2" xfId="424" xr:uid="{6C47610E-A427-4E01-8560-91E7F9218C3B}"/>
    <cellStyle name="Titolo 2 3 3" xfId="324" xr:uid="{3C8949EE-DC34-4DED-AEB2-80709CD2D1E7}"/>
    <cellStyle name="Titolo 3" xfId="33" builtinId="18" customBuiltin="1"/>
    <cellStyle name="Titolo 3 2" xfId="167" xr:uid="{269442C1-0238-4118-AF15-4D3D9FAD5699}"/>
    <cellStyle name="Titolo 3 3" xfId="203" xr:uid="{D96369CD-4B41-4EB5-98AB-90CA8A79FEBE}"/>
    <cellStyle name="Titolo 3 3 2" xfId="425" xr:uid="{3CA65C91-17A0-4A46-B7C4-6E3E2BD498A1}"/>
    <cellStyle name="Titolo 3 3 3" xfId="325" xr:uid="{F1D98CD1-6F0D-4C68-9C13-C87EA57E833D}"/>
    <cellStyle name="Titolo 4" xfId="34" builtinId="19" customBuiltin="1"/>
    <cellStyle name="Titolo 4 2" xfId="168" xr:uid="{8374C201-9555-4B4D-8D9B-DBBC092DE2BB}"/>
    <cellStyle name="Titolo 4 3" xfId="204" xr:uid="{403BCAEA-6CD8-445C-94DD-8E54DD27E524}"/>
    <cellStyle name="Titolo 4 3 2" xfId="426" xr:uid="{6C8B4895-A658-41BD-B15A-01F027AEE847}"/>
    <cellStyle name="Titolo 4 3 3" xfId="326" xr:uid="{46869105-57C6-42D0-A28B-023714DE6E4B}"/>
    <cellStyle name="Titolo 5" xfId="174" xr:uid="{48E01A02-05FD-47DA-8FD8-42B82525A4A1}"/>
    <cellStyle name="Titolo 6" xfId="200" xr:uid="{36B2B832-8B5C-4A4C-AC4B-D71D015F36C7}"/>
    <cellStyle name="Titolo 6 2" xfId="422" xr:uid="{F6C768A5-661E-4A88-BEE1-811F729D9B3F}"/>
    <cellStyle name="Titolo 6 3" xfId="332" xr:uid="{E592A604-45E9-43C1-9D32-8E0244598094}"/>
    <cellStyle name="Total 2" xfId="105" xr:uid="{DC48791E-9E13-45C2-BD6A-2DE0609808A3}"/>
    <cellStyle name="Total 2 2" xfId="510" xr:uid="{4D3F78B1-3AF8-403B-805F-E5927F91C3C8}"/>
    <cellStyle name="Total 2 3" xfId="1116" xr:uid="{70A82981-02E5-4152-BA37-2446622BD59E}"/>
    <cellStyle name="Total 3" xfId="682" xr:uid="{574893B2-2285-41E8-9A9E-FE223AFC9FBA}"/>
    <cellStyle name="Total 4" xfId="845" xr:uid="{E99085EA-956B-4830-A9E4-4CA2DCACB4E8}"/>
    <cellStyle name="Totale" xfId="41" builtinId="25" customBuiltin="1"/>
    <cellStyle name="Totale 2" xfId="175" xr:uid="{66356907-A747-4A26-86AF-2DA731A6F630}"/>
    <cellStyle name="Totale 3" xfId="216" xr:uid="{5134657A-5EB2-4B39-95B8-8C25BFABE062}"/>
    <cellStyle name="Totale 3 2" xfId="438" xr:uid="{CD9B615D-4092-48C7-9946-63C2054286A8}"/>
    <cellStyle name="Totale 3 3" xfId="333" xr:uid="{4D5ED823-9ECB-4119-8D6B-E1FD1A56CB67}"/>
    <cellStyle name="Valore non valido" xfId="25" builtinId="27" customBuiltin="1"/>
    <cellStyle name="Valore non valido 2" xfId="160" xr:uid="{640B1E19-17F1-4D05-935C-0D5764BF9BFD}"/>
    <cellStyle name="Valore non valido 3" xfId="206" xr:uid="{BEEFB5DE-2996-4813-B09C-FEAFB741F3BD}"/>
    <cellStyle name="Valore non valido 3 2" xfId="428" xr:uid="{28C66ED1-84D0-4A64-ADDC-C135DB4BF538}"/>
    <cellStyle name="Valore non valido 3 3" xfId="318" xr:uid="{6FD2A0C4-BDE4-4894-A7CC-402B18E23C2B}"/>
    <cellStyle name="Valore valido" xfId="30" builtinId="26" customBuiltin="1"/>
    <cellStyle name="Valore valido 2" xfId="164" xr:uid="{A894D447-DC2E-4E27-BD32-680CC6C28802}"/>
    <cellStyle name="Valore valido 3" xfId="205" xr:uid="{21F081A0-81DF-4275-B97C-2A25C1191CE2}"/>
    <cellStyle name="Valore valido 3 2" xfId="427" xr:uid="{4238428F-A98B-4348-968C-F3190323C701}"/>
    <cellStyle name="Valore valido 3 3" xfId="322" xr:uid="{8B08E9A6-467E-405B-A373-8CE00C51F355}"/>
    <cellStyle name="Warning Text 2" xfId="106" xr:uid="{776300C0-33FE-4F7C-8589-33ECB521D366}"/>
    <cellStyle name="Warning Text 2 2" xfId="507" xr:uid="{BEBEC0FD-FCFE-4D24-BE17-54E38606AF95}"/>
    <cellStyle name="Warning Text 2 3" xfId="1117" xr:uid="{F9D5B90E-3277-400E-8064-3C029A466A8A}"/>
    <cellStyle name="Warning Text 3" xfId="683" xr:uid="{71726430-2E48-48CC-8B24-18A1A583C083}"/>
    <cellStyle name="Warning Text 4" xfId="846" xr:uid="{0CDC4BAB-8CA1-4D48-A75E-0BC5D9CDB02F}"/>
  </cellStyles>
  <dxfs count="238"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Verdana"/>
        <family val="2"/>
        <scheme val="none"/>
      </font>
      <fill>
        <patternFill patternType="solid">
          <fgColor indexed="64"/>
          <bgColor indexed="17"/>
        </patternFill>
      </fill>
      <alignment horizontal="center" vertical="center" textRotation="0" wrapText="0" indent="0" justifyLastLine="0" shrinkToFit="0" readingOrder="0"/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numFmt numFmtId="171" formatCode="0.0%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</dxfs>
  <tableStyles count="1" defaultTableStyle="TableStyleMedium2" defaultPivotStyle="PivotStyleLight16">
    <tableStyle name="Invisible" pivot="0" table="0" count="0" xr9:uid="{00720BE0-497F-4AFF-9CA8-AE51FE8778CA}"/>
  </tableStyles>
  <colors>
    <mruColors>
      <color rgb="FFE2E9EC"/>
      <color rgb="FFEBFED2"/>
      <color rgb="FF2FFF8D"/>
      <color rgb="FF00A44A"/>
      <color rgb="FFF5FFE5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'Pre-Check BUY'!A1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'Pre-check SELL'!A1"/><Relationship Id="rId4" Type="http://schemas.openxmlformats.org/officeDocument/2006/relationships/image" Target="../media/image5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557213</xdr:colOff>
      <xdr:row>5</xdr:row>
      <xdr:rowOff>33337</xdr:rowOff>
    </xdr:to>
    <xdr:sp macro="" textlink="">
      <xdr:nvSpPr>
        <xdr:cNvPr id="6" name="Rettangolo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1425238" cy="985837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Authorized Broker</a:t>
          </a:r>
          <a:r>
            <a:rPr lang="it-IT" sz="3000" baseline="0"/>
            <a:t> List</a:t>
          </a:r>
          <a:endParaRPr lang="it-IT" sz="3000"/>
        </a:p>
      </xdr:txBody>
    </xdr:sp>
    <xdr:clientData/>
  </xdr:twoCellAnchor>
  <xdr:twoCellAnchor>
    <xdr:from>
      <xdr:col>0</xdr:col>
      <xdr:colOff>57150</xdr:colOff>
      <xdr:row>1</xdr:row>
      <xdr:rowOff>38100</xdr:rowOff>
    </xdr:from>
    <xdr:to>
      <xdr:col>3</xdr:col>
      <xdr:colOff>66675</xdr:colOff>
      <xdr:row>2</xdr:row>
      <xdr:rowOff>162041</xdr:rowOff>
    </xdr:to>
    <xdr:pic>
      <xdr:nvPicPr>
        <xdr:cNvPr id="7" name="Immagine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28600"/>
          <a:ext cx="2343150" cy="3144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</xdr:colOff>
      <xdr:row>10</xdr:row>
      <xdr:rowOff>47625</xdr:rowOff>
    </xdr:from>
    <xdr:to>
      <xdr:col>11</xdr:col>
      <xdr:colOff>606389</xdr:colOff>
      <xdr:row>10</xdr:row>
      <xdr:rowOff>71438</xdr:rowOff>
    </xdr:to>
    <xdr:cxnSp macro="">
      <xdr:nvCxnSpPr>
        <xdr:cNvPr id="3" name="Connettore diritto 2" descr="Linea decorativa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>
          <a:cxnSpLocks/>
        </xdr:cNvCxnSpPr>
      </xdr:nvCxnSpPr>
      <xdr:spPr>
        <a:xfrm>
          <a:off x="23812" y="1785938"/>
          <a:ext cx="10836240" cy="2381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15</xdr:row>
      <xdr:rowOff>40906</xdr:rowOff>
    </xdr:from>
    <xdr:to>
      <xdr:col>2</xdr:col>
      <xdr:colOff>1109662</xdr:colOff>
      <xdr:row>18</xdr:row>
      <xdr:rowOff>1098</xdr:rowOff>
    </xdr:to>
    <xdr:sp macro="" textlink="">
      <xdr:nvSpPr>
        <xdr:cNvPr id="4" name="Pulsante Avanti" descr="Altri dettagli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52463" y="2684094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BUY ORDER</a:t>
          </a:r>
          <a:r>
            <a:rPr lang="it-IT" sz="1100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chemeClr val="bg1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576266</xdr:colOff>
      <xdr:row>61</xdr:row>
      <xdr:rowOff>157163</xdr:rowOff>
    </xdr:from>
    <xdr:to>
      <xdr:col>7</xdr:col>
      <xdr:colOff>428626</xdr:colOff>
      <xdr:row>63</xdr:row>
      <xdr:rowOff>38100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567366" y="11310938"/>
          <a:ext cx="1681160" cy="261937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internal threshold: 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95%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83</xdr:row>
      <xdr:rowOff>4762</xdr:rowOff>
    </xdr:from>
    <xdr:to>
      <xdr:col>12</xdr:col>
      <xdr:colOff>109537</xdr:colOff>
      <xdr:row>83</xdr:row>
      <xdr:rowOff>9525</xdr:rowOff>
    </xdr:to>
    <xdr:cxnSp macro="">
      <xdr:nvCxnSpPr>
        <xdr:cNvPr id="14" name="Connettore diritto 13" descr="Linea decorativa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85</xdr:row>
      <xdr:rowOff>14287</xdr:rowOff>
    </xdr:from>
    <xdr:to>
      <xdr:col>3</xdr:col>
      <xdr:colOff>9524</xdr:colOff>
      <xdr:row>88</xdr:row>
      <xdr:rowOff>7816</xdr:rowOff>
    </xdr:to>
    <xdr:sp macro="" textlink="">
      <xdr:nvSpPr>
        <xdr:cNvPr id="15" name="Pulsante Avanti" descr="Altri dettagli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BUY</a:t>
          </a:r>
          <a:r>
            <a:rPr lang="it-IT" sz="1100" b="1" i="0" u="none" strike="noStrike" kern="1200" baseline="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</a:t>
          </a:r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109537</xdr:colOff>
      <xdr:row>129</xdr:row>
      <xdr:rowOff>109538</xdr:rowOff>
    </xdr:from>
    <xdr:to>
      <xdr:col>10</xdr:col>
      <xdr:colOff>509587</xdr:colOff>
      <xdr:row>132</xdr:row>
      <xdr:rowOff>171450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6062662" y="21864638"/>
          <a:ext cx="2838450" cy="633412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</a:t>
          </a:r>
          <a:r>
            <a:rPr lang="it-IT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43%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148</xdr:row>
      <xdr:rowOff>0</xdr:rowOff>
    </xdr:from>
    <xdr:to>
      <xdr:col>11</xdr:col>
      <xdr:colOff>576263</xdr:colOff>
      <xdr:row>148</xdr:row>
      <xdr:rowOff>52387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150</xdr:row>
      <xdr:rowOff>9525</xdr:rowOff>
    </xdr:from>
    <xdr:to>
      <xdr:col>3</xdr:col>
      <xdr:colOff>9524</xdr:colOff>
      <xdr:row>153</xdr:row>
      <xdr:rowOff>3054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 / ETF - BUY 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409575</xdr:colOff>
      <xdr:row>144</xdr:row>
      <xdr:rowOff>114300</xdr:rowOff>
    </xdr:from>
    <xdr:to>
      <xdr:col>11</xdr:col>
      <xdr:colOff>552391</xdr:colOff>
      <xdr:row>147</xdr:row>
      <xdr:rowOff>107829</xdr:rowOff>
    </xdr:to>
    <xdr:sp macro="" textlink="">
      <xdr:nvSpPr>
        <xdr:cNvPr id="28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ln w="12700"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rgbClr val="002060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78</xdr:row>
      <xdr:rowOff>42862</xdr:rowOff>
    </xdr:from>
    <xdr:to>
      <xdr:col>12</xdr:col>
      <xdr:colOff>104716</xdr:colOff>
      <xdr:row>82</xdr:row>
      <xdr:rowOff>36391</xdr:rowOff>
    </xdr:to>
    <xdr:sp macro="" textlink="">
      <xdr:nvSpPr>
        <xdr:cNvPr id="30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3</xdr:col>
      <xdr:colOff>423863</xdr:colOff>
      <xdr:row>18</xdr:row>
      <xdr:rowOff>66676</xdr:rowOff>
    </xdr:from>
    <xdr:to>
      <xdr:col>4</xdr:col>
      <xdr:colOff>147026</xdr:colOff>
      <xdr:row>20</xdr:row>
      <xdr:rowOff>0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4843463" y="3286126"/>
          <a:ext cx="375626" cy="37158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461963</xdr:colOff>
      <xdr:row>27</xdr:row>
      <xdr:rowOff>90488</xdr:rowOff>
    </xdr:from>
    <xdr:to>
      <xdr:col>4</xdr:col>
      <xdr:colOff>185126</xdr:colOff>
      <xdr:row>29</xdr:row>
      <xdr:rowOff>87425</xdr:rowOff>
    </xdr:to>
    <xdr:sp macro="" textlink="">
      <xdr:nvSpPr>
        <xdr:cNvPr id="34" name="Ovale 33" descr="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4926013" y="5564188"/>
          <a:ext cx="491513" cy="3779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295275</xdr:colOff>
      <xdr:row>75</xdr:row>
      <xdr:rowOff>59298</xdr:rowOff>
    </xdr:from>
    <xdr:to>
      <xdr:col>5</xdr:col>
      <xdr:colOff>185125</xdr:colOff>
      <xdr:row>77</xdr:row>
      <xdr:rowOff>59410</xdr:rowOff>
    </xdr:to>
    <xdr:sp macro="" textlink="">
      <xdr:nvSpPr>
        <xdr:cNvPr id="32" name="Ovale 31" descr="3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286375" y="14261073"/>
          <a:ext cx="499450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1</xdr:col>
      <xdr:colOff>1152526</xdr:colOff>
      <xdr:row>79</xdr:row>
      <xdr:rowOff>161925</xdr:rowOff>
    </xdr:from>
    <xdr:to>
      <xdr:col>2</xdr:col>
      <xdr:colOff>73026</xdr:colOff>
      <xdr:row>81</xdr:row>
      <xdr:rowOff>126999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835754" y="13103064"/>
          <a:ext cx="2609930" cy="334821"/>
          <a:chOff x="1914525" y="11825287"/>
          <a:chExt cx="1909763" cy="509587"/>
        </a:xfrm>
      </xdr:grpSpPr>
      <xdr:sp macro="[0]!preTradeEquity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914525" y="11825287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 macro="[0]!preTradeEquity">
        <xdr:nvPicPr>
          <xdr:cNvPr id="5" name="Elemento grafico 4" descr="Condividere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1069976</xdr:colOff>
      <xdr:row>143</xdr:row>
      <xdr:rowOff>152401</xdr:rowOff>
    </xdr:from>
    <xdr:to>
      <xdr:col>1</xdr:col>
      <xdr:colOff>2574926</xdr:colOff>
      <xdr:row>145</xdr:row>
      <xdr:rowOff>133350</xdr:rowOff>
    </xdr:to>
    <xdr:grpSp>
      <xdr:nvGrpSpPr>
        <xdr:cNvPr id="38" name="Grupp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pSpPr/>
      </xdr:nvGrpSpPr>
      <xdr:grpSpPr>
        <a:xfrm>
          <a:off x="1753204" y="24997781"/>
          <a:ext cx="1504950" cy="350696"/>
          <a:chOff x="1914525" y="11825288"/>
          <a:chExt cx="1909763" cy="509587"/>
        </a:xfrm>
      </xdr:grpSpPr>
      <xdr:sp macro="[0]!preTradeBond" textlink="">
        <xdr:nvSpPr>
          <xdr:cNvPr id="39" name="Rettangolo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43" name="Elemento grafico 42" descr="Condividere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89</xdr:row>
      <xdr:rowOff>0</xdr:rowOff>
    </xdr:from>
    <xdr:to>
      <xdr:col>4</xdr:col>
      <xdr:colOff>375626</xdr:colOff>
      <xdr:row>91</xdr:row>
      <xdr:rowOff>113</xdr:rowOff>
    </xdr:to>
    <xdr:sp macro="" textlink="">
      <xdr:nvSpPr>
        <xdr:cNvPr id="44" name="Ovale 43" descr="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072063" y="13939838"/>
          <a:ext cx="375626" cy="366825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97</xdr:row>
      <xdr:rowOff>98031</xdr:rowOff>
    </xdr:from>
    <xdr:to>
      <xdr:col>4</xdr:col>
      <xdr:colOff>366101</xdr:colOff>
      <xdr:row>99</xdr:row>
      <xdr:rowOff>88618</xdr:rowOff>
    </xdr:to>
    <xdr:sp macro="" textlink="">
      <xdr:nvSpPr>
        <xdr:cNvPr id="45" name="Ovale 44" descr="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062538" y="15852381"/>
          <a:ext cx="375626" cy="3620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1076326</xdr:colOff>
      <xdr:row>197</xdr:row>
      <xdr:rowOff>114301</xdr:rowOff>
    </xdr:from>
    <xdr:to>
      <xdr:col>2</xdr:col>
      <xdr:colOff>1</xdr:colOff>
      <xdr:row>199</xdr:row>
      <xdr:rowOff>95250</xdr:rowOff>
    </xdr:to>
    <xdr:grpSp>
      <xdr:nvGrpSpPr>
        <xdr:cNvPr id="48" name="Grupp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1759554" y="35023225"/>
          <a:ext cx="2613105" cy="350696"/>
          <a:chOff x="1914525" y="11825288"/>
          <a:chExt cx="1909763" cy="509587"/>
        </a:xfrm>
      </xdr:grpSpPr>
      <xdr:sp macro="[0]!preTradeFundETF" textlink="">
        <xdr:nvSpPr>
          <xdr:cNvPr id="49" name="Rettangolo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50" name="Elemento grafico 49" descr="Condividere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154</xdr:row>
      <xdr:rowOff>0</xdr:rowOff>
    </xdr:from>
    <xdr:to>
      <xdr:col>4</xdr:col>
      <xdr:colOff>375626</xdr:colOff>
      <xdr:row>156</xdr:row>
      <xdr:rowOff>113</xdr:rowOff>
    </xdr:to>
    <xdr:sp macro="" textlink="">
      <xdr:nvSpPr>
        <xdr:cNvPr id="51" name="Ovale 50" descr="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4733925" y="14639925"/>
          <a:ext cx="375626" cy="390638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162</xdr:row>
      <xdr:rowOff>98031</xdr:rowOff>
    </xdr:from>
    <xdr:to>
      <xdr:col>4</xdr:col>
      <xdr:colOff>366101</xdr:colOff>
      <xdr:row>164</xdr:row>
      <xdr:rowOff>88618</xdr:rowOff>
    </xdr:to>
    <xdr:sp macro="" textlink="">
      <xdr:nvSpPr>
        <xdr:cNvPr id="52" name="Ovale 51" descr="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9163" y="16271481"/>
          <a:ext cx="370863" cy="3906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0</xdr:col>
      <xdr:colOff>0</xdr:colOff>
      <xdr:row>201</xdr:row>
      <xdr:rowOff>0</xdr:rowOff>
    </xdr:from>
    <xdr:to>
      <xdr:col>11</xdr:col>
      <xdr:colOff>576263</xdr:colOff>
      <xdr:row>201</xdr:row>
      <xdr:rowOff>61912</xdr:rowOff>
    </xdr:to>
    <xdr:cxnSp macro="">
      <xdr:nvCxnSpPr>
        <xdr:cNvPr id="53" name="Connettore diritto 52" descr="Linea decorativa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>
          <a:cxnSpLocks/>
        </xdr:cNvCxnSpPr>
      </xdr:nvCxnSpPr>
      <xdr:spPr>
        <a:xfrm>
          <a:off x="0" y="34956750"/>
          <a:ext cx="9891713" cy="61912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</xdr:colOff>
      <xdr:row>185</xdr:row>
      <xdr:rowOff>38100</xdr:rowOff>
    </xdr:from>
    <xdr:to>
      <xdr:col>9</xdr:col>
      <xdr:colOff>471487</xdr:colOff>
      <xdr:row>189</xdr:row>
      <xdr:rowOff>71438</xdr:rowOff>
    </xdr:to>
    <xdr:sp macro="" textlink="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5414962" y="32137350"/>
          <a:ext cx="2838450" cy="795338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fontAlgn="base"/>
          <a:r>
            <a:rPr lang="en-I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Sub-fund could invest also through Sicavs, Mutual funds and open-ended ETFs with a cumulative limit of 10%.  Internal</a:t>
          </a:r>
          <a:r>
            <a:rPr lang="en-I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8%</a:t>
          </a:r>
          <a:endParaRPr lang="en-I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409574</xdr:colOff>
      <xdr:row>196</xdr:row>
      <xdr:rowOff>123825</xdr:rowOff>
    </xdr:from>
    <xdr:to>
      <xdr:col>11</xdr:col>
      <xdr:colOff>552389</xdr:colOff>
      <xdr:row>199</xdr:row>
      <xdr:rowOff>117354</xdr:rowOff>
    </xdr:to>
    <xdr:sp macro="" textlink="">
      <xdr:nvSpPr>
        <xdr:cNvPr id="47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439024" y="32237363"/>
          <a:ext cx="3090803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</xdr:col>
      <xdr:colOff>0</xdr:colOff>
      <xdr:row>207</xdr:row>
      <xdr:rowOff>0</xdr:rowOff>
    </xdr:from>
    <xdr:to>
      <xdr:col>9</xdr:col>
      <xdr:colOff>478998</xdr:colOff>
      <xdr:row>252</xdr:row>
      <xdr:rowOff>38101</xdr:rowOff>
    </xdr:to>
    <xdr:sp macro="" textlink="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609600" y="35718750"/>
          <a:ext cx="7651323" cy="861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it-IT" sz="1100" i="1"/>
        </a:p>
        <a:p>
          <a:r>
            <a:rPr lang="it-IT" sz="1100" b="1" i="1"/>
            <a:t>5/10/40 rules: </a:t>
          </a:r>
        </a:p>
        <a:p>
          <a:r>
            <a:rPr lang="it-IT" sz="1100" i="1"/>
            <a:t>• Maximum 10% of NAV in transferable securities and money market instruments issued by same body </a:t>
          </a:r>
        </a:p>
        <a:p>
          <a:r>
            <a:rPr lang="it-IT" sz="1100" i="1"/>
            <a:t>• Where investment in transferable securities and money market instruments in same body exceeds 5% of NAV, maximum allowed of these investments in total is 40% of NAV </a:t>
          </a:r>
        </a:p>
        <a:p>
          <a:r>
            <a:rPr lang="it-IT" sz="1100" i="1"/>
            <a:t>• 10% limit may be raised to 25% NAV for bonds issued by EU credit institutions subject by law to special public supervision designed to protect bond holders. </a:t>
          </a:r>
        </a:p>
        <a:p>
          <a:r>
            <a:rPr lang="it-IT" sz="1100" i="1"/>
            <a:t>• For these bonds, holdings in excess of 5% NAV cannot in aggregate exceed 80% of NAV. </a:t>
          </a:r>
        </a:p>
        <a:p>
          <a:endParaRPr lang="it-IT" sz="1100" i="1"/>
        </a:p>
        <a:p>
          <a:r>
            <a:rPr lang="it-IT" sz="1100" b="1" i="1"/>
            <a:t>Control rules: </a:t>
          </a:r>
        </a:p>
        <a:p>
          <a:r>
            <a:rPr lang="it-IT" sz="1100" i="1"/>
            <a:t>• Max 10% of non-voting shares of any issuing body </a:t>
          </a:r>
        </a:p>
        <a:p>
          <a:r>
            <a:rPr lang="it-IT" sz="1100" i="1"/>
            <a:t>• Max 10% of debt securities of any issuing body </a:t>
          </a:r>
        </a:p>
        <a:p>
          <a:r>
            <a:rPr lang="it-IT" sz="1100" i="1"/>
            <a:t>• Max 10% of money market instruments of any issuing body </a:t>
          </a:r>
        </a:p>
        <a:p>
          <a:r>
            <a:rPr lang="it-IT" sz="1100" i="1"/>
            <a:t>• Cannot acquire shares with voting rights enabling significant influence over an issuing body (rule of thumb is 20%) </a:t>
          </a:r>
        </a:p>
        <a:p>
          <a:endParaRPr lang="it-IT"/>
        </a:p>
        <a:p>
          <a:r>
            <a:rPr lang="it-IT" b="1"/>
            <a:t>Government Securities: </a:t>
          </a:r>
        </a:p>
        <a:p>
          <a:r>
            <a:rPr lang="it-IT"/>
            <a:t>• Max 10% of NAV limit in any one issuing body is increased to 35% of NAV for transferable securities / money market instruments issued by: - EU member state or its local authorities - Non-member state - Public international body of which at least one member state is a member </a:t>
          </a:r>
        </a:p>
        <a:p>
          <a:r>
            <a:rPr lang="it-IT"/>
            <a:t>• 5/40% of NAV rule does not apply to these securities </a:t>
          </a:r>
        </a:p>
        <a:p>
          <a:r>
            <a:rPr lang="it-IT"/>
            <a:t>• Up to 100% of NAV may be invested in transferable securities and money market instruments issued by a member state (or local authority), non-member state or public international body: - If investing more than 30% in one government issuer, the UCITS must hold at least six different issues from that issuer - max 30% of NAV in any one issue - UCITS must specify in constitutional documentation the names of government bodies in which it intends to invest more than 35% - Such government bodies are limited to certain countries – e.g. OECD / investment grade </a:t>
          </a:r>
        </a:p>
        <a:p>
          <a:endParaRPr lang="it-IT"/>
        </a:p>
        <a:p>
          <a:r>
            <a:rPr lang="it-IT" b="1"/>
            <a:t>Cash and Deposits: </a:t>
          </a:r>
        </a:p>
        <a:p>
          <a:r>
            <a:rPr lang="it-IT"/>
            <a:t>• Max 10% of NAV can be held in cash / deposits with the same credit institution </a:t>
          </a:r>
        </a:p>
        <a:p>
          <a:r>
            <a:rPr lang="it-IT"/>
            <a:t>• 10% limit increased to 20% for: - Credit institutions authorised in EEA (EU plus Norway, Iceland and Liechtenstein) - Signatory state to Basel (Switzerland, Canada, Japan, US) - Jersey, Guernsey, Isle of Man, Australia, New Zealand </a:t>
          </a:r>
        </a:p>
        <a:p>
          <a:r>
            <a:rPr lang="it-IT"/>
            <a:t>• Max 20% with Custodian / Depositary </a:t>
          </a:r>
        </a:p>
        <a:p>
          <a:endParaRPr lang="it-IT"/>
        </a:p>
        <a:p>
          <a:r>
            <a:rPr lang="it-IT" b="1"/>
            <a:t>Investment in other open-ended collective investment schemes (”CIS”):</a:t>
          </a:r>
          <a:r>
            <a:rPr lang="it-IT"/>
            <a:t> </a:t>
          </a:r>
        </a:p>
        <a:p>
          <a:r>
            <a:rPr lang="it-IT"/>
            <a:t>• Max 20% of NAV in any one CIS* </a:t>
          </a:r>
        </a:p>
        <a:p>
          <a:r>
            <a:rPr lang="it-IT"/>
            <a:t>• Max 30% of NAV in aggregate in non-UCITS CIS** </a:t>
          </a:r>
        </a:p>
        <a:p>
          <a:r>
            <a:rPr lang="it-IT"/>
            <a:t>• Investee CIS must limit their own investment in other CIS to 10% of their NAV </a:t>
          </a:r>
        </a:p>
        <a:p>
          <a:r>
            <a:rPr lang="it-IT" b="1">
              <a:solidFill>
                <a:srgbClr val="FF0000"/>
              </a:solidFill>
            </a:rPr>
            <a:t>• UCITS may not hold more than 25% of the units in issue of a single CIS (control limit) </a:t>
          </a:r>
        </a:p>
        <a:p>
          <a:r>
            <a:rPr lang="it-IT"/>
            <a:t>* For umbrella funds, in Ireland this limit is applied at the sub – fund level i.e. you can invest up to 20% in each sub – fund while in Luxembourg it is applied at umbrella level ** Non-UCITS funds must have investor protection measures and regulation equivalent to UCITS</a:t>
          </a:r>
          <a:endParaRPr lang="it-IT" sz="1100" i="1"/>
        </a:p>
        <a:p>
          <a:endParaRPr lang="it-IT" sz="1100" i="1"/>
        </a:p>
        <a:p>
          <a:r>
            <a:rPr lang="it-IT" b="1"/>
            <a:t>Other / general rules: </a:t>
          </a:r>
        </a:p>
        <a:p>
          <a:r>
            <a:rPr lang="it-IT"/>
            <a:t>• Max 20% of NAV in respect of investment in the same issuing body taking into account: - Investment in transferable securities and money market instruments - Deposits / cash - Counterparty exposures through OTC derivatives - Position exposure of assets underlying derivatives </a:t>
          </a:r>
        </a:p>
        <a:p>
          <a:r>
            <a:rPr lang="it-IT">
              <a:solidFill>
                <a:srgbClr val="FF0000"/>
              </a:solidFill>
            </a:rPr>
            <a:t>• Max 20% of NAV in respect of all exposures to issuing bodies within the same corporate group </a:t>
          </a:r>
        </a:p>
        <a:p>
          <a:r>
            <a:rPr lang="it-IT"/>
            <a:t>• Max 5% of NAV in warrants </a:t>
          </a:r>
        </a:p>
        <a:p>
          <a:r>
            <a:rPr lang="it-IT"/>
            <a:t>• Cannot carry out uncovered sales of transferable securities, money market instruments, collective investment schemes or derivatives </a:t>
          </a:r>
        </a:p>
        <a:p>
          <a:r>
            <a:rPr lang="it-IT"/>
            <a:t>• Limits do not apply when exercising subscription rights (although this may result in an inadvertent breach)</a:t>
          </a:r>
        </a:p>
        <a:p>
          <a:endParaRPr lang="it-IT" sz="1100" i="1"/>
        </a:p>
        <a:p>
          <a:endParaRPr lang="it-IT" sz="1100" i="1"/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20% of NAV can be invested into any one open-ended fund*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30% of NAV can be invested, in aggregate, into non-UCITS open-ended funds**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Investee open-ended funds must limit their own investment in other open-ended funds to 10% NAV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A UCITS cannot own in excess of 25% of the shares or units of another single fund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 For umbrella funds, this limit is applied at the sub-fund level i.e. you can invest up to 20% in each sub-fund.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** Non-UCITS funds must have investor protection measures and regulation equivalent to UCITS.</a:t>
          </a:r>
          <a:endParaRPr lang="it-IT">
            <a:solidFill>
              <a:srgbClr val="FF0000"/>
            </a:solidFill>
            <a:effectLst/>
          </a:endParaRPr>
        </a:p>
        <a:p>
          <a:endParaRPr lang="it-IT" sz="1100" i="1"/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13</xdr:col>
      <xdr:colOff>561434</xdr:colOff>
      <xdr:row>6</xdr:row>
      <xdr:rowOff>157938</xdr:rowOff>
    </xdr:to>
    <xdr:grpSp>
      <xdr:nvGrpSpPr>
        <xdr:cNvPr id="54" name="Grupp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123825" y="66675"/>
          <a:ext cx="14713052" cy="1120124"/>
          <a:chOff x="509047" y="348792"/>
          <a:chExt cx="11133056" cy="1366886"/>
        </a:xfrm>
      </xdr:grpSpPr>
      <xdr:sp macro="" textlink="">
        <xdr:nvSpPr>
          <xdr:cNvPr id="55" name="Rettangolo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BUY</a:t>
            </a:r>
          </a:p>
        </xdr:txBody>
      </xdr:sp>
      <xdr:pic>
        <xdr:nvPicPr>
          <xdr:cNvPr id="56" name="Immagin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139</xdr:row>
      <xdr:rowOff>107950</xdr:rowOff>
    </xdr:from>
    <xdr:to>
      <xdr:col>4</xdr:col>
      <xdr:colOff>495300</xdr:colOff>
      <xdr:row>141</xdr:row>
      <xdr:rowOff>114412</xdr:rowOff>
    </xdr:to>
    <xdr:sp macro="" textlink="">
      <xdr:nvSpPr>
        <xdr:cNvPr id="57" name="Ovale 31" descr="3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5232400" y="22987000"/>
          <a:ext cx="495300" cy="3874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762000</xdr:colOff>
      <xdr:row>194</xdr:row>
      <xdr:rowOff>82550</xdr:rowOff>
    </xdr:from>
    <xdr:to>
      <xdr:col>4</xdr:col>
      <xdr:colOff>528025</xdr:colOff>
      <xdr:row>196</xdr:row>
      <xdr:rowOff>101712</xdr:rowOff>
    </xdr:to>
    <xdr:sp macro="" textlink="">
      <xdr:nvSpPr>
        <xdr:cNvPr id="42" name="Ovale 31" descr="3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5226050" y="32785050"/>
          <a:ext cx="534375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22260</xdr:colOff>
      <xdr:row>9</xdr:row>
      <xdr:rowOff>147637</xdr:rowOff>
    </xdr:from>
    <xdr:to>
      <xdr:col>11</xdr:col>
      <xdr:colOff>509587</xdr:colOff>
      <xdr:row>9</xdr:row>
      <xdr:rowOff>152399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cxnSpLocks/>
        </xdr:cNvCxnSpPr>
      </xdr:nvCxnSpPr>
      <xdr:spPr>
        <a:xfrm flipV="1">
          <a:off x="22260" y="1776412"/>
          <a:ext cx="10598115" cy="4762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</xdr:row>
      <xdr:rowOff>110756</xdr:rowOff>
    </xdr:from>
    <xdr:to>
      <xdr:col>3</xdr:col>
      <xdr:colOff>23812</xdr:colOff>
      <xdr:row>17</xdr:row>
      <xdr:rowOff>70948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54050" y="2136406"/>
          <a:ext cx="3681412" cy="54439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196646</xdr:colOff>
      <xdr:row>17</xdr:row>
      <xdr:rowOff>74230</xdr:rowOff>
    </xdr:from>
    <xdr:to>
      <xdr:col>6</xdr:col>
      <xdr:colOff>572272</xdr:colOff>
      <xdr:row>19</xdr:row>
      <xdr:rowOff>74342</xdr:rowOff>
    </xdr:to>
    <xdr:sp macro="" textlink="">
      <xdr:nvSpPr>
        <xdr:cNvPr id="20" name="Ovale 19" descr="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30746" y="2769805"/>
          <a:ext cx="375626" cy="40016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6</xdr:col>
      <xdr:colOff>225222</xdr:colOff>
      <xdr:row>22</xdr:row>
      <xdr:rowOff>77011</xdr:rowOff>
    </xdr:from>
    <xdr:to>
      <xdr:col>6</xdr:col>
      <xdr:colOff>581025</xdr:colOff>
      <xdr:row>24</xdr:row>
      <xdr:rowOff>109539</xdr:rowOff>
    </xdr:to>
    <xdr:sp macro="" textlink="">
      <xdr:nvSpPr>
        <xdr:cNvPr id="21" name="Ovale 20" descr="2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6359322" y="3744136"/>
          <a:ext cx="355803" cy="413528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244272</xdr:colOff>
      <xdr:row>50</xdr:row>
      <xdr:rowOff>630</xdr:rowOff>
    </xdr:from>
    <xdr:to>
      <xdr:col>4</xdr:col>
      <xdr:colOff>619898</xdr:colOff>
      <xdr:row>52</xdr:row>
      <xdr:rowOff>10267</xdr:rowOff>
    </xdr:to>
    <xdr:sp macro="" textlink="">
      <xdr:nvSpPr>
        <xdr:cNvPr id="22" name="Ovale 21" descr="3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540172" y="917796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0</xdr:col>
      <xdr:colOff>0</xdr:colOff>
      <xdr:row>60</xdr:row>
      <xdr:rowOff>4762</xdr:rowOff>
    </xdr:from>
    <xdr:to>
      <xdr:col>12</xdr:col>
      <xdr:colOff>109537</xdr:colOff>
      <xdr:row>60</xdr:row>
      <xdr:rowOff>9525</xdr:rowOff>
    </xdr:to>
    <xdr:cxnSp macro="">
      <xdr:nvCxnSpPr>
        <xdr:cNvPr id="31" name="Connettore diritto 30" descr="Linea decorativa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62</xdr:row>
      <xdr:rowOff>14287</xdr:rowOff>
    </xdr:from>
    <xdr:to>
      <xdr:col>3</xdr:col>
      <xdr:colOff>9524</xdr:colOff>
      <xdr:row>65</xdr:row>
      <xdr:rowOff>7816</xdr:rowOff>
    </xdr:to>
    <xdr:sp macro="" textlink="">
      <xdr:nvSpPr>
        <xdr:cNvPr id="32" name="Pulsante Avanti" descr="Altri dettagli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133349</xdr:colOff>
      <xdr:row>92</xdr:row>
      <xdr:rowOff>85724</xdr:rowOff>
    </xdr:from>
    <xdr:to>
      <xdr:col>10</xdr:col>
      <xdr:colOff>576262</xdr:colOff>
      <xdr:row>96</xdr:row>
      <xdr:rowOff>123824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6510337" y="16497299"/>
          <a:ext cx="3052763" cy="762000"/>
        </a:xfrm>
        <a:prstGeom prst="rect">
          <a:avLst/>
        </a:prstGeom>
        <a:solidFill>
          <a:srgbClr val="F5FFE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 threhold set at 43%</a:t>
          </a:r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11</xdr:col>
      <xdr:colOff>576263</xdr:colOff>
      <xdr:row>108</xdr:row>
      <xdr:rowOff>52387</xdr:rowOff>
    </xdr:to>
    <xdr:cxnSp macro="">
      <xdr:nvCxnSpPr>
        <xdr:cNvPr id="19" name="Connettore diritto 18" descr="Linea decorativa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110</xdr:row>
      <xdr:rowOff>9525</xdr:rowOff>
    </xdr:from>
    <xdr:to>
      <xdr:col>3</xdr:col>
      <xdr:colOff>9524</xdr:colOff>
      <xdr:row>113</xdr:row>
      <xdr:rowOff>3054</xdr:rowOff>
    </xdr:to>
    <xdr:sp macro="" textlink="">
      <xdr:nvSpPr>
        <xdr:cNvPr id="25" name="Pulsante Avanti" descr="Altri dettagli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/ ETF</a:t>
          </a:r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4</xdr:col>
      <xdr:colOff>375626</xdr:colOff>
      <xdr:row>69</xdr:row>
      <xdr:rowOff>4875</xdr:rowOff>
    </xdr:to>
    <xdr:sp macro="" textlink="">
      <xdr:nvSpPr>
        <xdr:cNvPr id="29" name="Ovale 28" descr="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072063" y="1230153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71</xdr:row>
      <xdr:rowOff>117081</xdr:rowOff>
    </xdr:from>
    <xdr:to>
      <xdr:col>4</xdr:col>
      <xdr:colOff>375626</xdr:colOff>
      <xdr:row>73</xdr:row>
      <xdr:rowOff>117193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072063" y="13147281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4</xdr:col>
      <xdr:colOff>375626</xdr:colOff>
      <xdr:row>117</xdr:row>
      <xdr:rowOff>4874</xdr:rowOff>
    </xdr:to>
    <xdr:sp macro="" textlink="">
      <xdr:nvSpPr>
        <xdr:cNvPr id="37" name="Ovale 36" descr="1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072063" y="19964400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119</xdr:row>
      <xdr:rowOff>117080</xdr:rowOff>
    </xdr:from>
    <xdr:to>
      <xdr:col>4</xdr:col>
      <xdr:colOff>375626</xdr:colOff>
      <xdr:row>121</xdr:row>
      <xdr:rowOff>117192</xdr:rowOff>
    </xdr:to>
    <xdr:sp macro="" textlink="">
      <xdr:nvSpPr>
        <xdr:cNvPr id="38" name="Ovale 37" descr="2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072063" y="20810143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7</xdr:col>
      <xdr:colOff>409575</xdr:colOff>
      <xdr:row>103</xdr:row>
      <xdr:rowOff>114300</xdr:rowOff>
    </xdr:from>
    <xdr:to>
      <xdr:col>11</xdr:col>
      <xdr:colOff>552391</xdr:colOff>
      <xdr:row>107</xdr:row>
      <xdr:rowOff>107829</xdr:rowOff>
    </xdr:to>
    <xdr:sp macro="" textlink="">
      <xdr:nvSpPr>
        <xdr:cNvPr id="53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0</xdr:colOff>
      <xdr:row>148</xdr:row>
      <xdr:rowOff>0</xdr:rowOff>
    </xdr:from>
    <xdr:to>
      <xdr:col>11</xdr:col>
      <xdr:colOff>142816</xdr:colOff>
      <xdr:row>150</xdr:row>
      <xdr:rowOff>174504</xdr:rowOff>
    </xdr:to>
    <xdr:sp macro="" textlink="">
      <xdr:nvSpPr>
        <xdr:cNvPr id="54" name="Pulsante Avanti" descr="Torna all'inizio, con un collegamento ipertestuale alla cella A1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7029450" y="25960388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56</xdr:row>
      <xdr:rowOff>42862</xdr:rowOff>
    </xdr:from>
    <xdr:to>
      <xdr:col>12</xdr:col>
      <xdr:colOff>104716</xdr:colOff>
      <xdr:row>59</xdr:row>
      <xdr:rowOff>36391</xdr:rowOff>
    </xdr:to>
    <xdr:sp macro="" textlink="">
      <xdr:nvSpPr>
        <xdr:cNvPr id="55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ln w="19050"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0</xdr:col>
      <xdr:colOff>0</xdr:colOff>
      <xdr:row>154</xdr:row>
      <xdr:rowOff>171450</xdr:rowOff>
    </xdr:from>
    <xdr:to>
      <xdr:col>11</xdr:col>
      <xdr:colOff>576263</xdr:colOff>
      <xdr:row>155</xdr:row>
      <xdr:rowOff>42862</xdr:rowOff>
    </xdr:to>
    <xdr:cxnSp macro="">
      <xdr:nvCxnSpPr>
        <xdr:cNvPr id="56" name="Connettore diritto 55" descr="Linea decorativa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>
          <a:cxnSpLocks/>
        </xdr:cNvCxnSpPr>
      </xdr:nvCxnSpPr>
      <xdr:spPr>
        <a:xfrm>
          <a:off x="0" y="27217688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142875</xdr:colOff>
      <xdr:row>0</xdr:row>
      <xdr:rowOff>76200</xdr:rowOff>
    </xdr:from>
    <xdr:to>
      <xdr:col>14</xdr:col>
      <xdr:colOff>602701</xdr:colOff>
      <xdr:row>6</xdr:row>
      <xdr:rowOff>0</xdr:rowOff>
    </xdr:to>
    <xdr:grpSp>
      <xdr:nvGrpSpPr>
        <xdr:cNvPr id="44" name="Grupp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/>
      </xdr:nvGrpSpPr>
      <xdr:grpSpPr>
        <a:xfrm>
          <a:off x="142875" y="76200"/>
          <a:ext cx="12683576" cy="1028700"/>
          <a:chOff x="509047" y="348792"/>
          <a:chExt cx="11133056" cy="1366886"/>
        </a:xfrm>
      </xdr:grpSpPr>
      <xdr:sp macro="" textlink="">
        <xdr:nvSpPr>
          <xdr:cNvPr id="45" name="Rettangolo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Sell</a:t>
            </a:r>
          </a:p>
        </xdr:txBody>
      </xdr:sp>
      <xdr:pic>
        <xdr:nvPicPr>
          <xdr:cNvPr id="46" name="Immagin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1238250</xdr:colOff>
      <xdr:row>56</xdr:row>
      <xdr:rowOff>114300</xdr:rowOff>
    </xdr:from>
    <xdr:to>
      <xdr:col>2</xdr:col>
      <xdr:colOff>161925</xdr:colOff>
      <xdr:row>58</xdr:row>
      <xdr:rowOff>95249</xdr:rowOff>
    </xdr:to>
    <xdr:grpSp>
      <xdr:nvGrpSpPr>
        <xdr:cNvPr id="35" name="Grupp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pSpPr/>
      </xdr:nvGrpSpPr>
      <xdr:grpSpPr>
        <a:xfrm>
          <a:off x="1866900" y="10045700"/>
          <a:ext cx="1508125" cy="412749"/>
          <a:chOff x="1914525" y="11825288"/>
          <a:chExt cx="1909763" cy="509587"/>
        </a:xfrm>
      </xdr:grpSpPr>
      <xdr:sp macro="[0]!preTradeSellEquity" textlink="">
        <xdr:nvSpPr>
          <xdr:cNvPr id="36" name="Rettangolo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Equity">
        <xdr:nvPicPr>
          <xdr:cNvPr id="39" name="Elemento grafico 38" descr="Condividere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1123950</xdr:colOff>
      <xdr:row>104</xdr:row>
      <xdr:rowOff>171450</xdr:rowOff>
    </xdr:from>
    <xdr:to>
      <xdr:col>2</xdr:col>
      <xdr:colOff>47625</xdr:colOff>
      <xdr:row>106</xdr:row>
      <xdr:rowOff>152399</xdr:rowOff>
    </xdr:to>
    <xdr:grpSp>
      <xdr:nvGrpSpPr>
        <xdr:cNvPr id="40" name="Grupp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pSpPr/>
      </xdr:nvGrpSpPr>
      <xdr:grpSpPr>
        <a:xfrm>
          <a:off x="1752600" y="19107150"/>
          <a:ext cx="1508125" cy="349249"/>
          <a:chOff x="1914525" y="11825288"/>
          <a:chExt cx="1909763" cy="509587"/>
        </a:xfrm>
      </xdr:grpSpPr>
      <xdr:sp macro="[0]!preTradeSellBond" textlink="">
        <xdr:nvSpPr>
          <xdr:cNvPr id="41" name="Rettangolo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Bond">
        <xdr:nvPicPr>
          <xdr:cNvPr id="42" name="Elemento grafico 41" descr="Condividere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838200</xdr:colOff>
      <xdr:row>147</xdr:row>
      <xdr:rowOff>152400</xdr:rowOff>
    </xdr:from>
    <xdr:to>
      <xdr:col>1</xdr:col>
      <xdr:colOff>2228850</xdr:colOff>
      <xdr:row>149</xdr:row>
      <xdr:rowOff>133349</xdr:rowOff>
    </xdr:to>
    <xdr:grpSp>
      <xdr:nvGrpSpPr>
        <xdr:cNvPr id="43" name="Gruppo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pSpPr/>
      </xdr:nvGrpSpPr>
      <xdr:grpSpPr>
        <a:xfrm>
          <a:off x="1466850" y="27057350"/>
          <a:ext cx="1390650" cy="349249"/>
          <a:chOff x="1914525" y="11825288"/>
          <a:chExt cx="1909763" cy="509587"/>
        </a:xfrm>
      </xdr:grpSpPr>
      <xdr:sp macro="[0]!preTradeSellFundETF" textlink="">
        <xdr:nvSpPr>
          <xdr:cNvPr id="47" name="Rettangolo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FundETF">
        <xdr:nvPicPr>
          <xdr:cNvPr id="48" name="Elemento grafico 47" descr="Condividere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285750</xdr:colOff>
      <xdr:row>53</xdr:row>
      <xdr:rowOff>87313</xdr:rowOff>
    </xdr:from>
    <xdr:to>
      <xdr:col>5</xdr:col>
      <xdr:colOff>8913</xdr:colOff>
      <xdr:row>55</xdr:row>
      <xdr:rowOff>84250</xdr:rowOff>
    </xdr:to>
    <xdr:sp macro="" textlink="">
      <xdr:nvSpPr>
        <xdr:cNvPr id="50" name="Ovale 21" descr="3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581650" y="9807576"/>
          <a:ext cx="375626" cy="36841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571500</xdr:colOff>
      <xdr:row>102</xdr:row>
      <xdr:rowOff>88900</xdr:rowOff>
    </xdr:from>
    <xdr:to>
      <xdr:col>4</xdr:col>
      <xdr:colOff>305776</xdr:colOff>
      <xdr:row>104</xdr:row>
      <xdr:rowOff>85837</xdr:rowOff>
    </xdr:to>
    <xdr:sp macro="" textlink="">
      <xdr:nvSpPr>
        <xdr:cNvPr id="52" name="Ovale 21" descr="3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4895850" y="1865630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488950</xdr:colOff>
      <xdr:row>144</xdr:row>
      <xdr:rowOff>107950</xdr:rowOff>
    </xdr:from>
    <xdr:to>
      <xdr:col>4</xdr:col>
      <xdr:colOff>223226</xdr:colOff>
      <xdr:row>146</xdr:row>
      <xdr:rowOff>104887</xdr:rowOff>
    </xdr:to>
    <xdr:sp macro="" textlink="">
      <xdr:nvSpPr>
        <xdr:cNvPr id="58" name="Ovale 21" descr="3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4813300" y="2572385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66675</xdr:rowOff>
    </xdr:from>
    <xdr:to>
      <xdr:col>17</xdr:col>
      <xdr:colOff>866234</xdr:colOff>
      <xdr:row>6</xdr:row>
      <xdr:rowOff>152471</xdr:rowOff>
    </xdr:to>
    <xdr:grpSp>
      <xdr:nvGrpSpPr>
        <xdr:cNvPr id="27" name="Grupp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180975" y="66675"/>
          <a:ext cx="17989009" cy="1076396"/>
          <a:chOff x="509047" y="348792"/>
          <a:chExt cx="11133056" cy="1366886"/>
        </a:xfrm>
      </xdr:grpSpPr>
      <xdr:sp macro="" textlink="">
        <xdr:nvSpPr>
          <xdr:cNvPr id="28" name="Rettangolo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Bond</a:t>
            </a:r>
          </a:p>
        </xdr:txBody>
      </xdr:sp>
      <xdr:pic>
        <xdr:nvPicPr>
          <xdr:cNvPr id="29" name="Immagine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06127" y="746484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11" name="Freccia in giù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12" name="Freccia in giù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195262</xdr:colOff>
      <xdr:row>7</xdr:row>
      <xdr:rowOff>47625</xdr:rowOff>
    </xdr:from>
    <xdr:to>
      <xdr:col>15</xdr:col>
      <xdr:colOff>409574</xdr:colOff>
      <xdr:row>8</xdr:row>
      <xdr:rowOff>35720</xdr:rowOff>
    </xdr:to>
    <xdr:sp macro="" textlink="">
      <xdr:nvSpPr>
        <xdr:cNvPr id="13" name="Freccia in giù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2706350" y="1214438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371475</xdr:colOff>
      <xdr:row>7</xdr:row>
      <xdr:rowOff>47625</xdr:rowOff>
    </xdr:from>
    <xdr:to>
      <xdr:col>14</xdr:col>
      <xdr:colOff>585787</xdr:colOff>
      <xdr:row>8</xdr:row>
      <xdr:rowOff>35720</xdr:rowOff>
    </xdr:to>
    <xdr:sp macro="" textlink="">
      <xdr:nvSpPr>
        <xdr:cNvPr id="22" name="Freccia in gi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6012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266700</xdr:colOff>
      <xdr:row>7</xdr:row>
      <xdr:rowOff>57150</xdr:rowOff>
    </xdr:from>
    <xdr:to>
      <xdr:col>13</xdr:col>
      <xdr:colOff>481012</xdr:colOff>
      <xdr:row>8</xdr:row>
      <xdr:rowOff>45245</xdr:rowOff>
    </xdr:to>
    <xdr:sp macro="" textlink="">
      <xdr:nvSpPr>
        <xdr:cNvPr id="23" name="Freccia in giù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839075" y="1190625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16</xdr:col>
      <xdr:colOff>185737</xdr:colOff>
      <xdr:row>3</xdr:row>
      <xdr:rowOff>133350</xdr:rowOff>
    </xdr:from>
    <xdr:to>
      <xdr:col>18</xdr:col>
      <xdr:colOff>152400</xdr:colOff>
      <xdr:row>5</xdr:row>
      <xdr:rowOff>133350</xdr:rowOff>
    </xdr:to>
    <xdr:grpSp>
      <xdr:nvGrpSpPr>
        <xdr:cNvPr id="14" name="Grupp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16213137" y="628650"/>
          <a:ext cx="2360613" cy="330200"/>
          <a:chOff x="9448799" y="244248"/>
          <a:chExt cx="2226810" cy="333375"/>
        </a:xfrm>
      </xdr:grpSpPr>
      <xdr:sp macro="[0]!MoveBondToPOSITION" textlink="">
        <xdr:nvSpPr>
          <xdr:cNvPr id="15" name="Rettangol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Bond into Position</a:t>
            </a:r>
          </a:p>
        </xdr:txBody>
      </xdr:sp>
      <xdr:sp macro="" textlink="">
        <xdr:nvSpPr>
          <xdr:cNvPr id="16" name="Ova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7" name="Freccia a destra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127560</xdr:colOff>
      <xdr:row>0</xdr:row>
      <xdr:rowOff>66675</xdr:rowOff>
    </xdr:from>
    <xdr:to>
      <xdr:col>22</xdr:col>
      <xdr:colOff>489510</xdr:colOff>
      <xdr:row>7</xdr:row>
      <xdr:rowOff>24588</xdr:rowOff>
    </xdr:to>
    <xdr:grpSp>
      <xdr:nvGrpSpPr>
        <xdr:cNvPr id="42" name="Gruppo 22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pSpPr/>
      </xdr:nvGrpSpPr>
      <xdr:grpSpPr>
        <a:xfrm>
          <a:off x="1117858" y="66675"/>
          <a:ext cx="21642009" cy="1122080"/>
          <a:chOff x="509047" y="348792"/>
          <a:chExt cx="11133056" cy="1366886"/>
        </a:xfrm>
      </xdr:grpSpPr>
      <xdr:sp macro="" textlink="">
        <xdr:nvSpPr>
          <xdr:cNvPr id="43" name="Rettangolo 23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Equity</a:t>
            </a:r>
          </a:p>
        </xdr:txBody>
      </xdr:sp>
      <xdr:pic>
        <xdr:nvPicPr>
          <xdr:cNvPr id="44" name="Immagine 24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69384" cy="595134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</xdr:pic>
    </xdr:grpSp>
    <xdr:clientData/>
  </xdr:twoCellAnchor>
  <xdr:twoCellAnchor>
    <xdr:from>
      <xdr:col>19</xdr:col>
      <xdr:colOff>1195388</xdr:colOff>
      <xdr:row>2</xdr:row>
      <xdr:rowOff>133350</xdr:rowOff>
    </xdr:from>
    <xdr:to>
      <xdr:col>22</xdr:col>
      <xdr:colOff>400050</xdr:colOff>
      <xdr:row>4</xdr:row>
      <xdr:rowOff>133350</xdr:rowOff>
    </xdr:to>
    <xdr:grpSp>
      <xdr:nvGrpSpPr>
        <xdr:cNvPr id="11" name="Grupp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20547467" y="465969"/>
          <a:ext cx="2122940" cy="332619"/>
          <a:chOff x="7110413" y="304800"/>
          <a:chExt cx="2243941" cy="333375"/>
        </a:xfrm>
      </xdr:grpSpPr>
      <xdr:sp macro="[0]!MoveEquityToPOSITION" textlink="">
        <xdr:nvSpPr>
          <xdr:cNvPr id="12" name="Rettangol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7110413" y="328614"/>
            <a:ext cx="2109788" cy="271462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stocks into Position</a:t>
            </a:r>
            <a:r>
              <a:rPr lang="it-IT" sz="1100" baseline="0"/>
              <a:t> </a:t>
            </a:r>
            <a:endParaRPr lang="it-IT" sz="1100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8994738" y="304800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4" name="Freccia a destra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9082598" y="36787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28575</xdr:rowOff>
    </xdr:from>
    <xdr:to>
      <xdr:col>17</xdr:col>
      <xdr:colOff>492918</xdr:colOff>
      <xdr:row>6</xdr:row>
      <xdr:rowOff>114370</xdr:rowOff>
    </xdr:to>
    <xdr:grpSp>
      <xdr:nvGrpSpPr>
        <xdr:cNvPr id="19" name="Grupp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171450" y="28575"/>
          <a:ext cx="17275968" cy="1076395"/>
          <a:chOff x="509047" y="348792"/>
          <a:chExt cx="11133056" cy="1366886"/>
        </a:xfrm>
      </xdr:grpSpPr>
      <xdr:sp macro="" textlink="">
        <xdr:nvSpPr>
          <xdr:cNvPr id="20" name="Rettangolo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Fund ETF</a:t>
            </a:r>
          </a:p>
        </xdr:txBody>
      </xdr:sp>
      <xdr:pic>
        <xdr:nvPicPr>
          <xdr:cNvPr id="21" name="Immagin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3" name="Freccia in giù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4" name="Freccia in gi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195262</xdr:colOff>
      <xdr:row>7</xdr:row>
      <xdr:rowOff>47625</xdr:rowOff>
    </xdr:from>
    <xdr:to>
      <xdr:col>14</xdr:col>
      <xdr:colOff>409574</xdr:colOff>
      <xdr:row>8</xdr:row>
      <xdr:rowOff>35720</xdr:rowOff>
    </xdr:to>
    <xdr:sp macro="" textlink="">
      <xdr:nvSpPr>
        <xdr:cNvPr id="5" name="Freccia in giù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9205912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371475</xdr:colOff>
      <xdr:row>7</xdr:row>
      <xdr:rowOff>47625</xdr:rowOff>
    </xdr:from>
    <xdr:to>
      <xdr:col>13</xdr:col>
      <xdr:colOff>585787</xdr:colOff>
      <xdr:row>8</xdr:row>
      <xdr:rowOff>35720</xdr:rowOff>
    </xdr:to>
    <xdr:sp macro="" textlink="">
      <xdr:nvSpPr>
        <xdr:cNvPr id="14" name="Freccia in giù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84963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242887</xdr:colOff>
      <xdr:row>3</xdr:row>
      <xdr:rowOff>95250</xdr:rowOff>
    </xdr:from>
    <xdr:to>
      <xdr:col>17</xdr:col>
      <xdr:colOff>783772</xdr:colOff>
      <xdr:row>5</xdr:row>
      <xdr:rowOff>95250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14803437" y="590550"/>
          <a:ext cx="2934835" cy="330200"/>
          <a:chOff x="9448799" y="244248"/>
          <a:chExt cx="2226810" cy="333375"/>
        </a:xfrm>
      </xdr:grpSpPr>
      <xdr:sp macro="[0]!MoveFundETFToPOSITION" textlink="">
        <xdr:nvSpPr>
          <xdr:cNvPr id="7" name="Rettangolo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fund/ETF into Position</a:t>
            </a:r>
          </a:p>
        </xdr:txBody>
      </xdr:sp>
      <xdr:sp macro="" textlink="">
        <xdr:nvSpPr>
          <xdr:cNvPr id="8" name="Ova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9" name="Freccia a destra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1871133</xdr:colOff>
      <xdr:row>5</xdr:row>
      <xdr:rowOff>174626</xdr:rowOff>
    </xdr:from>
    <xdr:to>
      <xdr:col>21</xdr:col>
      <xdr:colOff>1121832</xdr:colOff>
      <xdr:row>7</xdr:row>
      <xdr:rowOff>105834</xdr:rowOff>
    </xdr:to>
    <xdr:sp macro="[0]!ClearContents" textlink="">
      <xdr:nvSpPr>
        <xdr:cNvPr id="5" name="Rectangle 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0342577" y="2411237"/>
          <a:ext cx="1734255" cy="319264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Clear</a:t>
          </a:r>
          <a:r>
            <a:rPr lang="en-GB" sz="1300" b="1" baseline="0"/>
            <a:t> Order List</a:t>
          </a:r>
          <a:endParaRPr lang="en-GB" sz="1300" b="1"/>
        </a:p>
      </xdr:txBody>
    </xdr:sp>
    <xdr:clientData/>
  </xdr:twoCellAnchor>
  <xdr:twoCellAnchor>
    <xdr:from>
      <xdr:col>20</xdr:col>
      <xdr:colOff>10584</xdr:colOff>
      <xdr:row>2</xdr:row>
      <xdr:rowOff>170038</xdr:rowOff>
    </xdr:from>
    <xdr:to>
      <xdr:col>22</xdr:col>
      <xdr:colOff>0</xdr:colOff>
      <xdr:row>4</xdr:row>
      <xdr:rowOff>112889</xdr:rowOff>
    </xdr:to>
    <xdr:sp macro="[0]!Create_Order_email" textlink="">
      <xdr:nvSpPr>
        <xdr:cNvPr id="8" name="Rectangl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0358806" y="1856316"/>
          <a:ext cx="1732138" cy="309740"/>
        </a:xfrm>
        <a:prstGeom prst="rect">
          <a:avLst/>
        </a:prstGeom>
        <a:solidFill>
          <a:srgbClr val="92D050"/>
        </a:soli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Create Order</a:t>
          </a:r>
          <a:r>
            <a:rPr lang="en-GB" sz="1300" b="1" baseline="0"/>
            <a:t> Email</a:t>
          </a:r>
          <a:endParaRPr lang="en-GB" sz="13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7776</xdr:colOff>
      <xdr:row>1</xdr:row>
      <xdr:rowOff>54429</xdr:rowOff>
    </xdr:from>
    <xdr:to>
      <xdr:col>36</xdr:col>
      <xdr:colOff>360201</xdr:colOff>
      <xdr:row>8</xdr:row>
      <xdr:rowOff>150941</xdr:rowOff>
    </xdr:to>
    <xdr:grpSp>
      <xdr:nvGrpSpPr>
        <xdr:cNvPr id="28" name="Gruppo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GrpSpPr/>
      </xdr:nvGrpSpPr>
      <xdr:grpSpPr>
        <a:xfrm>
          <a:off x="7776" y="218782"/>
          <a:ext cx="33686190" cy="1217100"/>
          <a:chOff x="509047" y="348792"/>
          <a:chExt cx="11133056" cy="1366886"/>
        </a:xfrm>
      </xdr:grpSpPr>
      <xdr:sp macro="" textlink="">
        <xdr:nvSpPr>
          <xdr:cNvPr id="29" name="Rettangolo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Fund Position</a:t>
            </a:r>
          </a:p>
        </xdr:txBody>
      </xdr:sp>
      <xdr:pic>
        <xdr:nvPicPr>
          <xdr:cNvPr id="30" name="Immagine 29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80442" cy="595134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431800</xdr:colOff>
      <xdr:row>5</xdr:row>
      <xdr:rowOff>132538</xdr:rowOff>
    </xdr:to>
    <xdr:grpSp>
      <xdr:nvGrpSpPr>
        <xdr:cNvPr id="22" name="Grupp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0" y="0"/>
          <a:ext cx="16706615" cy="1034081"/>
          <a:chOff x="509047" y="348792"/>
          <a:chExt cx="11133056" cy="1366886"/>
        </a:xfrm>
      </xdr:grpSpPr>
      <xdr:sp macro="" textlink="">
        <xdr:nvSpPr>
          <xdr:cNvPr id="23" name="Rettangolo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ysClr val="window" lastClr="FFFFFF"/>
              </a:gs>
              <a:gs pos="25000">
                <a:sysClr val="window" lastClr="FFFFFF"/>
              </a:gs>
              <a:gs pos="0">
                <a:srgbClr val="4BACC6">
                  <a:lumMod val="0"/>
                  <a:lumOff val="100000"/>
                </a:srgbClr>
              </a:gs>
              <a:gs pos="96460">
                <a:sysClr val="window" lastClr="FFFFFF"/>
              </a:gs>
              <a:gs pos="50000">
                <a:srgbClr val="4BACC6">
                  <a:lumMod val="75000"/>
                </a:srgbClr>
              </a:gs>
            </a:gsLst>
            <a:lin ang="0" scaled="1"/>
            <a:tileRect/>
          </a:gradFill>
          <a:ln w="25400" cap="flat" cmpd="sng" algn="ctr">
            <a:noFill/>
            <a:prstDash val="solid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it-IT" sz="3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Subscription / Redemption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it-IT" sz="3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pic>
        <xdr:nvPicPr>
          <xdr:cNvPr id="24" name="Immagine 23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152400</xdr:rowOff>
    </xdr:from>
    <xdr:to>
      <xdr:col>12</xdr:col>
      <xdr:colOff>367095</xdr:colOff>
      <xdr:row>7</xdr:row>
      <xdr:rowOff>110313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142875" y="152400"/>
          <a:ext cx="11805033" cy="1124726"/>
          <a:chOff x="509047" y="348792"/>
          <a:chExt cx="11133056" cy="1366886"/>
        </a:xfrm>
      </xdr:grpSpPr>
      <xdr:sp macro="" textlink="">
        <xdr:nvSpPr>
          <xdr:cNvPr id="4" name="Rettangolo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Flow</a:t>
            </a:r>
          </a:p>
        </xdr:txBody>
      </xdr:sp>
      <xdr:pic>
        <xdr:nvPicPr>
          <xdr:cNvPr id="5" name="Immagin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180975</xdr:rowOff>
    </xdr:from>
    <xdr:to>
      <xdr:col>10</xdr:col>
      <xdr:colOff>348045</xdr:colOff>
      <xdr:row>6</xdr:row>
      <xdr:rowOff>129363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85725" y="180975"/>
          <a:ext cx="12154963" cy="1036959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Management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85725</xdr:rowOff>
    </xdr:from>
    <xdr:to>
      <xdr:col>17</xdr:col>
      <xdr:colOff>561975</xdr:colOff>
      <xdr:row>6</xdr:row>
      <xdr:rowOff>34113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23825" y="85725"/>
          <a:ext cx="13658850" cy="1053288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 sz="3000" baseline="0"/>
          </a:p>
          <a:p>
            <a:pPr algn="ctr"/>
            <a:r>
              <a:rPr lang="it-IT" sz="3000" baseline="0"/>
              <a:t>Currencies check</a:t>
            </a:r>
          </a:p>
          <a:p>
            <a:pPr algn="ctr"/>
            <a:endParaRPr lang="it-IT" sz="3000"/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66675</xdr:colOff>
      <xdr:row>13</xdr:row>
      <xdr:rowOff>133350</xdr:rowOff>
    </xdr:from>
    <xdr:to>
      <xdr:col>5</xdr:col>
      <xdr:colOff>185737</xdr:colOff>
      <xdr:row>16</xdr:row>
      <xdr:rowOff>188792</xdr:rowOff>
    </xdr:to>
    <xdr:sp macro="" textlink="">
      <xdr:nvSpPr>
        <xdr:cNvPr id="5" name="Pulsante Avanti" descr="Altri dettagli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676275" y="2609850"/>
          <a:ext cx="3519487" cy="62694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BUY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CURRENCY 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85725</xdr:rowOff>
    </xdr:from>
    <xdr:to>
      <xdr:col>25</xdr:col>
      <xdr:colOff>152461</xdr:colOff>
      <xdr:row>7</xdr:row>
      <xdr:rowOff>20778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238125" y="85725"/>
          <a:ext cx="20805836" cy="1078053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Dividend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323850</xdr:colOff>
      <xdr:row>1</xdr:row>
      <xdr:rowOff>38099</xdr:rowOff>
    </xdr:from>
    <xdr:to>
      <xdr:col>25</xdr:col>
      <xdr:colOff>0</xdr:colOff>
      <xdr:row>3</xdr:row>
      <xdr:rowOff>38099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pSpPr/>
      </xdr:nvGrpSpPr>
      <xdr:grpSpPr>
        <a:xfrm>
          <a:off x="16434707" y="201385"/>
          <a:ext cx="4456793" cy="326571"/>
          <a:chOff x="9920287" y="244248"/>
          <a:chExt cx="1755322" cy="333375"/>
        </a:xfrm>
      </xdr:grpSpPr>
      <xdr:sp macro="[0]!LookForEquityDVD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Equity List</a:t>
            </a:r>
            <a:endParaRPr lang="it-IT" sz="1100"/>
          </a:p>
        </xdr:txBody>
      </xdr:sp>
      <xdr:sp macro="" textlink="">
        <xdr:nvSpPr>
          <xdr:cNvPr id="7" name="Oval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8" name="Freccia a destra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19</xdr:col>
      <xdr:colOff>361950</xdr:colOff>
      <xdr:row>4</xdr:row>
      <xdr:rowOff>85725</xdr:rowOff>
    </xdr:from>
    <xdr:to>
      <xdr:col>25</xdr:col>
      <xdr:colOff>0</xdr:colOff>
      <xdr:row>6</xdr:row>
      <xdr:rowOff>85725</xdr:rowOff>
    </xdr:to>
    <xdr:grpSp>
      <xdr:nvGrpSpPr>
        <xdr:cNvPr id="9" name="Gruppo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16472807" y="738868"/>
          <a:ext cx="4418693" cy="326571"/>
          <a:chOff x="9920287" y="244248"/>
          <a:chExt cx="1755322" cy="333375"/>
        </a:xfrm>
      </xdr:grpSpPr>
      <xdr:sp macro="[0]!LookForETFDvd" textlink="">
        <xdr:nvSpPr>
          <xdr:cNvPr id="10" name="Rettangolo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ETF List</a:t>
            </a:r>
            <a:endParaRPr lang="it-IT" sz="1100"/>
          </a:p>
        </xdr:txBody>
      </xdr:sp>
      <xdr:sp macro="[0]!LookForETFDvd" textlink="">
        <xdr:nvSpPr>
          <xdr:cNvPr id="11" name="Ovale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[0]!LookForETFDvd" textlink="">
        <xdr:nvSpPr>
          <xdr:cNvPr id="12" name="Freccia a destra 11">
            <a:extLst>
              <a:ext uri="{FF2B5EF4-FFF2-40B4-BE49-F238E27FC236}">
                <a16:creationId xmlns:a16="http://schemas.microsoft.com/office/drawing/2014/main" id="{00000000-0008-0000-1100-00000C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0</xdr:row>
      <xdr:rowOff>28575</xdr:rowOff>
    </xdr:from>
    <xdr:to>
      <xdr:col>11</xdr:col>
      <xdr:colOff>219075</xdr:colOff>
      <xdr:row>5</xdr:row>
      <xdr:rowOff>167463</xdr:rowOff>
    </xdr:to>
    <xdr:sp macro="" textlink="">
      <xdr:nvSpPr>
        <xdr:cNvPr id="2" name="Rettangol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33375" y="28575"/>
          <a:ext cx="10810875" cy="1091388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Forward</a:t>
          </a:r>
        </a:p>
      </xdr:txBody>
    </xdr:sp>
    <xdr:clientData/>
  </xdr:twoCellAnchor>
  <xdr:twoCellAnchor>
    <xdr:from>
      <xdr:col>7</xdr:col>
      <xdr:colOff>359568</xdr:colOff>
      <xdr:row>72</xdr:row>
      <xdr:rowOff>0</xdr:rowOff>
    </xdr:from>
    <xdr:to>
      <xdr:col>7</xdr:col>
      <xdr:colOff>735194</xdr:colOff>
      <xdr:row>74</xdr:row>
      <xdr:rowOff>4875</xdr:rowOff>
    </xdr:to>
    <xdr:sp macro="" textlink="">
      <xdr:nvSpPr>
        <xdr:cNvPr id="6" name="Ovale 5" descr="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7046118" y="13582650"/>
          <a:ext cx="3756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7</xdr:col>
      <xdr:colOff>397668</xdr:colOff>
      <xdr:row>75</xdr:row>
      <xdr:rowOff>114300</xdr:rowOff>
    </xdr:from>
    <xdr:to>
      <xdr:col>8</xdr:col>
      <xdr:colOff>1769</xdr:colOff>
      <xdr:row>77</xdr:row>
      <xdr:rowOff>119175</xdr:rowOff>
    </xdr:to>
    <xdr:sp macro="" textlink="">
      <xdr:nvSpPr>
        <xdr:cNvPr id="7" name="Ovale 7" descr="1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7084218" y="13582650"/>
          <a:ext cx="4518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4</xdr:col>
      <xdr:colOff>471487</xdr:colOff>
      <xdr:row>34</xdr:row>
      <xdr:rowOff>179267</xdr:rowOff>
    </xdr:to>
    <xdr:sp macro="" textlink="">
      <xdr:nvSpPr>
        <xdr:cNvPr id="9" name="Pulsante Avanti" descr="Altri dettagli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809625" y="13582650"/>
          <a:ext cx="3767137" cy="0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 - YEN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359568</xdr:colOff>
      <xdr:row>72</xdr:row>
      <xdr:rowOff>0</xdr:rowOff>
    </xdr:from>
    <xdr:to>
      <xdr:col>7</xdr:col>
      <xdr:colOff>735194</xdr:colOff>
      <xdr:row>74</xdr:row>
      <xdr:rowOff>4875</xdr:rowOff>
    </xdr:to>
    <xdr:sp macro="" textlink="">
      <xdr:nvSpPr>
        <xdr:cNvPr id="13" name="Ovale 5" descr="1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7452518" y="9118600"/>
          <a:ext cx="3756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7</xdr:col>
      <xdr:colOff>397668</xdr:colOff>
      <xdr:row>75</xdr:row>
      <xdr:rowOff>114300</xdr:rowOff>
    </xdr:from>
    <xdr:to>
      <xdr:col>8</xdr:col>
      <xdr:colOff>1769</xdr:colOff>
      <xdr:row>77</xdr:row>
      <xdr:rowOff>119175</xdr:rowOff>
    </xdr:to>
    <xdr:sp macro="" textlink="">
      <xdr:nvSpPr>
        <xdr:cNvPr id="14" name="Ovale 7" descr="1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7490618" y="9118600"/>
          <a:ext cx="493101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4</xdr:col>
      <xdr:colOff>471487</xdr:colOff>
      <xdr:row>34</xdr:row>
      <xdr:rowOff>179267</xdr:rowOff>
    </xdr:to>
    <xdr:sp macro="" textlink="">
      <xdr:nvSpPr>
        <xdr:cNvPr id="16" name="Pulsante Avanti" descr="Altri dettagli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838200" y="9118600"/>
          <a:ext cx="3913187" cy="0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 - YEN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133351</xdr:colOff>
      <xdr:row>0</xdr:row>
      <xdr:rowOff>114300</xdr:rowOff>
    </xdr:from>
    <xdr:to>
      <xdr:col>22</xdr:col>
      <xdr:colOff>752476</xdr:colOff>
      <xdr:row>6</xdr:row>
      <xdr:rowOff>38100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901701" y="114300"/>
          <a:ext cx="18462625" cy="1028700"/>
          <a:chOff x="509047" y="348792"/>
          <a:chExt cx="11133056" cy="1366886"/>
        </a:xfrm>
      </xdr:grpSpPr>
      <xdr:sp macro="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Equity Orders Register</a:t>
            </a:r>
            <a:endParaRPr lang="it-IT" sz="3000"/>
          </a:p>
        </xdr:txBody>
      </xdr:sp>
      <xdr:pic>
        <xdr:nvPicPr>
          <xdr:cNvPr id="7" name="Immagin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1" y="697230"/>
            <a:ext cx="1626708" cy="835383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</xdr:row>
      <xdr:rowOff>0</xdr:rowOff>
    </xdr:from>
    <xdr:to>
      <xdr:col>26</xdr:col>
      <xdr:colOff>514350</xdr:colOff>
      <xdr:row>6</xdr:row>
      <xdr:rowOff>114300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pSpPr/>
      </xdr:nvGrpSpPr>
      <xdr:grpSpPr>
        <a:xfrm>
          <a:off x="161925" y="184150"/>
          <a:ext cx="17529175" cy="1035050"/>
          <a:chOff x="509047" y="348792"/>
          <a:chExt cx="11133056" cy="1366886"/>
        </a:xfrm>
      </xdr:grpSpPr>
      <xdr:sp macro="" textlink="">
        <xdr:nvSpPr>
          <xdr:cNvPr id="5" name="Rettangolo 4">
            <a:extLst>
              <a:ext uri="{FF2B5EF4-FFF2-40B4-BE49-F238E27FC236}">
                <a16:creationId xmlns:a16="http://schemas.microsoft.com/office/drawing/2014/main" id="{00000000-0008-0000-1400-000005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Bond Orders Register</a:t>
            </a:r>
            <a:endParaRPr lang="it-IT" sz="3000"/>
          </a:p>
        </xdr:txBody>
      </xdr:sp>
      <xdr:pic>
        <xdr:nvPicPr>
          <xdr:cNvPr id="6" name="Immagine 5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24</xdr:col>
      <xdr:colOff>152400</xdr:colOff>
      <xdr:row>5</xdr:row>
      <xdr:rowOff>180975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33350" y="66675"/>
          <a:ext cx="8829675" cy="1066800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 baseline="0"/>
            <a:t> Fund/ETF Orders Register</a:t>
          </a:r>
          <a:endParaRPr lang="it-IT" sz="3000"/>
        </a:p>
      </xdr:txBody>
    </xdr:sp>
    <xdr:clientData/>
  </xdr:twoCellAnchor>
  <xdr:twoCellAnchor>
    <xdr:from>
      <xdr:col>0</xdr:col>
      <xdr:colOff>200025</xdr:colOff>
      <xdr:row>1</xdr:row>
      <xdr:rowOff>123825</xdr:rowOff>
    </xdr:from>
    <xdr:to>
      <xdr:col>3</xdr:col>
      <xdr:colOff>858317</xdr:colOff>
      <xdr:row>4</xdr:row>
      <xdr:rowOff>16803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314325"/>
          <a:ext cx="2229917" cy="46447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21</xdr:row>
          <xdr:rowOff>107950</xdr:rowOff>
        </xdr:from>
        <xdr:to>
          <xdr:col>8</xdr:col>
          <xdr:colOff>571500</xdr:colOff>
          <xdr:row>23</xdr:row>
          <xdr:rowOff>184150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Depositary file to xlsx.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25</xdr:row>
          <xdr:rowOff>57150</xdr:rowOff>
        </xdr:from>
        <xdr:to>
          <xdr:col>8</xdr:col>
          <xdr:colOff>590550</xdr:colOff>
          <xdr:row>27</xdr:row>
          <xdr:rowOff>114300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8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List Contents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cheam-my.sharepoint.com/personal/andrea_andreis_nicheam_com/Documents/Fund%20Management/____Asian%20Niches%20Fund/_Asian%20Niches%20Investment%20Management%20System/_PAN_Investment%20Management%20System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"/>
      <sheetName val="Sanctioned_List"/>
      <sheetName val="Broker_List"/>
      <sheetName val="Pre-Check BUY"/>
      <sheetName val="Pre-check SELL"/>
      <sheetName val="TradesEquity"/>
      <sheetName val="TradesBond"/>
      <sheetName val="TradesFundETF"/>
      <sheetName val="PosAggregate"/>
      <sheetName val="CashFlow"/>
      <sheetName val="Cash Mgmt"/>
      <sheetName val="Forward"/>
      <sheetName val="Dvd"/>
      <sheetName val="Cpn"/>
      <sheetName val="Curr"/>
      <sheetName val="ShrsOrdReg"/>
      <sheetName val="BondOrdReg"/>
      <sheetName val="FundOrdReg"/>
      <sheetName val="_PAN_Investment Management Syst"/>
    </sheetNames>
    <sheetDataSet>
      <sheetData sheetId="0"/>
      <sheetData sheetId="1"/>
      <sheetData sheetId="2">
        <row r="14">
          <cell r="A14" t="str">
            <v>Broker List</v>
          </cell>
        </row>
        <row r="15">
          <cell r="A15" t="str">
            <v>Not specified</v>
          </cell>
        </row>
        <row r="16">
          <cell r="A16" t="str">
            <v>Equita Sim</v>
          </cell>
        </row>
        <row r="17">
          <cell r="A17" t="str">
            <v>Kepler Cheuvreux</v>
          </cell>
        </row>
        <row r="18">
          <cell r="A18" t="str">
            <v>DBS Vickers</v>
          </cell>
        </row>
        <row r="19">
          <cell r="A19" t="str">
            <v>Samsung Securities</v>
          </cell>
        </row>
        <row r="20">
          <cell r="A20" t="str">
            <v>GMSA</v>
          </cell>
        </row>
        <row r="21">
          <cell r="A21" t="str">
            <v>EDR</v>
          </cell>
        </row>
      </sheetData>
      <sheetData sheetId="3"/>
      <sheetData sheetId="4"/>
      <sheetData sheetId="5"/>
      <sheetData sheetId="6"/>
      <sheetData sheetId="7"/>
      <sheetData sheetId="8">
        <row r="13">
          <cell r="A13" t="str">
            <v>JP3866800000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13.503151736113" createdVersion="7" refreshedVersion="8" minRefreshableVersion="3" recordCount="279" xr:uid="{182EF22D-ABAB-40B9-82CC-474047CC252C}">
  <cacheSource type="worksheet">
    <worksheetSource ref="AH12:AJ291" sheet="PosAggregate"/>
  </cacheSource>
  <cacheFields count="3">
    <cacheField name="ID_BB_ULTIMATE_PARENT_CO_NAME" numFmtId="0">
      <sharedItems containsBlank="1"/>
    </cacheField>
    <cacheField name="CAST_PARENT_ID" numFmtId="0">
      <sharedItems containsDate="1" containsBlank="1" containsMixedTypes="1" minDate="1899-12-30T00:00:00" maxDate="1899-12-31T00:00:00" count="58">
        <s v="Panasonic Holdings Corp"/>
        <s v="Sumitomo Metal Mining Co Ltd"/>
        <s v="Sumitomo Chemical Co Ltd"/>
        <s v="Nippon Chemical Industrial Co"/>
        <s v="Toda Kogyo Corp"/>
        <s v="Showa Denko KK"/>
        <s v="Nippon Carbon Co Ltd"/>
        <s v="Toyo Tanso Co Ltd"/>
        <s v="Teijin Ltd"/>
        <s v="LG Chem Ltd"/>
        <s v="Samsung SDI Co Ltd"/>
        <m/>
        <s v="SK Innovation Co Ltd"/>
        <s v="Soulbrain Holdings Co Ltd"/>
        <s v="Groupe Bruxelles Lambert SA"/>
        <s v="Eramet SA"/>
        <s v="Valeo"/>
        <s v="Continental AG"/>
        <s v="Renault SA"/>
        <s v="Nickel 28 Capital Corp"/>
        <s v="Syrah Resources Ltd"/>
        <s v="Alelion Energy Systems AB"/>
        <s v="GrafTech International Ltd"/>
        <s v="Beijing Automotive Group Co Lt"/>
        <s v="Nihon Kagaku Sangyo Co Ltd"/>
        <s v="MMC Norilsk Nickel PJSC"/>
        <s v="Stella Chemifa Corp"/>
        <s v="Volkswagen AG"/>
        <s v="Glencore PLC"/>
        <s v="SNT Motiv Co Ltd"/>
        <s v="POSCO Holdings Inc"/>
        <s v="SFA Engineering Corp"/>
        <s v="Kureha Corp"/>
        <s v="Zeon Corp"/>
        <s v="Toshiba Corp"/>
        <s v="Bushveld Minerals Ltd"/>
        <s v="Nippon Denko Co Ltd"/>
        <s v="Kanto Denka Kogyo Co Ltd"/>
        <s v="Techno Smart Corp"/>
        <s v="Sansha Electric Manufacturing"/>
        <s v="Central Glass Co Ltd"/>
        <s v="Sandfire Resources Ltd"/>
        <s v="Taiheiyo Cement Corp"/>
        <s v="TDK Corp"/>
        <s v="Vitesco Technologies Group AG"/>
        <s v="IHI Corp"/>
        <s v="Asahi Kasei Corp"/>
        <s v="Dowa Holdings Co Ltd"/>
        <s v="Mitsubishi Materials Corp"/>
        <d v="1899-12-30T00:00:00"/>
        <s v="Panasonic Corp" u="1"/>
        <s v="POSCO" u="1"/>
        <s v="S&amp;T Motiv Co Ltd" u="1"/>
        <s v="Sumitomo Corp" u="1"/>
        <s v="Ford Motor Co" u="1"/>
        <s v="Sumitomo Osaka Cement Co Ltd" u="1"/>
        <s v="Parjointco NV" u="1"/>
        <s v="Western Areas Ltd" u="1"/>
      </sharedItems>
    </cacheField>
    <cacheField name="% Wgt (P)" numFmtId="0">
      <sharedItems containsString="0" containsBlank="1" containsNumber="1" minValue="0" maxValue="7.819205545047544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36.460911111113" createdVersion="7" refreshedVersion="8" minRefreshableVersion="3" recordCount="96" xr:uid="{E1B8E30B-2760-44BE-A472-8A1E77C57226}">
  <cacheSource type="worksheet">
    <worksheetSource ref="A1:AA1048576" sheet="NAV"/>
  </cacheSource>
  <cacheFields count="27">
    <cacheField name="Fund ID BPERE" numFmtId="0">
      <sharedItems containsBlank="1"/>
    </cacheField>
    <cacheField name="Internal Fund ID" numFmtId="0">
      <sharedItems containsBlank="1"/>
    </cacheField>
    <cacheField name="Fund Name" numFmtId="0">
      <sharedItems containsBlank="1"/>
    </cacheField>
    <cacheField name="TNA" numFmtId="0">
      <sharedItems containsString="0" containsBlank="1" containsNumber="1" minValue="17676760.780000001" maxValue="17676760.780000001"/>
    </cacheField>
    <cacheField name="NAV Date" numFmtId="0">
      <sharedItems containsNonDate="0" containsDate="1" containsString="0" containsBlank="1" minDate="2022-06-22T00:00:00" maxDate="2022-06-23T00:00:00"/>
    </cacheField>
    <cacheField name="Account detail" numFmtId="0">
      <sharedItems containsBlank="1"/>
    </cacheField>
    <cacheField name="Asset type" numFmtId="0">
      <sharedItems containsBlank="1" count="5">
        <s v="COUPONS, DIVIDENDS                                "/>
        <s v="FORWARD EXCHANGE CONTRACTS                        "/>
        <s v="SECURITIES PORTFOLIO                              "/>
        <s v="TREASURY POSITION                                 "/>
        <m/>
      </sharedItems>
    </cacheField>
    <cacheField name="Sub-Account ID" numFmtId="0">
      <sharedItems containsBlank="1"/>
    </cacheField>
    <cacheField name="Securities Description" numFmtId="0">
      <sharedItems containsBlank="1"/>
    </cacheField>
    <cacheField name="ISIN" numFmtId="0">
      <sharedItems containsBlank="1" count="85">
        <s v="JP3134800006                                      "/>
        <s v="JP3147200004                                      "/>
        <s v="JP3232600001                                      "/>
        <s v="JP3402600005                                      "/>
        <s v="JP3449020001                                      "/>
        <s v="JP3538800008                                      "/>
        <s v="JP3691600005                                      "/>
        <s v="JP3725400000                                      "/>
        <s v="US3843135084                                      "/>
        <s v="ICAT0001IDU3"/>
        <s v="ICAT0001IDU5"/>
        <s v="AU000000SFR8                                      "/>
        <s v="AU000000SYR9                                      "/>
        <s v="CA65401N1078                                      "/>
        <s v="CNE100001TJ4                                      "/>
        <s v="DE0005439004                                      "/>
        <s v="DE0007664039                                      "/>
        <s v="DE000VTSC017                                      "/>
        <s v="FR0000120859                                      "/>
        <s v="FR0000131757                                      "/>
        <s v="FR0000131906                                      "/>
        <s v="FR0013176526                                      "/>
        <s v="GG00B4TM3943                                      "/>
        <s v="JE00B4T3BW64                                      "/>
        <s v="JP3111200006                                      "/>
        <s v="JP3271600003                                      "/>
        <s v="JP3332600000                                      "/>
        <s v="JP3368000000                                      "/>
        <s v="JP3399720006                                      "/>
        <s v="JP3401400001                                      "/>
        <s v="JP3425000001                                      "/>
        <s v="JP3468810001                                      "/>
        <s v="JP3544000007                                      "/>
        <s v="JP3592200004                                      "/>
        <s v="JP3627400009                                      "/>
        <s v="JP3638600001                                      "/>
        <s v="JP3690400001                                      "/>
        <s v="JP3692000007                                      "/>
        <s v="JP3734600004                                      "/>
        <s v="JP3827200001                                      "/>
        <s v="JP3866800000                                      "/>
        <s v="JP3903000002                                      "/>
        <s v="KR7005490008                                      "/>
        <s v="KR7006401004                                      "/>
        <s v="KR7036830008                                      "/>
        <s v="KR7051911006                                      "/>
        <s v="KR7056190002                                      "/>
        <s v="KR7064960008                                      "/>
        <s v="KR7096770003                                      "/>
        <s v="KR7096771001                                      "/>
        <s v="SE0008348072                                      "/>
        <s v="US55315J1025                                      "/>
        <s v="AF101EUR    "/>
        <s v="BK0Y9EUR    "/>
        <s v="BK0Y9JPY    "/>
        <s v="BK0Y9USD    "/>
        <s v="FA101EUR    "/>
        <s v="FP219EUR    "/>
        <s v="FP225EUR    "/>
        <s v="FP301EURC1  "/>
        <s v="FP301EURC2  "/>
        <s v="FP301EURC7  "/>
        <s v="FP306EUR    "/>
        <s v="FP402EURC1  "/>
        <s v="FP501EUR    "/>
        <s v="FP603EURC1  "/>
        <s v="FP603EURC2  "/>
        <s v="FP603EURC7  "/>
        <s v="FP801EUR    "/>
        <s v="MA0Y9EUR    "/>
        <s v="PUEUR       "/>
        <s v="PXJPY       "/>
        <s v="RXEUR       "/>
        <m/>
        <s v="RSJPY       " u="1"/>
        <s v="PXUSD       " u="1"/>
        <s v="ICAT0001FXDL" u="1"/>
        <s v="RUEUR       " u="1"/>
        <s v="ICAT0001G923" u="1"/>
        <s v="PXEUR       " u="1"/>
        <s v="ICAT0001G926" u="1"/>
        <s v="RXJPY       " u="1"/>
        <s v="PF306EUR    " u="1"/>
        <s v="PSJPY       " u="1"/>
        <s v="PF501EUR    " u="1"/>
      </sharedItems>
    </cacheField>
    <cacheField name="BBG" numFmtId="0">
      <sharedItems containsBlank="1"/>
    </cacheField>
    <cacheField name="Qty" numFmtId="0">
      <sharedItems containsString="0" containsBlank="1" containsNumber="1" minValue="-739000000" maxValue="5232228.83"/>
    </cacheField>
    <cacheField name="Price" numFmtId="0">
      <sharedItems containsString="0" containsBlank="1" containsNumber="1" minValue="0" maxValue="277500"/>
    </cacheField>
    <cacheField name="Amount in fund CCY" numFmtId="0">
      <sharedItems containsString="0" containsBlank="1" containsNumber="1" minValue="-5132533.03" maxValue="5232228.83"/>
    </cacheField>
    <cacheField name="Interest in fund CCY" numFmtId="0">
      <sharedItems containsString="0" containsBlank="1" containsNumber="1" minValue="-207.43" maxValue="7.0000000000000007E-2"/>
    </cacheField>
    <cacheField name="Fund CCY" numFmtId="0">
      <sharedItems containsBlank="1"/>
    </cacheField>
    <cacheField name="Amount in sec. CCY" numFmtId="0">
      <sharedItems containsString="0" containsBlank="1" containsNumber="1" minValue="-739000000" maxValue="1725250000"/>
    </cacheField>
    <cacheField name="Interest in sec. CCY" numFmtId="0">
      <sharedItems containsString="0" containsBlank="1" containsNumber="1" minValue="-207.43" maxValue="10"/>
    </cacheField>
    <cacheField name="Securities CCY" numFmtId="0">
      <sharedItems containsBlank="1"/>
    </cacheField>
    <cacheField name="Unrealised in fund " numFmtId="0">
      <sharedItems containsString="0" containsBlank="1" containsNumber="1" minValue="-400111.83" maxValue="266594.65000000002"/>
    </cacheField>
    <cacheField name="Weight" numFmtId="0">
      <sharedItems containsString="0" containsBlank="1" containsNumber="1" minValue="-29.035484" maxValue="29.599477"/>
    </cacheField>
    <cacheField name="FX rate" numFmtId="0">
      <sharedItems containsString="0" containsBlank="1" containsNumber="1" minValue="0.86085" maxValue="1374.8959"/>
    </cacheField>
    <cacheField name="Maturity date" numFmtId="0">
      <sharedItems containsDate="1" containsBlank="1" containsMixedTypes="1" minDate="2022-09-16T00:00:00" maxDate="2022-09-17T00:00:00"/>
    </cacheField>
    <cacheField name="Asset class" numFmtId="0">
      <sharedItems containsBlank="1"/>
    </cacheField>
    <cacheField name="Country" numFmtId="0">
      <sharedItems containsBlank="1"/>
    </cacheField>
    <cacheField name="Asset held outside BPERE" numFmtId="0">
      <sharedItems containsBlank="1"/>
    </cacheField>
    <cacheField name="Custodian 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36.460941550926" createdVersion="7" refreshedVersion="8" minRefreshableVersion="3" recordCount="96" xr:uid="{E281A8E0-B136-487C-87A2-AD7501769A6E}">
  <cacheSource type="worksheet">
    <worksheetSource ref="G1:V1048576" sheet="NAV"/>
  </cacheSource>
  <cacheFields count="16">
    <cacheField name="Asset type" numFmtId="0">
      <sharedItems containsBlank="1" count="5">
        <s v="COUPONS, DIVIDENDS                                "/>
        <s v="FORWARD EXCHANGE CONTRACTS                        "/>
        <s v="SECURITIES PORTFOLIO                              "/>
        <s v="TREASURY POSITION                                 "/>
        <m/>
      </sharedItems>
    </cacheField>
    <cacheField name="Sub-Account ID" numFmtId="0">
      <sharedItems containsBlank="1"/>
    </cacheField>
    <cacheField name="Securities Description" numFmtId="0">
      <sharedItems containsBlank="1"/>
    </cacheField>
    <cacheField name="ISIN" numFmtId="0">
      <sharedItems containsBlank="1"/>
    </cacheField>
    <cacheField name="BBG" numFmtId="0">
      <sharedItems containsBlank="1"/>
    </cacheField>
    <cacheField name="Qty" numFmtId="0">
      <sharedItems containsString="0" containsBlank="1" containsNumber="1" minValue="-739000000" maxValue="5232228.83"/>
    </cacheField>
    <cacheField name="Price" numFmtId="0">
      <sharedItems containsString="0" containsBlank="1" containsNumber="1" minValue="0" maxValue="277500"/>
    </cacheField>
    <cacheField name="Amount in fund CCY" numFmtId="0">
      <sharedItems containsString="0" containsBlank="1" containsNumber="1" minValue="-5132533.03" maxValue="5232228.83"/>
    </cacheField>
    <cacheField name="Interest in fund CCY" numFmtId="0">
      <sharedItems containsString="0" containsBlank="1" containsNumber="1" minValue="-207.43" maxValue="7.0000000000000007E-2"/>
    </cacheField>
    <cacheField name="Fund CCY" numFmtId="0">
      <sharedItems containsBlank="1"/>
    </cacheField>
    <cacheField name="Amount in sec. CCY" numFmtId="0">
      <sharedItems containsString="0" containsBlank="1" containsNumber="1" minValue="-739000000" maxValue="1725250000"/>
    </cacheField>
    <cacheField name="Interest in sec. CCY" numFmtId="0">
      <sharedItems containsString="0" containsBlank="1" containsNumber="1" minValue="-207.43" maxValue="10"/>
    </cacheField>
    <cacheField name="Securities CCY" numFmtId="0">
      <sharedItems containsBlank="1" count="10">
        <s v="JPY"/>
        <s v="USD"/>
        <s v="EUR"/>
        <s v="AUD"/>
        <s v="CAD"/>
        <s v="HKD"/>
        <s v="GBP"/>
        <s v="KRW"/>
        <s v="SEK"/>
        <m/>
      </sharedItems>
    </cacheField>
    <cacheField name="Unrealised in fund " numFmtId="0">
      <sharedItems containsString="0" containsBlank="1" containsNumber="1" minValue="-400111.83" maxValue="266594.65000000002"/>
    </cacheField>
    <cacheField name="Weight" numFmtId="0">
      <sharedItems containsString="0" containsBlank="1" containsNumber="1" minValue="-29.035484" maxValue="29.599477"/>
    </cacheField>
    <cacheField name="FX rate" numFmtId="0">
      <sharedItems containsString="0" containsBlank="1" containsNumber="1" minValue="0.86085" maxValue="1374.89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9">
  <r>
    <s v="Panasonic Holdings Corp"/>
    <x v="0"/>
    <n v="7.8192055450475445E-2"/>
  </r>
  <r>
    <s v="Sumitomo Metal Mining Co Ltd"/>
    <x v="1"/>
    <n v="6.4971065689130025E-2"/>
  </r>
  <r>
    <s v="Sumitomo Chemical Co Ltd"/>
    <x v="2"/>
    <n v="7.8275075794345741E-3"/>
  </r>
  <r>
    <s v="Nippon Chemical Industrial Co"/>
    <x v="3"/>
    <n v="1.7038833206433585E-2"/>
  </r>
  <r>
    <s v="Toda Kogyo Corp"/>
    <x v="4"/>
    <n v="5.8505237398894488E-2"/>
  </r>
  <r>
    <s v="Showa Denko KK"/>
    <x v="5"/>
    <n v="4.2796550315961815E-2"/>
  </r>
  <r>
    <s v="Nippon Carbon Co Ltd"/>
    <x v="6"/>
    <n v="5.9497913107048935E-3"/>
  </r>
  <r>
    <s v="Toyo Tanso Co Ltd"/>
    <x v="7"/>
    <n v="0"/>
  </r>
  <r>
    <s v="Sumitomo Chemical Co Ltd"/>
    <x v="2"/>
    <n v="6.1293045981086576E-3"/>
  </r>
  <r>
    <s v="Teijin Ltd"/>
    <x v="8"/>
    <n v="4.4008792986194298E-2"/>
  </r>
  <r>
    <s v="LG Chem Ltd"/>
    <x v="9"/>
    <n v="7.4014284164528821E-2"/>
  </r>
  <r>
    <s v="Samsung SDI Co Ltd"/>
    <x v="10"/>
    <n v="7.7398345562257869E-3"/>
  </r>
  <r>
    <m/>
    <x v="11"/>
    <m/>
  </r>
  <r>
    <s v="SK Innovation Co Ltd"/>
    <x v="12"/>
    <n v="4.5943031429873132E-2"/>
  </r>
  <r>
    <s v="Soulbrain Holdings Co Ltd"/>
    <x v="13"/>
    <n v="1.5411193415079974E-2"/>
  </r>
  <r>
    <s v="Groupe Bruxelles Lambert SA"/>
    <x v="14"/>
    <n v="7.2798547051613916E-3"/>
  </r>
  <r>
    <s v="Eramet SA"/>
    <x v="15"/>
    <n v="7.6998463227668564E-3"/>
  </r>
  <r>
    <s v="Valeo"/>
    <x v="16"/>
    <n v="4.4056696452856085E-2"/>
  </r>
  <r>
    <s v="Continental AG"/>
    <x v="17"/>
    <n v="1.8125900860822674E-2"/>
  </r>
  <r>
    <s v="Renault SA"/>
    <x v="18"/>
    <n v="2.250308622612638E-2"/>
  </r>
  <r>
    <s v="Nickel 28 Capital Corp"/>
    <x v="19"/>
    <n v="1.261184838917596E-3"/>
  </r>
  <r>
    <s v="Syrah Resources Ltd"/>
    <x v="20"/>
    <n v="3.3343382675309861E-2"/>
  </r>
  <r>
    <s v="Alelion Energy Systems AB"/>
    <x v="21"/>
    <n v="1.3993155711742812E-3"/>
  </r>
  <r>
    <s v="GrafTech International Ltd"/>
    <x v="22"/>
    <n v="5.7271848144494503E-3"/>
  </r>
  <r>
    <s v="Beijing Automotive Group Co Lt"/>
    <x v="23"/>
    <n v="2.1407683695510903E-2"/>
  </r>
  <r>
    <s v="Nihon Kagaku Sangyo Co Ltd"/>
    <x v="24"/>
    <n v="6.5243794801230284E-3"/>
  </r>
  <r>
    <s v="MMC Norilsk Nickel PJSC"/>
    <x v="25"/>
    <n v="0"/>
  </r>
  <r>
    <s v="Stella Chemifa Corp"/>
    <x v="26"/>
    <n v="1.3159088627757904E-2"/>
  </r>
  <r>
    <s v="Volkswagen AG"/>
    <x v="27"/>
    <n v="1.8175687745939972E-2"/>
  </r>
  <r>
    <s v="Glencore PLC"/>
    <x v="28"/>
    <n v="6.7900386996284576E-3"/>
  </r>
  <r>
    <s v="SNT Motiv Co Ltd"/>
    <x v="29"/>
    <n v="1.6002883971373793E-2"/>
  </r>
  <r>
    <s v="POSCO Holdings Inc"/>
    <x v="30"/>
    <n v="3.6080261095742756E-2"/>
  </r>
  <r>
    <s v="SFA Engineering Corp"/>
    <x v="31"/>
    <n v="2.678913042309574E-2"/>
  </r>
  <r>
    <s v="Kureha Corp"/>
    <x v="32"/>
    <n v="6.1720892051470803E-3"/>
  </r>
  <r>
    <s v="Zeon Corp"/>
    <x v="33"/>
    <n v="8.5671168885106935E-3"/>
  </r>
  <r>
    <s v="Toshiba Corp"/>
    <x v="34"/>
    <n v="8.8945374727570723E-3"/>
  </r>
  <r>
    <s v="Bushveld Minerals Ltd"/>
    <x v="35"/>
    <n v="2.2676180411362727E-3"/>
  </r>
  <r>
    <s v="Nippon Denko Co Ltd"/>
    <x v="36"/>
    <n v="9.1202217233308132E-3"/>
  </r>
  <r>
    <s v="Kanto Denka Kogyo Co Ltd"/>
    <x v="37"/>
    <n v="5.9239384843242293E-3"/>
  </r>
  <r>
    <s v="Techno Smart Corp"/>
    <x v="38"/>
    <n v="1.1094867884772222E-2"/>
  </r>
  <r>
    <s v="Sansha Electric Manufacturing"/>
    <x v="39"/>
    <n v="1.1331621514528668E-2"/>
  </r>
  <r>
    <s v="Central Glass Co Ltd"/>
    <x v="40"/>
    <n v="1.2111903509614929E-2"/>
  </r>
  <r>
    <s v="Sandfire Resources Ltd"/>
    <x v="41"/>
    <n v="1.5512805476378918E-2"/>
  </r>
  <r>
    <s v="Taiheiyo Cement Corp"/>
    <x v="42"/>
    <n v="1.5725072677117598E-2"/>
  </r>
  <r>
    <s v="TDK Corp"/>
    <x v="43"/>
    <n v="1.814431462744338E-2"/>
  </r>
  <r>
    <s v="Vitesco Technologies Group AG"/>
    <x v="44"/>
    <n v="4.0423435633888179E-2"/>
  </r>
  <r>
    <s v="IHI Corp"/>
    <x v="45"/>
    <n v="2.407954096553945E-2"/>
  </r>
  <r>
    <s v="Asahi Kasei Corp"/>
    <x v="46"/>
    <n v="4.2637136690758231E-3"/>
  </r>
  <r>
    <s v="Dowa Holdings Co Ltd"/>
    <x v="47"/>
    <n v="5.7136566922843229E-3"/>
  </r>
  <r>
    <s v="Mitsubishi Materials Corp"/>
    <x v="48"/>
    <n v="6.6722139521025979E-3"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s v="No universe defined."/>
    <x v="49"/>
    <n v="0"/>
  </r>
  <r>
    <s v="No universe defined."/>
    <x v="49"/>
    <n v="0"/>
  </r>
  <r>
    <s v="No universe defined.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s v="0044755"/>
    <s v="4542"/>
    <s v="PHARUS SICAV - ELECTRIC MOBILITY NICHES           "/>
    <n v="17676760.780000001"/>
    <d v="2022-06-22T00:00:00"/>
    <s v="Portfolio account"/>
    <x v="0"/>
    <s v="      "/>
    <s v="IHI CORP                                                    "/>
    <x v="0"/>
    <s v="7013 JT Equity"/>
    <n v="28700"/>
    <n v="0"/>
    <n v="6753.46"/>
    <n v="0"/>
    <s v="EUR"/>
    <n v="972184"/>
    <n v="0"/>
    <s v="JPY"/>
    <n v="-383.22"/>
    <n v="3.8205000000000003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INOUE KINZOKU                                               "/>
    <x v="1"/>
    <s v="6246 JT Equity"/>
    <n v="22000"/>
    <n v="0"/>
    <n v="3235.55"/>
    <n v="0"/>
    <s v="EUR"/>
    <n v="465768"/>
    <n v="0"/>
    <s v="JPY"/>
    <n v="-183.59"/>
    <n v="1.8304000000000001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KANTO DENKA KOGYO CO LTD                                    "/>
    <x v="2"/>
    <s v="4047 JT Equity"/>
    <n v="17000"/>
    <n v="0"/>
    <n v="1400.11"/>
    <n v="0"/>
    <s v="EUR"/>
    <n v="201550"/>
    <n v="0"/>
    <s v="JPY"/>
    <n v="-79.44"/>
    <n v="7.9209999999999992E-3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SUMITOMO METAL MINING CO LTD                                "/>
    <x v="3"/>
    <s v="5713 JT Equity"/>
    <n v="33000"/>
    <n v="0"/>
    <n v="28149.22"/>
    <n v="0"/>
    <s v="EUR"/>
    <n v="4052177"/>
    <n v="0"/>
    <s v="JPY"/>
    <n v="-1597.28"/>
    <n v="0.159244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TAIHEIYO CEMENT CORP                                        "/>
    <x v="4"/>
    <s v="5233 JT Equity"/>
    <n v="22000"/>
    <n v="0"/>
    <n v="4529.76"/>
    <n v="0"/>
    <s v="EUR"/>
    <n v="652075"/>
    <n v="0"/>
    <s v="JPY"/>
    <n v="-257.04000000000002"/>
    <n v="2.562599999999999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TDK CORP                                                    "/>
    <x v="5"/>
    <s v="6762 JT Equity"/>
    <n v="11000"/>
    <n v="0"/>
    <n v="2329.59"/>
    <n v="0"/>
    <s v="EUR"/>
    <n v="335353"/>
    <n v="0"/>
    <s v="JPY"/>
    <n v="-132.19"/>
    <n v="1.317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NIPPON CHEMIC.IND.                                          "/>
    <x v="6"/>
    <s v="4092 JT Equity"/>
    <n v="22000"/>
    <n v="0"/>
    <n v="4529.76"/>
    <n v="0"/>
    <s v="EUR"/>
    <n v="652075"/>
    <n v="0"/>
    <s v="JPY"/>
    <n v="-257.04000000000002"/>
    <n v="2.562599999999999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ZEON CORP                                                   "/>
    <x v="7"/>
    <s v="4205 JT Equity"/>
    <n v="17000"/>
    <n v="0"/>
    <n v="1500.12"/>
    <n v="0"/>
    <s v="EUR"/>
    <n v="215947"/>
    <n v="0"/>
    <s v="JPY"/>
    <n v="-85.12"/>
    <n v="8.4860000000000005E-3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GRAFTECH INTL                                               "/>
    <x v="8"/>
    <s v="EAF US Equity"/>
    <n v="14000"/>
    <n v="0"/>
    <n v="92.48"/>
    <n v="0"/>
    <s v="EUR"/>
    <n v="98"/>
    <n v="0"/>
    <s v="USD"/>
    <n v="0.98"/>
    <n v="5.2300000000000003E-4"/>
    <n v="1.05965"/>
    <s v=""/>
    <s v="Interest detached and Coupon"/>
    <s v="UNITED STATES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1"/>
    <s v="      "/>
    <s v="V/JPY/USD/20220916   RECU  "/>
    <x v="9"/>
    <s v=""/>
    <n v="747077.06"/>
    <n v="1"/>
    <n v="705022.47"/>
    <n v="0"/>
    <s v="EUR"/>
    <n v="747077.06"/>
    <n v="0"/>
    <s v="USD"/>
    <n v="-12596.34"/>
    <n v="3.9884140000000001"/>
    <n v="1.05965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USD/20220916   VERSE "/>
    <x v="9"/>
    <s v=""/>
    <n v="-100000000"/>
    <n v="7.4000000000000003E-3"/>
    <n v="-698631.23"/>
    <n v="0"/>
    <s v="EUR"/>
    <n v="-100000000"/>
    <n v="0"/>
    <s v="JPY"/>
    <n v="18987.580000000002"/>
    <n v="-3.952258"/>
    <n v="1.05965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EUR/20220916   RECU  "/>
    <x v="10"/>
    <s v=""/>
    <n v="5232228.83"/>
    <n v="1"/>
    <n v="5232228.83"/>
    <n v="0"/>
    <s v="EUR"/>
    <n v="5232228.83"/>
    <n v="0"/>
    <s v="EUR"/>
    <n v="-0.02"/>
    <n v="29.599477"/>
    <n v="1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EUR/20220916   VERSE "/>
    <x v="10"/>
    <s v=""/>
    <n v="-739000000"/>
    <n v="6.8999999999999999E-3"/>
    <n v="-5132533.03"/>
    <n v="0"/>
    <s v="EUR"/>
    <n v="-739000000"/>
    <n v="0"/>
    <s v="JPY"/>
    <n v="99695.82"/>
    <n v="-29.035484"/>
    <n v="1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2"/>
    <s v="      "/>
    <s v="SANDFIRE RESSOURCE LTD                                      "/>
    <x v="11"/>
    <s v="SFR AT Equity"/>
    <n v="84000"/>
    <n v="4.88"/>
    <n v="268606.25"/>
    <n v="0"/>
    <s v="EUR"/>
    <n v="409920"/>
    <n v="0"/>
    <s v="AUD"/>
    <n v="-11276"/>
    <n v="1.5195449999999999"/>
    <n v="1.5261"/>
    <m/>
    <s v="ACTION"/>
    <s v="AUSTRALIA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YRAH RESSOURCES LTD                                        "/>
    <x v="12"/>
    <s v="SYR AT Equity"/>
    <n v="600000"/>
    <n v="1.1599999999999999"/>
    <n v="456064.48"/>
    <n v="0"/>
    <s v="EUR"/>
    <n v="696000"/>
    <n v="0"/>
    <s v="AUD"/>
    <n v="266594.65000000002"/>
    <n v="2.5800230000000002"/>
    <n v="1.5261"/>
    <m/>
    <s v="ACTION"/>
    <s v="AUSTRALIA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CKEL 28 CAP - REGISTERED SHS                              "/>
    <x v="13"/>
    <s v="NKL CV Equity"/>
    <n v="24000"/>
    <n v="1.17"/>
    <n v="20479.91"/>
    <n v="0"/>
    <s v="EUR"/>
    <n v="28080"/>
    <n v="0"/>
    <s v="CAD"/>
    <n v="-36031.17"/>
    <n v="0.115858"/>
    <n v="1.3711"/>
    <m/>
    <s v="ACTION"/>
    <s v="CANADA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BAIC MOTOR -H- UNITARY 144A/REGS                            "/>
    <x v="14"/>
    <s v="1958 HK Equity"/>
    <n v="1420000"/>
    <n v="2.58"/>
    <n v="440429.18"/>
    <n v="0"/>
    <s v="EUR"/>
    <n v="3663600"/>
    <n v="0"/>
    <s v="HKD"/>
    <n v="-18477.97"/>
    <n v="2.4915720000000001"/>
    <n v="8.3182500000000008"/>
    <m/>
    <s v="ACTION"/>
    <s v="CHINA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CONTINENTAL AG                                              "/>
    <x v="15"/>
    <s v="CON GY Equity"/>
    <n v="5000"/>
    <n v="70.84"/>
    <n v="354200"/>
    <n v="0"/>
    <s v="EUR"/>
    <n v="354200"/>
    <n v="0"/>
    <s v="EUR"/>
    <n v="-89031.44"/>
    <n v="2.0037609999999999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OLKSWAGEN AG VORZ.AKT                                      "/>
    <x v="16"/>
    <s v="VOW3 GY Equity"/>
    <n v="2270"/>
    <n v="144.4"/>
    <n v="327788"/>
    <n v="0"/>
    <s v="EUR"/>
    <n v="327788"/>
    <n v="0"/>
    <s v="EUR"/>
    <n v="-69310.53"/>
    <n v="1.854344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ITESCO TECHNOLOGIES GROUP                                  "/>
    <x v="17"/>
    <s v="VTSC GY Equity"/>
    <n v="17400"/>
    <n v="42.06"/>
    <n v="731844"/>
    <n v="0"/>
    <s v="EUR"/>
    <n v="731844"/>
    <n v="0"/>
    <s v="EUR"/>
    <n v="-80775.42"/>
    <n v="4.1401479999999999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MERYS SA                                                   "/>
    <x v="18"/>
    <s v="NK FP Equity"/>
    <n v="4200"/>
    <n v="30.06"/>
    <n v="126252"/>
    <n v="0"/>
    <s v="EUR"/>
    <n v="126252"/>
    <n v="0"/>
    <s v="EUR"/>
    <n v="-27329.61"/>
    <n v="0.71422600000000003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ERAMET SA                                                   "/>
    <x v="19"/>
    <s v="ERA FP Equity"/>
    <n v="1100"/>
    <n v="103.4"/>
    <n v="113740"/>
    <n v="0"/>
    <s v="EUR"/>
    <n v="113740"/>
    <n v="0"/>
    <s v="EUR"/>
    <n v="65734.11"/>
    <n v="0.64344400000000002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RENAULT SA                                                  "/>
    <x v="20"/>
    <s v="RNO FP Equity"/>
    <n v="17000"/>
    <n v="26.135000000000002"/>
    <n v="444295"/>
    <n v="0"/>
    <s v="EUR"/>
    <n v="444295"/>
    <n v="0"/>
    <s v="EUR"/>
    <n v="-45452.75"/>
    <n v="2.5134409999999998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ALEO SA                                                    "/>
    <x v="21"/>
    <s v="FR FP Equity"/>
    <n v="42000"/>
    <n v="20.03"/>
    <n v="841260"/>
    <n v="0"/>
    <s v="EUR"/>
    <n v="841260"/>
    <n v="0"/>
    <s v="EUR"/>
    <n v="-155405.89000000001"/>
    <n v="4.7591299999999999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BUSHVELD MINERALS LIMITED                                   "/>
    <x v="22"/>
    <s v="BMN LN Equity"/>
    <n v="420000"/>
    <n v="6.8000000000000005E-2"/>
    <n v="33176.51"/>
    <n v="0"/>
    <s v="EUR"/>
    <n v="28560"/>
    <n v="0"/>
    <s v="GBP"/>
    <n v="-25885.99"/>
    <n v="0.18768399999999999"/>
    <n v="0.86085"/>
    <m/>
    <s v="ACTION"/>
    <s v="LUXEMBOURG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GLENCORE PLC                                                "/>
    <x v="23"/>
    <s v="GLEN LN Equity"/>
    <n v="22000"/>
    <n v="4.4935"/>
    <n v="114836.5"/>
    <n v="0"/>
    <s v="EUR"/>
    <n v="98857"/>
    <n v="0"/>
    <s v="GBP"/>
    <n v="64788.959999999999"/>
    <n v="0.64964699999999997"/>
    <n v="0.86085"/>
    <m/>
    <s v="ACTION"/>
    <s v="JERSEY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ASAHI KASEI CORPORATION                                     "/>
    <x v="24"/>
    <s v="3407 JT Equity"/>
    <n v="11000"/>
    <n v="1041.5"/>
    <n v="79584.75"/>
    <n v="0"/>
    <s v="EUR"/>
    <n v="11456500"/>
    <n v="0"/>
    <s v="JPY"/>
    <n v="-15414.58"/>
    <n v="0.450222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HI CORP                                                    "/>
    <x v="0"/>
    <s v="7013 JT Equity"/>
    <n v="4200"/>
    <n v="3810"/>
    <n v="111160.93"/>
    <n v="0"/>
    <s v="EUR"/>
    <n v="16002000"/>
    <n v="0"/>
    <s v="JPY"/>
    <n v="24052.92"/>
    <n v="0.62885400000000002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NOUE KINZOKU                                               "/>
    <x v="1"/>
    <s v="6246 JT Equity"/>
    <n v="22000"/>
    <n v="1256"/>
    <n v="191950.94"/>
    <n v="0"/>
    <s v="EUR"/>
    <n v="27632000"/>
    <n v="0"/>
    <s v="JPY"/>
    <n v="6284.84"/>
    <n v="1.085893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KANTO DENKA KOGYO CO LTD                                    "/>
    <x v="2"/>
    <s v="4047 JT Equity"/>
    <n v="17000"/>
    <n v="878"/>
    <n v="103686.3"/>
    <n v="0"/>
    <s v="EUR"/>
    <n v="14926000"/>
    <n v="0"/>
    <s v="JPY"/>
    <n v="-7502.21"/>
    <n v="0.586567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KUREHA CORP                                                 "/>
    <x v="25"/>
    <s v="4023 JT Equity"/>
    <n v="1670"/>
    <n v="9740"/>
    <n v="112993.47"/>
    <n v="0"/>
    <s v="EUR"/>
    <n v="16265800"/>
    <n v="0"/>
    <s v="JPY"/>
    <n v="48045.21"/>
    <n v="0.639220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ANSHA ELECTRIC MANUFACTURING CO                            "/>
    <x v="26"/>
    <s v="6882 JT Equity"/>
    <n v="33900"/>
    <n v="888"/>
    <n v="209117.6"/>
    <n v="0"/>
    <s v="EUR"/>
    <n v="30103200"/>
    <n v="0"/>
    <s v="JPY"/>
    <n v="-22953.61"/>
    <n v="1.18300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HOWA DENKO KK                                              "/>
    <x v="27"/>
    <s v="4004 JT Equity"/>
    <n v="46200"/>
    <n v="2464"/>
    <n v="790788.97"/>
    <n v="0"/>
    <s v="EUR"/>
    <n v="113836800"/>
    <n v="0"/>
    <s v="JPY"/>
    <n v="-98576.56"/>
    <n v="4.473607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TELLA CHEMIFA                                              "/>
    <x v="28"/>
    <s v="4109 JT Equity"/>
    <n v="14200"/>
    <n v="2400"/>
    <n v="236743.2"/>
    <n v="0"/>
    <s v="EUR"/>
    <n v="34080000"/>
    <n v="0"/>
    <s v="JPY"/>
    <n v="-71448.039999999994"/>
    <n v="1.33929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UMITOMO CHEMICAL CO LTD                                    "/>
    <x v="29"/>
    <s v="4005 JT Equity"/>
    <n v="31000"/>
    <n v="536"/>
    <n v="115426.2"/>
    <n v="0"/>
    <s v="EUR"/>
    <n v="16616000"/>
    <n v="0"/>
    <s v="JPY"/>
    <n v="-8051.03"/>
    <n v="0.652982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UMITOMO METAL MINING CO LTD                                "/>
    <x v="3"/>
    <s v="5713 JT Equity"/>
    <n v="33000"/>
    <n v="4547"/>
    <n v="1042357.79"/>
    <n v="0"/>
    <s v="EUR"/>
    <n v="150051000"/>
    <n v="0"/>
    <s v="JPY"/>
    <n v="92233.98"/>
    <n v="5.896768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CENTRAL GLASS CO LTD                                        "/>
    <x v="30"/>
    <s v="4044 JT Equity"/>
    <n v="11700"/>
    <n v="3045"/>
    <n v="247486.25"/>
    <n v="0"/>
    <s v="EUR"/>
    <n v="35626500"/>
    <n v="0"/>
    <s v="JPY"/>
    <n v="48419.07"/>
    <n v="1.40006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AIHEIYO CEMENT CORP                                        "/>
    <x v="4"/>
    <s v="5233 JT Equity"/>
    <n v="22000"/>
    <n v="1961"/>
    <n v="299694.09999999998"/>
    <n v="0"/>
    <s v="EUR"/>
    <n v="43142000"/>
    <n v="0"/>
    <s v="JPY"/>
    <n v="-149788.47"/>
    <n v="1.695413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ANAKA CHEMICAL CORP                                        "/>
    <x v="31"/>
    <s v="4080 JT Equity"/>
    <n v="16900"/>
    <n v="1198"/>
    <n v="140644.07999999999"/>
    <n v="0"/>
    <s v="EUR"/>
    <n v="20246200"/>
    <n v="0"/>
    <s v="JPY"/>
    <n v="17079.68"/>
    <n v="0.79564400000000002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DK CORP                                                    "/>
    <x v="5"/>
    <s v="6762 JT Equity"/>
    <n v="11000"/>
    <n v="4190"/>
    <n v="320172.94"/>
    <n v="0"/>
    <s v="EUR"/>
    <n v="46090000"/>
    <n v="0"/>
    <s v="JPY"/>
    <n v="-18898.810000000001"/>
    <n v="1.811264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EIJIN LTD                                                  "/>
    <x v="32"/>
    <s v="3401 JT Equity"/>
    <n v="89000"/>
    <n v="1383"/>
    <n v="855047.24"/>
    <n v="0"/>
    <s v="EUR"/>
    <n v="123087000"/>
    <n v="0"/>
    <s v="JPY"/>
    <n v="-366963.11"/>
    <n v="4.837125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OSHIBA CORP                                                "/>
    <x v="33"/>
    <s v="6502 JT Equity"/>
    <n v="4200"/>
    <n v="5501"/>
    <n v="160497.72"/>
    <n v="0"/>
    <s v="EUR"/>
    <n v="23104200"/>
    <n v="0"/>
    <s v="JPY"/>
    <n v="50952.76"/>
    <n v="0.9079589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ODA KOGYO CORP                                             "/>
    <x v="34"/>
    <s v="4100 JT Equity"/>
    <n v="60200"/>
    <n v="2251"/>
    <n v="941347.36"/>
    <n v="0"/>
    <s v="EUR"/>
    <n v="135510200"/>
    <n v="0"/>
    <s v="JPY"/>
    <n v="-177059.03"/>
    <n v="5.325338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DOWA HOLDINGS CO LTD                                        "/>
    <x v="35"/>
    <s v="5714 JT Equity"/>
    <n v="3300"/>
    <n v="4575"/>
    <n v="104877.65"/>
    <n v="0"/>
    <s v="EUR"/>
    <n v="15097500"/>
    <n v="0"/>
    <s v="JPY"/>
    <n v="-34628.57"/>
    <n v="0.59330799999999995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CARBON CO LTD                                        "/>
    <x v="36"/>
    <s v="5302 JT Equity"/>
    <n v="3800"/>
    <n v="4120"/>
    <n v="108757.38"/>
    <n v="0"/>
    <s v="EUR"/>
    <n v="15656000"/>
    <n v="0"/>
    <s v="JPY"/>
    <n v="-15871.28"/>
    <n v="0.615256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CHEMIC.IND.                                          "/>
    <x v="6"/>
    <s v="4092 JT Equity"/>
    <n v="22000"/>
    <n v="1947"/>
    <n v="297554.52"/>
    <n v="0"/>
    <s v="EUR"/>
    <n v="42834000"/>
    <n v="0"/>
    <s v="JPY"/>
    <n v="-142138"/>
    <n v="1.683308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HON KAGAKU SANGYOREGISTERED SHS                           "/>
    <x v="37"/>
    <s v="4094 JT Equity"/>
    <n v="17000"/>
    <n v="1000"/>
    <n v="118093.73"/>
    <n v="0"/>
    <s v="EUR"/>
    <n v="17000000"/>
    <n v="0"/>
    <s v="JPY"/>
    <n v="-36237.589999999997"/>
    <n v="0.668073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ZEON CORP                                                   "/>
    <x v="7"/>
    <s v="4205 JT Equity"/>
    <n v="17000"/>
    <n v="1351"/>
    <n v="159544.63"/>
    <n v="0"/>
    <s v="EUR"/>
    <n v="22967000"/>
    <n v="0"/>
    <s v="JPY"/>
    <n v="-10183.73"/>
    <n v="0.902567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DENKO CO LTD                                         "/>
    <x v="38"/>
    <s v="5563 JT Equity"/>
    <n v="69000"/>
    <n v="345"/>
    <n v="165365.96"/>
    <n v="0"/>
    <s v="EUR"/>
    <n v="23805000"/>
    <n v="0"/>
    <s v="JPY"/>
    <n v="11215.11"/>
    <n v="0.93549899999999997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FURUKAWA ELECTRIC CO LTD                                    "/>
    <x v="39"/>
    <s v="5801 JT Equity"/>
    <n v="6900"/>
    <n v="2191"/>
    <n v="105019.37"/>
    <n v="0"/>
    <s v="EUR"/>
    <n v="15117900"/>
    <n v="0"/>
    <s v="JPY"/>
    <n v="-6334.09"/>
    <n v="0.594110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PANASONIC HLDGS --- REGISTERED SHS                          "/>
    <x v="40"/>
    <s v="6752 JT Equity"/>
    <n v="180000"/>
    <n v="1108"/>
    <n v="1385447.87"/>
    <n v="0"/>
    <s v="EUR"/>
    <n v="199440000"/>
    <n v="0"/>
    <s v="JPY"/>
    <n v="-181934.3"/>
    <n v="7.83767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MITSUBISHI MATERIAL                                         "/>
    <x v="41"/>
    <s v="5711 JT Equity"/>
    <n v="9000"/>
    <n v="1958"/>
    <n v="122414.57"/>
    <n v="0"/>
    <s v="EUR"/>
    <n v="17622000"/>
    <n v="0"/>
    <s v="JPY"/>
    <n v="-21699.11"/>
    <n v="0.69251700000000005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POSCO HOLDINGS INC.                                         "/>
    <x v="42"/>
    <s v="005490 KP Equity"/>
    <n v="3300"/>
    <n v="242500"/>
    <n v="582044.06999999995"/>
    <n v="0"/>
    <s v="EUR"/>
    <n v="800250000"/>
    <n v="0"/>
    <s v="KRW"/>
    <n v="-24736.47"/>
    <n v="3.2927080000000002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AMSUNG SDI           PFD NON-VOTG                          "/>
    <x v="43"/>
    <s v="006405 KP Equity"/>
    <n v="690"/>
    <n v="277500"/>
    <n v="139265.09"/>
    <n v="0"/>
    <s v="EUR"/>
    <n v="191475000"/>
    <n v="0"/>
    <s v="KRW"/>
    <n v="91131.1"/>
    <n v="0.78784299999999996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OULBRAIN HOLDINGS CO., LTD.                                "/>
    <x v="44"/>
    <s v="036830 KQ Equity"/>
    <n v="15200"/>
    <n v="19500"/>
    <n v="215579.96"/>
    <n v="0"/>
    <s v="EUR"/>
    <n v="296400000"/>
    <n v="0"/>
    <s v="KRW"/>
    <n v="-178501.38"/>
    <n v="1.2195670000000001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LG CHEMICAL LTD PREF./ISSUE 01                              "/>
    <x v="45"/>
    <s v="051915 KP Equity"/>
    <n v="6700"/>
    <n v="257500"/>
    <n v="1254822.27"/>
    <n v="0"/>
    <s v="EUR"/>
    <n v="1725250000"/>
    <n v="0"/>
    <s v="KRW"/>
    <n v="-155637.93"/>
    <n v="7.0987119999999999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FA ENGINEERING                                             "/>
    <x v="46"/>
    <s v="056190 KQ Equity"/>
    <n v="16900"/>
    <n v="39550"/>
    <n v="486142.26"/>
    <n v="0"/>
    <s v="EUR"/>
    <n v="668395000"/>
    <n v="0"/>
    <s v="KRW"/>
    <n v="7268.09"/>
    <n v="2.7501769999999999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NT MOTIV                                                   "/>
    <x v="47"/>
    <s v="064960 KP Equity"/>
    <n v="9000"/>
    <n v="41900"/>
    <n v="274275.31"/>
    <n v="0"/>
    <s v="EUR"/>
    <n v="377100000"/>
    <n v="0"/>
    <s v="KRW"/>
    <n v="-55126.64"/>
    <n v="1.551615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K INNOVATION                                               "/>
    <x v="48"/>
    <s v="096770 KP Equity"/>
    <n v="59"/>
    <n v="208500"/>
    <n v="8947.2199999999993"/>
    <n v="0"/>
    <s v="EUR"/>
    <n v="12301500"/>
    <n v="0"/>
    <s v="KRW"/>
    <n v="8947.2199999999993"/>
    <n v="5.0616000000000001E-2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K INNOVATION CO LTD NON VOTING                             "/>
    <x v="49"/>
    <s v="096775 KP Equity"/>
    <n v="9200"/>
    <n v="128000"/>
    <n v="856501.21"/>
    <n v="0"/>
    <s v="EUR"/>
    <n v="1177600000"/>
    <n v="0"/>
    <s v="KRW"/>
    <n v="-20081.990000000002"/>
    <n v="4.8453520000000001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ALELION ENERGY                                              "/>
    <x v="50"/>
    <s v="ALELIO SS Equity"/>
    <n v="341291"/>
    <n v="0.80800000000000005"/>
    <n v="25878.67"/>
    <n v="0"/>
    <s v="EUR"/>
    <n v="275763.13"/>
    <n v="0"/>
    <s v="SEK"/>
    <n v="-9642.9699999999993"/>
    <n v="0.146399"/>
    <n v="10.656000000000001"/>
    <m/>
    <s v="ACTION"/>
    <s v="LUXEMBOURG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GRAFTECH INTL                                               "/>
    <x v="8"/>
    <s v="EAF US Equity"/>
    <n v="14000"/>
    <n v="7.42"/>
    <n v="98032.37"/>
    <n v="0"/>
    <s v="EUR"/>
    <n v="103880"/>
    <n v="0"/>
    <s v="USD"/>
    <n v="-25634.02"/>
    <n v="0.55458300000000005"/>
    <n v="1.05965"/>
    <m/>
    <s v="ACTION"/>
    <s v="UNITED STATES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MMC NORILSK NICADR REPR SHS                                 "/>
    <x v="51"/>
    <s v="MNOD LI Equity"/>
    <n v="17000"/>
    <n v="0"/>
    <n v="0"/>
    <n v="0"/>
    <s v="EUR"/>
    <n v="0"/>
    <n v="0"/>
    <s v="USD"/>
    <n v="-400111.83"/>
    <n v="0"/>
    <n v="1.05965"/>
    <m/>
    <s v="ACTION"/>
    <s v="RUSSIAN FEDERATION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r-set-up costs   "/>
    <x v="52"/>
    <s v=""/>
    <n v="-12896.37"/>
    <n v="1"/>
    <n v="-12896.37"/>
    <n v="0"/>
    <s v="EUR"/>
    <n v="-12896.37"/>
    <n v="0"/>
    <s v="EUR"/>
    <n v="0"/>
    <n v="-7.295699999999999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3"/>
    <s v=""/>
    <n v="975889.1"/>
    <n v="1"/>
    <n v="975889.1"/>
    <n v="-207.43"/>
    <s v="EUR"/>
    <n v="975889.1"/>
    <n v="-207.43"/>
    <s v="EUR"/>
    <n v="0"/>
    <n v="5.5195730000000003"/>
    <n v="1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4"/>
    <s v=""/>
    <n v="0"/>
    <n v="6.8999999999999999E-3"/>
    <n v="0"/>
    <n v="7.0000000000000007E-2"/>
    <s v="EUR"/>
    <n v="0"/>
    <n v="10"/>
    <s v="JPY"/>
    <n v="0"/>
    <n v="0"/>
    <n v="143.95345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5"/>
    <s v=""/>
    <n v="80.930000000000007"/>
    <n v="0.94369999999999998"/>
    <n v="76.37"/>
    <n v="-0.12"/>
    <s v="EUR"/>
    <n v="80.930000000000007"/>
    <n v="-0.13"/>
    <s v="USD"/>
    <n v="-1.02"/>
    <n v="4.3100000000000001E-4"/>
    <n v="1.05965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Inc exp-Set-up costs"/>
    <x v="56"/>
    <s v=""/>
    <n v="22428"/>
    <n v="1"/>
    <n v="22428"/>
    <n v="0"/>
    <s v="EUR"/>
    <n v="22428"/>
    <n v="0"/>
    <s v="EUR"/>
    <n v="0"/>
    <n v="0.12687799999999999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Sup. custody fees   "/>
    <x v="57"/>
    <s v=""/>
    <n v="-779.75"/>
    <n v="1"/>
    <n v="-779.75"/>
    <n v="0"/>
    <s v="EUR"/>
    <n v="-779.75"/>
    <n v="0"/>
    <s v="EUR"/>
    <n v="0"/>
    <n v="-4.411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Risk management fees"/>
    <x v="58"/>
    <s v=""/>
    <n v="-1367.98"/>
    <n v="1"/>
    <n v="-1367.98"/>
    <n v="0"/>
    <s v="EUR"/>
    <n v="-1367.98"/>
    <n v="0"/>
    <s v="EUR"/>
    <n v="0"/>
    <n v="-7.7390000000000002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59"/>
    <s v=""/>
    <n v="-32568.58"/>
    <n v="1"/>
    <n v="-32568.58"/>
    <n v="0"/>
    <s v="EUR"/>
    <n v="-32568.58"/>
    <n v="0"/>
    <s v="EUR"/>
    <n v="0"/>
    <n v="-0.18424499999999999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60"/>
    <s v=""/>
    <n v="-13431.87"/>
    <n v="1"/>
    <n v="-13431.87"/>
    <n v="0"/>
    <s v="EUR"/>
    <n v="-13431.87"/>
    <n v="0"/>
    <s v="EUR"/>
    <n v="0"/>
    <n v="-7.5985999999999998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61"/>
    <s v=""/>
    <n v="-7681.26"/>
    <n v="1"/>
    <n v="-7681.26"/>
    <n v="0"/>
    <s v="EUR"/>
    <n v="-7681.26"/>
    <n v="0"/>
    <s v="EUR"/>
    <n v="0"/>
    <n v="-4.345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rketing Agent Fees"/>
    <x v="62"/>
    <s v=""/>
    <n v="-114.28"/>
    <n v="1"/>
    <n v="-114.28"/>
    <n v="0"/>
    <s v="EUR"/>
    <n v="-114.28"/>
    <n v="0"/>
    <s v="EUR"/>
    <n v="0"/>
    <n v="-6.4700000000000001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Crystal perform fees"/>
    <x v="63"/>
    <s v=""/>
    <n v="-88.1"/>
    <n v="1"/>
    <n v="-88.1"/>
    <n v="0"/>
    <s v="EUR"/>
    <n v="-88.1"/>
    <n v="0"/>
    <s v="EUR"/>
    <n v="0"/>
    <n v="-4.9799999999999996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Audit fees          "/>
    <x v="64"/>
    <s v=""/>
    <n v="-2892.55"/>
    <n v="1"/>
    <n v="-2892.55"/>
    <n v="0"/>
    <s v="EUR"/>
    <n v="-2892.55"/>
    <n v="0"/>
    <s v="EUR"/>
    <n v="0"/>
    <n v="-1.636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5"/>
    <s v=""/>
    <n v="-754.26"/>
    <n v="1"/>
    <n v="-754.26"/>
    <n v="0"/>
    <s v="EUR"/>
    <n v="-754.26"/>
    <n v="0"/>
    <s v="EUR"/>
    <n v="0"/>
    <n v="-4.267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6"/>
    <s v=""/>
    <n v="-168.61"/>
    <n v="1"/>
    <n v="-168.61"/>
    <n v="0"/>
    <s v="EUR"/>
    <n v="-168.61"/>
    <n v="0"/>
    <s v="EUR"/>
    <n v="0"/>
    <n v="-9.5399999999999999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7"/>
    <s v=""/>
    <n v="-415.96"/>
    <n v="1"/>
    <n v="-415.96"/>
    <n v="0"/>
    <s v="EUR"/>
    <n v="-415.96"/>
    <n v="0"/>
    <s v="EUR"/>
    <n v="0"/>
    <n v="-2.3530000000000001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Global pricing fees "/>
    <x v="68"/>
    <s v=""/>
    <n v="-13330.52"/>
    <n v="1"/>
    <n v="-13330.52"/>
    <n v="0"/>
    <s v="EUR"/>
    <n v="-13330.52"/>
    <n v="0"/>
    <s v="EUR"/>
    <n v="0"/>
    <n v="-7.541299999999999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rgin deposit- EDRE"/>
    <x v="69"/>
    <s v=""/>
    <n v="-110000"/>
    <n v="1"/>
    <n v="-110000"/>
    <n v="0"/>
    <s v="EUR"/>
    <n v="-110000"/>
    <n v="0"/>
    <s v="EUR"/>
    <n v="0"/>
    <n v="-0.62228600000000001"/>
    <n v="1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Payable on Redempt. "/>
    <x v="70"/>
    <s v=""/>
    <n v="-23806.799999999999"/>
    <n v="1"/>
    <n v="-23806.799999999999"/>
    <n v="0"/>
    <s v="EUR"/>
    <n v="-23806.799999999999"/>
    <n v="0"/>
    <s v="EUR"/>
    <n v="0"/>
    <n v="-0.13467899999999999"/>
    <n v="1"/>
    <m/>
    <s v="Payabl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Payable on Forex    "/>
    <x v="71"/>
    <s v=""/>
    <n v="-972183"/>
    <n v="6.8999999999999999E-3"/>
    <n v="-6753.45"/>
    <n v="0"/>
    <s v="EUR"/>
    <n v="-972183"/>
    <n v="0"/>
    <s v="JPY"/>
    <n v="28.81"/>
    <n v="-3.8205000000000003E-2"/>
    <n v="143.95345"/>
    <m/>
    <s v="Payabl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Receivable on Forex "/>
    <x v="72"/>
    <s v=""/>
    <n v="6782.26"/>
    <n v="1"/>
    <n v="6782.26"/>
    <n v="0"/>
    <s v="EUR"/>
    <n v="6782.26"/>
    <n v="0"/>
    <s v="EUR"/>
    <n v="0"/>
    <n v="3.8367999999999999E-2"/>
    <n v="1"/>
    <m/>
    <s v="Receivable"/>
    <s v=""/>
    <s v=""/>
    <s v=""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s v="      "/>
    <s v="IHI CORP                                                    "/>
    <s v="JP3134800006                                      "/>
    <s v="7013 JT Equity"/>
    <n v="28700"/>
    <n v="0"/>
    <n v="6753.46"/>
    <n v="0"/>
    <s v="EUR"/>
    <n v="972184"/>
    <n v="0"/>
    <x v="0"/>
    <n v="-383.22"/>
    <n v="3.8205000000000003E-2"/>
    <n v="143.95345"/>
  </r>
  <r>
    <x v="0"/>
    <s v="      "/>
    <s v="INOUE KINZOKU                                               "/>
    <s v="JP3147200004                                      "/>
    <s v="6246 JT Equity"/>
    <n v="22000"/>
    <n v="0"/>
    <n v="3235.55"/>
    <n v="0"/>
    <s v="EUR"/>
    <n v="465768"/>
    <n v="0"/>
    <x v="0"/>
    <n v="-183.59"/>
    <n v="1.8304000000000001E-2"/>
    <n v="143.95345"/>
  </r>
  <r>
    <x v="0"/>
    <s v="      "/>
    <s v="KANTO DENKA KOGYO CO LTD                                    "/>
    <s v="JP3232600001                                      "/>
    <s v="4047 JT Equity"/>
    <n v="17000"/>
    <n v="0"/>
    <n v="1400.11"/>
    <n v="0"/>
    <s v="EUR"/>
    <n v="201550"/>
    <n v="0"/>
    <x v="0"/>
    <n v="-79.44"/>
    <n v="7.9209999999999992E-3"/>
    <n v="143.95345"/>
  </r>
  <r>
    <x v="0"/>
    <s v="      "/>
    <s v="SUMITOMO METAL MINING CO LTD                                "/>
    <s v="JP3402600005                                      "/>
    <s v="5713 JT Equity"/>
    <n v="33000"/>
    <n v="0"/>
    <n v="28149.22"/>
    <n v="0"/>
    <s v="EUR"/>
    <n v="4052177"/>
    <n v="0"/>
    <x v="0"/>
    <n v="-1597.28"/>
    <n v="0.159244"/>
    <n v="143.95345"/>
  </r>
  <r>
    <x v="0"/>
    <s v="      "/>
    <s v="TAIHEIYO CEMENT CORP                                        "/>
    <s v="JP3449020001                                      "/>
    <s v="5233 JT Equity"/>
    <n v="22000"/>
    <n v="0"/>
    <n v="4529.76"/>
    <n v="0"/>
    <s v="EUR"/>
    <n v="652075"/>
    <n v="0"/>
    <x v="0"/>
    <n v="-257.04000000000002"/>
    <n v="2.5625999999999999E-2"/>
    <n v="143.95345"/>
  </r>
  <r>
    <x v="0"/>
    <s v="      "/>
    <s v="TDK CORP                                                    "/>
    <s v="JP3538800008                                      "/>
    <s v="6762 JT Equity"/>
    <n v="11000"/>
    <n v="0"/>
    <n v="2329.59"/>
    <n v="0"/>
    <s v="EUR"/>
    <n v="335353"/>
    <n v="0"/>
    <x v="0"/>
    <n v="-132.19"/>
    <n v="1.3179E-2"/>
    <n v="143.95345"/>
  </r>
  <r>
    <x v="0"/>
    <s v="      "/>
    <s v="NIPPON CHEMIC.IND.                                          "/>
    <s v="JP3691600005                                      "/>
    <s v="4092 JT Equity"/>
    <n v="22000"/>
    <n v="0"/>
    <n v="4529.76"/>
    <n v="0"/>
    <s v="EUR"/>
    <n v="652075"/>
    <n v="0"/>
    <x v="0"/>
    <n v="-257.04000000000002"/>
    <n v="2.5625999999999999E-2"/>
    <n v="143.95345"/>
  </r>
  <r>
    <x v="0"/>
    <s v="      "/>
    <s v="ZEON CORP                                                   "/>
    <s v="JP3725400000                                      "/>
    <s v="4205 JT Equity"/>
    <n v="17000"/>
    <n v="0"/>
    <n v="1500.12"/>
    <n v="0"/>
    <s v="EUR"/>
    <n v="215947"/>
    <n v="0"/>
    <x v="0"/>
    <n v="-85.12"/>
    <n v="8.4860000000000005E-3"/>
    <n v="143.95345"/>
  </r>
  <r>
    <x v="0"/>
    <s v="      "/>
    <s v="GRAFTECH INTL                                               "/>
    <s v="US3843135084                                      "/>
    <s v="EAF US Equity"/>
    <n v="14000"/>
    <n v="0"/>
    <n v="92.48"/>
    <n v="0"/>
    <s v="EUR"/>
    <n v="98"/>
    <n v="0"/>
    <x v="1"/>
    <n v="0.98"/>
    <n v="5.2300000000000003E-4"/>
    <n v="1.05965"/>
  </r>
  <r>
    <x v="1"/>
    <s v="      "/>
    <s v="V/JPY/USD/20220916   RECU  "/>
    <s v="ICAT0001IDU3"/>
    <s v=""/>
    <n v="747077.06"/>
    <n v="1"/>
    <n v="705022.47"/>
    <n v="0"/>
    <s v="EUR"/>
    <n v="747077.06"/>
    <n v="0"/>
    <x v="1"/>
    <n v="-12596.34"/>
    <n v="3.9884140000000001"/>
    <n v="1.05965"/>
  </r>
  <r>
    <x v="1"/>
    <s v="      "/>
    <s v="V/JPY/USD/20220916   VERSE "/>
    <s v="ICAT0001IDU3"/>
    <s v=""/>
    <n v="-100000000"/>
    <n v="7.4000000000000003E-3"/>
    <n v="-698631.23"/>
    <n v="0"/>
    <s v="EUR"/>
    <n v="-100000000"/>
    <n v="0"/>
    <x v="0"/>
    <n v="18987.580000000002"/>
    <n v="-3.952258"/>
    <n v="1.05965"/>
  </r>
  <r>
    <x v="1"/>
    <s v="      "/>
    <s v="V/JPY/EUR/20220916   RECU  "/>
    <s v="ICAT0001IDU5"/>
    <s v=""/>
    <n v="5232228.83"/>
    <n v="1"/>
    <n v="5232228.83"/>
    <n v="0"/>
    <s v="EUR"/>
    <n v="5232228.83"/>
    <n v="0"/>
    <x v="2"/>
    <n v="-0.02"/>
    <n v="29.599477"/>
    <n v="1"/>
  </r>
  <r>
    <x v="1"/>
    <s v="      "/>
    <s v="V/JPY/EUR/20220916   VERSE "/>
    <s v="ICAT0001IDU5"/>
    <s v=""/>
    <n v="-739000000"/>
    <n v="6.8999999999999999E-3"/>
    <n v="-5132533.03"/>
    <n v="0"/>
    <s v="EUR"/>
    <n v="-739000000"/>
    <n v="0"/>
    <x v="0"/>
    <n v="99695.82"/>
    <n v="-29.035484"/>
    <n v="1"/>
  </r>
  <r>
    <x v="2"/>
    <s v="      "/>
    <s v="SANDFIRE RESSOURCE LTD                                      "/>
    <s v="AU000000SFR8                                      "/>
    <s v="SFR AT Equity"/>
    <n v="84000"/>
    <n v="4.88"/>
    <n v="268606.25"/>
    <n v="0"/>
    <s v="EUR"/>
    <n v="409920"/>
    <n v="0"/>
    <x v="3"/>
    <n v="-11276"/>
    <n v="1.5195449999999999"/>
    <n v="1.5261"/>
  </r>
  <r>
    <x v="2"/>
    <s v="      "/>
    <s v="SYRAH RESSOURCES LTD                                        "/>
    <s v="AU000000SYR9                                      "/>
    <s v="SYR AT Equity"/>
    <n v="600000"/>
    <n v="1.1599999999999999"/>
    <n v="456064.48"/>
    <n v="0"/>
    <s v="EUR"/>
    <n v="696000"/>
    <n v="0"/>
    <x v="3"/>
    <n v="266594.65000000002"/>
    <n v="2.5800230000000002"/>
    <n v="1.5261"/>
  </r>
  <r>
    <x v="2"/>
    <s v="      "/>
    <s v="NICKEL 28 CAP - REGISTERED SHS                              "/>
    <s v="CA65401N1078                                      "/>
    <s v="NKL CV Equity"/>
    <n v="24000"/>
    <n v="1.17"/>
    <n v="20479.91"/>
    <n v="0"/>
    <s v="EUR"/>
    <n v="28080"/>
    <n v="0"/>
    <x v="4"/>
    <n v="-36031.17"/>
    <n v="0.115858"/>
    <n v="1.3711"/>
  </r>
  <r>
    <x v="2"/>
    <s v="      "/>
    <s v="BAIC MOTOR -H- UNITARY 144A/REGS                            "/>
    <s v="CNE100001TJ4                                      "/>
    <s v="1958 HK Equity"/>
    <n v="1420000"/>
    <n v="2.58"/>
    <n v="440429.18"/>
    <n v="0"/>
    <s v="EUR"/>
    <n v="3663600"/>
    <n v="0"/>
    <x v="5"/>
    <n v="-18477.97"/>
    <n v="2.4915720000000001"/>
    <n v="8.3182500000000008"/>
  </r>
  <r>
    <x v="2"/>
    <s v="      "/>
    <s v="CONTINENTAL AG                                              "/>
    <s v="DE0005439004                                      "/>
    <s v="CON GY Equity"/>
    <n v="5000"/>
    <n v="70.84"/>
    <n v="354200"/>
    <n v="0"/>
    <s v="EUR"/>
    <n v="354200"/>
    <n v="0"/>
    <x v="2"/>
    <n v="-89031.44"/>
    <n v="2.0037609999999999"/>
    <n v="1"/>
  </r>
  <r>
    <x v="2"/>
    <s v="      "/>
    <s v="VOLKSWAGEN AG VORZ.AKT                                      "/>
    <s v="DE0007664039                                      "/>
    <s v="VOW3 GY Equity"/>
    <n v="2270"/>
    <n v="144.4"/>
    <n v="327788"/>
    <n v="0"/>
    <s v="EUR"/>
    <n v="327788"/>
    <n v="0"/>
    <x v="2"/>
    <n v="-69310.53"/>
    <n v="1.854344"/>
    <n v="1"/>
  </r>
  <r>
    <x v="2"/>
    <s v="      "/>
    <s v="VITESCO TECHNOLOGIES GROUP                                  "/>
    <s v="DE000VTSC017                                      "/>
    <s v="VTSC GY Equity"/>
    <n v="17400"/>
    <n v="42.06"/>
    <n v="731844"/>
    <n v="0"/>
    <s v="EUR"/>
    <n v="731844"/>
    <n v="0"/>
    <x v="2"/>
    <n v="-80775.42"/>
    <n v="4.1401479999999999"/>
    <n v="1"/>
  </r>
  <r>
    <x v="2"/>
    <s v="      "/>
    <s v="IMERYS SA                                                   "/>
    <s v="FR0000120859                                      "/>
    <s v="NK FP Equity"/>
    <n v="4200"/>
    <n v="30.06"/>
    <n v="126252"/>
    <n v="0"/>
    <s v="EUR"/>
    <n v="126252"/>
    <n v="0"/>
    <x v="2"/>
    <n v="-27329.61"/>
    <n v="0.71422600000000003"/>
    <n v="1"/>
  </r>
  <r>
    <x v="2"/>
    <s v="      "/>
    <s v="ERAMET SA                                                   "/>
    <s v="FR0000131757                                      "/>
    <s v="ERA FP Equity"/>
    <n v="1100"/>
    <n v="103.4"/>
    <n v="113740"/>
    <n v="0"/>
    <s v="EUR"/>
    <n v="113740"/>
    <n v="0"/>
    <x v="2"/>
    <n v="65734.11"/>
    <n v="0.64344400000000002"/>
    <n v="1"/>
  </r>
  <r>
    <x v="2"/>
    <s v="      "/>
    <s v="RENAULT SA                                                  "/>
    <s v="FR0000131906                                      "/>
    <s v="RNO FP Equity"/>
    <n v="17000"/>
    <n v="26.135000000000002"/>
    <n v="444295"/>
    <n v="0"/>
    <s v="EUR"/>
    <n v="444295"/>
    <n v="0"/>
    <x v="2"/>
    <n v="-45452.75"/>
    <n v="2.5134409999999998"/>
    <n v="1"/>
  </r>
  <r>
    <x v="2"/>
    <s v="      "/>
    <s v="VALEO SA                                                    "/>
    <s v="FR0013176526                                      "/>
    <s v="FR FP Equity"/>
    <n v="42000"/>
    <n v="20.03"/>
    <n v="841260"/>
    <n v="0"/>
    <s v="EUR"/>
    <n v="841260"/>
    <n v="0"/>
    <x v="2"/>
    <n v="-155405.89000000001"/>
    <n v="4.7591299999999999"/>
    <n v="1"/>
  </r>
  <r>
    <x v="2"/>
    <s v="      "/>
    <s v="BUSHVELD MINERALS LIMITED                                   "/>
    <s v="GG00B4TM3943                                      "/>
    <s v="BMN LN Equity"/>
    <n v="420000"/>
    <n v="6.8000000000000005E-2"/>
    <n v="33176.51"/>
    <n v="0"/>
    <s v="EUR"/>
    <n v="28560"/>
    <n v="0"/>
    <x v="6"/>
    <n v="-25885.99"/>
    <n v="0.18768399999999999"/>
    <n v="0.86085"/>
  </r>
  <r>
    <x v="2"/>
    <s v="      "/>
    <s v="GLENCORE PLC                                                "/>
    <s v="JE00B4T3BW64                                      "/>
    <s v="GLEN LN Equity"/>
    <n v="22000"/>
    <n v="4.4935"/>
    <n v="114836.5"/>
    <n v="0"/>
    <s v="EUR"/>
    <n v="98857"/>
    <n v="0"/>
    <x v="6"/>
    <n v="64788.959999999999"/>
    <n v="0.64964699999999997"/>
    <n v="0.86085"/>
  </r>
  <r>
    <x v="2"/>
    <s v="      "/>
    <s v="ASAHI KASEI CORPORATION                                     "/>
    <s v="JP3111200006                                      "/>
    <s v="3407 JT Equity"/>
    <n v="11000"/>
    <n v="1041.5"/>
    <n v="79584.75"/>
    <n v="0"/>
    <s v="EUR"/>
    <n v="11456500"/>
    <n v="0"/>
    <x v="0"/>
    <n v="-15414.58"/>
    <n v="0.45022200000000001"/>
    <n v="143.95345"/>
  </r>
  <r>
    <x v="2"/>
    <s v="      "/>
    <s v="IHI CORP                                                    "/>
    <s v="JP3134800006                                      "/>
    <s v="7013 JT Equity"/>
    <n v="4200"/>
    <n v="3810"/>
    <n v="111160.93"/>
    <n v="0"/>
    <s v="EUR"/>
    <n v="16002000"/>
    <n v="0"/>
    <x v="0"/>
    <n v="24052.92"/>
    <n v="0.62885400000000002"/>
    <n v="143.95345"/>
  </r>
  <r>
    <x v="2"/>
    <s v="      "/>
    <s v="INOUE KINZOKU                                               "/>
    <s v="JP3147200004                                      "/>
    <s v="6246 JT Equity"/>
    <n v="22000"/>
    <n v="1256"/>
    <n v="191950.94"/>
    <n v="0"/>
    <s v="EUR"/>
    <n v="27632000"/>
    <n v="0"/>
    <x v="0"/>
    <n v="6284.84"/>
    <n v="1.0858939999999999"/>
    <n v="143.95345"/>
  </r>
  <r>
    <x v="2"/>
    <s v="      "/>
    <s v="KANTO DENKA KOGYO CO LTD                                    "/>
    <s v="JP3232600001                                      "/>
    <s v="4047 JT Equity"/>
    <n v="17000"/>
    <n v="878"/>
    <n v="103686.3"/>
    <n v="0"/>
    <s v="EUR"/>
    <n v="14926000"/>
    <n v="0"/>
    <x v="0"/>
    <n v="-7502.21"/>
    <n v="0.58656799999999998"/>
    <n v="143.95345"/>
  </r>
  <r>
    <x v="2"/>
    <s v="      "/>
    <s v="KUREHA CORP                                                 "/>
    <s v="JP3271600003                                      "/>
    <s v="4023 JT Equity"/>
    <n v="1670"/>
    <n v="9740"/>
    <n v="112993.47"/>
    <n v="0"/>
    <s v="EUR"/>
    <n v="16265800"/>
    <n v="0"/>
    <x v="0"/>
    <n v="48045.21"/>
    <n v="0.63922000000000001"/>
    <n v="143.95345"/>
  </r>
  <r>
    <x v="2"/>
    <s v="      "/>
    <s v="SANSHA ELECTRIC MANUFACTURING CO                            "/>
    <s v="JP3332600000                                      "/>
    <s v="6882 JT Equity"/>
    <n v="33900"/>
    <n v="888"/>
    <n v="209117.6"/>
    <n v="0"/>
    <s v="EUR"/>
    <n v="30103200"/>
    <n v="0"/>
    <x v="0"/>
    <n v="-22953.61"/>
    <n v="1.183009"/>
    <n v="143.95345"/>
  </r>
  <r>
    <x v="2"/>
    <s v="      "/>
    <s v="SHOWA DENKO KK                                              "/>
    <s v="JP3368000000                                      "/>
    <s v="4004 JT Equity"/>
    <n v="46200"/>
    <n v="2464"/>
    <n v="790788.97"/>
    <n v="0"/>
    <s v="EUR"/>
    <n v="113836800"/>
    <n v="0"/>
    <x v="0"/>
    <n v="-98576.56"/>
    <n v="4.4736079999999996"/>
    <n v="143.95345"/>
  </r>
  <r>
    <x v="2"/>
    <s v="      "/>
    <s v="STELLA CHEMIFA                                              "/>
    <s v="JP3399720006                                      "/>
    <s v="4109 JT Equity"/>
    <n v="14200"/>
    <n v="2400"/>
    <n v="236743.2"/>
    <n v="0"/>
    <s v="EUR"/>
    <n v="34080000"/>
    <n v="0"/>
    <x v="0"/>
    <n v="-71448.039999999994"/>
    <n v="1.339291"/>
    <n v="143.95345"/>
  </r>
  <r>
    <x v="2"/>
    <s v="      "/>
    <s v="SUMITOMO CHEMICAL CO LTD                                    "/>
    <s v="JP3401400001                                      "/>
    <s v="4005 JT Equity"/>
    <n v="31000"/>
    <n v="536"/>
    <n v="115426.2"/>
    <n v="0"/>
    <s v="EUR"/>
    <n v="16616000"/>
    <n v="0"/>
    <x v="0"/>
    <n v="-8051.03"/>
    <n v="0.65298299999999998"/>
    <n v="143.95345"/>
  </r>
  <r>
    <x v="2"/>
    <s v="      "/>
    <s v="SUMITOMO METAL MINING CO LTD                                "/>
    <s v="JP3402600005                                      "/>
    <s v="5713 JT Equity"/>
    <n v="33000"/>
    <n v="4547"/>
    <n v="1042357.79"/>
    <n v="0"/>
    <s v="EUR"/>
    <n v="150051000"/>
    <n v="0"/>
    <x v="0"/>
    <n v="92233.98"/>
    <n v="5.8967689999999999"/>
    <n v="143.95345"/>
  </r>
  <r>
    <x v="2"/>
    <s v="      "/>
    <s v="CENTRAL GLASS CO LTD                                        "/>
    <s v="JP3425000001                                      "/>
    <s v="4044 JT Equity"/>
    <n v="11700"/>
    <n v="3045"/>
    <n v="247486.25"/>
    <n v="0"/>
    <s v="EUR"/>
    <n v="35626500"/>
    <n v="0"/>
    <x v="0"/>
    <n v="48419.07"/>
    <n v="1.400066"/>
    <n v="143.95345"/>
  </r>
  <r>
    <x v="2"/>
    <s v="      "/>
    <s v="TAIHEIYO CEMENT CORP                                        "/>
    <s v="JP3449020001                                      "/>
    <s v="5233 JT Equity"/>
    <n v="22000"/>
    <n v="1961"/>
    <n v="299694.09999999998"/>
    <n v="0"/>
    <s v="EUR"/>
    <n v="43142000"/>
    <n v="0"/>
    <x v="0"/>
    <n v="-149788.47"/>
    <n v="1.6954130000000001"/>
    <n v="143.95345"/>
  </r>
  <r>
    <x v="2"/>
    <s v="      "/>
    <s v="TANAKA CHEMICAL CORP                                        "/>
    <s v="JP3468810001                                      "/>
    <s v="4080 JT Equity"/>
    <n v="16900"/>
    <n v="1198"/>
    <n v="140644.07999999999"/>
    <n v="0"/>
    <s v="EUR"/>
    <n v="20246200"/>
    <n v="0"/>
    <x v="0"/>
    <n v="17079.68"/>
    <n v="0.79564400000000002"/>
    <n v="143.95345"/>
  </r>
  <r>
    <x v="2"/>
    <s v="      "/>
    <s v="TDK CORP                                                    "/>
    <s v="JP3538800008                                      "/>
    <s v="6762 JT Equity"/>
    <n v="11000"/>
    <n v="4190"/>
    <n v="320172.94"/>
    <n v="0"/>
    <s v="EUR"/>
    <n v="46090000"/>
    <n v="0"/>
    <x v="0"/>
    <n v="-18898.810000000001"/>
    <n v="1.8112649999999999"/>
    <n v="143.95345"/>
  </r>
  <r>
    <x v="2"/>
    <s v="      "/>
    <s v="TEIJIN LTD                                                  "/>
    <s v="JP3544000007                                      "/>
    <s v="3401 JT Equity"/>
    <n v="89000"/>
    <n v="1383"/>
    <n v="855047.24"/>
    <n v="0"/>
    <s v="EUR"/>
    <n v="123087000"/>
    <n v="0"/>
    <x v="0"/>
    <n v="-366963.11"/>
    <n v="4.8371259999999996"/>
    <n v="143.95345"/>
  </r>
  <r>
    <x v="2"/>
    <s v="      "/>
    <s v="TOSHIBA CORP                                                "/>
    <s v="JP3592200004                                      "/>
    <s v="6502 JT Equity"/>
    <n v="4200"/>
    <n v="5501"/>
    <n v="160497.72"/>
    <n v="0"/>
    <s v="EUR"/>
    <n v="23104200"/>
    <n v="0"/>
    <x v="0"/>
    <n v="50952.76"/>
    <n v="0.90795899999999996"/>
    <n v="143.95345"/>
  </r>
  <r>
    <x v="2"/>
    <s v="      "/>
    <s v="TODA KOGYO CORP                                             "/>
    <s v="JP3627400009                                      "/>
    <s v="4100 JT Equity"/>
    <n v="60200"/>
    <n v="2251"/>
    <n v="941347.36"/>
    <n v="0"/>
    <s v="EUR"/>
    <n v="135510200"/>
    <n v="0"/>
    <x v="0"/>
    <n v="-177059.03"/>
    <n v="5.3253389999999996"/>
    <n v="143.95345"/>
  </r>
  <r>
    <x v="2"/>
    <s v="      "/>
    <s v="DOWA HOLDINGS CO LTD                                        "/>
    <s v="JP3638600001                                      "/>
    <s v="5714 JT Equity"/>
    <n v="3300"/>
    <n v="4575"/>
    <n v="104877.65"/>
    <n v="0"/>
    <s v="EUR"/>
    <n v="15097500"/>
    <n v="0"/>
    <x v="0"/>
    <n v="-34628.57"/>
    <n v="0.59330799999999995"/>
    <n v="143.95345"/>
  </r>
  <r>
    <x v="2"/>
    <s v="      "/>
    <s v="NIPPON CARBON CO LTD                                        "/>
    <s v="JP3690400001                                      "/>
    <s v="5302 JT Equity"/>
    <n v="3800"/>
    <n v="4120"/>
    <n v="108757.38"/>
    <n v="0"/>
    <s v="EUR"/>
    <n v="15656000"/>
    <n v="0"/>
    <x v="0"/>
    <n v="-15871.28"/>
    <n v="0.61525600000000003"/>
    <n v="143.95345"/>
  </r>
  <r>
    <x v="2"/>
    <s v="      "/>
    <s v="NIPPON CHEMIC.IND.                                          "/>
    <s v="JP3691600005                                      "/>
    <s v="4092 JT Equity"/>
    <n v="22000"/>
    <n v="1947"/>
    <n v="297554.52"/>
    <n v="0"/>
    <s v="EUR"/>
    <n v="42834000"/>
    <n v="0"/>
    <x v="0"/>
    <n v="-142138"/>
    <n v="1.6833089999999999"/>
    <n v="143.95345"/>
  </r>
  <r>
    <x v="2"/>
    <s v="      "/>
    <s v="NIHON KAGAKU SANGYOREGISTERED SHS                           "/>
    <s v="JP3692000007                                      "/>
    <s v="4094 JT Equity"/>
    <n v="17000"/>
    <n v="1000"/>
    <n v="118093.73"/>
    <n v="0"/>
    <s v="EUR"/>
    <n v="17000000"/>
    <n v="0"/>
    <x v="0"/>
    <n v="-36237.589999999997"/>
    <n v="0.66807300000000003"/>
    <n v="143.95345"/>
  </r>
  <r>
    <x v="2"/>
    <s v="      "/>
    <s v="ZEON CORP                                                   "/>
    <s v="JP3725400000                                      "/>
    <s v="4205 JT Equity"/>
    <n v="17000"/>
    <n v="1351"/>
    <n v="159544.63"/>
    <n v="0"/>
    <s v="EUR"/>
    <n v="22967000"/>
    <n v="0"/>
    <x v="0"/>
    <n v="-10183.73"/>
    <n v="0.90256700000000001"/>
    <n v="143.95345"/>
  </r>
  <r>
    <x v="2"/>
    <s v="      "/>
    <s v="NIPPON DENKO CO LTD                                         "/>
    <s v="JP3734600004                                      "/>
    <s v="5563 JT Equity"/>
    <n v="69000"/>
    <n v="345"/>
    <n v="165365.96"/>
    <n v="0"/>
    <s v="EUR"/>
    <n v="23805000"/>
    <n v="0"/>
    <x v="0"/>
    <n v="11215.11"/>
    <n v="0.93549899999999997"/>
    <n v="143.95345"/>
  </r>
  <r>
    <x v="2"/>
    <s v="      "/>
    <s v="FURUKAWA ELECTRIC CO LTD                                    "/>
    <s v="JP3827200001                                      "/>
    <s v="5801 JT Equity"/>
    <n v="6900"/>
    <n v="2191"/>
    <n v="105019.37"/>
    <n v="0"/>
    <s v="EUR"/>
    <n v="15117900"/>
    <n v="0"/>
    <x v="0"/>
    <n v="-6334.09"/>
    <n v="0.59411000000000003"/>
    <n v="143.95345"/>
  </r>
  <r>
    <x v="2"/>
    <s v="      "/>
    <s v="PANASONIC HLDGS --- REGISTERED SHS                          "/>
    <s v="JP3866800000                                      "/>
    <s v="6752 JT Equity"/>
    <n v="180000"/>
    <n v="1108"/>
    <n v="1385447.87"/>
    <n v="0"/>
    <s v="EUR"/>
    <n v="199440000"/>
    <n v="0"/>
    <x v="0"/>
    <n v="-181934.3"/>
    <n v="7.8376799999999998"/>
    <n v="143.95345"/>
  </r>
  <r>
    <x v="2"/>
    <s v="      "/>
    <s v="MITSUBISHI MATERIAL                                         "/>
    <s v="JP3903000002                                      "/>
    <s v="5711 JT Equity"/>
    <n v="9000"/>
    <n v="1958"/>
    <n v="122414.57"/>
    <n v="0"/>
    <s v="EUR"/>
    <n v="17622000"/>
    <n v="0"/>
    <x v="0"/>
    <n v="-21699.11"/>
    <n v="0.69251700000000005"/>
    <n v="143.95345"/>
  </r>
  <r>
    <x v="2"/>
    <s v="      "/>
    <s v="POSCO HOLDINGS INC.                                         "/>
    <s v="KR7005490008                                      "/>
    <s v="005490 KP Equity"/>
    <n v="3300"/>
    <n v="242500"/>
    <n v="582044.06999999995"/>
    <n v="0"/>
    <s v="EUR"/>
    <n v="800250000"/>
    <n v="0"/>
    <x v="7"/>
    <n v="-24736.47"/>
    <n v="3.2927080000000002"/>
    <n v="1374.8959"/>
  </r>
  <r>
    <x v="2"/>
    <s v="      "/>
    <s v="SAMSUNG SDI           PFD NON-VOTG                          "/>
    <s v="KR7006401004                                      "/>
    <s v="006405 KP Equity"/>
    <n v="690"/>
    <n v="277500"/>
    <n v="139265.09"/>
    <n v="0"/>
    <s v="EUR"/>
    <n v="191475000"/>
    <n v="0"/>
    <x v="7"/>
    <n v="91131.1"/>
    <n v="0.78784299999999996"/>
    <n v="1374.8959"/>
  </r>
  <r>
    <x v="2"/>
    <s v="      "/>
    <s v="SOULBRAIN HOLDINGS CO., LTD.                                "/>
    <s v="KR7036830008                                      "/>
    <s v="036830 KQ Equity"/>
    <n v="15200"/>
    <n v="19500"/>
    <n v="215579.96"/>
    <n v="0"/>
    <s v="EUR"/>
    <n v="296400000"/>
    <n v="0"/>
    <x v="7"/>
    <n v="-178501.38"/>
    <n v="1.2195670000000001"/>
    <n v="1374.8959"/>
  </r>
  <r>
    <x v="2"/>
    <s v="      "/>
    <s v="LG CHEMICAL LTD PREF./ISSUE 01                              "/>
    <s v="KR7051911006                                      "/>
    <s v="051915 KP Equity"/>
    <n v="6700"/>
    <n v="257500"/>
    <n v="1254822.27"/>
    <n v="0"/>
    <s v="EUR"/>
    <n v="1725250000"/>
    <n v="0"/>
    <x v="7"/>
    <n v="-155637.93"/>
    <n v="7.0987119999999999"/>
    <n v="1374.8959"/>
  </r>
  <r>
    <x v="2"/>
    <s v="      "/>
    <s v="SFA ENGINEERING                                             "/>
    <s v="KR7056190002                                      "/>
    <s v="056190 KQ Equity"/>
    <n v="16900"/>
    <n v="39550"/>
    <n v="486142.26"/>
    <n v="0"/>
    <s v="EUR"/>
    <n v="668395000"/>
    <n v="0"/>
    <x v="7"/>
    <n v="7268.09"/>
    <n v="2.7501769999999999"/>
    <n v="1374.8959"/>
  </r>
  <r>
    <x v="2"/>
    <s v="      "/>
    <s v="SNT MOTIV                                                   "/>
    <s v="KR7064960008                                      "/>
    <s v="064960 KP Equity"/>
    <n v="9000"/>
    <n v="41900"/>
    <n v="274275.31"/>
    <n v="0"/>
    <s v="EUR"/>
    <n v="377100000"/>
    <n v="0"/>
    <x v="7"/>
    <n v="-55126.64"/>
    <n v="1.551615"/>
    <n v="1374.8959"/>
  </r>
  <r>
    <x v="2"/>
    <s v="      "/>
    <s v="SK INNOVATION                                               "/>
    <s v="KR7096770003                                      "/>
    <s v="096770 KP Equity"/>
    <n v="59"/>
    <n v="208500"/>
    <n v="8947.2199999999993"/>
    <n v="0"/>
    <s v="EUR"/>
    <n v="12301500"/>
    <n v="0"/>
    <x v="7"/>
    <n v="8947.2199999999993"/>
    <n v="5.0616000000000001E-2"/>
    <n v="1374.8959"/>
  </r>
  <r>
    <x v="2"/>
    <s v="      "/>
    <s v="SK INNOVATION CO LTD NON VOTING                             "/>
    <s v="KR7096771001                                      "/>
    <s v="096775 KP Equity"/>
    <n v="9200"/>
    <n v="128000"/>
    <n v="856501.21"/>
    <n v="0"/>
    <s v="EUR"/>
    <n v="1177600000"/>
    <n v="0"/>
    <x v="7"/>
    <n v="-20081.990000000002"/>
    <n v="4.8453520000000001"/>
    <n v="1374.8959"/>
  </r>
  <r>
    <x v="2"/>
    <s v="      "/>
    <s v="ALELION ENERGY                                              "/>
    <s v="SE0008348072                                      "/>
    <s v="ALELIO SS Equity"/>
    <n v="341291"/>
    <n v="0.80800000000000005"/>
    <n v="25878.67"/>
    <n v="0"/>
    <s v="EUR"/>
    <n v="275763.13"/>
    <n v="0"/>
    <x v="8"/>
    <n v="-9642.9699999999993"/>
    <n v="0.146399"/>
    <n v="10.656000000000001"/>
  </r>
  <r>
    <x v="2"/>
    <s v="      "/>
    <s v="GRAFTECH INTL                                               "/>
    <s v="US3843135084                                      "/>
    <s v="EAF US Equity"/>
    <n v="14000"/>
    <n v="7.42"/>
    <n v="98032.37"/>
    <n v="0"/>
    <s v="EUR"/>
    <n v="103880"/>
    <n v="0"/>
    <x v="1"/>
    <n v="-25634.02"/>
    <n v="0.55458300000000005"/>
    <n v="1.05965"/>
  </r>
  <r>
    <x v="2"/>
    <s v="      "/>
    <s v="MMC NORILSK NICADR REPR SHS                                 "/>
    <s v="US55315J1025                                      "/>
    <s v="MNOD LI Equity"/>
    <n v="17000"/>
    <n v="0"/>
    <n v="0"/>
    <n v="0"/>
    <s v="EUR"/>
    <n v="0"/>
    <n v="0"/>
    <x v="1"/>
    <n v="-400111.83"/>
    <n v="0"/>
    <n v="1.05965"/>
  </r>
  <r>
    <x v="3"/>
    <s v="      "/>
    <s v="Depr-set-up costs   "/>
    <s v="AF101EUR    "/>
    <s v=""/>
    <n v="-12896.37"/>
    <n v="1"/>
    <n v="-12896.37"/>
    <n v="0"/>
    <s v="EUR"/>
    <n v="-12896.37"/>
    <n v="0"/>
    <x v="2"/>
    <n v="0"/>
    <n v="-7.2956999999999994E-2"/>
    <n v="1"/>
  </r>
  <r>
    <x v="3"/>
    <s v="      "/>
    <s v="Depositary Bk- EDRE "/>
    <s v="BK0Y9EUR    "/>
    <s v=""/>
    <n v="975889.1"/>
    <n v="1"/>
    <n v="975889.1"/>
    <n v="-207.43"/>
    <s v="EUR"/>
    <n v="975889.1"/>
    <n v="-207.43"/>
    <x v="2"/>
    <n v="0"/>
    <n v="5.5195730000000003"/>
    <n v="1"/>
  </r>
  <r>
    <x v="3"/>
    <s v="      "/>
    <s v="Depositary Bk- EDRE "/>
    <s v="BK0Y9JPY    "/>
    <s v=""/>
    <n v="0"/>
    <n v="6.8999999999999999E-3"/>
    <n v="0"/>
    <n v="7.0000000000000007E-2"/>
    <s v="EUR"/>
    <n v="0"/>
    <n v="10"/>
    <x v="0"/>
    <n v="0"/>
    <n v="0"/>
    <n v="143.95345"/>
  </r>
  <r>
    <x v="3"/>
    <s v="      "/>
    <s v="Depositary Bk- EDRE "/>
    <s v="BK0Y9USD    "/>
    <s v=""/>
    <n v="80.930000000000007"/>
    <n v="0.94369999999999998"/>
    <n v="76.37"/>
    <n v="-0.12"/>
    <s v="EUR"/>
    <n v="80.930000000000007"/>
    <n v="-0.13"/>
    <x v="1"/>
    <n v="-1.02"/>
    <n v="4.3100000000000001E-4"/>
    <n v="1.05965"/>
  </r>
  <r>
    <x v="3"/>
    <s v="      "/>
    <s v="Inc exp-Set-up costs"/>
    <s v="FA101EUR    "/>
    <s v=""/>
    <n v="22428"/>
    <n v="1"/>
    <n v="22428"/>
    <n v="0"/>
    <s v="EUR"/>
    <n v="22428"/>
    <n v="0"/>
    <x v="2"/>
    <n v="0"/>
    <n v="0.12687799999999999"/>
    <n v="1"/>
  </r>
  <r>
    <x v="3"/>
    <s v="      "/>
    <s v="Sup. custody fees   "/>
    <s v="FP219EUR    "/>
    <s v=""/>
    <n v="-779.75"/>
    <n v="1"/>
    <n v="-779.75"/>
    <n v="0"/>
    <s v="EUR"/>
    <n v="-779.75"/>
    <n v="0"/>
    <x v="2"/>
    <n v="0"/>
    <n v="-4.411E-3"/>
    <n v="1"/>
  </r>
  <r>
    <x v="3"/>
    <s v="      "/>
    <s v="Risk management fees"/>
    <s v="FP225EUR    "/>
    <s v=""/>
    <n v="-1367.98"/>
    <n v="1"/>
    <n v="-1367.98"/>
    <n v="0"/>
    <s v="EUR"/>
    <n v="-1367.98"/>
    <n v="0"/>
    <x v="2"/>
    <n v="0"/>
    <n v="-7.7390000000000002E-3"/>
    <n v="1"/>
  </r>
  <r>
    <x v="3"/>
    <s v="      "/>
    <s v="Management fees     "/>
    <s v="FP301EURC1  "/>
    <s v=""/>
    <n v="-32568.58"/>
    <n v="1"/>
    <n v="-32568.58"/>
    <n v="0"/>
    <s v="EUR"/>
    <n v="-32568.58"/>
    <n v="0"/>
    <x v="2"/>
    <n v="0"/>
    <n v="-0.18424499999999999"/>
    <n v="1"/>
  </r>
  <r>
    <x v="3"/>
    <s v="      "/>
    <s v="Management fees     "/>
    <s v="FP301EURC2  "/>
    <s v=""/>
    <n v="-13431.87"/>
    <n v="1"/>
    <n v="-13431.87"/>
    <n v="0"/>
    <s v="EUR"/>
    <n v="-13431.87"/>
    <n v="0"/>
    <x v="2"/>
    <n v="0"/>
    <n v="-7.5985999999999998E-2"/>
    <n v="1"/>
  </r>
  <r>
    <x v="3"/>
    <s v="      "/>
    <s v="Management fees     "/>
    <s v="FP301EURC7  "/>
    <s v=""/>
    <n v="-7681.26"/>
    <n v="1"/>
    <n v="-7681.26"/>
    <n v="0"/>
    <s v="EUR"/>
    <n v="-7681.26"/>
    <n v="0"/>
    <x v="2"/>
    <n v="0"/>
    <n v="-4.3454E-2"/>
    <n v="1"/>
  </r>
  <r>
    <x v="3"/>
    <s v="      "/>
    <s v="Marketing Agent Fees"/>
    <s v="FP306EUR    "/>
    <s v=""/>
    <n v="-114.28"/>
    <n v="1"/>
    <n v="-114.28"/>
    <n v="0"/>
    <s v="EUR"/>
    <n v="-114.28"/>
    <n v="0"/>
    <x v="2"/>
    <n v="0"/>
    <n v="-6.4700000000000001E-4"/>
    <n v="1"/>
  </r>
  <r>
    <x v="3"/>
    <s v="      "/>
    <s v="Crystal perform fees"/>
    <s v="FP402EURC1  "/>
    <s v=""/>
    <n v="-88.1"/>
    <n v="1"/>
    <n v="-88.1"/>
    <n v="0"/>
    <s v="EUR"/>
    <n v="-88.1"/>
    <n v="0"/>
    <x v="2"/>
    <n v="0"/>
    <n v="-4.9799999999999996E-4"/>
    <n v="1"/>
  </r>
  <r>
    <x v="3"/>
    <s v="      "/>
    <s v="Audit fees          "/>
    <s v="FP501EUR    "/>
    <s v=""/>
    <n v="-2892.55"/>
    <n v="1"/>
    <n v="-2892.55"/>
    <n v="0"/>
    <s v="EUR"/>
    <n v="-2892.55"/>
    <n v="0"/>
    <x v="2"/>
    <n v="0"/>
    <n v="-1.6364E-2"/>
    <n v="1"/>
  </r>
  <r>
    <x v="3"/>
    <s v="      "/>
    <s v="Ucits taxes         "/>
    <s v="FP603EURC1  "/>
    <s v=""/>
    <n v="-754.26"/>
    <n v="1"/>
    <n v="-754.26"/>
    <n v="0"/>
    <s v="EUR"/>
    <n v="-754.26"/>
    <n v="0"/>
    <x v="2"/>
    <n v="0"/>
    <n v="-4.267E-3"/>
    <n v="1"/>
  </r>
  <r>
    <x v="3"/>
    <s v="      "/>
    <s v="Ucits taxes         "/>
    <s v="FP603EURC2  "/>
    <s v=""/>
    <n v="-168.61"/>
    <n v="1"/>
    <n v="-168.61"/>
    <n v="0"/>
    <s v="EUR"/>
    <n v="-168.61"/>
    <n v="0"/>
    <x v="2"/>
    <n v="0"/>
    <n v="-9.5399999999999999E-4"/>
    <n v="1"/>
  </r>
  <r>
    <x v="3"/>
    <s v="      "/>
    <s v="Ucits taxes         "/>
    <s v="FP603EURC7  "/>
    <s v=""/>
    <n v="-415.96"/>
    <n v="1"/>
    <n v="-415.96"/>
    <n v="0"/>
    <s v="EUR"/>
    <n v="-415.96"/>
    <n v="0"/>
    <x v="2"/>
    <n v="0"/>
    <n v="-2.3530000000000001E-3"/>
    <n v="1"/>
  </r>
  <r>
    <x v="3"/>
    <s v="      "/>
    <s v="Global pricing fees "/>
    <s v="FP801EUR    "/>
    <s v=""/>
    <n v="-13330.52"/>
    <n v="1"/>
    <n v="-13330.52"/>
    <n v="0"/>
    <s v="EUR"/>
    <n v="-13330.52"/>
    <n v="0"/>
    <x v="2"/>
    <n v="0"/>
    <n v="-7.5412999999999994E-2"/>
    <n v="1"/>
  </r>
  <r>
    <x v="3"/>
    <s v="      "/>
    <s v="Margin deposit- EDRE"/>
    <s v="MA0Y9EUR    "/>
    <s v=""/>
    <n v="-110000"/>
    <n v="1"/>
    <n v="-110000"/>
    <n v="0"/>
    <s v="EUR"/>
    <n v="-110000"/>
    <n v="0"/>
    <x v="2"/>
    <n v="0"/>
    <n v="-0.62228600000000001"/>
    <n v="1"/>
  </r>
  <r>
    <x v="3"/>
    <s v="      "/>
    <s v="Payable on Redempt. "/>
    <s v="PUEUR       "/>
    <s v=""/>
    <n v="-23806.799999999999"/>
    <n v="1"/>
    <n v="-23806.799999999999"/>
    <n v="0"/>
    <s v="EUR"/>
    <n v="-23806.799999999999"/>
    <n v="0"/>
    <x v="2"/>
    <n v="0"/>
    <n v="-0.13467899999999999"/>
    <n v="1"/>
  </r>
  <r>
    <x v="3"/>
    <s v="      "/>
    <s v="Payable on Forex    "/>
    <s v="PXJPY       "/>
    <s v=""/>
    <n v="-972183"/>
    <n v="6.8999999999999999E-3"/>
    <n v="-6753.45"/>
    <n v="0"/>
    <s v="EUR"/>
    <n v="-972183"/>
    <n v="0"/>
    <x v="0"/>
    <n v="28.81"/>
    <n v="-3.8205000000000003E-2"/>
    <n v="143.95345"/>
  </r>
  <r>
    <x v="3"/>
    <s v="      "/>
    <s v="Receivable on Forex "/>
    <s v="RXEUR       "/>
    <s v=""/>
    <n v="6782.26"/>
    <n v="1"/>
    <n v="6782.26"/>
    <n v="0"/>
    <s v="EUR"/>
    <n v="6782.26"/>
    <n v="0"/>
    <x v="2"/>
    <n v="0"/>
    <n v="3.8367999999999999E-2"/>
    <n v="1"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4A0C78-41A4-47DF-A2C7-AD21018CBFD6}" name="Tabella pivot2" cacheId="5" applyNumberFormats="0" applyBorderFormats="0" applyFontFormats="0" applyPatternFormats="0" applyAlignmentFormats="0" applyWidthHeightFormats="1" dataCaption="Valori" updatedVersion="8" minRefreshableVersion="3" useAutoFormatting="1" rowGrandTotals="0" itemPrintTitles="1" createdVersion="6" indent="0" outline="1" outlineData="1" multipleFieldFilters="0" rowHeaderCaption=" ">
  <location ref="A170:B220" firstHeaderRow="1" firstDataRow="1" firstDataCol="1"/>
  <pivotFields count="3">
    <pivotField showAll="0"/>
    <pivotField axis="axisRow" showAll="0">
      <items count="59">
        <item x="9"/>
        <item m="1" x="50"/>
        <item x="18"/>
        <item x="10"/>
        <item x="49"/>
        <item x="11"/>
        <item x="17"/>
        <item x="15"/>
        <item x="7"/>
        <item x="4"/>
        <item x="6"/>
        <item x="28"/>
        <item x="2"/>
        <item x="1"/>
        <item x="5"/>
        <item x="20"/>
        <item x="26"/>
        <item x="21"/>
        <item x="8"/>
        <item x="12"/>
        <item m="1" x="56"/>
        <item m="1" x="53"/>
        <item x="24"/>
        <item m="1" x="57"/>
        <item x="13"/>
        <item m="1" x="51"/>
        <item x="31"/>
        <item x="32"/>
        <item x="33"/>
        <item x="34"/>
        <item x="35"/>
        <item x="36"/>
        <item x="37"/>
        <item x="38"/>
        <item x="40"/>
        <item m="1" x="55"/>
        <item x="41"/>
        <item x="42"/>
        <item x="19"/>
        <item x="29"/>
        <item m="1" x="54"/>
        <item x="3"/>
        <item x="22"/>
        <item x="23"/>
        <item x="25"/>
        <item x="27"/>
        <item x="39"/>
        <item x="16"/>
        <item x="43"/>
        <item x="44"/>
        <item x="45"/>
        <item x="46"/>
        <item x="30"/>
        <item m="1" x="52"/>
        <item x="0"/>
        <item x="14"/>
        <item x="47"/>
        <item x="48"/>
        <item t="default"/>
      </items>
    </pivotField>
    <pivotField dataField="1"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2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</rowItems>
  <colItems count="1">
    <i/>
  </colItems>
  <dataFields count="1">
    <dataField name="Somma di % Wgt (P)" fld="2" baseField="0" baseItem="0" numFmtId="177"/>
  </dataFields>
  <formats count="14">
    <format dxfId="53">
      <pivotArea collapsedLevelsAreSubtotals="1" fieldPosition="0">
        <references count="1">
          <reference field="1" count="0"/>
        </references>
      </pivotArea>
    </format>
    <format dxfId="52">
      <pivotArea collapsedLevelsAreSubtotals="1" fieldPosition="0">
        <references count="1">
          <reference field="1" count="0"/>
        </references>
      </pivotArea>
    </format>
    <format dxfId="51">
      <pivotArea collapsedLevelsAreSubtotals="1" fieldPosition="0">
        <references count="1">
          <reference field="1" count="1">
            <x v="12"/>
          </reference>
        </references>
      </pivotArea>
    </format>
    <format dxfId="50">
      <pivotArea dataOnly="0" labelOnly="1" fieldPosition="0">
        <references count="1">
          <reference field="1" count="1">
            <x v="12"/>
          </reference>
        </references>
      </pivotArea>
    </format>
    <format dxfId="49">
      <pivotArea collapsedLevelsAreSubtotals="1" fieldPosition="0">
        <references count="1">
          <reference field="1" count="2">
            <x v="0"/>
            <x v="1"/>
          </reference>
        </references>
      </pivotArea>
    </format>
    <format dxfId="48">
      <pivotArea dataOnly="0" labelOnly="1" fieldPosition="0">
        <references count="1">
          <reference field="1" count="2">
            <x v="0"/>
            <x v="1"/>
          </reference>
        </references>
      </pivotArea>
    </format>
    <format dxfId="47">
      <pivotArea collapsedLevelsAreSubtotals="1" fieldPosition="0">
        <references count="1">
          <reference field="1" count="1">
            <x v="0"/>
          </reference>
        </references>
      </pivotArea>
    </format>
    <format dxfId="46">
      <pivotArea collapsedLevelsAreSubtotals="1" fieldPosition="0">
        <references count="1">
          <reference field="1" count="1">
            <x v="23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1" count="4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41">
      <pivotArea dataOnly="0" labelOnly="1" fieldPosition="0">
        <references count="1">
          <reference field="1" count="2">
            <x v="49"/>
            <x v="50"/>
          </reference>
        </references>
      </pivotArea>
    </format>
    <format dxfId="40">
      <pivotArea dataOnly="0" labelOnly="1" outline="0" axis="axisValues" fieldPosition="0"/>
    </format>
  </formats>
  <conditionalFormats count="4">
    <conditionalFormat priority="2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472A6B-3903-44A7-87EF-DB33B5D56CE6}" name="PivotTable2" cacheId="7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7" indent="0" outline="1" outlineData="1" multipleFieldFilters="0">
  <location ref="AJ3:AK12" firstHeaderRow="1" firstDataRow="1" firstDataCol="1" rowPageCount="1" colPageCount="1"/>
  <pivotFields count="16"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0">
        <item x="3"/>
        <item x="4"/>
        <item x="2"/>
        <item x="6"/>
        <item x="5"/>
        <item x="0"/>
        <item x="7"/>
        <item x="8"/>
        <item x="1"/>
        <item x="9"/>
      </items>
    </pivotField>
    <pivotField showAll="0"/>
    <pivotField showAll="0"/>
    <pivotField dataField="1" showAll="0"/>
  </pivotFields>
  <rowFields count="1">
    <field x="1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1">
    <pageField fld="0" item="2" hier="-1"/>
  </pageFields>
  <dataFields count="1">
    <dataField name="Max of FX rate" fld="15" subtotal="max" baseField="12" baseItem="0"/>
  </dataFields>
  <formats count="6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12" type="button" dataOnly="0" labelOnly="1" outline="0" axis="axisRow" fieldPosition="0"/>
    </format>
    <format dxfId="25">
      <pivotArea dataOnly="0" labelOnly="1" fieldPosition="0">
        <references count="1">
          <reference field="12" count="0"/>
        </references>
      </pivotArea>
    </format>
    <format dxfId="24">
      <pivotArea dataOnly="0" labelOnly="1" grandRow="1" outline="0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399B4-FA64-422F-B16B-644621833BA4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AD3:AF54" firstHeaderRow="0" firstDataRow="1" firstDataCol="1" rowPageCount="1" colPageCount="1"/>
  <pivotFields count="27">
    <pivotField showAll="0"/>
    <pivotField showAll="0"/>
    <pivotField showAll="0"/>
    <pivotField showAll="0"/>
    <pivotField showAll="0"/>
    <pivotField showAll="0"/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Row" showAll="0">
      <items count="86">
        <item x="52"/>
        <item x="11"/>
        <item x="12"/>
        <item x="53"/>
        <item x="54"/>
        <item x="55"/>
        <item x="13"/>
        <item x="14"/>
        <item x="15"/>
        <item x="16"/>
        <item x="17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18"/>
        <item x="19"/>
        <item x="20"/>
        <item x="21"/>
        <item x="22"/>
        <item m="1" x="76"/>
        <item m="1" x="78"/>
        <item m="1" x="80"/>
        <item x="23"/>
        <item x="24"/>
        <item x="0"/>
        <item x="1"/>
        <item x="2"/>
        <item x="25"/>
        <item x="26"/>
        <item x="27"/>
        <item x="28"/>
        <item x="29"/>
        <item x="3"/>
        <item x="30"/>
        <item x="4"/>
        <item x="31"/>
        <item x="5"/>
        <item x="32"/>
        <item x="33"/>
        <item x="34"/>
        <item x="35"/>
        <item x="36"/>
        <item x="6"/>
        <item x="37"/>
        <item x="7"/>
        <item x="38"/>
        <item x="40"/>
        <item x="41"/>
        <item x="42"/>
        <item x="43"/>
        <item x="44"/>
        <item x="45"/>
        <item x="46"/>
        <item x="47"/>
        <item x="48"/>
        <item x="49"/>
        <item x="69"/>
        <item m="1" x="84"/>
        <item x="50"/>
        <item x="8"/>
        <item x="51"/>
        <item x="73"/>
        <item x="70"/>
        <item x="71"/>
        <item x="72"/>
        <item m="1" x="82"/>
        <item m="1" x="77"/>
        <item x="39"/>
        <item m="1" x="83"/>
        <item m="1" x="74"/>
        <item x="9"/>
        <item x="10"/>
        <item m="1" x="79"/>
        <item m="1" x="75"/>
        <item m="1" x="8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1">
    <i>
      <x v="1"/>
    </i>
    <i>
      <x v="2"/>
    </i>
    <i>
      <x v="6"/>
    </i>
    <i>
      <x v="7"/>
    </i>
    <i>
      <x v="8"/>
    </i>
    <i>
      <x v="9"/>
    </i>
    <i>
      <x v="10"/>
    </i>
    <i>
      <x v="24"/>
    </i>
    <i>
      <x v="25"/>
    </i>
    <i>
      <x v="26"/>
    </i>
    <i>
      <x v="27"/>
    </i>
    <i>
      <x v="28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8"/>
    </i>
    <i>
      <x v="69"/>
    </i>
    <i>
      <x v="70"/>
    </i>
    <i>
      <x v="77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2" hier="-1"/>
  </pageFields>
  <dataFields count="2">
    <dataField name="Sum of Qty" fld="11" baseField="0" baseItem="0" numFmtId="177"/>
    <dataField name="Sum of Price" fld="12" baseField="0" baseItem="0" numFmtId="177"/>
  </dataFields>
  <formats count="7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9" type="button" dataOnly="0" labelOnly="1" outline="0" axis="axisRow" fieldPosition="0"/>
    </format>
    <format dxfId="32">
      <pivotArea dataOnly="0" labelOnly="1" fieldPosition="0">
        <references count="1">
          <reference field="9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1">
      <pivotArea dataOnly="0" labelOnly="1" fieldPosition="0">
        <references count="1">
          <reference field="9" count="22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</reference>
        </references>
      </pivotArea>
    </format>
    <format dxfId="30">
      <pivotArea dataOnly="0" labelOnly="1" grandRow="1" outline="0" fieldPosition="0"/>
    </format>
    <format dxfId="2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DE37D-0F8F-41B3-8B67-0D44A274EEA3}" name="Tabella2" displayName="Tabella2" ref="B1:C35" totalsRowShown="0" headerRowDxfId="16" dataDxfId="15">
  <tableColumns count="2">
    <tableColumn id="1" xr3:uid="{A41CBAC4-3EE4-4991-9B33-467F1E3B3AA4}" name="MARKET_PLACE" dataDxfId="14"/>
    <tableColumn id="2" xr3:uid="{B4856A96-7075-4A07-B5F8-686806BBD595}" name="COUNTRY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=@TR($C$20,%22TR.AvgDailyVolume3M%22,%22Code=Multi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A3A9-BE89-444E-899E-C81464EA4848}">
  <sheetPr codeName="Foglio13"/>
  <dimension ref="A1:G3654"/>
  <sheetViews>
    <sheetView topLeftCell="A25" workbookViewId="0">
      <selection activeCell="E11" sqref="E11"/>
    </sheetView>
  </sheetViews>
  <sheetFormatPr defaultColWidth="14" defaultRowHeight="44.25" customHeight="1"/>
  <cols>
    <col min="1" max="1" width="15.7265625" style="285" bestFit="1" customWidth="1"/>
    <col min="2" max="2" width="9" bestFit="1" customWidth="1"/>
    <col min="3" max="3" width="11.7265625" bestFit="1" customWidth="1"/>
    <col min="4" max="4" width="34.7265625" style="241" bestFit="1" customWidth="1"/>
    <col min="5" max="5" width="104" bestFit="1" customWidth="1"/>
    <col min="6" max="6" width="13.453125" bestFit="1" customWidth="1"/>
    <col min="7" max="7" width="22" bestFit="1" customWidth="1"/>
  </cols>
  <sheetData>
    <row r="1" spans="1:7" s="284" customFormat="1" ht="44.25" customHeight="1">
      <c r="A1" s="459" t="s">
        <v>19</v>
      </c>
      <c r="B1" s="459" t="s">
        <v>2132</v>
      </c>
      <c r="C1" s="459" t="s">
        <v>2133</v>
      </c>
      <c r="D1" s="459" t="s">
        <v>2134</v>
      </c>
      <c r="E1" s="459" t="s">
        <v>1922</v>
      </c>
      <c r="F1" s="459" t="s">
        <v>2135</v>
      </c>
      <c r="G1" s="459" t="s">
        <v>2136</v>
      </c>
    </row>
    <row r="2" spans="1:7" s="241" customFormat="1" ht="44.25" customHeight="1">
      <c r="A2" s="460" t="s">
        <v>2137</v>
      </c>
      <c r="B2" s="460" t="s">
        <v>2138</v>
      </c>
      <c r="C2" s="460" t="s">
        <v>132</v>
      </c>
      <c r="D2" s="460" t="s">
        <v>2139</v>
      </c>
      <c r="E2" s="460" t="s">
        <v>1365</v>
      </c>
      <c r="F2" s="460" t="s">
        <v>145</v>
      </c>
      <c r="G2" s="460" t="s">
        <v>2140</v>
      </c>
    </row>
    <row r="3" spans="1:7" s="241" customFormat="1" ht="44.25" customHeight="1">
      <c r="A3" t="s">
        <v>2141</v>
      </c>
      <c r="B3" t="s">
        <v>2142</v>
      </c>
      <c r="C3" t="s">
        <v>132</v>
      </c>
      <c r="D3" t="s">
        <v>2143</v>
      </c>
      <c r="E3" t="s">
        <v>2144</v>
      </c>
      <c r="F3" t="s">
        <v>145</v>
      </c>
      <c r="G3" t="s">
        <v>2145</v>
      </c>
    </row>
    <row r="4" spans="1:7" s="241" customFormat="1" ht="44.25" customHeight="1">
      <c r="A4" t="s">
        <v>2146</v>
      </c>
      <c r="B4" t="s">
        <v>2147</v>
      </c>
      <c r="C4" t="s">
        <v>132</v>
      </c>
      <c r="D4" t="s">
        <v>2143</v>
      </c>
      <c r="E4" t="s">
        <v>1365</v>
      </c>
      <c r="F4" t="s">
        <v>145</v>
      </c>
      <c r="G4" t="s">
        <v>2148</v>
      </c>
    </row>
    <row r="5" spans="1:7" s="241" customFormat="1" ht="44.25" customHeight="1">
      <c r="A5" t="s">
        <v>2149</v>
      </c>
      <c r="B5" t="s">
        <v>2150</v>
      </c>
      <c r="C5" t="s">
        <v>132</v>
      </c>
      <c r="D5" t="s">
        <v>2143</v>
      </c>
      <c r="E5" t="s">
        <v>2151</v>
      </c>
      <c r="F5" t="s">
        <v>145</v>
      </c>
      <c r="G5" t="s">
        <v>2152</v>
      </c>
    </row>
    <row r="6" spans="1:7" s="241" customFormat="1" ht="44.25" customHeight="1">
      <c r="A6" t="s">
        <v>2153</v>
      </c>
      <c r="B6" t="s">
        <v>2154</v>
      </c>
      <c r="C6" t="s">
        <v>132</v>
      </c>
      <c r="D6" t="s">
        <v>2139</v>
      </c>
      <c r="E6" t="s">
        <v>2155</v>
      </c>
      <c r="F6" t="s">
        <v>145</v>
      </c>
      <c r="G6" t="s">
        <v>2156</v>
      </c>
    </row>
    <row r="7" spans="1:7" s="241" customFormat="1" ht="44.25" customHeight="1">
      <c r="A7" t="s">
        <v>2157</v>
      </c>
      <c r="B7" t="s">
        <v>2158</v>
      </c>
      <c r="C7" t="s">
        <v>132</v>
      </c>
      <c r="D7" t="s">
        <v>2139</v>
      </c>
      <c r="E7" t="s">
        <v>2155</v>
      </c>
      <c r="F7" t="s">
        <v>145</v>
      </c>
      <c r="G7" t="s">
        <v>2159</v>
      </c>
    </row>
    <row r="8" spans="1:7" s="241" customFormat="1" ht="44.25" customHeight="1">
      <c r="A8" t="s">
        <v>2160</v>
      </c>
      <c r="B8" t="s">
        <v>2161</v>
      </c>
      <c r="C8" t="s">
        <v>132</v>
      </c>
      <c r="D8" t="s">
        <v>2143</v>
      </c>
      <c r="E8" t="s">
        <v>2162</v>
      </c>
      <c r="F8" t="s">
        <v>145</v>
      </c>
      <c r="G8" t="s">
        <v>2163</v>
      </c>
    </row>
    <row r="9" spans="1:7" s="241" customFormat="1" ht="44.25" customHeight="1">
      <c r="A9" t="s">
        <v>2164</v>
      </c>
      <c r="B9" t="s">
        <v>2165</v>
      </c>
      <c r="C9" t="s">
        <v>132</v>
      </c>
      <c r="D9" t="s">
        <v>2139</v>
      </c>
      <c r="E9" t="s">
        <v>1365</v>
      </c>
      <c r="F9" t="s">
        <v>145</v>
      </c>
      <c r="G9" t="s">
        <v>2166</v>
      </c>
    </row>
    <row r="10" spans="1:7" s="241" customFormat="1" ht="44.25" customHeight="1">
      <c r="A10" t="s">
        <v>2167</v>
      </c>
      <c r="B10" t="s">
        <v>2168</v>
      </c>
      <c r="C10" t="s">
        <v>132</v>
      </c>
      <c r="D10" t="s">
        <v>2139</v>
      </c>
      <c r="E10" t="s">
        <v>1365</v>
      </c>
      <c r="F10" t="s">
        <v>145</v>
      </c>
      <c r="G10" t="s">
        <v>2169</v>
      </c>
    </row>
    <row r="11" spans="1:7" s="241" customFormat="1" ht="44.25" customHeight="1">
      <c r="A11" t="s">
        <v>2170</v>
      </c>
      <c r="B11" t="s">
        <v>2171</v>
      </c>
      <c r="C11" t="s">
        <v>132</v>
      </c>
      <c r="D11" t="s">
        <v>2139</v>
      </c>
      <c r="E11" t="s">
        <v>1365</v>
      </c>
      <c r="F11" t="s">
        <v>145</v>
      </c>
      <c r="G11" t="s">
        <v>2172</v>
      </c>
    </row>
    <row r="12" spans="1:7" s="241" customFormat="1" ht="44.25" customHeight="1">
      <c r="A12" t="s">
        <v>2173</v>
      </c>
      <c r="B12" t="s">
        <v>2174</v>
      </c>
      <c r="C12" t="s">
        <v>132</v>
      </c>
      <c r="D12" t="s">
        <v>2139</v>
      </c>
      <c r="E12" t="s">
        <v>1365</v>
      </c>
      <c r="F12" t="s">
        <v>145</v>
      </c>
      <c r="G12" t="s">
        <v>2175</v>
      </c>
    </row>
    <row r="13" spans="1:7" s="241" customFormat="1" ht="44.25" customHeight="1">
      <c r="A13" t="s">
        <v>2176</v>
      </c>
      <c r="B13" t="s">
        <v>2177</v>
      </c>
      <c r="C13" t="s">
        <v>132</v>
      </c>
      <c r="D13" t="s">
        <v>2139</v>
      </c>
      <c r="E13" t="s">
        <v>1365</v>
      </c>
      <c r="F13" t="s">
        <v>145</v>
      </c>
      <c r="G13" t="s">
        <v>2178</v>
      </c>
    </row>
    <row r="14" spans="1:7" s="241" customFormat="1" ht="44.25" customHeight="1">
      <c r="A14" t="s">
        <v>2179</v>
      </c>
      <c r="B14" t="s">
        <v>2180</v>
      </c>
      <c r="C14" t="s">
        <v>132</v>
      </c>
      <c r="D14" t="s">
        <v>2143</v>
      </c>
      <c r="E14" t="s">
        <v>2162</v>
      </c>
      <c r="F14" t="s">
        <v>145</v>
      </c>
      <c r="G14" t="s">
        <v>2181</v>
      </c>
    </row>
    <row r="15" spans="1:7" s="241" customFormat="1" ht="44.25" customHeight="1">
      <c r="A15" t="s">
        <v>2182</v>
      </c>
      <c r="B15" t="s">
        <v>2183</v>
      </c>
      <c r="C15" t="s">
        <v>132</v>
      </c>
      <c r="D15" t="s">
        <v>2139</v>
      </c>
      <c r="E15" t="s">
        <v>1367</v>
      </c>
      <c r="F15" t="s">
        <v>145</v>
      </c>
      <c r="G15" t="s">
        <v>2184</v>
      </c>
    </row>
    <row r="16" spans="1:7" s="241" customFormat="1" ht="44.25" customHeight="1">
      <c r="A16" t="s">
        <v>2185</v>
      </c>
      <c r="B16" t="s">
        <v>2186</v>
      </c>
      <c r="C16" t="s">
        <v>132</v>
      </c>
      <c r="D16" t="s">
        <v>2143</v>
      </c>
      <c r="E16" t="s">
        <v>2162</v>
      </c>
      <c r="F16" t="s">
        <v>145</v>
      </c>
      <c r="G16" t="s">
        <v>2187</v>
      </c>
    </row>
    <row r="17" spans="1:7" s="241" customFormat="1" ht="44.25" customHeight="1">
      <c r="A17" t="s">
        <v>2188</v>
      </c>
      <c r="B17" t="s">
        <v>2189</v>
      </c>
      <c r="C17" t="s">
        <v>132</v>
      </c>
      <c r="D17" t="s">
        <v>2139</v>
      </c>
      <c r="E17" t="s">
        <v>1367</v>
      </c>
      <c r="F17" t="s">
        <v>145</v>
      </c>
      <c r="G17" t="s">
        <v>2190</v>
      </c>
    </row>
    <row r="18" spans="1:7" s="241" customFormat="1" ht="44.25" customHeight="1">
      <c r="A18" t="s">
        <v>2191</v>
      </c>
      <c r="B18" t="s">
        <v>2192</v>
      </c>
      <c r="C18" t="s">
        <v>132</v>
      </c>
      <c r="D18" t="s">
        <v>2139</v>
      </c>
      <c r="E18" t="s">
        <v>1367</v>
      </c>
      <c r="F18" t="s">
        <v>145</v>
      </c>
      <c r="G18" t="s">
        <v>2193</v>
      </c>
    </row>
    <row r="19" spans="1:7" s="241" customFormat="1" ht="44.25" customHeight="1">
      <c r="A19" t="s">
        <v>2194</v>
      </c>
      <c r="B19" t="s">
        <v>2195</v>
      </c>
      <c r="C19" t="s">
        <v>132</v>
      </c>
      <c r="D19" t="s">
        <v>2143</v>
      </c>
      <c r="E19" t="s">
        <v>2196</v>
      </c>
      <c r="F19" t="s">
        <v>145</v>
      </c>
      <c r="G19" t="s">
        <v>2197</v>
      </c>
    </row>
    <row r="20" spans="1:7" s="241" customFormat="1" ht="44.25" customHeight="1">
      <c r="A20" t="s">
        <v>2198</v>
      </c>
      <c r="B20" t="s">
        <v>2199</v>
      </c>
      <c r="C20" t="s">
        <v>132</v>
      </c>
      <c r="D20" t="s">
        <v>2143</v>
      </c>
      <c r="E20" t="s">
        <v>2200</v>
      </c>
      <c r="F20" t="s">
        <v>145</v>
      </c>
      <c r="G20" t="s">
        <v>2201</v>
      </c>
    </row>
    <row r="21" spans="1:7" s="241" customFormat="1" ht="44.25" customHeight="1">
      <c r="A21" t="s">
        <v>2202</v>
      </c>
      <c r="B21" t="s">
        <v>2203</v>
      </c>
      <c r="C21" t="s">
        <v>132</v>
      </c>
      <c r="D21" t="s">
        <v>2139</v>
      </c>
      <c r="E21" t="s">
        <v>1367</v>
      </c>
      <c r="F21" t="s">
        <v>145</v>
      </c>
      <c r="G21" t="s">
        <v>2204</v>
      </c>
    </row>
    <row r="22" spans="1:7" s="241" customFormat="1" ht="44.25" customHeight="1">
      <c r="A22" t="s">
        <v>2205</v>
      </c>
      <c r="B22" t="s">
        <v>2206</v>
      </c>
      <c r="C22" t="s">
        <v>132</v>
      </c>
      <c r="D22" t="s">
        <v>2139</v>
      </c>
      <c r="E22" t="s">
        <v>1365</v>
      </c>
      <c r="F22" t="s">
        <v>145</v>
      </c>
      <c r="G22" t="s">
        <v>2207</v>
      </c>
    </row>
    <row r="23" spans="1:7" s="241" customFormat="1" ht="44.25" customHeight="1">
      <c r="A23" t="s">
        <v>2208</v>
      </c>
      <c r="B23" t="s">
        <v>2209</v>
      </c>
      <c r="C23" t="s">
        <v>132</v>
      </c>
      <c r="D23" t="s">
        <v>2139</v>
      </c>
      <c r="E23" t="s">
        <v>1365</v>
      </c>
      <c r="F23" t="s">
        <v>145</v>
      </c>
      <c r="G23" t="s">
        <v>2210</v>
      </c>
    </row>
    <row r="24" spans="1:7" s="241" customFormat="1" ht="44.25" customHeight="1">
      <c r="A24" t="s">
        <v>2211</v>
      </c>
      <c r="B24" t="s">
        <v>2212</v>
      </c>
      <c r="C24" t="s">
        <v>132</v>
      </c>
      <c r="D24" t="s">
        <v>2139</v>
      </c>
      <c r="E24" t="s">
        <v>1367</v>
      </c>
      <c r="F24" t="s">
        <v>145</v>
      </c>
      <c r="G24" t="s">
        <v>2213</v>
      </c>
    </row>
    <row r="25" spans="1:7" s="241" customFormat="1" ht="44.25" customHeight="1">
      <c r="A25" t="s">
        <v>2214</v>
      </c>
      <c r="B25" t="s">
        <v>2215</v>
      </c>
      <c r="C25" t="s">
        <v>132</v>
      </c>
      <c r="D25" t="s">
        <v>2139</v>
      </c>
      <c r="E25" t="s">
        <v>1365</v>
      </c>
      <c r="F25" t="s">
        <v>145</v>
      </c>
      <c r="G25" t="s">
        <v>2216</v>
      </c>
    </row>
    <row r="26" spans="1:7" s="241" customFormat="1" ht="44.25" customHeight="1">
      <c r="A26" t="s">
        <v>2217</v>
      </c>
      <c r="B26" t="s">
        <v>2218</v>
      </c>
      <c r="C26" t="s">
        <v>132</v>
      </c>
      <c r="D26" t="s">
        <v>2139</v>
      </c>
      <c r="E26" t="s">
        <v>1365</v>
      </c>
      <c r="F26" t="s">
        <v>145</v>
      </c>
      <c r="G26" t="s">
        <v>2219</v>
      </c>
    </row>
    <row r="27" spans="1:7" s="241" customFormat="1" ht="44.25" customHeight="1">
      <c r="A27" t="s">
        <v>2220</v>
      </c>
      <c r="B27" t="s">
        <v>2221</v>
      </c>
      <c r="C27" t="s">
        <v>132</v>
      </c>
      <c r="D27" t="s">
        <v>2139</v>
      </c>
      <c r="E27" t="s">
        <v>1365</v>
      </c>
      <c r="F27" t="s">
        <v>145</v>
      </c>
      <c r="G27" t="s">
        <v>2222</v>
      </c>
    </row>
    <row r="28" spans="1:7" s="241" customFormat="1" ht="44.25" customHeight="1">
      <c r="A28" t="s">
        <v>2223</v>
      </c>
      <c r="B28" t="s">
        <v>2224</v>
      </c>
      <c r="C28" t="s">
        <v>132</v>
      </c>
      <c r="D28" t="s">
        <v>2143</v>
      </c>
      <c r="E28" t="s">
        <v>2155</v>
      </c>
      <c r="F28" t="s">
        <v>145</v>
      </c>
      <c r="G28" t="s">
        <v>2225</v>
      </c>
    </row>
    <row r="29" spans="1:7" s="241" customFormat="1" ht="44.25" customHeight="1">
      <c r="A29" t="s">
        <v>2226</v>
      </c>
      <c r="B29" t="s">
        <v>2227</v>
      </c>
      <c r="C29" t="s">
        <v>132</v>
      </c>
      <c r="D29" t="s">
        <v>2139</v>
      </c>
      <c r="E29" t="s">
        <v>1365</v>
      </c>
      <c r="F29" t="s">
        <v>145</v>
      </c>
      <c r="G29" t="s">
        <v>2228</v>
      </c>
    </row>
    <row r="30" spans="1:7" s="241" customFormat="1" ht="44.25" customHeight="1">
      <c r="A30" t="s">
        <v>2229</v>
      </c>
      <c r="B30" t="s">
        <v>2230</v>
      </c>
      <c r="C30" t="s">
        <v>132</v>
      </c>
      <c r="D30" t="s">
        <v>2143</v>
      </c>
      <c r="E30" t="s">
        <v>1367</v>
      </c>
      <c r="F30" t="s">
        <v>145</v>
      </c>
      <c r="G30" t="s">
        <v>2231</v>
      </c>
    </row>
    <row r="31" spans="1:7" s="241" customFormat="1" ht="44.25" customHeight="1">
      <c r="A31" t="s">
        <v>2232</v>
      </c>
      <c r="B31" t="s">
        <v>2233</v>
      </c>
      <c r="C31" t="s">
        <v>132</v>
      </c>
      <c r="D31" t="s">
        <v>2139</v>
      </c>
      <c r="E31" t="s">
        <v>1367</v>
      </c>
      <c r="F31" t="s">
        <v>145</v>
      </c>
      <c r="G31" t="s">
        <v>2234</v>
      </c>
    </row>
    <row r="32" spans="1:7" s="241" customFormat="1" ht="44.25" customHeight="1">
      <c r="A32" t="s">
        <v>2235</v>
      </c>
      <c r="B32" t="s">
        <v>2236</v>
      </c>
      <c r="C32" t="s">
        <v>132</v>
      </c>
      <c r="D32" t="s">
        <v>2139</v>
      </c>
      <c r="E32" t="s">
        <v>1367</v>
      </c>
      <c r="F32" t="s">
        <v>145</v>
      </c>
      <c r="G32" t="s">
        <v>2237</v>
      </c>
    </row>
    <row r="33" spans="1:7" s="241" customFormat="1" ht="44.25" customHeight="1">
      <c r="A33" t="s">
        <v>2238</v>
      </c>
      <c r="B33" t="s">
        <v>2239</v>
      </c>
      <c r="C33" t="s">
        <v>132</v>
      </c>
      <c r="D33" t="s">
        <v>2143</v>
      </c>
      <c r="E33" t="s">
        <v>2144</v>
      </c>
      <c r="F33" t="s">
        <v>145</v>
      </c>
      <c r="G33" t="s">
        <v>2240</v>
      </c>
    </row>
    <row r="34" spans="1:7" s="241" customFormat="1" ht="44.25" customHeight="1">
      <c r="A34" t="s">
        <v>2241</v>
      </c>
      <c r="B34" t="s">
        <v>2242</v>
      </c>
      <c r="C34" t="s">
        <v>132</v>
      </c>
      <c r="D34" t="s">
        <v>2139</v>
      </c>
      <c r="E34" t="s">
        <v>1367</v>
      </c>
      <c r="F34" t="s">
        <v>145</v>
      </c>
      <c r="G34" t="s">
        <v>2243</v>
      </c>
    </row>
    <row r="35" spans="1:7" s="241" customFormat="1" ht="44.25" customHeight="1">
      <c r="A35" t="s">
        <v>2244</v>
      </c>
      <c r="B35" t="s">
        <v>2245</v>
      </c>
      <c r="C35" t="s">
        <v>132</v>
      </c>
      <c r="D35" t="s">
        <v>2139</v>
      </c>
      <c r="E35" t="s">
        <v>1367</v>
      </c>
      <c r="F35" t="s">
        <v>145</v>
      </c>
      <c r="G35" t="s">
        <v>2246</v>
      </c>
    </row>
    <row r="36" spans="1:7" s="241" customFormat="1" ht="44.25" customHeight="1">
      <c r="A36" t="s">
        <v>2247</v>
      </c>
      <c r="B36" t="s">
        <v>2248</v>
      </c>
      <c r="C36" t="s">
        <v>132</v>
      </c>
      <c r="D36" t="s">
        <v>2139</v>
      </c>
      <c r="E36" t="s">
        <v>1367</v>
      </c>
      <c r="F36" t="s">
        <v>145</v>
      </c>
      <c r="G36" t="s">
        <v>2249</v>
      </c>
    </row>
    <row r="37" spans="1:7" s="241" customFormat="1" ht="44.25" customHeight="1">
      <c r="A37" t="s">
        <v>2250</v>
      </c>
      <c r="B37" t="s">
        <v>2251</v>
      </c>
      <c r="C37" t="s">
        <v>132</v>
      </c>
      <c r="D37" t="s">
        <v>2139</v>
      </c>
      <c r="E37" t="s">
        <v>1367</v>
      </c>
      <c r="F37" t="s">
        <v>145</v>
      </c>
      <c r="G37" t="s">
        <v>2252</v>
      </c>
    </row>
    <row r="38" spans="1:7" s="241" customFormat="1" ht="44.25" customHeight="1">
      <c r="A38" t="s">
        <v>2253</v>
      </c>
      <c r="B38" t="s">
        <v>2254</v>
      </c>
      <c r="C38" t="s">
        <v>132</v>
      </c>
      <c r="D38" t="s">
        <v>2139</v>
      </c>
      <c r="E38" t="s">
        <v>1367</v>
      </c>
      <c r="F38" t="s">
        <v>145</v>
      </c>
      <c r="G38" t="s">
        <v>2255</v>
      </c>
    </row>
    <row r="39" spans="1:7" s="241" customFormat="1" ht="44.25" customHeight="1">
      <c r="A39" t="s">
        <v>2256</v>
      </c>
      <c r="B39" t="s">
        <v>2257</v>
      </c>
      <c r="C39" t="s">
        <v>132</v>
      </c>
      <c r="D39" t="s">
        <v>2139</v>
      </c>
      <c r="E39" t="s">
        <v>1367</v>
      </c>
      <c r="F39" t="s">
        <v>145</v>
      </c>
      <c r="G39" t="s">
        <v>2258</v>
      </c>
    </row>
    <row r="40" spans="1:7" s="241" customFormat="1" ht="44.25" customHeight="1">
      <c r="A40" t="s">
        <v>2259</v>
      </c>
      <c r="B40" t="s">
        <v>2260</v>
      </c>
      <c r="C40" t="s">
        <v>132</v>
      </c>
      <c r="D40" t="s">
        <v>2139</v>
      </c>
      <c r="E40" t="s">
        <v>1367</v>
      </c>
      <c r="F40" t="s">
        <v>145</v>
      </c>
      <c r="G40" t="s">
        <v>2261</v>
      </c>
    </row>
    <row r="41" spans="1:7" s="241" customFormat="1" ht="44.25" customHeight="1">
      <c r="A41" t="s">
        <v>2262</v>
      </c>
      <c r="B41" t="s">
        <v>2263</v>
      </c>
      <c r="C41" t="s">
        <v>132</v>
      </c>
      <c r="D41" t="s">
        <v>2139</v>
      </c>
      <c r="E41" t="s">
        <v>1367</v>
      </c>
      <c r="F41" t="s">
        <v>145</v>
      </c>
      <c r="G41" t="s">
        <v>2264</v>
      </c>
    </row>
    <row r="42" spans="1:7" s="241" customFormat="1" ht="44.25" customHeight="1">
      <c r="A42" t="s">
        <v>2265</v>
      </c>
      <c r="B42" t="s">
        <v>2266</v>
      </c>
      <c r="C42" t="s">
        <v>132</v>
      </c>
      <c r="D42" t="s">
        <v>2139</v>
      </c>
      <c r="E42" t="s">
        <v>1367</v>
      </c>
      <c r="F42" t="s">
        <v>145</v>
      </c>
      <c r="G42" t="s">
        <v>2267</v>
      </c>
    </row>
    <row r="43" spans="1:7" s="241" customFormat="1" ht="44.25" customHeight="1">
      <c r="A43" t="s">
        <v>2268</v>
      </c>
      <c r="B43" t="s">
        <v>2269</v>
      </c>
      <c r="C43" t="s">
        <v>132</v>
      </c>
      <c r="D43" t="s">
        <v>2139</v>
      </c>
      <c r="E43" t="s">
        <v>1367</v>
      </c>
      <c r="F43" t="s">
        <v>145</v>
      </c>
      <c r="G43" t="s">
        <v>2270</v>
      </c>
    </row>
    <row r="44" spans="1:7" s="241" customFormat="1" ht="44.25" customHeight="1">
      <c r="A44" t="s">
        <v>2271</v>
      </c>
      <c r="B44" t="s">
        <v>2272</v>
      </c>
      <c r="C44" t="s">
        <v>132</v>
      </c>
      <c r="D44" t="s">
        <v>2143</v>
      </c>
      <c r="E44" t="s">
        <v>2162</v>
      </c>
      <c r="F44" t="s">
        <v>145</v>
      </c>
      <c r="G44" t="s">
        <v>2273</v>
      </c>
    </row>
    <row r="45" spans="1:7" s="241" customFormat="1" ht="44.25" customHeight="1">
      <c r="A45" t="s">
        <v>2274</v>
      </c>
      <c r="B45" t="s">
        <v>2275</v>
      </c>
      <c r="C45" t="s">
        <v>132</v>
      </c>
      <c r="D45" t="s">
        <v>2139</v>
      </c>
      <c r="E45" t="s">
        <v>2144</v>
      </c>
      <c r="F45" t="s">
        <v>145</v>
      </c>
      <c r="G45" t="s">
        <v>2276</v>
      </c>
    </row>
    <row r="46" spans="1:7" s="241" customFormat="1" ht="44.25" customHeight="1">
      <c r="A46" t="s">
        <v>2277</v>
      </c>
      <c r="B46" t="s">
        <v>2278</v>
      </c>
      <c r="C46" t="s">
        <v>132</v>
      </c>
      <c r="D46" t="s">
        <v>2139</v>
      </c>
      <c r="E46" t="s">
        <v>2144</v>
      </c>
      <c r="F46" t="s">
        <v>145</v>
      </c>
      <c r="G46" t="s">
        <v>2279</v>
      </c>
    </row>
    <row r="47" spans="1:7" s="241" customFormat="1" ht="44.25" customHeight="1">
      <c r="A47" t="s">
        <v>2280</v>
      </c>
      <c r="B47" t="s">
        <v>2281</v>
      </c>
      <c r="C47" t="s">
        <v>132</v>
      </c>
      <c r="D47" t="s">
        <v>2139</v>
      </c>
      <c r="E47" t="s">
        <v>1367</v>
      </c>
      <c r="F47" t="s">
        <v>145</v>
      </c>
      <c r="G47" t="s">
        <v>2282</v>
      </c>
    </row>
    <row r="48" spans="1:7" s="241" customFormat="1" ht="44.25" customHeight="1">
      <c r="A48" t="s">
        <v>132</v>
      </c>
      <c r="B48" t="s">
        <v>2283</v>
      </c>
      <c r="C48" t="s">
        <v>132</v>
      </c>
      <c r="D48" t="s">
        <v>2284</v>
      </c>
      <c r="E48" t="s">
        <v>2285</v>
      </c>
      <c r="F48" t="s">
        <v>145</v>
      </c>
      <c r="G48" t="s">
        <v>2286</v>
      </c>
    </row>
    <row r="49" spans="1:7" s="241" customFormat="1" ht="44.25" customHeight="1">
      <c r="A49" t="s">
        <v>1044</v>
      </c>
      <c r="B49" t="s">
        <v>132</v>
      </c>
      <c r="C49" t="s">
        <v>132</v>
      </c>
      <c r="D49" t="s">
        <v>79</v>
      </c>
      <c r="E49" t="s">
        <v>1417</v>
      </c>
      <c r="F49" t="s">
        <v>145</v>
      </c>
      <c r="G49" t="s">
        <v>2287</v>
      </c>
    </row>
    <row r="50" spans="1:7" s="241" customFormat="1" ht="44.25" customHeight="1">
      <c r="A50" t="s">
        <v>1042</v>
      </c>
      <c r="B50" t="s">
        <v>132</v>
      </c>
      <c r="C50" t="s">
        <v>132</v>
      </c>
      <c r="D50" t="s">
        <v>79</v>
      </c>
      <c r="E50" t="s">
        <v>1564</v>
      </c>
      <c r="F50" t="s">
        <v>145</v>
      </c>
      <c r="G50" t="s">
        <v>2288</v>
      </c>
    </row>
    <row r="51" spans="1:7" s="241" customFormat="1" ht="44.25" customHeight="1">
      <c r="A51" t="s">
        <v>1035</v>
      </c>
      <c r="B51" t="s">
        <v>132</v>
      </c>
      <c r="C51" t="s">
        <v>132</v>
      </c>
      <c r="D51" t="s">
        <v>79</v>
      </c>
      <c r="E51" t="s">
        <v>1563</v>
      </c>
      <c r="F51" t="s">
        <v>145</v>
      </c>
      <c r="G51" t="s">
        <v>2289</v>
      </c>
    </row>
    <row r="52" spans="1:7" s="241" customFormat="1" ht="44.25" customHeight="1">
      <c r="A52" t="s">
        <v>1010</v>
      </c>
      <c r="B52" t="s">
        <v>132</v>
      </c>
      <c r="C52" t="s">
        <v>132</v>
      </c>
      <c r="D52" t="s">
        <v>2143</v>
      </c>
      <c r="E52" t="s">
        <v>1558</v>
      </c>
      <c r="F52" t="s">
        <v>145</v>
      </c>
      <c r="G52" t="s">
        <v>2290</v>
      </c>
    </row>
    <row r="53" spans="1:7" s="241" customFormat="1" ht="44.25" customHeight="1">
      <c r="A53" t="s">
        <v>1009</v>
      </c>
      <c r="B53" t="s">
        <v>132</v>
      </c>
      <c r="C53" t="s">
        <v>132</v>
      </c>
      <c r="D53" t="s">
        <v>2143</v>
      </c>
      <c r="E53" t="s">
        <v>1558</v>
      </c>
      <c r="F53" t="s">
        <v>145</v>
      </c>
      <c r="G53" t="s">
        <v>2291</v>
      </c>
    </row>
    <row r="54" spans="1:7" s="241" customFormat="1" ht="44.25" customHeight="1">
      <c r="A54" t="s">
        <v>1008</v>
      </c>
      <c r="B54" t="s">
        <v>132</v>
      </c>
      <c r="C54" t="s">
        <v>132</v>
      </c>
      <c r="D54" t="s">
        <v>2143</v>
      </c>
      <c r="E54" t="s">
        <v>1558</v>
      </c>
      <c r="F54" t="s">
        <v>145</v>
      </c>
      <c r="G54" t="s">
        <v>2292</v>
      </c>
    </row>
    <row r="55" spans="1:7" s="241" customFormat="1" ht="44.25" customHeight="1">
      <c r="A55" t="s">
        <v>893</v>
      </c>
      <c r="B55" t="s">
        <v>132</v>
      </c>
      <c r="C55" t="s">
        <v>132</v>
      </c>
      <c r="D55" t="s">
        <v>79</v>
      </c>
      <c r="E55" t="s">
        <v>1555</v>
      </c>
      <c r="F55" t="s">
        <v>145</v>
      </c>
      <c r="G55" t="s">
        <v>2293</v>
      </c>
    </row>
    <row r="56" spans="1:7" s="241" customFormat="1" ht="44.25" customHeight="1">
      <c r="A56" t="s">
        <v>892</v>
      </c>
      <c r="B56" t="s">
        <v>132</v>
      </c>
      <c r="C56" t="s">
        <v>132</v>
      </c>
      <c r="D56" t="s">
        <v>79</v>
      </c>
      <c r="E56" t="s">
        <v>1555</v>
      </c>
      <c r="F56" t="s">
        <v>145</v>
      </c>
      <c r="G56" t="s">
        <v>2294</v>
      </c>
    </row>
    <row r="57" spans="1:7" s="241" customFormat="1" ht="44.25" customHeight="1">
      <c r="A57" t="s">
        <v>850</v>
      </c>
      <c r="B57" t="s">
        <v>132</v>
      </c>
      <c r="C57" t="s">
        <v>132</v>
      </c>
      <c r="D57" t="s">
        <v>79</v>
      </c>
      <c r="E57" t="s">
        <v>1540</v>
      </c>
      <c r="F57" t="s">
        <v>145</v>
      </c>
      <c r="G57" t="s">
        <v>2295</v>
      </c>
    </row>
    <row r="58" spans="1:7" s="241" customFormat="1" ht="44.25" customHeight="1">
      <c r="A58" t="s">
        <v>843</v>
      </c>
      <c r="B58" t="s">
        <v>132</v>
      </c>
      <c r="C58" t="s">
        <v>132</v>
      </c>
      <c r="D58" t="s">
        <v>79</v>
      </c>
      <c r="E58" t="s">
        <v>1539</v>
      </c>
      <c r="F58" t="s">
        <v>145</v>
      </c>
      <c r="G58" t="s">
        <v>2296</v>
      </c>
    </row>
    <row r="59" spans="1:7" s="241" customFormat="1" ht="44.25" customHeight="1">
      <c r="A59" t="s">
        <v>842</v>
      </c>
      <c r="B59" t="s">
        <v>132</v>
      </c>
      <c r="C59" t="s">
        <v>132</v>
      </c>
      <c r="D59" t="s">
        <v>2143</v>
      </c>
      <c r="E59" t="s">
        <v>1538</v>
      </c>
      <c r="F59" t="s">
        <v>145</v>
      </c>
      <c r="G59" t="s">
        <v>2297</v>
      </c>
    </row>
    <row r="60" spans="1:7" s="241" customFormat="1" ht="44.25" customHeight="1">
      <c r="A60" t="s">
        <v>841</v>
      </c>
      <c r="B60" t="s">
        <v>132</v>
      </c>
      <c r="C60" t="s">
        <v>132</v>
      </c>
      <c r="D60" t="s">
        <v>2143</v>
      </c>
      <c r="E60" t="s">
        <v>1537</v>
      </c>
      <c r="F60" t="s">
        <v>145</v>
      </c>
      <c r="G60" t="s">
        <v>2298</v>
      </c>
    </row>
    <row r="61" spans="1:7" s="241" customFormat="1" ht="44.25" customHeight="1">
      <c r="A61" t="s">
        <v>840</v>
      </c>
      <c r="B61" t="s">
        <v>132</v>
      </c>
      <c r="C61" t="s">
        <v>132</v>
      </c>
      <c r="D61" t="s">
        <v>2143</v>
      </c>
      <c r="E61" t="s">
        <v>1537</v>
      </c>
      <c r="F61" t="s">
        <v>145</v>
      </c>
      <c r="G61" t="s">
        <v>2299</v>
      </c>
    </row>
    <row r="62" spans="1:7" s="241" customFormat="1" ht="44.25" customHeight="1">
      <c r="A62" t="s">
        <v>817</v>
      </c>
      <c r="B62" t="s">
        <v>132</v>
      </c>
      <c r="C62" t="s">
        <v>132</v>
      </c>
      <c r="D62" t="s">
        <v>79</v>
      </c>
      <c r="E62" t="s">
        <v>1535</v>
      </c>
      <c r="F62" t="s">
        <v>145</v>
      </c>
      <c r="G62" t="s">
        <v>2300</v>
      </c>
    </row>
    <row r="63" spans="1:7" s="241" customFormat="1" ht="44.25" customHeight="1">
      <c r="A63" t="s">
        <v>812</v>
      </c>
      <c r="B63" t="s">
        <v>132</v>
      </c>
      <c r="C63" t="s">
        <v>132</v>
      </c>
      <c r="D63" t="s">
        <v>79</v>
      </c>
      <c r="E63" t="s">
        <v>1532</v>
      </c>
      <c r="F63" t="s">
        <v>145</v>
      </c>
      <c r="G63" t="s">
        <v>2301</v>
      </c>
    </row>
    <row r="64" spans="1:7" s="241" customFormat="1" ht="44.25" customHeight="1">
      <c r="A64" t="s">
        <v>811</v>
      </c>
      <c r="B64" t="s">
        <v>132</v>
      </c>
      <c r="C64" t="s">
        <v>132</v>
      </c>
      <c r="D64" t="s">
        <v>79</v>
      </c>
      <c r="E64" t="s">
        <v>1531</v>
      </c>
      <c r="F64" t="s">
        <v>145</v>
      </c>
      <c r="G64" t="s">
        <v>2302</v>
      </c>
    </row>
    <row r="65" spans="1:7" s="241" customFormat="1" ht="44.25" customHeight="1">
      <c r="A65" t="s">
        <v>802</v>
      </c>
      <c r="B65" t="s">
        <v>132</v>
      </c>
      <c r="C65" t="s">
        <v>132</v>
      </c>
      <c r="D65" t="s">
        <v>79</v>
      </c>
      <c r="E65" t="s">
        <v>1526</v>
      </c>
      <c r="F65" t="s">
        <v>145</v>
      </c>
      <c r="G65" t="s">
        <v>2303</v>
      </c>
    </row>
    <row r="66" spans="1:7" s="241" customFormat="1" ht="44.25" customHeight="1">
      <c r="A66" t="s">
        <v>801</v>
      </c>
      <c r="B66" t="s">
        <v>132</v>
      </c>
      <c r="C66" t="s">
        <v>132</v>
      </c>
      <c r="D66" t="s">
        <v>79</v>
      </c>
      <c r="E66" t="s">
        <v>1525</v>
      </c>
      <c r="F66" t="s">
        <v>145</v>
      </c>
      <c r="G66" t="s">
        <v>2304</v>
      </c>
    </row>
    <row r="67" spans="1:7" s="241" customFormat="1" ht="44.25" customHeight="1">
      <c r="A67" t="s">
        <v>799</v>
      </c>
      <c r="B67" t="s">
        <v>132</v>
      </c>
      <c r="C67" t="s">
        <v>132</v>
      </c>
      <c r="D67" t="s">
        <v>79</v>
      </c>
      <c r="E67" t="s">
        <v>1524</v>
      </c>
      <c r="F67" t="s">
        <v>145</v>
      </c>
      <c r="G67" t="s">
        <v>2305</v>
      </c>
    </row>
    <row r="68" spans="1:7" s="241" customFormat="1" ht="44.25" customHeight="1">
      <c r="A68" t="s">
        <v>771</v>
      </c>
      <c r="B68" t="s">
        <v>132</v>
      </c>
      <c r="C68" t="s">
        <v>132</v>
      </c>
      <c r="D68" t="s">
        <v>2143</v>
      </c>
      <c r="E68" t="s">
        <v>1522</v>
      </c>
      <c r="F68" t="s">
        <v>145</v>
      </c>
      <c r="G68" t="s">
        <v>2306</v>
      </c>
    </row>
    <row r="69" spans="1:7" s="241" customFormat="1" ht="44.25" customHeight="1">
      <c r="A69" t="s">
        <v>720</v>
      </c>
      <c r="B69" t="s">
        <v>132</v>
      </c>
      <c r="C69" t="s">
        <v>132</v>
      </c>
      <c r="D69" t="s">
        <v>79</v>
      </c>
      <c r="E69" t="s">
        <v>1520</v>
      </c>
      <c r="F69" t="s">
        <v>145</v>
      </c>
      <c r="G69" t="s">
        <v>2307</v>
      </c>
    </row>
    <row r="70" spans="1:7" s="241" customFormat="1" ht="44.25" customHeight="1">
      <c r="A70" t="s">
        <v>719</v>
      </c>
      <c r="B70" t="s">
        <v>132</v>
      </c>
      <c r="C70" t="s">
        <v>132</v>
      </c>
      <c r="D70" t="s">
        <v>79</v>
      </c>
      <c r="E70" t="s">
        <v>1520</v>
      </c>
      <c r="F70" t="s">
        <v>145</v>
      </c>
      <c r="G70" t="s">
        <v>2308</v>
      </c>
    </row>
    <row r="71" spans="1:7" s="241" customFormat="1" ht="44.25" customHeight="1">
      <c r="A71" t="s">
        <v>655</v>
      </c>
      <c r="B71" t="s">
        <v>132</v>
      </c>
      <c r="C71" t="s">
        <v>132</v>
      </c>
      <c r="D71" t="s">
        <v>1372</v>
      </c>
      <c r="E71" t="s">
        <v>1518</v>
      </c>
      <c r="F71" t="s">
        <v>145</v>
      </c>
      <c r="G71" t="s">
        <v>2309</v>
      </c>
    </row>
    <row r="72" spans="1:7" s="241" customFormat="1" ht="44.25" customHeight="1">
      <c r="A72" t="s">
        <v>651</v>
      </c>
      <c r="B72" t="s">
        <v>132</v>
      </c>
      <c r="C72" t="s">
        <v>132</v>
      </c>
      <c r="D72" t="s">
        <v>79</v>
      </c>
      <c r="E72" t="s">
        <v>1516</v>
      </c>
      <c r="F72" t="s">
        <v>145</v>
      </c>
      <c r="G72" t="s">
        <v>2310</v>
      </c>
    </row>
    <row r="73" spans="1:7" s="241" customFormat="1" ht="44.25" customHeight="1">
      <c r="A73" t="s">
        <v>610</v>
      </c>
      <c r="B73" t="s">
        <v>132</v>
      </c>
      <c r="C73" t="s">
        <v>132</v>
      </c>
      <c r="D73" t="s">
        <v>79</v>
      </c>
      <c r="E73" t="s">
        <v>1508</v>
      </c>
      <c r="F73" t="s">
        <v>145</v>
      </c>
      <c r="G73" t="s">
        <v>2311</v>
      </c>
    </row>
    <row r="74" spans="1:7" s="241" customFormat="1" ht="44.25" customHeight="1">
      <c r="A74" t="s">
        <v>603</v>
      </c>
      <c r="B74" t="s">
        <v>132</v>
      </c>
      <c r="C74" t="s">
        <v>132</v>
      </c>
      <c r="D74" t="s">
        <v>79</v>
      </c>
      <c r="E74" t="s">
        <v>1506</v>
      </c>
      <c r="F74" t="s">
        <v>145</v>
      </c>
      <c r="G74" t="s">
        <v>2312</v>
      </c>
    </row>
    <row r="75" spans="1:7" s="241" customFormat="1" ht="44.25" customHeight="1">
      <c r="A75" t="s">
        <v>602</v>
      </c>
      <c r="B75" t="s">
        <v>132</v>
      </c>
      <c r="C75" t="s">
        <v>132</v>
      </c>
      <c r="D75" t="s">
        <v>79</v>
      </c>
      <c r="E75" t="s">
        <v>1506</v>
      </c>
      <c r="F75" t="s">
        <v>145</v>
      </c>
      <c r="G75" t="s">
        <v>2313</v>
      </c>
    </row>
    <row r="76" spans="1:7" s="241" customFormat="1" ht="44.25" customHeight="1">
      <c r="A76" t="s">
        <v>599</v>
      </c>
      <c r="B76" t="s">
        <v>132</v>
      </c>
      <c r="C76" t="s">
        <v>132</v>
      </c>
      <c r="D76" t="s">
        <v>79</v>
      </c>
      <c r="E76" t="s">
        <v>1505</v>
      </c>
      <c r="F76" t="s">
        <v>145</v>
      </c>
      <c r="G76" t="s">
        <v>2314</v>
      </c>
    </row>
    <row r="77" spans="1:7" s="241" customFormat="1" ht="44.25" customHeight="1">
      <c r="A77" t="s">
        <v>594</v>
      </c>
      <c r="B77" t="s">
        <v>132</v>
      </c>
      <c r="C77" t="s">
        <v>132</v>
      </c>
      <c r="D77" t="s">
        <v>79</v>
      </c>
      <c r="E77" t="s">
        <v>1504</v>
      </c>
      <c r="F77" t="s">
        <v>145</v>
      </c>
      <c r="G77" t="s">
        <v>2315</v>
      </c>
    </row>
    <row r="78" spans="1:7" s="241" customFormat="1" ht="44.25" customHeight="1">
      <c r="A78" t="s">
        <v>589</v>
      </c>
      <c r="B78" t="s">
        <v>132</v>
      </c>
      <c r="C78" t="s">
        <v>132</v>
      </c>
      <c r="D78" t="s">
        <v>79</v>
      </c>
      <c r="E78" t="s">
        <v>1503</v>
      </c>
      <c r="F78" t="s">
        <v>145</v>
      </c>
      <c r="G78" t="s">
        <v>2316</v>
      </c>
    </row>
    <row r="79" spans="1:7" s="241" customFormat="1" ht="44.25" customHeight="1">
      <c r="A79" t="s">
        <v>582</v>
      </c>
      <c r="B79" t="s">
        <v>132</v>
      </c>
      <c r="C79" t="s">
        <v>132</v>
      </c>
      <c r="D79" t="s">
        <v>2317</v>
      </c>
      <c r="E79" t="s">
        <v>1501</v>
      </c>
      <c r="F79" t="s">
        <v>145</v>
      </c>
      <c r="G79" t="s">
        <v>2318</v>
      </c>
    </row>
    <row r="80" spans="1:7" s="241" customFormat="1" ht="44.25" customHeight="1">
      <c r="A80" t="s">
        <v>580</v>
      </c>
      <c r="B80" t="s">
        <v>132</v>
      </c>
      <c r="C80" t="s">
        <v>132</v>
      </c>
      <c r="D80" t="s">
        <v>2143</v>
      </c>
      <c r="E80" t="s">
        <v>1500</v>
      </c>
      <c r="F80" t="s">
        <v>145</v>
      </c>
      <c r="G80" t="s">
        <v>2319</v>
      </c>
    </row>
    <row r="81" spans="1:7" s="241" customFormat="1" ht="44.25" customHeight="1">
      <c r="A81" t="s">
        <v>574</v>
      </c>
      <c r="B81" t="s">
        <v>132</v>
      </c>
      <c r="C81" t="s">
        <v>132</v>
      </c>
      <c r="D81" t="s">
        <v>79</v>
      </c>
      <c r="E81" t="s">
        <v>1499</v>
      </c>
      <c r="F81" t="s">
        <v>145</v>
      </c>
      <c r="G81" t="s">
        <v>2320</v>
      </c>
    </row>
    <row r="82" spans="1:7" s="241" customFormat="1" ht="44.25" customHeight="1">
      <c r="A82" t="s">
        <v>569</v>
      </c>
      <c r="B82" t="s">
        <v>132</v>
      </c>
      <c r="C82" t="s">
        <v>132</v>
      </c>
      <c r="D82" t="s">
        <v>79</v>
      </c>
      <c r="E82" t="s">
        <v>1498</v>
      </c>
      <c r="F82" t="s">
        <v>145</v>
      </c>
      <c r="G82" t="s">
        <v>2321</v>
      </c>
    </row>
    <row r="83" spans="1:7" s="241" customFormat="1" ht="44.25" customHeight="1">
      <c r="A83" t="s">
        <v>567</v>
      </c>
      <c r="B83" t="s">
        <v>132</v>
      </c>
      <c r="C83" t="s">
        <v>132</v>
      </c>
      <c r="D83" t="s">
        <v>79</v>
      </c>
      <c r="E83" t="s">
        <v>1497</v>
      </c>
      <c r="F83" t="s">
        <v>145</v>
      </c>
      <c r="G83" t="s">
        <v>2322</v>
      </c>
    </row>
    <row r="84" spans="1:7" s="241" customFormat="1" ht="44.25" customHeight="1">
      <c r="A84" t="s">
        <v>566</v>
      </c>
      <c r="B84" t="s">
        <v>132</v>
      </c>
      <c r="C84" t="s">
        <v>132</v>
      </c>
      <c r="D84" t="s">
        <v>79</v>
      </c>
      <c r="E84" t="s">
        <v>1496</v>
      </c>
      <c r="F84" t="s">
        <v>145</v>
      </c>
      <c r="G84" t="s">
        <v>2323</v>
      </c>
    </row>
    <row r="85" spans="1:7" s="241" customFormat="1" ht="44.25" customHeight="1">
      <c r="A85" t="s">
        <v>559</v>
      </c>
      <c r="B85" t="s">
        <v>132</v>
      </c>
      <c r="C85" t="s">
        <v>132</v>
      </c>
      <c r="D85" t="s">
        <v>1460</v>
      </c>
      <c r="E85" t="s">
        <v>1495</v>
      </c>
      <c r="F85" t="s">
        <v>145</v>
      </c>
      <c r="G85" t="s">
        <v>2324</v>
      </c>
    </row>
    <row r="86" spans="1:7" s="241" customFormat="1" ht="44.25" customHeight="1">
      <c r="A86" t="s">
        <v>558</v>
      </c>
      <c r="B86" t="s">
        <v>132</v>
      </c>
      <c r="C86" t="s">
        <v>132</v>
      </c>
      <c r="D86" t="s">
        <v>79</v>
      </c>
      <c r="E86" t="s">
        <v>1495</v>
      </c>
      <c r="F86" t="s">
        <v>145</v>
      </c>
      <c r="G86" t="s">
        <v>2325</v>
      </c>
    </row>
    <row r="87" spans="1:7" s="241" customFormat="1" ht="44.25" customHeight="1">
      <c r="A87" t="s">
        <v>555</v>
      </c>
      <c r="B87" t="s">
        <v>132</v>
      </c>
      <c r="C87" t="s">
        <v>132</v>
      </c>
      <c r="D87" t="s">
        <v>80</v>
      </c>
      <c r="E87" t="s">
        <v>1493</v>
      </c>
      <c r="F87" t="s">
        <v>145</v>
      </c>
      <c r="G87" t="s">
        <v>2326</v>
      </c>
    </row>
    <row r="88" spans="1:7" s="241" customFormat="1" ht="44.25" customHeight="1">
      <c r="A88" t="s">
        <v>535</v>
      </c>
      <c r="B88" t="s">
        <v>132</v>
      </c>
      <c r="C88" t="s">
        <v>132</v>
      </c>
      <c r="D88" t="s">
        <v>80</v>
      </c>
      <c r="E88" t="s">
        <v>1492</v>
      </c>
      <c r="F88" t="s">
        <v>145</v>
      </c>
      <c r="G88" t="s">
        <v>2327</v>
      </c>
    </row>
    <row r="89" spans="1:7" s="241" customFormat="1" ht="44.25" customHeight="1">
      <c r="A89" t="s">
        <v>528</v>
      </c>
      <c r="B89" t="s">
        <v>132</v>
      </c>
      <c r="C89" t="s">
        <v>132</v>
      </c>
      <c r="D89" t="s">
        <v>79</v>
      </c>
      <c r="E89" t="s">
        <v>1491</v>
      </c>
      <c r="F89" t="s">
        <v>145</v>
      </c>
      <c r="G89" t="s">
        <v>2328</v>
      </c>
    </row>
    <row r="90" spans="1:7" s="241" customFormat="1" ht="44.25" customHeight="1">
      <c r="A90" t="s">
        <v>523</v>
      </c>
      <c r="B90" t="s">
        <v>132</v>
      </c>
      <c r="C90" t="s">
        <v>132</v>
      </c>
      <c r="D90" t="s">
        <v>79</v>
      </c>
      <c r="E90" t="s">
        <v>1490</v>
      </c>
      <c r="F90" t="s">
        <v>145</v>
      </c>
      <c r="G90" t="s">
        <v>2329</v>
      </c>
    </row>
    <row r="91" spans="1:7" s="241" customFormat="1" ht="44.25" customHeight="1">
      <c r="A91" t="s">
        <v>522</v>
      </c>
      <c r="B91" t="s">
        <v>132</v>
      </c>
      <c r="C91" t="s">
        <v>132</v>
      </c>
      <c r="D91" t="s">
        <v>79</v>
      </c>
      <c r="E91" t="s">
        <v>1489</v>
      </c>
      <c r="F91" t="s">
        <v>145</v>
      </c>
      <c r="G91" t="s">
        <v>2330</v>
      </c>
    </row>
    <row r="92" spans="1:7" s="241" customFormat="1" ht="44.25" customHeight="1">
      <c r="A92" t="s">
        <v>521</v>
      </c>
      <c r="B92" t="s">
        <v>132</v>
      </c>
      <c r="C92" t="s">
        <v>132</v>
      </c>
      <c r="D92" t="s">
        <v>79</v>
      </c>
      <c r="E92" t="s">
        <v>1489</v>
      </c>
      <c r="F92" t="s">
        <v>145</v>
      </c>
      <c r="G92" t="s">
        <v>2331</v>
      </c>
    </row>
    <row r="93" spans="1:7" s="241" customFormat="1" ht="44.25" customHeight="1">
      <c r="A93" t="s">
        <v>1488</v>
      </c>
      <c r="B93" t="s">
        <v>132</v>
      </c>
      <c r="C93" t="s">
        <v>132</v>
      </c>
      <c r="D93" t="s">
        <v>79</v>
      </c>
      <c r="E93" t="s">
        <v>1487</v>
      </c>
      <c r="F93" t="s">
        <v>145</v>
      </c>
      <c r="G93" t="s">
        <v>2332</v>
      </c>
    </row>
    <row r="94" spans="1:7" s="241" customFormat="1" ht="44.25" customHeight="1">
      <c r="A94" t="s">
        <v>1486</v>
      </c>
      <c r="B94" t="s">
        <v>132</v>
      </c>
      <c r="C94" t="s">
        <v>132</v>
      </c>
      <c r="D94" t="s">
        <v>79</v>
      </c>
      <c r="E94" t="s">
        <v>1487</v>
      </c>
      <c r="F94" t="s">
        <v>145</v>
      </c>
      <c r="G94" t="s">
        <v>2333</v>
      </c>
    </row>
    <row r="95" spans="1:7" s="241" customFormat="1" ht="44.25" customHeight="1">
      <c r="A95" t="s">
        <v>519</v>
      </c>
      <c r="B95" t="s">
        <v>132</v>
      </c>
      <c r="C95" t="s">
        <v>132</v>
      </c>
      <c r="D95" t="s">
        <v>79</v>
      </c>
      <c r="E95" t="s">
        <v>1484</v>
      </c>
      <c r="F95" t="s">
        <v>145</v>
      </c>
      <c r="G95" t="s">
        <v>2334</v>
      </c>
    </row>
    <row r="96" spans="1:7" s="241" customFormat="1" ht="44.25" customHeight="1">
      <c r="A96" t="s">
        <v>516</v>
      </c>
      <c r="B96" t="s">
        <v>132</v>
      </c>
      <c r="C96" t="s">
        <v>132</v>
      </c>
      <c r="D96" t="s">
        <v>79</v>
      </c>
      <c r="E96" t="s">
        <v>1481</v>
      </c>
      <c r="F96" t="s">
        <v>145</v>
      </c>
      <c r="G96" t="s">
        <v>2335</v>
      </c>
    </row>
    <row r="97" spans="1:7" s="241" customFormat="1" ht="44.25" customHeight="1">
      <c r="A97" t="s">
        <v>504</v>
      </c>
      <c r="B97" t="s">
        <v>132</v>
      </c>
      <c r="C97" t="s">
        <v>132</v>
      </c>
      <c r="D97" t="s">
        <v>79</v>
      </c>
      <c r="E97" t="s">
        <v>1478</v>
      </c>
      <c r="F97" t="s">
        <v>145</v>
      </c>
      <c r="G97" t="s">
        <v>2336</v>
      </c>
    </row>
    <row r="98" spans="1:7" s="241" customFormat="1" ht="44.25" customHeight="1">
      <c r="A98" t="s">
        <v>463</v>
      </c>
      <c r="B98" t="s">
        <v>132</v>
      </c>
      <c r="C98" t="s">
        <v>132</v>
      </c>
      <c r="D98" t="s">
        <v>79</v>
      </c>
      <c r="E98" t="s">
        <v>1477</v>
      </c>
      <c r="F98" t="s">
        <v>145</v>
      </c>
      <c r="G98" t="s">
        <v>2337</v>
      </c>
    </row>
    <row r="99" spans="1:7" s="241" customFormat="1" ht="44.25" customHeight="1">
      <c r="A99" t="s">
        <v>456</v>
      </c>
      <c r="B99" t="s">
        <v>132</v>
      </c>
      <c r="C99" t="s">
        <v>132</v>
      </c>
      <c r="D99" t="s">
        <v>79</v>
      </c>
      <c r="E99" t="s">
        <v>1475</v>
      </c>
      <c r="F99" t="s">
        <v>145</v>
      </c>
      <c r="G99" t="s">
        <v>2338</v>
      </c>
    </row>
    <row r="100" spans="1:7" s="241" customFormat="1" ht="44.25" customHeight="1">
      <c r="A100" t="s">
        <v>449</v>
      </c>
      <c r="B100" t="s">
        <v>132</v>
      </c>
      <c r="C100" t="s">
        <v>132</v>
      </c>
      <c r="D100" t="s">
        <v>79</v>
      </c>
      <c r="E100" t="s">
        <v>1472</v>
      </c>
      <c r="F100" t="s">
        <v>145</v>
      </c>
      <c r="G100" t="s">
        <v>2339</v>
      </c>
    </row>
    <row r="101" spans="1:7" s="241" customFormat="1" ht="44.25" customHeight="1">
      <c r="A101" t="s">
        <v>447</v>
      </c>
      <c r="B101" t="s">
        <v>132</v>
      </c>
      <c r="C101" t="s">
        <v>132</v>
      </c>
      <c r="D101" t="s">
        <v>79</v>
      </c>
      <c r="E101" t="s">
        <v>1470</v>
      </c>
      <c r="F101" t="s">
        <v>145</v>
      </c>
      <c r="G101" t="s">
        <v>2340</v>
      </c>
    </row>
    <row r="102" spans="1:7" s="241" customFormat="1" ht="44.25" customHeight="1">
      <c r="A102" t="s">
        <v>446</v>
      </c>
      <c r="B102" t="s">
        <v>132</v>
      </c>
      <c r="C102" t="s">
        <v>132</v>
      </c>
      <c r="D102" t="s">
        <v>79</v>
      </c>
      <c r="E102" t="s">
        <v>1470</v>
      </c>
      <c r="F102" t="s">
        <v>145</v>
      </c>
      <c r="G102" t="s">
        <v>2341</v>
      </c>
    </row>
    <row r="103" spans="1:7" s="241" customFormat="1" ht="44.25" customHeight="1">
      <c r="A103" t="s">
        <v>441</v>
      </c>
      <c r="B103" t="s">
        <v>132</v>
      </c>
      <c r="C103" t="s">
        <v>132</v>
      </c>
      <c r="D103" t="s">
        <v>79</v>
      </c>
      <c r="E103" t="s">
        <v>1468</v>
      </c>
      <c r="F103" t="s">
        <v>145</v>
      </c>
      <c r="G103" t="s">
        <v>2342</v>
      </c>
    </row>
    <row r="104" spans="1:7" s="241" customFormat="1" ht="44.25" customHeight="1">
      <c r="A104" t="s">
        <v>440</v>
      </c>
      <c r="B104" t="s">
        <v>132</v>
      </c>
      <c r="C104" t="s">
        <v>132</v>
      </c>
      <c r="D104" t="s">
        <v>79</v>
      </c>
      <c r="E104" t="s">
        <v>1467</v>
      </c>
      <c r="F104" t="s">
        <v>145</v>
      </c>
      <c r="G104" t="s">
        <v>2343</v>
      </c>
    </row>
    <row r="105" spans="1:7" s="241" customFormat="1" ht="44.25" customHeight="1">
      <c r="A105" t="s">
        <v>436</v>
      </c>
      <c r="B105" t="s">
        <v>132</v>
      </c>
      <c r="C105" t="s">
        <v>132</v>
      </c>
      <c r="D105" t="s">
        <v>79</v>
      </c>
      <c r="E105" t="s">
        <v>1466</v>
      </c>
      <c r="F105" t="s">
        <v>145</v>
      </c>
      <c r="G105" t="s">
        <v>2344</v>
      </c>
    </row>
    <row r="106" spans="1:7" s="241" customFormat="1" ht="44.25" customHeight="1">
      <c r="A106" t="s">
        <v>435</v>
      </c>
      <c r="B106" t="s">
        <v>132</v>
      </c>
      <c r="C106" t="s">
        <v>132</v>
      </c>
      <c r="D106" t="s">
        <v>79</v>
      </c>
      <c r="E106" t="s">
        <v>1466</v>
      </c>
      <c r="F106" t="s">
        <v>145</v>
      </c>
      <c r="G106" t="s">
        <v>2345</v>
      </c>
    </row>
    <row r="107" spans="1:7" s="241" customFormat="1" ht="44.25" customHeight="1">
      <c r="A107" t="s">
        <v>406</v>
      </c>
      <c r="B107" t="s">
        <v>132</v>
      </c>
      <c r="C107" t="s">
        <v>132</v>
      </c>
      <c r="D107" t="s">
        <v>79</v>
      </c>
      <c r="E107" t="s">
        <v>1463</v>
      </c>
      <c r="F107" t="s">
        <v>145</v>
      </c>
      <c r="G107" t="s">
        <v>2346</v>
      </c>
    </row>
    <row r="108" spans="1:7" s="241" customFormat="1" ht="44.25" customHeight="1">
      <c r="A108" t="s">
        <v>405</v>
      </c>
      <c r="B108" t="s">
        <v>132</v>
      </c>
      <c r="C108" t="s">
        <v>132</v>
      </c>
      <c r="D108" t="s">
        <v>79</v>
      </c>
      <c r="E108" t="s">
        <v>1417</v>
      </c>
      <c r="F108" t="s">
        <v>145</v>
      </c>
      <c r="G108" t="s">
        <v>2347</v>
      </c>
    </row>
    <row r="109" spans="1:7" s="241" customFormat="1" ht="44.25" customHeight="1">
      <c r="A109" t="s">
        <v>401</v>
      </c>
      <c r="B109" t="s">
        <v>132</v>
      </c>
      <c r="C109" t="s">
        <v>132</v>
      </c>
      <c r="D109" t="s">
        <v>79</v>
      </c>
      <c r="E109" t="s">
        <v>1417</v>
      </c>
      <c r="F109" t="s">
        <v>145</v>
      </c>
      <c r="G109" t="s">
        <v>2348</v>
      </c>
    </row>
    <row r="110" spans="1:7" s="241" customFormat="1" ht="44.25" customHeight="1">
      <c r="A110" t="s">
        <v>396</v>
      </c>
      <c r="B110" t="s">
        <v>132</v>
      </c>
      <c r="C110" t="s">
        <v>132</v>
      </c>
      <c r="D110" t="s">
        <v>79</v>
      </c>
      <c r="E110" t="s">
        <v>1461</v>
      </c>
      <c r="F110" t="s">
        <v>145</v>
      </c>
      <c r="G110" t="s">
        <v>2349</v>
      </c>
    </row>
    <row r="111" spans="1:7" s="241" customFormat="1" ht="44.25" customHeight="1">
      <c r="A111" t="s">
        <v>322</v>
      </c>
      <c r="B111" t="s">
        <v>132</v>
      </c>
      <c r="C111" t="s">
        <v>132</v>
      </c>
      <c r="D111" t="s">
        <v>2317</v>
      </c>
      <c r="E111" t="s">
        <v>1449</v>
      </c>
      <c r="F111" t="s">
        <v>145</v>
      </c>
      <c r="G111" t="s">
        <v>2350</v>
      </c>
    </row>
    <row r="112" spans="1:7" s="241" customFormat="1" ht="44.25" customHeight="1">
      <c r="A112" t="s">
        <v>317</v>
      </c>
      <c r="B112" t="s">
        <v>132</v>
      </c>
      <c r="C112" t="s">
        <v>132</v>
      </c>
      <c r="D112" t="s">
        <v>2317</v>
      </c>
      <c r="E112" t="s">
        <v>1448</v>
      </c>
      <c r="F112" t="s">
        <v>145</v>
      </c>
      <c r="G112" t="s">
        <v>2351</v>
      </c>
    </row>
    <row r="113" spans="1:7" s="241" customFormat="1" ht="44.25" customHeight="1">
      <c r="A113" t="s">
        <v>316</v>
      </c>
      <c r="B113" t="s">
        <v>132</v>
      </c>
      <c r="C113" t="s">
        <v>132</v>
      </c>
      <c r="D113" t="s">
        <v>2317</v>
      </c>
      <c r="E113" t="s">
        <v>1448</v>
      </c>
      <c r="F113" t="s">
        <v>145</v>
      </c>
      <c r="G113" t="s">
        <v>2352</v>
      </c>
    </row>
    <row r="114" spans="1:7" s="241" customFormat="1" ht="44.25" customHeight="1">
      <c r="A114" t="s">
        <v>314</v>
      </c>
      <c r="B114" t="s">
        <v>132</v>
      </c>
      <c r="C114" t="s">
        <v>132</v>
      </c>
      <c r="D114" t="s">
        <v>79</v>
      </c>
      <c r="E114" t="s">
        <v>1447</v>
      </c>
      <c r="F114" t="s">
        <v>145</v>
      </c>
      <c r="G114" t="s">
        <v>2353</v>
      </c>
    </row>
    <row r="115" spans="1:7" s="241" customFormat="1" ht="44.25" customHeight="1">
      <c r="A115" t="s">
        <v>302</v>
      </c>
      <c r="B115" t="s">
        <v>132</v>
      </c>
      <c r="C115" t="s">
        <v>132</v>
      </c>
      <c r="D115" t="s">
        <v>79</v>
      </c>
      <c r="E115" t="s">
        <v>1446</v>
      </c>
      <c r="F115" t="s">
        <v>145</v>
      </c>
      <c r="G115" t="s">
        <v>2354</v>
      </c>
    </row>
    <row r="116" spans="1:7" s="241" customFormat="1" ht="44.25" customHeight="1">
      <c r="A116" t="s">
        <v>1416</v>
      </c>
      <c r="B116" t="s">
        <v>132</v>
      </c>
      <c r="C116" t="s">
        <v>132</v>
      </c>
      <c r="D116" t="s">
        <v>79</v>
      </c>
      <c r="E116" t="s">
        <v>1417</v>
      </c>
      <c r="F116" t="s">
        <v>145</v>
      </c>
      <c r="G116" t="s">
        <v>2355</v>
      </c>
    </row>
    <row r="117" spans="1:7" s="241" customFormat="1" ht="44.25" customHeight="1">
      <c r="A117" t="s">
        <v>2356</v>
      </c>
      <c r="B117" t="s">
        <v>132</v>
      </c>
      <c r="C117" t="s">
        <v>132</v>
      </c>
      <c r="D117" t="s">
        <v>79</v>
      </c>
      <c r="E117" t="s">
        <v>2357</v>
      </c>
      <c r="F117" t="s">
        <v>145</v>
      </c>
      <c r="G117" t="s">
        <v>2358</v>
      </c>
    </row>
    <row r="118" spans="1:7" s="241" customFormat="1" ht="44.25" customHeight="1">
      <c r="A118" t="s">
        <v>2359</v>
      </c>
      <c r="B118" t="s">
        <v>132</v>
      </c>
      <c r="C118" t="s">
        <v>132</v>
      </c>
      <c r="D118" t="s">
        <v>79</v>
      </c>
      <c r="E118" t="s">
        <v>2357</v>
      </c>
      <c r="F118" t="s">
        <v>145</v>
      </c>
      <c r="G118" t="s">
        <v>2360</v>
      </c>
    </row>
    <row r="119" spans="1:7" s="241" customFormat="1" ht="44.25" customHeight="1">
      <c r="A119" t="s">
        <v>2361</v>
      </c>
      <c r="B119" t="s">
        <v>132</v>
      </c>
      <c r="C119" t="s">
        <v>132</v>
      </c>
      <c r="D119" t="s">
        <v>79</v>
      </c>
      <c r="E119" t="s">
        <v>2357</v>
      </c>
      <c r="F119" t="s">
        <v>145</v>
      </c>
      <c r="G119" t="s">
        <v>2362</v>
      </c>
    </row>
    <row r="120" spans="1:7" s="241" customFormat="1" ht="44.25" customHeight="1">
      <c r="A120" t="s">
        <v>2363</v>
      </c>
      <c r="B120" t="s">
        <v>132</v>
      </c>
      <c r="C120" t="s">
        <v>132</v>
      </c>
      <c r="D120" t="s">
        <v>2143</v>
      </c>
      <c r="E120" t="s">
        <v>2364</v>
      </c>
      <c r="F120" t="s">
        <v>145</v>
      </c>
      <c r="G120" t="s">
        <v>2365</v>
      </c>
    </row>
    <row r="121" spans="1:7" s="241" customFormat="1" ht="44.25" customHeight="1">
      <c r="A121" t="s">
        <v>2366</v>
      </c>
      <c r="B121" t="s">
        <v>132</v>
      </c>
      <c r="C121" t="s">
        <v>132</v>
      </c>
      <c r="D121" t="s">
        <v>2143</v>
      </c>
      <c r="E121" t="s">
        <v>2364</v>
      </c>
      <c r="F121" t="s">
        <v>145</v>
      </c>
      <c r="G121" t="s">
        <v>2367</v>
      </c>
    </row>
    <row r="122" spans="1:7" s="241" customFormat="1" ht="44.25" customHeight="1">
      <c r="A122" t="s">
        <v>2368</v>
      </c>
      <c r="B122" t="s">
        <v>132</v>
      </c>
      <c r="C122" t="s">
        <v>132</v>
      </c>
      <c r="D122" t="s">
        <v>79</v>
      </c>
      <c r="E122" t="s">
        <v>2369</v>
      </c>
      <c r="F122" t="s">
        <v>145</v>
      </c>
      <c r="G122" t="s">
        <v>2370</v>
      </c>
    </row>
    <row r="123" spans="1:7" s="241" customFormat="1" ht="44.25" customHeight="1">
      <c r="A123" t="s">
        <v>2371</v>
      </c>
      <c r="B123" t="s">
        <v>132</v>
      </c>
      <c r="C123" t="s">
        <v>132</v>
      </c>
      <c r="D123" t="s">
        <v>2143</v>
      </c>
      <c r="E123" t="s">
        <v>2372</v>
      </c>
      <c r="F123" t="s">
        <v>145</v>
      </c>
      <c r="G123" t="s">
        <v>2373</v>
      </c>
    </row>
    <row r="124" spans="1:7" s="241" customFormat="1" ht="44.25" customHeight="1">
      <c r="A124" t="s">
        <v>2374</v>
      </c>
      <c r="B124" t="s">
        <v>132</v>
      </c>
      <c r="C124" t="s">
        <v>132</v>
      </c>
      <c r="D124" t="s">
        <v>79</v>
      </c>
      <c r="E124" t="s">
        <v>2375</v>
      </c>
      <c r="F124" t="s">
        <v>145</v>
      </c>
      <c r="G124" t="s">
        <v>2376</v>
      </c>
    </row>
    <row r="125" spans="1:7" s="241" customFormat="1" ht="44.25" customHeight="1">
      <c r="A125" t="s">
        <v>2377</v>
      </c>
      <c r="B125" t="s">
        <v>132</v>
      </c>
      <c r="C125" t="s">
        <v>132</v>
      </c>
      <c r="D125" t="s">
        <v>79</v>
      </c>
      <c r="E125" t="s">
        <v>2378</v>
      </c>
      <c r="F125" t="s">
        <v>145</v>
      </c>
      <c r="G125" t="s">
        <v>2379</v>
      </c>
    </row>
    <row r="126" spans="1:7" s="241" customFormat="1" ht="44.25" customHeight="1">
      <c r="A126" t="s">
        <v>2380</v>
      </c>
      <c r="B126" t="s">
        <v>132</v>
      </c>
      <c r="C126" t="s">
        <v>132</v>
      </c>
      <c r="D126" t="s">
        <v>79</v>
      </c>
      <c r="E126" t="s">
        <v>2381</v>
      </c>
      <c r="F126" t="s">
        <v>145</v>
      </c>
      <c r="G126" t="s">
        <v>2382</v>
      </c>
    </row>
    <row r="127" spans="1:7" s="241" customFormat="1" ht="44.25" customHeight="1">
      <c r="A127" t="s">
        <v>2383</v>
      </c>
      <c r="B127" t="s">
        <v>132</v>
      </c>
      <c r="C127" t="s">
        <v>132</v>
      </c>
      <c r="D127" t="s">
        <v>79</v>
      </c>
      <c r="E127" t="s">
        <v>2384</v>
      </c>
      <c r="F127" t="s">
        <v>145</v>
      </c>
      <c r="G127" t="s">
        <v>2385</v>
      </c>
    </row>
    <row r="128" spans="1:7" s="241" customFormat="1" ht="44.25" customHeight="1">
      <c r="A128" t="s">
        <v>2386</v>
      </c>
      <c r="B128" t="s">
        <v>132</v>
      </c>
      <c r="C128" t="s">
        <v>132</v>
      </c>
      <c r="D128" t="s">
        <v>79</v>
      </c>
      <c r="E128" t="s">
        <v>2387</v>
      </c>
      <c r="F128" t="s">
        <v>145</v>
      </c>
      <c r="G128" t="s">
        <v>2388</v>
      </c>
    </row>
    <row r="129" spans="1:7" s="241" customFormat="1" ht="44.25" customHeight="1">
      <c r="A129" t="s">
        <v>2389</v>
      </c>
      <c r="B129" t="s">
        <v>132</v>
      </c>
      <c r="C129" t="s">
        <v>132</v>
      </c>
      <c r="D129" t="s">
        <v>79</v>
      </c>
      <c r="E129" t="s">
        <v>2387</v>
      </c>
      <c r="F129" t="s">
        <v>145</v>
      </c>
      <c r="G129" t="s">
        <v>2390</v>
      </c>
    </row>
    <row r="130" spans="1:7" s="241" customFormat="1" ht="44.25" customHeight="1">
      <c r="A130" t="s">
        <v>2391</v>
      </c>
      <c r="B130" t="s">
        <v>132</v>
      </c>
      <c r="C130" t="s">
        <v>132</v>
      </c>
      <c r="D130" t="s">
        <v>79</v>
      </c>
      <c r="E130" t="s">
        <v>2387</v>
      </c>
      <c r="F130" t="s">
        <v>145</v>
      </c>
      <c r="G130" t="s">
        <v>2392</v>
      </c>
    </row>
    <row r="131" spans="1:7" s="241" customFormat="1" ht="44.25" customHeight="1">
      <c r="A131" t="s">
        <v>2393</v>
      </c>
      <c r="B131" t="s">
        <v>132</v>
      </c>
      <c r="C131" t="s">
        <v>132</v>
      </c>
      <c r="D131" t="s">
        <v>79</v>
      </c>
      <c r="E131" t="s">
        <v>2387</v>
      </c>
      <c r="F131" t="s">
        <v>145</v>
      </c>
      <c r="G131" t="s">
        <v>2394</v>
      </c>
    </row>
    <row r="132" spans="1:7" s="241" customFormat="1" ht="44.25" customHeight="1">
      <c r="A132" t="s">
        <v>2395</v>
      </c>
      <c r="B132" t="s">
        <v>132</v>
      </c>
      <c r="C132" t="s">
        <v>132</v>
      </c>
      <c r="D132" t="s">
        <v>79</v>
      </c>
      <c r="E132" t="s">
        <v>2387</v>
      </c>
      <c r="F132" t="s">
        <v>145</v>
      </c>
      <c r="G132" t="s">
        <v>2396</v>
      </c>
    </row>
    <row r="133" spans="1:7" s="241" customFormat="1" ht="44.25" customHeight="1">
      <c r="A133" t="s">
        <v>2397</v>
      </c>
      <c r="B133" t="s">
        <v>132</v>
      </c>
      <c r="C133" t="s">
        <v>132</v>
      </c>
      <c r="D133" t="s">
        <v>79</v>
      </c>
      <c r="E133" t="s">
        <v>2387</v>
      </c>
      <c r="F133" t="s">
        <v>145</v>
      </c>
      <c r="G133" t="s">
        <v>2398</v>
      </c>
    </row>
    <row r="134" spans="1:7" s="241" customFormat="1" ht="44.25" customHeight="1">
      <c r="A134" t="s">
        <v>2399</v>
      </c>
      <c r="B134" t="s">
        <v>132</v>
      </c>
      <c r="C134" t="s">
        <v>132</v>
      </c>
      <c r="D134" t="s">
        <v>79</v>
      </c>
      <c r="E134" t="s">
        <v>2400</v>
      </c>
      <c r="F134" t="s">
        <v>145</v>
      </c>
      <c r="G134" t="s">
        <v>2401</v>
      </c>
    </row>
    <row r="135" spans="1:7" s="241" customFormat="1" ht="44.25" customHeight="1">
      <c r="A135" t="s">
        <v>2402</v>
      </c>
      <c r="B135" t="s">
        <v>132</v>
      </c>
      <c r="C135" t="s">
        <v>132</v>
      </c>
      <c r="D135" t="s">
        <v>79</v>
      </c>
      <c r="E135" t="s">
        <v>2403</v>
      </c>
      <c r="F135" t="s">
        <v>145</v>
      </c>
      <c r="G135" t="s">
        <v>2404</v>
      </c>
    </row>
    <row r="136" spans="1:7" s="241" customFormat="1" ht="44.25" customHeight="1">
      <c r="A136" t="s">
        <v>2405</v>
      </c>
      <c r="B136" t="s">
        <v>132</v>
      </c>
      <c r="C136" t="s">
        <v>132</v>
      </c>
      <c r="D136" t="s">
        <v>2143</v>
      </c>
      <c r="E136" t="s">
        <v>1253</v>
      </c>
      <c r="F136" t="s">
        <v>145</v>
      </c>
      <c r="G136" t="s">
        <v>2406</v>
      </c>
    </row>
    <row r="137" spans="1:7" s="241" customFormat="1" ht="44.25" customHeight="1">
      <c r="A137" t="s">
        <v>2407</v>
      </c>
      <c r="B137" t="s">
        <v>132</v>
      </c>
      <c r="C137" t="s">
        <v>132</v>
      </c>
      <c r="D137" t="s">
        <v>2143</v>
      </c>
      <c r="E137" t="s">
        <v>1253</v>
      </c>
      <c r="F137" t="s">
        <v>145</v>
      </c>
      <c r="G137" t="s">
        <v>2408</v>
      </c>
    </row>
    <row r="138" spans="1:7" s="241" customFormat="1" ht="44.25" customHeight="1">
      <c r="A138" t="s">
        <v>2409</v>
      </c>
      <c r="B138" t="s">
        <v>132</v>
      </c>
      <c r="C138" t="s">
        <v>132</v>
      </c>
      <c r="D138" t="s">
        <v>2317</v>
      </c>
      <c r="E138" t="s">
        <v>2410</v>
      </c>
      <c r="F138" t="s">
        <v>145</v>
      </c>
      <c r="G138" t="s">
        <v>2411</v>
      </c>
    </row>
    <row r="139" spans="1:7" s="241" customFormat="1" ht="44.25" customHeight="1">
      <c r="A139" t="s">
        <v>2412</v>
      </c>
      <c r="B139" t="s">
        <v>132</v>
      </c>
      <c r="C139" t="s">
        <v>132</v>
      </c>
      <c r="D139" t="s">
        <v>2143</v>
      </c>
      <c r="E139" t="s">
        <v>2413</v>
      </c>
      <c r="F139" t="s">
        <v>145</v>
      </c>
      <c r="G139" t="s">
        <v>2414</v>
      </c>
    </row>
    <row r="140" spans="1:7" s="241" customFormat="1" ht="44.25" customHeight="1">
      <c r="A140" t="s">
        <v>2415</v>
      </c>
      <c r="B140" t="s">
        <v>132</v>
      </c>
      <c r="C140" t="s">
        <v>132</v>
      </c>
      <c r="D140" t="s">
        <v>2143</v>
      </c>
      <c r="E140" t="s">
        <v>1277</v>
      </c>
      <c r="F140" t="s">
        <v>145</v>
      </c>
      <c r="G140" t="s">
        <v>2416</v>
      </c>
    </row>
    <row r="141" spans="1:7" s="241" customFormat="1" ht="44.25" customHeight="1">
      <c r="A141" t="s">
        <v>2417</v>
      </c>
      <c r="B141" t="s">
        <v>132</v>
      </c>
      <c r="C141" t="s">
        <v>132</v>
      </c>
      <c r="D141" t="s">
        <v>2143</v>
      </c>
      <c r="E141" t="s">
        <v>1277</v>
      </c>
      <c r="F141" t="s">
        <v>145</v>
      </c>
      <c r="G141" t="s">
        <v>2418</v>
      </c>
    </row>
    <row r="142" spans="1:7" s="241" customFormat="1" ht="44.25" customHeight="1">
      <c r="A142" t="s">
        <v>2419</v>
      </c>
      <c r="B142" t="s">
        <v>132</v>
      </c>
      <c r="C142" t="s">
        <v>132</v>
      </c>
      <c r="D142" t="s">
        <v>2143</v>
      </c>
      <c r="E142" t="s">
        <v>2413</v>
      </c>
      <c r="F142" t="s">
        <v>145</v>
      </c>
      <c r="G142" t="s">
        <v>2420</v>
      </c>
    </row>
    <row r="143" spans="1:7" s="241" customFormat="1" ht="44.25" customHeight="1">
      <c r="A143" t="s">
        <v>2421</v>
      </c>
      <c r="B143" t="s">
        <v>132</v>
      </c>
      <c r="C143" t="s">
        <v>132</v>
      </c>
      <c r="D143" t="s">
        <v>79</v>
      </c>
      <c r="E143" t="s">
        <v>2422</v>
      </c>
      <c r="F143" t="s">
        <v>145</v>
      </c>
      <c r="G143" t="s">
        <v>2423</v>
      </c>
    </row>
    <row r="144" spans="1:7" s="241" customFormat="1" ht="44.25" customHeight="1">
      <c r="A144" t="s">
        <v>2424</v>
      </c>
      <c r="B144" t="s">
        <v>132</v>
      </c>
      <c r="C144" t="s">
        <v>132</v>
      </c>
      <c r="D144" t="s">
        <v>79</v>
      </c>
      <c r="E144" t="s">
        <v>2425</v>
      </c>
      <c r="F144" t="s">
        <v>145</v>
      </c>
      <c r="G144" t="s">
        <v>2426</v>
      </c>
    </row>
    <row r="145" spans="1:7" s="241" customFormat="1" ht="44.25" customHeight="1">
      <c r="A145" t="s">
        <v>2427</v>
      </c>
      <c r="B145" t="s">
        <v>132</v>
      </c>
      <c r="C145" t="s">
        <v>132</v>
      </c>
      <c r="D145" t="s">
        <v>2143</v>
      </c>
      <c r="E145" t="s">
        <v>2428</v>
      </c>
      <c r="F145" t="s">
        <v>145</v>
      </c>
      <c r="G145" t="s">
        <v>2429</v>
      </c>
    </row>
    <row r="146" spans="1:7" s="241" customFormat="1" ht="44.25" customHeight="1">
      <c r="A146" t="s">
        <v>2430</v>
      </c>
      <c r="B146" t="s">
        <v>132</v>
      </c>
      <c r="C146" t="s">
        <v>132</v>
      </c>
      <c r="D146" t="s">
        <v>2143</v>
      </c>
      <c r="E146" t="s">
        <v>2431</v>
      </c>
      <c r="F146" t="s">
        <v>145</v>
      </c>
      <c r="G146" t="s">
        <v>2432</v>
      </c>
    </row>
    <row r="147" spans="1:7" s="241" customFormat="1" ht="44.25" customHeight="1">
      <c r="A147" t="s">
        <v>2433</v>
      </c>
      <c r="B147" t="s">
        <v>132</v>
      </c>
      <c r="C147" t="s">
        <v>132</v>
      </c>
      <c r="D147" t="s">
        <v>2143</v>
      </c>
      <c r="E147" t="s">
        <v>1262</v>
      </c>
      <c r="F147" t="s">
        <v>145</v>
      </c>
      <c r="G147" t="s">
        <v>2434</v>
      </c>
    </row>
    <row r="148" spans="1:7" s="241" customFormat="1" ht="44.25" customHeight="1">
      <c r="A148" t="s">
        <v>2435</v>
      </c>
      <c r="B148" t="s">
        <v>2436</v>
      </c>
      <c r="C148" t="s">
        <v>132</v>
      </c>
      <c r="D148" t="s">
        <v>2139</v>
      </c>
      <c r="E148" t="s">
        <v>1365</v>
      </c>
      <c r="F148" t="s">
        <v>145</v>
      </c>
      <c r="G148" t="s">
        <v>2437</v>
      </c>
    </row>
    <row r="149" spans="1:7" s="241" customFormat="1" ht="44.25" customHeight="1">
      <c r="A149" t="s">
        <v>2438</v>
      </c>
      <c r="B149" t="s">
        <v>2439</v>
      </c>
      <c r="C149" t="s">
        <v>132</v>
      </c>
      <c r="D149" t="s">
        <v>2139</v>
      </c>
      <c r="E149" t="s">
        <v>1365</v>
      </c>
      <c r="F149" t="s">
        <v>145</v>
      </c>
      <c r="G149" t="s">
        <v>2440</v>
      </c>
    </row>
    <row r="150" spans="1:7" s="241" customFormat="1" ht="44.25" customHeight="1">
      <c r="A150" t="s">
        <v>2441</v>
      </c>
      <c r="B150" t="s">
        <v>2442</v>
      </c>
      <c r="C150" t="s">
        <v>132</v>
      </c>
      <c r="D150" t="s">
        <v>2139</v>
      </c>
      <c r="E150" t="s">
        <v>1365</v>
      </c>
      <c r="F150" t="s">
        <v>145</v>
      </c>
      <c r="G150" t="s">
        <v>2443</v>
      </c>
    </row>
    <row r="151" spans="1:7" s="241" customFormat="1" ht="44.25" customHeight="1">
      <c r="A151" t="s">
        <v>2444</v>
      </c>
      <c r="B151" t="s">
        <v>2445</v>
      </c>
      <c r="C151" t="s">
        <v>132</v>
      </c>
      <c r="D151" t="s">
        <v>2139</v>
      </c>
      <c r="E151" t="s">
        <v>1365</v>
      </c>
      <c r="F151" t="s">
        <v>145</v>
      </c>
      <c r="G151" t="s">
        <v>2446</v>
      </c>
    </row>
    <row r="152" spans="1:7" s="241" customFormat="1" ht="44.25" customHeight="1">
      <c r="A152" t="s">
        <v>2447</v>
      </c>
      <c r="B152" t="s">
        <v>2448</v>
      </c>
      <c r="C152" t="s">
        <v>132</v>
      </c>
      <c r="D152" t="s">
        <v>2139</v>
      </c>
      <c r="E152" t="s">
        <v>1365</v>
      </c>
      <c r="F152" t="s">
        <v>145</v>
      </c>
      <c r="G152" t="s">
        <v>2449</v>
      </c>
    </row>
    <row r="153" spans="1:7" s="241" customFormat="1" ht="44.25" customHeight="1">
      <c r="A153" t="s">
        <v>2450</v>
      </c>
      <c r="B153" t="s">
        <v>2451</v>
      </c>
      <c r="C153" t="s">
        <v>132</v>
      </c>
      <c r="D153" t="s">
        <v>2139</v>
      </c>
      <c r="E153" t="s">
        <v>1365</v>
      </c>
      <c r="F153" t="s">
        <v>145</v>
      </c>
      <c r="G153" t="s">
        <v>2452</v>
      </c>
    </row>
    <row r="154" spans="1:7" s="241" customFormat="1" ht="44.25" customHeight="1">
      <c r="A154" t="s">
        <v>2453</v>
      </c>
      <c r="B154" t="s">
        <v>2454</v>
      </c>
      <c r="C154" t="s">
        <v>132</v>
      </c>
      <c r="D154" t="s">
        <v>2143</v>
      </c>
      <c r="E154" t="s">
        <v>2162</v>
      </c>
      <c r="F154" t="s">
        <v>145</v>
      </c>
      <c r="G154" t="s">
        <v>2455</v>
      </c>
    </row>
    <row r="155" spans="1:7" s="241" customFormat="1" ht="44.25" customHeight="1">
      <c r="A155" t="s">
        <v>2456</v>
      </c>
      <c r="B155" t="s">
        <v>132</v>
      </c>
      <c r="C155" t="s">
        <v>132</v>
      </c>
      <c r="D155" t="s">
        <v>2143</v>
      </c>
      <c r="E155" t="s">
        <v>1257</v>
      </c>
      <c r="F155" t="s">
        <v>145</v>
      </c>
      <c r="G155" t="s">
        <v>2457</v>
      </c>
    </row>
    <row r="156" spans="1:7" s="241" customFormat="1" ht="44.25" customHeight="1">
      <c r="A156" t="s">
        <v>2458</v>
      </c>
      <c r="B156" t="s">
        <v>2459</v>
      </c>
      <c r="C156" t="s">
        <v>132</v>
      </c>
      <c r="D156" t="s">
        <v>2139</v>
      </c>
      <c r="E156" t="s">
        <v>1367</v>
      </c>
      <c r="F156" t="s">
        <v>145</v>
      </c>
      <c r="G156" t="s">
        <v>2460</v>
      </c>
    </row>
    <row r="157" spans="1:7" s="241" customFormat="1" ht="44.25" customHeight="1">
      <c r="A157" t="s">
        <v>132</v>
      </c>
      <c r="B157" t="s">
        <v>132</v>
      </c>
      <c r="C157" t="s">
        <v>1553</v>
      </c>
      <c r="D157" t="s">
        <v>2143</v>
      </c>
      <c r="E157" t="s">
        <v>1434</v>
      </c>
      <c r="F157" t="s">
        <v>145</v>
      </c>
      <c r="G157" t="s">
        <v>2461</v>
      </c>
    </row>
    <row r="158" spans="1:7" s="241" customFormat="1" ht="44.25" customHeight="1">
      <c r="A158" t="s">
        <v>132</v>
      </c>
      <c r="B158" t="s">
        <v>132</v>
      </c>
      <c r="C158" t="s">
        <v>1552</v>
      </c>
      <c r="D158" t="s">
        <v>2143</v>
      </c>
      <c r="E158" t="s">
        <v>1434</v>
      </c>
      <c r="F158" t="s">
        <v>145</v>
      </c>
      <c r="G158" t="s">
        <v>2462</v>
      </c>
    </row>
    <row r="159" spans="1:7" s="241" customFormat="1" ht="44.25" customHeight="1">
      <c r="A159" t="s">
        <v>132</v>
      </c>
      <c r="B159" t="s">
        <v>132</v>
      </c>
      <c r="C159" t="s">
        <v>1551</v>
      </c>
      <c r="D159" t="s">
        <v>2143</v>
      </c>
      <c r="E159" t="s">
        <v>1547</v>
      </c>
      <c r="F159" t="s">
        <v>145</v>
      </c>
      <c r="G159" t="s">
        <v>2463</v>
      </c>
    </row>
    <row r="160" spans="1:7" s="241" customFormat="1" ht="44.25" customHeight="1">
      <c r="A160" t="s">
        <v>132</v>
      </c>
      <c r="B160" t="s">
        <v>132</v>
      </c>
      <c r="C160" t="s">
        <v>1550</v>
      </c>
      <c r="D160" t="s">
        <v>2143</v>
      </c>
      <c r="E160" t="s">
        <v>1547</v>
      </c>
      <c r="F160" t="s">
        <v>145</v>
      </c>
      <c r="G160" t="s">
        <v>2464</v>
      </c>
    </row>
    <row r="161" spans="1:7" s="241" customFormat="1" ht="44.25" customHeight="1">
      <c r="A161" t="s">
        <v>132</v>
      </c>
      <c r="B161" t="s">
        <v>132</v>
      </c>
      <c r="C161" t="s">
        <v>1549</v>
      </c>
      <c r="D161" t="s">
        <v>2143</v>
      </c>
      <c r="E161" t="s">
        <v>1547</v>
      </c>
      <c r="F161" t="s">
        <v>145</v>
      </c>
      <c r="G161" t="s">
        <v>2465</v>
      </c>
    </row>
    <row r="162" spans="1:7" s="241" customFormat="1" ht="44.25" customHeight="1">
      <c r="A162" t="s">
        <v>132</v>
      </c>
      <c r="B162" t="s">
        <v>132</v>
      </c>
      <c r="C162" t="s">
        <v>1544</v>
      </c>
      <c r="D162" t="s">
        <v>2143</v>
      </c>
      <c r="E162" t="s">
        <v>1545</v>
      </c>
      <c r="F162" t="s">
        <v>145</v>
      </c>
      <c r="G162" t="s">
        <v>2466</v>
      </c>
    </row>
    <row r="163" spans="1:7" s="241" customFormat="1" ht="44.25" customHeight="1">
      <c r="A163" t="s">
        <v>132</v>
      </c>
      <c r="B163" t="s">
        <v>132</v>
      </c>
      <c r="C163" t="s">
        <v>1543</v>
      </c>
      <c r="D163" t="s">
        <v>2143</v>
      </c>
      <c r="E163" t="s">
        <v>1542</v>
      </c>
      <c r="F163" t="s">
        <v>145</v>
      </c>
      <c r="G163" t="s">
        <v>2467</v>
      </c>
    </row>
    <row r="164" spans="1:7" s="241" customFormat="1" ht="44.25" customHeight="1">
      <c r="A164" t="s">
        <v>132</v>
      </c>
      <c r="B164" t="s">
        <v>132</v>
      </c>
      <c r="C164" t="s">
        <v>2468</v>
      </c>
      <c r="D164" t="s">
        <v>79</v>
      </c>
      <c r="E164" t="s">
        <v>2387</v>
      </c>
      <c r="F164" t="s">
        <v>145</v>
      </c>
      <c r="G164" t="s">
        <v>2469</v>
      </c>
    </row>
    <row r="165" spans="1:7" s="241" customFormat="1" ht="44.25" customHeight="1">
      <c r="A165" t="s">
        <v>132</v>
      </c>
      <c r="B165" t="s">
        <v>132</v>
      </c>
      <c r="C165" t="s">
        <v>2470</v>
      </c>
      <c r="D165" t="s">
        <v>79</v>
      </c>
      <c r="E165" t="s">
        <v>2387</v>
      </c>
      <c r="F165" t="s">
        <v>145</v>
      </c>
      <c r="G165" t="s">
        <v>2471</v>
      </c>
    </row>
    <row r="166" spans="1:7" s="241" customFormat="1" ht="44.25" customHeight="1">
      <c r="A166" t="s">
        <v>2472</v>
      </c>
      <c r="B166" t="s">
        <v>132</v>
      </c>
      <c r="C166" t="s">
        <v>132</v>
      </c>
      <c r="D166" t="s">
        <v>2143</v>
      </c>
      <c r="E166" t="s">
        <v>1262</v>
      </c>
      <c r="F166" t="s">
        <v>145</v>
      </c>
      <c r="G166" t="s">
        <v>2473</v>
      </c>
    </row>
    <row r="167" spans="1:7" s="241" customFormat="1" ht="44.25" customHeight="1">
      <c r="A167" t="s">
        <v>2474</v>
      </c>
      <c r="B167" t="s">
        <v>132</v>
      </c>
      <c r="C167" t="s">
        <v>132</v>
      </c>
      <c r="D167" t="s">
        <v>2143</v>
      </c>
      <c r="E167" t="s">
        <v>2475</v>
      </c>
      <c r="F167" t="s">
        <v>145</v>
      </c>
      <c r="G167" t="s">
        <v>2476</v>
      </c>
    </row>
    <row r="168" spans="1:7" s="241" customFormat="1" ht="44.25" customHeight="1">
      <c r="A168" t="s">
        <v>2477</v>
      </c>
      <c r="B168" t="s">
        <v>2478</v>
      </c>
      <c r="C168" t="s">
        <v>132</v>
      </c>
      <c r="D168" t="s">
        <v>79</v>
      </c>
      <c r="E168" t="s">
        <v>2479</v>
      </c>
      <c r="F168" t="s">
        <v>145</v>
      </c>
      <c r="G168" t="s">
        <v>2480</v>
      </c>
    </row>
    <row r="169" spans="1:7" s="241" customFormat="1" ht="44.25" customHeight="1">
      <c r="A169" t="s">
        <v>2481</v>
      </c>
      <c r="B169" t="s">
        <v>2482</v>
      </c>
      <c r="C169" t="s">
        <v>132</v>
      </c>
      <c r="D169" t="s">
        <v>79</v>
      </c>
      <c r="E169" t="s">
        <v>2479</v>
      </c>
      <c r="F169" t="s">
        <v>145</v>
      </c>
      <c r="G169" t="s">
        <v>2483</v>
      </c>
    </row>
    <row r="170" spans="1:7" s="241" customFormat="1" ht="44.25" customHeight="1">
      <c r="A170" t="s">
        <v>2484</v>
      </c>
      <c r="B170" t="s">
        <v>2485</v>
      </c>
      <c r="C170" t="s">
        <v>132</v>
      </c>
      <c r="D170" t="s">
        <v>79</v>
      </c>
      <c r="E170" t="s">
        <v>2486</v>
      </c>
      <c r="F170" t="s">
        <v>145</v>
      </c>
      <c r="G170" t="s">
        <v>2487</v>
      </c>
    </row>
    <row r="171" spans="1:7" s="241" customFormat="1" ht="44.25" customHeight="1">
      <c r="A171" t="s">
        <v>2488</v>
      </c>
      <c r="B171" t="s">
        <v>2489</v>
      </c>
      <c r="C171" t="s">
        <v>132</v>
      </c>
      <c r="D171" t="s">
        <v>79</v>
      </c>
      <c r="E171" t="s">
        <v>2486</v>
      </c>
      <c r="F171" t="s">
        <v>145</v>
      </c>
      <c r="G171" t="s">
        <v>2490</v>
      </c>
    </row>
    <row r="172" spans="1:7" s="241" customFormat="1" ht="44.25" customHeight="1">
      <c r="A172" t="s">
        <v>2491</v>
      </c>
      <c r="B172" t="s">
        <v>2492</v>
      </c>
      <c r="C172" t="s">
        <v>132</v>
      </c>
      <c r="D172" t="s">
        <v>79</v>
      </c>
      <c r="E172" t="s">
        <v>2493</v>
      </c>
      <c r="F172" t="s">
        <v>145</v>
      </c>
      <c r="G172" t="s">
        <v>2494</v>
      </c>
    </row>
    <row r="173" spans="1:7" s="241" customFormat="1" ht="44.25" customHeight="1">
      <c r="A173" t="s">
        <v>2495</v>
      </c>
      <c r="B173" t="s">
        <v>2496</v>
      </c>
      <c r="C173" t="s">
        <v>132</v>
      </c>
      <c r="D173" t="s">
        <v>79</v>
      </c>
      <c r="E173" t="s">
        <v>2497</v>
      </c>
      <c r="F173" t="s">
        <v>145</v>
      </c>
      <c r="G173" t="s">
        <v>2498</v>
      </c>
    </row>
    <row r="174" spans="1:7" s="241" customFormat="1" ht="44.25" customHeight="1">
      <c r="A174" t="s">
        <v>1029</v>
      </c>
      <c r="B174" t="s">
        <v>132</v>
      </c>
      <c r="C174" t="s">
        <v>132</v>
      </c>
      <c r="D174" t="s">
        <v>79</v>
      </c>
      <c r="E174" t="s">
        <v>1561</v>
      </c>
      <c r="F174" t="s">
        <v>145</v>
      </c>
      <c r="G174" t="s">
        <v>2499</v>
      </c>
    </row>
    <row r="175" spans="1:7" s="241" customFormat="1" ht="44.25" customHeight="1">
      <c r="A175" t="s">
        <v>132</v>
      </c>
      <c r="B175" t="s">
        <v>132</v>
      </c>
      <c r="C175" t="s">
        <v>1554</v>
      </c>
      <c r="D175" t="s">
        <v>2143</v>
      </c>
      <c r="E175" t="s">
        <v>1434</v>
      </c>
      <c r="F175" t="s">
        <v>145</v>
      </c>
      <c r="G175" t="s">
        <v>2500</v>
      </c>
    </row>
    <row r="176" spans="1:7" s="241" customFormat="1" ht="44.25" customHeight="1">
      <c r="A176" t="s">
        <v>814</v>
      </c>
      <c r="B176" t="s">
        <v>132</v>
      </c>
      <c r="C176" t="s">
        <v>132</v>
      </c>
      <c r="D176" t="s">
        <v>79</v>
      </c>
      <c r="E176" t="s">
        <v>1533</v>
      </c>
      <c r="F176" t="s">
        <v>145</v>
      </c>
      <c r="G176" t="s">
        <v>2501</v>
      </c>
    </row>
    <row r="177" spans="1:7" s="241" customFormat="1" ht="44.25" customHeight="1">
      <c r="A177" t="s">
        <v>132</v>
      </c>
      <c r="B177" t="s">
        <v>2502</v>
      </c>
      <c r="C177" t="s">
        <v>1530</v>
      </c>
      <c r="D177" t="s">
        <v>79</v>
      </c>
      <c r="E177" t="s">
        <v>1529</v>
      </c>
      <c r="F177" t="s">
        <v>145</v>
      </c>
      <c r="G177" t="s">
        <v>2503</v>
      </c>
    </row>
    <row r="178" spans="1:7" s="241" customFormat="1" ht="44.25" customHeight="1">
      <c r="A178" t="s">
        <v>804</v>
      </c>
      <c r="B178" t="s">
        <v>132</v>
      </c>
      <c r="C178" t="s">
        <v>132</v>
      </c>
      <c r="D178" t="s">
        <v>79</v>
      </c>
      <c r="E178" t="s">
        <v>1528</v>
      </c>
      <c r="F178" t="s">
        <v>145</v>
      </c>
      <c r="G178" t="s">
        <v>2504</v>
      </c>
    </row>
    <row r="179" spans="1:7" s="241" customFormat="1" ht="44.25" customHeight="1">
      <c r="A179" t="s">
        <v>132</v>
      </c>
      <c r="B179" t="s">
        <v>2505</v>
      </c>
      <c r="C179" t="s">
        <v>1511</v>
      </c>
      <c r="D179" t="s">
        <v>79</v>
      </c>
      <c r="E179" t="s">
        <v>1512</v>
      </c>
      <c r="F179" t="s">
        <v>145</v>
      </c>
      <c r="G179" t="s">
        <v>2506</v>
      </c>
    </row>
    <row r="180" spans="1:7" s="241" customFormat="1" ht="44.25" customHeight="1">
      <c r="A180" t="s">
        <v>583</v>
      </c>
      <c r="B180" t="s">
        <v>132</v>
      </c>
      <c r="C180" t="s">
        <v>132</v>
      </c>
      <c r="D180" t="s">
        <v>2317</v>
      </c>
      <c r="E180" t="s">
        <v>1502</v>
      </c>
      <c r="F180" t="s">
        <v>145</v>
      </c>
      <c r="G180" t="s">
        <v>2507</v>
      </c>
    </row>
    <row r="181" spans="1:7" s="241" customFormat="1" ht="44.25" customHeight="1">
      <c r="A181" t="s">
        <v>318</v>
      </c>
      <c r="B181" t="s">
        <v>132</v>
      </c>
      <c r="C181" t="s">
        <v>132</v>
      </c>
      <c r="D181" t="s">
        <v>2317</v>
      </c>
      <c r="E181" t="s">
        <v>1448</v>
      </c>
      <c r="F181" t="s">
        <v>145</v>
      </c>
      <c r="G181" t="s">
        <v>2508</v>
      </c>
    </row>
    <row r="182" spans="1:7" s="241" customFormat="1" ht="44.25" customHeight="1">
      <c r="A182" t="s">
        <v>132</v>
      </c>
      <c r="B182" t="s">
        <v>2509</v>
      </c>
      <c r="C182" t="s">
        <v>132</v>
      </c>
      <c r="D182" t="s">
        <v>2510</v>
      </c>
      <c r="E182" t="s">
        <v>2511</v>
      </c>
      <c r="F182" t="s">
        <v>145</v>
      </c>
      <c r="G182" t="s">
        <v>2512</v>
      </c>
    </row>
    <row r="183" spans="1:7" s="241" customFormat="1" ht="44.25" customHeight="1">
      <c r="A183" t="s">
        <v>2513</v>
      </c>
      <c r="B183" t="s">
        <v>2514</v>
      </c>
      <c r="C183" t="s">
        <v>132</v>
      </c>
      <c r="D183" t="s">
        <v>79</v>
      </c>
      <c r="E183" t="s">
        <v>2515</v>
      </c>
      <c r="F183" t="s">
        <v>145</v>
      </c>
      <c r="G183" t="s">
        <v>2516</v>
      </c>
    </row>
    <row r="184" spans="1:7" s="241" customFormat="1" ht="44.25" customHeight="1">
      <c r="A184" t="s">
        <v>2517</v>
      </c>
      <c r="B184" t="s">
        <v>2518</v>
      </c>
      <c r="C184" t="s">
        <v>132</v>
      </c>
      <c r="D184" t="s">
        <v>79</v>
      </c>
      <c r="E184" t="s">
        <v>2519</v>
      </c>
      <c r="F184" t="s">
        <v>145</v>
      </c>
      <c r="G184" t="s">
        <v>2520</v>
      </c>
    </row>
    <row r="185" spans="1:7" s="241" customFormat="1" ht="44.25" customHeight="1">
      <c r="A185" t="s">
        <v>2521</v>
      </c>
      <c r="B185" t="s">
        <v>2522</v>
      </c>
      <c r="C185" t="s">
        <v>132</v>
      </c>
      <c r="D185" t="s">
        <v>79</v>
      </c>
      <c r="E185" t="s">
        <v>2523</v>
      </c>
      <c r="F185" t="s">
        <v>145</v>
      </c>
      <c r="G185" t="s">
        <v>2524</v>
      </c>
    </row>
    <row r="186" spans="1:7" s="241" customFormat="1" ht="44.25" customHeight="1">
      <c r="A186" t="s">
        <v>132</v>
      </c>
      <c r="B186" t="s">
        <v>2525</v>
      </c>
      <c r="C186" t="s">
        <v>132</v>
      </c>
      <c r="D186" t="s">
        <v>2510</v>
      </c>
      <c r="E186" t="s">
        <v>2511</v>
      </c>
      <c r="F186" t="s">
        <v>145</v>
      </c>
      <c r="G186" t="s">
        <v>2526</v>
      </c>
    </row>
    <row r="187" spans="1:7" s="241" customFormat="1" ht="44.25" customHeight="1">
      <c r="A187" t="s">
        <v>2527</v>
      </c>
      <c r="B187" t="s">
        <v>2528</v>
      </c>
      <c r="C187" t="s">
        <v>132</v>
      </c>
      <c r="D187" t="s">
        <v>79</v>
      </c>
      <c r="E187" t="s">
        <v>2529</v>
      </c>
      <c r="F187" t="s">
        <v>145</v>
      </c>
      <c r="G187" t="s">
        <v>2530</v>
      </c>
    </row>
    <row r="188" spans="1:7" s="241" customFormat="1" ht="44.25" customHeight="1">
      <c r="A188" t="s">
        <v>2531</v>
      </c>
      <c r="B188" t="s">
        <v>2532</v>
      </c>
      <c r="C188" t="s">
        <v>132</v>
      </c>
      <c r="D188" t="s">
        <v>79</v>
      </c>
      <c r="E188" t="s">
        <v>2533</v>
      </c>
      <c r="F188" t="s">
        <v>145</v>
      </c>
      <c r="G188" t="s">
        <v>2534</v>
      </c>
    </row>
    <row r="189" spans="1:7" s="241" customFormat="1" ht="44.25" customHeight="1">
      <c r="A189" t="s">
        <v>2535</v>
      </c>
      <c r="B189" t="s">
        <v>2536</v>
      </c>
      <c r="C189" t="s">
        <v>132</v>
      </c>
      <c r="D189" t="s">
        <v>2143</v>
      </c>
      <c r="E189" t="s">
        <v>1542</v>
      </c>
      <c r="F189" t="s">
        <v>145</v>
      </c>
      <c r="G189" t="s">
        <v>2537</v>
      </c>
    </row>
    <row r="190" spans="1:7" s="241" customFormat="1" ht="44.25" customHeight="1">
      <c r="A190" t="s">
        <v>132</v>
      </c>
      <c r="B190" t="s">
        <v>2538</v>
      </c>
      <c r="C190" t="s">
        <v>132</v>
      </c>
      <c r="D190" t="s">
        <v>2143</v>
      </c>
      <c r="E190" t="s">
        <v>1542</v>
      </c>
      <c r="F190" t="s">
        <v>145</v>
      </c>
      <c r="G190" t="s">
        <v>2539</v>
      </c>
    </row>
    <row r="191" spans="1:7" s="241" customFormat="1" ht="44.25" customHeight="1">
      <c r="A191" t="s">
        <v>132</v>
      </c>
      <c r="B191" t="s">
        <v>2540</v>
      </c>
      <c r="C191" t="s">
        <v>132</v>
      </c>
      <c r="D191" t="s">
        <v>2143</v>
      </c>
      <c r="E191" t="s">
        <v>2285</v>
      </c>
      <c r="F191" t="s">
        <v>145</v>
      </c>
      <c r="G191" t="s">
        <v>2541</v>
      </c>
    </row>
    <row r="192" spans="1:7" s="241" customFormat="1" ht="44.25" customHeight="1">
      <c r="A192" t="s">
        <v>2542</v>
      </c>
      <c r="B192" t="s">
        <v>2543</v>
      </c>
      <c r="C192" t="s">
        <v>132</v>
      </c>
      <c r="D192" t="s">
        <v>2143</v>
      </c>
      <c r="E192" t="s">
        <v>1542</v>
      </c>
      <c r="F192" t="s">
        <v>145</v>
      </c>
      <c r="G192" t="s">
        <v>2544</v>
      </c>
    </row>
    <row r="193" spans="1:7" s="241" customFormat="1" ht="44.25" customHeight="1">
      <c r="A193" t="s">
        <v>2545</v>
      </c>
      <c r="B193" t="s">
        <v>2546</v>
      </c>
      <c r="C193" t="s">
        <v>132</v>
      </c>
      <c r="D193" t="s">
        <v>2143</v>
      </c>
      <c r="E193" t="s">
        <v>1542</v>
      </c>
      <c r="F193" t="s">
        <v>145</v>
      </c>
      <c r="G193" t="s">
        <v>2547</v>
      </c>
    </row>
    <row r="194" spans="1:7" s="241" customFormat="1" ht="44.25" customHeight="1">
      <c r="A194" t="s">
        <v>2548</v>
      </c>
      <c r="B194" t="s">
        <v>2549</v>
      </c>
      <c r="C194" t="s">
        <v>132</v>
      </c>
      <c r="D194" t="s">
        <v>2143</v>
      </c>
      <c r="E194" t="s">
        <v>1542</v>
      </c>
      <c r="F194" t="s">
        <v>145</v>
      </c>
      <c r="G194" t="s">
        <v>2550</v>
      </c>
    </row>
    <row r="195" spans="1:7" s="241" customFormat="1" ht="44.25" customHeight="1">
      <c r="A195" t="s">
        <v>2551</v>
      </c>
      <c r="B195" t="s">
        <v>2552</v>
      </c>
      <c r="C195" t="s">
        <v>132</v>
      </c>
      <c r="D195" t="s">
        <v>2143</v>
      </c>
      <c r="E195" t="s">
        <v>1542</v>
      </c>
      <c r="F195" t="s">
        <v>145</v>
      </c>
      <c r="G195" t="s">
        <v>2553</v>
      </c>
    </row>
    <row r="196" spans="1:7" s="241" customFormat="1" ht="44.25" customHeight="1">
      <c r="A196" t="s">
        <v>2554</v>
      </c>
      <c r="B196" t="s">
        <v>2555</v>
      </c>
      <c r="C196" t="s">
        <v>132</v>
      </c>
      <c r="D196" t="s">
        <v>2143</v>
      </c>
      <c r="E196" t="s">
        <v>1542</v>
      </c>
      <c r="F196" t="s">
        <v>145</v>
      </c>
      <c r="G196" t="s">
        <v>2556</v>
      </c>
    </row>
    <row r="197" spans="1:7" s="241" customFormat="1" ht="44.25" customHeight="1">
      <c r="A197" t="s">
        <v>2557</v>
      </c>
      <c r="B197" t="s">
        <v>2558</v>
      </c>
      <c r="C197" t="s">
        <v>132</v>
      </c>
      <c r="D197" t="s">
        <v>2143</v>
      </c>
      <c r="E197" t="s">
        <v>1542</v>
      </c>
      <c r="F197" t="s">
        <v>145</v>
      </c>
      <c r="G197" t="s">
        <v>2559</v>
      </c>
    </row>
    <row r="198" spans="1:7" s="241" customFormat="1" ht="44.25" customHeight="1">
      <c r="A198" t="s">
        <v>2560</v>
      </c>
      <c r="B198" t="s">
        <v>2561</v>
      </c>
      <c r="C198" t="s">
        <v>132</v>
      </c>
      <c r="D198" t="s">
        <v>2143</v>
      </c>
      <c r="E198" t="s">
        <v>1542</v>
      </c>
      <c r="F198" t="s">
        <v>145</v>
      </c>
      <c r="G198" t="s">
        <v>2562</v>
      </c>
    </row>
    <row r="199" spans="1:7" s="241" customFormat="1" ht="44.25" customHeight="1">
      <c r="A199" t="s">
        <v>2563</v>
      </c>
      <c r="B199" t="s">
        <v>2564</v>
      </c>
      <c r="C199" t="s">
        <v>132</v>
      </c>
      <c r="D199" t="s">
        <v>2143</v>
      </c>
      <c r="E199" t="s">
        <v>1542</v>
      </c>
      <c r="F199" t="s">
        <v>145</v>
      </c>
      <c r="G199" t="s">
        <v>2565</v>
      </c>
    </row>
    <row r="200" spans="1:7" s="241" customFormat="1" ht="44.25" customHeight="1">
      <c r="A200" t="s">
        <v>2566</v>
      </c>
      <c r="B200" t="s">
        <v>2567</v>
      </c>
      <c r="C200" t="s">
        <v>132</v>
      </c>
      <c r="D200" t="s">
        <v>2143</v>
      </c>
      <c r="E200" t="s">
        <v>1542</v>
      </c>
      <c r="F200" t="s">
        <v>145</v>
      </c>
      <c r="G200" t="s">
        <v>2568</v>
      </c>
    </row>
    <row r="201" spans="1:7" s="241" customFormat="1" ht="44.25" customHeight="1">
      <c r="A201" t="s">
        <v>2569</v>
      </c>
      <c r="B201" t="s">
        <v>2570</v>
      </c>
      <c r="C201" t="s">
        <v>132</v>
      </c>
      <c r="D201" t="s">
        <v>2143</v>
      </c>
      <c r="E201" t="s">
        <v>2571</v>
      </c>
      <c r="F201" t="s">
        <v>145</v>
      </c>
      <c r="G201" t="s">
        <v>2572</v>
      </c>
    </row>
    <row r="202" spans="1:7" s="241" customFormat="1" ht="44.25" customHeight="1">
      <c r="A202" t="s">
        <v>2573</v>
      </c>
      <c r="B202" t="s">
        <v>2574</v>
      </c>
      <c r="C202" t="s">
        <v>132</v>
      </c>
      <c r="D202" t="s">
        <v>2143</v>
      </c>
      <c r="E202" t="s">
        <v>1542</v>
      </c>
      <c r="F202" t="s">
        <v>145</v>
      </c>
      <c r="G202" t="s">
        <v>2575</v>
      </c>
    </row>
    <row r="203" spans="1:7" s="241" customFormat="1" ht="44.25" customHeight="1">
      <c r="A203" t="s">
        <v>2576</v>
      </c>
      <c r="B203" t="s">
        <v>2577</v>
      </c>
      <c r="C203" t="s">
        <v>132</v>
      </c>
      <c r="D203" t="s">
        <v>2143</v>
      </c>
      <c r="E203" t="s">
        <v>1542</v>
      </c>
      <c r="F203" t="s">
        <v>145</v>
      </c>
      <c r="G203" t="s">
        <v>2578</v>
      </c>
    </row>
    <row r="204" spans="1:7" s="241" customFormat="1" ht="44.25" customHeight="1">
      <c r="A204" t="s">
        <v>2579</v>
      </c>
      <c r="B204" t="s">
        <v>2580</v>
      </c>
      <c r="C204" t="s">
        <v>132</v>
      </c>
      <c r="D204" t="s">
        <v>79</v>
      </c>
      <c r="E204" t="s">
        <v>2581</v>
      </c>
      <c r="F204" t="s">
        <v>145</v>
      </c>
      <c r="G204" t="s">
        <v>2582</v>
      </c>
    </row>
    <row r="205" spans="1:7" s="241" customFormat="1" ht="44.25" customHeight="1">
      <c r="A205" t="s">
        <v>2583</v>
      </c>
      <c r="B205" t="s">
        <v>2584</v>
      </c>
      <c r="C205" t="s">
        <v>132</v>
      </c>
      <c r="D205" t="s">
        <v>79</v>
      </c>
      <c r="E205" t="s">
        <v>2581</v>
      </c>
      <c r="F205" t="s">
        <v>145</v>
      </c>
      <c r="G205" t="s">
        <v>2585</v>
      </c>
    </row>
    <row r="206" spans="1:7" s="241" customFormat="1" ht="44.25" customHeight="1">
      <c r="A206" t="s">
        <v>2586</v>
      </c>
      <c r="B206" t="s">
        <v>2587</v>
      </c>
      <c r="C206" t="s">
        <v>132</v>
      </c>
      <c r="D206" t="s">
        <v>2143</v>
      </c>
      <c r="E206" t="s">
        <v>2581</v>
      </c>
      <c r="F206" t="s">
        <v>145</v>
      </c>
      <c r="G206" t="s">
        <v>2588</v>
      </c>
    </row>
    <row r="207" spans="1:7" s="241" customFormat="1" ht="44.25" customHeight="1">
      <c r="A207" t="s">
        <v>268</v>
      </c>
      <c r="B207" t="s">
        <v>2589</v>
      </c>
      <c r="C207" t="s">
        <v>132</v>
      </c>
      <c r="D207" t="s">
        <v>2143</v>
      </c>
      <c r="E207" t="s">
        <v>1439</v>
      </c>
      <c r="F207" t="s">
        <v>145</v>
      </c>
      <c r="G207" t="s">
        <v>2590</v>
      </c>
    </row>
    <row r="208" spans="1:7" s="241" customFormat="1" ht="44.25" customHeight="1">
      <c r="A208" t="s">
        <v>2591</v>
      </c>
      <c r="B208" t="s">
        <v>2592</v>
      </c>
      <c r="C208" t="s">
        <v>132</v>
      </c>
      <c r="D208" t="s">
        <v>2143</v>
      </c>
      <c r="E208" t="s">
        <v>1439</v>
      </c>
      <c r="F208" t="s">
        <v>145</v>
      </c>
      <c r="G208" t="s">
        <v>2593</v>
      </c>
    </row>
    <row r="209" spans="1:7" s="241" customFormat="1" ht="44.25" customHeight="1">
      <c r="A209" t="s">
        <v>2594</v>
      </c>
      <c r="B209" t="s">
        <v>2595</v>
      </c>
      <c r="C209" t="s">
        <v>132</v>
      </c>
      <c r="D209" t="s">
        <v>2143</v>
      </c>
      <c r="E209" t="s">
        <v>2571</v>
      </c>
      <c r="F209" t="s">
        <v>145</v>
      </c>
      <c r="G209" t="s">
        <v>2596</v>
      </c>
    </row>
    <row r="210" spans="1:7" s="241" customFormat="1" ht="44.25" customHeight="1">
      <c r="A210" t="s">
        <v>2597</v>
      </c>
      <c r="B210" t="s">
        <v>2598</v>
      </c>
      <c r="C210" t="s">
        <v>132</v>
      </c>
      <c r="D210" t="s">
        <v>2143</v>
      </c>
      <c r="E210" t="s">
        <v>1542</v>
      </c>
      <c r="F210" t="s">
        <v>145</v>
      </c>
      <c r="G210" t="s">
        <v>2599</v>
      </c>
    </row>
    <row r="211" spans="1:7" s="241" customFormat="1" ht="44.25" customHeight="1">
      <c r="A211" t="s">
        <v>2600</v>
      </c>
      <c r="B211" t="s">
        <v>2601</v>
      </c>
      <c r="C211" t="s">
        <v>132</v>
      </c>
      <c r="D211" t="s">
        <v>2143</v>
      </c>
      <c r="E211" t="s">
        <v>1542</v>
      </c>
      <c r="F211" t="s">
        <v>145</v>
      </c>
      <c r="G211" t="s">
        <v>2602</v>
      </c>
    </row>
    <row r="212" spans="1:7" s="241" customFormat="1" ht="44.25" customHeight="1">
      <c r="A212" t="s">
        <v>2603</v>
      </c>
      <c r="B212" t="s">
        <v>2604</v>
      </c>
      <c r="C212" t="s">
        <v>132</v>
      </c>
      <c r="D212" t="s">
        <v>2143</v>
      </c>
      <c r="E212" t="s">
        <v>1542</v>
      </c>
      <c r="F212" t="s">
        <v>145</v>
      </c>
      <c r="G212" t="s">
        <v>2605</v>
      </c>
    </row>
    <row r="213" spans="1:7" s="241" customFormat="1" ht="44.25" customHeight="1">
      <c r="A213" t="s">
        <v>2606</v>
      </c>
      <c r="B213" t="s">
        <v>2607</v>
      </c>
      <c r="C213" t="s">
        <v>132</v>
      </c>
      <c r="D213" t="s">
        <v>2143</v>
      </c>
      <c r="E213" t="s">
        <v>1542</v>
      </c>
      <c r="F213" t="s">
        <v>145</v>
      </c>
      <c r="G213" t="s">
        <v>2608</v>
      </c>
    </row>
    <row r="214" spans="1:7" s="241" customFormat="1" ht="44.25" customHeight="1">
      <c r="A214" t="s">
        <v>2609</v>
      </c>
      <c r="B214" t="s">
        <v>2610</v>
      </c>
      <c r="C214" t="s">
        <v>132</v>
      </c>
      <c r="D214" t="s">
        <v>2143</v>
      </c>
      <c r="E214" t="s">
        <v>1542</v>
      </c>
      <c r="F214" t="s">
        <v>145</v>
      </c>
      <c r="G214" t="s">
        <v>2611</v>
      </c>
    </row>
    <row r="215" spans="1:7" s="241" customFormat="1" ht="44.25" customHeight="1">
      <c r="A215" t="s">
        <v>2612</v>
      </c>
      <c r="B215" t="s">
        <v>2613</v>
      </c>
      <c r="C215" t="s">
        <v>132</v>
      </c>
      <c r="D215" t="s">
        <v>2143</v>
      </c>
      <c r="E215" t="s">
        <v>1542</v>
      </c>
      <c r="F215" t="s">
        <v>145</v>
      </c>
      <c r="G215" t="s">
        <v>2614</v>
      </c>
    </row>
    <row r="216" spans="1:7" s="241" customFormat="1" ht="44.25" customHeight="1">
      <c r="A216" t="s">
        <v>2615</v>
      </c>
      <c r="B216" t="s">
        <v>2616</v>
      </c>
      <c r="C216" t="s">
        <v>132</v>
      </c>
      <c r="D216" t="s">
        <v>2143</v>
      </c>
      <c r="E216" t="s">
        <v>1542</v>
      </c>
      <c r="F216" t="s">
        <v>145</v>
      </c>
      <c r="G216" t="s">
        <v>2617</v>
      </c>
    </row>
    <row r="217" spans="1:7" s="241" customFormat="1" ht="44.25" customHeight="1">
      <c r="A217" t="s">
        <v>2618</v>
      </c>
      <c r="B217" t="s">
        <v>2619</v>
      </c>
      <c r="C217" t="s">
        <v>132</v>
      </c>
      <c r="D217" t="s">
        <v>2143</v>
      </c>
      <c r="E217" t="s">
        <v>1542</v>
      </c>
      <c r="F217" t="s">
        <v>145</v>
      </c>
      <c r="G217" t="s">
        <v>2620</v>
      </c>
    </row>
    <row r="218" spans="1:7" s="241" customFormat="1" ht="44.25" customHeight="1">
      <c r="A218" t="s">
        <v>2621</v>
      </c>
      <c r="B218" t="s">
        <v>2622</v>
      </c>
      <c r="C218" t="s">
        <v>132</v>
      </c>
      <c r="D218" t="s">
        <v>2143</v>
      </c>
      <c r="E218" t="s">
        <v>1542</v>
      </c>
      <c r="F218" t="s">
        <v>145</v>
      </c>
      <c r="G218" t="s">
        <v>2623</v>
      </c>
    </row>
    <row r="219" spans="1:7" s="241" customFormat="1" ht="44.25" customHeight="1">
      <c r="A219" t="s">
        <v>2624</v>
      </c>
      <c r="B219" t="s">
        <v>2625</v>
      </c>
      <c r="C219" t="s">
        <v>132</v>
      </c>
      <c r="D219" t="s">
        <v>2143</v>
      </c>
      <c r="E219" t="s">
        <v>1542</v>
      </c>
      <c r="F219" t="s">
        <v>145</v>
      </c>
      <c r="G219" t="s">
        <v>2626</v>
      </c>
    </row>
    <row r="220" spans="1:7" s="241" customFormat="1" ht="44.25" customHeight="1">
      <c r="A220" t="s">
        <v>2627</v>
      </c>
      <c r="B220" t="s">
        <v>2628</v>
      </c>
      <c r="C220" t="s">
        <v>132</v>
      </c>
      <c r="D220" t="s">
        <v>2143</v>
      </c>
      <c r="E220" t="s">
        <v>1542</v>
      </c>
      <c r="F220" t="s">
        <v>145</v>
      </c>
      <c r="G220" t="s">
        <v>2629</v>
      </c>
    </row>
    <row r="221" spans="1:7" s="241" customFormat="1" ht="44.25" customHeight="1">
      <c r="A221" t="s">
        <v>2630</v>
      </c>
      <c r="B221" t="s">
        <v>2631</v>
      </c>
      <c r="C221" t="s">
        <v>132</v>
      </c>
      <c r="D221" t="s">
        <v>2143</v>
      </c>
      <c r="E221" t="s">
        <v>1542</v>
      </c>
      <c r="F221" t="s">
        <v>145</v>
      </c>
      <c r="G221" t="s">
        <v>2632</v>
      </c>
    </row>
    <row r="222" spans="1:7" s="241" customFormat="1" ht="44.25" customHeight="1">
      <c r="A222" t="s">
        <v>2633</v>
      </c>
      <c r="B222" t="s">
        <v>2634</v>
      </c>
      <c r="C222" t="s">
        <v>132</v>
      </c>
      <c r="D222" t="s">
        <v>2143</v>
      </c>
      <c r="E222" t="s">
        <v>1542</v>
      </c>
      <c r="F222" t="s">
        <v>145</v>
      </c>
      <c r="G222" t="s">
        <v>2635</v>
      </c>
    </row>
    <row r="223" spans="1:7" s="241" customFormat="1" ht="44.25" customHeight="1">
      <c r="A223" t="s">
        <v>2636</v>
      </c>
      <c r="B223" t="s">
        <v>2637</v>
      </c>
      <c r="C223" t="s">
        <v>132</v>
      </c>
      <c r="D223" t="s">
        <v>2143</v>
      </c>
      <c r="E223" t="s">
        <v>1542</v>
      </c>
      <c r="F223" t="s">
        <v>145</v>
      </c>
      <c r="G223" t="s">
        <v>2638</v>
      </c>
    </row>
    <row r="224" spans="1:7" s="241" customFormat="1" ht="44.25" customHeight="1">
      <c r="A224" t="s">
        <v>2639</v>
      </c>
      <c r="B224" t="s">
        <v>2640</v>
      </c>
      <c r="C224" t="s">
        <v>132</v>
      </c>
      <c r="D224" t="s">
        <v>2143</v>
      </c>
      <c r="E224" t="s">
        <v>1542</v>
      </c>
      <c r="F224" t="s">
        <v>145</v>
      </c>
      <c r="G224" t="s">
        <v>2641</v>
      </c>
    </row>
    <row r="225" spans="1:7" s="241" customFormat="1" ht="44.25" customHeight="1">
      <c r="A225" t="s">
        <v>2642</v>
      </c>
      <c r="B225" t="s">
        <v>2643</v>
      </c>
      <c r="C225" t="s">
        <v>132</v>
      </c>
      <c r="D225" t="s">
        <v>2143</v>
      </c>
      <c r="E225" t="s">
        <v>1542</v>
      </c>
      <c r="F225" t="s">
        <v>145</v>
      </c>
      <c r="G225" t="s">
        <v>2644</v>
      </c>
    </row>
    <row r="226" spans="1:7" s="241" customFormat="1" ht="44.25" customHeight="1">
      <c r="A226" t="s">
        <v>2645</v>
      </c>
      <c r="B226" t="s">
        <v>2646</v>
      </c>
      <c r="C226" t="s">
        <v>132</v>
      </c>
      <c r="D226" t="s">
        <v>2143</v>
      </c>
      <c r="E226" t="s">
        <v>1542</v>
      </c>
      <c r="F226" t="s">
        <v>145</v>
      </c>
      <c r="G226" t="s">
        <v>2647</v>
      </c>
    </row>
    <row r="227" spans="1:7" s="241" customFormat="1" ht="44.25" customHeight="1">
      <c r="A227" t="s">
        <v>2648</v>
      </c>
      <c r="B227" t="s">
        <v>2649</v>
      </c>
      <c r="C227" t="s">
        <v>132</v>
      </c>
      <c r="D227" t="s">
        <v>2143</v>
      </c>
      <c r="E227" t="s">
        <v>1542</v>
      </c>
      <c r="F227" t="s">
        <v>145</v>
      </c>
      <c r="G227" t="s">
        <v>2650</v>
      </c>
    </row>
    <row r="228" spans="1:7" s="241" customFormat="1" ht="44.25" customHeight="1">
      <c r="A228" t="s">
        <v>2651</v>
      </c>
      <c r="B228" t="s">
        <v>2652</v>
      </c>
      <c r="C228" t="s">
        <v>132</v>
      </c>
      <c r="D228" t="s">
        <v>2143</v>
      </c>
      <c r="E228" t="s">
        <v>1542</v>
      </c>
      <c r="F228" t="s">
        <v>145</v>
      </c>
      <c r="G228" t="s">
        <v>2653</v>
      </c>
    </row>
    <row r="229" spans="1:7" s="241" customFormat="1" ht="44.25" customHeight="1">
      <c r="A229" t="s">
        <v>2654</v>
      </c>
      <c r="B229" t="s">
        <v>2655</v>
      </c>
      <c r="C229" t="s">
        <v>132</v>
      </c>
      <c r="D229" t="s">
        <v>2143</v>
      </c>
      <c r="E229" t="s">
        <v>1542</v>
      </c>
      <c r="F229" t="s">
        <v>145</v>
      </c>
      <c r="G229" t="s">
        <v>2656</v>
      </c>
    </row>
    <row r="230" spans="1:7" s="241" customFormat="1" ht="44.25" customHeight="1">
      <c r="A230" t="s">
        <v>2657</v>
      </c>
      <c r="B230" t="s">
        <v>2658</v>
      </c>
      <c r="C230" t="s">
        <v>132</v>
      </c>
      <c r="D230" t="s">
        <v>2143</v>
      </c>
      <c r="E230" t="s">
        <v>1542</v>
      </c>
      <c r="F230" t="s">
        <v>145</v>
      </c>
      <c r="G230" t="s">
        <v>2659</v>
      </c>
    </row>
    <row r="231" spans="1:7" s="241" customFormat="1" ht="44.25" customHeight="1">
      <c r="A231" t="s">
        <v>2660</v>
      </c>
      <c r="B231" t="s">
        <v>2661</v>
      </c>
      <c r="C231" t="s">
        <v>132</v>
      </c>
      <c r="D231" t="s">
        <v>2143</v>
      </c>
      <c r="E231" t="s">
        <v>1542</v>
      </c>
      <c r="F231" t="s">
        <v>145</v>
      </c>
      <c r="G231" t="s">
        <v>2662</v>
      </c>
    </row>
    <row r="232" spans="1:7" s="241" customFormat="1" ht="44.25" customHeight="1">
      <c r="A232" t="s">
        <v>2663</v>
      </c>
      <c r="B232" t="s">
        <v>2664</v>
      </c>
      <c r="C232" t="s">
        <v>132</v>
      </c>
      <c r="D232" t="s">
        <v>2143</v>
      </c>
      <c r="E232" t="s">
        <v>1542</v>
      </c>
      <c r="F232" t="s">
        <v>145</v>
      </c>
      <c r="G232" t="s">
        <v>2665</v>
      </c>
    </row>
    <row r="233" spans="1:7" s="241" customFormat="1" ht="44.25" customHeight="1">
      <c r="A233" t="s">
        <v>2666</v>
      </c>
      <c r="B233" t="s">
        <v>2667</v>
      </c>
      <c r="C233" t="s">
        <v>132</v>
      </c>
      <c r="D233" t="s">
        <v>2143</v>
      </c>
      <c r="E233" t="s">
        <v>1542</v>
      </c>
      <c r="F233" t="s">
        <v>145</v>
      </c>
      <c r="G233" t="s">
        <v>2668</v>
      </c>
    </row>
    <row r="234" spans="1:7" s="241" customFormat="1" ht="44.25" customHeight="1">
      <c r="A234" t="s">
        <v>2669</v>
      </c>
      <c r="B234" t="s">
        <v>2670</v>
      </c>
      <c r="C234" t="s">
        <v>132</v>
      </c>
      <c r="D234" t="s">
        <v>2143</v>
      </c>
      <c r="E234" t="s">
        <v>1542</v>
      </c>
      <c r="F234" t="s">
        <v>145</v>
      </c>
      <c r="G234" t="s">
        <v>2671</v>
      </c>
    </row>
    <row r="235" spans="1:7" s="241" customFormat="1" ht="44.25" customHeight="1">
      <c r="A235" t="s">
        <v>2672</v>
      </c>
      <c r="B235" t="s">
        <v>2673</v>
      </c>
      <c r="C235" t="s">
        <v>132</v>
      </c>
      <c r="D235" t="s">
        <v>2143</v>
      </c>
      <c r="E235" t="s">
        <v>1542</v>
      </c>
      <c r="F235" t="s">
        <v>145</v>
      </c>
      <c r="G235" t="s">
        <v>2674</v>
      </c>
    </row>
    <row r="236" spans="1:7" s="241" customFormat="1" ht="44.25" customHeight="1">
      <c r="A236" t="s">
        <v>2675</v>
      </c>
      <c r="B236" t="s">
        <v>2676</v>
      </c>
      <c r="C236" t="s">
        <v>132</v>
      </c>
      <c r="D236" t="s">
        <v>2143</v>
      </c>
      <c r="E236" t="s">
        <v>1542</v>
      </c>
      <c r="F236" t="s">
        <v>145</v>
      </c>
      <c r="G236" t="s">
        <v>2677</v>
      </c>
    </row>
    <row r="237" spans="1:7" s="241" customFormat="1" ht="44.25" customHeight="1">
      <c r="A237" t="s">
        <v>2678</v>
      </c>
      <c r="B237" t="s">
        <v>2679</v>
      </c>
      <c r="C237" t="s">
        <v>132</v>
      </c>
      <c r="D237" t="s">
        <v>2143</v>
      </c>
      <c r="E237" t="s">
        <v>1542</v>
      </c>
      <c r="F237" t="s">
        <v>145</v>
      </c>
      <c r="G237" t="s">
        <v>2680</v>
      </c>
    </row>
    <row r="238" spans="1:7" s="241" customFormat="1" ht="44.25" customHeight="1">
      <c r="A238" t="s">
        <v>2681</v>
      </c>
      <c r="B238" t="s">
        <v>2682</v>
      </c>
      <c r="C238" t="s">
        <v>132</v>
      </c>
      <c r="D238" t="s">
        <v>2143</v>
      </c>
      <c r="E238" t="s">
        <v>1542</v>
      </c>
      <c r="F238" t="s">
        <v>145</v>
      </c>
      <c r="G238" t="s">
        <v>2683</v>
      </c>
    </row>
    <row r="239" spans="1:7" s="241" customFormat="1" ht="44.25" customHeight="1">
      <c r="A239" t="s">
        <v>2684</v>
      </c>
      <c r="B239" t="s">
        <v>2685</v>
      </c>
      <c r="C239" t="s">
        <v>132</v>
      </c>
      <c r="D239" t="s">
        <v>2143</v>
      </c>
      <c r="E239" t="s">
        <v>1542</v>
      </c>
      <c r="F239" t="s">
        <v>145</v>
      </c>
      <c r="G239" t="s">
        <v>2686</v>
      </c>
    </row>
    <row r="240" spans="1:7" s="241" customFormat="1" ht="44.25" customHeight="1">
      <c r="A240" t="s">
        <v>2687</v>
      </c>
      <c r="B240" t="s">
        <v>2688</v>
      </c>
      <c r="C240" t="s">
        <v>132</v>
      </c>
      <c r="D240" t="s">
        <v>2143</v>
      </c>
      <c r="E240" t="s">
        <v>1542</v>
      </c>
      <c r="F240" t="s">
        <v>145</v>
      </c>
      <c r="G240" t="s">
        <v>2689</v>
      </c>
    </row>
    <row r="241" spans="1:7" s="241" customFormat="1" ht="44.25" customHeight="1">
      <c r="A241" t="s">
        <v>2690</v>
      </c>
      <c r="B241" t="s">
        <v>2691</v>
      </c>
      <c r="C241" t="s">
        <v>132</v>
      </c>
      <c r="D241" t="s">
        <v>2143</v>
      </c>
      <c r="E241" t="s">
        <v>1542</v>
      </c>
      <c r="F241" t="s">
        <v>145</v>
      </c>
      <c r="G241" t="s">
        <v>2692</v>
      </c>
    </row>
    <row r="242" spans="1:7" s="241" customFormat="1" ht="44.25" customHeight="1">
      <c r="A242" t="s">
        <v>2693</v>
      </c>
      <c r="B242" t="s">
        <v>2694</v>
      </c>
      <c r="C242" t="s">
        <v>132</v>
      </c>
      <c r="D242" t="s">
        <v>2143</v>
      </c>
      <c r="E242" t="s">
        <v>1542</v>
      </c>
      <c r="F242" t="s">
        <v>145</v>
      </c>
      <c r="G242" t="s">
        <v>2695</v>
      </c>
    </row>
    <row r="243" spans="1:7" s="241" customFormat="1" ht="44.25" customHeight="1">
      <c r="A243" t="s">
        <v>2696</v>
      </c>
      <c r="B243" t="s">
        <v>2697</v>
      </c>
      <c r="C243" t="s">
        <v>132</v>
      </c>
      <c r="D243" t="s">
        <v>2143</v>
      </c>
      <c r="E243" t="s">
        <v>1542</v>
      </c>
      <c r="F243" t="s">
        <v>145</v>
      </c>
      <c r="G243" t="s">
        <v>2698</v>
      </c>
    </row>
    <row r="244" spans="1:7" s="241" customFormat="1" ht="44.25" customHeight="1">
      <c r="A244" t="s">
        <v>2699</v>
      </c>
      <c r="B244" t="s">
        <v>2700</v>
      </c>
      <c r="C244" t="s">
        <v>132</v>
      </c>
      <c r="D244" t="s">
        <v>2143</v>
      </c>
      <c r="E244" t="s">
        <v>1542</v>
      </c>
      <c r="F244" t="s">
        <v>145</v>
      </c>
      <c r="G244" t="s">
        <v>2701</v>
      </c>
    </row>
    <row r="245" spans="1:7" s="241" customFormat="1" ht="44.25" customHeight="1">
      <c r="A245" t="s">
        <v>2702</v>
      </c>
      <c r="B245" t="s">
        <v>2703</v>
      </c>
      <c r="C245" t="s">
        <v>132</v>
      </c>
      <c r="D245" t="s">
        <v>2143</v>
      </c>
      <c r="E245" t="s">
        <v>1542</v>
      </c>
      <c r="F245" t="s">
        <v>145</v>
      </c>
      <c r="G245" t="s">
        <v>2704</v>
      </c>
    </row>
    <row r="246" spans="1:7" s="241" customFormat="1" ht="44.25" customHeight="1">
      <c r="A246" t="s">
        <v>2705</v>
      </c>
      <c r="B246" t="s">
        <v>2706</v>
      </c>
      <c r="C246" t="s">
        <v>132</v>
      </c>
      <c r="D246" t="s">
        <v>2143</v>
      </c>
      <c r="E246" t="s">
        <v>1542</v>
      </c>
      <c r="F246" t="s">
        <v>145</v>
      </c>
      <c r="G246" t="s">
        <v>2707</v>
      </c>
    </row>
    <row r="247" spans="1:7" s="241" customFormat="1" ht="44.25" customHeight="1">
      <c r="A247" t="s">
        <v>2708</v>
      </c>
      <c r="B247" t="s">
        <v>2709</v>
      </c>
      <c r="C247" t="s">
        <v>132</v>
      </c>
      <c r="D247" t="s">
        <v>2143</v>
      </c>
      <c r="E247" t="s">
        <v>1542</v>
      </c>
      <c r="F247" t="s">
        <v>145</v>
      </c>
      <c r="G247" t="s">
        <v>2710</v>
      </c>
    </row>
    <row r="248" spans="1:7" s="241" customFormat="1" ht="44.25" customHeight="1">
      <c r="A248" t="s">
        <v>132</v>
      </c>
      <c r="B248" t="s">
        <v>2711</v>
      </c>
      <c r="C248" t="s">
        <v>132</v>
      </c>
      <c r="D248" t="s">
        <v>2143</v>
      </c>
      <c r="E248" t="s">
        <v>1542</v>
      </c>
      <c r="F248" t="s">
        <v>145</v>
      </c>
      <c r="G248" t="s">
        <v>2712</v>
      </c>
    </row>
    <row r="249" spans="1:7" s="241" customFormat="1" ht="44.25" customHeight="1">
      <c r="A249" t="s">
        <v>2713</v>
      </c>
      <c r="B249" t="s">
        <v>2714</v>
      </c>
      <c r="C249" t="s">
        <v>132</v>
      </c>
      <c r="D249" t="s">
        <v>2143</v>
      </c>
      <c r="E249" t="s">
        <v>1542</v>
      </c>
      <c r="F249" t="s">
        <v>145</v>
      </c>
      <c r="G249" t="s">
        <v>2715</v>
      </c>
    </row>
    <row r="250" spans="1:7" s="241" customFormat="1" ht="44.25" customHeight="1">
      <c r="A250" t="s">
        <v>132</v>
      </c>
      <c r="B250" t="s">
        <v>2716</v>
      </c>
      <c r="C250" t="s">
        <v>132</v>
      </c>
      <c r="D250" t="s">
        <v>2143</v>
      </c>
      <c r="E250" t="s">
        <v>1542</v>
      </c>
      <c r="F250" t="s">
        <v>145</v>
      </c>
      <c r="G250" t="s">
        <v>2717</v>
      </c>
    </row>
    <row r="251" spans="1:7" s="241" customFormat="1" ht="44.25" customHeight="1">
      <c r="A251" t="s">
        <v>2718</v>
      </c>
      <c r="B251" t="s">
        <v>2719</v>
      </c>
      <c r="C251" t="s">
        <v>132</v>
      </c>
      <c r="D251" t="s">
        <v>2143</v>
      </c>
      <c r="E251" t="s">
        <v>1542</v>
      </c>
      <c r="F251" t="s">
        <v>145</v>
      </c>
      <c r="G251" t="s">
        <v>2720</v>
      </c>
    </row>
    <row r="252" spans="1:7" s="241" customFormat="1" ht="44.25" customHeight="1">
      <c r="A252" t="s">
        <v>2721</v>
      </c>
      <c r="B252" t="s">
        <v>2722</v>
      </c>
      <c r="C252" t="s">
        <v>132</v>
      </c>
      <c r="D252" t="s">
        <v>2143</v>
      </c>
      <c r="E252" t="s">
        <v>1542</v>
      </c>
      <c r="F252" t="s">
        <v>145</v>
      </c>
      <c r="G252" t="s">
        <v>2723</v>
      </c>
    </row>
    <row r="253" spans="1:7" s="241" customFormat="1" ht="44.25" customHeight="1">
      <c r="A253" t="s">
        <v>2724</v>
      </c>
      <c r="B253" t="s">
        <v>2725</v>
      </c>
      <c r="C253" t="s">
        <v>132</v>
      </c>
      <c r="D253" t="s">
        <v>2143</v>
      </c>
      <c r="E253" t="s">
        <v>1542</v>
      </c>
      <c r="F253" t="s">
        <v>145</v>
      </c>
      <c r="G253" t="s">
        <v>2726</v>
      </c>
    </row>
    <row r="254" spans="1:7" s="241" customFormat="1" ht="44.25" customHeight="1">
      <c r="A254" t="s">
        <v>2727</v>
      </c>
      <c r="B254" t="s">
        <v>2728</v>
      </c>
      <c r="C254" t="s">
        <v>132</v>
      </c>
      <c r="D254" t="s">
        <v>2143</v>
      </c>
      <c r="E254" t="s">
        <v>1542</v>
      </c>
      <c r="F254" t="s">
        <v>145</v>
      </c>
      <c r="G254" t="s">
        <v>2729</v>
      </c>
    </row>
    <row r="255" spans="1:7" s="241" customFormat="1" ht="44.25" customHeight="1">
      <c r="A255" t="s">
        <v>2730</v>
      </c>
      <c r="B255" t="s">
        <v>2731</v>
      </c>
      <c r="C255" t="s">
        <v>132</v>
      </c>
      <c r="D255" t="s">
        <v>2143</v>
      </c>
      <c r="E255" t="s">
        <v>1542</v>
      </c>
      <c r="F255" t="s">
        <v>145</v>
      </c>
      <c r="G255" t="s">
        <v>2732</v>
      </c>
    </row>
    <row r="256" spans="1:7" s="241" customFormat="1" ht="44.25" customHeight="1">
      <c r="A256" t="s">
        <v>2733</v>
      </c>
      <c r="B256" t="s">
        <v>2734</v>
      </c>
      <c r="C256" t="s">
        <v>132</v>
      </c>
      <c r="D256" t="s">
        <v>2143</v>
      </c>
      <c r="E256" t="s">
        <v>1542</v>
      </c>
      <c r="F256" t="s">
        <v>145</v>
      </c>
      <c r="G256" t="s">
        <v>2735</v>
      </c>
    </row>
    <row r="257" spans="1:7" s="241" customFormat="1" ht="44.25" customHeight="1">
      <c r="A257" t="s">
        <v>249</v>
      </c>
      <c r="B257" t="s">
        <v>2736</v>
      </c>
      <c r="C257" t="s">
        <v>132</v>
      </c>
      <c r="D257" t="s">
        <v>2143</v>
      </c>
      <c r="E257" t="s">
        <v>1542</v>
      </c>
      <c r="F257" t="s">
        <v>145</v>
      </c>
      <c r="G257" t="s">
        <v>2737</v>
      </c>
    </row>
    <row r="258" spans="1:7" s="241" customFormat="1" ht="44.25" customHeight="1">
      <c r="A258" t="s">
        <v>2738</v>
      </c>
      <c r="B258" t="s">
        <v>2739</v>
      </c>
      <c r="C258" t="s">
        <v>132</v>
      </c>
      <c r="D258" t="s">
        <v>2143</v>
      </c>
      <c r="E258" t="s">
        <v>1542</v>
      </c>
      <c r="F258" t="s">
        <v>145</v>
      </c>
      <c r="G258" t="s">
        <v>2740</v>
      </c>
    </row>
    <row r="259" spans="1:7" s="241" customFormat="1" ht="44.25" customHeight="1">
      <c r="A259" t="s">
        <v>2741</v>
      </c>
      <c r="B259" t="s">
        <v>2742</v>
      </c>
      <c r="C259" t="s">
        <v>132</v>
      </c>
      <c r="D259" t="s">
        <v>2143</v>
      </c>
      <c r="E259" t="s">
        <v>1542</v>
      </c>
      <c r="F259" t="s">
        <v>145</v>
      </c>
      <c r="G259" t="s">
        <v>2743</v>
      </c>
    </row>
    <row r="260" spans="1:7" s="241" customFormat="1" ht="44.25" customHeight="1">
      <c r="A260" t="s">
        <v>2744</v>
      </c>
      <c r="B260" t="s">
        <v>2745</v>
      </c>
      <c r="C260" t="s">
        <v>132</v>
      </c>
      <c r="D260" t="s">
        <v>2143</v>
      </c>
      <c r="E260" t="s">
        <v>1542</v>
      </c>
      <c r="F260" t="s">
        <v>145</v>
      </c>
      <c r="G260" t="s">
        <v>2746</v>
      </c>
    </row>
    <row r="261" spans="1:7" s="241" customFormat="1" ht="44.25" customHeight="1">
      <c r="A261" t="s">
        <v>2747</v>
      </c>
      <c r="B261" t="s">
        <v>2748</v>
      </c>
      <c r="C261" t="s">
        <v>132</v>
      </c>
      <c r="D261" t="s">
        <v>2143</v>
      </c>
      <c r="E261" t="s">
        <v>1542</v>
      </c>
      <c r="F261" t="s">
        <v>145</v>
      </c>
      <c r="G261" t="s">
        <v>2749</v>
      </c>
    </row>
    <row r="262" spans="1:7" s="241" customFormat="1" ht="44.25" customHeight="1">
      <c r="A262" t="s">
        <v>2750</v>
      </c>
      <c r="B262" t="s">
        <v>2751</v>
      </c>
      <c r="C262" t="s">
        <v>132</v>
      </c>
      <c r="D262" t="s">
        <v>2143</v>
      </c>
      <c r="E262" t="s">
        <v>1542</v>
      </c>
      <c r="F262" t="s">
        <v>145</v>
      </c>
      <c r="G262" t="s">
        <v>2752</v>
      </c>
    </row>
    <row r="263" spans="1:7" s="241" customFormat="1" ht="44.25" customHeight="1">
      <c r="A263" t="s">
        <v>2753</v>
      </c>
      <c r="B263" t="s">
        <v>2754</v>
      </c>
      <c r="C263" t="s">
        <v>132</v>
      </c>
      <c r="D263" t="s">
        <v>2143</v>
      </c>
      <c r="E263" t="s">
        <v>1542</v>
      </c>
      <c r="F263" t="s">
        <v>145</v>
      </c>
      <c r="G263" t="s">
        <v>2755</v>
      </c>
    </row>
    <row r="264" spans="1:7" s="241" customFormat="1" ht="44.25" customHeight="1">
      <c r="A264" t="s">
        <v>2756</v>
      </c>
      <c r="B264" t="s">
        <v>2757</v>
      </c>
      <c r="C264" t="s">
        <v>132</v>
      </c>
      <c r="D264" t="s">
        <v>2143</v>
      </c>
      <c r="E264" t="s">
        <v>1542</v>
      </c>
      <c r="F264" t="s">
        <v>145</v>
      </c>
      <c r="G264" t="s">
        <v>2758</v>
      </c>
    </row>
    <row r="265" spans="1:7" s="241" customFormat="1" ht="44.25" customHeight="1">
      <c r="A265" t="s">
        <v>132</v>
      </c>
      <c r="B265" t="s">
        <v>2759</v>
      </c>
      <c r="C265" t="s">
        <v>132</v>
      </c>
      <c r="D265" t="s">
        <v>2143</v>
      </c>
      <c r="E265" t="s">
        <v>2581</v>
      </c>
      <c r="F265" t="s">
        <v>145</v>
      </c>
      <c r="G265" t="s">
        <v>2760</v>
      </c>
    </row>
    <row r="266" spans="1:7" s="241" customFormat="1" ht="44.25" customHeight="1">
      <c r="A266" t="s">
        <v>2761</v>
      </c>
      <c r="B266" t="s">
        <v>2762</v>
      </c>
      <c r="C266" t="s">
        <v>132</v>
      </c>
      <c r="D266" t="s">
        <v>2143</v>
      </c>
      <c r="E266" t="s">
        <v>1542</v>
      </c>
      <c r="F266" t="s">
        <v>145</v>
      </c>
      <c r="G266" t="s">
        <v>2763</v>
      </c>
    </row>
    <row r="267" spans="1:7" s="241" customFormat="1" ht="44.25" customHeight="1">
      <c r="A267" t="s">
        <v>2764</v>
      </c>
      <c r="B267" t="s">
        <v>2765</v>
      </c>
      <c r="C267" t="s">
        <v>132</v>
      </c>
      <c r="D267" t="s">
        <v>2143</v>
      </c>
      <c r="E267" t="s">
        <v>1542</v>
      </c>
      <c r="F267" t="s">
        <v>145</v>
      </c>
      <c r="G267" t="s">
        <v>2766</v>
      </c>
    </row>
    <row r="268" spans="1:7" s="241" customFormat="1" ht="44.25" customHeight="1">
      <c r="A268" t="s">
        <v>216</v>
      </c>
      <c r="B268" t="s">
        <v>2767</v>
      </c>
      <c r="C268" t="s">
        <v>132</v>
      </c>
      <c r="D268" t="s">
        <v>2143</v>
      </c>
      <c r="E268" t="s">
        <v>2768</v>
      </c>
      <c r="F268" t="s">
        <v>145</v>
      </c>
      <c r="G268" t="s">
        <v>2769</v>
      </c>
    </row>
    <row r="269" spans="1:7" s="241" customFormat="1" ht="44.25" customHeight="1">
      <c r="A269" t="s">
        <v>2770</v>
      </c>
      <c r="B269" t="s">
        <v>2771</v>
      </c>
      <c r="C269" t="s">
        <v>132</v>
      </c>
      <c r="D269" t="s">
        <v>2143</v>
      </c>
      <c r="E269" t="s">
        <v>1542</v>
      </c>
      <c r="F269" t="s">
        <v>145</v>
      </c>
      <c r="G269" t="s">
        <v>2772</v>
      </c>
    </row>
    <row r="270" spans="1:7" s="241" customFormat="1" ht="44.25" customHeight="1">
      <c r="A270" t="s">
        <v>2773</v>
      </c>
      <c r="B270" t="s">
        <v>2774</v>
      </c>
      <c r="C270" t="s">
        <v>132</v>
      </c>
      <c r="D270" t="s">
        <v>2143</v>
      </c>
      <c r="E270" t="s">
        <v>1542</v>
      </c>
      <c r="F270" t="s">
        <v>145</v>
      </c>
      <c r="G270" t="s">
        <v>2775</v>
      </c>
    </row>
    <row r="271" spans="1:7" s="241" customFormat="1" ht="44.25" customHeight="1">
      <c r="A271" t="s">
        <v>2776</v>
      </c>
      <c r="B271" t="s">
        <v>2777</v>
      </c>
      <c r="C271" t="s">
        <v>132</v>
      </c>
      <c r="D271" t="s">
        <v>2143</v>
      </c>
      <c r="E271" t="s">
        <v>1542</v>
      </c>
      <c r="F271" t="s">
        <v>145</v>
      </c>
      <c r="G271" t="s">
        <v>2778</v>
      </c>
    </row>
    <row r="272" spans="1:7" s="241" customFormat="1" ht="44.25" customHeight="1">
      <c r="A272" t="s">
        <v>2779</v>
      </c>
      <c r="B272" t="s">
        <v>2780</v>
      </c>
      <c r="C272" t="s">
        <v>132</v>
      </c>
      <c r="D272" t="s">
        <v>2143</v>
      </c>
      <c r="E272" t="s">
        <v>1542</v>
      </c>
      <c r="F272" t="s">
        <v>145</v>
      </c>
      <c r="G272" t="s">
        <v>2781</v>
      </c>
    </row>
    <row r="273" spans="1:7" s="241" customFormat="1" ht="44.25" customHeight="1">
      <c r="A273" t="s">
        <v>2782</v>
      </c>
      <c r="B273" t="s">
        <v>2783</v>
      </c>
      <c r="C273" t="s">
        <v>132</v>
      </c>
      <c r="D273" t="s">
        <v>2143</v>
      </c>
      <c r="E273" t="s">
        <v>1542</v>
      </c>
      <c r="F273" t="s">
        <v>145</v>
      </c>
      <c r="G273" t="s">
        <v>2784</v>
      </c>
    </row>
    <row r="274" spans="1:7" s="241" customFormat="1" ht="44.25" customHeight="1">
      <c r="A274" t="s">
        <v>2785</v>
      </c>
      <c r="B274" t="s">
        <v>2786</v>
      </c>
      <c r="C274" t="s">
        <v>132</v>
      </c>
      <c r="D274" t="s">
        <v>2143</v>
      </c>
      <c r="E274" t="s">
        <v>1542</v>
      </c>
      <c r="F274" t="s">
        <v>145</v>
      </c>
      <c r="G274" t="s">
        <v>2787</v>
      </c>
    </row>
    <row r="275" spans="1:7" s="241" customFormat="1" ht="44.25" customHeight="1">
      <c r="A275" t="s">
        <v>2788</v>
      </c>
      <c r="B275" t="s">
        <v>2789</v>
      </c>
      <c r="C275" t="s">
        <v>132</v>
      </c>
      <c r="D275" t="s">
        <v>2143</v>
      </c>
      <c r="E275" t="s">
        <v>1542</v>
      </c>
      <c r="F275" t="s">
        <v>145</v>
      </c>
      <c r="G275" t="s">
        <v>2790</v>
      </c>
    </row>
    <row r="276" spans="1:7" s="241" customFormat="1" ht="44.25" customHeight="1">
      <c r="A276" t="s">
        <v>2791</v>
      </c>
      <c r="B276" t="s">
        <v>2792</v>
      </c>
      <c r="C276" t="s">
        <v>132</v>
      </c>
      <c r="D276" t="s">
        <v>2143</v>
      </c>
      <c r="E276" t="s">
        <v>2285</v>
      </c>
      <c r="F276" t="s">
        <v>145</v>
      </c>
      <c r="G276" t="s">
        <v>2793</v>
      </c>
    </row>
    <row r="277" spans="1:7" s="241" customFormat="1" ht="44.25" customHeight="1">
      <c r="A277" t="s">
        <v>2794</v>
      </c>
      <c r="B277" t="s">
        <v>2795</v>
      </c>
      <c r="C277" t="s">
        <v>132</v>
      </c>
      <c r="D277" t="s">
        <v>2143</v>
      </c>
      <c r="E277" t="s">
        <v>2285</v>
      </c>
      <c r="F277" t="s">
        <v>145</v>
      </c>
      <c r="G277" t="s">
        <v>2796</v>
      </c>
    </row>
    <row r="278" spans="1:7" s="241" customFormat="1" ht="44.25" customHeight="1">
      <c r="A278" t="s">
        <v>2797</v>
      </c>
      <c r="B278" t="s">
        <v>2798</v>
      </c>
      <c r="C278" t="s">
        <v>132</v>
      </c>
      <c r="D278" t="s">
        <v>2143</v>
      </c>
      <c r="E278" t="s">
        <v>2285</v>
      </c>
      <c r="F278" t="s">
        <v>145</v>
      </c>
      <c r="G278" t="s">
        <v>2799</v>
      </c>
    </row>
    <row r="279" spans="1:7" s="241" customFormat="1" ht="44.25" customHeight="1">
      <c r="A279" t="s">
        <v>2800</v>
      </c>
      <c r="B279" t="s">
        <v>2801</v>
      </c>
      <c r="C279" t="s">
        <v>132</v>
      </c>
      <c r="D279" t="s">
        <v>2143</v>
      </c>
      <c r="E279" t="s">
        <v>2285</v>
      </c>
      <c r="F279" t="s">
        <v>145</v>
      </c>
      <c r="G279" t="s">
        <v>2802</v>
      </c>
    </row>
    <row r="280" spans="1:7" s="241" customFormat="1" ht="44.25" customHeight="1">
      <c r="A280" t="s">
        <v>2803</v>
      </c>
      <c r="B280" t="s">
        <v>2804</v>
      </c>
      <c r="C280" t="s">
        <v>132</v>
      </c>
      <c r="D280" t="s">
        <v>2143</v>
      </c>
      <c r="E280" t="s">
        <v>2285</v>
      </c>
      <c r="F280" t="s">
        <v>145</v>
      </c>
      <c r="G280" t="s">
        <v>2805</v>
      </c>
    </row>
    <row r="281" spans="1:7" s="241" customFormat="1" ht="44.25" customHeight="1">
      <c r="A281" t="s">
        <v>2806</v>
      </c>
      <c r="B281" t="s">
        <v>2807</v>
      </c>
      <c r="C281" t="s">
        <v>132</v>
      </c>
      <c r="D281" t="s">
        <v>2143</v>
      </c>
      <c r="E281" t="s">
        <v>2285</v>
      </c>
      <c r="F281" t="s">
        <v>145</v>
      </c>
      <c r="G281" t="s">
        <v>2808</v>
      </c>
    </row>
    <row r="282" spans="1:7" s="241" customFormat="1" ht="44.25" customHeight="1">
      <c r="A282" t="s">
        <v>2809</v>
      </c>
      <c r="B282" t="s">
        <v>2810</v>
      </c>
      <c r="C282" t="s">
        <v>132</v>
      </c>
      <c r="D282" t="s">
        <v>2143</v>
      </c>
      <c r="E282" t="s">
        <v>1542</v>
      </c>
      <c r="F282" t="s">
        <v>145</v>
      </c>
      <c r="G282" t="s">
        <v>2811</v>
      </c>
    </row>
    <row r="283" spans="1:7" s="241" customFormat="1" ht="44.25" customHeight="1">
      <c r="A283" t="s">
        <v>2812</v>
      </c>
      <c r="B283" t="s">
        <v>2813</v>
      </c>
      <c r="C283" t="s">
        <v>132</v>
      </c>
      <c r="D283" t="s">
        <v>2143</v>
      </c>
      <c r="E283" t="s">
        <v>2285</v>
      </c>
      <c r="F283" t="s">
        <v>145</v>
      </c>
      <c r="G283" t="s">
        <v>2814</v>
      </c>
    </row>
    <row r="284" spans="1:7" s="241" customFormat="1" ht="44.25" customHeight="1">
      <c r="A284" t="s">
        <v>2815</v>
      </c>
      <c r="B284" t="s">
        <v>2816</v>
      </c>
      <c r="C284" t="s">
        <v>132</v>
      </c>
      <c r="D284" t="s">
        <v>2143</v>
      </c>
      <c r="E284" t="s">
        <v>1542</v>
      </c>
      <c r="F284" t="s">
        <v>145</v>
      </c>
      <c r="G284" t="s">
        <v>2817</v>
      </c>
    </row>
    <row r="285" spans="1:7" s="241" customFormat="1" ht="44.25" customHeight="1">
      <c r="A285" t="s">
        <v>2818</v>
      </c>
      <c r="B285" t="s">
        <v>2819</v>
      </c>
      <c r="C285" t="s">
        <v>132</v>
      </c>
      <c r="D285" t="s">
        <v>2143</v>
      </c>
      <c r="E285" t="s">
        <v>1438</v>
      </c>
      <c r="F285" t="s">
        <v>145</v>
      </c>
      <c r="G285" t="s">
        <v>2820</v>
      </c>
    </row>
    <row r="286" spans="1:7" s="241" customFormat="1" ht="44.25" customHeight="1">
      <c r="A286" t="s">
        <v>2821</v>
      </c>
      <c r="B286" t="s">
        <v>2822</v>
      </c>
      <c r="C286" t="s">
        <v>132</v>
      </c>
      <c r="D286" t="s">
        <v>2143</v>
      </c>
      <c r="E286" t="s">
        <v>2581</v>
      </c>
      <c r="F286" t="s">
        <v>145</v>
      </c>
      <c r="G286" t="s">
        <v>2823</v>
      </c>
    </row>
    <row r="287" spans="1:7" s="241" customFormat="1" ht="44.25" customHeight="1">
      <c r="A287" t="s">
        <v>2824</v>
      </c>
      <c r="B287" t="s">
        <v>2825</v>
      </c>
      <c r="C287" t="s">
        <v>132</v>
      </c>
      <c r="D287" t="s">
        <v>2143</v>
      </c>
      <c r="E287" t="s">
        <v>2581</v>
      </c>
      <c r="F287" t="s">
        <v>145</v>
      </c>
      <c r="G287" t="s">
        <v>2826</v>
      </c>
    </row>
    <row r="288" spans="1:7" s="241" customFormat="1" ht="44.25" customHeight="1">
      <c r="A288" t="s">
        <v>267</v>
      </c>
      <c r="B288" t="s">
        <v>2827</v>
      </c>
      <c r="C288" t="s">
        <v>132</v>
      </c>
      <c r="D288" t="s">
        <v>2143</v>
      </c>
      <c r="E288" t="s">
        <v>1438</v>
      </c>
      <c r="F288" t="s">
        <v>145</v>
      </c>
      <c r="G288" t="s">
        <v>2828</v>
      </c>
    </row>
    <row r="289" spans="1:7" s="241" customFormat="1" ht="44.25" customHeight="1">
      <c r="A289" t="s">
        <v>2829</v>
      </c>
      <c r="B289" t="s">
        <v>2830</v>
      </c>
      <c r="C289" t="s">
        <v>132</v>
      </c>
      <c r="D289" t="s">
        <v>2143</v>
      </c>
      <c r="E289" t="s">
        <v>1542</v>
      </c>
      <c r="F289" t="s">
        <v>145</v>
      </c>
      <c r="G289" t="s">
        <v>2831</v>
      </c>
    </row>
    <row r="290" spans="1:7" s="241" customFormat="1" ht="44.25" customHeight="1">
      <c r="A290" t="s">
        <v>2832</v>
      </c>
      <c r="B290" t="s">
        <v>2833</v>
      </c>
      <c r="C290" t="s">
        <v>132</v>
      </c>
      <c r="D290" t="s">
        <v>2143</v>
      </c>
      <c r="E290" t="s">
        <v>2571</v>
      </c>
      <c r="F290" t="s">
        <v>145</v>
      </c>
      <c r="G290" t="s">
        <v>2834</v>
      </c>
    </row>
    <row r="291" spans="1:7" s="241" customFormat="1" ht="44.25" customHeight="1">
      <c r="A291" t="s">
        <v>2835</v>
      </c>
      <c r="B291" t="s">
        <v>2836</v>
      </c>
      <c r="C291" t="s">
        <v>132</v>
      </c>
      <c r="D291" t="s">
        <v>2143</v>
      </c>
      <c r="E291" t="s">
        <v>2571</v>
      </c>
      <c r="F291" t="s">
        <v>145</v>
      </c>
      <c r="G291" t="s">
        <v>2837</v>
      </c>
    </row>
    <row r="292" spans="1:7" s="241" customFormat="1" ht="44.25" customHeight="1">
      <c r="A292" t="s">
        <v>2838</v>
      </c>
      <c r="B292" t="s">
        <v>2839</v>
      </c>
      <c r="C292" t="s">
        <v>132</v>
      </c>
      <c r="D292" t="s">
        <v>2143</v>
      </c>
      <c r="E292" t="s">
        <v>2571</v>
      </c>
      <c r="F292" t="s">
        <v>145</v>
      </c>
      <c r="G292" t="s">
        <v>2840</v>
      </c>
    </row>
    <row r="293" spans="1:7" s="241" customFormat="1" ht="44.25" customHeight="1">
      <c r="A293" t="s">
        <v>2841</v>
      </c>
      <c r="B293" t="s">
        <v>2842</v>
      </c>
      <c r="C293" t="s">
        <v>132</v>
      </c>
      <c r="D293" t="s">
        <v>2143</v>
      </c>
      <c r="E293" t="s">
        <v>2285</v>
      </c>
      <c r="F293" t="s">
        <v>145</v>
      </c>
      <c r="G293" t="s">
        <v>2843</v>
      </c>
    </row>
    <row r="294" spans="1:7" s="241" customFormat="1" ht="44.25" customHeight="1">
      <c r="A294" t="s">
        <v>2844</v>
      </c>
      <c r="B294" t="s">
        <v>2845</v>
      </c>
      <c r="C294" t="s">
        <v>132</v>
      </c>
      <c r="D294" t="s">
        <v>2143</v>
      </c>
      <c r="E294" t="s">
        <v>1542</v>
      </c>
      <c r="F294" t="s">
        <v>145</v>
      </c>
      <c r="G294" t="s">
        <v>2846</v>
      </c>
    </row>
    <row r="295" spans="1:7" s="241" customFormat="1" ht="44.25" customHeight="1">
      <c r="A295" t="s">
        <v>2847</v>
      </c>
      <c r="B295" t="s">
        <v>2848</v>
      </c>
      <c r="C295" t="s">
        <v>132</v>
      </c>
      <c r="D295" t="s">
        <v>2143</v>
      </c>
      <c r="E295" t="s">
        <v>2285</v>
      </c>
      <c r="F295" t="s">
        <v>145</v>
      </c>
      <c r="G295" t="s">
        <v>2849</v>
      </c>
    </row>
    <row r="296" spans="1:7" s="241" customFormat="1" ht="44.25" customHeight="1">
      <c r="A296" t="s">
        <v>2850</v>
      </c>
      <c r="B296" t="s">
        <v>2851</v>
      </c>
      <c r="C296" t="s">
        <v>132</v>
      </c>
      <c r="D296" t="s">
        <v>2143</v>
      </c>
      <c r="E296" t="s">
        <v>2285</v>
      </c>
      <c r="F296" t="s">
        <v>145</v>
      </c>
      <c r="G296" t="s">
        <v>2852</v>
      </c>
    </row>
    <row r="297" spans="1:7" s="241" customFormat="1" ht="44.25" customHeight="1">
      <c r="A297" t="s">
        <v>2853</v>
      </c>
      <c r="B297" t="s">
        <v>2854</v>
      </c>
      <c r="C297" t="s">
        <v>132</v>
      </c>
      <c r="D297" t="s">
        <v>2143</v>
      </c>
      <c r="E297" t="s">
        <v>2285</v>
      </c>
      <c r="F297" t="s">
        <v>145</v>
      </c>
      <c r="G297" t="s">
        <v>2855</v>
      </c>
    </row>
    <row r="298" spans="1:7" s="241" customFormat="1" ht="44.25" customHeight="1">
      <c r="A298" t="s">
        <v>2856</v>
      </c>
      <c r="B298" t="s">
        <v>2857</v>
      </c>
      <c r="C298" t="s">
        <v>132</v>
      </c>
      <c r="D298" t="s">
        <v>2143</v>
      </c>
      <c r="E298" t="s">
        <v>1542</v>
      </c>
      <c r="F298" t="s">
        <v>145</v>
      </c>
      <c r="G298" t="s">
        <v>2858</v>
      </c>
    </row>
    <row r="299" spans="1:7" s="241" customFormat="1" ht="44.25" customHeight="1">
      <c r="A299" t="s">
        <v>2859</v>
      </c>
      <c r="B299" t="s">
        <v>2860</v>
      </c>
      <c r="C299" t="s">
        <v>132</v>
      </c>
      <c r="D299" t="s">
        <v>2143</v>
      </c>
      <c r="E299" t="s">
        <v>1542</v>
      </c>
      <c r="F299" t="s">
        <v>145</v>
      </c>
      <c r="G299" t="s">
        <v>2861</v>
      </c>
    </row>
    <row r="300" spans="1:7" s="241" customFormat="1" ht="44.25" customHeight="1">
      <c r="A300" t="s">
        <v>2862</v>
      </c>
      <c r="B300" t="s">
        <v>2863</v>
      </c>
      <c r="C300" t="s">
        <v>132</v>
      </c>
      <c r="D300" t="s">
        <v>2143</v>
      </c>
      <c r="E300" t="s">
        <v>1542</v>
      </c>
      <c r="F300" t="s">
        <v>145</v>
      </c>
      <c r="G300" t="s">
        <v>2864</v>
      </c>
    </row>
    <row r="301" spans="1:7" s="241" customFormat="1" ht="44.25" customHeight="1">
      <c r="A301" t="s">
        <v>2865</v>
      </c>
      <c r="B301" t="s">
        <v>2866</v>
      </c>
      <c r="C301" t="s">
        <v>132</v>
      </c>
      <c r="D301" t="s">
        <v>2143</v>
      </c>
      <c r="E301" t="s">
        <v>1542</v>
      </c>
      <c r="F301" t="s">
        <v>145</v>
      </c>
      <c r="G301" t="s">
        <v>2867</v>
      </c>
    </row>
    <row r="302" spans="1:7" s="241" customFormat="1" ht="44.25" customHeight="1">
      <c r="A302" t="s">
        <v>2868</v>
      </c>
      <c r="B302" t="s">
        <v>2869</v>
      </c>
      <c r="C302" t="s">
        <v>132</v>
      </c>
      <c r="D302" t="s">
        <v>2143</v>
      </c>
      <c r="E302" t="s">
        <v>1542</v>
      </c>
      <c r="F302" t="s">
        <v>145</v>
      </c>
      <c r="G302" t="s">
        <v>2870</v>
      </c>
    </row>
    <row r="303" spans="1:7" s="241" customFormat="1" ht="44.25" customHeight="1">
      <c r="A303" t="s">
        <v>2871</v>
      </c>
      <c r="B303" t="s">
        <v>2872</v>
      </c>
      <c r="C303" t="s">
        <v>132</v>
      </c>
      <c r="D303" t="s">
        <v>2143</v>
      </c>
      <c r="E303" t="s">
        <v>1542</v>
      </c>
      <c r="F303" t="s">
        <v>145</v>
      </c>
      <c r="G303" t="s">
        <v>2873</v>
      </c>
    </row>
    <row r="304" spans="1:7" s="241" customFormat="1" ht="44.25" customHeight="1">
      <c r="A304" t="s">
        <v>2874</v>
      </c>
      <c r="B304" t="s">
        <v>2875</v>
      </c>
      <c r="C304" t="s">
        <v>132</v>
      </c>
      <c r="D304" t="s">
        <v>2143</v>
      </c>
      <c r="E304" t="s">
        <v>1542</v>
      </c>
      <c r="F304" t="s">
        <v>145</v>
      </c>
      <c r="G304" t="s">
        <v>2876</v>
      </c>
    </row>
    <row r="305" spans="1:7" s="241" customFormat="1" ht="44.25" customHeight="1">
      <c r="A305" t="s">
        <v>2877</v>
      </c>
      <c r="B305" t="s">
        <v>2878</v>
      </c>
      <c r="C305" t="s">
        <v>132</v>
      </c>
      <c r="D305" t="s">
        <v>2143</v>
      </c>
      <c r="E305" t="s">
        <v>1542</v>
      </c>
      <c r="F305" t="s">
        <v>145</v>
      </c>
      <c r="G305" t="s">
        <v>2879</v>
      </c>
    </row>
    <row r="306" spans="1:7" s="241" customFormat="1" ht="44.25" customHeight="1">
      <c r="A306" t="s">
        <v>2880</v>
      </c>
      <c r="B306" t="s">
        <v>2881</v>
      </c>
      <c r="C306" t="s">
        <v>132</v>
      </c>
      <c r="D306" t="s">
        <v>2143</v>
      </c>
      <c r="E306" t="s">
        <v>1542</v>
      </c>
      <c r="F306" t="s">
        <v>145</v>
      </c>
      <c r="G306" t="s">
        <v>2882</v>
      </c>
    </row>
    <row r="307" spans="1:7" s="241" customFormat="1" ht="44.25" customHeight="1">
      <c r="A307" t="s">
        <v>2883</v>
      </c>
      <c r="B307" t="s">
        <v>2884</v>
      </c>
      <c r="C307" t="s">
        <v>132</v>
      </c>
      <c r="D307" t="s">
        <v>2143</v>
      </c>
      <c r="E307" t="s">
        <v>1542</v>
      </c>
      <c r="F307" t="s">
        <v>145</v>
      </c>
      <c r="G307" t="s">
        <v>2885</v>
      </c>
    </row>
    <row r="308" spans="1:7" s="241" customFormat="1" ht="44.25" customHeight="1">
      <c r="A308" t="s">
        <v>2886</v>
      </c>
      <c r="B308" t="s">
        <v>2887</v>
      </c>
      <c r="C308" t="s">
        <v>132</v>
      </c>
      <c r="D308" t="s">
        <v>2143</v>
      </c>
      <c r="E308" t="s">
        <v>1542</v>
      </c>
      <c r="F308" t="s">
        <v>145</v>
      </c>
      <c r="G308" t="s">
        <v>2888</v>
      </c>
    </row>
    <row r="309" spans="1:7" s="241" customFormat="1" ht="44.25" customHeight="1">
      <c r="A309" t="s">
        <v>2889</v>
      </c>
      <c r="B309" t="s">
        <v>2890</v>
      </c>
      <c r="C309" t="s">
        <v>132</v>
      </c>
      <c r="D309" t="s">
        <v>79</v>
      </c>
      <c r="E309" t="s">
        <v>2891</v>
      </c>
      <c r="F309" t="s">
        <v>145</v>
      </c>
      <c r="G309" t="s">
        <v>2892</v>
      </c>
    </row>
    <row r="310" spans="1:7" s="241" customFormat="1" ht="44.25" customHeight="1">
      <c r="A310" t="s">
        <v>2893</v>
      </c>
      <c r="B310" t="s">
        <v>2894</v>
      </c>
      <c r="C310" t="s">
        <v>132</v>
      </c>
      <c r="D310" t="s">
        <v>2143</v>
      </c>
      <c r="E310" t="s">
        <v>1542</v>
      </c>
      <c r="F310" t="s">
        <v>145</v>
      </c>
      <c r="G310" t="s">
        <v>2895</v>
      </c>
    </row>
    <row r="311" spans="1:7" s="241" customFormat="1" ht="44.25" customHeight="1">
      <c r="A311" t="s">
        <v>2896</v>
      </c>
      <c r="B311" t="s">
        <v>2897</v>
      </c>
      <c r="C311" t="s">
        <v>132</v>
      </c>
      <c r="D311" t="s">
        <v>2143</v>
      </c>
      <c r="E311" t="s">
        <v>1542</v>
      </c>
      <c r="F311" t="s">
        <v>145</v>
      </c>
      <c r="G311" t="s">
        <v>2898</v>
      </c>
    </row>
    <row r="312" spans="1:7" s="241" customFormat="1" ht="44.25" customHeight="1">
      <c r="A312" t="s">
        <v>2899</v>
      </c>
      <c r="B312" t="s">
        <v>2900</v>
      </c>
      <c r="C312" t="s">
        <v>132</v>
      </c>
      <c r="D312" t="s">
        <v>2143</v>
      </c>
      <c r="E312" t="s">
        <v>1542</v>
      </c>
      <c r="F312" t="s">
        <v>145</v>
      </c>
      <c r="G312" t="s">
        <v>2901</v>
      </c>
    </row>
    <row r="313" spans="1:7" s="241" customFormat="1" ht="44.25" customHeight="1">
      <c r="A313" t="s">
        <v>2902</v>
      </c>
      <c r="B313" t="s">
        <v>2903</v>
      </c>
      <c r="C313" t="s">
        <v>132</v>
      </c>
      <c r="D313" t="s">
        <v>2143</v>
      </c>
      <c r="E313" t="s">
        <v>1542</v>
      </c>
      <c r="F313" t="s">
        <v>145</v>
      </c>
      <c r="G313" t="s">
        <v>2904</v>
      </c>
    </row>
    <row r="314" spans="1:7" s="241" customFormat="1" ht="44.25" customHeight="1">
      <c r="A314" t="s">
        <v>2905</v>
      </c>
      <c r="B314" t="s">
        <v>2906</v>
      </c>
      <c r="C314" t="s">
        <v>132</v>
      </c>
      <c r="D314" t="s">
        <v>2143</v>
      </c>
      <c r="E314" t="s">
        <v>1542</v>
      </c>
      <c r="F314" t="s">
        <v>145</v>
      </c>
      <c r="G314" t="s">
        <v>2907</v>
      </c>
    </row>
    <row r="315" spans="1:7" s="241" customFormat="1" ht="44.25" customHeight="1">
      <c r="A315" t="s">
        <v>2908</v>
      </c>
      <c r="B315" t="s">
        <v>2909</v>
      </c>
      <c r="C315" t="s">
        <v>132</v>
      </c>
      <c r="D315" t="s">
        <v>2143</v>
      </c>
      <c r="E315" t="s">
        <v>1542</v>
      </c>
      <c r="F315" t="s">
        <v>145</v>
      </c>
      <c r="G315" t="s">
        <v>2910</v>
      </c>
    </row>
    <row r="316" spans="1:7" s="241" customFormat="1" ht="44.25" customHeight="1">
      <c r="A316" t="s">
        <v>2911</v>
      </c>
      <c r="B316" t="s">
        <v>2912</v>
      </c>
      <c r="C316" t="s">
        <v>132</v>
      </c>
      <c r="D316" t="s">
        <v>2143</v>
      </c>
      <c r="E316" t="s">
        <v>1542</v>
      </c>
      <c r="F316" t="s">
        <v>145</v>
      </c>
      <c r="G316" t="s">
        <v>2913</v>
      </c>
    </row>
    <row r="317" spans="1:7" s="241" customFormat="1" ht="44.25" customHeight="1">
      <c r="A317" t="s">
        <v>2914</v>
      </c>
      <c r="B317" t="s">
        <v>2915</v>
      </c>
      <c r="C317" t="s">
        <v>132</v>
      </c>
      <c r="D317" t="s">
        <v>2143</v>
      </c>
      <c r="E317" t="s">
        <v>1542</v>
      </c>
      <c r="F317" t="s">
        <v>145</v>
      </c>
      <c r="G317" t="s">
        <v>2916</v>
      </c>
    </row>
    <row r="318" spans="1:7" s="241" customFormat="1" ht="44.25" customHeight="1">
      <c r="A318" t="s">
        <v>2917</v>
      </c>
      <c r="B318" t="s">
        <v>2918</v>
      </c>
      <c r="C318" t="s">
        <v>132</v>
      </c>
      <c r="D318" t="s">
        <v>2143</v>
      </c>
      <c r="E318" t="s">
        <v>1542</v>
      </c>
      <c r="F318" t="s">
        <v>145</v>
      </c>
      <c r="G318" t="s">
        <v>2919</v>
      </c>
    </row>
    <row r="319" spans="1:7" s="241" customFormat="1" ht="44.25" customHeight="1">
      <c r="A319" t="s">
        <v>2920</v>
      </c>
      <c r="B319" t="s">
        <v>2921</v>
      </c>
      <c r="C319" t="s">
        <v>132</v>
      </c>
      <c r="D319" t="s">
        <v>2143</v>
      </c>
      <c r="E319" t="s">
        <v>1542</v>
      </c>
      <c r="F319" t="s">
        <v>145</v>
      </c>
      <c r="G319" t="s">
        <v>2922</v>
      </c>
    </row>
    <row r="320" spans="1:7" s="241" customFormat="1" ht="44.25" customHeight="1">
      <c r="A320" t="s">
        <v>2923</v>
      </c>
      <c r="B320" t="s">
        <v>2924</v>
      </c>
      <c r="C320" t="s">
        <v>132</v>
      </c>
      <c r="D320" t="s">
        <v>2143</v>
      </c>
      <c r="E320" t="s">
        <v>1542</v>
      </c>
      <c r="F320" t="s">
        <v>145</v>
      </c>
      <c r="G320" t="s">
        <v>2925</v>
      </c>
    </row>
    <row r="321" spans="1:7" s="241" customFormat="1" ht="44.25" customHeight="1">
      <c r="A321" t="s">
        <v>2926</v>
      </c>
      <c r="B321" t="s">
        <v>2927</v>
      </c>
      <c r="C321" t="s">
        <v>132</v>
      </c>
      <c r="D321" t="s">
        <v>2143</v>
      </c>
      <c r="E321" t="s">
        <v>1542</v>
      </c>
      <c r="F321" t="s">
        <v>145</v>
      </c>
      <c r="G321" t="s">
        <v>2928</v>
      </c>
    </row>
    <row r="322" spans="1:7" s="241" customFormat="1" ht="44.25" customHeight="1">
      <c r="A322" t="s">
        <v>2929</v>
      </c>
      <c r="B322" t="s">
        <v>2930</v>
      </c>
      <c r="C322" t="s">
        <v>132</v>
      </c>
      <c r="D322" t="s">
        <v>2143</v>
      </c>
      <c r="E322" t="s">
        <v>1542</v>
      </c>
      <c r="F322" t="s">
        <v>145</v>
      </c>
      <c r="G322" t="s">
        <v>2931</v>
      </c>
    </row>
    <row r="323" spans="1:7" s="241" customFormat="1" ht="44.25" customHeight="1">
      <c r="A323" t="s">
        <v>2932</v>
      </c>
      <c r="B323" t="s">
        <v>2933</v>
      </c>
      <c r="C323" t="s">
        <v>132</v>
      </c>
      <c r="D323" t="s">
        <v>2143</v>
      </c>
      <c r="E323" t="s">
        <v>1542</v>
      </c>
      <c r="F323" t="s">
        <v>145</v>
      </c>
      <c r="G323" t="s">
        <v>2934</v>
      </c>
    </row>
    <row r="324" spans="1:7" s="241" customFormat="1" ht="44.25" customHeight="1">
      <c r="A324" t="s">
        <v>2935</v>
      </c>
      <c r="B324" t="s">
        <v>2936</v>
      </c>
      <c r="C324" t="s">
        <v>132</v>
      </c>
      <c r="D324" t="s">
        <v>2143</v>
      </c>
      <c r="E324" t="s">
        <v>1542</v>
      </c>
      <c r="F324" t="s">
        <v>145</v>
      </c>
      <c r="G324" t="s">
        <v>2937</v>
      </c>
    </row>
    <row r="325" spans="1:7" s="241" customFormat="1" ht="44.25" customHeight="1">
      <c r="A325" t="s">
        <v>218</v>
      </c>
      <c r="B325" t="s">
        <v>2938</v>
      </c>
      <c r="C325" t="s">
        <v>132</v>
      </c>
      <c r="D325" t="s">
        <v>2143</v>
      </c>
      <c r="E325" t="s">
        <v>1542</v>
      </c>
      <c r="F325" t="s">
        <v>145</v>
      </c>
      <c r="G325" t="s">
        <v>2939</v>
      </c>
    </row>
    <row r="326" spans="1:7" s="241" customFormat="1" ht="44.25" customHeight="1">
      <c r="A326" t="s">
        <v>1353</v>
      </c>
      <c r="B326" t="s">
        <v>2940</v>
      </c>
      <c r="C326" t="s">
        <v>132</v>
      </c>
      <c r="D326" t="s">
        <v>2143</v>
      </c>
      <c r="E326" t="s">
        <v>1542</v>
      </c>
      <c r="F326" t="s">
        <v>145</v>
      </c>
      <c r="G326" t="s">
        <v>2941</v>
      </c>
    </row>
    <row r="327" spans="1:7" s="241" customFormat="1" ht="44.25" customHeight="1">
      <c r="A327" t="s">
        <v>2942</v>
      </c>
      <c r="B327" t="s">
        <v>2943</v>
      </c>
      <c r="C327" t="s">
        <v>132</v>
      </c>
      <c r="D327" t="s">
        <v>2143</v>
      </c>
      <c r="E327" t="s">
        <v>1542</v>
      </c>
      <c r="F327" t="s">
        <v>145</v>
      </c>
      <c r="G327" t="s">
        <v>2944</v>
      </c>
    </row>
    <row r="328" spans="1:7" s="241" customFormat="1" ht="44.25" customHeight="1">
      <c r="A328" t="s">
        <v>2945</v>
      </c>
      <c r="B328" t="s">
        <v>2946</v>
      </c>
      <c r="C328" t="s">
        <v>132</v>
      </c>
      <c r="D328" t="s">
        <v>2143</v>
      </c>
      <c r="E328" t="s">
        <v>1542</v>
      </c>
      <c r="F328" t="s">
        <v>145</v>
      </c>
      <c r="G328" t="s">
        <v>2947</v>
      </c>
    </row>
    <row r="329" spans="1:7" s="241" customFormat="1" ht="44.25" customHeight="1">
      <c r="A329" t="s">
        <v>2948</v>
      </c>
      <c r="B329" t="s">
        <v>2949</v>
      </c>
      <c r="C329" t="s">
        <v>132</v>
      </c>
      <c r="D329" t="s">
        <v>2143</v>
      </c>
      <c r="E329" t="s">
        <v>1542</v>
      </c>
      <c r="F329" t="s">
        <v>145</v>
      </c>
      <c r="G329" t="s">
        <v>2950</v>
      </c>
    </row>
    <row r="330" spans="1:7" s="241" customFormat="1" ht="44.25" customHeight="1">
      <c r="A330" t="s">
        <v>2951</v>
      </c>
      <c r="B330" t="s">
        <v>2952</v>
      </c>
      <c r="C330" t="s">
        <v>132</v>
      </c>
      <c r="D330" t="s">
        <v>2143</v>
      </c>
      <c r="E330" t="s">
        <v>1542</v>
      </c>
      <c r="F330" t="s">
        <v>145</v>
      </c>
      <c r="G330" t="s">
        <v>2953</v>
      </c>
    </row>
    <row r="331" spans="1:7" s="241" customFormat="1" ht="44.25" customHeight="1">
      <c r="A331" t="s">
        <v>2954</v>
      </c>
      <c r="B331" t="s">
        <v>2955</v>
      </c>
      <c r="C331" t="s">
        <v>132</v>
      </c>
      <c r="D331" t="s">
        <v>2143</v>
      </c>
      <c r="E331" t="s">
        <v>1542</v>
      </c>
      <c r="F331" t="s">
        <v>145</v>
      </c>
      <c r="G331" t="s">
        <v>2956</v>
      </c>
    </row>
    <row r="332" spans="1:7" s="241" customFormat="1" ht="44.25" customHeight="1">
      <c r="A332" t="s">
        <v>2957</v>
      </c>
      <c r="B332" t="s">
        <v>2958</v>
      </c>
      <c r="C332" t="s">
        <v>132</v>
      </c>
      <c r="D332" t="s">
        <v>2143</v>
      </c>
      <c r="E332" t="s">
        <v>1542</v>
      </c>
      <c r="F332" t="s">
        <v>145</v>
      </c>
      <c r="G332" t="s">
        <v>2959</v>
      </c>
    </row>
    <row r="333" spans="1:7" s="241" customFormat="1" ht="44.25" customHeight="1">
      <c r="A333" t="s">
        <v>2960</v>
      </c>
      <c r="B333" t="s">
        <v>2961</v>
      </c>
      <c r="C333" t="s">
        <v>132</v>
      </c>
      <c r="D333" t="s">
        <v>2143</v>
      </c>
      <c r="E333" t="s">
        <v>1542</v>
      </c>
      <c r="F333" t="s">
        <v>145</v>
      </c>
      <c r="G333" t="s">
        <v>2962</v>
      </c>
    </row>
    <row r="334" spans="1:7" s="241" customFormat="1" ht="44.25" customHeight="1">
      <c r="A334" t="s">
        <v>2963</v>
      </c>
      <c r="B334" t="s">
        <v>2964</v>
      </c>
      <c r="C334" t="s">
        <v>132</v>
      </c>
      <c r="D334" t="s">
        <v>2143</v>
      </c>
      <c r="E334" t="s">
        <v>1542</v>
      </c>
      <c r="F334" t="s">
        <v>145</v>
      </c>
      <c r="G334" t="s">
        <v>2965</v>
      </c>
    </row>
    <row r="335" spans="1:7" s="241" customFormat="1" ht="44.25" customHeight="1">
      <c r="A335" t="s">
        <v>1354</v>
      </c>
      <c r="B335" t="s">
        <v>2966</v>
      </c>
      <c r="C335" t="s">
        <v>132</v>
      </c>
      <c r="D335" t="s">
        <v>2143</v>
      </c>
      <c r="E335" t="s">
        <v>1542</v>
      </c>
      <c r="F335" t="s">
        <v>145</v>
      </c>
      <c r="G335" t="s">
        <v>2967</v>
      </c>
    </row>
    <row r="336" spans="1:7" s="241" customFormat="1" ht="44.25" customHeight="1">
      <c r="A336" t="s">
        <v>1352</v>
      </c>
      <c r="B336" t="s">
        <v>2968</v>
      </c>
      <c r="C336" t="s">
        <v>132</v>
      </c>
      <c r="D336" t="s">
        <v>2143</v>
      </c>
      <c r="E336" t="s">
        <v>1542</v>
      </c>
      <c r="F336" t="s">
        <v>145</v>
      </c>
      <c r="G336" t="s">
        <v>2969</v>
      </c>
    </row>
    <row r="337" spans="1:7" s="241" customFormat="1" ht="44.25" customHeight="1">
      <c r="A337" t="s">
        <v>1357</v>
      </c>
      <c r="B337" t="s">
        <v>2970</v>
      </c>
      <c r="C337" t="s">
        <v>132</v>
      </c>
      <c r="D337" t="s">
        <v>2143</v>
      </c>
      <c r="E337" t="s">
        <v>1542</v>
      </c>
      <c r="F337" t="s">
        <v>145</v>
      </c>
      <c r="G337" t="s">
        <v>2971</v>
      </c>
    </row>
    <row r="338" spans="1:7" s="241" customFormat="1" ht="44.25" customHeight="1">
      <c r="A338" t="s">
        <v>2972</v>
      </c>
      <c r="B338" t="s">
        <v>2973</v>
      </c>
      <c r="C338" t="s">
        <v>132</v>
      </c>
      <c r="D338" t="s">
        <v>2284</v>
      </c>
      <c r="E338" t="s">
        <v>2285</v>
      </c>
      <c r="F338" t="s">
        <v>145</v>
      </c>
      <c r="G338" t="s">
        <v>2974</v>
      </c>
    </row>
    <row r="339" spans="1:7" s="241" customFormat="1" ht="44.25" customHeight="1">
      <c r="A339" t="s">
        <v>2975</v>
      </c>
      <c r="B339" t="s">
        <v>2976</v>
      </c>
      <c r="C339" t="s">
        <v>132</v>
      </c>
      <c r="D339" t="s">
        <v>2143</v>
      </c>
      <c r="E339" t="s">
        <v>1542</v>
      </c>
      <c r="F339" t="s">
        <v>145</v>
      </c>
      <c r="G339" t="s">
        <v>2977</v>
      </c>
    </row>
    <row r="340" spans="1:7" s="241" customFormat="1" ht="44.25" customHeight="1">
      <c r="A340" t="s">
        <v>1323</v>
      </c>
      <c r="B340" t="s">
        <v>2978</v>
      </c>
      <c r="C340" t="s">
        <v>132</v>
      </c>
      <c r="D340" t="s">
        <v>2143</v>
      </c>
      <c r="E340" t="s">
        <v>1542</v>
      </c>
      <c r="F340" t="s">
        <v>145</v>
      </c>
      <c r="G340" t="s">
        <v>2979</v>
      </c>
    </row>
    <row r="341" spans="1:7" s="241" customFormat="1" ht="44.25" customHeight="1">
      <c r="A341" t="s">
        <v>1328</v>
      </c>
      <c r="B341" t="s">
        <v>2980</v>
      </c>
      <c r="C341" t="s">
        <v>132</v>
      </c>
      <c r="D341" t="s">
        <v>2143</v>
      </c>
      <c r="E341" t="s">
        <v>1542</v>
      </c>
      <c r="F341" t="s">
        <v>145</v>
      </c>
      <c r="G341" t="s">
        <v>2981</v>
      </c>
    </row>
    <row r="342" spans="1:7" s="241" customFormat="1" ht="44.25" customHeight="1">
      <c r="A342" t="s">
        <v>1327</v>
      </c>
      <c r="B342" t="s">
        <v>2982</v>
      </c>
      <c r="C342" t="s">
        <v>132</v>
      </c>
      <c r="D342" t="s">
        <v>2143</v>
      </c>
      <c r="E342" t="s">
        <v>1542</v>
      </c>
      <c r="F342" t="s">
        <v>145</v>
      </c>
      <c r="G342" t="s">
        <v>2983</v>
      </c>
    </row>
    <row r="343" spans="1:7" s="241" customFormat="1" ht="44.25" customHeight="1">
      <c r="A343" t="s">
        <v>1347</v>
      </c>
      <c r="B343" t="s">
        <v>2984</v>
      </c>
      <c r="C343" t="s">
        <v>132</v>
      </c>
      <c r="D343" t="s">
        <v>2143</v>
      </c>
      <c r="E343" t="s">
        <v>1542</v>
      </c>
      <c r="F343" t="s">
        <v>145</v>
      </c>
      <c r="G343" t="s">
        <v>2985</v>
      </c>
    </row>
    <row r="344" spans="1:7" s="241" customFormat="1" ht="44.25" customHeight="1">
      <c r="A344" t="s">
        <v>1343</v>
      </c>
      <c r="B344" t="s">
        <v>2986</v>
      </c>
      <c r="C344" t="s">
        <v>132</v>
      </c>
      <c r="D344" t="s">
        <v>2143</v>
      </c>
      <c r="E344" t="s">
        <v>1542</v>
      </c>
      <c r="F344" t="s">
        <v>145</v>
      </c>
      <c r="G344" t="s">
        <v>2987</v>
      </c>
    </row>
    <row r="345" spans="1:7" s="241" customFormat="1" ht="44.25" customHeight="1">
      <c r="A345" t="s">
        <v>1344</v>
      </c>
      <c r="B345" t="s">
        <v>2988</v>
      </c>
      <c r="C345" t="s">
        <v>132</v>
      </c>
      <c r="D345" t="s">
        <v>2143</v>
      </c>
      <c r="E345" t="s">
        <v>1542</v>
      </c>
      <c r="F345" t="s">
        <v>145</v>
      </c>
      <c r="G345" t="s">
        <v>2989</v>
      </c>
    </row>
    <row r="346" spans="1:7" s="241" customFormat="1" ht="44.25" customHeight="1">
      <c r="A346" t="s">
        <v>1348</v>
      </c>
      <c r="B346" t="s">
        <v>2990</v>
      </c>
      <c r="C346" t="s">
        <v>132</v>
      </c>
      <c r="D346" t="s">
        <v>2143</v>
      </c>
      <c r="E346" t="s">
        <v>1542</v>
      </c>
      <c r="F346" t="s">
        <v>145</v>
      </c>
      <c r="G346" t="s">
        <v>2991</v>
      </c>
    </row>
    <row r="347" spans="1:7" s="241" customFormat="1" ht="44.25" customHeight="1">
      <c r="A347" t="s">
        <v>1332</v>
      </c>
      <c r="B347" t="s">
        <v>2992</v>
      </c>
      <c r="C347" t="s">
        <v>132</v>
      </c>
      <c r="D347" t="s">
        <v>2143</v>
      </c>
      <c r="E347" t="s">
        <v>1542</v>
      </c>
      <c r="F347" t="s">
        <v>145</v>
      </c>
      <c r="G347" t="s">
        <v>2993</v>
      </c>
    </row>
    <row r="348" spans="1:7" s="241" customFormat="1" ht="44.25" customHeight="1">
      <c r="A348" t="s">
        <v>1338</v>
      </c>
      <c r="B348" t="s">
        <v>2994</v>
      </c>
      <c r="C348" t="s">
        <v>132</v>
      </c>
      <c r="D348" t="s">
        <v>2143</v>
      </c>
      <c r="E348" t="s">
        <v>1542</v>
      </c>
      <c r="F348" t="s">
        <v>145</v>
      </c>
      <c r="G348" t="s">
        <v>2995</v>
      </c>
    </row>
    <row r="349" spans="1:7" s="241" customFormat="1" ht="44.25" customHeight="1">
      <c r="A349" t="s">
        <v>1359</v>
      </c>
      <c r="B349" t="s">
        <v>2996</v>
      </c>
      <c r="C349" t="s">
        <v>132</v>
      </c>
      <c r="D349" t="s">
        <v>2143</v>
      </c>
      <c r="E349" t="s">
        <v>1542</v>
      </c>
      <c r="F349" t="s">
        <v>145</v>
      </c>
      <c r="G349" t="s">
        <v>2997</v>
      </c>
    </row>
    <row r="350" spans="1:7" s="241" customFormat="1" ht="44.25" customHeight="1">
      <c r="A350" t="s">
        <v>2998</v>
      </c>
      <c r="B350" t="s">
        <v>2999</v>
      </c>
      <c r="C350" t="s">
        <v>132</v>
      </c>
      <c r="D350" t="s">
        <v>2143</v>
      </c>
      <c r="E350" t="s">
        <v>1542</v>
      </c>
      <c r="F350" t="s">
        <v>145</v>
      </c>
      <c r="G350" t="s">
        <v>3000</v>
      </c>
    </row>
    <row r="351" spans="1:7" s="241" customFormat="1" ht="44.25" customHeight="1">
      <c r="A351" t="s">
        <v>1360</v>
      </c>
      <c r="B351" t="s">
        <v>3001</v>
      </c>
      <c r="C351" t="s">
        <v>132</v>
      </c>
      <c r="D351" t="s">
        <v>2143</v>
      </c>
      <c r="E351" t="s">
        <v>1542</v>
      </c>
      <c r="F351" t="s">
        <v>145</v>
      </c>
      <c r="G351" t="s">
        <v>3002</v>
      </c>
    </row>
    <row r="352" spans="1:7" s="241" customFormat="1" ht="44.25" customHeight="1">
      <c r="A352" t="s">
        <v>3003</v>
      </c>
      <c r="B352" t="s">
        <v>3004</v>
      </c>
      <c r="C352" t="s">
        <v>132</v>
      </c>
      <c r="D352" t="s">
        <v>2143</v>
      </c>
      <c r="E352" t="s">
        <v>1542</v>
      </c>
      <c r="F352" t="s">
        <v>145</v>
      </c>
      <c r="G352" t="s">
        <v>3005</v>
      </c>
    </row>
    <row r="353" spans="1:7" s="241" customFormat="1" ht="44.25" customHeight="1">
      <c r="A353" t="s">
        <v>1321</v>
      </c>
      <c r="B353" t="s">
        <v>3006</v>
      </c>
      <c r="C353" t="s">
        <v>132</v>
      </c>
      <c r="D353" t="s">
        <v>2143</v>
      </c>
      <c r="E353" t="s">
        <v>1542</v>
      </c>
      <c r="F353" t="s">
        <v>145</v>
      </c>
      <c r="G353" t="s">
        <v>3007</v>
      </c>
    </row>
    <row r="354" spans="1:7" s="241" customFormat="1" ht="44.25" customHeight="1">
      <c r="A354" t="s">
        <v>245</v>
      </c>
      <c r="B354" t="s">
        <v>3008</v>
      </c>
      <c r="C354" t="s">
        <v>132</v>
      </c>
      <c r="D354" t="s">
        <v>2143</v>
      </c>
      <c r="E354" t="s">
        <v>1542</v>
      </c>
      <c r="F354" t="s">
        <v>145</v>
      </c>
      <c r="G354" t="s">
        <v>3009</v>
      </c>
    </row>
    <row r="355" spans="1:7" s="241" customFormat="1" ht="44.25" customHeight="1">
      <c r="A355" t="s">
        <v>244</v>
      </c>
      <c r="B355" t="s">
        <v>3010</v>
      </c>
      <c r="C355" t="s">
        <v>132</v>
      </c>
      <c r="D355" t="s">
        <v>2143</v>
      </c>
      <c r="E355" t="s">
        <v>1542</v>
      </c>
      <c r="F355" t="s">
        <v>145</v>
      </c>
      <c r="G355" t="s">
        <v>3011</v>
      </c>
    </row>
    <row r="356" spans="1:7" s="241" customFormat="1" ht="44.25" customHeight="1">
      <c r="A356" t="s">
        <v>236</v>
      </c>
      <c r="B356" t="s">
        <v>3012</v>
      </c>
      <c r="C356" t="s">
        <v>132</v>
      </c>
      <c r="D356" t="s">
        <v>2143</v>
      </c>
      <c r="E356" t="s">
        <v>1542</v>
      </c>
      <c r="F356" t="s">
        <v>145</v>
      </c>
      <c r="G356" t="s">
        <v>3013</v>
      </c>
    </row>
    <row r="357" spans="1:7" s="241" customFormat="1" ht="44.25" customHeight="1">
      <c r="A357" t="s">
        <v>231</v>
      </c>
      <c r="B357" t="s">
        <v>3014</v>
      </c>
      <c r="C357" t="s">
        <v>132</v>
      </c>
      <c r="D357" t="s">
        <v>2143</v>
      </c>
      <c r="E357" t="s">
        <v>1542</v>
      </c>
      <c r="F357" t="s">
        <v>145</v>
      </c>
      <c r="G357" t="s">
        <v>3015</v>
      </c>
    </row>
    <row r="358" spans="1:7" s="241" customFormat="1" ht="44.25" customHeight="1">
      <c r="A358" t="s">
        <v>234</v>
      </c>
      <c r="B358" t="s">
        <v>3016</v>
      </c>
      <c r="C358" t="s">
        <v>132</v>
      </c>
      <c r="D358" t="s">
        <v>2143</v>
      </c>
      <c r="E358" t="s">
        <v>1542</v>
      </c>
      <c r="F358" t="s">
        <v>145</v>
      </c>
      <c r="G358" t="s">
        <v>3017</v>
      </c>
    </row>
    <row r="359" spans="1:7" s="241" customFormat="1" ht="44.25" customHeight="1">
      <c r="A359" t="s">
        <v>241</v>
      </c>
      <c r="B359" t="s">
        <v>3018</v>
      </c>
      <c r="C359" t="s">
        <v>132</v>
      </c>
      <c r="D359" t="s">
        <v>2143</v>
      </c>
      <c r="E359" t="s">
        <v>1542</v>
      </c>
      <c r="F359" t="s">
        <v>145</v>
      </c>
      <c r="G359" t="s">
        <v>3019</v>
      </c>
    </row>
    <row r="360" spans="1:7" s="241" customFormat="1" ht="44.25" customHeight="1">
      <c r="A360" t="s">
        <v>237</v>
      </c>
      <c r="B360" t="s">
        <v>3020</v>
      </c>
      <c r="C360" t="s">
        <v>132</v>
      </c>
      <c r="D360" t="s">
        <v>2143</v>
      </c>
      <c r="E360" t="s">
        <v>1542</v>
      </c>
      <c r="F360" t="s">
        <v>145</v>
      </c>
      <c r="G360" t="s">
        <v>3021</v>
      </c>
    </row>
    <row r="361" spans="1:7" s="241" customFormat="1" ht="44.25" customHeight="1">
      <c r="A361" t="s">
        <v>228</v>
      </c>
      <c r="B361" t="s">
        <v>3022</v>
      </c>
      <c r="C361" t="s">
        <v>132</v>
      </c>
      <c r="D361" t="s">
        <v>2143</v>
      </c>
      <c r="E361" t="s">
        <v>1542</v>
      </c>
      <c r="F361" t="s">
        <v>145</v>
      </c>
      <c r="G361" t="s">
        <v>3023</v>
      </c>
    </row>
    <row r="362" spans="1:7" s="241" customFormat="1" ht="44.25" customHeight="1">
      <c r="A362" t="s">
        <v>225</v>
      </c>
      <c r="B362" t="s">
        <v>3024</v>
      </c>
      <c r="C362" t="s">
        <v>132</v>
      </c>
      <c r="D362" t="s">
        <v>2143</v>
      </c>
      <c r="E362" t="s">
        <v>1542</v>
      </c>
      <c r="F362" t="s">
        <v>145</v>
      </c>
      <c r="G362" t="s">
        <v>3025</v>
      </c>
    </row>
    <row r="363" spans="1:7" s="241" customFormat="1" ht="44.25" customHeight="1">
      <c r="A363" t="s">
        <v>229</v>
      </c>
      <c r="B363" t="s">
        <v>3026</v>
      </c>
      <c r="C363" t="s">
        <v>132</v>
      </c>
      <c r="D363" t="s">
        <v>2143</v>
      </c>
      <c r="E363" t="s">
        <v>1542</v>
      </c>
      <c r="F363" t="s">
        <v>145</v>
      </c>
      <c r="G363" t="s">
        <v>3027</v>
      </c>
    </row>
    <row r="364" spans="1:7" s="241" customFormat="1" ht="44.25" customHeight="1">
      <c r="A364" t="s">
        <v>235</v>
      </c>
      <c r="B364" t="s">
        <v>3028</v>
      </c>
      <c r="C364" t="s">
        <v>132</v>
      </c>
      <c r="D364" t="s">
        <v>2143</v>
      </c>
      <c r="E364" t="s">
        <v>1542</v>
      </c>
      <c r="F364" t="s">
        <v>145</v>
      </c>
      <c r="G364" t="s">
        <v>3029</v>
      </c>
    </row>
    <row r="365" spans="1:7" s="241" customFormat="1" ht="44.25" customHeight="1">
      <c r="A365" t="s">
        <v>222</v>
      </c>
      <c r="B365" t="s">
        <v>3030</v>
      </c>
      <c r="C365" t="s">
        <v>132</v>
      </c>
      <c r="D365" t="s">
        <v>2143</v>
      </c>
      <c r="E365" t="s">
        <v>1542</v>
      </c>
      <c r="F365" t="s">
        <v>145</v>
      </c>
      <c r="G365" t="s">
        <v>3031</v>
      </c>
    </row>
    <row r="366" spans="1:7" s="241" customFormat="1" ht="44.25" customHeight="1">
      <c r="A366" t="s">
        <v>887</v>
      </c>
      <c r="B366" t="s">
        <v>3032</v>
      </c>
      <c r="C366" t="s">
        <v>132</v>
      </c>
      <c r="D366" t="s">
        <v>2143</v>
      </c>
      <c r="E366" t="s">
        <v>1542</v>
      </c>
      <c r="F366" t="s">
        <v>145</v>
      </c>
      <c r="G366" t="s">
        <v>3033</v>
      </c>
    </row>
    <row r="367" spans="1:7" s="241" customFormat="1" ht="44.25" customHeight="1">
      <c r="A367" t="s">
        <v>885</v>
      </c>
      <c r="B367" t="s">
        <v>3034</v>
      </c>
      <c r="C367" t="s">
        <v>132</v>
      </c>
      <c r="D367" t="s">
        <v>2143</v>
      </c>
      <c r="E367" t="s">
        <v>1542</v>
      </c>
      <c r="F367" t="s">
        <v>145</v>
      </c>
      <c r="G367" t="s">
        <v>3035</v>
      </c>
    </row>
    <row r="368" spans="1:7" s="241" customFormat="1" ht="44.25" customHeight="1">
      <c r="A368" t="s">
        <v>884</v>
      </c>
      <c r="B368" t="s">
        <v>3036</v>
      </c>
      <c r="C368" t="s">
        <v>132</v>
      </c>
      <c r="D368" t="s">
        <v>2143</v>
      </c>
      <c r="E368" t="s">
        <v>1542</v>
      </c>
      <c r="F368" t="s">
        <v>145</v>
      </c>
      <c r="G368" t="s">
        <v>3037</v>
      </c>
    </row>
    <row r="369" spans="1:7" s="241" customFormat="1" ht="44.25" customHeight="1">
      <c r="A369" t="s">
        <v>3038</v>
      </c>
      <c r="B369" t="s">
        <v>3039</v>
      </c>
      <c r="C369" t="s">
        <v>132</v>
      </c>
      <c r="D369" t="s">
        <v>2143</v>
      </c>
      <c r="E369" t="s">
        <v>1542</v>
      </c>
      <c r="F369" t="s">
        <v>145</v>
      </c>
      <c r="G369" t="s">
        <v>3040</v>
      </c>
    </row>
    <row r="370" spans="1:7" s="241" customFormat="1" ht="44.25" customHeight="1">
      <c r="A370" t="s">
        <v>3041</v>
      </c>
      <c r="B370" t="s">
        <v>3042</v>
      </c>
      <c r="C370" t="s">
        <v>132</v>
      </c>
      <c r="D370" t="s">
        <v>2143</v>
      </c>
      <c r="E370" t="s">
        <v>1542</v>
      </c>
      <c r="F370" t="s">
        <v>145</v>
      </c>
      <c r="G370" t="s">
        <v>3043</v>
      </c>
    </row>
    <row r="371" spans="1:7" s="241" customFormat="1" ht="44.25" customHeight="1">
      <c r="A371" t="s">
        <v>3044</v>
      </c>
      <c r="B371" t="s">
        <v>3045</v>
      </c>
      <c r="C371" t="s">
        <v>132</v>
      </c>
      <c r="D371" t="s">
        <v>2143</v>
      </c>
      <c r="E371" t="s">
        <v>1542</v>
      </c>
      <c r="F371" t="s">
        <v>145</v>
      </c>
      <c r="G371" t="s">
        <v>3046</v>
      </c>
    </row>
    <row r="372" spans="1:7" s="241" customFormat="1" ht="44.25" customHeight="1">
      <c r="A372" t="s">
        <v>289</v>
      </c>
      <c r="B372" t="s">
        <v>3047</v>
      </c>
      <c r="C372" t="s">
        <v>132</v>
      </c>
      <c r="D372" t="s">
        <v>2143</v>
      </c>
      <c r="E372" t="s">
        <v>3048</v>
      </c>
      <c r="F372" t="s">
        <v>145</v>
      </c>
      <c r="G372" t="s">
        <v>3049</v>
      </c>
    </row>
    <row r="373" spans="1:7" s="241" customFormat="1" ht="44.25" customHeight="1">
      <c r="A373" t="s">
        <v>3050</v>
      </c>
      <c r="B373" t="s">
        <v>3051</v>
      </c>
      <c r="C373" t="s">
        <v>132</v>
      </c>
      <c r="D373" t="s">
        <v>2143</v>
      </c>
      <c r="E373" t="s">
        <v>1542</v>
      </c>
      <c r="F373" t="s">
        <v>145</v>
      </c>
      <c r="G373" t="s">
        <v>3052</v>
      </c>
    </row>
    <row r="374" spans="1:7" s="241" customFormat="1" ht="44.25" customHeight="1">
      <c r="A374" t="s">
        <v>458</v>
      </c>
      <c r="B374" t="s">
        <v>3053</v>
      </c>
      <c r="C374" t="s">
        <v>132</v>
      </c>
      <c r="D374" t="s">
        <v>2143</v>
      </c>
      <c r="E374" t="s">
        <v>3054</v>
      </c>
      <c r="F374" t="s">
        <v>145</v>
      </c>
      <c r="G374" t="s">
        <v>3055</v>
      </c>
    </row>
    <row r="375" spans="1:7" s="241" customFormat="1" ht="44.25" customHeight="1">
      <c r="A375" t="s">
        <v>132</v>
      </c>
      <c r="B375" t="s">
        <v>3056</v>
      </c>
      <c r="C375" t="s">
        <v>132</v>
      </c>
      <c r="D375" t="s">
        <v>2143</v>
      </c>
      <c r="E375" t="s">
        <v>1542</v>
      </c>
      <c r="F375" t="s">
        <v>145</v>
      </c>
      <c r="G375" t="s">
        <v>3057</v>
      </c>
    </row>
    <row r="376" spans="1:7" s="241" customFormat="1" ht="44.25" customHeight="1">
      <c r="A376" t="s">
        <v>3058</v>
      </c>
      <c r="B376" t="s">
        <v>3059</v>
      </c>
      <c r="C376" t="s">
        <v>132</v>
      </c>
      <c r="D376" t="s">
        <v>79</v>
      </c>
      <c r="E376" t="s">
        <v>3060</v>
      </c>
      <c r="F376" t="s">
        <v>145</v>
      </c>
      <c r="G376" t="s">
        <v>3061</v>
      </c>
    </row>
    <row r="377" spans="1:7" s="241" customFormat="1" ht="44.25" customHeight="1">
      <c r="A377" t="s">
        <v>278</v>
      </c>
      <c r="B377" t="s">
        <v>3062</v>
      </c>
      <c r="C377" t="s">
        <v>132</v>
      </c>
      <c r="D377" t="s">
        <v>2143</v>
      </c>
      <c r="E377" t="s">
        <v>3048</v>
      </c>
      <c r="F377" t="s">
        <v>145</v>
      </c>
      <c r="G377" t="s">
        <v>3063</v>
      </c>
    </row>
    <row r="378" spans="1:7" s="241" customFormat="1" ht="44.25" customHeight="1">
      <c r="A378" t="s">
        <v>889</v>
      </c>
      <c r="B378" t="s">
        <v>3064</v>
      </c>
      <c r="C378" t="s">
        <v>132</v>
      </c>
      <c r="D378" t="s">
        <v>2143</v>
      </c>
      <c r="E378" t="s">
        <v>3048</v>
      </c>
      <c r="F378" t="s">
        <v>145</v>
      </c>
      <c r="G378" t="s">
        <v>3065</v>
      </c>
    </row>
    <row r="379" spans="1:7" s="241" customFormat="1" ht="44.25" customHeight="1">
      <c r="A379" t="s">
        <v>3066</v>
      </c>
      <c r="B379" t="s">
        <v>3067</v>
      </c>
      <c r="C379" t="s">
        <v>132</v>
      </c>
      <c r="D379" t="s">
        <v>2143</v>
      </c>
      <c r="E379" t="s">
        <v>1542</v>
      </c>
      <c r="F379" t="s">
        <v>145</v>
      </c>
      <c r="G379" t="s">
        <v>3068</v>
      </c>
    </row>
    <row r="380" spans="1:7" s="241" customFormat="1" ht="44.25" customHeight="1">
      <c r="A380" t="s">
        <v>132</v>
      </c>
      <c r="B380" t="s">
        <v>3069</v>
      </c>
      <c r="C380" t="s">
        <v>132</v>
      </c>
      <c r="D380" t="s">
        <v>2143</v>
      </c>
      <c r="E380" t="s">
        <v>2581</v>
      </c>
      <c r="F380" t="s">
        <v>145</v>
      </c>
      <c r="G380" t="s">
        <v>3070</v>
      </c>
    </row>
    <row r="381" spans="1:7" s="241" customFormat="1" ht="44.25" customHeight="1">
      <c r="A381" t="s">
        <v>3071</v>
      </c>
      <c r="B381" t="s">
        <v>3072</v>
      </c>
      <c r="C381" t="s">
        <v>132</v>
      </c>
      <c r="D381" t="s">
        <v>2143</v>
      </c>
      <c r="E381" t="s">
        <v>1542</v>
      </c>
      <c r="F381" t="s">
        <v>145</v>
      </c>
      <c r="G381" t="s">
        <v>3073</v>
      </c>
    </row>
    <row r="382" spans="1:7" s="241" customFormat="1" ht="44.25" customHeight="1">
      <c r="A382" t="s">
        <v>220</v>
      </c>
      <c r="B382" t="s">
        <v>3074</v>
      </c>
      <c r="C382" t="s">
        <v>132</v>
      </c>
      <c r="D382" t="s">
        <v>2143</v>
      </c>
      <c r="E382" t="s">
        <v>1431</v>
      </c>
      <c r="F382" t="s">
        <v>145</v>
      </c>
      <c r="G382" t="s">
        <v>3075</v>
      </c>
    </row>
    <row r="383" spans="1:7" s="241" customFormat="1" ht="44.25" customHeight="1">
      <c r="A383" t="s">
        <v>248</v>
      </c>
      <c r="B383" t="s">
        <v>3076</v>
      </c>
      <c r="C383" t="s">
        <v>132</v>
      </c>
      <c r="D383" t="s">
        <v>2139</v>
      </c>
      <c r="E383" t="s">
        <v>1542</v>
      </c>
      <c r="F383" t="s">
        <v>145</v>
      </c>
      <c r="G383" t="s">
        <v>3077</v>
      </c>
    </row>
    <row r="384" spans="1:7" s="241" customFormat="1" ht="44.25" customHeight="1">
      <c r="A384" t="s">
        <v>286</v>
      </c>
      <c r="B384" t="s">
        <v>3078</v>
      </c>
      <c r="C384" t="s">
        <v>132</v>
      </c>
      <c r="D384" t="s">
        <v>2143</v>
      </c>
      <c r="E384" t="s">
        <v>3048</v>
      </c>
      <c r="F384" t="s">
        <v>145</v>
      </c>
      <c r="G384" t="s">
        <v>3079</v>
      </c>
    </row>
    <row r="385" spans="1:7" s="241" customFormat="1" ht="44.25" customHeight="1">
      <c r="A385" t="s">
        <v>3080</v>
      </c>
      <c r="B385" t="s">
        <v>3081</v>
      </c>
      <c r="C385" t="s">
        <v>132</v>
      </c>
      <c r="D385" t="s">
        <v>79</v>
      </c>
      <c r="E385" t="s">
        <v>3082</v>
      </c>
      <c r="F385" t="s">
        <v>145</v>
      </c>
      <c r="G385" t="s">
        <v>3083</v>
      </c>
    </row>
    <row r="386" spans="1:7" s="241" customFormat="1" ht="44.25" customHeight="1">
      <c r="A386" t="s">
        <v>3084</v>
      </c>
      <c r="B386" t="s">
        <v>3085</v>
      </c>
      <c r="C386" t="s">
        <v>132</v>
      </c>
      <c r="D386" t="s">
        <v>2143</v>
      </c>
      <c r="E386" t="s">
        <v>1542</v>
      </c>
      <c r="F386" t="s">
        <v>145</v>
      </c>
      <c r="G386" t="s">
        <v>3086</v>
      </c>
    </row>
    <row r="387" spans="1:7" s="241" customFormat="1" ht="44.25" customHeight="1">
      <c r="A387" t="s">
        <v>257</v>
      </c>
      <c r="B387" t="s">
        <v>3087</v>
      </c>
      <c r="C387" t="s">
        <v>132</v>
      </c>
      <c r="D387" t="s">
        <v>2143</v>
      </c>
      <c r="E387" t="s">
        <v>1542</v>
      </c>
      <c r="F387" t="s">
        <v>145</v>
      </c>
      <c r="G387" t="s">
        <v>3088</v>
      </c>
    </row>
    <row r="388" spans="1:7" s="241" customFormat="1" ht="44.25" customHeight="1">
      <c r="A388" t="s">
        <v>3089</v>
      </c>
      <c r="B388" t="s">
        <v>3090</v>
      </c>
      <c r="C388" t="s">
        <v>132</v>
      </c>
      <c r="D388" t="s">
        <v>2143</v>
      </c>
      <c r="E388" t="s">
        <v>3048</v>
      </c>
      <c r="F388" t="s">
        <v>145</v>
      </c>
      <c r="G388" t="s">
        <v>3091</v>
      </c>
    </row>
    <row r="389" spans="1:7" s="241" customFormat="1" ht="44.25" customHeight="1">
      <c r="A389" t="s">
        <v>3092</v>
      </c>
      <c r="B389" t="s">
        <v>3093</v>
      </c>
      <c r="C389" t="s">
        <v>132</v>
      </c>
      <c r="D389" t="s">
        <v>2143</v>
      </c>
      <c r="E389" t="s">
        <v>1438</v>
      </c>
      <c r="F389" t="s">
        <v>145</v>
      </c>
      <c r="G389" t="s">
        <v>3094</v>
      </c>
    </row>
    <row r="390" spans="1:7" s="241" customFormat="1" ht="44.25" customHeight="1">
      <c r="A390" t="s">
        <v>3095</v>
      </c>
      <c r="B390" t="s">
        <v>3096</v>
      </c>
      <c r="C390" t="s">
        <v>132</v>
      </c>
      <c r="D390" t="s">
        <v>2143</v>
      </c>
      <c r="E390" t="s">
        <v>1542</v>
      </c>
      <c r="F390" t="s">
        <v>145</v>
      </c>
      <c r="G390" t="s">
        <v>3097</v>
      </c>
    </row>
    <row r="391" spans="1:7" s="241" customFormat="1" ht="44.25" customHeight="1">
      <c r="A391" t="s">
        <v>3098</v>
      </c>
      <c r="B391" t="s">
        <v>3099</v>
      </c>
      <c r="C391" t="s">
        <v>132</v>
      </c>
      <c r="D391" t="s">
        <v>2143</v>
      </c>
      <c r="E391" t="s">
        <v>2285</v>
      </c>
      <c r="F391" t="s">
        <v>145</v>
      </c>
      <c r="G391" t="s">
        <v>3100</v>
      </c>
    </row>
    <row r="392" spans="1:7" s="241" customFormat="1" ht="44.25" customHeight="1">
      <c r="A392" t="s">
        <v>3101</v>
      </c>
      <c r="B392" t="s">
        <v>3102</v>
      </c>
      <c r="C392" t="s">
        <v>132</v>
      </c>
      <c r="D392" t="s">
        <v>2143</v>
      </c>
      <c r="E392" t="s">
        <v>2285</v>
      </c>
      <c r="F392" t="s">
        <v>145</v>
      </c>
      <c r="G392" t="s">
        <v>3103</v>
      </c>
    </row>
    <row r="393" spans="1:7" s="241" customFormat="1" ht="44.25" customHeight="1">
      <c r="A393" t="s">
        <v>3104</v>
      </c>
      <c r="B393" t="s">
        <v>3105</v>
      </c>
      <c r="C393" t="s">
        <v>132</v>
      </c>
      <c r="D393" t="s">
        <v>2143</v>
      </c>
      <c r="E393" t="s">
        <v>2285</v>
      </c>
      <c r="F393" t="s">
        <v>145</v>
      </c>
      <c r="G393" t="s">
        <v>3106</v>
      </c>
    </row>
    <row r="394" spans="1:7" s="241" customFormat="1" ht="44.25" customHeight="1">
      <c r="A394" t="s">
        <v>3107</v>
      </c>
      <c r="B394" t="s">
        <v>3108</v>
      </c>
      <c r="C394" t="s">
        <v>132</v>
      </c>
      <c r="D394" t="s">
        <v>2143</v>
      </c>
      <c r="E394" t="s">
        <v>2285</v>
      </c>
      <c r="F394" t="s">
        <v>145</v>
      </c>
      <c r="G394" t="s">
        <v>3109</v>
      </c>
    </row>
    <row r="395" spans="1:7" s="241" customFormat="1" ht="44.25" customHeight="1">
      <c r="A395" t="s">
        <v>3110</v>
      </c>
      <c r="B395" t="s">
        <v>3111</v>
      </c>
      <c r="C395" t="s">
        <v>132</v>
      </c>
      <c r="D395" t="s">
        <v>2143</v>
      </c>
      <c r="E395" t="s">
        <v>2285</v>
      </c>
      <c r="F395" t="s">
        <v>145</v>
      </c>
      <c r="G395" t="s">
        <v>3112</v>
      </c>
    </row>
    <row r="396" spans="1:7" s="241" customFormat="1" ht="44.25" customHeight="1">
      <c r="A396" t="s">
        <v>3113</v>
      </c>
      <c r="B396" t="s">
        <v>3114</v>
      </c>
      <c r="C396" t="s">
        <v>132</v>
      </c>
      <c r="D396" t="s">
        <v>2143</v>
      </c>
      <c r="E396" t="s">
        <v>2285</v>
      </c>
      <c r="F396" t="s">
        <v>145</v>
      </c>
      <c r="G396" t="s">
        <v>3115</v>
      </c>
    </row>
    <row r="397" spans="1:7" s="241" customFormat="1" ht="44.25" customHeight="1">
      <c r="A397" t="s">
        <v>3116</v>
      </c>
      <c r="B397" t="s">
        <v>3117</v>
      </c>
      <c r="C397" t="s">
        <v>132</v>
      </c>
      <c r="D397" t="s">
        <v>2143</v>
      </c>
      <c r="E397" t="s">
        <v>2285</v>
      </c>
      <c r="F397" t="s">
        <v>145</v>
      </c>
      <c r="G397" t="s">
        <v>3118</v>
      </c>
    </row>
    <row r="398" spans="1:7" s="241" customFormat="1" ht="44.25" customHeight="1">
      <c r="A398" t="s">
        <v>3119</v>
      </c>
      <c r="B398" t="s">
        <v>3120</v>
      </c>
      <c r="C398" t="s">
        <v>132</v>
      </c>
      <c r="D398" t="s">
        <v>2143</v>
      </c>
      <c r="E398" t="s">
        <v>1542</v>
      </c>
      <c r="F398" t="s">
        <v>145</v>
      </c>
      <c r="G398" t="s">
        <v>3121</v>
      </c>
    </row>
    <row r="399" spans="1:7" s="241" customFormat="1" ht="44.25" customHeight="1">
      <c r="A399" t="s">
        <v>219</v>
      </c>
      <c r="B399" t="s">
        <v>3122</v>
      </c>
      <c r="C399" t="s">
        <v>132</v>
      </c>
      <c r="D399" t="s">
        <v>2143</v>
      </c>
      <c r="E399" t="s">
        <v>1542</v>
      </c>
      <c r="F399" t="s">
        <v>145</v>
      </c>
      <c r="G399" t="s">
        <v>3123</v>
      </c>
    </row>
    <row r="400" spans="1:7" s="241" customFormat="1" ht="44.25" customHeight="1">
      <c r="A400" t="s">
        <v>217</v>
      </c>
      <c r="B400" t="s">
        <v>3124</v>
      </c>
      <c r="C400" t="s">
        <v>132</v>
      </c>
      <c r="D400" t="s">
        <v>2143</v>
      </c>
      <c r="E400" t="s">
        <v>1542</v>
      </c>
      <c r="F400" t="s">
        <v>145</v>
      </c>
      <c r="G400" t="s">
        <v>3125</v>
      </c>
    </row>
    <row r="401" spans="1:7" s="241" customFormat="1" ht="44.25" customHeight="1">
      <c r="A401" t="s">
        <v>878</v>
      </c>
      <c r="B401" t="s">
        <v>3126</v>
      </c>
      <c r="C401" t="s">
        <v>132</v>
      </c>
      <c r="D401" t="s">
        <v>2143</v>
      </c>
      <c r="E401" t="s">
        <v>3127</v>
      </c>
      <c r="F401" t="s">
        <v>145</v>
      </c>
      <c r="G401" t="s">
        <v>3128</v>
      </c>
    </row>
    <row r="402" spans="1:7" s="241" customFormat="1" ht="44.25" customHeight="1">
      <c r="A402" t="s">
        <v>283</v>
      </c>
      <c r="B402" t="s">
        <v>3129</v>
      </c>
      <c r="C402" t="s">
        <v>132</v>
      </c>
      <c r="D402" t="s">
        <v>2143</v>
      </c>
      <c r="E402" t="s">
        <v>3048</v>
      </c>
      <c r="F402" t="s">
        <v>145</v>
      </c>
      <c r="G402" t="s">
        <v>3130</v>
      </c>
    </row>
    <row r="403" spans="1:7" s="241" customFormat="1" ht="44.25" customHeight="1">
      <c r="A403" t="s">
        <v>284</v>
      </c>
      <c r="B403" t="s">
        <v>3131</v>
      </c>
      <c r="C403" t="s">
        <v>132</v>
      </c>
      <c r="D403" t="s">
        <v>2143</v>
      </c>
      <c r="E403" t="s">
        <v>3048</v>
      </c>
      <c r="F403" t="s">
        <v>145</v>
      </c>
      <c r="G403" t="s">
        <v>3132</v>
      </c>
    </row>
    <row r="404" spans="1:7" s="241" customFormat="1" ht="44.25" customHeight="1">
      <c r="A404" t="s">
        <v>3133</v>
      </c>
      <c r="B404" t="s">
        <v>3134</v>
      </c>
      <c r="C404" t="s">
        <v>132</v>
      </c>
      <c r="D404" t="s">
        <v>2143</v>
      </c>
      <c r="E404" t="s">
        <v>3048</v>
      </c>
      <c r="F404" t="s">
        <v>145</v>
      </c>
      <c r="G404" t="s">
        <v>3135</v>
      </c>
    </row>
    <row r="405" spans="1:7" s="241" customFormat="1" ht="44.25" customHeight="1">
      <c r="A405" t="s">
        <v>3136</v>
      </c>
      <c r="B405" t="s">
        <v>3137</v>
      </c>
      <c r="C405" t="s">
        <v>132</v>
      </c>
      <c r="D405" t="s">
        <v>2143</v>
      </c>
      <c r="E405" t="s">
        <v>3048</v>
      </c>
      <c r="F405" t="s">
        <v>145</v>
      </c>
      <c r="G405" t="s">
        <v>3138</v>
      </c>
    </row>
    <row r="406" spans="1:7" s="241" customFormat="1" ht="44.25" customHeight="1">
      <c r="A406" t="s">
        <v>886</v>
      </c>
      <c r="B406" t="s">
        <v>3139</v>
      </c>
      <c r="C406" t="s">
        <v>132</v>
      </c>
      <c r="D406" t="s">
        <v>2143</v>
      </c>
      <c r="E406" t="s">
        <v>1542</v>
      </c>
      <c r="F406" t="s">
        <v>145</v>
      </c>
      <c r="G406" t="s">
        <v>3140</v>
      </c>
    </row>
    <row r="407" spans="1:7" s="241" customFormat="1" ht="44.25" customHeight="1">
      <c r="A407" t="s">
        <v>3141</v>
      </c>
      <c r="B407" t="s">
        <v>3142</v>
      </c>
      <c r="C407" t="s">
        <v>132</v>
      </c>
      <c r="D407" t="s">
        <v>2143</v>
      </c>
      <c r="E407" t="s">
        <v>1542</v>
      </c>
      <c r="F407" t="s">
        <v>145</v>
      </c>
      <c r="G407" t="s">
        <v>3143</v>
      </c>
    </row>
    <row r="408" spans="1:7" s="241" customFormat="1" ht="44.25" customHeight="1">
      <c r="A408" t="s">
        <v>3144</v>
      </c>
      <c r="B408" t="s">
        <v>3145</v>
      </c>
      <c r="C408" t="s">
        <v>132</v>
      </c>
      <c r="D408" t="s">
        <v>2143</v>
      </c>
      <c r="E408" t="s">
        <v>1542</v>
      </c>
      <c r="F408" t="s">
        <v>145</v>
      </c>
      <c r="G408" t="s">
        <v>3146</v>
      </c>
    </row>
    <row r="409" spans="1:7" s="241" customFormat="1" ht="44.25" customHeight="1">
      <c r="A409" t="s">
        <v>1548</v>
      </c>
      <c r="B409" t="s">
        <v>3147</v>
      </c>
      <c r="C409" t="s">
        <v>132</v>
      </c>
      <c r="D409" t="s">
        <v>2143</v>
      </c>
      <c r="E409" t="s">
        <v>1542</v>
      </c>
      <c r="F409" t="s">
        <v>145</v>
      </c>
      <c r="G409" t="s">
        <v>3148</v>
      </c>
    </row>
    <row r="410" spans="1:7" s="241" customFormat="1" ht="44.25" customHeight="1">
      <c r="A410" t="s">
        <v>3149</v>
      </c>
      <c r="B410" t="s">
        <v>3150</v>
      </c>
      <c r="C410" t="s">
        <v>132</v>
      </c>
      <c r="D410" t="s">
        <v>2143</v>
      </c>
      <c r="E410" t="s">
        <v>1542</v>
      </c>
      <c r="F410" t="s">
        <v>145</v>
      </c>
      <c r="G410" t="s">
        <v>3151</v>
      </c>
    </row>
    <row r="411" spans="1:7" s="241" customFormat="1" ht="44.25" customHeight="1">
      <c r="A411" t="s">
        <v>3152</v>
      </c>
      <c r="B411" t="s">
        <v>3153</v>
      </c>
      <c r="C411" t="s">
        <v>132</v>
      </c>
      <c r="D411" t="s">
        <v>2143</v>
      </c>
      <c r="E411" t="s">
        <v>1542</v>
      </c>
      <c r="F411" t="s">
        <v>145</v>
      </c>
      <c r="G411" t="s">
        <v>3154</v>
      </c>
    </row>
    <row r="412" spans="1:7" s="241" customFormat="1" ht="44.25" customHeight="1">
      <c r="A412" t="s">
        <v>3155</v>
      </c>
      <c r="B412" t="s">
        <v>3156</v>
      </c>
      <c r="C412" t="s">
        <v>132</v>
      </c>
      <c r="D412" t="s">
        <v>2143</v>
      </c>
      <c r="E412" t="s">
        <v>1542</v>
      </c>
      <c r="F412" t="s">
        <v>145</v>
      </c>
      <c r="G412" t="s">
        <v>3157</v>
      </c>
    </row>
    <row r="413" spans="1:7" s="241" customFormat="1" ht="44.25" customHeight="1">
      <c r="A413" t="s">
        <v>1436</v>
      </c>
      <c r="B413" t="s">
        <v>3158</v>
      </c>
      <c r="C413" t="s">
        <v>132</v>
      </c>
      <c r="D413" t="s">
        <v>2143</v>
      </c>
      <c r="E413" t="s">
        <v>1542</v>
      </c>
      <c r="F413" t="s">
        <v>145</v>
      </c>
      <c r="G413" t="s">
        <v>3159</v>
      </c>
    </row>
    <row r="414" spans="1:7" s="241" customFormat="1" ht="44.25" customHeight="1">
      <c r="A414" t="s">
        <v>132</v>
      </c>
      <c r="B414" t="s">
        <v>3160</v>
      </c>
      <c r="C414" t="s">
        <v>132</v>
      </c>
      <c r="D414" t="s">
        <v>2143</v>
      </c>
      <c r="E414" t="s">
        <v>1542</v>
      </c>
      <c r="F414" t="s">
        <v>145</v>
      </c>
      <c r="G414" t="s">
        <v>3161</v>
      </c>
    </row>
    <row r="415" spans="1:7" s="241" customFormat="1" ht="44.25" customHeight="1">
      <c r="A415" t="s">
        <v>3162</v>
      </c>
      <c r="B415" t="s">
        <v>3163</v>
      </c>
      <c r="C415" t="s">
        <v>132</v>
      </c>
      <c r="D415" t="s">
        <v>2143</v>
      </c>
      <c r="E415" t="s">
        <v>2571</v>
      </c>
      <c r="F415" t="s">
        <v>145</v>
      </c>
      <c r="G415" t="s">
        <v>3164</v>
      </c>
    </row>
    <row r="416" spans="1:7" s="241" customFormat="1" ht="44.25" customHeight="1">
      <c r="A416" t="s">
        <v>3165</v>
      </c>
      <c r="B416" t="s">
        <v>3166</v>
      </c>
      <c r="C416" t="s">
        <v>132</v>
      </c>
      <c r="D416" t="s">
        <v>2143</v>
      </c>
      <c r="E416" t="s">
        <v>1542</v>
      </c>
      <c r="F416" t="s">
        <v>145</v>
      </c>
      <c r="G416" t="s">
        <v>3167</v>
      </c>
    </row>
    <row r="417" spans="1:7" s="241" customFormat="1" ht="44.25" customHeight="1">
      <c r="A417" t="s">
        <v>3168</v>
      </c>
      <c r="B417" t="s">
        <v>3169</v>
      </c>
      <c r="C417" t="s">
        <v>132</v>
      </c>
      <c r="D417" t="s">
        <v>2143</v>
      </c>
      <c r="E417" t="s">
        <v>1542</v>
      </c>
      <c r="F417" t="s">
        <v>145</v>
      </c>
      <c r="G417" t="s">
        <v>3170</v>
      </c>
    </row>
    <row r="418" spans="1:7" s="241" customFormat="1" ht="44.25" customHeight="1">
      <c r="A418" t="s">
        <v>3171</v>
      </c>
      <c r="B418" t="s">
        <v>3172</v>
      </c>
      <c r="C418" t="s">
        <v>132</v>
      </c>
      <c r="D418" t="s">
        <v>2143</v>
      </c>
      <c r="E418" t="s">
        <v>1542</v>
      </c>
      <c r="F418" t="s">
        <v>145</v>
      </c>
      <c r="G418" t="s">
        <v>3173</v>
      </c>
    </row>
    <row r="419" spans="1:7" s="241" customFormat="1" ht="44.25" customHeight="1">
      <c r="A419" t="s">
        <v>3174</v>
      </c>
      <c r="B419" t="s">
        <v>3175</v>
      </c>
      <c r="C419" t="s">
        <v>132</v>
      </c>
      <c r="D419" t="s">
        <v>2143</v>
      </c>
      <c r="E419" t="s">
        <v>1542</v>
      </c>
      <c r="F419" t="s">
        <v>145</v>
      </c>
      <c r="G419" t="s">
        <v>3176</v>
      </c>
    </row>
    <row r="420" spans="1:7" s="241" customFormat="1" ht="44.25" customHeight="1">
      <c r="A420" t="s">
        <v>3177</v>
      </c>
      <c r="B420" t="s">
        <v>3178</v>
      </c>
      <c r="C420" t="s">
        <v>132</v>
      </c>
      <c r="D420" t="s">
        <v>2143</v>
      </c>
      <c r="E420" t="s">
        <v>1542</v>
      </c>
      <c r="F420" t="s">
        <v>145</v>
      </c>
      <c r="G420" t="s">
        <v>3179</v>
      </c>
    </row>
    <row r="421" spans="1:7" s="241" customFormat="1" ht="44.25" customHeight="1">
      <c r="A421" t="s">
        <v>3180</v>
      </c>
      <c r="B421" t="s">
        <v>3181</v>
      </c>
      <c r="C421" t="s">
        <v>132</v>
      </c>
      <c r="D421" t="s">
        <v>2143</v>
      </c>
      <c r="E421" t="s">
        <v>1542</v>
      </c>
      <c r="F421" t="s">
        <v>145</v>
      </c>
      <c r="G421" t="s">
        <v>3182</v>
      </c>
    </row>
    <row r="422" spans="1:7" s="241" customFormat="1" ht="44.25" customHeight="1">
      <c r="A422" t="s">
        <v>3183</v>
      </c>
      <c r="B422" t="s">
        <v>3184</v>
      </c>
      <c r="C422" t="s">
        <v>132</v>
      </c>
      <c r="D422" t="s">
        <v>2143</v>
      </c>
      <c r="E422" t="s">
        <v>1542</v>
      </c>
      <c r="F422" t="s">
        <v>145</v>
      </c>
      <c r="G422" t="s">
        <v>3185</v>
      </c>
    </row>
    <row r="423" spans="1:7" s="241" customFormat="1" ht="44.25" customHeight="1">
      <c r="A423" t="s">
        <v>3186</v>
      </c>
      <c r="B423" t="s">
        <v>3187</v>
      </c>
      <c r="C423" t="s">
        <v>132</v>
      </c>
      <c r="D423" t="s">
        <v>2143</v>
      </c>
      <c r="E423" t="s">
        <v>1542</v>
      </c>
      <c r="F423" t="s">
        <v>145</v>
      </c>
      <c r="G423" t="s">
        <v>3188</v>
      </c>
    </row>
    <row r="424" spans="1:7" s="241" customFormat="1" ht="44.25" customHeight="1">
      <c r="A424" t="s">
        <v>3189</v>
      </c>
      <c r="B424" t="s">
        <v>3190</v>
      </c>
      <c r="C424" t="s">
        <v>132</v>
      </c>
      <c r="D424" t="s">
        <v>2143</v>
      </c>
      <c r="E424" t="s">
        <v>1542</v>
      </c>
      <c r="F424" t="s">
        <v>145</v>
      </c>
      <c r="G424" t="s">
        <v>3191</v>
      </c>
    </row>
    <row r="425" spans="1:7" s="241" customFormat="1" ht="44.25" customHeight="1">
      <c r="A425" t="s">
        <v>3192</v>
      </c>
      <c r="B425" t="s">
        <v>3193</v>
      </c>
      <c r="C425" t="s">
        <v>132</v>
      </c>
      <c r="D425" t="s">
        <v>2143</v>
      </c>
      <c r="E425" t="s">
        <v>1542</v>
      </c>
      <c r="F425" t="s">
        <v>145</v>
      </c>
      <c r="G425" t="s">
        <v>3194</v>
      </c>
    </row>
    <row r="426" spans="1:7" s="241" customFormat="1" ht="44.25" customHeight="1">
      <c r="A426" t="s">
        <v>3195</v>
      </c>
      <c r="B426" t="s">
        <v>3196</v>
      </c>
      <c r="C426" t="s">
        <v>132</v>
      </c>
      <c r="D426" t="s">
        <v>2143</v>
      </c>
      <c r="E426" t="s">
        <v>1542</v>
      </c>
      <c r="F426" t="s">
        <v>145</v>
      </c>
      <c r="G426" t="s">
        <v>3197</v>
      </c>
    </row>
    <row r="427" spans="1:7" s="241" customFormat="1" ht="44.25" customHeight="1">
      <c r="A427" t="s">
        <v>3198</v>
      </c>
      <c r="B427" t="s">
        <v>3199</v>
      </c>
      <c r="C427" t="s">
        <v>132</v>
      </c>
      <c r="D427" t="s">
        <v>2143</v>
      </c>
      <c r="E427" t="s">
        <v>1542</v>
      </c>
      <c r="F427" t="s">
        <v>145</v>
      </c>
      <c r="G427" t="s">
        <v>3200</v>
      </c>
    </row>
    <row r="428" spans="1:7" s="241" customFormat="1" ht="44.25" customHeight="1">
      <c r="A428" t="s">
        <v>3201</v>
      </c>
      <c r="B428" t="s">
        <v>3202</v>
      </c>
      <c r="C428" t="s">
        <v>132</v>
      </c>
      <c r="D428" t="s">
        <v>2143</v>
      </c>
      <c r="E428" t="s">
        <v>1542</v>
      </c>
      <c r="F428" t="s">
        <v>145</v>
      </c>
      <c r="G428" t="s">
        <v>3203</v>
      </c>
    </row>
    <row r="429" spans="1:7" s="241" customFormat="1" ht="44.25" customHeight="1">
      <c r="A429" t="s">
        <v>3204</v>
      </c>
      <c r="B429" t="s">
        <v>3205</v>
      </c>
      <c r="C429" t="s">
        <v>132</v>
      </c>
      <c r="D429" t="s">
        <v>2143</v>
      </c>
      <c r="E429" t="s">
        <v>1542</v>
      </c>
      <c r="F429" t="s">
        <v>145</v>
      </c>
      <c r="G429" t="s">
        <v>3206</v>
      </c>
    </row>
    <row r="430" spans="1:7" s="241" customFormat="1" ht="44.25" customHeight="1">
      <c r="A430" t="s">
        <v>3207</v>
      </c>
      <c r="B430" t="s">
        <v>3208</v>
      </c>
      <c r="C430" t="s">
        <v>132</v>
      </c>
      <c r="D430" t="s">
        <v>2143</v>
      </c>
      <c r="E430" t="s">
        <v>1542</v>
      </c>
      <c r="F430" t="s">
        <v>145</v>
      </c>
      <c r="G430" t="s">
        <v>3209</v>
      </c>
    </row>
    <row r="431" spans="1:7" s="241" customFormat="1" ht="44.25" customHeight="1">
      <c r="A431" t="s">
        <v>3210</v>
      </c>
      <c r="B431" t="s">
        <v>3211</v>
      </c>
      <c r="C431" t="s">
        <v>132</v>
      </c>
      <c r="D431" t="s">
        <v>2143</v>
      </c>
      <c r="E431" t="s">
        <v>1542</v>
      </c>
      <c r="F431" t="s">
        <v>145</v>
      </c>
      <c r="G431" t="s">
        <v>3212</v>
      </c>
    </row>
    <row r="432" spans="1:7" s="241" customFormat="1" ht="44.25" customHeight="1">
      <c r="A432" t="s">
        <v>3213</v>
      </c>
      <c r="B432" t="s">
        <v>3214</v>
      </c>
      <c r="C432" t="s">
        <v>132</v>
      </c>
      <c r="D432" t="s">
        <v>2143</v>
      </c>
      <c r="E432" t="s">
        <v>2571</v>
      </c>
      <c r="F432" t="s">
        <v>145</v>
      </c>
      <c r="G432" t="s">
        <v>3215</v>
      </c>
    </row>
    <row r="433" spans="1:7" s="241" customFormat="1" ht="44.25" customHeight="1">
      <c r="A433" t="s">
        <v>3216</v>
      </c>
      <c r="B433" t="s">
        <v>3217</v>
      </c>
      <c r="C433" t="s">
        <v>132</v>
      </c>
      <c r="D433" t="s">
        <v>2143</v>
      </c>
      <c r="E433" t="s">
        <v>2581</v>
      </c>
      <c r="F433" t="s">
        <v>145</v>
      </c>
      <c r="G433" t="s">
        <v>3218</v>
      </c>
    </row>
    <row r="434" spans="1:7" s="241" customFormat="1" ht="44.25" customHeight="1">
      <c r="A434" t="s">
        <v>281</v>
      </c>
      <c r="B434" t="s">
        <v>3219</v>
      </c>
      <c r="C434" t="s">
        <v>132</v>
      </c>
      <c r="D434" t="s">
        <v>2143</v>
      </c>
      <c r="E434" t="s">
        <v>3048</v>
      </c>
      <c r="F434" t="s">
        <v>145</v>
      </c>
      <c r="G434" t="s">
        <v>3220</v>
      </c>
    </row>
    <row r="435" spans="1:7" s="241" customFormat="1" ht="44.25" customHeight="1">
      <c r="A435" t="s">
        <v>880</v>
      </c>
      <c r="B435" t="s">
        <v>3221</v>
      </c>
      <c r="C435" t="s">
        <v>132</v>
      </c>
      <c r="D435" t="s">
        <v>2143</v>
      </c>
      <c r="E435" t="s">
        <v>1542</v>
      </c>
      <c r="F435" t="s">
        <v>145</v>
      </c>
      <c r="G435" t="s">
        <v>3222</v>
      </c>
    </row>
    <row r="436" spans="1:7" s="241" customFormat="1" ht="44.25" customHeight="1">
      <c r="A436" t="s">
        <v>3223</v>
      </c>
      <c r="B436" t="s">
        <v>3224</v>
      </c>
      <c r="C436" t="s">
        <v>132</v>
      </c>
      <c r="D436" t="s">
        <v>79</v>
      </c>
      <c r="E436" t="s">
        <v>3225</v>
      </c>
      <c r="F436" t="s">
        <v>145</v>
      </c>
      <c r="G436" t="s">
        <v>3226</v>
      </c>
    </row>
    <row r="437" spans="1:7" s="241" customFormat="1" ht="44.25" customHeight="1">
      <c r="A437" t="s">
        <v>3227</v>
      </c>
      <c r="B437" t="s">
        <v>3228</v>
      </c>
      <c r="C437" t="s">
        <v>132</v>
      </c>
      <c r="D437" t="s">
        <v>2143</v>
      </c>
      <c r="E437" t="s">
        <v>2571</v>
      </c>
      <c r="F437" t="s">
        <v>145</v>
      </c>
      <c r="G437" t="s">
        <v>3229</v>
      </c>
    </row>
    <row r="438" spans="1:7" s="241" customFormat="1" ht="44.25" customHeight="1">
      <c r="A438" t="s">
        <v>254</v>
      </c>
      <c r="B438" t="s">
        <v>3230</v>
      </c>
      <c r="C438" t="s">
        <v>132</v>
      </c>
      <c r="D438" t="s">
        <v>2143</v>
      </c>
      <c r="E438" t="s">
        <v>1542</v>
      </c>
      <c r="F438" t="s">
        <v>145</v>
      </c>
      <c r="G438" t="s">
        <v>3231</v>
      </c>
    </row>
    <row r="439" spans="1:7" s="241" customFormat="1" ht="44.25" customHeight="1">
      <c r="A439" t="s">
        <v>876</v>
      </c>
      <c r="B439" t="s">
        <v>3232</v>
      </c>
      <c r="C439" t="s">
        <v>132</v>
      </c>
      <c r="D439" t="s">
        <v>2143</v>
      </c>
      <c r="E439" t="s">
        <v>3233</v>
      </c>
      <c r="F439" t="s">
        <v>145</v>
      </c>
      <c r="G439" t="s">
        <v>3234</v>
      </c>
    </row>
    <row r="440" spans="1:7" s="241" customFormat="1" ht="44.25" customHeight="1">
      <c r="A440" t="s">
        <v>3235</v>
      </c>
      <c r="B440" t="s">
        <v>3236</v>
      </c>
      <c r="C440" t="s">
        <v>132</v>
      </c>
      <c r="D440" t="s">
        <v>2143</v>
      </c>
      <c r="E440" t="s">
        <v>3048</v>
      </c>
      <c r="F440" t="s">
        <v>145</v>
      </c>
      <c r="G440" t="s">
        <v>3237</v>
      </c>
    </row>
    <row r="441" spans="1:7" s="241" customFormat="1" ht="44.25" customHeight="1">
      <c r="A441" t="s">
        <v>3238</v>
      </c>
      <c r="B441" t="s">
        <v>3239</v>
      </c>
      <c r="C441" t="s">
        <v>132</v>
      </c>
      <c r="D441" t="s">
        <v>2139</v>
      </c>
      <c r="E441" t="s">
        <v>1542</v>
      </c>
      <c r="F441" t="s">
        <v>145</v>
      </c>
      <c r="G441" t="s">
        <v>3240</v>
      </c>
    </row>
    <row r="442" spans="1:7" s="241" customFormat="1" ht="44.25" customHeight="1">
      <c r="A442" t="s">
        <v>3241</v>
      </c>
      <c r="B442" t="s">
        <v>3242</v>
      </c>
      <c r="C442" t="s">
        <v>132</v>
      </c>
      <c r="D442" t="s">
        <v>2143</v>
      </c>
      <c r="E442" t="s">
        <v>3048</v>
      </c>
      <c r="F442" t="s">
        <v>145</v>
      </c>
      <c r="G442" t="s">
        <v>3243</v>
      </c>
    </row>
    <row r="443" spans="1:7" s="241" customFormat="1" ht="44.25" customHeight="1">
      <c r="A443" t="s">
        <v>263</v>
      </c>
      <c r="B443" t="s">
        <v>3244</v>
      </c>
      <c r="C443" t="s">
        <v>132</v>
      </c>
      <c r="D443" t="s">
        <v>2143</v>
      </c>
      <c r="E443" t="s">
        <v>1542</v>
      </c>
      <c r="F443" t="s">
        <v>145</v>
      </c>
      <c r="G443" t="s">
        <v>3245</v>
      </c>
    </row>
    <row r="444" spans="1:7" s="241" customFormat="1" ht="44.25" customHeight="1">
      <c r="A444" t="s">
        <v>877</v>
      </c>
      <c r="B444" t="s">
        <v>3246</v>
      </c>
      <c r="C444" t="s">
        <v>132</v>
      </c>
      <c r="D444" t="s">
        <v>2143</v>
      </c>
      <c r="E444" t="s">
        <v>3247</v>
      </c>
      <c r="F444" t="s">
        <v>145</v>
      </c>
      <c r="G444" t="s">
        <v>3248</v>
      </c>
    </row>
    <row r="445" spans="1:7" s="241" customFormat="1" ht="44.25" customHeight="1">
      <c r="A445" t="s">
        <v>3249</v>
      </c>
      <c r="B445" t="s">
        <v>3250</v>
      </c>
      <c r="C445" t="s">
        <v>132</v>
      </c>
      <c r="D445" t="s">
        <v>2143</v>
      </c>
      <c r="E445" t="s">
        <v>1542</v>
      </c>
      <c r="F445" t="s">
        <v>145</v>
      </c>
      <c r="G445" t="s">
        <v>3251</v>
      </c>
    </row>
    <row r="446" spans="1:7" s="241" customFormat="1" ht="44.25" customHeight="1">
      <c r="A446" t="s">
        <v>3252</v>
      </c>
      <c r="B446" t="s">
        <v>3253</v>
      </c>
      <c r="C446" t="s">
        <v>132</v>
      </c>
      <c r="D446" t="s">
        <v>2143</v>
      </c>
      <c r="E446" t="s">
        <v>1542</v>
      </c>
      <c r="F446" t="s">
        <v>145</v>
      </c>
      <c r="G446" t="s">
        <v>3254</v>
      </c>
    </row>
    <row r="447" spans="1:7" s="241" customFormat="1" ht="44.25" customHeight="1">
      <c r="A447" t="s">
        <v>3255</v>
      </c>
      <c r="B447" t="s">
        <v>3256</v>
      </c>
      <c r="C447" t="s">
        <v>132</v>
      </c>
      <c r="D447" t="s">
        <v>2143</v>
      </c>
      <c r="E447" t="s">
        <v>1542</v>
      </c>
      <c r="F447" t="s">
        <v>145</v>
      </c>
      <c r="G447" t="s">
        <v>3257</v>
      </c>
    </row>
    <row r="448" spans="1:7" s="241" customFormat="1" ht="44.25" customHeight="1">
      <c r="A448" t="s">
        <v>874</v>
      </c>
      <c r="B448" t="s">
        <v>3258</v>
      </c>
      <c r="C448" t="s">
        <v>132</v>
      </c>
      <c r="D448" t="s">
        <v>2143</v>
      </c>
      <c r="E448" t="s">
        <v>3247</v>
      </c>
      <c r="F448" t="s">
        <v>145</v>
      </c>
      <c r="G448" t="s">
        <v>3259</v>
      </c>
    </row>
    <row r="449" spans="1:7" s="241" customFormat="1" ht="44.25" customHeight="1">
      <c r="A449" t="s">
        <v>3260</v>
      </c>
      <c r="B449" t="s">
        <v>3261</v>
      </c>
      <c r="C449" t="s">
        <v>132</v>
      </c>
      <c r="D449" t="s">
        <v>2143</v>
      </c>
      <c r="E449" t="s">
        <v>3048</v>
      </c>
      <c r="F449" t="s">
        <v>145</v>
      </c>
      <c r="G449" t="s">
        <v>3262</v>
      </c>
    </row>
    <row r="450" spans="1:7" s="241" customFormat="1" ht="44.25" customHeight="1">
      <c r="A450" t="s">
        <v>261</v>
      </c>
      <c r="B450" t="s">
        <v>3263</v>
      </c>
      <c r="C450" t="s">
        <v>132</v>
      </c>
      <c r="D450" t="s">
        <v>2143</v>
      </c>
      <c r="E450" t="s">
        <v>1542</v>
      </c>
      <c r="F450" t="s">
        <v>145</v>
      </c>
      <c r="G450" t="s">
        <v>3264</v>
      </c>
    </row>
    <row r="451" spans="1:7" s="241" customFormat="1" ht="44.25" customHeight="1">
      <c r="A451" t="s">
        <v>3265</v>
      </c>
      <c r="B451" t="s">
        <v>3266</v>
      </c>
      <c r="C451" t="s">
        <v>132</v>
      </c>
      <c r="D451" t="s">
        <v>79</v>
      </c>
      <c r="E451" t="s">
        <v>3267</v>
      </c>
      <c r="F451" t="s">
        <v>145</v>
      </c>
      <c r="G451" t="s">
        <v>3268</v>
      </c>
    </row>
    <row r="452" spans="1:7" s="241" customFormat="1" ht="44.25" customHeight="1">
      <c r="A452" t="s">
        <v>132</v>
      </c>
      <c r="B452" t="s">
        <v>3269</v>
      </c>
      <c r="C452" t="s">
        <v>132</v>
      </c>
      <c r="D452" t="s">
        <v>2510</v>
      </c>
      <c r="E452" t="s">
        <v>3267</v>
      </c>
      <c r="F452" t="s">
        <v>145</v>
      </c>
      <c r="G452" t="s">
        <v>3270</v>
      </c>
    </row>
    <row r="453" spans="1:7" s="241" customFormat="1" ht="44.25" customHeight="1">
      <c r="A453" t="s">
        <v>3271</v>
      </c>
      <c r="B453" t="s">
        <v>3272</v>
      </c>
      <c r="C453" t="s">
        <v>132</v>
      </c>
      <c r="D453" t="s">
        <v>2143</v>
      </c>
      <c r="E453" t="s">
        <v>1542</v>
      </c>
      <c r="F453" t="s">
        <v>145</v>
      </c>
      <c r="G453" t="s">
        <v>3273</v>
      </c>
    </row>
    <row r="454" spans="1:7" s="241" customFormat="1" ht="44.25" customHeight="1">
      <c r="A454" t="s">
        <v>3274</v>
      </c>
      <c r="B454" t="s">
        <v>3275</v>
      </c>
      <c r="C454" t="s">
        <v>132</v>
      </c>
      <c r="D454" t="s">
        <v>2143</v>
      </c>
      <c r="E454" t="s">
        <v>1542</v>
      </c>
      <c r="F454" t="s">
        <v>145</v>
      </c>
      <c r="G454" t="s">
        <v>3276</v>
      </c>
    </row>
    <row r="455" spans="1:7" s="241" customFormat="1" ht="44.25" customHeight="1">
      <c r="A455" t="s">
        <v>3277</v>
      </c>
      <c r="B455" t="s">
        <v>3278</v>
      </c>
      <c r="C455" t="s">
        <v>132</v>
      </c>
      <c r="D455" t="s">
        <v>2143</v>
      </c>
      <c r="E455" t="s">
        <v>1542</v>
      </c>
      <c r="F455" t="s">
        <v>145</v>
      </c>
      <c r="G455" t="s">
        <v>3279</v>
      </c>
    </row>
    <row r="456" spans="1:7" s="241" customFormat="1" ht="44.25" customHeight="1">
      <c r="A456" t="s">
        <v>3280</v>
      </c>
      <c r="B456" t="s">
        <v>3281</v>
      </c>
      <c r="C456" t="s">
        <v>132</v>
      </c>
      <c r="D456" t="s">
        <v>2143</v>
      </c>
      <c r="E456" t="s">
        <v>1542</v>
      </c>
      <c r="F456" t="s">
        <v>145</v>
      </c>
      <c r="G456" t="s">
        <v>3282</v>
      </c>
    </row>
    <row r="457" spans="1:7" s="241" customFormat="1" ht="44.25" customHeight="1">
      <c r="A457" t="s">
        <v>3283</v>
      </c>
      <c r="B457" t="s">
        <v>3284</v>
      </c>
      <c r="C457" t="s">
        <v>132</v>
      </c>
      <c r="D457" t="s">
        <v>2143</v>
      </c>
      <c r="E457" t="s">
        <v>1542</v>
      </c>
      <c r="F457" t="s">
        <v>145</v>
      </c>
      <c r="G457" t="s">
        <v>3285</v>
      </c>
    </row>
    <row r="458" spans="1:7" s="241" customFormat="1" ht="44.25" customHeight="1">
      <c r="A458" t="s">
        <v>3286</v>
      </c>
      <c r="B458" t="s">
        <v>3287</v>
      </c>
      <c r="C458" t="s">
        <v>132</v>
      </c>
      <c r="D458" t="s">
        <v>2143</v>
      </c>
      <c r="E458" t="s">
        <v>3288</v>
      </c>
      <c r="F458" t="s">
        <v>145</v>
      </c>
      <c r="G458" t="s">
        <v>3289</v>
      </c>
    </row>
    <row r="459" spans="1:7" s="241" customFormat="1" ht="44.25" customHeight="1">
      <c r="A459" t="s">
        <v>649</v>
      </c>
      <c r="B459" t="s">
        <v>3290</v>
      </c>
      <c r="C459" t="s">
        <v>132</v>
      </c>
      <c r="D459" t="s">
        <v>79</v>
      </c>
      <c r="E459" t="s">
        <v>3291</v>
      </c>
      <c r="F459" t="s">
        <v>145</v>
      </c>
      <c r="G459" t="s">
        <v>3292</v>
      </c>
    </row>
    <row r="460" spans="1:7" s="241" customFormat="1" ht="44.25" customHeight="1">
      <c r="A460" t="s">
        <v>3293</v>
      </c>
      <c r="B460" t="s">
        <v>3294</v>
      </c>
      <c r="C460" t="s">
        <v>132</v>
      </c>
      <c r="D460" t="s">
        <v>79</v>
      </c>
      <c r="E460" t="s">
        <v>3295</v>
      </c>
      <c r="F460" t="s">
        <v>145</v>
      </c>
      <c r="G460" t="s">
        <v>3296</v>
      </c>
    </row>
    <row r="461" spans="1:7" s="241" customFormat="1" ht="44.25" customHeight="1">
      <c r="A461" t="s">
        <v>1024</v>
      </c>
      <c r="B461" t="s">
        <v>3297</v>
      </c>
      <c r="C461" t="s">
        <v>132</v>
      </c>
      <c r="D461" t="s">
        <v>79</v>
      </c>
      <c r="E461" t="s">
        <v>3298</v>
      </c>
      <c r="F461" t="s">
        <v>145</v>
      </c>
      <c r="G461" t="s">
        <v>3299</v>
      </c>
    </row>
    <row r="462" spans="1:7" s="241" customFormat="1" ht="44.25" customHeight="1">
      <c r="A462" t="s">
        <v>3300</v>
      </c>
      <c r="B462" t="s">
        <v>3301</v>
      </c>
      <c r="C462" t="s">
        <v>132</v>
      </c>
      <c r="D462" t="s">
        <v>79</v>
      </c>
      <c r="E462" t="s">
        <v>3302</v>
      </c>
      <c r="F462" t="s">
        <v>145</v>
      </c>
      <c r="G462" t="s">
        <v>3303</v>
      </c>
    </row>
    <row r="463" spans="1:7" s="241" customFormat="1" ht="44.25" customHeight="1">
      <c r="A463" t="s">
        <v>3304</v>
      </c>
      <c r="B463" t="s">
        <v>3305</v>
      </c>
      <c r="C463" t="s">
        <v>132</v>
      </c>
      <c r="D463" t="s">
        <v>2143</v>
      </c>
      <c r="E463" t="s">
        <v>3306</v>
      </c>
      <c r="F463" t="s">
        <v>145</v>
      </c>
      <c r="G463" t="s">
        <v>3307</v>
      </c>
    </row>
    <row r="464" spans="1:7" s="241" customFormat="1" ht="44.25" customHeight="1">
      <c r="A464" t="s">
        <v>808</v>
      </c>
      <c r="B464" t="s">
        <v>3308</v>
      </c>
      <c r="C464" t="s">
        <v>132</v>
      </c>
      <c r="D464" t="s">
        <v>2143</v>
      </c>
      <c r="E464" t="s">
        <v>3309</v>
      </c>
      <c r="F464" t="s">
        <v>145</v>
      </c>
      <c r="G464" t="s">
        <v>3310</v>
      </c>
    </row>
    <row r="465" spans="1:7" s="241" customFormat="1" ht="44.25" customHeight="1">
      <c r="A465" t="s">
        <v>3311</v>
      </c>
      <c r="B465" t="s">
        <v>3312</v>
      </c>
      <c r="C465" t="s">
        <v>132</v>
      </c>
      <c r="D465" t="s">
        <v>2143</v>
      </c>
      <c r="E465" t="s">
        <v>3313</v>
      </c>
      <c r="F465" t="s">
        <v>145</v>
      </c>
      <c r="G465" t="s">
        <v>3314</v>
      </c>
    </row>
    <row r="466" spans="1:7" s="241" customFormat="1" ht="44.25" customHeight="1">
      <c r="A466" t="s">
        <v>577</v>
      </c>
      <c r="B466" t="s">
        <v>3315</v>
      </c>
      <c r="C466" t="s">
        <v>132</v>
      </c>
      <c r="D466" t="s">
        <v>2143</v>
      </c>
      <c r="E466" t="s">
        <v>3316</v>
      </c>
      <c r="F466" t="s">
        <v>145</v>
      </c>
      <c r="G466" t="s">
        <v>3317</v>
      </c>
    </row>
    <row r="467" spans="1:7" s="241" customFormat="1" ht="44.25" customHeight="1">
      <c r="A467" t="s">
        <v>576</v>
      </c>
      <c r="B467" t="s">
        <v>3318</v>
      </c>
      <c r="C467" t="s">
        <v>132</v>
      </c>
      <c r="D467" t="s">
        <v>2143</v>
      </c>
      <c r="E467" t="s">
        <v>3316</v>
      </c>
      <c r="F467" t="s">
        <v>145</v>
      </c>
      <c r="G467" t="s">
        <v>3319</v>
      </c>
    </row>
    <row r="468" spans="1:7" s="241" customFormat="1" ht="44.25" customHeight="1">
      <c r="A468" t="s">
        <v>3320</v>
      </c>
      <c r="B468" t="s">
        <v>3321</v>
      </c>
      <c r="C468" t="s">
        <v>132</v>
      </c>
      <c r="D468" t="s">
        <v>79</v>
      </c>
      <c r="E468" t="s">
        <v>3322</v>
      </c>
      <c r="F468" t="s">
        <v>145</v>
      </c>
      <c r="G468" t="s">
        <v>3323</v>
      </c>
    </row>
    <row r="469" spans="1:7" s="241" customFormat="1" ht="44.25" customHeight="1">
      <c r="A469" t="s">
        <v>3324</v>
      </c>
      <c r="B469" t="s">
        <v>3325</v>
      </c>
      <c r="C469" t="s">
        <v>132</v>
      </c>
      <c r="D469" t="s">
        <v>79</v>
      </c>
      <c r="E469" t="s">
        <v>3298</v>
      </c>
      <c r="F469" t="s">
        <v>145</v>
      </c>
      <c r="G469" t="s">
        <v>3326</v>
      </c>
    </row>
    <row r="470" spans="1:7" s="241" customFormat="1" ht="44.25" customHeight="1">
      <c r="A470" t="s">
        <v>3327</v>
      </c>
      <c r="B470" t="s">
        <v>3328</v>
      </c>
      <c r="C470" t="s">
        <v>132</v>
      </c>
      <c r="D470" t="s">
        <v>2143</v>
      </c>
      <c r="E470" t="s">
        <v>3313</v>
      </c>
      <c r="F470" t="s">
        <v>145</v>
      </c>
      <c r="G470" t="s">
        <v>3329</v>
      </c>
    </row>
    <row r="471" spans="1:7" s="241" customFormat="1" ht="44.25" customHeight="1">
      <c r="A471" t="s">
        <v>790</v>
      </c>
      <c r="B471" t="s">
        <v>3330</v>
      </c>
      <c r="C471" t="s">
        <v>132</v>
      </c>
      <c r="D471" t="s">
        <v>2143</v>
      </c>
      <c r="E471" t="s">
        <v>3309</v>
      </c>
      <c r="F471" t="s">
        <v>145</v>
      </c>
      <c r="G471" t="s">
        <v>3331</v>
      </c>
    </row>
    <row r="472" spans="1:7" s="241" customFormat="1" ht="44.25" customHeight="1">
      <c r="A472" t="s">
        <v>789</v>
      </c>
      <c r="B472" t="s">
        <v>3332</v>
      </c>
      <c r="C472" t="s">
        <v>132</v>
      </c>
      <c r="D472" t="s">
        <v>2143</v>
      </c>
      <c r="E472" t="s">
        <v>3309</v>
      </c>
      <c r="F472" t="s">
        <v>145</v>
      </c>
      <c r="G472" t="s">
        <v>3333</v>
      </c>
    </row>
    <row r="473" spans="1:7" s="241" customFormat="1" ht="44.25" customHeight="1">
      <c r="A473" t="s">
        <v>3334</v>
      </c>
      <c r="B473" t="s">
        <v>3335</v>
      </c>
      <c r="C473" t="s">
        <v>132</v>
      </c>
      <c r="D473" t="s">
        <v>2143</v>
      </c>
      <c r="E473" t="s">
        <v>3336</v>
      </c>
      <c r="F473" t="s">
        <v>145</v>
      </c>
      <c r="G473" t="s">
        <v>3337</v>
      </c>
    </row>
    <row r="474" spans="1:7" s="241" customFormat="1" ht="44.25" customHeight="1">
      <c r="A474" t="s">
        <v>3338</v>
      </c>
      <c r="B474" t="s">
        <v>3339</v>
      </c>
      <c r="C474" t="s">
        <v>132</v>
      </c>
      <c r="D474" t="s">
        <v>79</v>
      </c>
      <c r="E474" t="s">
        <v>3298</v>
      </c>
      <c r="F474" t="s">
        <v>145</v>
      </c>
      <c r="G474" t="s">
        <v>3340</v>
      </c>
    </row>
    <row r="475" spans="1:7" s="241" customFormat="1" ht="44.25" customHeight="1">
      <c r="A475" t="s">
        <v>3341</v>
      </c>
      <c r="B475" t="s">
        <v>3342</v>
      </c>
      <c r="C475" t="s">
        <v>132</v>
      </c>
      <c r="D475" t="s">
        <v>2143</v>
      </c>
      <c r="E475" t="s">
        <v>3291</v>
      </c>
      <c r="F475" t="s">
        <v>145</v>
      </c>
      <c r="G475" t="s">
        <v>3343</v>
      </c>
    </row>
    <row r="476" spans="1:7" s="241" customFormat="1" ht="44.25" customHeight="1">
      <c r="A476" t="s">
        <v>3344</v>
      </c>
      <c r="B476" t="s">
        <v>3345</v>
      </c>
      <c r="C476" t="s">
        <v>132</v>
      </c>
      <c r="D476" t="s">
        <v>79</v>
      </c>
      <c r="E476" t="s">
        <v>3298</v>
      </c>
      <c r="F476" t="s">
        <v>145</v>
      </c>
      <c r="G476" t="s">
        <v>3346</v>
      </c>
    </row>
    <row r="477" spans="1:7" s="241" customFormat="1" ht="44.25" customHeight="1">
      <c r="A477" t="s">
        <v>3347</v>
      </c>
      <c r="B477" t="s">
        <v>3348</v>
      </c>
      <c r="C477" t="s">
        <v>132</v>
      </c>
      <c r="D477" t="s">
        <v>79</v>
      </c>
      <c r="E477" t="s">
        <v>3302</v>
      </c>
      <c r="F477" t="s">
        <v>145</v>
      </c>
      <c r="G477" t="s">
        <v>3349</v>
      </c>
    </row>
    <row r="478" spans="1:7" s="241" customFormat="1" ht="44.25" customHeight="1">
      <c r="A478" t="s">
        <v>788</v>
      </c>
      <c r="B478" t="s">
        <v>3350</v>
      </c>
      <c r="C478" t="s">
        <v>132</v>
      </c>
      <c r="D478" t="s">
        <v>2143</v>
      </c>
      <c r="E478" t="s">
        <v>3309</v>
      </c>
      <c r="F478" t="s">
        <v>145</v>
      </c>
      <c r="G478" t="s">
        <v>3351</v>
      </c>
    </row>
    <row r="479" spans="1:7" s="241" customFormat="1" ht="44.25" customHeight="1">
      <c r="A479" t="s">
        <v>575</v>
      </c>
      <c r="B479" t="s">
        <v>3352</v>
      </c>
      <c r="C479" t="s">
        <v>132</v>
      </c>
      <c r="D479" t="s">
        <v>79</v>
      </c>
      <c r="E479" t="s">
        <v>3316</v>
      </c>
      <c r="F479" t="s">
        <v>145</v>
      </c>
      <c r="G479" t="s">
        <v>3353</v>
      </c>
    </row>
    <row r="480" spans="1:7" s="241" customFormat="1" ht="44.25" customHeight="1">
      <c r="A480" t="s">
        <v>579</v>
      </c>
      <c r="B480" t="s">
        <v>3354</v>
      </c>
      <c r="C480" t="s">
        <v>132</v>
      </c>
      <c r="D480" t="s">
        <v>79</v>
      </c>
      <c r="E480" t="s">
        <v>3316</v>
      </c>
      <c r="F480" t="s">
        <v>145</v>
      </c>
      <c r="G480" t="s">
        <v>3355</v>
      </c>
    </row>
    <row r="481" spans="1:7" s="241" customFormat="1" ht="44.25" customHeight="1">
      <c r="A481" t="s">
        <v>3286</v>
      </c>
      <c r="B481" t="s">
        <v>3287</v>
      </c>
      <c r="C481" t="s">
        <v>132</v>
      </c>
      <c r="D481" t="s">
        <v>2143</v>
      </c>
      <c r="E481" t="s">
        <v>3288</v>
      </c>
      <c r="F481" t="s">
        <v>145</v>
      </c>
      <c r="G481" t="s">
        <v>3356</v>
      </c>
    </row>
    <row r="482" spans="1:7" s="241" customFormat="1" ht="44.25" customHeight="1">
      <c r="A482" t="s">
        <v>800</v>
      </c>
      <c r="B482" t="s">
        <v>3357</v>
      </c>
      <c r="C482" t="s">
        <v>132</v>
      </c>
      <c r="D482" t="s">
        <v>79</v>
      </c>
      <c r="E482" t="s">
        <v>1527</v>
      </c>
      <c r="F482" t="s">
        <v>145</v>
      </c>
      <c r="G482" t="s">
        <v>3358</v>
      </c>
    </row>
    <row r="483" spans="1:7" s="241" customFormat="1" ht="44.25" customHeight="1">
      <c r="A483" t="s">
        <v>3359</v>
      </c>
      <c r="B483" t="s">
        <v>3360</v>
      </c>
      <c r="C483" t="s">
        <v>132</v>
      </c>
      <c r="D483" t="s">
        <v>79</v>
      </c>
      <c r="E483" t="s">
        <v>3361</v>
      </c>
      <c r="F483" t="s">
        <v>145</v>
      </c>
      <c r="G483" t="s">
        <v>3362</v>
      </c>
    </row>
    <row r="484" spans="1:7" s="241" customFormat="1" ht="44.25" customHeight="1">
      <c r="A484" t="s">
        <v>414</v>
      </c>
      <c r="B484" t="s">
        <v>3363</v>
      </c>
      <c r="C484" t="s">
        <v>132</v>
      </c>
      <c r="D484" t="s">
        <v>79</v>
      </c>
      <c r="E484" t="s">
        <v>3364</v>
      </c>
      <c r="F484" t="s">
        <v>145</v>
      </c>
      <c r="G484" t="s">
        <v>3365</v>
      </c>
    </row>
    <row r="485" spans="1:7" s="241" customFormat="1" ht="44.25" customHeight="1">
      <c r="A485" t="s">
        <v>3366</v>
      </c>
      <c r="B485" t="s">
        <v>3367</v>
      </c>
      <c r="C485" t="s">
        <v>132</v>
      </c>
      <c r="D485" t="s">
        <v>79</v>
      </c>
      <c r="E485" t="s">
        <v>3368</v>
      </c>
      <c r="F485" t="s">
        <v>145</v>
      </c>
      <c r="G485" t="s">
        <v>3369</v>
      </c>
    </row>
    <row r="486" spans="1:7" s="241" customFormat="1" ht="44.25" customHeight="1">
      <c r="A486" t="s">
        <v>1027</v>
      </c>
      <c r="B486" t="s">
        <v>3370</v>
      </c>
      <c r="C486" t="s">
        <v>132</v>
      </c>
      <c r="D486" t="s">
        <v>79</v>
      </c>
      <c r="E486" t="s">
        <v>3371</v>
      </c>
      <c r="F486" t="s">
        <v>145</v>
      </c>
      <c r="G486" t="s">
        <v>3372</v>
      </c>
    </row>
    <row r="487" spans="1:7" s="241" customFormat="1" ht="44.25" customHeight="1">
      <c r="A487" t="s">
        <v>3373</v>
      </c>
      <c r="B487" t="s">
        <v>3374</v>
      </c>
      <c r="C487" t="s">
        <v>132</v>
      </c>
      <c r="D487" t="s">
        <v>79</v>
      </c>
      <c r="E487" t="s">
        <v>3364</v>
      </c>
      <c r="F487" t="s">
        <v>145</v>
      </c>
      <c r="G487" t="s">
        <v>3375</v>
      </c>
    </row>
    <row r="488" spans="1:7" s="241" customFormat="1" ht="44.25" customHeight="1">
      <c r="A488" t="s">
        <v>3376</v>
      </c>
      <c r="B488" t="s">
        <v>3377</v>
      </c>
      <c r="C488" t="s">
        <v>132</v>
      </c>
      <c r="D488" t="s">
        <v>79</v>
      </c>
      <c r="E488" t="s">
        <v>3378</v>
      </c>
      <c r="F488" t="s">
        <v>145</v>
      </c>
      <c r="G488" t="s">
        <v>3379</v>
      </c>
    </row>
    <row r="489" spans="1:7" s="241" customFormat="1" ht="44.25" customHeight="1">
      <c r="A489" t="s">
        <v>3300</v>
      </c>
      <c r="B489" t="s">
        <v>3301</v>
      </c>
      <c r="C489" t="s">
        <v>132</v>
      </c>
      <c r="D489" t="s">
        <v>79</v>
      </c>
      <c r="E489" t="s">
        <v>3302</v>
      </c>
      <c r="F489" t="s">
        <v>145</v>
      </c>
      <c r="G489" t="s">
        <v>3380</v>
      </c>
    </row>
    <row r="490" spans="1:7" s="241" customFormat="1" ht="44.25" customHeight="1">
      <c r="A490" t="s">
        <v>3381</v>
      </c>
      <c r="B490" t="s">
        <v>3382</v>
      </c>
      <c r="C490" t="s">
        <v>132</v>
      </c>
      <c r="D490" t="s">
        <v>79</v>
      </c>
      <c r="E490" t="s">
        <v>3383</v>
      </c>
      <c r="F490" t="s">
        <v>145</v>
      </c>
      <c r="G490" t="s">
        <v>3384</v>
      </c>
    </row>
    <row r="491" spans="1:7" s="241" customFormat="1" ht="44.25" customHeight="1">
      <c r="A491" t="s">
        <v>3385</v>
      </c>
      <c r="B491" t="s">
        <v>3386</v>
      </c>
      <c r="C491" t="s">
        <v>132</v>
      </c>
      <c r="D491" t="s">
        <v>79</v>
      </c>
      <c r="E491" t="s">
        <v>3383</v>
      </c>
      <c r="F491" t="s">
        <v>145</v>
      </c>
      <c r="G491" t="s">
        <v>3387</v>
      </c>
    </row>
    <row r="492" spans="1:7" s="241" customFormat="1" ht="44.25" customHeight="1">
      <c r="A492" t="s">
        <v>1028</v>
      </c>
      <c r="B492" t="s">
        <v>3388</v>
      </c>
      <c r="C492" t="s">
        <v>132</v>
      </c>
      <c r="D492" t="s">
        <v>79</v>
      </c>
      <c r="E492" t="s">
        <v>3389</v>
      </c>
      <c r="F492" t="s">
        <v>145</v>
      </c>
      <c r="G492" t="s">
        <v>3390</v>
      </c>
    </row>
    <row r="493" spans="1:7" s="241" customFormat="1" ht="44.25" customHeight="1">
      <c r="A493" t="s">
        <v>808</v>
      </c>
      <c r="B493" t="s">
        <v>3308</v>
      </c>
      <c r="C493" t="s">
        <v>132</v>
      </c>
      <c r="D493" t="s">
        <v>2143</v>
      </c>
      <c r="E493" t="s">
        <v>3309</v>
      </c>
      <c r="F493" t="s">
        <v>145</v>
      </c>
      <c r="G493" t="s">
        <v>3391</v>
      </c>
    </row>
    <row r="494" spans="1:7" s="241" customFormat="1" ht="44.25" customHeight="1">
      <c r="A494" t="s">
        <v>540</v>
      </c>
      <c r="B494" t="s">
        <v>3392</v>
      </c>
      <c r="C494" t="s">
        <v>132</v>
      </c>
      <c r="D494" t="s">
        <v>79</v>
      </c>
      <c r="E494" t="s">
        <v>3393</v>
      </c>
      <c r="F494" t="s">
        <v>145</v>
      </c>
      <c r="G494" t="s">
        <v>3394</v>
      </c>
    </row>
    <row r="495" spans="1:7" s="241" customFormat="1" ht="44.25" customHeight="1">
      <c r="A495" t="s">
        <v>539</v>
      </c>
      <c r="B495" t="s">
        <v>3395</v>
      </c>
      <c r="C495" t="s">
        <v>132</v>
      </c>
      <c r="D495" t="s">
        <v>79</v>
      </c>
      <c r="E495" t="s">
        <v>3393</v>
      </c>
      <c r="F495" t="s">
        <v>145</v>
      </c>
      <c r="G495" t="s">
        <v>3396</v>
      </c>
    </row>
    <row r="496" spans="1:7" s="241" customFormat="1" ht="44.25" customHeight="1">
      <c r="A496" t="s">
        <v>3397</v>
      </c>
      <c r="B496" t="s">
        <v>3398</v>
      </c>
      <c r="C496" t="s">
        <v>132</v>
      </c>
      <c r="D496" t="s">
        <v>79</v>
      </c>
      <c r="E496" t="s">
        <v>3399</v>
      </c>
      <c r="F496" t="s">
        <v>145</v>
      </c>
      <c r="G496" t="s">
        <v>3400</v>
      </c>
    </row>
    <row r="497" spans="1:7" s="241" customFormat="1" ht="44.25" customHeight="1">
      <c r="A497" t="s">
        <v>400</v>
      </c>
      <c r="B497" t="s">
        <v>3401</v>
      </c>
      <c r="C497" t="s">
        <v>132</v>
      </c>
      <c r="D497" t="s">
        <v>79</v>
      </c>
      <c r="E497" t="s">
        <v>3402</v>
      </c>
      <c r="F497" t="s">
        <v>145</v>
      </c>
      <c r="G497" t="s">
        <v>3403</v>
      </c>
    </row>
    <row r="498" spans="1:7" s="241" customFormat="1" ht="44.25" customHeight="1">
      <c r="A498" t="s">
        <v>577</v>
      </c>
      <c r="B498" t="s">
        <v>3315</v>
      </c>
      <c r="C498" t="s">
        <v>132</v>
      </c>
      <c r="D498" t="s">
        <v>2143</v>
      </c>
      <c r="E498" t="s">
        <v>3316</v>
      </c>
      <c r="F498" t="s">
        <v>145</v>
      </c>
      <c r="G498" t="s">
        <v>3404</v>
      </c>
    </row>
    <row r="499" spans="1:7" s="241" customFormat="1" ht="44.25" customHeight="1">
      <c r="A499" t="s">
        <v>576</v>
      </c>
      <c r="B499" t="s">
        <v>3318</v>
      </c>
      <c r="C499" t="s">
        <v>132</v>
      </c>
      <c r="D499" t="s">
        <v>2143</v>
      </c>
      <c r="E499" t="s">
        <v>3316</v>
      </c>
      <c r="F499" t="s">
        <v>145</v>
      </c>
      <c r="G499" t="s">
        <v>3405</v>
      </c>
    </row>
    <row r="500" spans="1:7" s="241" customFormat="1" ht="44.25" customHeight="1">
      <c r="A500" t="s">
        <v>3320</v>
      </c>
      <c r="B500" t="s">
        <v>3321</v>
      </c>
      <c r="C500" t="s">
        <v>132</v>
      </c>
      <c r="D500" t="s">
        <v>79</v>
      </c>
      <c r="E500" t="s">
        <v>3322</v>
      </c>
      <c r="F500" t="s">
        <v>145</v>
      </c>
      <c r="G500" t="s">
        <v>3406</v>
      </c>
    </row>
    <row r="501" spans="1:7" s="241" customFormat="1" ht="44.25" customHeight="1">
      <c r="A501" t="s">
        <v>619</v>
      </c>
      <c r="B501" t="s">
        <v>3407</v>
      </c>
      <c r="C501" t="s">
        <v>132</v>
      </c>
      <c r="D501" t="s">
        <v>79</v>
      </c>
      <c r="E501" t="s">
        <v>3408</v>
      </c>
      <c r="F501" t="s">
        <v>145</v>
      </c>
      <c r="G501" t="s">
        <v>3409</v>
      </c>
    </row>
    <row r="502" spans="1:7" s="241" customFormat="1" ht="44.25" customHeight="1">
      <c r="A502" t="s">
        <v>3410</v>
      </c>
      <c r="B502" t="s">
        <v>3411</v>
      </c>
      <c r="C502" t="s">
        <v>132</v>
      </c>
      <c r="D502" t="s">
        <v>2143</v>
      </c>
      <c r="E502" t="s">
        <v>1527</v>
      </c>
      <c r="F502" t="s">
        <v>145</v>
      </c>
      <c r="G502" t="s">
        <v>3412</v>
      </c>
    </row>
    <row r="503" spans="1:7" s="241" customFormat="1" ht="44.25" customHeight="1">
      <c r="A503" t="s">
        <v>795</v>
      </c>
      <c r="B503" t="s">
        <v>3413</v>
      </c>
      <c r="C503" t="s">
        <v>132</v>
      </c>
      <c r="D503" t="s">
        <v>79</v>
      </c>
      <c r="E503" t="s">
        <v>3414</v>
      </c>
      <c r="F503" t="s">
        <v>145</v>
      </c>
      <c r="G503" t="s">
        <v>3415</v>
      </c>
    </row>
    <row r="504" spans="1:7" s="241" customFormat="1" ht="44.25" customHeight="1">
      <c r="A504" t="s">
        <v>527</v>
      </c>
      <c r="B504" t="s">
        <v>3416</v>
      </c>
      <c r="C504" t="s">
        <v>132</v>
      </c>
      <c r="D504" t="s">
        <v>79</v>
      </c>
      <c r="E504" t="s">
        <v>3393</v>
      </c>
      <c r="F504" t="s">
        <v>145</v>
      </c>
      <c r="G504" t="s">
        <v>3417</v>
      </c>
    </row>
    <row r="505" spans="1:7" s="241" customFormat="1" ht="44.25" customHeight="1">
      <c r="A505" t="s">
        <v>3418</v>
      </c>
      <c r="B505" t="s">
        <v>3419</v>
      </c>
      <c r="C505" t="s">
        <v>132</v>
      </c>
      <c r="D505" t="s">
        <v>79</v>
      </c>
      <c r="E505" t="s">
        <v>3420</v>
      </c>
      <c r="F505" t="s">
        <v>145</v>
      </c>
      <c r="G505" t="s">
        <v>3421</v>
      </c>
    </row>
    <row r="506" spans="1:7" s="241" customFormat="1" ht="44.25" customHeight="1">
      <c r="A506" t="s">
        <v>790</v>
      </c>
      <c r="B506" t="s">
        <v>3330</v>
      </c>
      <c r="C506" t="s">
        <v>132</v>
      </c>
      <c r="D506" t="s">
        <v>2143</v>
      </c>
      <c r="E506" t="s">
        <v>3309</v>
      </c>
      <c r="F506" t="s">
        <v>145</v>
      </c>
      <c r="G506" t="s">
        <v>3422</v>
      </c>
    </row>
    <row r="507" spans="1:7" s="241" customFormat="1" ht="44.25" customHeight="1">
      <c r="A507" t="s">
        <v>789</v>
      </c>
      <c r="B507" t="s">
        <v>3332</v>
      </c>
      <c r="C507" t="s">
        <v>132</v>
      </c>
      <c r="D507" t="s">
        <v>2143</v>
      </c>
      <c r="E507" t="s">
        <v>3309</v>
      </c>
      <c r="F507" t="s">
        <v>145</v>
      </c>
      <c r="G507" t="s">
        <v>3423</v>
      </c>
    </row>
    <row r="508" spans="1:7" s="241" customFormat="1" ht="44.25" customHeight="1">
      <c r="A508" t="s">
        <v>997</v>
      </c>
      <c r="B508" t="s">
        <v>3424</v>
      </c>
      <c r="C508" t="s">
        <v>132</v>
      </c>
      <c r="D508" t="s">
        <v>79</v>
      </c>
      <c r="E508" t="s">
        <v>3389</v>
      </c>
      <c r="F508" t="s">
        <v>145</v>
      </c>
      <c r="G508" t="s">
        <v>3425</v>
      </c>
    </row>
    <row r="509" spans="1:7" s="241" customFormat="1" ht="44.25" customHeight="1">
      <c r="A509" t="s">
        <v>584</v>
      </c>
      <c r="B509" t="s">
        <v>3426</v>
      </c>
      <c r="C509" t="s">
        <v>132</v>
      </c>
      <c r="D509" t="s">
        <v>79</v>
      </c>
      <c r="E509" t="s">
        <v>3399</v>
      </c>
      <c r="F509" t="s">
        <v>145</v>
      </c>
      <c r="G509" t="s">
        <v>3427</v>
      </c>
    </row>
    <row r="510" spans="1:7" s="241" customFormat="1" ht="44.25" customHeight="1">
      <c r="A510" t="s">
        <v>542</v>
      </c>
      <c r="B510" t="s">
        <v>3428</v>
      </c>
      <c r="C510" t="s">
        <v>132</v>
      </c>
      <c r="D510" t="s">
        <v>79</v>
      </c>
      <c r="E510" t="s">
        <v>3393</v>
      </c>
      <c r="F510" t="s">
        <v>145</v>
      </c>
      <c r="G510" t="s">
        <v>3429</v>
      </c>
    </row>
    <row r="511" spans="1:7" s="241" customFormat="1" ht="44.25" customHeight="1">
      <c r="A511" t="s">
        <v>3430</v>
      </c>
      <c r="B511" t="s">
        <v>3431</v>
      </c>
      <c r="C511" t="s">
        <v>132</v>
      </c>
      <c r="D511" t="s">
        <v>79</v>
      </c>
      <c r="E511" t="s">
        <v>3432</v>
      </c>
      <c r="F511" t="s">
        <v>145</v>
      </c>
      <c r="G511" t="s">
        <v>3433</v>
      </c>
    </row>
    <row r="512" spans="1:7" s="241" customFormat="1" ht="44.25" customHeight="1">
      <c r="A512" t="s">
        <v>3434</v>
      </c>
      <c r="B512" t="s">
        <v>3435</v>
      </c>
      <c r="C512" t="s">
        <v>132</v>
      </c>
      <c r="D512" t="s">
        <v>79</v>
      </c>
      <c r="E512" t="s">
        <v>3408</v>
      </c>
      <c r="F512" t="s">
        <v>145</v>
      </c>
      <c r="G512" t="s">
        <v>3436</v>
      </c>
    </row>
    <row r="513" spans="1:7" s="241" customFormat="1" ht="44.25" customHeight="1">
      <c r="A513" t="s">
        <v>3437</v>
      </c>
      <c r="B513" t="s">
        <v>3438</v>
      </c>
      <c r="C513" t="s">
        <v>132</v>
      </c>
      <c r="D513" t="s">
        <v>79</v>
      </c>
      <c r="E513" t="s">
        <v>3383</v>
      </c>
      <c r="F513" t="s">
        <v>145</v>
      </c>
      <c r="G513" t="s">
        <v>3439</v>
      </c>
    </row>
    <row r="514" spans="1:7" s="241" customFormat="1" ht="44.25" customHeight="1">
      <c r="A514" t="s">
        <v>3440</v>
      </c>
      <c r="B514" t="s">
        <v>3441</v>
      </c>
      <c r="C514" t="s">
        <v>132</v>
      </c>
      <c r="D514" t="s">
        <v>79</v>
      </c>
      <c r="E514" t="s">
        <v>3442</v>
      </c>
      <c r="F514" t="s">
        <v>145</v>
      </c>
      <c r="G514" t="s">
        <v>3443</v>
      </c>
    </row>
    <row r="515" spans="1:7" s="241" customFormat="1" ht="44.25" customHeight="1">
      <c r="A515" t="s">
        <v>541</v>
      </c>
      <c r="B515" t="s">
        <v>3444</v>
      </c>
      <c r="C515" t="s">
        <v>132</v>
      </c>
      <c r="D515" t="s">
        <v>79</v>
      </c>
      <c r="E515" t="s">
        <v>3393</v>
      </c>
      <c r="F515" t="s">
        <v>145</v>
      </c>
      <c r="G515" t="s">
        <v>3445</v>
      </c>
    </row>
    <row r="516" spans="1:7" s="241" customFormat="1" ht="44.25" customHeight="1">
      <c r="A516" t="s">
        <v>3446</v>
      </c>
      <c r="B516" t="s">
        <v>3447</v>
      </c>
      <c r="C516" t="s">
        <v>132</v>
      </c>
      <c r="D516" t="s">
        <v>79</v>
      </c>
      <c r="E516" t="s">
        <v>3378</v>
      </c>
      <c r="F516" t="s">
        <v>145</v>
      </c>
      <c r="G516" t="s">
        <v>3448</v>
      </c>
    </row>
    <row r="517" spans="1:7" s="241" customFormat="1" ht="44.25" customHeight="1">
      <c r="A517" t="s">
        <v>3449</v>
      </c>
      <c r="B517" t="s">
        <v>3450</v>
      </c>
      <c r="C517" t="s">
        <v>132</v>
      </c>
      <c r="D517" t="s">
        <v>79</v>
      </c>
      <c r="E517" t="s">
        <v>3451</v>
      </c>
      <c r="F517" t="s">
        <v>145</v>
      </c>
      <c r="G517" t="s">
        <v>3452</v>
      </c>
    </row>
    <row r="518" spans="1:7" s="241" customFormat="1" ht="44.25" customHeight="1">
      <c r="A518" t="s">
        <v>3347</v>
      </c>
      <c r="B518" t="s">
        <v>3348</v>
      </c>
      <c r="C518" t="s">
        <v>132</v>
      </c>
      <c r="D518" t="s">
        <v>79</v>
      </c>
      <c r="E518" t="s">
        <v>3302</v>
      </c>
      <c r="F518" t="s">
        <v>145</v>
      </c>
      <c r="G518" t="s">
        <v>3453</v>
      </c>
    </row>
    <row r="519" spans="1:7" s="241" customFormat="1" ht="44.25" customHeight="1">
      <c r="A519" t="s">
        <v>530</v>
      </c>
      <c r="B519" t="s">
        <v>3454</v>
      </c>
      <c r="C519" t="s">
        <v>132</v>
      </c>
      <c r="D519" t="s">
        <v>79</v>
      </c>
      <c r="E519" t="s">
        <v>3451</v>
      </c>
      <c r="F519" t="s">
        <v>145</v>
      </c>
      <c r="G519" t="s">
        <v>3455</v>
      </c>
    </row>
    <row r="520" spans="1:7" s="241" customFormat="1" ht="44.25" customHeight="1">
      <c r="A520" t="s">
        <v>3456</v>
      </c>
      <c r="B520" t="s">
        <v>3457</v>
      </c>
      <c r="C520" t="s">
        <v>132</v>
      </c>
      <c r="D520" t="s">
        <v>79</v>
      </c>
      <c r="E520" t="s">
        <v>1527</v>
      </c>
      <c r="F520" t="s">
        <v>145</v>
      </c>
      <c r="G520" t="s">
        <v>3458</v>
      </c>
    </row>
    <row r="521" spans="1:7" s="241" customFormat="1" ht="44.25" customHeight="1">
      <c r="A521" t="s">
        <v>788</v>
      </c>
      <c r="B521" t="s">
        <v>3350</v>
      </c>
      <c r="C521" t="s">
        <v>132</v>
      </c>
      <c r="D521" t="s">
        <v>2143</v>
      </c>
      <c r="E521" t="s">
        <v>3309</v>
      </c>
      <c r="F521" t="s">
        <v>145</v>
      </c>
      <c r="G521" t="s">
        <v>3459</v>
      </c>
    </row>
    <row r="522" spans="1:7" s="241" customFormat="1" ht="44.25" customHeight="1">
      <c r="A522" t="s">
        <v>3460</v>
      </c>
      <c r="B522" t="s">
        <v>3461</v>
      </c>
      <c r="C522" t="s">
        <v>132</v>
      </c>
      <c r="D522" t="s">
        <v>79</v>
      </c>
      <c r="E522" t="s">
        <v>3462</v>
      </c>
      <c r="F522" t="s">
        <v>145</v>
      </c>
      <c r="G522" t="s">
        <v>3463</v>
      </c>
    </row>
    <row r="523" spans="1:7" s="241" customFormat="1" ht="44.25" customHeight="1">
      <c r="A523" t="s">
        <v>575</v>
      </c>
      <c r="B523" t="s">
        <v>3352</v>
      </c>
      <c r="C523" t="s">
        <v>132</v>
      </c>
      <c r="D523" t="s">
        <v>79</v>
      </c>
      <c r="E523" t="s">
        <v>3316</v>
      </c>
      <c r="F523" t="s">
        <v>145</v>
      </c>
      <c r="G523" t="s">
        <v>3464</v>
      </c>
    </row>
    <row r="524" spans="1:7" s="241" customFormat="1" ht="44.25" customHeight="1">
      <c r="A524" t="s">
        <v>857</v>
      </c>
      <c r="B524" t="s">
        <v>3465</v>
      </c>
      <c r="C524" t="s">
        <v>132</v>
      </c>
      <c r="D524" t="s">
        <v>2143</v>
      </c>
      <c r="E524" t="s">
        <v>3466</v>
      </c>
      <c r="F524" t="s">
        <v>145</v>
      </c>
      <c r="G524" t="s">
        <v>3467</v>
      </c>
    </row>
    <row r="525" spans="1:7" s="241" customFormat="1" ht="44.25" customHeight="1">
      <c r="A525" t="s">
        <v>579</v>
      </c>
      <c r="B525" t="s">
        <v>3354</v>
      </c>
      <c r="C525" t="s">
        <v>132</v>
      </c>
      <c r="D525" t="s">
        <v>79</v>
      </c>
      <c r="E525" t="s">
        <v>3316</v>
      </c>
      <c r="F525" t="s">
        <v>145</v>
      </c>
      <c r="G525" t="s">
        <v>3468</v>
      </c>
    </row>
    <row r="526" spans="1:7" s="241" customFormat="1" ht="44.25" customHeight="1">
      <c r="A526" t="s">
        <v>547</v>
      </c>
      <c r="B526" t="s">
        <v>3469</v>
      </c>
      <c r="C526" t="s">
        <v>132</v>
      </c>
      <c r="D526" t="s">
        <v>79</v>
      </c>
      <c r="E526" t="s">
        <v>3470</v>
      </c>
      <c r="F526" t="s">
        <v>145</v>
      </c>
      <c r="G526" t="s">
        <v>3471</v>
      </c>
    </row>
    <row r="527" spans="1:7" s="241" customFormat="1" ht="44.25" customHeight="1">
      <c r="A527" t="s">
        <v>2513</v>
      </c>
      <c r="B527" t="s">
        <v>2514</v>
      </c>
      <c r="C527" t="s">
        <v>132</v>
      </c>
      <c r="D527" t="s">
        <v>79</v>
      </c>
      <c r="E527" t="s">
        <v>2515</v>
      </c>
      <c r="F527" t="s">
        <v>145</v>
      </c>
      <c r="G527" t="s">
        <v>3472</v>
      </c>
    </row>
    <row r="528" spans="1:7" s="241" customFormat="1" ht="44.25" customHeight="1">
      <c r="A528" t="s">
        <v>3473</v>
      </c>
      <c r="B528" t="s">
        <v>3474</v>
      </c>
      <c r="C528" t="s">
        <v>132</v>
      </c>
      <c r="D528" t="s">
        <v>79</v>
      </c>
      <c r="E528" t="s">
        <v>3475</v>
      </c>
      <c r="F528" t="s">
        <v>145</v>
      </c>
      <c r="G528" t="s">
        <v>3476</v>
      </c>
    </row>
    <row r="529" spans="1:7" s="241" customFormat="1" ht="44.25" customHeight="1">
      <c r="A529" t="s">
        <v>3477</v>
      </c>
      <c r="B529" t="s">
        <v>3478</v>
      </c>
      <c r="C529" t="s">
        <v>132</v>
      </c>
      <c r="D529" t="s">
        <v>2143</v>
      </c>
      <c r="E529" t="s">
        <v>3479</v>
      </c>
      <c r="F529" t="s">
        <v>145</v>
      </c>
      <c r="G529" t="s">
        <v>3480</v>
      </c>
    </row>
    <row r="530" spans="1:7" s="241" customFormat="1" ht="44.25" customHeight="1">
      <c r="A530" t="s">
        <v>388</v>
      </c>
      <c r="B530" t="s">
        <v>3481</v>
      </c>
      <c r="C530" t="s">
        <v>132</v>
      </c>
      <c r="D530" t="s">
        <v>2143</v>
      </c>
      <c r="E530" t="s">
        <v>1459</v>
      </c>
      <c r="F530" t="s">
        <v>145</v>
      </c>
      <c r="G530" t="s">
        <v>3482</v>
      </c>
    </row>
    <row r="531" spans="1:7" s="241" customFormat="1" ht="44.25" customHeight="1">
      <c r="A531" t="s">
        <v>3483</v>
      </c>
      <c r="B531" t="s">
        <v>3484</v>
      </c>
      <c r="C531" t="s">
        <v>132</v>
      </c>
      <c r="D531" t="s">
        <v>79</v>
      </c>
      <c r="E531" t="s">
        <v>3485</v>
      </c>
      <c r="F531" t="s">
        <v>145</v>
      </c>
      <c r="G531" t="s">
        <v>3486</v>
      </c>
    </row>
    <row r="532" spans="1:7" s="241" customFormat="1" ht="44.25" customHeight="1">
      <c r="A532" t="s">
        <v>3487</v>
      </c>
      <c r="B532" t="s">
        <v>3488</v>
      </c>
      <c r="C532" t="s">
        <v>132</v>
      </c>
      <c r="D532" t="s">
        <v>79</v>
      </c>
      <c r="E532" t="s">
        <v>3489</v>
      </c>
      <c r="F532" t="s">
        <v>145</v>
      </c>
      <c r="G532" t="s">
        <v>3490</v>
      </c>
    </row>
    <row r="533" spans="1:7" s="241" customFormat="1" ht="44.25" customHeight="1">
      <c r="A533" t="s">
        <v>3491</v>
      </c>
      <c r="B533" t="s">
        <v>3492</v>
      </c>
      <c r="C533" t="s">
        <v>132</v>
      </c>
      <c r="D533" t="s">
        <v>79</v>
      </c>
      <c r="E533" t="s">
        <v>3493</v>
      </c>
      <c r="F533" t="s">
        <v>145</v>
      </c>
      <c r="G533" t="s">
        <v>3494</v>
      </c>
    </row>
    <row r="534" spans="1:7" s="241" customFormat="1" ht="44.25" customHeight="1">
      <c r="A534" t="s">
        <v>3495</v>
      </c>
      <c r="B534" t="s">
        <v>3496</v>
      </c>
      <c r="C534" t="s">
        <v>132</v>
      </c>
      <c r="D534" t="s">
        <v>79</v>
      </c>
      <c r="E534" t="s">
        <v>3497</v>
      </c>
      <c r="F534" t="s">
        <v>145</v>
      </c>
      <c r="G534" t="s">
        <v>3498</v>
      </c>
    </row>
    <row r="535" spans="1:7" s="241" customFormat="1" ht="44.25" customHeight="1">
      <c r="A535" t="s">
        <v>3499</v>
      </c>
      <c r="B535" t="s">
        <v>3500</v>
      </c>
      <c r="C535" t="s">
        <v>132</v>
      </c>
      <c r="D535" t="s">
        <v>79</v>
      </c>
      <c r="E535" t="s">
        <v>3501</v>
      </c>
      <c r="F535" t="s">
        <v>145</v>
      </c>
      <c r="G535" t="s">
        <v>3502</v>
      </c>
    </row>
    <row r="536" spans="1:7" s="241" customFormat="1" ht="44.25" customHeight="1">
      <c r="A536" t="s">
        <v>3503</v>
      </c>
      <c r="B536" t="s">
        <v>3504</v>
      </c>
      <c r="C536" t="s">
        <v>132</v>
      </c>
      <c r="D536" t="s">
        <v>79</v>
      </c>
      <c r="E536" t="s">
        <v>3505</v>
      </c>
      <c r="F536" t="s">
        <v>145</v>
      </c>
      <c r="G536" t="s">
        <v>3506</v>
      </c>
    </row>
    <row r="537" spans="1:7" s="241" customFormat="1" ht="44.25" customHeight="1">
      <c r="A537" t="s">
        <v>3507</v>
      </c>
      <c r="B537" t="s">
        <v>3508</v>
      </c>
      <c r="C537" t="s">
        <v>132</v>
      </c>
      <c r="D537" t="s">
        <v>79</v>
      </c>
      <c r="E537" t="s">
        <v>3509</v>
      </c>
      <c r="F537" t="s">
        <v>145</v>
      </c>
      <c r="G537" t="s">
        <v>3510</v>
      </c>
    </row>
    <row r="538" spans="1:7" s="241" customFormat="1" ht="44.25" customHeight="1">
      <c r="A538" t="s">
        <v>3511</v>
      </c>
      <c r="B538" t="s">
        <v>3512</v>
      </c>
      <c r="C538" t="s">
        <v>132</v>
      </c>
      <c r="D538" t="s">
        <v>79</v>
      </c>
      <c r="E538" t="s">
        <v>3513</v>
      </c>
      <c r="F538" t="s">
        <v>145</v>
      </c>
      <c r="G538" t="s">
        <v>3514</v>
      </c>
    </row>
    <row r="539" spans="1:7" s="241" customFormat="1" ht="44.25" customHeight="1">
      <c r="A539" t="s">
        <v>3515</v>
      </c>
      <c r="B539" t="s">
        <v>3516</v>
      </c>
      <c r="C539" t="s">
        <v>132</v>
      </c>
      <c r="D539" t="s">
        <v>79</v>
      </c>
      <c r="E539" t="s">
        <v>3517</v>
      </c>
      <c r="F539" t="s">
        <v>145</v>
      </c>
      <c r="G539" t="s">
        <v>3518</v>
      </c>
    </row>
    <row r="540" spans="1:7" s="241" customFormat="1" ht="44.25" customHeight="1">
      <c r="A540" t="s">
        <v>3519</v>
      </c>
      <c r="B540" t="s">
        <v>3520</v>
      </c>
      <c r="C540" t="s">
        <v>132</v>
      </c>
      <c r="D540" t="s">
        <v>79</v>
      </c>
      <c r="E540" t="s">
        <v>3521</v>
      </c>
      <c r="F540" t="s">
        <v>145</v>
      </c>
      <c r="G540" t="s">
        <v>3522</v>
      </c>
    </row>
    <row r="541" spans="1:7" s="241" customFormat="1" ht="44.25" customHeight="1">
      <c r="A541" t="s">
        <v>3523</v>
      </c>
      <c r="B541" t="s">
        <v>3524</v>
      </c>
      <c r="C541" t="s">
        <v>132</v>
      </c>
      <c r="D541" t="s">
        <v>79</v>
      </c>
      <c r="E541" t="s">
        <v>3525</v>
      </c>
      <c r="F541" t="s">
        <v>145</v>
      </c>
      <c r="G541" t="s">
        <v>3526</v>
      </c>
    </row>
    <row r="542" spans="1:7" s="241" customFormat="1" ht="44.25" customHeight="1">
      <c r="A542" t="s">
        <v>3527</v>
      </c>
      <c r="B542" t="s">
        <v>3528</v>
      </c>
      <c r="C542" t="s">
        <v>132</v>
      </c>
      <c r="D542" t="s">
        <v>79</v>
      </c>
      <c r="E542" t="s">
        <v>3529</v>
      </c>
      <c r="F542" t="s">
        <v>145</v>
      </c>
      <c r="G542" t="s">
        <v>3530</v>
      </c>
    </row>
    <row r="543" spans="1:7" s="241" customFormat="1" ht="44.25" customHeight="1">
      <c r="A543" t="s">
        <v>3531</v>
      </c>
      <c r="B543" t="s">
        <v>3532</v>
      </c>
      <c r="C543" t="s">
        <v>132</v>
      </c>
      <c r="D543" t="s">
        <v>79</v>
      </c>
      <c r="E543" t="s">
        <v>3533</v>
      </c>
      <c r="F543" t="s">
        <v>145</v>
      </c>
      <c r="G543" t="s">
        <v>3534</v>
      </c>
    </row>
    <row r="544" spans="1:7" s="241" customFormat="1" ht="44.25" customHeight="1">
      <c r="A544" t="s">
        <v>3535</v>
      </c>
      <c r="B544" t="s">
        <v>3536</v>
      </c>
      <c r="C544" t="s">
        <v>132</v>
      </c>
      <c r="D544" t="s">
        <v>79</v>
      </c>
      <c r="E544" t="s">
        <v>3537</v>
      </c>
      <c r="F544" t="s">
        <v>145</v>
      </c>
      <c r="G544" t="s">
        <v>3538</v>
      </c>
    </row>
    <row r="545" spans="1:7" s="241" customFormat="1" ht="44.25" customHeight="1">
      <c r="A545" t="s">
        <v>3539</v>
      </c>
      <c r="B545" t="s">
        <v>3540</v>
      </c>
      <c r="C545" t="s">
        <v>132</v>
      </c>
      <c r="D545" t="s">
        <v>79</v>
      </c>
      <c r="E545" t="s">
        <v>3541</v>
      </c>
      <c r="F545" t="s">
        <v>145</v>
      </c>
      <c r="G545" t="s">
        <v>3542</v>
      </c>
    </row>
    <row r="546" spans="1:7" s="241" customFormat="1" ht="44.25" customHeight="1">
      <c r="A546" t="s">
        <v>3543</v>
      </c>
      <c r="B546" t="s">
        <v>3544</v>
      </c>
      <c r="C546" t="s">
        <v>132</v>
      </c>
      <c r="D546" t="s">
        <v>79</v>
      </c>
      <c r="E546" t="s">
        <v>3545</v>
      </c>
      <c r="F546" t="s">
        <v>145</v>
      </c>
      <c r="G546" t="s">
        <v>3546</v>
      </c>
    </row>
    <row r="547" spans="1:7" s="241" customFormat="1" ht="44.25" customHeight="1">
      <c r="A547" t="s">
        <v>3547</v>
      </c>
      <c r="B547" t="s">
        <v>3548</v>
      </c>
      <c r="C547" t="s">
        <v>132</v>
      </c>
      <c r="D547" t="s">
        <v>79</v>
      </c>
      <c r="E547" t="s">
        <v>3549</v>
      </c>
      <c r="F547" t="s">
        <v>145</v>
      </c>
      <c r="G547" t="s">
        <v>3550</v>
      </c>
    </row>
    <row r="548" spans="1:7" s="241" customFormat="1" ht="44.25" customHeight="1">
      <c r="A548" t="s">
        <v>3551</v>
      </c>
      <c r="B548" t="s">
        <v>3552</v>
      </c>
      <c r="C548" t="s">
        <v>132</v>
      </c>
      <c r="D548" t="s">
        <v>79</v>
      </c>
      <c r="E548" t="s">
        <v>3553</v>
      </c>
      <c r="F548" t="s">
        <v>145</v>
      </c>
      <c r="G548" t="s">
        <v>3554</v>
      </c>
    </row>
    <row r="549" spans="1:7" s="241" customFormat="1" ht="44.25" customHeight="1">
      <c r="A549" t="s">
        <v>3555</v>
      </c>
      <c r="B549" t="s">
        <v>3556</v>
      </c>
      <c r="C549" t="s">
        <v>132</v>
      </c>
      <c r="D549" t="s">
        <v>79</v>
      </c>
      <c r="E549" t="s">
        <v>3557</v>
      </c>
      <c r="F549" t="s">
        <v>145</v>
      </c>
      <c r="G549" t="s">
        <v>3558</v>
      </c>
    </row>
    <row r="550" spans="1:7" s="241" customFormat="1" ht="44.25" customHeight="1">
      <c r="A550" t="s">
        <v>3559</v>
      </c>
      <c r="B550" t="s">
        <v>3560</v>
      </c>
      <c r="C550" t="s">
        <v>132</v>
      </c>
      <c r="D550" t="s">
        <v>79</v>
      </c>
      <c r="E550" t="s">
        <v>3561</v>
      </c>
      <c r="F550" t="s">
        <v>145</v>
      </c>
      <c r="G550" t="s">
        <v>3562</v>
      </c>
    </row>
    <row r="551" spans="1:7" s="241" customFormat="1" ht="44.25" customHeight="1">
      <c r="A551" t="s">
        <v>3563</v>
      </c>
      <c r="B551" t="s">
        <v>3564</v>
      </c>
      <c r="C551" t="s">
        <v>132</v>
      </c>
      <c r="D551" t="s">
        <v>79</v>
      </c>
      <c r="E551" t="s">
        <v>3565</v>
      </c>
      <c r="F551" t="s">
        <v>145</v>
      </c>
      <c r="G551" t="s">
        <v>3566</v>
      </c>
    </row>
    <row r="552" spans="1:7" s="241" customFormat="1" ht="44.25" customHeight="1">
      <c r="A552" t="s">
        <v>3567</v>
      </c>
      <c r="B552" t="s">
        <v>3568</v>
      </c>
      <c r="C552" t="s">
        <v>132</v>
      </c>
      <c r="D552" t="s">
        <v>79</v>
      </c>
      <c r="E552" t="s">
        <v>3569</v>
      </c>
      <c r="F552" t="s">
        <v>145</v>
      </c>
      <c r="G552" t="s">
        <v>3570</v>
      </c>
    </row>
    <row r="553" spans="1:7" s="241" customFormat="1" ht="44.25" customHeight="1">
      <c r="A553" t="s">
        <v>835</v>
      </c>
      <c r="B553" t="s">
        <v>3571</v>
      </c>
      <c r="C553" t="s">
        <v>132</v>
      </c>
      <c r="D553" t="s">
        <v>79</v>
      </c>
      <c r="E553" t="s">
        <v>3572</v>
      </c>
      <c r="F553" t="s">
        <v>145</v>
      </c>
      <c r="G553" t="s">
        <v>3573</v>
      </c>
    </row>
    <row r="554" spans="1:7" s="241" customFormat="1" ht="44.25" customHeight="1">
      <c r="A554" t="s">
        <v>439</v>
      </c>
      <c r="B554" t="s">
        <v>3574</v>
      </c>
      <c r="C554" t="s">
        <v>132</v>
      </c>
      <c r="D554" t="s">
        <v>79</v>
      </c>
      <c r="E554" t="s">
        <v>3575</v>
      </c>
      <c r="F554" t="s">
        <v>145</v>
      </c>
      <c r="G554" t="s">
        <v>3576</v>
      </c>
    </row>
    <row r="555" spans="1:7" s="241" customFormat="1" ht="44.25" customHeight="1">
      <c r="A555" t="s">
        <v>839</v>
      </c>
      <c r="B555" t="s">
        <v>3577</v>
      </c>
      <c r="C555" t="s">
        <v>132</v>
      </c>
      <c r="D555" t="s">
        <v>79</v>
      </c>
      <c r="E555" t="s">
        <v>1536</v>
      </c>
      <c r="F555" t="s">
        <v>145</v>
      </c>
      <c r="G555" t="s">
        <v>3578</v>
      </c>
    </row>
    <row r="556" spans="1:7" s="241" customFormat="1" ht="44.25" customHeight="1">
      <c r="A556" t="s">
        <v>3579</v>
      </c>
      <c r="B556" t="s">
        <v>3580</v>
      </c>
      <c r="C556" t="s">
        <v>132</v>
      </c>
      <c r="D556" t="s">
        <v>79</v>
      </c>
      <c r="E556" t="s">
        <v>3581</v>
      </c>
      <c r="F556" t="s">
        <v>145</v>
      </c>
      <c r="G556" t="s">
        <v>3582</v>
      </c>
    </row>
    <row r="557" spans="1:7" s="241" customFormat="1" ht="44.25" customHeight="1">
      <c r="A557" t="s">
        <v>3583</v>
      </c>
      <c r="B557" t="s">
        <v>3584</v>
      </c>
      <c r="C557" t="s">
        <v>132</v>
      </c>
      <c r="D557" t="s">
        <v>79</v>
      </c>
      <c r="E557" t="s">
        <v>3585</v>
      </c>
      <c r="F557" t="s">
        <v>145</v>
      </c>
      <c r="G557" t="s">
        <v>3586</v>
      </c>
    </row>
    <row r="558" spans="1:7" s="241" customFormat="1" ht="44.25" customHeight="1">
      <c r="A558" t="s">
        <v>3587</v>
      </c>
      <c r="B558" t="s">
        <v>3588</v>
      </c>
      <c r="C558" t="s">
        <v>132</v>
      </c>
      <c r="D558" t="s">
        <v>79</v>
      </c>
      <c r="E558" t="s">
        <v>3589</v>
      </c>
      <c r="F558" t="s">
        <v>145</v>
      </c>
      <c r="G558" t="s">
        <v>3590</v>
      </c>
    </row>
    <row r="559" spans="1:7" s="241" customFormat="1" ht="44.25" customHeight="1">
      <c r="A559" t="s">
        <v>3591</v>
      </c>
      <c r="B559" t="s">
        <v>3592</v>
      </c>
      <c r="C559" t="s">
        <v>132</v>
      </c>
      <c r="D559" t="s">
        <v>2143</v>
      </c>
      <c r="E559" t="s">
        <v>1519</v>
      </c>
      <c r="F559" t="s">
        <v>145</v>
      </c>
      <c r="G559" t="s">
        <v>3593</v>
      </c>
    </row>
    <row r="560" spans="1:7" s="241" customFormat="1" ht="44.25" customHeight="1">
      <c r="A560" t="s">
        <v>3594</v>
      </c>
      <c r="B560" t="s">
        <v>3595</v>
      </c>
      <c r="C560" t="s">
        <v>132</v>
      </c>
      <c r="D560" t="s">
        <v>2143</v>
      </c>
      <c r="E560" t="s">
        <v>1519</v>
      </c>
      <c r="F560" t="s">
        <v>145</v>
      </c>
      <c r="G560" t="s">
        <v>3596</v>
      </c>
    </row>
    <row r="561" spans="1:7" s="241" customFormat="1" ht="44.25" customHeight="1">
      <c r="A561" t="s">
        <v>3597</v>
      </c>
      <c r="B561" t="s">
        <v>3598</v>
      </c>
      <c r="C561" t="s">
        <v>132</v>
      </c>
      <c r="D561" t="s">
        <v>2143</v>
      </c>
      <c r="E561" t="s">
        <v>2162</v>
      </c>
      <c r="F561" t="s">
        <v>145</v>
      </c>
      <c r="G561" t="s">
        <v>3599</v>
      </c>
    </row>
    <row r="562" spans="1:7" s="241" customFormat="1" ht="44.25" customHeight="1">
      <c r="A562" t="s">
        <v>3600</v>
      </c>
      <c r="B562" t="s">
        <v>3601</v>
      </c>
      <c r="C562" t="s">
        <v>132</v>
      </c>
      <c r="D562" t="s">
        <v>79</v>
      </c>
      <c r="E562" t="s">
        <v>3589</v>
      </c>
      <c r="F562" t="s">
        <v>145</v>
      </c>
      <c r="G562" t="s">
        <v>3602</v>
      </c>
    </row>
    <row r="563" spans="1:7" s="241" customFormat="1" ht="44.25" customHeight="1">
      <c r="A563" t="s">
        <v>3603</v>
      </c>
      <c r="B563" t="s">
        <v>3604</v>
      </c>
      <c r="C563" t="s">
        <v>132</v>
      </c>
      <c r="D563" t="s">
        <v>2139</v>
      </c>
      <c r="E563" t="s">
        <v>1365</v>
      </c>
      <c r="F563" t="s">
        <v>145</v>
      </c>
      <c r="G563" t="s">
        <v>3605</v>
      </c>
    </row>
    <row r="564" spans="1:7" s="241" customFormat="1" ht="44.25" customHeight="1">
      <c r="A564" t="s">
        <v>3606</v>
      </c>
      <c r="B564" t="s">
        <v>3607</v>
      </c>
      <c r="C564" t="s">
        <v>132</v>
      </c>
      <c r="D564" t="s">
        <v>2139</v>
      </c>
      <c r="E564" t="s">
        <v>1365</v>
      </c>
      <c r="F564" t="s">
        <v>145</v>
      </c>
      <c r="G564" t="s">
        <v>3608</v>
      </c>
    </row>
    <row r="565" spans="1:7" s="241" customFormat="1" ht="44.25" customHeight="1">
      <c r="A565" t="s">
        <v>3609</v>
      </c>
      <c r="B565" t="s">
        <v>3610</v>
      </c>
      <c r="C565" t="s">
        <v>132</v>
      </c>
      <c r="D565" t="s">
        <v>2143</v>
      </c>
      <c r="E565" t="s">
        <v>2162</v>
      </c>
      <c r="F565" t="s">
        <v>145</v>
      </c>
      <c r="G565" t="s">
        <v>3611</v>
      </c>
    </row>
    <row r="566" spans="1:7" s="241" customFormat="1" ht="44.25" customHeight="1">
      <c r="A566" t="s">
        <v>3612</v>
      </c>
      <c r="B566" t="s">
        <v>3613</v>
      </c>
      <c r="C566" t="s">
        <v>132</v>
      </c>
      <c r="D566" t="s">
        <v>2143</v>
      </c>
      <c r="E566" t="s">
        <v>1365</v>
      </c>
      <c r="F566" t="s">
        <v>145</v>
      </c>
      <c r="G566" t="s">
        <v>3614</v>
      </c>
    </row>
    <row r="567" spans="1:7" s="241" customFormat="1" ht="44.25" customHeight="1">
      <c r="A567" t="s">
        <v>3615</v>
      </c>
      <c r="B567" t="s">
        <v>3616</v>
      </c>
      <c r="C567" t="s">
        <v>132</v>
      </c>
      <c r="D567" t="s">
        <v>2139</v>
      </c>
      <c r="E567" t="s">
        <v>1365</v>
      </c>
      <c r="F567" t="s">
        <v>145</v>
      </c>
      <c r="G567" t="s">
        <v>3617</v>
      </c>
    </row>
    <row r="568" spans="1:7" s="241" customFormat="1" ht="44.25" customHeight="1">
      <c r="A568" t="s">
        <v>3618</v>
      </c>
      <c r="B568" t="s">
        <v>3619</v>
      </c>
      <c r="C568" t="s">
        <v>132</v>
      </c>
      <c r="D568" t="s">
        <v>2143</v>
      </c>
      <c r="E568" t="s">
        <v>2162</v>
      </c>
      <c r="F568" t="s">
        <v>145</v>
      </c>
      <c r="G568" t="s">
        <v>3620</v>
      </c>
    </row>
    <row r="569" spans="1:7" s="241" customFormat="1" ht="44.25" customHeight="1">
      <c r="A569" t="s">
        <v>3621</v>
      </c>
      <c r="B569" t="s">
        <v>3622</v>
      </c>
      <c r="C569" t="s">
        <v>132</v>
      </c>
      <c r="D569" t="s">
        <v>2139</v>
      </c>
      <c r="E569" t="s">
        <v>3623</v>
      </c>
      <c r="F569" t="s">
        <v>145</v>
      </c>
      <c r="G569" t="s">
        <v>3624</v>
      </c>
    </row>
    <row r="570" spans="1:7" s="241" customFormat="1" ht="44.25" customHeight="1">
      <c r="A570" t="s">
        <v>3625</v>
      </c>
      <c r="B570" t="s">
        <v>3626</v>
      </c>
      <c r="C570" t="s">
        <v>132</v>
      </c>
      <c r="D570" t="s">
        <v>2139</v>
      </c>
      <c r="E570" t="s">
        <v>2144</v>
      </c>
      <c r="F570" t="s">
        <v>145</v>
      </c>
      <c r="G570" t="s">
        <v>3627</v>
      </c>
    </row>
    <row r="571" spans="1:7" s="241" customFormat="1" ht="44.25" customHeight="1">
      <c r="A571" t="s">
        <v>3628</v>
      </c>
      <c r="B571" t="s">
        <v>3629</v>
      </c>
      <c r="C571" t="s">
        <v>132</v>
      </c>
      <c r="D571" t="s">
        <v>2139</v>
      </c>
      <c r="E571" t="s">
        <v>1367</v>
      </c>
      <c r="F571" t="s">
        <v>145</v>
      </c>
      <c r="G571" t="s">
        <v>3630</v>
      </c>
    </row>
    <row r="572" spans="1:7" s="241" customFormat="1" ht="44.25" customHeight="1">
      <c r="A572" t="s">
        <v>3631</v>
      </c>
      <c r="B572" t="s">
        <v>3632</v>
      </c>
      <c r="C572" t="s">
        <v>132</v>
      </c>
      <c r="D572" t="s">
        <v>2139</v>
      </c>
      <c r="E572" t="s">
        <v>1367</v>
      </c>
      <c r="F572" t="s">
        <v>145</v>
      </c>
      <c r="G572" t="s">
        <v>3633</v>
      </c>
    </row>
    <row r="573" spans="1:7" s="241" customFormat="1" ht="44.25" customHeight="1">
      <c r="A573" t="s">
        <v>3634</v>
      </c>
      <c r="B573" t="s">
        <v>3635</v>
      </c>
      <c r="C573" t="s">
        <v>132</v>
      </c>
      <c r="D573" t="s">
        <v>2139</v>
      </c>
      <c r="E573" t="s">
        <v>1367</v>
      </c>
      <c r="F573" t="s">
        <v>145</v>
      </c>
      <c r="G573" t="s">
        <v>3636</v>
      </c>
    </row>
    <row r="574" spans="1:7" s="241" customFormat="1" ht="44.25" customHeight="1">
      <c r="A574" t="s">
        <v>3637</v>
      </c>
      <c r="B574" t="s">
        <v>3638</v>
      </c>
      <c r="C574" t="s">
        <v>132</v>
      </c>
      <c r="D574" t="s">
        <v>2139</v>
      </c>
      <c r="E574" t="s">
        <v>1367</v>
      </c>
      <c r="F574" t="s">
        <v>145</v>
      </c>
      <c r="G574" t="s">
        <v>3639</v>
      </c>
    </row>
    <row r="575" spans="1:7" s="241" customFormat="1" ht="44.25" customHeight="1">
      <c r="A575" t="s">
        <v>3640</v>
      </c>
      <c r="B575" t="s">
        <v>3641</v>
      </c>
      <c r="C575" t="s">
        <v>132</v>
      </c>
      <c r="D575" t="s">
        <v>2139</v>
      </c>
      <c r="E575" t="s">
        <v>1367</v>
      </c>
      <c r="F575" t="s">
        <v>145</v>
      </c>
      <c r="G575" t="s">
        <v>3642</v>
      </c>
    </row>
    <row r="576" spans="1:7" s="241" customFormat="1" ht="44.25" customHeight="1">
      <c r="A576" t="s">
        <v>3643</v>
      </c>
      <c r="B576" t="s">
        <v>3644</v>
      </c>
      <c r="C576" t="s">
        <v>132</v>
      </c>
      <c r="D576" t="s">
        <v>2143</v>
      </c>
      <c r="E576" t="s">
        <v>3645</v>
      </c>
      <c r="F576" t="s">
        <v>145</v>
      </c>
      <c r="G576" t="s">
        <v>3646</v>
      </c>
    </row>
    <row r="577" spans="1:7" s="241" customFormat="1" ht="44.25" customHeight="1">
      <c r="A577" t="s">
        <v>3647</v>
      </c>
      <c r="B577" t="s">
        <v>3648</v>
      </c>
      <c r="C577" t="s">
        <v>132</v>
      </c>
      <c r="D577" t="s">
        <v>2139</v>
      </c>
      <c r="E577" t="s">
        <v>1365</v>
      </c>
      <c r="F577" t="s">
        <v>145</v>
      </c>
      <c r="G577" t="s">
        <v>3649</v>
      </c>
    </row>
    <row r="578" spans="1:7" s="241" customFormat="1" ht="44.25" customHeight="1">
      <c r="A578" t="s">
        <v>3650</v>
      </c>
      <c r="B578" t="s">
        <v>3651</v>
      </c>
      <c r="C578" t="s">
        <v>132</v>
      </c>
      <c r="D578" t="s">
        <v>2139</v>
      </c>
      <c r="E578" t="s">
        <v>1365</v>
      </c>
      <c r="F578" t="s">
        <v>145</v>
      </c>
      <c r="G578" t="s">
        <v>3652</v>
      </c>
    </row>
    <row r="579" spans="1:7" s="241" customFormat="1" ht="44.25" customHeight="1">
      <c r="A579" t="s">
        <v>3653</v>
      </c>
      <c r="B579" t="s">
        <v>3654</v>
      </c>
      <c r="C579" t="s">
        <v>132</v>
      </c>
      <c r="D579" t="s">
        <v>2139</v>
      </c>
      <c r="E579" t="s">
        <v>1367</v>
      </c>
      <c r="F579" t="s">
        <v>145</v>
      </c>
      <c r="G579" t="s">
        <v>3655</v>
      </c>
    </row>
    <row r="580" spans="1:7" s="241" customFormat="1" ht="44.25" customHeight="1">
      <c r="A580" t="s">
        <v>3656</v>
      </c>
      <c r="B580" t="s">
        <v>3657</v>
      </c>
      <c r="C580" t="s">
        <v>132</v>
      </c>
      <c r="D580" t="s">
        <v>2139</v>
      </c>
      <c r="E580" t="s">
        <v>1367</v>
      </c>
      <c r="F580" t="s">
        <v>145</v>
      </c>
      <c r="G580" t="s">
        <v>3658</v>
      </c>
    </row>
    <row r="581" spans="1:7" s="241" customFormat="1" ht="44.25" customHeight="1">
      <c r="A581" t="s">
        <v>3659</v>
      </c>
      <c r="B581" t="s">
        <v>3660</v>
      </c>
      <c r="C581" t="s">
        <v>132</v>
      </c>
      <c r="D581" t="s">
        <v>2143</v>
      </c>
      <c r="E581" t="s">
        <v>1365</v>
      </c>
      <c r="F581" t="s">
        <v>145</v>
      </c>
      <c r="G581" t="s">
        <v>3661</v>
      </c>
    </row>
    <row r="582" spans="1:7" s="241" customFormat="1" ht="44.25" customHeight="1">
      <c r="A582" t="s">
        <v>3662</v>
      </c>
      <c r="B582" t="s">
        <v>3663</v>
      </c>
      <c r="C582" t="s">
        <v>132</v>
      </c>
      <c r="D582" t="s">
        <v>2143</v>
      </c>
      <c r="E582" t="s">
        <v>2162</v>
      </c>
      <c r="F582" t="s">
        <v>145</v>
      </c>
      <c r="G582" t="s">
        <v>3664</v>
      </c>
    </row>
    <row r="583" spans="1:7" s="241" customFormat="1" ht="44.25" customHeight="1">
      <c r="A583" t="s">
        <v>3665</v>
      </c>
      <c r="B583" t="s">
        <v>3666</v>
      </c>
      <c r="C583" t="s">
        <v>132</v>
      </c>
      <c r="D583" t="s">
        <v>2143</v>
      </c>
      <c r="E583" t="s">
        <v>2162</v>
      </c>
      <c r="F583" t="s">
        <v>145</v>
      </c>
      <c r="G583" t="s">
        <v>3667</v>
      </c>
    </row>
    <row r="584" spans="1:7" s="241" customFormat="1" ht="44.25" customHeight="1">
      <c r="A584" t="s">
        <v>3668</v>
      </c>
      <c r="B584" t="s">
        <v>3669</v>
      </c>
      <c r="C584" t="s">
        <v>132</v>
      </c>
      <c r="D584" t="s">
        <v>2139</v>
      </c>
      <c r="E584" t="s">
        <v>1365</v>
      </c>
      <c r="F584" t="s">
        <v>145</v>
      </c>
      <c r="G584" t="s">
        <v>3670</v>
      </c>
    </row>
    <row r="585" spans="1:7" s="241" customFormat="1" ht="44.25" customHeight="1">
      <c r="A585" t="s">
        <v>3671</v>
      </c>
      <c r="B585" t="s">
        <v>3672</v>
      </c>
      <c r="C585" t="s">
        <v>132</v>
      </c>
      <c r="D585" t="s">
        <v>2139</v>
      </c>
      <c r="E585" t="s">
        <v>1367</v>
      </c>
      <c r="F585" t="s">
        <v>145</v>
      </c>
      <c r="G585" t="s">
        <v>3673</v>
      </c>
    </row>
    <row r="586" spans="1:7" s="241" customFormat="1" ht="44.25" customHeight="1">
      <c r="A586" t="s">
        <v>3674</v>
      </c>
      <c r="B586" t="s">
        <v>3675</v>
      </c>
      <c r="C586" t="s">
        <v>132</v>
      </c>
      <c r="D586" t="s">
        <v>2139</v>
      </c>
      <c r="E586" t="s">
        <v>1365</v>
      </c>
      <c r="F586" t="s">
        <v>145</v>
      </c>
      <c r="G586" t="s">
        <v>3676</v>
      </c>
    </row>
    <row r="587" spans="1:7" s="241" customFormat="1" ht="44.25" customHeight="1">
      <c r="A587" t="s">
        <v>3677</v>
      </c>
      <c r="B587" t="s">
        <v>3678</v>
      </c>
      <c r="C587" t="s">
        <v>132</v>
      </c>
      <c r="D587" t="s">
        <v>2139</v>
      </c>
      <c r="E587" t="s">
        <v>1367</v>
      </c>
      <c r="F587" t="s">
        <v>145</v>
      </c>
      <c r="G587" t="s">
        <v>3679</v>
      </c>
    </row>
    <row r="588" spans="1:7" s="241" customFormat="1" ht="44.25" customHeight="1">
      <c r="A588" t="s">
        <v>3680</v>
      </c>
      <c r="B588" t="s">
        <v>3681</v>
      </c>
      <c r="C588" t="s">
        <v>132</v>
      </c>
      <c r="D588" t="s">
        <v>2139</v>
      </c>
      <c r="E588" t="s">
        <v>1365</v>
      </c>
      <c r="F588" t="s">
        <v>145</v>
      </c>
      <c r="G588" t="s">
        <v>3682</v>
      </c>
    </row>
    <row r="589" spans="1:7" s="241" customFormat="1" ht="44.25" customHeight="1">
      <c r="A589" t="s">
        <v>3683</v>
      </c>
      <c r="B589" t="s">
        <v>3684</v>
      </c>
      <c r="C589" t="s">
        <v>132</v>
      </c>
      <c r="D589" t="s">
        <v>2139</v>
      </c>
      <c r="E589" t="s">
        <v>1367</v>
      </c>
      <c r="F589" t="s">
        <v>145</v>
      </c>
      <c r="G589" t="s">
        <v>3685</v>
      </c>
    </row>
    <row r="590" spans="1:7" s="241" customFormat="1" ht="44.25" customHeight="1">
      <c r="A590" t="s">
        <v>3686</v>
      </c>
      <c r="B590" t="s">
        <v>3687</v>
      </c>
      <c r="C590" t="s">
        <v>132</v>
      </c>
      <c r="D590" t="s">
        <v>2139</v>
      </c>
      <c r="E590" t="s">
        <v>1367</v>
      </c>
      <c r="F590" t="s">
        <v>145</v>
      </c>
      <c r="G590" t="s">
        <v>3688</v>
      </c>
    </row>
    <row r="591" spans="1:7" s="241" customFormat="1" ht="44.25" customHeight="1">
      <c r="A591" t="s">
        <v>3689</v>
      </c>
      <c r="B591" t="s">
        <v>3690</v>
      </c>
      <c r="C591" t="s">
        <v>132</v>
      </c>
      <c r="D591" t="s">
        <v>2139</v>
      </c>
      <c r="E591" t="s">
        <v>1367</v>
      </c>
      <c r="F591" t="s">
        <v>145</v>
      </c>
      <c r="G591" t="s">
        <v>3691</v>
      </c>
    </row>
    <row r="592" spans="1:7" s="241" customFormat="1" ht="44.25" customHeight="1">
      <c r="A592" t="s">
        <v>3692</v>
      </c>
      <c r="B592" t="s">
        <v>3693</v>
      </c>
      <c r="C592" t="s">
        <v>132</v>
      </c>
      <c r="D592" t="s">
        <v>2139</v>
      </c>
      <c r="E592" t="s">
        <v>1365</v>
      </c>
      <c r="F592" t="s">
        <v>145</v>
      </c>
      <c r="G592" t="s">
        <v>3694</v>
      </c>
    </row>
    <row r="593" spans="1:7" s="241" customFormat="1" ht="44.25" customHeight="1">
      <c r="A593" t="s">
        <v>3695</v>
      </c>
      <c r="B593" t="s">
        <v>3696</v>
      </c>
      <c r="C593" t="s">
        <v>132</v>
      </c>
      <c r="D593" t="s">
        <v>2143</v>
      </c>
      <c r="E593" t="s">
        <v>2162</v>
      </c>
      <c r="F593" t="s">
        <v>145</v>
      </c>
      <c r="G593" t="s">
        <v>3697</v>
      </c>
    </row>
    <row r="594" spans="1:7" s="241" customFormat="1" ht="44.25" customHeight="1">
      <c r="A594" t="s">
        <v>3698</v>
      </c>
      <c r="B594" t="s">
        <v>3699</v>
      </c>
      <c r="C594" t="s">
        <v>132</v>
      </c>
      <c r="D594" t="s">
        <v>2139</v>
      </c>
      <c r="E594" t="s">
        <v>1367</v>
      </c>
      <c r="F594" t="s">
        <v>145</v>
      </c>
      <c r="G594" t="s">
        <v>3700</v>
      </c>
    </row>
    <row r="595" spans="1:7" s="241" customFormat="1" ht="44.25" customHeight="1">
      <c r="A595" t="s">
        <v>3701</v>
      </c>
      <c r="B595" t="s">
        <v>3702</v>
      </c>
      <c r="C595" t="s">
        <v>132</v>
      </c>
      <c r="D595" t="s">
        <v>2139</v>
      </c>
      <c r="E595" t="s">
        <v>1365</v>
      </c>
      <c r="F595" t="s">
        <v>145</v>
      </c>
      <c r="G595" t="s">
        <v>3703</v>
      </c>
    </row>
    <row r="596" spans="1:7" s="241" customFormat="1" ht="44.25" customHeight="1">
      <c r="A596" t="s">
        <v>3704</v>
      </c>
      <c r="B596" t="s">
        <v>3705</v>
      </c>
      <c r="C596" t="s">
        <v>132</v>
      </c>
      <c r="D596" t="s">
        <v>2139</v>
      </c>
      <c r="E596" t="s">
        <v>1365</v>
      </c>
      <c r="F596" t="s">
        <v>145</v>
      </c>
      <c r="G596" t="s">
        <v>3706</v>
      </c>
    </row>
    <row r="597" spans="1:7" s="241" customFormat="1" ht="44.25" customHeight="1">
      <c r="A597" t="s">
        <v>3707</v>
      </c>
      <c r="B597" t="s">
        <v>3708</v>
      </c>
      <c r="C597" t="s">
        <v>132</v>
      </c>
      <c r="D597" t="s">
        <v>2139</v>
      </c>
      <c r="E597" t="s">
        <v>1365</v>
      </c>
      <c r="F597" t="s">
        <v>145</v>
      </c>
      <c r="G597" t="s">
        <v>3709</v>
      </c>
    </row>
    <row r="598" spans="1:7" s="241" customFormat="1" ht="44.25" customHeight="1">
      <c r="A598" t="s">
        <v>3710</v>
      </c>
      <c r="B598" t="s">
        <v>3711</v>
      </c>
      <c r="C598" t="s">
        <v>132</v>
      </c>
      <c r="D598" t="s">
        <v>2139</v>
      </c>
      <c r="E598" t="s">
        <v>1365</v>
      </c>
      <c r="F598" t="s">
        <v>145</v>
      </c>
      <c r="G598" t="s">
        <v>3712</v>
      </c>
    </row>
    <row r="599" spans="1:7" s="241" customFormat="1" ht="44.25" customHeight="1">
      <c r="A599" t="s">
        <v>3713</v>
      </c>
      <c r="B599" t="s">
        <v>3714</v>
      </c>
      <c r="C599" t="s">
        <v>132</v>
      </c>
      <c r="D599" t="s">
        <v>2143</v>
      </c>
      <c r="E599" t="s">
        <v>2162</v>
      </c>
      <c r="F599" t="s">
        <v>145</v>
      </c>
      <c r="G599" t="s">
        <v>3715</v>
      </c>
    </row>
    <row r="600" spans="1:7" s="241" customFormat="1" ht="44.25" customHeight="1">
      <c r="A600" t="s">
        <v>3716</v>
      </c>
      <c r="B600" t="s">
        <v>3717</v>
      </c>
      <c r="C600" t="s">
        <v>132</v>
      </c>
      <c r="D600" t="s">
        <v>79</v>
      </c>
      <c r="E600" t="s">
        <v>3718</v>
      </c>
      <c r="F600" t="s">
        <v>145</v>
      </c>
      <c r="G600" t="s">
        <v>3719</v>
      </c>
    </row>
    <row r="601" spans="1:7" s="241" customFormat="1" ht="44.25" customHeight="1">
      <c r="A601" t="s">
        <v>3720</v>
      </c>
      <c r="B601" t="s">
        <v>3721</v>
      </c>
      <c r="C601" t="s">
        <v>132</v>
      </c>
      <c r="D601" t="s">
        <v>2139</v>
      </c>
      <c r="E601" t="s">
        <v>1367</v>
      </c>
      <c r="F601" t="s">
        <v>145</v>
      </c>
      <c r="G601" t="s">
        <v>3722</v>
      </c>
    </row>
    <row r="602" spans="1:7" s="241" customFormat="1" ht="44.25" customHeight="1">
      <c r="A602" t="s">
        <v>3723</v>
      </c>
      <c r="B602" t="s">
        <v>3724</v>
      </c>
      <c r="C602" t="s">
        <v>132</v>
      </c>
      <c r="D602" t="s">
        <v>2139</v>
      </c>
      <c r="E602" t="s">
        <v>1367</v>
      </c>
      <c r="F602" t="s">
        <v>145</v>
      </c>
      <c r="G602" t="s">
        <v>3725</v>
      </c>
    </row>
    <row r="603" spans="1:7" s="241" customFormat="1" ht="44.25" customHeight="1">
      <c r="A603" t="s">
        <v>3726</v>
      </c>
      <c r="B603" t="s">
        <v>3727</v>
      </c>
      <c r="C603" t="s">
        <v>132</v>
      </c>
      <c r="D603" t="s">
        <v>2139</v>
      </c>
      <c r="E603" t="s">
        <v>1365</v>
      </c>
      <c r="F603" t="s">
        <v>145</v>
      </c>
      <c r="G603" t="s">
        <v>3728</v>
      </c>
    </row>
    <row r="604" spans="1:7" s="241" customFormat="1" ht="44.25" customHeight="1">
      <c r="A604" t="s">
        <v>3729</v>
      </c>
      <c r="B604" t="s">
        <v>3730</v>
      </c>
      <c r="C604" t="s">
        <v>132</v>
      </c>
      <c r="D604" t="s">
        <v>2139</v>
      </c>
      <c r="E604" t="s">
        <v>1365</v>
      </c>
      <c r="F604" t="s">
        <v>145</v>
      </c>
      <c r="G604" t="s">
        <v>3731</v>
      </c>
    </row>
    <row r="605" spans="1:7" s="241" customFormat="1" ht="44.25" customHeight="1">
      <c r="A605" t="s">
        <v>3732</v>
      </c>
      <c r="B605" t="s">
        <v>3733</v>
      </c>
      <c r="C605" t="s">
        <v>132</v>
      </c>
      <c r="D605" t="s">
        <v>2143</v>
      </c>
      <c r="E605" t="s">
        <v>2144</v>
      </c>
      <c r="F605" t="s">
        <v>145</v>
      </c>
      <c r="G605" t="s">
        <v>3734</v>
      </c>
    </row>
    <row r="606" spans="1:7" s="241" customFormat="1" ht="44.25" customHeight="1">
      <c r="A606" t="s">
        <v>3735</v>
      </c>
      <c r="B606" t="s">
        <v>3736</v>
      </c>
      <c r="C606" t="s">
        <v>132</v>
      </c>
      <c r="D606" t="s">
        <v>2143</v>
      </c>
      <c r="E606" t="s">
        <v>2162</v>
      </c>
      <c r="F606" t="s">
        <v>145</v>
      </c>
      <c r="G606" t="s">
        <v>3737</v>
      </c>
    </row>
    <row r="607" spans="1:7" s="241" customFormat="1" ht="44.25" customHeight="1">
      <c r="A607" t="s">
        <v>3738</v>
      </c>
      <c r="B607" t="s">
        <v>3739</v>
      </c>
      <c r="C607" t="s">
        <v>132</v>
      </c>
      <c r="D607" t="s">
        <v>2139</v>
      </c>
      <c r="E607" t="s">
        <v>1365</v>
      </c>
      <c r="F607" t="s">
        <v>145</v>
      </c>
      <c r="G607" t="s">
        <v>3740</v>
      </c>
    </row>
    <row r="608" spans="1:7" s="241" customFormat="1" ht="44.25" customHeight="1">
      <c r="A608" t="s">
        <v>3741</v>
      </c>
      <c r="B608" t="s">
        <v>3742</v>
      </c>
      <c r="C608" t="s">
        <v>132</v>
      </c>
      <c r="D608" t="s">
        <v>2143</v>
      </c>
      <c r="E608" t="s">
        <v>2162</v>
      </c>
      <c r="F608" t="s">
        <v>145</v>
      </c>
      <c r="G608" t="s">
        <v>3743</v>
      </c>
    </row>
    <row r="609" spans="1:7" s="241" customFormat="1" ht="44.25" customHeight="1">
      <c r="A609" t="s">
        <v>3744</v>
      </c>
      <c r="B609" t="s">
        <v>3745</v>
      </c>
      <c r="C609" t="s">
        <v>132</v>
      </c>
      <c r="D609" t="s">
        <v>2139</v>
      </c>
      <c r="E609" t="s">
        <v>1365</v>
      </c>
      <c r="F609" t="s">
        <v>145</v>
      </c>
      <c r="G609" t="s">
        <v>3746</v>
      </c>
    </row>
    <row r="610" spans="1:7" s="241" customFormat="1" ht="44.25" customHeight="1">
      <c r="A610" t="s">
        <v>3747</v>
      </c>
      <c r="B610" t="s">
        <v>3748</v>
      </c>
      <c r="C610" t="s">
        <v>132</v>
      </c>
      <c r="D610" t="s">
        <v>2139</v>
      </c>
      <c r="E610" t="s">
        <v>1365</v>
      </c>
      <c r="F610" t="s">
        <v>145</v>
      </c>
      <c r="G610" t="s">
        <v>3749</v>
      </c>
    </row>
    <row r="611" spans="1:7" s="241" customFormat="1" ht="44.25" customHeight="1">
      <c r="A611" t="s">
        <v>3750</v>
      </c>
      <c r="B611" t="s">
        <v>3751</v>
      </c>
      <c r="C611" t="s">
        <v>132</v>
      </c>
      <c r="D611" t="s">
        <v>2139</v>
      </c>
      <c r="E611" t="s">
        <v>1365</v>
      </c>
      <c r="F611" t="s">
        <v>145</v>
      </c>
      <c r="G611" t="s">
        <v>3752</v>
      </c>
    </row>
    <row r="612" spans="1:7" s="241" customFormat="1" ht="44.25" customHeight="1">
      <c r="A612" t="s">
        <v>3753</v>
      </c>
      <c r="B612" t="s">
        <v>3754</v>
      </c>
      <c r="C612" t="s">
        <v>132</v>
      </c>
      <c r="D612" t="s">
        <v>2143</v>
      </c>
      <c r="E612" t="s">
        <v>2162</v>
      </c>
      <c r="F612" t="s">
        <v>145</v>
      </c>
      <c r="G612" t="s">
        <v>3755</v>
      </c>
    </row>
    <row r="613" spans="1:7" s="241" customFormat="1" ht="44.25" customHeight="1">
      <c r="A613" t="s">
        <v>3756</v>
      </c>
      <c r="B613" t="s">
        <v>3757</v>
      </c>
      <c r="C613" t="s">
        <v>132</v>
      </c>
      <c r="D613" t="s">
        <v>2139</v>
      </c>
      <c r="E613" t="s">
        <v>1365</v>
      </c>
      <c r="F613" t="s">
        <v>145</v>
      </c>
      <c r="G613" t="s">
        <v>3758</v>
      </c>
    </row>
    <row r="614" spans="1:7" s="241" customFormat="1" ht="44.25" customHeight="1">
      <c r="A614" t="s">
        <v>3759</v>
      </c>
      <c r="B614" t="s">
        <v>3760</v>
      </c>
      <c r="C614" t="s">
        <v>132</v>
      </c>
      <c r="D614" t="s">
        <v>2139</v>
      </c>
      <c r="E614" t="s">
        <v>1367</v>
      </c>
      <c r="F614" t="s">
        <v>145</v>
      </c>
      <c r="G614" t="s">
        <v>3761</v>
      </c>
    </row>
    <row r="615" spans="1:7" s="241" customFormat="1" ht="44.25" customHeight="1">
      <c r="A615" t="s">
        <v>3762</v>
      </c>
      <c r="B615" t="s">
        <v>3763</v>
      </c>
      <c r="C615" t="s">
        <v>132</v>
      </c>
      <c r="D615" t="s">
        <v>2139</v>
      </c>
      <c r="E615" t="s">
        <v>1365</v>
      </c>
      <c r="F615" t="s">
        <v>145</v>
      </c>
      <c r="G615" t="s">
        <v>3764</v>
      </c>
    </row>
    <row r="616" spans="1:7" s="241" customFormat="1" ht="44.25" customHeight="1">
      <c r="A616" t="s">
        <v>3765</v>
      </c>
      <c r="B616" t="s">
        <v>3766</v>
      </c>
      <c r="C616" t="s">
        <v>132</v>
      </c>
      <c r="D616" t="s">
        <v>2139</v>
      </c>
      <c r="E616" t="s">
        <v>1367</v>
      </c>
      <c r="F616" t="s">
        <v>145</v>
      </c>
      <c r="G616" t="s">
        <v>3767</v>
      </c>
    </row>
    <row r="617" spans="1:7" s="241" customFormat="1" ht="44.25" customHeight="1">
      <c r="A617" t="s">
        <v>3768</v>
      </c>
      <c r="B617" t="s">
        <v>3769</v>
      </c>
      <c r="C617" t="s">
        <v>132</v>
      </c>
      <c r="D617" t="s">
        <v>2139</v>
      </c>
      <c r="E617" t="s">
        <v>1367</v>
      </c>
      <c r="F617" t="s">
        <v>145</v>
      </c>
      <c r="G617" t="s">
        <v>3770</v>
      </c>
    </row>
    <row r="618" spans="1:7" s="241" customFormat="1" ht="44.25" customHeight="1">
      <c r="A618" t="s">
        <v>3771</v>
      </c>
      <c r="B618" t="s">
        <v>3772</v>
      </c>
      <c r="C618" t="s">
        <v>132</v>
      </c>
      <c r="D618" t="s">
        <v>2139</v>
      </c>
      <c r="E618" t="s">
        <v>1367</v>
      </c>
      <c r="F618" t="s">
        <v>145</v>
      </c>
      <c r="G618" t="s">
        <v>3773</v>
      </c>
    </row>
    <row r="619" spans="1:7" s="241" customFormat="1" ht="44.25" customHeight="1">
      <c r="A619" t="s">
        <v>2472</v>
      </c>
      <c r="B619" t="s">
        <v>3774</v>
      </c>
      <c r="C619" t="s">
        <v>132</v>
      </c>
      <c r="D619" t="s">
        <v>2139</v>
      </c>
      <c r="E619" t="s">
        <v>1367</v>
      </c>
      <c r="F619" t="s">
        <v>145</v>
      </c>
      <c r="G619" t="s">
        <v>3775</v>
      </c>
    </row>
    <row r="620" spans="1:7" s="241" customFormat="1" ht="44.25" customHeight="1">
      <c r="A620" t="s">
        <v>3776</v>
      </c>
      <c r="B620" t="s">
        <v>3777</v>
      </c>
      <c r="C620" t="s">
        <v>132</v>
      </c>
      <c r="D620" t="s">
        <v>2139</v>
      </c>
      <c r="E620" t="s">
        <v>1367</v>
      </c>
      <c r="F620" t="s">
        <v>145</v>
      </c>
      <c r="G620" t="s">
        <v>3778</v>
      </c>
    </row>
    <row r="621" spans="1:7" s="241" customFormat="1" ht="44.25" customHeight="1">
      <c r="A621" t="s">
        <v>3779</v>
      </c>
      <c r="B621" t="s">
        <v>3780</v>
      </c>
      <c r="C621" t="s">
        <v>132</v>
      </c>
      <c r="D621" t="s">
        <v>2139</v>
      </c>
      <c r="E621" t="s">
        <v>1367</v>
      </c>
      <c r="F621" t="s">
        <v>145</v>
      </c>
      <c r="G621" t="s">
        <v>3781</v>
      </c>
    </row>
    <row r="622" spans="1:7" s="241" customFormat="1" ht="44.25" customHeight="1">
      <c r="A622" t="s">
        <v>3782</v>
      </c>
      <c r="B622" t="s">
        <v>3783</v>
      </c>
      <c r="C622" t="s">
        <v>132</v>
      </c>
      <c r="D622" t="s">
        <v>2143</v>
      </c>
      <c r="E622" t="s">
        <v>1365</v>
      </c>
      <c r="F622" t="s">
        <v>145</v>
      </c>
      <c r="G622" t="s">
        <v>3784</v>
      </c>
    </row>
    <row r="623" spans="1:7" s="241" customFormat="1" ht="44.25" customHeight="1">
      <c r="A623" t="s">
        <v>3785</v>
      </c>
      <c r="B623" t="s">
        <v>3786</v>
      </c>
      <c r="C623" t="s">
        <v>132</v>
      </c>
      <c r="D623" t="s">
        <v>2139</v>
      </c>
      <c r="E623" t="s">
        <v>1365</v>
      </c>
      <c r="F623" t="s">
        <v>145</v>
      </c>
      <c r="G623" t="s">
        <v>3787</v>
      </c>
    </row>
    <row r="624" spans="1:7" s="241" customFormat="1" ht="44.25" customHeight="1">
      <c r="A624" t="s">
        <v>3788</v>
      </c>
      <c r="B624" t="s">
        <v>3789</v>
      </c>
      <c r="C624" t="s">
        <v>132</v>
      </c>
      <c r="D624" t="s">
        <v>2139</v>
      </c>
      <c r="E624" t="s">
        <v>1365</v>
      </c>
      <c r="F624" t="s">
        <v>145</v>
      </c>
      <c r="G624" t="s">
        <v>3790</v>
      </c>
    </row>
    <row r="625" spans="1:7" s="241" customFormat="1" ht="44.25" customHeight="1">
      <c r="A625" t="s">
        <v>3791</v>
      </c>
      <c r="B625" t="s">
        <v>3792</v>
      </c>
      <c r="C625" t="s">
        <v>132</v>
      </c>
      <c r="D625" t="s">
        <v>2143</v>
      </c>
      <c r="E625" t="s">
        <v>3645</v>
      </c>
      <c r="F625" t="s">
        <v>145</v>
      </c>
      <c r="G625" t="s">
        <v>3793</v>
      </c>
    </row>
    <row r="626" spans="1:7" s="241" customFormat="1" ht="44.25" customHeight="1">
      <c r="A626" t="s">
        <v>3794</v>
      </c>
      <c r="B626" t="s">
        <v>3795</v>
      </c>
      <c r="C626" t="s">
        <v>132</v>
      </c>
      <c r="D626" t="s">
        <v>79</v>
      </c>
      <c r="E626" t="s">
        <v>3796</v>
      </c>
      <c r="F626" t="s">
        <v>145</v>
      </c>
      <c r="G626" t="s">
        <v>3797</v>
      </c>
    </row>
    <row r="627" spans="1:7" s="241" customFormat="1" ht="44.25" customHeight="1">
      <c r="A627" t="s">
        <v>3798</v>
      </c>
      <c r="B627" t="s">
        <v>3799</v>
      </c>
      <c r="C627" t="s">
        <v>132</v>
      </c>
      <c r="D627" t="s">
        <v>2139</v>
      </c>
      <c r="E627" t="s">
        <v>1365</v>
      </c>
      <c r="F627" t="s">
        <v>145</v>
      </c>
      <c r="G627" t="s">
        <v>3800</v>
      </c>
    </row>
    <row r="628" spans="1:7" s="241" customFormat="1" ht="44.25" customHeight="1">
      <c r="A628" t="s">
        <v>3801</v>
      </c>
      <c r="B628" t="s">
        <v>3802</v>
      </c>
      <c r="C628" t="s">
        <v>132</v>
      </c>
      <c r="D628" t="s">
        <v>2139</v>
      </c>
      <c r="E628" t="s">
        <v>1365</v>
      </c>
      <c r="F628" t="s">
        <v>145</v>
      </c>
      <c r="G628" t="s">
        <v>3803</v>
      </c>
    </row>
    <row r="629" spans="1:7" s="241" customFormat="1" ht="44.25" customHeight="1">
      <c r="A629" t="s">
        <v>3804</v>
      </c>
      <c r="B629" t="s">
        <v>3805</v>
      </c>
      <c r="C629" t="s">
        <v>132</v>
      </c>
      <c r="D629" t="s">
        <v>79</v>
      </c>
      <c r="E629" t="s">
        <v>3796</v>
      </c>
      <c r="F629" t="s">
        <v>145</v>
      </c>
      <c r="G629" t="s">
        <v>3806</v>
      </c>
    </row>
    <row r="630" spans="1:7" s="241" customFormat="1" ht="44.25" customHeight="1">
      <c r="A630" t="s">
        <v>3807</v>
      </c>
      <c r="B630" t="s">
        <v>3808</v>
      </c>
      <c r="C630" t="s">
        <v>132</v>
      </c>
      <c r="D630" t="s">
        <v>2139</v>
      </c>
      <c r="E630" t="s">
        <v>1367</v>
      </c>
      <c r="F630" t="s">
        <v>145</v>
      </c>
      <c r="G630" t="s">
        <v>3809</v>
      </c>
    </row>
    <row r="631" spans="1:7" s="241" customFormat="1" ht="44.25" customHeight="1">
      <c r="A631" t="s">
        <v>3810</v>
      </c>
      <c r="B631" t="s">
        <v>3811</v>
      </c>
      <c r="C631" t="s">
        <v>132</v>
      </c>
      <c r="D631" t="s">
        <v>2139</v>
      </c>
      <c r="E631" t="s">
        <v>1367</v>
      </c>
      <c r="F631" t="s">
        <v>145</v>
      </c>
      <c r="G631" t="s">
        <v>3812</v>
      </c>
    </row>
    <row r="632" spans="1:7" s="241" customFormat="1" ht="44.25" customHeight="1">
      <c r="A632" t="s">
        <v>3813</v>
      </c>
      <c r="B632" t="s">
        <v>3814</v>
      </c>
      <c r="C632" t="s">
        <v>132</v>
      </c>
      <c r="D632" t="s">
        <v>79</v>
      </c>
      <c r="E632" t="s">
        <v>3815</v>
      </c>
      <c r="F632" t="s">
        <v>145</v>
      </c>
      <c r="G632" t="s">
        <v>3816</v>
      </c>
    </row>
    <row r="633" spans="1:7" s="241" customFormat="1" ht="44.25" customHeight="1">
      <c r="A633" t="s">
        <v>3817</v>
      </c>
      <c r="B633" t="s">
        <v>3818</v>
      </c>
      <c r="C633" t="s">
        <v>132</v>
      </c>
      <c r="D633" t="s">
        <v>2143</v>
      </c>
      <c r="E633" t="s">
        <v>2162</v>
      </c>
      <c r="F633" t="s">
        <v>145</v>
      </c>
      <c r="G633" t="s">
        <v>3819</v>
      </c>
    </row>
    <row r="634" spans="1:7" s="241" customFormat="1" ht="44.25" customHeight="1">
      <c r="A634" t="s">
        <v>3820</v>
      </c>
      <c r="B634" t="s">
        <v>3821</v>
      </c>
      <c r="C634" t="s">
        <v>132</v>
      </c>
      <c r="D634" t="s">
        <v>2139</v>
      </c>
      <c r="E634" t="s">
        <v>1367</v>
      </c>
      <c r="F634" t="s">
        <v>145</v>
      </c>
      <c r="G634" t="s">
        <v>3822</v>
      </c>
    </row>
    <row r="635" spans="1:7" s="241" customFormat="1" ht="44.25" customHeight="1">
      <c r="A635" t="s">
        <v>3823</v>
      </c>
      <c r="B635" t="s">
        <v>3824</v>
      </c>
      <c r="C635" t="s">
        <v>132</v>
      </c>
      <c r="D635" t="s">
        <v>2139</v>
      </c>
      <c r="E635" t="s">
        <v>1367</v>
      </c>
      <c r="F635" t="s">
        <v>145</v>
      </c>
      <c r="G635" t="s">
        <v>3825</v>
      </c>
    </row>
    <row r="636" spans="1:7" s="241" customFormat="1" ht="44.25" customHeight="1">
      <c r="A636" t="s">
        <v>3826</v>
      </c>
      <c r="B636" t="s">
        <v>3827</v>
      </c>
      <c r="C636" t="s">
        <v>132</v>
      </c>
      <c r="D636" t="s">
        <v>2139</v>
      </c>
      <c r="E636" t="s">
        <v>1367</v>
      </c>
      <c r="F636" t="s">
        <v>145</v>
      </c>
      <c r="G636" t="s">
        <v>3828</v>
      </c>
    </row>
    <row r="637" spans="1:7" s="241" customFormat="1" ht="44.25" customHeight="1">
      <c r="A637" t="s">
        <v>3829</v>
      </c>
      <c r="B637" t="s">
        <v>3830</v>
      </c>
      <c r="C637" t="s">
        <v>132</v>
      </c>
      <c r="D637" t="s">
        <v>2143</v>
      </c>
      <c r="E637" t="s">
        <v>2162</v>
      </c>
      <c r="F637" t="s">
        <v>145</v>
      </c>
      <c r="G637" t="s">
        <v>3831</v>
      </c>
    </row>
    <row r="638" spans="1:7" s="241" customFormat="1" ht="44.25" customHeight="1">
      <c r="A638" t="s">
        <v>3832</v>
      </c>
      <c r="B638" t="s">
        <v>3833</v>
      </c>
      <c r="C638" t="s">
        <v>132</v>
      </c>
      <c r="D638" t="s">
        <v>2143</v>
      </c>
      <c r="E638" t="s">
        <v>2162</v>
      </c>
      <c r="F638" t="s">
        <v>145</v>
      </c>
      <c r="G638" t="s">
        <v>3834</v>
      </c>
    </row>
    <row r="639" spans="1:7" s="241" customFormat="1" ht="44.25" customHeight="1">
      <c r="A639" t="s">
        <v>3835</v>
      </c>
      <c r="B639" t="s">
        <v>3836</v>
      </c>
      <c r="C639" t="s">
        <v>132</v>
      </c>
      <c r="D639" t="s">
        <v>2143</v>
      </c>
      <c r="E639" t="s">
        <v>2162</v>
      </c>
      <c r="F639" t="s">
        <v>145</v>
      </c>
      <c r="G639" t="s">
        <v>3837</v>
      </c>
    </row>
    <row r="640" spans="1:7" s="241" customFormat="1" ht="44.25" customHeight="1">
      <c r="A640" t="s">
        <v>3838</v>
      </c>
      <c r="B640" t="s">
        <v>3839</v>
      </c>
      <c r="C640" t="s">
        <v>132</v>
      </c>
      <c r="D640" t="s">
        <v>79</v>
      </c>
      <c r="E640" t="s">
        <v>3840</v>
      </c>
      <c r="F640" t="s">
        <v>145</v>
      </c>
      <c r="G640" t="s">
        <v>3841</v>
      </c>
    </row>
    <row r="641" spans="1:7" s="241" customFormat="1" ht="44.25" customHeight="1">
      <c r="A641" t="s">
        <v>3842</v>
      </c>
      <c r="B641" t="s">
        <v>3843</v>
      </c>
      <c r="C641" t="s">
        <v>132</v>
      </c>
      <c r="D641" t="s">
        <v>79</v>
      </c>
      <c r="E641" t="s">
        <v>3844</v>
      </c>
      <c r="F641" t="s">
        <v>145</v>
      </c>
      <c r="G641" t="s">
        <v>3845</v>
      </c>
    </row>
    <row r="642" spans="1:7" s="241" customFormat="1" ht="44.25" customHeight="1">
      <c r="A642" t="s">
        <v>3846</v>
      </c>
      <c r="B642" t="s">
        <v>3847</v>
      </c>
      <c r="C642" t="s">
        <v>132</v>
      </c>
      <c r="D642" t="s">
        <v>79</v>
      </c>
      <c r="E642" t="s">
        <v>3848</v>
      </c>
      <c r="F642" t="s">
        <v>145</v>
      </c>
      <c r="G642" t="s">
        <v>3849</v>
      </c>
    </row>
    <row r="643" spans="1:7" s="241" customFormat="1" ht="44.25" customHeight="1">
      <c r="A643" t="s">
        <v>3850</v>
      </c>
      <c r="B643" t="s">
        <v>3851</v>
      </c>
      <c r="C643" t="s">
        <v>132</v>
      </c>
      <c r="D643" t="s">
        <v>2139</v>
      </c>
      <c r="E643" t="s">
        <v>1365</v>
      </c>
      <c r="F643" t="s">
        <v>145</v>
      </c>
      <c r="G643" t="s">
        <v>3852</v>
      </c>
    </row>
    <row r="644" spans="1:7" s="241" customFormat="1" ht="44.25" customHeight="1">
      <c r="A644" t="s">
        <v>3853</v>
      </c>
      <c r="B644" t="s">
        <v>3854</v>
      </c>
      <c r="C644" t="s">
        <v>132</v>
      </c>
      <c r="D644" t="s">
        <v>2139</v>
      </c>
      <c r="E644" t="s">
        <v>1367</v>
      </c>
      <c r="F644" t="s">
        <v>145</v>
      </c>
      <c r="G644" t="s">
        <v>3855</v>
      </c>
    </row>
    <row r="645" spans="1:7" s="241" customFormat="1" ht="44.25" customHeight="1">
      <c r="A645" t="s">
        <v>3856</v>
      </c>
      <c r="B645" t="s">
        <v>3857</v>
      </c>
      <c r="C645" t="s">
        <v>132</v>
      </c>
      <c r="D645" t="s">
        <v>2139</v>
      </c>
      <c r="E645" t="s">
        <v>1367</v>
      </c>
      <c r="F645" t="s">
        <v>145</v>
      </c>
      <c r="G645" t="s">
        <v>3858</v>
      </c>
    </row>
    <row r="646" spans="1:7" s="241" customFormat="1" ht="44.25" customHeight="1">
      <c r="A646" t="s">
        <v>3859</v>
      </c>
      <c r="B646" t="s">
        <v>3860</v>
      </c>
      <c r="C646" t="s">
        <v>132</v>
      </c>
      <c r="D646" t="s">
        <v>79</v>
      </c>
      <c r="E646" t="s">
        <v>3861</v>
      </c>
      <c r="F646" t="s">
        <v>145</v>
      </c>
      <c r="G646" t="s">
        <v>3862</v>
      </c>
    </row>
    <row r="647" spans="1:7" s="241" customFormat="1" ht="44.25" customHeight="1">
      <c r="A647" t="s">
        <v>3863</v>
      </c>
      <c r="B647" t="s">
        <v>3864</v>
      </c>
      <c r="C647" t="s">
        <v>132</v>
      </c>
      <c r="D647" t="s">
        <v>2143</v>
      </c>
      <c r="E647" t="s">
        <v>2162</v>
      </c>
      <c r="F647" t="s">
        <v>145</v>
      </c>
      <c r="G647" t="s">
        <v>3865</v>
      </c>
    </row>
    <row r="648" spans="1:7" s="241" customFormat="1" ht="44.25" customHeight="1">
      <c r="A648" t="s">
        <v>3866</v>
      </c>
      <c r="B648" t="s">
        <v>3867</v>
      </c>
      <c r="C648" t="s">
        <v>132</v>
      </c>
      <c r="D648" t="s">
        <v>2143</v>
      </c>
      <c r="E648" t="s">
        <v>2162</v>
      </c>
      <c r="F648" t="s">
        <v>145</v>
      </c>
      <c r="G648" t="s">
        <v>3868</v>
      </c>
    </row>
    <row r="649" spans="1:7" s="241" customFormat="1" ht="44.25" customHeight="1">
      <c r="A649" t="s">
        <v>3869</v>
      </c>
      <c r="B649" t="s">
        <v>3870</v>
      </c>
      <c r="C649" t="s">
        <v>132</v>
      </c>
      <c r="D649" t="s">
        <v>2139</v>
      </c>
      <c r="E649" t="s">
        <v>1367</v>
      </c>
      <c r="F649" t="s">
        <v>145</v>
      </c>
      <c r="G649" t="s">
        <v>3871</v>
      </c>
    </row>
    <row r="650" spans="1:7" s="241" customFormat="1" ht="44.25" customHeight="1">
      <c r="A650" t="s">
        <v>3872</v>
      </c>
      <c r="B650" t="s">
        <v>3873</v>
      </c>
      <c r="C650" t="s">
        <v>132</v>
      </c>
      <c r="D650" t="s">
        <v>2139</v>
      </c>
      <c r="E650" t="s">
        <v>1367</v>
      </c>
      <c r="F650" t="s">
        <v>145</v>
      </c>
      <c r="G650" t="s">
        <v>3874</v>
      </c>
    </row>
    <row r="651" spans="1:7" s="241" customFormat="1" ht="44.25" customHeight="1">
      <c r="A651" t="s">
        <v>3875</v>
      </c>
      <c r="B651" t="s">
        <v>3876</v>
      </c>
      <c r="C651" t="s">
        <v>132</v>
      </c>
      <c r="D651" t="s">
        <v>2139</v>
      </c>
      <c r="E651" t="s">
        <v>1367</v>
      </c>
      <c r="F651" t="s">
        <v>145</v>
      </c>
      <c r="G651" t="s">
        <v>3877</v>
      </c>
    </row>
    <row r="652" spans="1:7" s="241" customFormat="1" ht="44.25" customHeight="1">
      <c r="A652" t="s">
        <v>3878</v>
      </c>
      <c r="B652" t="s">
        <v>3879</v>
      </c>
      <c r="C652" t="s">
        <v>132</v>
      </c>
      <c r="D652" t="s">
        <v>2139</v>
      </c>
      <c r="E652" t="s">
        <v>1367</v>
      </c>
      <c r="F652" t="s">
        <v>145</v>
      </c>
      <c r="G652" t="s">
        <v>3880</v>
      </c>
    </row>
    <row r="653" spans="1:7" s="241" customFormat="1" ht="44.25" customHeight="1">
      <c r="A653" t="s">
        <v>3881</v>
      </c>
      <c r="B653" t="s">
        <v>3882</v>
      </c>
      <c r="C653" t="s">
        <v>132</v>
      </c>
      <c r="D653" t="s">
        <v>2139</v>
      </c>
      <c r="E653" t="s">
        <v>1367</v>
      </c>
      <c r="F653" t="s">
        <v>145</v>
      </c>
      <c r="G653" t="s">
        <v>3883</v>
      </c>
    </row>
    <row r="654" spans="1:7" s="241" customFormat="1" ht="44.25" customHeight="1">
      <c r="A654" t="s">
        <v>3884</v>
      </c>
      <c r="B654" t="s">
        <v>3885</v>
      </c>
      <c r="C654" t="s">
        <v>132</v>
      </c>
      <c r="D654" t="s">
        <v>2139</v>
      </c>
      <c r="E654" t="s">
        <v>1367</v>
      </c>
      <c r="F654" t="s">
        <v>145</v>
      </c>
      <c r="G654" t="s">
        <v>3886</v>
      </c>
    </row>
    <row r="655" spans="1:7" s="241" customFormat="1" ht="44.25" customHeight="1">
      <c r="A655" t="s">
        <v>3887</v>
      </c>
      <c r="B655" t="s">
        <v>3888</v>
      </c>
      <c r="C655" t="s">
        <v>132</v>
      </c>
      <c r="D655" t="s">
        <v>2143</v>
      </c>
      <c r="E655" t="s">
        <v>2151</v>
      </c>
      <c r="F655" t="s">
        <v>145</v>
      </c>
      <c r="G655" t="s">
        <v>3889</v>
      </c>
    </row>
    <row r="656" spans="1:7" s="241" customFormat="1" ht="44.25" customHeight="1">
      <c r="A656" t="s">
        <v>3890</v>
      </c>
      <c r="B656" t="s">
        <v>3891</v>
      </c>
      <c r="C656" t="s">
        <v>132</v>
      </c>
      <c r="D656" t="s">
        <v>2139</v>
      </c>
      <c r="E656" t="s">
        <v>1367</v>
      </c>
      <c r="F656" t="s">
        <v>145</v>
      </c>
      <c r="G656" t="s">
        <v>3892</v>
      </c>
    </row>
    <row r="657" spans="1:7" s="241" customFormat="1" ht="44.25" customHeight="1">
      <c r="A657" t="s">
        <v>3893</v>
      </c>
      <c r="B657" t="s">
        <v>3894</v>
      </c>
      <c r="C657" t="s">
        <v>132</v>
      </c>
      <c r="D657" t="s">
        <v>2139</v>
      </c>
      <c r="E657" t="s">
        <v>1367</v>
      </c>
      <c r="F657" t="s">
        <v>145</v>
      </c>
      <c r="G657" t="s">
        <v>3895</v>
      </c>
    </row>
    <row r="658" spans="1:7" s="241" customFormat="1" ht="44.25" customHeight="1">
      <c r="A658" t="s">
        <v>3896</v>
      </c>
      <c r="B658" t="s">
        <v>3897</v>
      </c>
      <c r="C658" t="s">
        <v>132</v>
      </c>
      <c r="D658" t="s">
        <v>2143</v>
      </c>
      <c r="E658" t="s">
        <v>1365</v>
      </c>
      <c r="F658" t="s">
        <v>145</v>
      </c>
      <c r="G658" t="s">
        <v>3898</v>
      </c>
    </row>
    <row r="659" spans="1:7" s="241" customFormat="1" ht="44.25" customHeight="1">
      <c r="A659" t="s">
        <v>3899</v>
      </c>
      <c r="B659" t="s">
        <v>3900</v>
      </c>
      <c r="C659" t="s">
        <v>132</v>
      </c>
      <c r="D659" t="s">
        <v>2143</v>
      </c>
      <c r="E659" t="s">
        <v>2162</v>
      </c>
      <c r="F659" t="s">
        <v>145</v>
      </c>
      <c r="G659" t="s">
        <v>3901</v>
      </c>
    </row>
    <row r="660" spans="1:7" s="241" customFormat="1" ht="44.25" customHeight="1">
      <c r="A660" t="s">
        <v>3902</v>
      </c>
      <c r="B660" t="s">
        <v>3903</v>
      </c>
      <c r="C660" t="s">
        <v>132</v>
      </c>
      <c r="D660" t="s">
        <v>2139</v>
      </c>
      <c r="E660" t="s">
        <v>1365</v>
      </c>
      <c r="F660" t="s">
        <v>145</v>
      </c>
      <c r="G660" t="s">
        <v>3904</v>
      </c>
    </row>
    <row r="661" spans="1:7" s="241" customFormat="1" ht="44.25" customHeight="1">
      <c r="A661" t="s">
        <v>3905</v>
      </c>
      <c r="B661" t="s">
        <v>3906</v>
      </c>
      <c r="C661" t="s">
        <v>132</v>
      </c>
      <c r="D661" t="s">
        <v>2139</v>
      </c>
      <c r="E661" t="s">
        <v>1367</v>
      </c>
      <c r="F661" t="s">
        <v>145</v>
      </c>
      <c r="G661" t="s">
        <v>3907</v>
      </c>
    </row>
    <row r="662" spans="1:7" s="241" customFormat="1" ht="44.25" customHeight="1">
      <c r="A662" t="s">
        <v>3908</v>
      </c>
      <c r="B662" t="s">
        <v>3909</v>
      </c>
      <c r="C662" t="s">
        <v>132</v>
      </c>
      <c r="D662" t="s">
        <v>2139</v>
      </c>
      <c r="E662" t="s">
        <v>1367</v>
      </c>
      <c r="F662" t="s">
        <v>145</v>
      </c>
      <c r="G662" t="s">
        <v>3910</v>
      </c>
    </row>
    <row r="663" spans="1:7" s="241" customFormat="1" ht="44.25" customHeight="1">
      <c r="A663" t="s">
        <v>3911</v>
      </c>
      <c r="B663" t="s">
        <v>3912</v>
      </c>
      <c r="C663" t="s">
        <v>132</v>
      </c>
      <c r="D663" t="s">
        <v>2139</v>
      </c>
      <c r="E663" t="s">
        <v>1367</v>
      </c>
      <c r="F663" t="s">
        <v>145</v>
      </c>
      <c r="G663" t="s">
        <v>3913</v>
      </c>
    </row>
    <row r="664" spans="1:7" s="241" customFormat="1" ht="44.25" customHeight="1">
      <c r="A664" t="s">
        <v>3914</v>
      </c>
      <c r="B664" t="s">
        <v>3915</v>
      </c>
      <c r="C664" t="s">
        <v>132</v>
      </c>
      <c r="D664" t="s">
        <v>2143</v>
      </c>
      <c r="E664" t="s">
        <v>2162</v>
      </c>
      <c r="F664" t="s">
        <v>145</v>
      </c>
      <c r="G664" t="s">
        <v>3916</v>
      </c>
    </row>
    <row r="665" spans="1:7" s="241" customFormat="1" ht="44.25" customHeight="1">
      <c r="A665" t="s">
        <v>3917</v>
      </c>
      <c r="B665" t="s">
        <v>3918</v>
      </c>
      <c r="C665" t="s">
        <v>132</v>
      </c>
      <c r="D665" t="s">
        <v>2143</v>
      </c>
      <c r="E665" t="s">
        <v>2162</v>
      </c>
      <c r="F665" t="s">
        <v>145</v>
      </c>
      <c r="G665" t="s">
        <v>3919</v>
      </c>
    </row>
    <row r="666" spans="1:7" s="241" customFormat="1" ht="44.25" customHeight="1">
      <c r="A666" t="s">
        <v>3920</v>
      </c>
      <c r="B666" t="s">
        <v>3921</v>
      </c>
      <c r="C666" t="s">
        <v>132</v>
      </c>
      <c r="D666" t="s">
        <v>2139</v>
      </c>
      <c r="E666" t="s">
        <v>1367</v>
      </c>
      <c r="F666" t="s">
        <v>145</v>
      </c>
      <c r="G666" t="s">
        <v>3922</v>
      </c>
    </row>
    <row r="667" spans="1:7" s="241" customFormat="1" ht="44.25" customHeight="1">
      <c r="A667" t="s">
        <v>3923</v>
      </c>
      <c r="B667" t="s">
        <v>3924</v>
      </c>
      <c r="C667" t="s">
        <v>132</v>
      </c>
      <c r="D667" t="s">
        <v>2139</v>
      </c>
      <c r="E667" t="s">
        <v>1367</v>
      </c>
      <c r="F667" t="s">
        <v>145</v>
      </c>
      <c r="G667" t="s">
        <v>3925</v>
      </c>
    </row>
    <row r="668" spans="1:7" s="241" customFormat="1" ht="44.25" customHeight="1">
      <c r="A668" t="s">
        <v>3926</v>
      </c>
      <c r="B668" t="s">
        <v>3927</v>
      </c>
      <c r="C668" t="s">
        <v>132</v>
      </c>
      <c r="D668" t="s">
        <v>2139</v>
      </c>
      <c r="E668" t="s">
        <v>1367</v>
      </c>
      <c r="F668" t="s">
        <v>145</v>
      </c>
      <c r="G668" t="s">
        <v>3928</v>
      </c>
    </row>
    <row r="669" spans="1:7" s="241" customFormat="1" ht="44.25" customHeight="1">
      <c r="A669" t="s">
        <v>3929</v>
      </c>
      <c r="B669" t="s">
        <v>3930</v>
      </c>
      <c r="C669" t="s">
        <v>132</v>
      </c>
      <c r="D669" t="s">
        <v>2143</v>
      </c>
      <c r="E669" t="s">
        <v>2162</v>
      </c>
      <c r="F669" t="s">
        <v>145</v>
      </c>
      <c r="G669" t="s">
        <v>3931</v>
      </c>
    </row>
    <row r="670" spans="1:7" s="241" customFormat="1" ht="44.25" customHeight="1">
      <c r="A670" t="s">
        <v>3932</v>
      </c>
      <c r="B670" t="s">
        <v>3933</v>
      </c>
      <c r="C670" t="s">
        <v>132</v>
      </c>
      <c r="D670" t="s">
        <v>2143</v>
      </c>
      <c r="E670" t="s">
        <v>1367</v>
      </c>
      <c r="F670" t="s">
        <v>145</v>
      </c>
      <c r="G670" t="s">
        <v>3934</v>
      </c>
    </row>
    <row r="671" spans="1:7" s="241" customFormat="1" ht="44.25" customHeight="1">
      <c r="A671" t="s">
        <v>3935</v>
      </c>
      <c r="B671" t="s">
        <v>3936</v>
      </c>
      <c r="C671" t="s">
        <v>132</v>
      </c>
      <c r="D671" t="s">
        <v>2139</v>
      </c>
      <c r="E671" t="s">
        <v>1367</v>
      </c>
      <c r="F671" t="s">
        <v>145</v>
      </c>
      <c r="G671" t="s">
        <v>3937</v>
      </c>
    </row>
    <row r="672" spans="1:7" s="241" customFormat="1" ht="44.25" customHeight="1">
      <c r="A672" t="s">
        <v>3938</v>
      </c>
      <c r="B672" t="s">
        <v>3939</v>
      </c>
      <c r="C672" t="s">
        <v>132</v>
      </c>
      <c r="D672" t="s">
        <v>2139</v>
      </c>
      <c r="E672" t="s">
        <v>1367</v>
      </c>
      <c r="F672" t="s">
        <v>145</v>
      </c>
      <c r="G672" t="s">
        <v>3940</v>
      </c>
    </row>
    <row r="673" spans="1:7" s="241" customFormat="1" ht="44.25" customHeight="1">
      <c r="A673" t="s">
        <v>3941</v>
      </c>
      <c r="B673" t="s">
        <v>3942</v>
      </c>
      <c r="C673" t="s">
        <v>132</v>
      </c>
      <c r="D673" t="s">
        <v>2139</v>
      </c>
      <c r="E673" t="s">
        <v>1367</v>
      </c>
      <c r="F673" t="s">
        <v>145</v>
      </c>
      <c r="G673" t="s">
        <v>3943</v>
      </c>
    </row>
    <row r="674" spans="1:7" s="241" customFormat="1" ht="44.25" customHeight="1">
      <c r="A674" t="s">
        <v>3944</v>
      </c>
      <c r="B674" t="s">
        <v>3945</v>
      </c>
      <c r="C674" t="s">
        <v>132</v>
      </c>
      <c r="D674" t="s">
        <v>2139</v>
      </c>
      <c r="E674" t="s">
        <v>1367</v>
      </c>
      <c r="F674" t="s">
        <v>145</v>
      </c>
      <c r="G674" t="s">
        <v>3946</v>
      </c>
    </row>
    <row r="675" spans="1:7" s="241" customFormat="1" ht="44.25" customHeight="1">
      <c r="A675" t="s">
        <v>3947</v>
      </c>
      <c r="B675" t="s">
        <v>3948</v>
      </c>
      <c r="C675" t="s">
        <v>132</v>
      </c>
      <c r="D675" t="s">
        <v>2139</v>
      </c>
      <c r="E675" t="s">
        <v>1367</v>
      </c>
      <c r="F675" t="s">
        <v>145</v>
      </c>
      <c r="G675" t="s">
        <v>3949</v>
      </c>
    </row>
    <row r="676" spans="1:7" s="241" customFormat="1" ht="44.25" customHeight="1">
      <c r="A676" t="s">
        <v>3950</v>
      </c>
      <c r="B676" t="s">
        <v>3951</v>
      </c>
      <c r="C676" t="s">
        <v>132</v>
      </c>
      <c r="D676" t="s">
        <v>2139</v>
      </c>
      <c r="E676" t="s">
        <v>1367</v>
      </c>
      <c r="F676" t="s">
        <v>145</v>
      </c>
      <c r="G676" t="s">
        <v>3952</v>
      </c>
    </row>
    <row r="677" spans="1:7" s="241" customFormat="1" ht="44.25" customHeight="1">
      <c r="A677" t="s">
        <v>3953</v>
      </c>
      <c r="B677" t="s">
        <v>3954</v>
      </c>
      <c r="C677" t="s">
        <v>132</v>
      </c>
      <c r="D677" t="s">
        <v>2139</v>
      </c>
      <c r="E677" t="s">
        <v>2144</v>
      </c>
      <c r="F677" t="s">
        <v>145</v>
      </c>
      <c r="G677" t="s">
        <v>3955</v>
      </c>
    </row>
    <row r="678" spans="1:7" s="241" customFormat="1" ht="44.25" customHeight="1">
      <c r="A678" t="s">
        <v>3956</v>
      </c>
      <c r="B678" t="s">
        <v>3957</v>
      </c>
      <c r="C678" t="s">
        <v>132</v>
      </c>
      <c r="D678" t="s">
        <v>2139</v>
      </c>
      <c r="E678" t="s">
        <v>1367</v>
      </c>
      <c r="F678" t="s">
        <v>145</v>
      </c>
      <c r="G678" t="s">
        <v>3958</v>
      </c>
    </row>
    <row r="679" spans="1:7" s="241" customFormat="1" ht="44.25" customHeight="1">
      <c r="A679" t="s">
        <v>3959</v>
      </c>
      <c r="B679" t="s">
        <v>3960</v>
      </c>
      <c r="C679" t="s">
        <v>132</v>
      </c>
      <c r="D679" t="s">
        <v>2139</v>
      </c>
      <c r="E679" t="s">
        <v>1367</v>
      </c>
      <c r="F679" t="s">
        <v>145</v>
      </c>
      <c r="G679" t="s">
        <v>3961</v>
      </c>
    </row>
    <row r="680" spans="1:7" s="241" customFormat="1" ht="44.25" customHeight="1">
      <c r="A680" t="s">
        <v>3962</v>
      </c>
      <c r="B680" t="s">
        <v>3963</v>
      </c>
      <c r="C680" t="s">
        <v>132</v>
      </c>
      <c r="D680" t="s">
        <v>2139</v>
      </c>
      <c r="E680" t="s">
        <v>1367</v>
      </c>
      <c r="F680" t="s">
        <v>145</v>
      </c>
      <c r="G680" t="s">
        <v>3964</v>
      </c>
    </row>
    <row r="681" spans="1:7" s="241" customFormat="1" ht="44.25" customHeight="1">
      <c r="A681" t="s">
        <v>3965</v>
      </c>
      <c r="B681" t="s">
        <v>3966</v>
      </c>
      <c r="C681" t="s">
        <v>132</v>
      </c>
      <c r="D681" t="s">
        <v>2139</v>
      </c>
      <c r="E681" t="s">
        <v>1367</v>
      </c>
      <c r="F681" t="s">
        <v>145</v>
      </c>
      <c r="G681" t="s">
        <v>3967</v>
      </c>
    </row>
    <row r="682" spans="1:7" s="241" customFormat="1" ht="44.25" customHeight="1">
      <c r="A682" t="s">
        <v>3968</v>
      </c>
      <c r="B682" t="s">
        <v>3969</v>
      </c>
      <c r="C682" t="s">
        <v>132</v>
      </c>
      <c r="D682" t="s">
        <v>79</v>
      </c>
      <c r="E682" t="s">
        <v>3970</v>
      </c>
      <c r="F682" t="s">
        <v>145</v>
      </c>
      <c r="G682" t="s">
        <v>3971</v>
      </c>
    </row>
    <row r="683" spans="1:7" s="241" customFormat="1" ht="44.25" customHeight="1">
      <c r="A683" t="s">
        <v>3972</v>
      </c>
      <c r="B683" t="s">
        <v>3973</v>
      </c>
      <c r="C683" t="s">
        <v>132</v>
      </c>
      <c r="D683" t="s">
        <v>2139</v>
      </c>
      <c r="E683" t="s">
        <v>1367</v>
      </c>
      <c r="F683" t="s">
        <v>145</v>
      </c>
      <c r="G683" t="s">
        <v>3974</v>
      </c>
    </row>
    <row r="684" spans="1:7" s="241" customFormat="1" ht="44.25" customHeight="1">
      <c r="A684" t="s">
        <v>3975</v>
      </c>
      <c r="B684" t="s">
        <v>3976</v>
      </c>
      <c r="C684" t="s">
        <v>132</v>
      </c>
      <c r="D684" t="s">
        <v>2139</v>
      </c>
      <c r="E684" t="s">
        <v>1365</v>
      </c>
      <c r="F684" t="s">
        <v>145</v>
      </c>
      <c r="G684" t="s">
        <v>3977</v>
      </c>
    </row>
    <row r="685" spans="1:7" s="241" customFormat="1" ht="44.25" customHeight="1">
      <c r="A685" t="s">
        <v>3978</v>
      </c>
      <c r="B685" t="s">
        <v>3979</v>
      </c>
      <c r="C685" t="s">
        <v>132</v>
      </c>
      <c r="D685" t="s">
        <v>2139</v>
      </c>
      <c r="E685" t="s">
        <v>1367</v>
      </c>
      <c r="F685" t="s">
        <v>145</v>
      </c>
      <c r="G685" t="s">
        <v>3980</v>
      </c>
    </row>
    <row r="686" spans="1:7" s="241" customFormat="1" ht="44.25" customHeight="1">
      <c r="A686" t="s">
        <v>3981</v>
      </c>
      <c r="B686" t="s">
        <v>3982</v>
      </c>
      <c r="C686" t="s">
        <v>132</v>
      </c>
      <c r="D686" t="s">
        <v>2143</v>
      </c>
      <c r="E686" t="s">
        <v>2162</v>
      </c>
      <c r="F686" t="s">
        <v>145</v>
      </c>
      <c r="G686" t="s">
        <v>3983</v>
      </c>
    </row>
    <row r="687" spans="1:7" s="241" customFormat="1" ht="44.25" customHeight="1">
      <c r="A687" t="s">
        <v>3984</v>
      </c>
      <c r="B687" t="s">
        <v>3985</v>
      </c>
      <c r="C687" t="s">
        <v>132</v>
      </c>
      <c r="D687" t="s">
        <v>79</v>
      </c>
      <c r="E687" t="s">
        <v>3589</v>
      </c>
      <c r="F687" t="s">
        <v>145</v>
      </c>
      <c r="G687" t="s">
        <v>3986</v>
      </c>
    </row>
    <row r="688" spans="1:7" s="241" customFormat="1" ht="44.25" customHeight="1">
      <c r="A688" t="s">
        <v>3987</v>
      </c>
      <c r="B688" t="s">
        <v>3988</v>
      </c>
      <c r="C688" t="s">
        <v>132</v>
      </c>
      <c r="D688" t="s">
        <v>2143</v>
      </c>
      <c r="E688" t="s">
        <v>2155</v>
      </c>
      <c r="F688" t="s">
        <v>145</v>
      </c>
      <c r="G688" t="s">
        <v>3989</v>
      </c>
    </row>
    <row r="689" spans="1:7" s="241" customFormat="1" ht="44.25" customHeight="1">
      <c r="A689" t="s">
        <v>3990</v>
      </c>
      <c r="B689" t="s">
        <v>3991</v>
      </c>
      <c r="C689" t="s">
        <v>132</v>
      </c>
      <c r="D689" t="s">
        <v>2143</v>
      </c>
      <c r="E689" t="s">
        <v>2162</v>
      </c>
      <c r="F689" t="s">
        <v>145</v>
      </c>
      <c r="G689" t="s">
        <v>3992</v>
      </c>
    </row>
    <row r="690" spans="1:7" s="241" customFormat="1" ht="44.25" customHeight="1">
      <c r="A690" t="s">
        <v>3993</v>
      </c>
      <c r="B690" t="s">
        <v>3994</v>
      </c>
      <c r="C690" t="s">
        <v>132</v>
      </c>
      <c r="D690" t="s">
        <v>2139</v>
      </c>
      <c r="E690" t="s">
        <v>1367</v>
      </c>
      <c r="F690" t="s">
        <v>145</v>
      </c>
      <c r="G690" t="s">
        <v>3995</v>
      </c>
    </row>
    <row r="691" spans="1:7" s="241" customFormat="1" ht="44.25" customHeight="1">
      <c r="A691" t="s">
        <v>3996</v>
      </c>
      <c r="B691" t="s">
        <v>3997</v>
      </c>
      <c r="C691" t="s">
        <v>132</v>
      </c>
      <c r="D691" t="s">
        <v>2139</v>
      </c>
      <c r="E691" t="s">
        <v>2144</v>
      </c>
      <c r="F691" t="s">
        <v>145</v>
      </c>
      <c r="G691" t="s">
        <v>3998</v>
      </c>
    </row>
    <row r="692" spans="1:7" s="241" customFormat="1" ht="44.25" customHeight="1">
      <c r="A692" t="s">
        <v>3999</v>
      </c>
      <c r="B692" t="s">
        <v>4000</v>
      </c>
      <c r="C692" t="s">
        <v>132</v>
      </c>
      <c r="D692" t="s">
        <v>2143</v>
      </c>
      <c r="E692" t="s">
        <v>2162</v>
      </c>
      <c r="F692" t="s">
        <v>145</v>
      </c>
      <c r="G692" t="s">
        <v>4001</v>
      </c>
    </row>
    <row r="693" spans="1:7" s="241" customFormat="1" ht="44.25" customHeight="1">
      <c r="A693" t="s">
        <v>4002</v>
      </c>
      <c r="B693" t="s">
        <v>4003</v>
      </c>
      <c r="C693" t="s">
        <v>132</v>
      </c>
      <c r="D693" t="s">
        <v>2143</v>
      </c>
      <c r="E693" t="s">
        <v>2151</v>
      </c>
      <c r="F693" t="s">
        <v>145</v>
      </c>
      <c r="G693" t="s">
        <v>4004</v>
      </c>
    </row>
    <row r="694" spans="1:7" s="241" customFormat="1" ht="44.25" customHeight="1">
      <c r="A694" t="s">
        <v>4005</v>
      </c>
      <c r="B694" t="s">
        <v>4006</v>
      </c>
      <c r="C694" t="s">
        <v>132</v>
      </c>
      <c r="D694" t="s">
        <v>2139</v>
      </c>
      <c r="E694" t="s">
        <v>1367</v>
      </c>
      <c r="F694" t="s">
        <v>145</v>
      </c>
      <c r="G694" t="s">
        <v>4007</v>
      </c>
    </row>
    <row r="695" spans="1:7" s="241" customFormat="1" ht="44.25" customHeight="1">
      <c r="A695" t="s">
        <v>4008</v>
      </c>
      <c r="B695" t="s">
        <v>4009</v>
      </c>
      <c r="C695" t="s">
        <v>132</v>
      </c>
      <c r="D695" t="s">
        <v>2143</v>
      </c>
      <c r="E695" t="s">
        <v>4010</v>
      </c>
      <c r="F695" t="s">
        <v>145</v>
      </c>
      <c r="G695" t="s">
        <v>4011</v>
      </c>
    </row>
    <row r="696" spans="1:7" s="241" customFormat="1" ht="44.25" customHeight="1">
      <c r="A696" t="s">
        <v>4012</v>
      </c>
      <c r="B696" t="s">
        <v>4013</v>
      </c>
      <c r="C696" t="s">
        <v>132</v>
      </c>
      <c r="D696" t="s">
        <v>2143</v>
      </c>
      <c r="E696" t="s">
        <v>2162</v>
      </c>
      <c r="F696" t="s">
        <v>145</v>
      </c>
      <c r="G696" t="s">
        <v>4014</v>
      </c>
    </row>
    <row r="697" spans="1:7" s="241" customFormat="1" ht="44.25" customHeight="1">
      <c r="A697" t="s">
        <v>4015</v>
      </c>
      <c r="B697" t="s">
        <v>4016</v>
      </c>
      <c r="C697" t="s">
        <v>132</v>
      </c>
      <c r="D697" t="s">
        <v>2139</v>
      </c>
      <c r="E697" t="s">
        <v>1367</v>
      </c>
      <c r="F697" t="s">
        <v>145</v>
      </c>
      <c r="G697" t="s">
        <v>4017</v>
      </c>
    </row>
    <row r="698" spans="1:7" s="241" customFormat="1" ht="44.25" customHeight="1">
      <c r="A698" t="s">
        <v>4018</v>
      </c>
      <c r="B698" t="s">
        <v>4019</v>
      </c>
      <c r="C698" t="s">
        <v>132</v>
      </c>
      <c r="D698" t="s">
        <v>2139</v>
      </c>
      <c r="E698" t="s">
        <v>1367</v>
      </c>
      <c r="F698" t="s">
        <v>145</v>
      </c>
      <c r="G698" t="s">
        <v>4020</v>
      </c>
    </row>
    <row r="699" spans="1:7" s="241" customFormat="1" ht="44.25" customHeight="1">
      <c r="A699" t="s">
        <v>4021</v>
      </c>
      <c r="B699" t="s">
        <v>4022</v>
      </c>
      <c r="C699" t="s">
        <v>132</v>
      </c>
      <c r="D699" t="s">
        <v>2143</v>
      </c>
      <c r="E699" t="s">
        <v>2162</v>
      </c>
      <c r="F699" t="s">
        <v>145</v>
      </c>
      <c r="G699" t="s">
        <v>4023</v>
      </c>
    </row>
    <row r="700" spans="1:7" s="241" customFormat="1" ht="44.25" customHeight="1">
      <c r="A700" t="s">
        <v>4024</v>
      </c>
      <c r="B700" t="s">
        <v>4025</v>
      </c>
      <c r="C700" t="s">
        <v>132</v>
      </c>
      <c r="D700" t="s">
        <v>2139</v>
      </c>
      <c r="E700" t="s">
        <v>1367</v>
      </c>
      <c r="F700" t="s">
        <v>145</v>
      </c>
      <c r="G700" t="s">
        <v>4026</v>
      </c>
    </row>
    <row r="701" spans="1:7" s="241" customFormat="1" ht="44.25" customHeight="1">
      <c r="A701" t="s">
        <v>4027</v>
      </c>
      <c r="B701" t="s">
        <v>4028</v>
      </c>
      <c r="C701" t="s">
        <v>132</v>
      </c>
      <c r="D701" t="s">
        <v>2143</v>
      </c>
      <c r="E701" t="s">
        <v>1365</v>
      </c>
      <c r="F701" t="s">
        <v>145</v>
      </c>
      <c r="G701" t="s">
        <v>4029</v>
      </c>
    </row>
    <row r="702" spans="1:7" s="241" customFormat="1" ht="44.25" customHeight="1">
      <c r="A702" t="s">
        <v>4030</v>
      </c>
      <c r="B702" t="s">
        <v>4031</v>
      </c>
      <c r="C702" t="s">
        <v>132</v>
      </c>
      <c r="D702" t="s">
        <v>2143</v>
      </c>
      <c r="E702" t="s">
        <v>2162</v>
      </c>
      <c r="F702" t="s">
        <v>145</v>
      </c>
      <c r="G702" t="s">
        <v>4032</v>
      </c>
    </row>
    <row r="703" spans="1:7" s="241" customFormat="1" ht="44.25" customHeight="1">
      <c r="A703" t="s">
        <v>4033</v>
      </c>
      <c r="B703" t="s">
        <v>4034</v>
      </c>
      <c r="C703" t="s">
        <v>132</v>
      </c>
      <c r="D703" t="s">
        <v>2139</v>
      </c>
      <c r="E703" t="s">
        <v>1367</v>
      </c>
      <c r="F703" t="s">
        <v>145</v>
      </c>
      <c r="G703" t="s">
        <v>4035</v>
      </c>
    </row>
    <row r="704" spans="1:7" s="241" customFormat="1" ht="44.25" customHeight="1">
      <c r="A704" t="s">
        <v>4036</v>
      </c>
      <c r="B704" t="s">
        <v>4037</v>
      </c>
      <c r="C704" t="s">
        <v>132</v>
      </c>
      <c r="D704" t="s">
        <v>79</v>
      </c>
      <c r="E704" t="s">
        <v>4038</v>
      </c>
      <c r="F704" t="s">
        <v>145</v>
      </c>
      <c r="G704" t="s">
        <v>4039</v>
      </c>
    </row>
    <row r="705" spans="1:7" s="241" customFormat="1" ht="44.25" customHeight="1">
      <c r="A705" t="s">
        <v>4040</v>
      </c>
      <c r="B705" t="s">
        <v>4041</v>
      </c>
      <c r="C705" t="s">
        <v>132</v>
      </c>
      <c r="D705" t="s">
        <v>2139</v>
      </c>
      <c r="E705" t="s">
        <v>1367</v>
      </c>
      <c r="F705" t="s">
        <v>145</v>
      </c>
      <c r="G705" t="s">
        <v>4042</v>
      </c>
    </row>
    <row r="706" spans="1:7" s="241" customFormat="1" ht="44.25" customHeight="1">
      <c r="A706" t="s">
        <v>4043</v>
      </c>
      <c r="B706" t="s">
        <v>4044</v>
      </c>
      <c r="C706" t="s">
        <v>132</v>
      </c>
      <c r="D706" t="s">
        <v>2139</v>
      </c>
      <c r="E706" t="s">
        <v>1367</v>
      </c>
      <c r="F706" t="s">
        <v>145</v>
      </c>
      <c r="G706" t="s">
        <v>4045</v>
      </c>
    </row>
    <row r="707" spans="1:7" s="241" customFormat="1" ht="44.25" customHeight="1">
      <c r="A707" t="s">
        <v>4046</v>
      </c>
      <c r="B707" t="s">
        <v>4047</v>
      </c>
      <c r="C707" t="s">
        <v>132</v>
      </c>
      <c r="D707" t="s">
        <v>2139</v>
      </c>
      <c r="E707" t="s">
        <v>1367</v>
      </c>
      <c r="F707" t="s">
        <v>145</v>
      </c>
      <c r="G707" t="s">
        <v>4048</v>
      </c>
    </row>
    <row r="708" spans="1:7" s="241" customFormat="1" ht="44.25" customHeight="1">
      <c r="A708" t="s">
        <v>4049</v>
      </c>
      <c r="B708" t="s">
        <v>4050</v>
      </c>
      <c r="C708" t="s">
        <v>132</v>
      </c>
      <c r="D708" t="s">
        <v>2143</v>
      </c>
      <c r="E708" t="s">
        <v>1365</v>
      </c>
      <c r="F708" t="s">
        <v>145</v>
      </c>
      <c r="G708" t="s">
        <v>4051</v>
      </c>
    </row>
    <row r="709" spans="1:7" s="241" customFormat="1" ht="44.25" customHeight="1">
      <c r="A709" t="s">
        <v>4052</v>
      </c>
      <c r="B709" t="s">
        <v>4053</v>
      </c>
      <c r="C709" t="s">
        <v>132</v>
      </c>
      <c r="D709" t="s">
        <v>2139</v>
      </c>
      <c r="E709" t="s">
        <v>1367</v>
      </c>
      <c r="F709" t="s">
        <v>145</v>
      </c>
      <c r="G709" t="s">
        <v>4054</v>
      </c>
    </row>
    <row r="710" spans="1:7" s="241" customFormat="1" ht="44.25" customHeight="1">
      <c r="A710" t="s">
        <v>4055</v>
      </c>
      <c r="B710" t="s">
        <v>4056</v>
      </c>
      <c r="C710" t="s">
        <v>132</v>
      </c>
      <c r="D710" t="s">
        <v>2143</v>
      </c>
      <c r="E710" t="s">
        <v>2162</v>
      </c>
      <c r="F710" t="s">
        <v>145</v>
      </c>
      <c r="G710" t="s">
        <v>4057</v>
      </c>
    </row>
    <row r="711" spans="1:7" s="241" customFormat="1" ht="44.25" customHeight="1">
      <c r="A711" t="s">
        <v>4058</v>
      </c>
      <c r="B711" t="s">
        <v>4059</v>
      </c>
      <c r="C711" t="s">
        <v>132</v>
      </c>
      <c r="D711" t="s">
        <v>2143</v>
      </c>
      <c r="E711" t="s">
        <v>2162</v>
      </c>
      <c r="F711" t="s">
        <v>145</v>
      </c>
      <c r="G711" t="s">
        <v>4060</v>
      </c>
    </row>
    <row r="712" spans="1:7" s="241" customFormat="1" ht="44.25" customHeight="1">
      <c r="A712" t="s">
        <v>4061</v>
      </c>
      <c r="B712" t="s">
        <v>4062</v>
      </c>
      <c r="C712" t="s">
        <v>132</v>
      </c>
      <c r="D712" t="s">
        <v>79</v>
      </c>
      <c r="E712" t="s">
        <v>4063</v>
      </c>
      <c r="F712" t="s">
        <v>145</v>
      </c>
      <c r="G712" t="s">
        <v>4064</v>
      </c>
    </row>
    <row r="713" spans="1:7" s="241" customFormat="1" ht="44.25" customHeight="1">
      <c r="A713" t="s">
        <v>4065</v>
      </c>
      <c r="B713" t="s">
        <v>4066</v>
      </c>
      <c r="C713" t="s">
        <v>132</v>
      </c>
      <c r="D713" t="s">
        <v>2143</v>
      </c>
      <c r="E713" t="s">
        <v>2162</v>
      </c>
      <c r="F713" t="s">
        <v>145</v>
      </c>
      <c r="G713" t="s">
        <v>4067</v>
      </c>
    </row>
    <row r="714" spans="1:7" s="241" customFormat="1" ht="44.25" customHeight="1">
      <c r="A714" t="s">
        <v>4068</v>
      </c>
      <c r="B714" t="s">
        <v>4069</v>
      </c>
      <c r="C714" t="s">
        <v>132</v>
      </c>
      <c r="D714" t="s">
        <v>2139</v>
      </c>
      <c r="E714" t="s">
        <v>1367</v>
      </c>
      <c r="F714" t="s">
        <v>145</v>
      </c>
      <c r="G714" t="s">
        <v>4070</v>
      </c>
    </row>
    <row r="715" spans="1:7" s="241" customFormat="1" ht="44.25" customHeight="1">
      <c r="A715" t="s">
        <v>4071</v>
      </c>
      <c r="B715" t="s">
        <v>4072</v>
      </c>
      <c r="C715" t="s">
        <v>132</v>
      </c>
      <c r="D715" t="s">
        <v>2143</v>
      </c>
      <c r="E715" t="s">
        <v>1365</v>
      </c>
      <c r="F715" t="s">
        <v>145</v>
      </c>
      <c r="G715" t="s">
        <v>4073</v>
      </c>
    </row>
    <row r="716" spans="1:7" s="241" customFormat="1" ht="44.25" customHeight="1">
      <c r="A716" t="s">
        <v>4074</v>
      </c>
      <c r="B716" t="s">
        <v>4075</v>
      </c>
      <c r="C716" t="s">
        <v>132</v>
      </c>
      <c r="D716" t="s">
        <v>2139</v>
      </c>
      <c r="E716" t="s">
        <v>1367</v>
      </c>
      <c r="F716" t="s">
        <v>145</v>
      </c>
      <c r="G716" t="s">
        <v>4076</v>
      </c>
    </row>
    <row r="717" spans="1:7" s="241" customFormat="1" ht="44.25" customHeight="1">
      <c r="A717" t="s">
        <v>4077</v>
      </c>
      <c r="B717" t="s">
        <v>4078</v>
      </c>
      <c r="C717" t="s">
        <v>132</v>
      </c>
      <c r="D717" t="s">
        <v>2143</v>
      </c>
      <c r="E717" t="s">
        <v>2162</v>
      </c>
      <c r="F717" t="s">
        <v>145</v>
      </c>
      <c r="G717" t="s">
        <v>4079</v>
      </c>
    </row>
    <row r="718" spans="1:7" s="241" customFormat="1" ht="44.25" customHeight="1">
      <c r="A718" t="s">
        <v>4080</v>
      </c>
      <c r="B718" t="s">
        <v>4081</v>
      </c>
      <c r="C718" t="s">
        <v>132</v>
      </c>
      <c r="D718" t="s">
        <v>2139</v>
      </c>
      <c r="E718" t="s">
        <v>1367</v>
      </c>
      <c r="F718" t="s">
        <v>145</v>
      </c>
      <c r="G718" t="s">
        <v>4082</v>
      </c>
    </row>
    <row r="719" spans="1:7" s="241" customFormat="1" ht="44.25" customHeight="1">
      <c r="A719" t="s">
        <v>4083</v>
      </c>
      <c r="B719" t="s">
        <v>4084</v>
      </c>
      <c r="C719" t="s">
        <v>132</v>
      </c>
      <c r="D719" t="s">
        <v>2143</v>
      </c>
      <c r="E719" t="s">
        <v>2162</v>
      </c>
      <c r="F719" t="s">
        <v>145</v>
      </c>
      <c r="G719" t="s">
        <v>4085</v>
      </c>
    </row>
    <row r="720" spans="1:7" s="241" customFormat="1" ht="44.25" customHeight="1">
      <c r="A720" t="s">
        <v>4086</v>
      </c>
      <c r="B720" t="s">
        <v>4087</v>
      </c>
      <c r="C720" t="s">
        <v>132</v>
      </c>
      <c r="D720" t="s">
        <v>2139</v>
      </c>
      <c r="E720" t="s">
        <v>1367</v>
      </c>
      <c r="F720" t="s">
        <v>145</v>
      </c>
      <c r="G720" t="s">
        <v>4088</v>
      </c>
    </row>
    <row r="721" spans="1:7" s="241" customFormat="1" ht="44.25" customHeight="1">
      <c r="A721" t="s">
        <v>4089</v>
      </c>
      <c r="B721" t="s">
        <v>4090</v>
      </c>
      <c r="C721" t="s">
        <v>132</v>
      </c>
      <c r="D721" t="s">
        <v>79</v>
      </c>
      <c r="E721" t="s">
        <v>4091</v>
      </c>
      <c r="F721" t="s">
        <v>145</v>
      </c>
      <c r="G721" t="s">
        <v>4092</v>
      </c>
    </row>
    <row r="722" spans="1:7" s="241" customFormat="1" ht="44.25" customHeight="1">
      <c r="A722" t="s">
        <v>4093</v>
      </c>
      <c r="B722" t="s">
        <v>4094</v>
      </c>
      <c r="C722" t="s">
        <v>132</v>
      </c>
      <c r="D722" t="s">
        <v>2139</v>
      </c>
      <c r="E722" t="s">
        <v>1365</v>
      </c>
      <c r="F722" t="s">
        <v>145</v>
      </c>
      <c r="G722" t="s">
        <v>4095</v>
      </c>
    </row>
    <row r="723" spans="1:7" s="241" customFormat="1" ht="44.25" customHeight="1">
      <c r="A723" t="s">
        <v>4096</v>
      </c>
      <c r="B723" t="s">
        <v>4097</v>
      </c>
      <c r="C723" t="s">
        <v>132</v>
      </c>
      <c r="D723" t="s">
        <v>2143</v>
      </c>
      <c r="E723" t="s">
        <v>2162</v>
      </c>
      <c r="F723" t="s">
        <v>145</v>
      </c>
      <c r="G723" t="s">
        <v>4098</v>
      </c>
    </row>
    <row r="724" spans="1:7" s="241" customFormat="1" ht="44.25" customHeight="1">
      <c r="A724" t="s">
        <v>4099</v>
      </c>
      <c r="B724" t="s">
        <v>4100</v>
      </c>
      <c r="C724" t="s">
        <v>132</v>
      </c>
      <c r="D724" t="s">
        <v>2139</v>
      </c>
      <c r="E724" t="s">
        <v>1367</v>
      </c>
      <c r="F724" t="s">
        <v>145</v>
      </c>
      <c r="G724" t="s">
        <v>4101</v>
      </c>
    </row>
    <row r="725" spans="1:7" s="241" customFormat="1" ht="44.25" customHeight="1">
      <c r="A725" t="s">
        <v>4102</v>
      </c>
      <c r="B725" t="s">
        <v>4103</v>
      </c>
      <c r="C725" t="s">
        <v>132</v>
      </c>
      <c r="D725" t="s">
        <v>2139</v>
      </c>
      <c r="E725" t="s">
        <v>1367</v>
      </c>
      <c r="F725" t="s">
        <v>145</v>
      </c>
      <c r="G725" t="s">
        <v>4104</v>
      </c>
    </row>
    <row r="726" spans="1:7" s="241" customFormat="1" ht="44.25" customHeight="1">
      <c r="A726" t="s">
        <v>4105</v>
      </c>
      <c r="B726" t="s">
        <v>4106</v>
      </c>
      <c r="C726" t="s">
        <v>132</v>
      </c>
      <c r="D726" t="s">
        <v>2139</v>
      </c>
      <c r="E726" t="s">
        <v>1367</v>
      </c>
      <c r="F726" t="s">
        <v>145</v>
      </c>
      <c r="G726" t="s">
        <v>4107</v>
      </c>
    </row>
    <row r="727" spans="1:7" s="241" customFormat="1" ht="44.25" customHeight="1">
      <c r="A727" t="s">
        <v>4108</v>
      </c>
      <c r="B727" t="s">
        <v>4109</v>
      </c>
      <c r="C727" t="s">
        <v>132</v>
      </c>
      <c r="D727" t="s">
        <v>2143</v>
      </c>
      <c r="E727" t="s">
        <v>1367</v>
      </c>
      <c r="F727" t="s">
        <v>145</v>
      </c>
      <c r="G727" t="s">
        <v>4110</v>
      </c>
    </row>
    <row r="728" spans="1:7" s="241" customFormat="1" ht="44.25" customHeight="1">
      <c r="A728" t="s">
        <v>4111</v>
      </c>
      <c r="B728" t="s">
        <v>4112</v>
      </c>
      <c r="C728" t="s">
        <v>132</v>
      </c>
      <c r="D728" t="s">
        <v>2143</v>
      </c>
      <c r="E728" t="s">
        <v>4010</v>
      </c>
      <c r="F728" t="s">
        <v>145</v>
      </c>
      <c r="G728" t="s">
        <v>4113</v>
      </c>
    </row>
    <row r="729" spans="1:7" s="241" customFormat="1" ht="44.25" customHeight="1">
      <c r="A729" t="s">
        <v>4114</v>
      </c>
      <c r="B729" t="s">
        <v>4115</v>
      </c>
      <c r="C729" t="s">
        <v>132</v>
      </c>
      <c r="D729" t="s">
        <v>2143</v>
      </c>
      <c r="E729" t="s">
        <v>1365</v>
      </c>
      <c r="F729" t="s">
        <v>145</v>
      </c>
      <c r="G729" t="s">
        <v>4116</v>
      </c>
    </row>
    <row r="730" spans="1:7" s="241" customFormat="1" ht="44.25" customHeight="1">
      <c r="A730" t="s">
        <v>4117</v>
      </c>
      <c r="B730" t="s">
        <v>4118</v>
      </c>
      <c r="C730" t="s">
        <v>132</v>
      </c>
      <c r="D730" t="s">
        <v>79</v>
      </c>
      <c r="E730" t="s">
        <v>2196</v>
      </c>
      <c r="F730" t="s">
        <v>145</v>
      </c>
      <c r="G730" t="s">
        <v>4119</v>
      </c>
    </row>
    <row r="731" spans="1:7" s="241" customFormat="1" ht="44.25" customHeight="1">
      <c r="A731" t="s">
        <v>4120</v>
      </c>
      <c r="B731" t="s">
        <v>4121</v>
      </c>
      <c r="C731" t="s">
        <v>132</v>
      </c>
      <c r="D731" t="s">
        <v>2139</v>
      </c>
      <c r="E731" t="s">
        <v>1367</v>
      </c>
      <c r="F731" t="s">
        <v>145</v>
      </c>
      <c r="G731" t="s">
        <v>4122</v>
      </c>
    </row>
    <row r="732" spans="1:7" s="241" customFormat="1" ht="44.25" customHeight="1">
      <c r="A732" t="s">
        <v>1255</v>
      </c>
      <c r="B732" t="s">
        <v>4123</v>
      </c>
      <c r="C732" t="s">
        <v>132</v>
      </c>
      <c r="D732" t="s">
        <v>2143</v>
      </c>
      <c r="E732" t="s">
        <v>2144</v>
      </c>
      <c r="F732" t="s">
        <v>145</v>
      </c>
      <c r="G732" t="s">
        <v>4124</v>
      </c>
    </row>
    <row r="733" spans="1:7" s="241" customFormat="1" ht="44.25" customHeight="1">
      <c r="A733" t="s">
        <v>1260</v>
      </c>
      <c r="B733" t="s">
        <v>4125</v>
      </c>
      <c r="C733" t="s">
        <v>132</v>
      </c>
      <c r="D733" t="s">
        <v>2143</v>
      </c>
      <c r="E733" t="s">
        <v>2162</v>
      </c>
      <c r="F733" t="s">
        <v>145</v>
      </c>
      <c r="G733" t="s">
        <v>4126</v>
      </c>
    </row>
    <row r="734" spans="1:7" s="241" customFormat="1" ht="44.25" customHeight="1">
      <c r="A734" t="s">
        <v>1263</v>
      </c>
      <c r="B734" t="s">
        <v>4127</v>
      </c>
      <c r="C734" t="s">
        <v>132</v>
      </c>
      <c r="D734" t="s">
        <v>2139</v>
      </c>
      <c r="E734" t="s">
        <v>1367</v>
      </c>
      <c r="F734" t="s">
        <v>145</v>
      </c>
      <c r="G734" t="s">
        <v>4128</v>
      </c>
    </row>
    <row r="735" spans="1:7" s="241" customFormat="1" ht="44.25" customHeight="1">
      <c r="A735" t="s">
        <v>1266</v>
      </c>
      <c r="B735" t="s">
        <v>4129</v>
      </c>
      <c r="C735" t="s">
        <v>132</v>
      </c>
      <c r="D735" t="s">
        <v>2139</v>
      </c>
      <c r="E735" t="s">
        <v>1367</v>
      </c>
      <c r="F735" t="s">
        <v>145</v>
      </c>
      <c r="G735" t="s">
        <v>4130</v>
      </c>
    </row>
    <row r="736" spans="1:7" s="241" customFormat="1" ht="44.25" customHeight="1">
      <c r="A736" t="s">
        <v>1267</v>
      </c>
      <c r="B736" t="s">
        <v>4131</v>
      </c>
      <c r="C736" t="s">
        <v>132</v>
      </c>
      <c r="D736" t="s">
        <v>2139</v>
      </c>
      <c r="E736" t="s">
        <v>1367</v>
      </c>
      <c r="F736" t="s">
        <v>145</v>
      </c>
      <c r="G736" t="s">
        <v>4132</v>
      </c>
    </row>
    <row r="737" spans="1:7" s="241" customFormat="1" ht="44.25" customHeight="1">
      <c r="A737" t="s">
        <v>1272</v>
      </c>
      <c r="B737" t="s">
        <v>4133</v>
      </c>
      <c r="C737" t="s">
        <v>132</v>
      </c>
      <c r="D737" t="s">
        <v>2143</v>
      </c>
      <c r="E737" t="s">
        <v>2155</v>
      </c>
      <c r="F737" t="s">
        <v>145</v>
      </c>
      <c r="G737" t="s">
        <v>4134</v>
      </c>
    </row>
    <row r="738" spans="1:7" s="241" customFormat="1" ht="44.25" customHeight="1">
      <c r="A738" t="s">
        <v>1285</v>
      </c>
      <c r="B738" t="s">
        <v>4135</v>
      </c>
      <c r="C738" t="s">
        <v>132</v>
      </c>
      <c r="D738" t="s">
        <v>2143</v>
      </c>
      <c r="E738" t="s">
        <v>2162</v>
      </c>
      <c r="F738" t="s">
        <v>145</v>
      </c>
      <c r="G738" t="s">
        <v>4136</v>
      </c>
    </row>
    <row r="739" spans="1:7" s="241" customFormat="1" ht="44.25" customHeight="1">
      <c r="A739" t="s">
        <v>1278</v>
      </c>
      <c r="B739" t="s">
        <v>4137</v>
      </c>
      <c r="C739" t="s">
        <v>132</v>
      </c>
      <c r="D739" t="s">
        <v>2139</v>
      </c>
      <c r="E739" t="s">
        <v>1367</v>
      </c>
      <c r="F739" t="s">
        <v>145</v>
      </c>
      <c r="G739" t="s">
        <v>4138</v>
      </c>
    </row>
    <row r="740" spans="1:7" s="241" customFormat="1" ht="44.25" customHeight="1">
      <c r="A740" t="s">
        <v>4139</v>
      </c>
      <c r="B740" t="s">
        <v>4140</v>
      </c>
      <c r="C740" t="s">
        <v>132</v>
      </c>
      <c r="D740" t="s">
        <v>79</v>
      </c>
      <c r="E740" t="s">
        <v>4141</v>
      </c>
      <c r="F740" t="s">
        <v>145</v>
      </c>
      <c r="G740" t="s">
        <v>4142</v>
      </c>
    </row>
    <row r="741" spans="1:7" s="241" customFormat="1" ht="44.25" customHeight="1">
      <c r="A741" t="s">
        <v>4143</v>
      </c>
      <c r="B741" t="s">
        <v>4144</v>
      </c>
      <c r="C741" t="s">
        <v>132</v>
      </c>
      <c r="D741" t="s">
        <v>79</v>
      </c>
      <c r="E741" t="s">
        <v>4145</v>
      </c>
      <c r="F741" t="s">
        <v>145</v>
      </c>
      <c r="G741" t="s">
        <v>4146</v>
      </c>
    </row>
    <row r="742" spans="1:7" s="241" customFormat="1" ht="44.25" customHeight="1">
      <c r="A742" t="s">
        <v>1305</v>
      </c>
      <c r="B742" t="s">
        <v>4147</v>
      </c>
      <c r="C742" t="s">
        <v>132</v>
      </c>
      <c r="D742" t="s">
        <v>2143</v>
      </c>
      <c r="E742" t="s">
        <v>2162</v>
      </c>
      <c r="F742" t="s">
        <v>145</v>
      </c>
      <c r="G742" t="s">
        <v>4148</v>
      </c>
    </row>
    <row r="743" spans="1:7" s="241" customFormat="1" ht="44.25" customHeight="1">
      <c r="A743" t="s">
        <v>1288</v>
      </c>
      <c r="B743" t="s">
        <v>4149</v>
      </c>
      <c r="C743" t="s">
        <v>132</v>
      </c>
      <c r="D743" t="s">
        <v>2143</v>
      </c>
      <c r="E743" t="s">
        <v>1365</v>
      </c>
      <c r="F743" t="s">
        <v>145</v>
      </c>
      <c r="G743" t="s">
        <v>4150</v>
      </c>
    </row>
    <row r="744" spans="1:7" s="241" customFormat="1" ht="44.25" customHeight="1">
      <c r="A744" t="s">
        <v>1289</v>
      </c>
      <c r="B744" t="s">
        <v>4151</v>
      </c>
      <c r="C744" t="s">
        <v>132</v>
      </c>
      <c r="D744" t="s">
        <v>2139</v>
      </c>
      <c r="E744" t="s">
        <v>1367</v>
      </c>
      <c r="F744" t="s">
        <v>145</v>
      </c>
      <c r="G744" t="s">
        <v>4152</v>
      </c>
    </row>
    <row r="745" spans="1:7" s="241" customFormat="1" ht="44.25" customHeight="1">
      <c r="A745" t="s">
        <v>1303</v>
      </c>
      <c r="B745" t="s">
        <v>4153</v>
      </c>
      <c r="C745" t="s">
        <v>132</v>
      </c>
      <c r="D745" t="s">
        <v>2143</v>
      </c>
      <c r="E745" t="s">
        <v>2162</v>
      </c>
      <c r="F745" t="s">
        <v>145</v>
      </c>
      <c r="G745" t="s">
        <v>4154</v>
      </c>
    </row>
    <row r="746" spans="1:7" s="241" customFormat="1" ht="44.25" customHeight="1">
      <c r="A746" t="s">
        <v>1302</v>
      </c>
      <c r="B746" t="s">
        <v>4155</v>
      </c>
      <c r="C746" t="s">
        <v>132</v>
      </c>
      <c r="D746" t="s">
        <v>2143</v>
      </c>
      <c r="E746" t="s">
        <v>2162</v>
      </c>
      <c r="F746" t="s">
        <v>145</v>
      </c>
      <c r="G746" t="s">
        <v>4156</v>
      </c>
    </row>
    <row r="747" spans="1:7" s="241" customFormat="1" ht="44.25" customHeight="1">
      <c r="A747" t="s">
        <v>1296</v>
      </c>
      <c r="B747" t="s">
        <v>4157</v>
      </c>
      <c r="C747" t="s">
        <v>132</v>
      </c>
      <c r="D747" t="s">
        <v>2139</v>
      </c>
      <c r="E747" t="s">
        <v>1367</v>
      </c>
      <c r="F747" t="s">
        <v>145</v>
      </c>
      <c r="G747" t="s">
        <v>4158</v>
      </c>
    </row>
    <row r="748" spans="1:7" s="241" customFormat="1" ht="44.25" customHeight="1">
      <c r="A748" t="s">
        <v>1297</v>
      </c>
      <c r="B748" t="s">
        <v>4159</v>
      </c>
      <c r="C748" t="s">
        <v>132</v>
      </c>
      <c r="D748" t="s">
        <v>2139</v>
      </c>
      <c r="E748" t="s">
        <v>1367</v>
      </c>
      <c r="F748" t="s">
        <v>145</v>
      </c>
      <c r="G748" t="s">
        <v>4160</v>
      </c>
    </row>
    <row r="749" spans="1:7" s="241" customFormat="1" ht="44.25" customHeight="1">
      <c r="A749" t="s">
        <v>1301</v>
      </c>
      <c r="B749" t="s">
        <v>4161</v>
      </c>
      <c r="C749" t="s">
        <v>132</v>
      </c>
      <c r="D749" t="s">
        <v>2143</v>
      </c>
      <c r="E749" t="s">
        <v>2162</v>
      </c>
      <c r="F749" t="s">
        <v>145</v>
      </c>
      <c r="G749" t="s">
        <v>4162</v>
      </c>
    </row>
    <row r="750" spans="1:7" s="241" customFormat="1" ht="44.25" customHeight="1">
      <c r="A750" t="s">
        <v>1307</v>
      </c>
      <c r="B750" t="s">
        <v>4163</v>
      </c>
      <c r="C750" t="s">
        <v>132</v>
      </c>
      <c r="D750" t="s">
        <v>2139</v>
      </c>
      <c r="E750" t="s">
        <v>1367</v>
      </c>
      <c r="F750" t="s">
        <v>145</v>
      </c>
      <c r="G750" t="s">
        <v>4164</v>
      </c>
    </row>
    <row r="751" spans="1:7" s="241" customFormat="1" ht="44.25" customHeight="1">
      <c r="A751" t="s">
        <v>4165</v>
      </c>
      <c r="B751" t="s">
        <v>4166</v>
      </c>
      <c r="C751" t="s">
        <v>132</v>
      </c>
      <c r="D751" t="s">
        <v>79</v>
      </c>
      <c r="E751" t="s">
        <v>4167</v>
      </c>
      <c r="F751" t="s">
        <v>145</v>
      </c>
      <c r="G751" t="s">
        <v>4168</v>
      </c>
    </row>
    <row r="752" spans="1:7" s="241" customFormat="1" ht="44.25" customHeight="1">
      <c r="A752" t="s">
        <v>1309</v>
      </c>
      <c r="B752" t="s">
        <v>4169</v>
      </c>
      <c r="C752" t="s">
        <v>132</v>
      </c>
      <c r="D752" t="s">
        <v>2139</v>
      </c>
      <c r="E752" t="s">
        <v>1367</v>
      </c>
      <c r="F752" t="s">
        <v>145</v>
      </c>
      <c r="G752" t="s">
        <v>4170</v>
      </c>
    </row>
    <row r="753" spans="1:7" s="241" customFormat="1" ht="44.25" customHeight="1">
      <c r="A753" t="s">
        <v>1315</v>
      </c>
      <c r="B753" t="s">
        <v>4171</v>
      </c>
      <c r="C753" t="s">
        <v>132</v>
      </c>
      <c r="D753" t="s">
        <v>2139</v>
      </c>
      <c r="E753" t="s">
        <v>1367</v>
      </c>
      <c r="F753" t="s">
        <v>145</v>
      </c>
      <c r="G753" t="s">
        <v>4172</v>
      </c>
    </row>
    <row r="754" spans="1:7" s="241" customFormat="1" ht="44.25" customHeight="1">
      <c r="A754" t="s">
        <v>1316</v>
      </c>
      <c r="B754" t="s">
        <v>4173</v>
      </c>
      <c r="C754" t="s">
        <v>132</v>
      </c>
      <c r="D754" t="s">
        <v>2139</v>
      </c>
      <c r="E754" t="s">
        <v>1367</v>
      </c>
      <c r="F754" t="s">
        <v>145</v>
      </c>
      <c r="G754" t="s">
        <v>4174</v>
      </c>
    </row>
    <row r="755" spans="1:7" s="241" customFormat="1" ht="44.25" customHeight="1">
      <c r="A755" t="s">
        <v>1387</v>
      </c>
      <c r="B755" t="s">
        <v>4175</v>
      </c>
      <c r="C755" t="s">
        <v>132</v>
      </c>
      <c r="D755" t="s">
        <v>2143</v>
      </c>
      <c r="E755" t="s">
        <v>2162</v>
      </c>
      <c r="F755" t="s">
        <v>145</v>
      </c>
      <c r="G755" t="s">
        <v>4176</v>
      </c>
    </row>
    <row r="756" spans="1:7" s="241" customFormat="1" ht="44.25" customHeight="1">
      <c r="A756" t="s">
        <v>1388</v>
      </c>
      <c r="B756" t="s">
        <v>4177</v>
      </c>
      <c r="C756" t="s">
        <v>132</v>
      </c>
      <c r="D756" t="s">
        <v>2143</v>
      </c>
      <c r="E756" t="s">
        <v>2162</v>
      </c>
      <c r="F756" t="s">
        <v>145</v>
      </c>
      <c r="G756" t="s">
        <v>4178</v>
      </c>
    </row>
    <row r="757" spans="1:7" s="241" customFormat="1" ht="44.25" customHeight="1">
      <c r="A757" t="s">
        <v>1389</v>
      </c>
      <c r="B757" t="s">
        <v>4179</v>
      </c>
      <c r="C757" t="s">
        <v>132</v>
      </c>
      <c r="D757" t="s">
        <v>2143</v>
      </c>
      <c r="E757" t="s">
        <v>2162</v>
      </c>
      <c r="F757" t="s">
        <v>145</v>
      </c>
      <c r="G757" t="s">
        <v>4180</v>
      </c>
    </row>
    <row r="758" spans="1:7" s="241" customFormat="1" ht="44.25" customHeight="1">
      <c r="A758" t="s">
        <v>1390</v>
      </c>
      <c r="B758" t="s">
        <v>4181</v>
      </c>
      <c r="C758" t="s">
        <v>132</v>
      </c>
      <c r="D758" t="s">
        <v>2143</v>
      </c>
      <c r="E758" t="s">
        <v>2162</v>
      </c>
      <c r="F758" t="s">
        <v>145</v>
      </c>
      <c r="G758" t="s">
        <v>4182</v>
      </c>
    </row>
    <row r="759" spans="1:7" s="241" customFormat="1" ht="44.25" customHeight="1">
      <c r="A759" t="s">
        <v>4183</v>
      </c>
      <c r="B759" t="s">
        <v>4184</v>
      </c>
      <c r="C759" t="s">
        <v>132</v>
      </c>
      <c r="D759" t="s">
        <v>2143</v>
      </c>
      <c r="E759" t="s">
        <v>4185</v>
      </c>
      <c r="F759" t="s">
        <v>145</v>
      </c>
      <c r="G759" t="s">
        <v>4186</v>
      </c>
    </row>
    <row r="760" spans="1:7" s="241" customFormat="1" ht="44.25" customHeight="1">
      <c r="A760" t="s">
        <v>1375</v>
      </c>
      <c r="B760" t="s">
        <v>4187</v>
      </c>
      <c r="C760" t="s">
        <v>132</v>
      </c>
      <c r="D760" t="s">
        <v>2143</v>
      </c>
      <c r="E760" t="s">
        <v>2155</v>
      </c>
      <c r="F760" t="s">
        <v>145</v>
      </c>
      <c r="G760" t="s">
        <v>4188</v>
      </c>
    </row>
    <row r="761" spans="1:7" s="241" customFormat="1" ht="44.25" customHeight="1">
      <c r="A761" t="s">
        <v>1394</v>
      </c>
      <c r="B761" t="s">
        <v>4189</v>
      </c>
      <c r="C761" t="s">
        <v>132</v>
      </c>
      <c r="D761" t="s">
        <v>2139</v>
      </c>
      <c r="E761" t="s">
        <v>1367</v>
      </c>
      <c r="F761" t="s">
        <v>145</v>
      </c>
      <c r="G761" t="s">
        <v>4190</v>
      </c>
    </row>
    <row r="762" spans="1:7" s="241" customFormat="1" ht="44.25" customHeight="1">
      <c r="A762" t="s">
        <v>1420</v>
      </c>
      <c r="B762" t="s">
        <v>4191</v>
      </c>
      <c r="C762" t="s">
        <v>132</v>
      </c>
      <c r="D762" t="s">
        <v>2143</v>
      </c>
      <c r="E762" t="s">
        <v>2162</v>
      </c>
      <c r="F762" t="s">
        <v>145</v>
      </c>
      <c r="G762" t="s">
        <v>4192</v>
      </c>
    </row>
    <row r="763" spans="1:7" s="241" customFormat="1" ht="44.25" customHeight="1">
      <c r="A763" t="s">
        <v>1398</v>
      </c>
      <c r="B763" t="s">
        <v>4193</v>
      </c>
      <c r="C763" t="s">
        <v>132</v>
      </c>
      <c r="D763" t="s">
        <v>2139</v>
      </c>
      <c r="E763" t="s">
        <v>1367</v>
      </c>
      <c r="F763" t="s">
        <v>145</v>
      </c>
      <c r="G763" t="s">
        <v>4194</v>
      </c>
    </row>
    <row r="764" spans="1:7" s="241" customFormat="1" ht="44.25" customHeight="1">
      <c r="A764" t="s">
        <v>1399</v>
      </c>
      <c r="B764" t="s">
        <v>4195</v>
      </c>
      <c r="C764" t="s">
        <v>132</v>
      </c>
      <c r="D764" t="s">
        <v>2143</v>
      </c>
      <c r="E764" t="s">
        <v>3645</v>
      </c>
      <c r="F764" t="s">
        <v>145</v>
      </c>
      <c r="G764" t="s">
        <v>4196</v>
      </c>
    </row>
    <row r="765" spans="1:7" s="241" customFormat="1" ht="44.25" customHeight="1">
      <c r="A765" t="s">
        <v>1424</v>
      </c>
      <c r="B765" t="s">
        <v>4197</v>
      </c>
      <c r="C765" t="s">
        <v>132</v>
      </c>
      <c r="D765" t="s">
        <v>2143</v>
      </c>
      <c r="E765" t="s">
        <v>2162</v>
      </c>
      <c r="F765" t="s">
        <v>145</v>
      </c>
      <c r="G765" t="s">
        <v>4198</v>
      </c>
    </row>
    <row r="766" spans="1:7" s="241" customFormat="1" ht="44.25" customHeight="1">
      <c r="A766" t="s">
        <v>1401</v>
      </c>
      <c r="B766" t="s">
        <v>4199</v>
      </c>
      <c r="C766" t="s">
        <v>132</v>
      </c>
      <c r="D766" t="s">
        <v>2139</v>
      </c>
      <c r="E766" t="s">
        <v>1367</v>
      </c>
      <c r="F766" t="s">
        <v>145</v>
      </c>
      <c r="G766" t="s">
        <v>4200</v>
      </c>
    </row>
    <row r="767" spans="1:7" s="241" customFormat="1" ht="44.25" customHeight="1">
      <c r="A767" t="s">
        <v>1426</v>
      </c>
      <c r="B767" t="s">
        <v>4201</v>
      </c>
      <c r="C767" t="s">
        <v>132</v>
      </c>
      <c r="D767" t="s">
        <v>2143</v>
      </c>
      <c r="E767" t="s">
        <v>2162</v>
      </c>
      <c r="F767" t="s">
        <v>145</v>
      </c>
      <c r="G767" t="s">
        <v>4202</v>
      </c>
    </row>
    <row r="768" spans="1:7" s="241" customFormat="1" ht="44.25" customHeight="1">
      <c r="A768" t="s">
        <v>1406</v>
      </c>
      <c r="B768" t="s">
        <v>4203</v>
      </c>
      <c r="C768" t="s">
        <v>132</v>
      </c>
      <c r="D768" t="s">
        <v>2139</v>
      </c>
      <c r="E768" t="s">
        <v>1367</v>
      </c>
      <c r="F768" t="s">
        <v>145</v>
      </c>
      <c r="G768" t="s">
        <v>4204</v>
      </c>
    </row>
    <row r="769" spans="1:7" s="241" customFormat="1" ht="44.25" customHeight="1">
      <c r="A769" t="s">
        <v>1410</v>
      </c>
      <c r="B769" t="s">
        <v>4205</v>
      </c>
      <c r="C769" t="s">
        <v>132</v>
      </c>
      <c r="D769" t="s">
        <v>2139</v>
      </c>
      <c r="E769" t="s">
        <v>1367</v>
      </c>
      <c r="F769" t="s">
        <v>145</v>
      </c>
      <c r="G769" t="s">
        <v>4206</v>
      </c>
    </row>
    <row r="770" spans="1:7" s="241" customFormat="1" ht="44.25" customHeight="1">
      <c r="A770" t="s">
        <v>1412</v>
      </c>
      <c r="B770" t="s">
        <v>4207</v>
      </c>
      <c r="C770" t="s">
        <v>132</v>
      </c>
      <c r="D770" t="s">
        <v>2143</v>
      </c>
      <c r="E770" t="s">
        <v>2162</v>
      </c>
      <c r="F770" t="s">
        <v>145</v>
      </c>
      <c r="G770" t="s">
        <v>4208</v>
      </c>
    </row>
    <row r="771" spans="1:7" s="241" customFormat="1" ht="44.25" customHeight="1">
      <c r="A771" t="s">
        <v>1429</v>
      </c>
      <c r="B771" t="s">
        <v>4209</v>
      </c>
      <c r="C771" t="s">
        <v>132</v>
      </c>
      <c r="D771" t="s">
        <v>2143</v>
      </c>
      <c r="E771" t="s">
        <v>2162</v>
      </c>
      <c r="F771" t="s">
        <v>145</v>
      </c>
      <c r="G771" t="s">
        <v>4210</v>
      </c>
    </row>
    <row r="772" spans="1:7" s="241" customFormat="1" ht="44.25" customHeight="1">
      <c r="A772" t="s">
        <v>1430</v>
      </c>
      <c r="B772" t="s">
        <v>4211</v>
      </c>
      <c r="C772" t="s">
        <v>132</v>
      </c>
      <c r="D772" t="s">
        <v>2143</v>
      </c>
      <c r="E772" t="s">
        <v>2162</v>
      </c>
      <c r="F772" t="s">
        <v>145</v>
      </c>
      <c r="G772" t="s">
        <v>4212</v>
      </c>
    </row>
    <row r="773" spans="1:7" s="241" customFormat="1" ht="44.25" customHeight="1">
      <c r="A773" t="s">
        <v>292</v>
      </c>
      <c r="B773" t="s">
        <v>4213</v>
      </c>
      <c r="C773" t="s">
        <v>132</v>
      </c>
      <c r="D773" t="s">
        <v>2139</v>
      </c>
      <c r="E773" t="s">
        <v>2144</v>
      </c>
      <c r="F773" t="s">
        <v>145</v>
      </c>
      <c r="G773" t="s">
        <v>4214</v>
      </c>
    </row>
    <row r="774" spans="1:7" s="241" customFormat="1" ht="44.25" customHeight="1">
      <c r="A774" t="s">
        <v>323</v>
      </c>
      <c r="B774" t="s">
        <v>4215</v>
      </c>
      <c r="C774" t="s">
        <v>132</v>
      </c>
      <c r="D774" t="s">
        <v>2143</v>
      </c>
      <c r="E774" t="s">
        <v>2162</v>
      </c>
      <c r="F774" t="s">
        <v>145</v>
      </c>
      <c r="G774" t="s">
        <v>4216</v>
      </c>
    </row>
    <row r="775" spans="1:7" s="241" customFormat="1" ht="44.25" customHeight="1">
      <c r="A775" t="s">
        <v>295</v>
      </c>
      <c r="B775" t="s">
        <v>4217</v>
      </c>
      <c r="C775" t="s">
        <v>132</v>
      </c>
      <c r="D775" t="s">
        <v>2139</v>
      </c>
      <c r="E775" t="s">
        <v>1367</v>
      </c>
      <c r="F775" t="s">
        <v>145</v>
      </c>
      <c r="G775" t="s">
        <v>4218</v>
      </c>
    </row>
    <row r="776" spans="1:7" s="241" customFormat="1" ht="44.25" customHeight="1">
      <c r="A776" t="s">
        <v>297</v>
      </c>
      <c r="B776" t="s">
        <v>4219</v>
      </c>
      <c r="C776" t="s">
        <v>132</v>
      </c>
      <c r="D776" t="s">
        <v>2139</v>
      </c>
      <c r="E776" t="s">
        <v>1367</v>
      </c>
      <c r="F776" t="s">
        <v>145</v>
      </c>
      <c r="G776" t="s">
        <v>4220</v>
      </c>
    </row>
    <row r="777" spans="1:7" s="241" customFormat="1" ht="44.25" customHeight="1">
      <c r="A777" t="s">
        <v>4221</v>
      </c>
      <c r="B777" t="s">
        <v>4222</v>
      </c>
      <c r="C777" t="s">
        <v>132</v>
      </c>
      <c r="D777" t="s">
        <v>79</v>
      </c>
      <c r="E777" t="s">
        <v>4223</v>
      </c>
      <c r="F777" t="s">
        <v>145</v>
      </c>
      <c r="G777" t="s">
        <v>4224</v>
      </c>
    </row>
    <row r="778" spans="1:7" s="241" customFormat="1" ht="44.25" customHeight="1">
      <c r="A778" t="s">
        <v>305</v>
      </c>
      <c r="B778" t="s">
        <v>4225</v>
      </c>
      <c r="C778" t="s">
        <v>132</v>
      </c>
      <c r="D778" t="s">
        <v>2143</v>
      </c>
      <c r="E778" t="s">
        <v>1365</v>
      </c>
      <c r="F778" t="s">
        <v>145</v>
      </c>
      <c r="G778" t="s">
        <v>4226</v>
      </c>
    </row>
    <row r="779" spans="1:7" s="241" customFormat="1" ht="44.25" customHeight="1">
      <c r="A779" t="s">
        <v>326</v>
      </c>
      <c r="B779" t="s">
        <v>4227</v>
      </c>
      <c r="C779" t="s">
        <v>132</v>
      </c>
      <c r="D779" t="s">
        <v>2143</v>
      </c>
      <c r="E779" t="s">
        <v>2162</v>
      </c>
      <c r="F779" t="s">
        <v>145</v>
      </c>
      <c r="G779" t="s">
        <v>4228</v>
      </c>
    </row>
    <row r="780" spans="1:7" s="241" customFormat="1" ht="44.25" customHeight="1">
      <c r="A780" t="s">
        <v>327</v>
      </c>
      <c r="B780" t="s">
        <v>4229</v>
      </c>
      <c r="C780" t="s">
        <v>132</v>
      </c>
      <c r="D780" t="s">
        <v>2143</v>
      </c>
      <c r="E780" t="s">
        <v>2162</v>
      </c>
      <c r="F780" t="s">
        <v>145</v>
      </c>
      <c r="G780" t="s">
        <v>4230</v>
      </c>
    </row>
    <row r="781" spans="1:7" s="241" customFormat="1" ht="44.25" customHeight="1">
      <c r="A781" t="s">
        <v>304</v>
      </c>
      <c r="B781" t="s">
        <v>4231</v>
      </c>
      <c r="C781" t="s">
        <v>132</v>
      </c>
      <c r="D781" t="s">
        <v>2143</v>
      </c>
      <c r="E781" t="s">
        <v>2162</v>
      </c>
      <c r="F781" t="s">
        <v>145</v>
      </c>
      <c r="G781" t="s">
        <v>4232</v>
      </c>
    </row>
    <row r="782" spans="1:7" s="241" customFormat="1" ht="44.25" customHeight="1">
      <c r="A782" t="s">
        <v>307</v>
      </c>
      <c r="B782" t="s">
        <v>4233</v>
      </c>
      <c r="C782" t="s">
        <v>132</v>
      </c>
      <c r="D782" t="s">
        <v>2139</v>
      </c>
      <c r="E782" t="s">
        <v>1367</v>
      </c>
      <c r="F782" t="s">
        <v>145</v>
      </c>
      <c r="G782" t="s">
        <v>4234</v>
      </c>
    </row>
    <row r="783" spans="1:7" s="241" customFormat="1" ht="44.25" customHeight="1">
      <c r="A783" t="s">
        <v>310</v>
      </c>
      <c r="B783" t="s">
        <v>4235</v>
      </c>
      <c r="C783" t="s">
        <v>132</v>
      </c>
      <c r="D783" t="s">
        <v>2143</v>
      </c>
      <c r="E783" t="s">
        <v>2155</v>
      </c>
      <c r="F783" t="s">
        <v>145</v>
      </c>
      <c r="G783" t="s">
        <v>4236</v>
      </c>
    </row>
    <row r="784" spans="1:7" s="241" customFormat="1" ht="44.25" customHeight="1">
      <c r="A784" t="s">
        <v>315</v>
      </c>
      <c r="B784" t="s">
        <v>4237</v>
      </c>
      <c r="C784" t="s">
        <v>132</v>
      </c>
      <c r="D784" t="s">
        <v>2139</v>
      </c>
      <c r="E784" t="s">
        <v>1367</v>
      </c>
      <c r="F784" t="s">
        <v>145</v>
      </c>
      <c r="G784" t="s">
        <v>4238</v>
      </c>
    </row>
    <row r="785" spans="1:7" s="241" customFormat="1" ht="44.25" customHeight="1">
      <c r="A785" t="s">
        <v>312</v>
      </c>
      <c r="B785" t="s">
        <v>4239</v>
      </c>
      <c r="C785" t="s">
        <v>132</v>
      </c>
      <c r="D785" t="s">
        <v>2143</v>
      </c>
      <c r="E785" t="s">
        <v>2144</v>
      </c>
      <c r="F785" t="s">
        <v>145</v>
      </c>
      <c r="G785" t="s">
        <v>4240</v>
      </c>
    </row>
    <row r="786" spans="1:7" s="241" customFormat="1" ht="44.25" customHeight="1">
      <c r="A786" t="s">
        <v>319</v>
      </c>
      <c r="B786" t="s">
        <v>4241</v>
      </c>
      <c r="C786" t="s">
        <v>132</v>
      </c>
      <c r="D786" t="s">
        <v>2143</v>
      </c>
      <c r="E786" t="s">
        <v>1367</v>
      </c>
      <c r="F786" t="s">
        <v>145</v>
      </c>
      <c r="G786" t="s">
        <v>4242</v>
      </c>
    </row>
    <row r="787" spans="1:7" s="241" customFormat="1" ht="44.25" customHeight="1">
      <c r="A787" t="s">
        <v>320</v>
      </c>
      <c r="B787" t="s">
        <v>4243</v>
      </c>
      <c r="C787" t="s">
        <v>132</v>
      </c>
      <c r="D787" t="s">
        <v>2139</v>
      </c>
      <c r="E787" t="s">
        <v>1367</v>
      </c>
      <c r="F787" t="s">
        <v>145</v>
      </c>
      <c r="G787" t="s">
        <v>4244</v>
      </c>
    </row>
    <row r="788" spans="1:7" s="241" customFormat="1" ht="44.25" customHeight="1">
      <c r="A788" t="s">
        <v>321</v>
      </c>
      <c r="B788" t="s">
        <v>4245</v>
      </c>
      <c r="C788" t="s">
        <v>132</v>
      </c>
      <c r="D788" t="s">
        <v>2139</v>
      </c>
      <c r="E788" t="s">
        <v>1367</v>
      </c>
      <c r="F788" t="s">
        <v>145</v>
      </c>
      <c r="G788" t="s">
        <v>4246</v>
      </c>
    </row>
    <row r="789" spans="1:7" s="241" customFormat="1" ht="44.25" customHeight="1">
      <c r="A789" t="s">
        <v>331</v>
      </c>
      <c r="B789" t="s">
        <v>4247</v>
      </c>
      <c r="C789" t="s">
        <v>132</v>
      </c>
      <c r="D789" t="s">
        <v>2143</v>
      </c>
      <c r="E789" t="s">
        <v>2155</v>
      </c>
      <c r="F789" t="s">
        <v>145</v>
      </c>
      <c r="G789" t="s">
        <v>4248</v>
      </c>
    </row>
    <row r="790" spans="1:7" s="241" customFormat="1" ht="44.25" customHeight="1">
      <c r="A790" t="s">
        <v>988</v>
      </c>
      <c r="B790" t="s">
        <v>4249</v>
      </c>
      <c r="C790" t="s">
        <v>132</v>
      </c>
      <c r="D790" t="s">
        <v>2143</v>
      </c>
      <c r="E790" t="s">
        <v>2162</v>
      </c>
      <c r="F790" t="s">
        <v>145</v>
      </c>
      <c r="G790" t="s">
        <v>4250</v>
      </c>
    </row>
    <row r="791" spans="1:7" s="241" customFormat="1" ht="44.25" customHeight="1">
      <c r="A791" t="s">
        <v>338</v>
      </c>
      <c r="B791" t="s">
        <v>4251</v>
      </c>
      <c r="C791" t="s">
        <v>132</v>
      </c>
      <c r="D791" t="s">
        <v>2143</v>
      </c>
      <c r="E791" t="s">
        <v>2144</v>
      </c>
      <c r="F791" t="s">
        <v>145</v>
      </c>
      <c r="G791" t="s">
        <v>4252</v>
      </c>
    </row>
    <row r="792" spans="1:7" s="241" customFormat="1" ht="44.25" customHeight="1">
      <c r="A792" t="s">
        <v>989</v>
      </c>
      <c r="B792" t="s">
        <v>4253</v>
      </c>
      <c r="C792" t="s">
        <v>132</v>
      </c>
      <c r="D792" t="s">
        <v>2143</v>
      </c>
      <c r="E792" t="s">
        <v>2162</v>
      </c>
      <c r="F792" t="s">
        <v>145</v>
      </c>
      <c r="G792" t="s">
        <v>4254</v>
      </c>
    </row>
    <row r="793" spans="1:7" s="241" customFormat="1" ht="44.25" customHeight="1">
      <c r="A793" t="s">
        <v>984</v>
      </c>
      <c r="B793" t="s">
        <v>4255</v>
      </c>
      <c r="C793" t="s">
        <v>132</v>
      </c>
      <c r="D793" t="s">
        <v>2143</v>
      </c>
      <c r="E793" t="s">
        <v>2162</v>
      </c>
      <c r="F793" t="s">
        <v>145</v>
      </c>
      <c r="G793" t="s">
        <v>4256</v>
      </c>
    </row>
    <row r="794" spans="1:7" s="241" customFormat="1" ht="44.25" customHeight="1">
      <c r="A794" t="s">
        <v>335</v>
      </c>
      <c r="B794" t="s">
        <v>4257</v>
      </c>
      <c r="C794" t="s">
        <v>132</v>
      </c>
      <c r="D794" t="s">
        <v>2139</v>
      </c>
      <c r="E794" t="s">
        <v>1367</v>
      </c>
      <c r="F794" t="s">
        <v>145</v>
      </c>
      <c r="G794" t="s">
        <v>4258</v>
      </c>
    </row>
    <row r="795" spans="1:7" s="241" customFormat="1" ht="44.25" customHeight="1">
      <c r="A795" t="s">
        <v>983</v>
      </c>
      <c r="B795" t="s">
        <v>4259</v>
      </c>
      <c r="C795" t="s">
        <v>132</v>
      </c>
      <c r="D795" t="s">
        <v>2143</v>
      </c>
      <c r="E795" t="s">
        <v>2162</v>
      </c>
      <c r="F795" t="s">
        <v>145</v>
      </c>
      <c r="G795" t="s">
        <v>4260</v>
      </c>
    </row>
    <row r="796" spans="1:7" s="241" customFormat="1" ht="44.25" customHeight="1">
      <c r="A796" t="s">
        <v>342</v>
      </c>
      <c r="B796" t="s">
        <v>4261</v>
      </c>
      <c r="C796" t="s">
        <v>132</v>
      </c>
      <c r="D796" t="s">
        <v>2139</v>
      </c>
      <c r="E796" t="s">
        <v>1367</v>
      </c>
      <c r="F796" t="s">
        <v>145</v>
      </c>
      <c r="G796" t="s">
        <v>4262</v>
      </c>
    </row>
    <row r="797" spans="1:7" s="241" customFormat="1" ht="44.25" customHeight="1">
      <c r="A797" t="s">
        <v>344</v>
      </c>
      <c r="B797" t="s">
        <v>4263</v>
      </c>
      <c r="C797" t="s">
        <v>132</v>
      </c>
      <c r="D797" t="s">
        <v>2143</v>
      </c>
      <c r="E797" t="s">
        <v>2162</v>
      </c>
      <c r="F797" t="s">
        <v>145</v>
      </c>
      <c r="G797" t="s">
        <v>4264</v>
      </c>
    </row>
    <row r="798" spans="1:7" s="241" customFormat="1" ht="44.25" customHeight="1">
      <c r="A798" t="s">
        <v>346</v>
      </c>
      <c r="B798" t="s">
        <v>4265</v>
      </c>
      <c r="C798" t="s">
        <v>132</v>
      </c>
      <c r="D798" t="s">
        <v>2139</v>
      </c>
      <c r="E798" t="s">
        <v>1367</v>
      </c>
      <c r="F798" t="s">
        <v>145</v>
      </c>
      <c r="G798" t="s">
        <v>4266</v>
      </c>
    </row>
    <row r="799" spans="1:7" s="241" customFormat="1" ht="44.25" customHeight="1">
      <c r="A799" t="s">
        <v>348</v>
      </c>
      <c r="B799" t="s">
        <v>4267</v>
      </c>
      <c r="C799" t="s">
        <v>132</v>
      </c>
      <c r="D799" t="s">
        <v>2139</v>
      </c>
      <c r="E799" t="s">
        <v>1367</v>
      </c>
      <c r="F799" t="s">
        <v>145</v>
      </c>
      <c r="G799" t="s">
        <v>4268</v>
      </c>
    </row>
    <row r="800" spans="1:7" s="241" customFormat="1" ht="44.25" customHeight="1">
      <c r="A800" t="s">
        <v>981</v>
      </c>
      <c r="B800" t="s">
        <v>4269</v>
      </c>
      <c r="C800" t="s">
        <v>132</v>
      </c>
      <c r="D800" t="s">
        <v>2143</v>
      </c>
      <c r="E800" t="s">
        <v>2162</v>
      </c>
      <c r="F800" t="s">
        <v>145</v>
      </c>
      <c r="G800" t="s">
        <v>4270</v>
      </c>
    </row>
    <row r="801" spans="1:7" s="241" customFormat="1" ht="44.25" customHeight="1">
      <c r="A801" t="s">
        <v>360</v>
      </c>
      <c r="B801" t="s">
        <v>4271</v>
      </c>
      <c r="C801" t="s">
        <v>132</v>
      </c>
      <c r="D801" t="s">
        <v>2139</v>
      </c>
      <c r="E801" t="s">
        <v>1367</v>
      </c>
      <c r="F801" t="s">
        <v>145</v>
      </c>
      <c r="G801" t="s">
        <v>4272</v>
      </c>
    </row>
    <row r="802" spans="1:7" s="241" customFormat="1" ht="44.25" customHeight="1">
      <c r="A802" t="s">
        <v>701</v>
      </c>
      <c r="B802" t="s">
        <v>4273</v>
      </c>
      <c r="C802" t="s">
        <v>132</v>
      </c>
      <c r="D802" t="s">
        <v>79</v>
      </c>
      <c r="E802" t="s">
        <v>2155</v>
      </c>
      <c r="F802" t="s">
        <v>145</v>
      </c>
      <c r="G802" t="s">
        <v>4274</v>
      </c>
    </row>
    <row r="803" spans="1:7" s="241" customFormat="1" ht="44.25" customHeight="1">
      <c r="A803" t="s">
        <v>978</v>
      </c>
      <c r="B803" t="s">
        <v>4275</v>
      </c>
      <c r="C803" t="s">
        <v>132</v>
      </c>
      <c r="D803" t="s">
        <v>2143</v>
      </c>
      <c r="E803" t="s">
        <v>2162</v>
      </c>
      <c r="F803" t="s">
        <v>145</v>
      </c>
      <c r="G803" t="s">
        <v>4276</v>
      </c>
    </row>
    <row r="804" spans="1:7" s="241" customFormat="1" ht="44.25" customHeight="1">
      <c r="A804" t="s">
        <v>760</v>
      </c>
      <c r="B804" t="s">
        <v>4277</v>
      </c>
      <c r="C804" t="s">
        <v>132</v>
      </c>
      <c r="D804" t="s">
        <v>2139</v>
      </c>
      <c r="E804" t="s">
        <v>1367</v>
      </c>
      <c r="F804" t="s">
        <v>145</v>
      </c>
      <c r="G804" t="s">
        <v>4278</v>
      </c>
    </row>
    <row r="805" spans="1:7" s="241" customFormat="1" ht="44.25" customHeight="1">
      <c r="A805" t="s">
        <v>977</v>
      </c>
      <c r="B805" t="s">
        <v>4279</v>
      </c>
      <c r="C805" t="s">
        <v>132</v>
      </c>
      <c r="D805" t="s">
        <v>2143</v>
      </c>
      <c r="E805" t="s">
        <v>2162</v>
      </c>
      <c r="F805" t="s">
        <v>145</v>
      </c>
      <c r="G805" t="s">
        <v>4280</v>
      </c>
    </row>
    <row r="806" spans="1:7" s="241" customFormat="1" ht="44.25" customHeight="1">
      <c r="A806" t="s">
        <v>716</v>
      </c>
      <c r="B806" t="s">
        <v>4281</v>
      </c>
      <c r="C806" t="s">
        <v>132</v>
      </c>
      <c r="D806" t="s">
        <v>79</v>
      </c>
      <c r="E806" t="s">
        <v>2155</v>
      </c>
      <c r="F806" t="s">
        <v>145</v>
      </c>
      <c r="G806" t="s">
        <v>4282</v>
      </c>
    </row>
    <row r="807" spans="1:7" s="241" customFormat="1" ht="44.25" customHeight="1">
      <c r="A807" t="s">
        <v>714</v>
      </c>
      <c r="B807" t="s">
        <v>4283</v>
      </c>
      <c r="C807" t="s">
        <v>132</v>
      </c>
      <c r="D807" t="s">
        <v>79</v>
      </c>
      <c r="E807" t="s">
        <v>2155</v>
      </c>
      <c r="F807" t="s">
        <v>145</v>
      </c>
      <c r="G807" t="s">
        <v>4284</v>
      </c>
    </row>
    <row r="808" spans="1:7" s="241" customFormat="1" ht="44.25" customHeight="1">
      <c r="A808" t="s">
        <v>356</v>
      </c>
      <c r="B808" t="s">
        <v>4285</v>
      </c>
      <c r="C808" t="s">
        <v>132</v>
      </c>
      <c r="D808" t="s">
        <v>2143</v>
      </c>
      <c r="E808" t="s">
        <v>2162</v>
      </c>
      <c r="F808" t="s">
        <v>145</v>
      </c>
      <c r="G808" t="s">
        <v>4286</v>
      </c>
    </row>
    <row r="809" spans="1:7" s="241" customFormat="1" ht="44.25" customHeight="1">
      <c r="A809" t="s">
        <v>358</v>
      </c>
      <c r="B809" t="s">
        <v>4287</v>
      </c>
      <c r="C809" t="s">
        <v>132</v>
      </c>
      <c r="D809" t="s">
        <v>2139</v>
      </c>
      <c r="E809" t="s">
        <v>1367</v>
      </c>
      <c r="F809" t="s">
        <v>145</v>
      </c>
      <c r="G809" t="s">
        <v>4288</v>
      </c>
    </row>
    <row r="810" spans="1:7" s="241" customFormat="1" ht="44.25" customHeight="1">
      <c r="A810" t="s">
        <v>974</v>
      </c>
      <c r="B810" t="s">
        <v>4289</v>
      </c>
      <c r="C810" t="s">
        <v>132</v>
      </c>
      <c r="D810" t="s">
        <v>2143</v>
      </c>
      <c r="E810" t="s">
        <v>2162</v>
      </c>
      <c r="F810" t="s">
        <v>145</v>
      </c>
      <c r="G810" t="s">
        <v>4290</v>
      </c>
    </row>
    <row r="811" spans="1:7" s="241" customFormat="1" ht="44.25" customHeight="1">
      <c r="A811" t="s">
        <v>975</v>
      </c>
      <c r="B811" t="s">
        <v>4291</v>
      </c>
      <c r="C811" t="s">
        <v>132</v>
      </c>
      <c r="D811" t="s">
        <v>2143</v>
      </c>
      <c r="E811" t="s">
        <v>2162</v>
      </c>
      <c r="F811" t="s">
        <v>145</v>
      </c>
      <c r="G811" t="s">
        <v>4292</v>
      </c>
    </row>
    <row r="812" spans="1:7" s="241" customFormat="1" ht="44.25" customHeight="1">
      <c r="A812" t="s">
        <v>973</v>
      </c>
      <c r="B812" t="s">
        <v>4293</v>
      </c>
      <c r="C812" t="s">
        <v>132</v>
      </c>
      <c r="D812" t="s">
        <v>2143</v>
      </c>
      <c r="E812" t="s">
        <v>2162</v>
      </c>
      <c r="F812" t="s">
        <v>145</v>
      </c>
      <c r="G812" t="s">
        <v>4294</v>
      </c>
    </row>
    <row r="813" spans="1:7" s="241" customFormat="1" ht="44.25" customHeight="1">
      <c r="A813" t="s">
        <v>368</v>
      </c>
      <c r="B813" t="s">
        <v>4295</v>
      </c>
      <c r="C813" t="s">
        <v>132</v>
      </c>
      <c r="D813" t="s">
        <v>2139</v>
      </c>
      <c r="E813" t="s">
        <v>1365</v>
      </c>
      <c r="F813" t="s">
        <v>145</v>
      </c>
      <c r="G813" t="s">
        <v>4296</v>
      </c>
    </row>
    <row r="814" spans="1:7" s="241" customFormat="1" ht="44.25" customHeight="1">
      <c r="A814" t="s">
        <v>361</v>
      </c>
      <c r="B814" t="s">
        <v>4297</v>
      </c>
      <c r="C814" t="s">
        <v>132</v>
      </c>
      <c r="D814" t="s">
        <v>2143</v>
      </c>
      <c r="E814" t="s">
        <v>2144</v>
      </c>
      <c r="F814" t="s">
        <v>145</v>
      </c>
      <c r="G814" t="s">
        <v>4298</v>
      </c>
    </row>
    <row r="815" spans="1:7" s="241" customFormat="1" ht="44.25" customHeight="1">
      <c r="A815" t="s">
        <v>968</v>
      </c>
      <c r="B815" t="s">
        <v>4299</v>
      </c>
      <c r="C815" t="s">
        <v>132</v>
      </c>
      <c r="D815" t="s">
        <v>2143</v>
      </c>
      <c r="E815" t="s">
        <v>2162</v>
      </c>
      <c r="F815" t="s">
        <v>145</v>
      </c>
      <c r="G815" t="s">
        <v>4300</v>
      </c>
    </row>
    <row r="816" spans="1:7" s="241" customFormat="1" ht="44.25" customHeight="1">
      <c r="A816" t="s">
        <v>969</v>
      </c>
      <c r="B816" t="s">
        <v>4301</v>
      </c>
      <c r="C816" t="s">
        <v>132</v>
      </c>
      <c r="D816" t="s">
        <v>2143</v>
      </c>
      <c r="E816" t="s">
        <v>2162</v>
      </c>
      <c r="F816" t="s">
        <v>145</v>
      </c>
      <c r="G816" t="s">
        <v>4302</v>
      </c>
    </row>
    <row r="817" spans="1:7" s="241" customFormat="1" ht="44.25" customHeight="1">
      <c r="A817" t="s">
        <v>967</v>
      </c>
      <c r="B817" t="s">
        <v>4303</v>
      </c>
      <c r="C817" t="s">
        <v>132</v>
      </c>
      <c r="D817" t="s">
        <v>2143</v>
      </c>
      <c r="E817" t="s">
        <v>2162</v>
      </c>
      <c r="F817" t="s">
        <v>145</v>
      </c>
      <c r="G817" t="s">
        <v>4304</v>
      </c>
    </row>
    <row r="818" spans="1:7" s="241" customFormat="1" ht="44.25" customHeight="1">
      <c r="A818" t="s">
        <v>965</v>
      </c>
      <c r="B818" t="s">
        <v>4305</v>
      </c>
      <c r="C818" t="s">
        <v>132</v>
      </c>
      <c r="D818" t="s">
        <v>2143</v>
      </c>
      <c r="E818" t="s">
        <v>2162</v>
      </c>
      <c r="F818" t="s">
        <v>145</v>
      </c>
      <c r="G818" t="s">
        <v>4306</v>
      </c>
    </row>
    <row r="819" spans="1:7" s="241" customFormat="1" ht="44.25" customHeight="1">
      <c r="A819" t="s">
        <v>372</v>
      </c>
      <c r="B819" t="s">
        <v>4307</v>
      </c>
      <c r="C819" t="s">
        <v>132</v>
      </c>
      <c r="D819" t="s">
        <v>2139</v>
      </c>
      <c r="E819" t="s">
        <v>1367</v>
      </c>
      <c r="F819" t="s">
        <v>145</v>
      </c>
      <c r="G819" t="s">
        <v>4308</v>
      </c>
    </row>
    <row r="820" spans="1:7" s="241" customFormat="1" ht="44.25" customHeight="1">
      <c r="A820" t="s">
        <v>373</v>
      </c>
      <c r="B820" t="s">
        <v>4309</v>
      </c>
      <c r="C820" t="s">
        <v>132</v>
      </c>
      <c r="D820" t="s">
        <v>2143</v>
      </c>
      <c r="E820" t="s">
        <v>2162</v>
      </c>
      <c r="F820" t="s">
        <v>145</v>
      </c>
      <c r="G820" t="s">
        <v>4310</v>
      </c>
    </row>
    <row r="821" spans="1:7" s="241" customFormat="1" ht="44.25" customHeight="1">
      <c r="A821" t="s">
        <v>964</v>
      </c>
      <c r="B821" t="s">
        <v>4311</v>
      </c>
      <c r="C821" t="s">
        <v>132</v>
      </c>
      <c r="D821" t="s">
        <v>2143</v>
      </c>
      <c r="E821" t="s">
        <v>2162</v>
      </c>
      <c r="F821" t="s">
        <v>145</v>
      </c>
      <c r="G821" t="s">
        <v>4312</v>
      </c>
    </row>
    <row r="822" spans="1:7" s="241" customFormat="1" ht="44.25" customHeight="1">
      <c r="A822" t="s">
        <v>963</v>
      </c>
      <c r="B822" t="s">
        <v>4313</v>
      </c>
      <c r="C822" t="s">
        <v>132</v>
      </c>
      <c r="D822" t="s">
        <v>2143</v>
      </c>
      <c r="E822" t="s">
        <v>2162</v>
      </c>
      <c r="F822" t="s">
        <v>145</v>
      </c>
      <c r="G822" t="s">
        <v>4314</v>
      </c>
    </row>
    <row r="823" spans="1:7" s="241" customFormat="1" ht="44.25" customHeight="1">
      <c r="A823" t="s">
        <v>961</v>
      </c>
      <c r="B823" t="s">
        <v>4315</v>
      </c>
      <c r="C823" t="s">
        <v>132</v>
      </c>
      <c r="D823" t="s">
        <v>2143</v>
      </c>
      <c r="E823" t="s">
        <v>2162</v>
      </c>
      <c r="F823" t="s">
        <v>145</v>
      </c>
      <c r="G823" t="s">
        <v>4316</v>
      </c>
    </row>
    <row r="824" spans="1:7" s="241" customFormat="1" ht="44.25" customHeight="1">
      <c r="A824" t="s">
        <v>375</v>
      </c>
      <c r="B824" t="s">
        <v>4317</v>
      </c>
      <c r="C824" t="s">
        <v>132</v>
      </c>
      <c r="D824" t="s">
        <v>79</v>
      </c>
      <c r="E824" t="s">
        <v>4318</v>
      </c>
      <c r="F824" t="s">
        <v>145</v>
      </c>
      <c r="G824" t="s">
        <v>4319</v>
      </c>
    </row>
    <row r="825" spans="1:7" s="241" customFormat="1" ht="44.25" customHeight="1">
      <c r="A825" t="s">
        <v>960</v>
      </c>
      <c r="B825" t="s">
        <v>4320</v>
      </c>
      <c r="C825" t="s">
        <v>132</v>
      </c>
      <c r="D825" t="s">
        <v>2143</v>
      </c>
      <c r="E825" t="s">
        <v>2162</v>
      </c>
      <c r="F825" t="s">
        <v>145</v>
      </c>
      <c r="G825" t="s">
        <v>4321</v>
      </c>
    </row>
    <row r="826" spans="1:7" s="241" customFormat="1" ht="44.25" customHeight="1">
      <c r="A826" t="s">
        <v>958</v>
      </c>
      <c r="B826" t="s">
        <v>4322</v>
      </c>
      <c r="C826" t="s">
        <v>132</v>
      </c>
      <c r="D826" t="s">
        <v>2143</v>
      </c>
      <c r="E826" t="s">
        <v>2162</v>
      </c>
      <c r="F826" t="s">
        <v>145</v>
      </c>
      <c r="G826" t="s">
        <v>4323</v>
      </c>
    </row>
    <row r="827" spans="1:7" s="241" customFormat="1" ht="44.25" customHeight="1">
      <c r="A827" t="s">
        <v>1368</v>
      </c>
      <c r="B827" t="s">
        <v>4324</v>
      </c>
      <c r="C827" t="s">
        <v>132</v>
      </c>
      <c r="D827" t="s">
        <v>2139</v>
      </c>
      <c r="E827" t="s">
        <v>1365</v>
      </c>
      <c r="F827" t="s">
        <v>145</v>
      </c>
      <c r="G827" t="s">
        <v>4325</v>
      </c>
    </row>
    <row r="828" spans="1:7" s="241" customFormat="1" ht="44.25" customHeight="1">
      <c r="A828" t="s">
        <v>754</v>
      </c>
      <c r="B828" t="s">
        <v>4326</v>
      </c>
      <c r="C828" t="s">
        <v>132</v>
      </c>
      <c r="D828" t="s">
        <v>2139</v>
      </c>
      <c r="E828" t="s">
        <v>1367</v>
      </c>
      <c r="F828" t="s">
        <v>145</v>
      </c>
      <c r="G828" t="s">
        <v>4327</v>
      </c>
    </row>
    <row r="829" spans="1:7" s="241" customFormat="1" ht="44.25" customHeight="1">
      <c r="A829" t="s">
        <v>957</v>
      </c>
      <c r="B829" t="s">
        <v>4328</v>
      </c>
      <c r="C829" t="s">
        <v>132</v>
      </c>
      <c r="D829" t="s">
        <v>2143</v>
      </c>
      <c r="E829" t="s">
        <v>2162</v>
      </c>
      <c r="F829" t="s">
        <v>145</v>
      </c>
      <c r="G829" t="s">
        <v>4329</v>
      </c>
    </row>
    <row r="830" spans="1:7" s="241" customFormat="1" ht="44.25" customHeight="1">
      <c r="A830" t="s">
        <v>636</v>
      </c>
      <c r="B830" t="s">
        <v>4330</v>
      </c>
      <c r="C830" t="s">
        <v>132</v>
      </c>
      <c r="D830" t="s">
        <v>79</v>
      </c>
      <c r="E830" t="s">
        <v>4091</v>
      </c>
      <c r="F830" t="s">
        <v>145</v>
      </c>
      <c r="G830" t="s">
        <v>4331</v>
      </c>
    </row>
    <row r="831" spans="1:7" s="241" customFormat="1" ht="44.25" customHeight="1">
      <c r="A831" t="s">
        <v>951</v>
      </c>
      <c r="B831" t="s">
        <v>4332</v>
      </c>
      <c r="C831" t="s">
        <v>132</v>
      </c>
      <c r="D831" t="s">
        <v>2143</v>
      </c>
      <c r="E831" t="s">
        <v>2162</v>
      </c>
      <c r="F831" t="s">
        <v>145</v>
      </c>
      <c r="G831" t="s">
        <v>4333</v>
      </c>
    </row>
    <row r="832" spans="1:7" s="241" customFormat="1" ht="44.25" customHeight="1">
      <c r="A832" t="s">
        <v>950</v>
      </c>
      <c r="B832" t="s">
        <v>4334</v>
      </c>
      <c r="C832" t="s">
        <v>132</v>
      </c>
      <c r="D832" t="s">
        <v>2143</v>
      </c>
      <c r="E832" t="s">
        <v>2162</v>
      </c>
      <c r="F832" t="s">
        <v>145</v>
      </c>
      <c r="G832" t="s">
        <v>4335</v>
      </c>
    </row>
    <row r="833" spans="1:7" s="241" customFormat="1" ht="44.25" customHeight="1">
      <c r="A833" t="s">
        <v>4336</v>
      </c>
      <c r="B833" t="s">
        <v>4337</v>
      </c>
      <c r="C833" t="s">
        <v>132</v>
      </c>
      <c r="D833" t="s">
        <v>2143</v>
      </c>
      <c r="E833" t="s">
        <v>4338</v>
      </c>
      <c r="F833" t="s">
        <v>145</v>
      </c>
      <c r="G833" t="s">
        <v>4339</v>
      </c>
    </row>
    <row r="834" spans="1:7" s="241" customFormat="1" ht="44.25" customHeight="1">
      <c r="A834" t="s">
        <v>942</v>
      </c>
      <c r="B834" t="s">
        <v>4340</v>
      </c>
      <c r="C834" t="s">
        <v>132</v>
      </c>
      <c r="D834" t="s">
        <v>2143</v>
      </c>
      <c r="E834" t="s">
        <v>2162</v>
      </c>
      <c r="F834" t="s">
        <v>145</v>
      </c>
      <c r="G834" t="s">
        <v>4341</v>
      </c>
    </row>
    <row r="835" spans="1:7" s="241" customFormat="1" ht="44.25" customHeight="1">
      <c r="A835" t="s">
        <v>941</v>
      </c>
      <c r="B835" t="s">
        <v>4342</v>
      </c>
      <c r="C835" t="s">
        <v>132</v>
      </c>
      <c r="D835" t="s">
        <v>2143</v>
      </c>
      <c r="E835" t="s">
        <v>2162</v>
      </c>
      <c r="F835" t="s">
        <v>145</v>
      </c>
      <c r="G835" t="s">
        <v>4343</v>
      </c>
    </row>
    <row r="836" spans="1:7" s="241" customFormat="1" ht="44.25" customHeight="1">
      <c r="A836" t="s">
        <v>940</v>
      </c>
      <c r="B836" t="s">
        <v>4344</v>
      </c>
      <c r="C836" t="s">
        <v>132</v>
      </c>
      <c r="D836" t="s">
        <v>2143</v>
      </c>
      <c r="E836" t="s">
        <v>2162</v>
      </c>
      <c r="F836" t="s">
        <v>145</v>
      </c>
      <c r="G836" t="s">
        <v>4345</v>
      </c>
    </row>
    <row r="837" spans="1:7" s="241" customFormat="1" ht="44.25" customHeight="1">
      <c r="A837" t="s">
        <v>938</v>
      </c>
      <c r="B837" t="s">
        <v>4346</v>
      </c>
      <c r="C837" t="s">
        <v>132</v>
      </c>
      <c r="D837" t="s">
        <v>2143</v>
      </c>
      <c r="E837" t="s">
        <v>2162</v>
      </c>
      <c r="F837" t="s">
        <v>145</v>
      </c>
      <c r="G837" t="s">
        <v>4347</v>
      </c>
    </row>
    <row r="838" spans="1:7" s="241" customFormat="1" ht="44.25" customHeight="1">
      <c r="A838" t="s">
        <v>3366</v>
      </c>
      <c r="B838" t="s">
        <v>3367</v>
      </c>
      <c r="C838" t="s">
        <v>132</v>
      </c>
      <c r="D838" t="s">
        <v>79</v>
      </c>
      <c r="E838" t="s">
        <v>3368</v>
      </c>
      <c r="F838" t="s">
        <v>145</v>
      </c>
      <c r="G838" t="s">
        <v>4348</v>
      </c>
    </row>
    <row r="839" spans="1:7" s="241" customFormat="1" ht="44.25" customHeight="1">
      <c r="A839" t="s">
        <v>937</v>
      </c>
      <c r="B839" t="s">
        <v>4349</v>
      </c>
      <c r="C839" t="s">
        <v>132</v>
      </c>
      <c r="D839" t="s">
        <v>2143</v>
      </c>
      <c r="E839" t="s">
        <v>2162</v>
      </c>
      <c r="F839" t="s">
        <v>145</v>
      </c>
      <c r="G839" t="s">
        <v>4350</v>
      </c>
    </row>
    <row r="840" spans="1:7" s="241" customFormat="1" ht="44.25" customHeight="1">
      <c r="A840" t="s">
        <v>751</v>
      </c>
      <c r="B840" t="s">
        <v>4351</v>
      </c>
      <c r="C840" t="s">
        <v>132</v>
      </c>
      <c r="D840" t="s">
        <v>2139</v>
      </c>
      <c r="E840" t="s">
        <v>1367</v>
      </c>
      <c r="F840" t="s">
        <v>145</v>
      </c>
      <c r="G840" t="s">
        <v>4352</v>
      </c>
    </row>
    <row r="841" spans="1:7" s="241" customFormat="1" ht="44.25" customHeight="1">
      <c r="A841" t="s">
        <v>929</v>
      </c>
      <c r="B841" t="s">
        <v>4353</v>
      </c>
      <c r="C841" t="s">
        <v>132</v>
      </c>
      <c r="D841" t="s">
        <v>2143</v>
      </c>
      <c r="E841" t="s">
        <v>2162</v>
      </c>
      <c r="F841" t="s">
        <v>145</v>
      </c>
      <c r="G841" t="s">
        <v>4354</v>
      </c>
    </row>
    <row r="842" spans="1:7" s="241" customFormat="1" ht="44.25" customHeight="1">
      <c r="A842" t="s">
        <v>925</v>
      </c>
      <c r="B842" t="s">
        <v>4355</v>
      </c>
      <c r="C842" t="s">
        <v>132</v>
      </c>
      <c r="D842" t="s">
        <v>2143</v>
      </c>
      <c r="E842" t="s">
        <v>2162</v>
      </c>
      <c r="F842" t="s">
        <v>145</v>
      </c>
      <c r="G842" t="s">
        <v>4356</v>
      </c>
    </row>
    <row r="843" spans="1:7" s="241" customFormat="1" ht="44.25" customHeight="1">
      <c r="A843" t="s">
        <v>1046</v>
      </c>
      <c r="B843" t="s">
        <v>4357</v>
      </c>
      <c r="C843" t="s">
        <v>132</v>
      </c>
      <c r="D843" t="s">
        <v>2143</v>
      </c>
      <c r="E843" t="s">
        <v>2162</v>
      </c>
      <c r="F843" t="s">
        <v>145</v>
      </c>
      <c r="G843" t="s">
        <v>4358</v>
      </c>
    </row>
    <row r="844" spans="1:7" s="241" customFormat="1" ht="44.25" customHeight="1">
      <c r="A844" t="s">
        <v>1047</v>
      </c>
      <c r="B844" t="s">
        <v>4359</v>
      </c>
      <c r="C844" t="s">
        <v>132</v>
      </c>
      <c r="D844" t="s">
        <v>2143</v>
      </c>
      <c r="E844" t="s">
        <v>2162</v>
      </c>
      <c r="F844" t="s">
        <v>145</v>
      </c>
      <c r="G844" t="s">
        <v>4360</v>
      </c>
    </row>
    <row r="845" spans="1:7" s="241" customFormat="1" ht="44.25" customHeight="1">
      <c r="A845" t="s">
        <v>4361</v>
      </c>
      <c r="B845" t="s">
        <v>4362</v>
      </c>
      <c r="C845" t="s">
        <v>132</v>
      </c>
      <c r="D845" t="s">
        <v>79</v>
      </c>
      <c r="E845" t="s">
        <v>4363</v>
      </c>
      <c r="F845" t="s">
        <v>145</v>
      </c>
      <c r="G845" t="s">
        <v>4364</v>
      </c>
    </row>
    <row r="846" spans="1:7" s="241" customFormat="1" ht="44.25" customHeight="1">
      <c r="A846" t="s">
        <v>690</v>
      </c>
      <c r="B846" t="s">
        <v>4365</v>
      </c>
      <c r="C846" t="s">
        <v>132</v>
      </c>
      <c r="D846" t="s">
        <v>2143</v>
      </c>
      <c r="E846" t="s">
        <v>1519</v>
      </c>
      <c r="F846" t="s">
        <v>145</v>
      </c>
      <c r="G846" t="s">
        <v>4366</v>
      </c>
    </row>
    <row r="847" spans="1:7" s="241" customFormat="1" ht="44.25" customHeight="1">
      <c r="A847" t="s">
        <v>919</v>
      </c>
      <c r="B847" t="s">
        <v>4367</v>
      </c>
      <c r="C847" t="s">
        <v>132</v>
      </c>
      <c r="D847" t="s">
        <v>2143</v>
      </c>
      <c r="E847" t="s">
        <v>2162</v>
      </c>
      <c r="F847" t="s">
        <v>145</v>
      </c>
      <c r="G847" t="s">
        <v>4368</v>
      </c>
    </row>
    <row r="848" spans="1:7" s="241" customFormat="1" ht="44.25" customHeight="1">
      <c r="A848" t="s">
        <v>918</v>
      </c>
      <c r="B848" t="s">
        <v>4369</v>
      </c>
      <c r="C848" t="s">
        <v>132</v>
      </c>
      <c r="D848" t="s">
        <v>2143</v>
      </c>
      <c r="E848" t="s">
        <v>2162</v>
      </c>
      <c r="F848" t="s">
        <v>145</v>
      </c>
      <c r="G848" t="s">
        <v>4370</v>
      </c>
    </row>
    <row r="849" spans="1:7" s="241" customFormat="1" ht="44.25" customHeight="1">
      <c r="A849" t="s">
        <v>917</v>
      </c>
      <c r="B849" t="s">
        <v>4371</v>
      </c>
      <c r="C849" t="s">
        <v>132</v>
      </c>
      <c r="D849" t="s">
        <v>2143</v>
      </c>
      <c r="E849" t="s">
        <v>2162</v>
      </c>
      <c r="F849" t="s">
        <v>145</v>
      </c>
      <c r="G849" t="s">
        <v>4372</v>
      </c>
    </row>
    <row r="850" spans="1:7" s="241" customFormat="1" ht="44.25" customHeight="1">
      <c r="A850" t="s">
        <v>915</v>
      </c>
      <c r="B850" t="s">
        <v>4373</v>
      </c>
      <c r="C850" t="s">
        <v>132</v>
      </c>
      <c r="D850" t="s">
        <v>2143</v>
      </c>
      <c r="E850" t="s">
        <v>2162</v>
      </c>
      <c r="F850" t="s">
        <v>145</v>
      </c>
      <c r="G850" t="s">
        <v>4374</v>
      </c>
    </row>
    <row r="851" spans="1:7" s="241" customFormat="1" ht="44.25" customHeight="1">
      <c r="A851" t="s">
        <v>488</v>
      </c>
      <c r="B851" t="s">
        <v>4375</v>
      </c>
      <c r="C851" t="s">
        <v>132</v>
      </c>
      <c r="D851" t="s">
        <v>2143</v>
      </c>
      <c r="E851" t="s">
        <v>2144</v>
      </c>
      <c r="F851" t="s">
        <v>145</v>
      </c>
      <c r="G851" t="s">
        <v>4376</v>
      </c>
    </row>
    <row r="852" spans="1:7" s="241" customFormat="1" ht="44.25" customHeight="1">
      <c r="A852" t="s">
        <v>914</v>
      </c>
      <c r="B852" t="s">
        <v>4377</v>
      </c>
      <c r="C852" t="s">
        <v>132</v>
      </c>
      <c r="D852" t="s">
        <v>2143</v>
      </c>
      <c r="E852" t="s">
        <v>2162</v>
      </c>
      <c r="F852" t="s">
        <v>145</v>
      </c>
      <c r="G852" t="s">
        <v>4378</v>
      </c>
    </row>
    <row r="853" spans="1:7" s="241" customFormat="1" ht="44.25" customHeight="1">
      <c r="A853" t="s">
        <v>798</v>
      </c>
      <c r="B853" t="s">
        <v>4379</v>
      </c>
      <c r="C853" t="s">
        <v>132</v>
      </c>
      <c r="D853" t="s">
        <v>79</v>
      </c>
      <c r="E853" t="s">
        <v>4038</v>
      </c>
      <c r="F853" t="s">
        <v>145</v>
      </c>
      <c r="G853" t="s">
        <v>4380</v>
      </c>
    </row>
    <row r="854" spans="1:7" s="241" customFormat="1" ht="44.25" customHeight="1">
      <c r="A854" t="s">
        <v>768</v>
      </c>
      <c r="B854" t="s">
        <v>4381</v>
      </c>
      <c r="C854" t="s">
        <v>132</v>
      </c>
      <c r="D854" t="s">
        <v>79</v>
      </c>
      <c r="E854" t="s">
        <v>4382</v>
      </c>
      <c r="F854" t="s">
        <v>145</v>
      </c>
      <c r="G854" t="s">
        <v>4383</v>
      </c>
    </row>
    <row r="855" spans="1:7" s="241" customFormat="1" ht="44.25" customHeight="1">
      <c r="A855" t="s">
        <v>769</v>
      </c>
      <c r="B855" t="s">
        <v>4384</v>
      </c>
      <c r="C855" t="s">
        <v>132</v>
      </c>
      <c r="D855" t="s">
        <v>79</v>
      </c>
      <c r="E855" t="s">
        <v>4385</v>
      </c>
      <c r="F855" t="s">
        <v>145</v>
      </c>
      <c r="G855" t="s">
        <v>4386</v>
      </c>
    </row>
    <row r="856" spans="1:7" s="241" customFormat="1" ht="44.25" customHeight="1">
      <c r="A856" t="s">
        <v>765</v>
      </c>
      <c r="B856" t="s">
        <v>4387</v>
      </c>
      <c r="C856" t="s">
        <v>132</v>
      </c>
      <c r="D856" t="s">
        <v>79</v>
      </c>
      <c r="E856" t="s">
        <v>4388</v>
      </c>
      <c r="F856" t="s">
        <v>145</v>
      </c>
      <c r="G856" t="s">
        <v>4389</v>
      </c>
    </row>
    <row r="857" spans="1:7" s="241" customFormat="1" ht="44.25" customHeight="1">
      <c r="A857" t="s">
        <v>838</v>
      </c>
      <c r="B857" t="s">
        <v>4390</v>
      </c>
      <c r="C857" t="s">
        <v>132</v>
      </c>
      <c r="D857" t="s">
        <v>79</v>
      </c>
      <c r="E857" t="s">
        <v>4391</v>
      </c>
      <c r="F857" t="s">
        <v>145</v>
      </c>
      <c r="G857" t="s">
        <v>4392</v>
      </c>
    </row>
    <row r="858" spans="1:7" s="241" customFormat="1" ht="44.25" customHeight="1">
      <c r="A858" t="s">
        <v>403</v>
      </c>
      <c r="B858" t="s">
        <v>4393</v>
      </c>
      <c r="C858" t="s">
        <v>132</v>
      </c>
      <c r="D858" t="s">
        <v>79</v>
      </c>
      <c r="E858" t="s">
        <v>4394</v>
      </c>
      <c r="F858" t="s">
        <v>145</v>
      </c>
      <c r="G858" t="s">
        <v>4395</v>
      </c>
    </row>
    <row r="859" spans="1:7" s="241" customFormat="1" ht="44.25" customHeight="1">
      <c r="A859" t="s">
        <v>726</v>
      </c>
      <c r="B859" t="s">
        <v>4396</v>
      </c>
      <c r="C859" t="s">
        <v>132</v>
      </c>
      <c r="D859" t="s">
        <v>2143</v>
      </c>
      <c r="E859" t="s">
        <v>4397</v>
      </c>
      <c r="F859" t="s">
        <v>145</v>
      </c>
      <c r="G859" t="s">
        <v>4398</v>
      </c>
    </row>
    <row r="860" spans="1:7" s="241" customFormat="1" ht="44.25" customHeight="1">
      <c r="A860" t="s">
        <v>688</v>
      </c>
      <c r="B860" t="s">
        <v>4399</v>
      </c>
      <c r="C860" t="s">
        <v>132</v>
      </c>
      <c r="D860" t="s">
        <v>2143</v>
      </c>
      <c r="E860" t="s">
        <v>1519</v>
      </c>
      <c r="F860" t="s">
        <v>145</v>
      </c>
      <c r="G860" t="s">
        <v>4400</v>
      </c>
    </row>
    <row r="861" spans="1:7" s="241" customFormat="1" ht="44.25" customHeight="1">
      <c r="A861" t="s">
        <v>911</v>
      </c>
      <c r="B861" t="s">
        <v>4401</v>
      </c>
      <c r="C861" t="s">
        <v>132</v>
      </c>
      <c r="D861" t="s">
        <v>2143</v>
      </c>
      <c r="E861" t="s">
        <v>2162</v>
      </c>
      <c r="F861" t="s">
        <v>145</v>
      </c>
      <c r="G861" t="s">
        <v>4402</v>
      </c>
    </row>
    <row r="862" spans="1:7" s="241" customFormat="1" ht="44.25" customHeight="1">
      <c r="A862" t="s">
        <v>910</v>
      </c>
      <c r="B862" t="s">
        <v>4403</v>
      </c>
      <c r="C862" t="s">
        <v>132</v>
      </c>
      <c r="D862" t="s">
        <v>2143</v>
      </c>
      <c r="E862" t="s">
        <v>2162</v>
      </c>
      <c r="F862" t="s">
        <v>145</v>
      </c>
      <c r="G862" t="s">
        <v>4404</v>
      </c>
    </row>
    <row r="863" spans="1:7" s="241" customFormat="1" ht="44.25" customHeight="1">
      <c r="A863" t="s">
        <v>687</v>
      </c>
      <c r="B863" t="s">
        <v>4405</v>
      </c>
      <c r="C863" t="s">
        <v>132</v>
      </c>
      <c r="D863" t="s">
        <v>2143</v>
      </c>
      <c r="E863" t="s">
        <v>1519</v>
      </c>
      <c r="F863" t="s">
        <v>145</v>
      </c>
      <c r="G863" t="s">
        <v>4406</v>
      </c>
    </row>
    <row r="864" spans="1:7" s="241" customFormat="1" ht="44.25" customHeight="1">
      <c r="A864" t="s">
        <v>486</v>
      </c>
      <c r="B864" t="s">
        <v>4407</v>
      </c>
      <c r="C864" t="s">
        <v>132</v>
      </c>
      <c r="D864" t="s">
        <v>2143</v>
      </c>
      <c r="E864" t="s">
        <v>2144</v>
      </c>
      <c r="F864" t="s">
        <v>145</v>
      </c>
      <c r="G864" t="s">
        <v>4408</v>
      </c>
    </row>
    <row r="865" spans="1:7" s="241" customFormat="1" ht="44.25" customHeight="1">
      <c r="A865" t="s">
        <v>820</v>
      </c>
      <c r="B865" t="s">
        <v>4409</v>
      </c>
      <c r="C865" t="s">
        <v>132</v>
      </c>
      <c r="D865" t="s">
        <v>2143</v>
      </c>
      <c r="E865" t="s">
        <v>4010</v>
      </c>
      <c r="F865" t="s">
        <v>145</v>
      </c>
      <c r="G865" t="s">
        <v>4410</v>
      </c>
    </row>
    <row r="866" spans="1:7" s="241" customFormat="1" ht="44.25" customHeight="1">
      <c r="A866" t="s">
        <v>730</v>
      </c>
      <c r="B866" t="s">
        <v>4411</v>
      </c>
      <c r="C866" t="s">
        <v>132</v>
      </c>
      <c r="D866" t="s">
        <v>2143</v>
      </c>
      <c r="E866" t="s">
        <v>3645</v>
      </c>
      <c r="F866" t="s">
        <v>145</v>
      </c>
      <c r="G866" t="s">
        <v>4412</v>
      </c>
    </row>
    <row r="867" spans="1:7" s="241" customFormat="1" ht="44.25" customHeight="1">
      <c r="A867" t="s">
        <v>747</v>
      </c>
      <c r="B867" t="s">
        <v>4413</v>
      </c>
      <c r="C867" t="s">
        <v>132</v>
      </c>
      <c r="D867" t="s">
        <v>2143</v>
      </c>
      <c r="E867" t="s">
        <v>1367</v>
      </c>
      <c r="F867" t="s">
        <v>145</v>
      </c>
      <c r="G867" t="s">
        <v>4414</v>
      </c>
    </row>
    <row r="868" spans="1:7" s="241" customFormat="1" ht="44.25" customHeight="1">
      <c r="A868" t="s">
        <v>483</v>
      </c>
      <c r="B868" t="s">
        <v>4415</v>
      </c>
      <c r="C868" t="s">
        <v>132</v>
      </c>
      <c r="D868" t="s">
        <v>2143</v>
      </c>
      <c r="E868" t="s">
        <v>2144</v>
      </c>
      <c r="F868" t="s">
        <v>145</v>
      </c>
      <c r="G868" t="s">
        <v>4416</v>
      </c>
    </row>
    <row r="869" spans="1:7" s="241" customFormat="1" ht="44.25" customHeight="1">
      <c r="A869" t="s">
        <v>1464</v>
      </c>
      <c r="B869" t="s">
        <v>4417</v>
      </c>
      <c r="C869" t="s">
        <v>132</v>
      </c>
      <c r="D869" t="s">
        <v>79</v>
      </c>
      <c r="E869" t="s">
        <v>4418</v>
      </c>
      <c r="F869" t="s">
        <v>145</v>
      </c>
      <c r="G869" t="s">
        <v>4419</v>
      </c>
    </row>
    <row r="870" spans="1:7" s="241" customFormat="1" ht="44.25" customHeight="1">
      <c r="A870" t="s">
        <v>4420</v>
      </c>
      <c r="B870" t="s">
        <v>4421</v>
      </c>
      <c r="C870" t="s">
        <v>132</v>
      </c>
      <c r="D870" t="s">
        <v>79</v>
      </c>
      <c r="E870" t="s">
        <v>4422</v>
      </c>
      <c r="F870" t="s">
        <v>145</v>
      </c>
      <c r="G870" t="s">
        <v>4423</v>
      </c>
    </row>
    <row r="871" spans="1:7" s="241" customFormat="1" ht="44.25" customHeight="1">
      <c r="A871" t="s">
        <v>434</v>
      </c>
      <c r="B871" t="s">
        <v>4424</v>
      </c>
      <c r="C871" t="s">
        <v>132</v>
      </c>
      <c r="D871" t="s">
        <v>79</v>
      </c>
      <c r="E871" t="s">
        <v>4425</v>
      </c>
      <c r="F871" t="s">
        <v>145</v>
      </c>
      <c r="G871" t="s">
        <v>4426</v>
      </c>
    </row>
    <row r="872" spans="1:7" s="241" customFormat="1" ht="44.25" customHeight="1">
      <c r="A872" t="s">
        <v>786</v>
      </c>
      <c r="B872" t="s">
        <v>4427</v>
      </c>
      <c r="C872" t="s">
        <v>132</v>
      </c>
      <c r="D872" t="s">
        <v>79</v>
      </c>
      <c r="E872" t="s">
        <v>4428</v>
      </c>
      <c r="F872" t="s">
        <v>145</v>
      </c>
      <c r="G872" t="s">
        <v>4429</v>
      </c>
    </row>
    <row r="873" spans="1:7" s="241" customFormat="1" ht="44.25" customHeight="1">
      <c r="A873" t="s">
        <v>684</v>
      </c>
      <c r="B873" t="s">
        <v>4430</v>
      </c>
      <c r="C873" t="s">
        <v>132</v>
      </c>
      <c r="D873" t="s">
        <v>2143</v>
      </c>
      <c r="E873" t="s">
        <v>1519</v>
      </c>
      <c r="F873" t="s">
        <v>145</v>
      </c>
      <c r="G873" t="s">
        <v>4431</v>
      </c>
    </row>
    <row r="874" spans="1:7" s="241" customFormat="1" ht="44.25" customHeight="1">
      <c r="A874" t="s">
        <v>4432</v>
      </c>
      <c r="B874" t="s">
        <v>4433</v>
      </c>
      <c r="C874" t="s">
        <v>132</v>
      </c>
      <c r="D874" t="s">
        <v>79</v>
      </c>
      <c r="E874" t="s">
        <v>4434</v>
      </c>
      <c r="F874" t="s">
        <v>145</v>
      </c>
      <c r="G874" t="s">
        <v>4435</v>
      </c>
    </row>
    <row r="875" spans="1:7" s="241" customFormat="1" ht="44.25" customHeight="1">
      <c r="A875" t="s">
        <v>4436</v>
      </c>
      <c r="B875" t="s">
        <v>4437</v>
      </c>
      <c r="C875" t="s">
        <v>132</v>
      </c>
      <c r="D875" t="s">
        <v>79</v>
      </c>
      <c r="E875" t="s">
        <v>4438</v>
      </c>
      <c r="F875" t="s">
        <v>145</v>
      </c>
      <c r="G875" t="s">
        <v>4439</v>
      </c>
    </row>
    <row r="876" spans="1:7" s="241" customFormat="1" ht="44.25" customHeight="1">
      <c r="A876" t="s">
        <v>4440</v>
      </c>
      <c r="B876" t="s">
        <v>4441</v>
      </c>
      <c r="C876" t="s">
        <v>132</v>
      </c>
      <c r="D876" t="s">
        <v>79</v>
      </c>
      <c r="E876" t="s">
        <v>4442</v>
      </c>
      <c r="F876" t="s">
        <v>145</v>
      </c>
      <c r="G876" t="s">
        <v>4443</v>
      </c>
    </row>
    <row r="877" spans="1:7" s="241" customFormat="1" ht="44.25" customHeight="1">
      <c r="A877" t="s">
        <v>909</v>
      </c>
      <c r="B877" t="s">
        <v>4444</v>
      </c>
      <c r="C877" t="s">
        <v>132</v>
      </c>
      <c r="D877" t="s">
        <v>2143</v>
      </c>
      <c r="E877" t="s">
        <v>2162</v>
      </c>
      <c r="F877" t="s">
        <v>145</v>
      </c>
      <c r="G877" t="s">
        <v>4445</v>
      </c>
    </row>
    <row r="878" spans="1:7" s="241" customFormat="1" ht="44.25" customHeight="1">
      <c r="A878" t="s">
        <v>482</v>
      </c>
      <c r="B878" t="s">
        <v>4446</v>
      </c>
      <c r="C878" t="s">
        <v>132</v>
      </c>
      <c r="D878" t="s">
        <v>2143</v>
      </c>
      <c r="E878" t="s">
        <v>2144</v>
      </c>
      <c r="F878" t="s">
        <v>145</v>
      </c>
      <c r="G878" t="s">
        <v>4447</v>
      </c>
    </row>
    <row r="879" spans="1:7" s="241" customFormat="1" ht="44.25" customHeight="1">
      <c r="A879" t="s">
        <v>4448</v>
      </c>
      <c r="B879" t="s">
        <v>4449</v>
      </c>
      <c r="C879" t="s">
        <v>132</v>
      </c>
      <c r="D879" t="s">
        <v>79</v>
      </c>
      <c r="E879" t="s">
        <v>1365</v>
      </c>
      <c r="F879" t="s">
        <v>145</v>
      </c>
      <c r="G879" t="s">
        <v>4450</v>
      </c>
    </row>
    <row r="880" spans="1:7" s="241" customFormat="1" ht="44.25" customHeight="1">
      <c r="A880" t="s">
        <v>507</v>
      </c>
      <c r="B880" t="s">
        <v>4451</v>
      </c>
      <c r="C880" t="s">
        <v>132</v>
      </c>
      <c r="D880" t="s">
        <v>79</v>
      </c>
      <c r="E880" t="s">
        <v>4452</v>
      </c>
      <c r="F880" t="s">
        <v>145</v>
      </c>
      <c r="G880" t="s">
        <v>4453</v>
      </c>
    </row>
    <row r="881" spans="1:7" s="241" customFormat="1" ht="44.25" customHeight="1">
      <c r="A881" t="s">
        <v>902</v>
      </c>
      <c r="B881" t="s">
        <v>4454</v>
      </c>
      <c r="C881" t="s">
        <v>132</v>
      </c>
      <c r="D881" t="s">
        <v>2143</v>
      </c>
      <c r="E881" t="s">
        <v>2162</v>
      </c>
      <c r="F881" t="s">
        <v>145</v>
      </c>
      <c r="G881" t="s">
        <v>4455</v>
      </c>
    </row>
    <row r="882" spans="1:7" s="241" customFormat="1" ht="44.25" customHeight="1">
      <c r="A882" t="s">
        <v>682</v>
      </c>
      <c r="B882" t="s">
        <v>4456</v>
      </c>
      <c r="C882" t="s">
        <v>132</v>
      </c>
      <c r="D882" t="s">
        <v>2143</v>
      </c>
      <c r="E882" t="s">
        <v>1519</v>
      </c>
      <c r="F882" t="s">
        <v>145</v>
      </c>
      <c r="G882" t="s">
        <v>4457</v>
      </c>
    </row>
    <row r="883" spans="1:7" s="241" customFormat="1" ht="44.25" customHeight="1">
      <c r="A883" t="s">
        <v>495</v>
      </c>
      <c r="B883" t="s">
        <v>4458</v>
      </c>
      <c r="C883" t="s">
        <v>132</v>
      </c>
      <c r="D883" t="s">
        <v>2143</v>
      </c>
      <c r="E883" t="s">
        <v>2151</v>
      </c>
      <c r="F883" t="s">
        <v>145</v>
      </c>
      <c r="G883" t="s">
        <v>4459</v>
      </c>
    </row>
    <row r="884" spans="1:7" s="241" customFormat="1" ht="44.25" customHeight="1">
      <c r="A884" t="s">
        <v>907</v>
      </c>
      <c r="B884" t="s">
        <v>4460</v>
      </c>
      <c r="C884" t="s">
        <v>132</v>
      </c>
      <c r="D884" t="s">
        <v>2143</v>
      </c>
      <c r="E884" t="s">
        <v>2162</v>
      </c>
      <c r="F884" t="s">
        <v>145</v>
      </c>
      <c r="G884" t="s">
        <v>4461</v>
      </c>
    </row>
    <row r="885" spans="1:7" s="241" customFormat="1" ht="44.25" customHeight="1">
      <c r="A885" t="s">
        <v>466</v>
      </c>
      <c r="B885" t="s">
        <v>4462</v>
      </c>
      <c r="C885" t="s">
        <v>132</v>
      </c>
      <c r="D885" t="s">
        <v>79</v>
      </c>
      <c r="E885" t="s">
        <v>4463</v>
      </c>
      <c r="F885" t="s">
        <v>145</v>
      </c>
      <c r="G885" t="s">
        <v>4464</v>
      </c>
    </row>
    <row r="886" spans="1:7" s="241" customFormat="1" ht="44.25" customHeight="1">
      <c r="A886" t="s">
        <v>515</v>
      </c>
      <c r="B886" t="s">
        <v>4465</v>
      </c>
      <c r="C886" t="s">
        <v>132</v>
      </c>
      <c r="D886" t="s">
        <v>79</v>
      </c>
      <c r="E886" t="s">
        <v>4466</v>
      </c>
      <c r="F886" t="s">
        <v>145</v>
      </c>
      <c r="G886" t="s">
        <v>4467</v>
      </c>
    </row>
    <row r="887" spans="1:7" s="241" customFormat="1" ht="44.25" customHeight="1">
      <c r="A887" t="s">
        <v>480</v>
      </c>
      <c r="B887" t="s">
        <v>4468</v>
      </c>
      <c r="C887" t="s">
        <v>132</v>
      </c>
      <c r="D887" t="s">
        <v>2143</v>
      </c>
      <c r="E887" t="s">
        <v>2144</v>
      </c>
      <c r="F887" t="s">
        <v>145</v>
      </c>
      <c r="G887" t="s">
        <v>4469</v>
      </c>
    </row>
    <row r="888" spans="1:7" s="241" customFormat="1" ht="44.25" customHeight="1">
      <c r="A888" t="s">
        <v>1054</v>
      </c>
      <c r="B888" t="s">
        <v>4470</v>
      </c>
      <c r="C888" t="s">
        <v>132</v>
      </c>
      <c r="D888" t="s">
        <v>79</v>
      </c>
      <c r="E888" t="s">
        <v>4471</v>
      </c>
      <c r="F888" t="s">
        <v>145</v>
      </c>
      <c r="G888" t="s">
        <v>4472</v>
      </c>
    </row>
    <row r="889" spans="1:7" s="241" customFormat="1" ht="44.25" customHeight="1">
      <c r="A889" t="s">
        <v>600</v>
      </c>
      <c r="B889" t="s">
        <v>4473</v>
      </c>
      <c r="C889" t="s">
        <v>132</v>
      </c>
      <c r="D889" t="s">
        <v>79</v>
      </c>
      <c r="E889" t="s">
        <v>4474</v>
      </c>
      <c r="F889" t="s">
        <v>145</v>
      </c>
      <c r="G889" t="s">
        <v>4475</v>
      </c>
    </row>
    <row r="890" spans="1:7" s="241" customFormat="1" ht="44.25" customHeight="1">
      <c r="A890" t="s">
        <v>906</v>
      </c>
      <c r="B890" t="s">
        <v>4476</v>
      </c>
      <c r="C890" t="s">
        <v>132</v>
      </c>
      <c r="D890" t="s">
        <v>2143</v>
      </c>
      <c r="E890" t="s">
        <v>2162</v>
      </c>
      <c r="F890" t="s">
        <v>145</v>
      </c>
      <c r="G890" t="s">
        <v>4477</v>
      </c>
    </row>
    <row r="891" spans="1:7" s="241" customFormat="1" ht="44.25" customHeight="1">
      <c r="A891" t="s">
        <v>679</v>
      </c>
      <c r="B891" t="s">
        <v>4478</v>
      </c>
      <c r="C891" t="s">
        <v>132</v>
      </c>
      <c r="D891" t="s">
        <v>2143</v>
      </c>
      <c r="E891" t="s">
        <v>1519</v>
      </c>
      <c r="F891" t="s">
        <v>145</v>
      </c>
      <c r="G891" t="s">
        <v>4479</v>
      </c>
    </row>
    <row r="892" spans="1:7" s="241" customFormat="1" ht="44.25" customHeight="1">
      <c r="A892" t="s">
        <v>430</v>
      </c>
      <c r="B892" t="s">
        <v>4480</v>
      </c>
      <c r="C892" t="s">
        <v>132</v>
      </c>
      <c r="D892" t="s">
        <v>2143</v>
      </c>
      <c r="E892" t="s">
        <v>4481</v>
      </c>
      <c r="F892" t="s">
        <v>145</v>
      </c>
      <c r="G892" t="s">
        <v>4482</v>
      </c>
    </row>
    <row r="893" spans="1:7" s="241" customFormat="1" ht="44.25" customHeight="1">
      <c r="A893" t="s">
        <v>429</v>
      </c>
      <c r="B893" t="s">
        <v>4483</v>
      </c>
      <c r="C893" t="s">
        <v>132</v>
      </c>
      <c r="D893" t="s">
        <v>2143</v>
      </c>
      <c r="E893" t="s">
        <v>4481</v>
      </c>
      <c r="F893" t="s">
        <v>145</v>
      </c>
      <c r="G893" t="s">
        <v>4484</v>
      </c>
    </row>
    <row r="894" spans="1:7" s="241" customFormat="1" ht="44.25" customHeight="1">
      <c r="A894" t="s">
        <v>722</v>
      </c>
      <c r="B894" t="s">
        <v>4485</v>
      </c>
      <c r="C894" t="s">
        <v>132</v>
      </c>
      <c r="D894" t="s">
        <v>79</v>
      </c>
      <c r="E894" t="s">
        <v>4397</v>
      </c>
      <c r="F894" t="s">
        <v>145</v>
      </c>
      <c r="G894" t="s">
        <v>4486</v>
      </c>
    </row>
    <row r="895" spans="1:7" s="241" customFormat="1" ht="44.25" customHeight="1">
      <c r="A895" t="s">
        <v>1003</v>
      </c>
      <c r="B895" t="s">
        <v>4487</v>
      </c>
      <c r="C895" t="s">
        <v>132</v>
      </c>
      <c r="D895" t="s">
        <v>79</v>
      </c>
      <c r="E895" t="s">
        <v>1365</v>
      </c>
      <c r="F895" t="s">
        <v>145</v>
      </c>
      <c r="G895" t="s">
        <v>4488</v>
      </c>
    </row>
    <row r="896" spans="1:7" s="241" customFormat="1" ht="44.25" customHeight="1">
      <c r="A896" t="s">
        <v>744</v>
      </c>
      <c r="B896" t="s">
        <v>4489</v>
      </c>
      <c r="C896" t="s">
        <v>132</v>
      </c>
      <c r="D896" t="s">
        <v>2143</v>
      </c>
      <c r="E896" t="s">
        <v>1367</v>
      </c>
      <c r="F896" t="s">
        <v>145</v>
      </c>
      <c r="G896" t="s">
        <v>4490</v>
      </c>
    </row>
    <row r="897" spans="1:7" s="241" customFormat="1" ht="44.25" customHeight="1">
      <c r="A897" t="s">
        <v>424</v>
      </c>
      <c r="B897" t="s">
        <v>4491</v>
      </c>
      <c r="C897" t="s">
        <v>132</v>
      </c>
      <c r="D897" t="s">
        <v>79</v>
      </c>
      <c r="E897" t="s">
        <v>4418</v>
      </c>
      <c r="F897" t="s">
        <v>145</v>
      </c>
      <c r="G897" t="s">
        <v>4492</v>
      </c>
    </row>
    <row r="898" spans="1:7" s="241" customFormat="1" ht="44.25" customHeight="1">
      <c r="A898" t="s">
        <v>652</v>
      </c>
      <c r="B898" t="s">
        <v>4493</v>
      </c>
      <c r="C898" t="s">
        <v>132</v>
      </c>
      <c r="D898" t="s">
        <v>79</v>
      </c>
      <c r="E898" t="s">
        <v>4494</v>
      </c>
      <c r="F898" t="s">
        <v>145</v>
      </c>
      <c r="G898" t="s">
        <v>4495</v>
      </c>
    </row>
    <row r="899" spans="1:7" s="241" customFormat="1" ht="44.25" customHeight="1">
      <c r="A899" t="s">
        <v>827</v>
      </c>
      <c r="B899" t="s">
        <v>4496</v>
      </c>
      <c r="C899" t="s">
        <v>132</v>
      </c>
      <c r="D899" t="s">
        <v>79</v>
      </c>
      <c r="E899" t="s">
        <v>4010</v>
      </c>
      <c r="F899" t="s">
        <v>145</v>
      </c>
      <c r="G899" t="s">
        <v>4497</v>
      </c>
    </row>
    <row r="900" spans="1:7" s="241" customFormat="1" ht="44.25" customHeight="1">
      <c r="A900" t="s">
        <v>826</v>
      </c>
      <c r="B900" t="s">
        <v>4498</v>
      </c>
      <c r="C900" t="s">
        <v>132</v>
      </c>
      <c r="D900" t="s">
        <v>2143</v>
      </c>
      <c r="E900" t="s">
        <v>4010</v>
      </c>
      <c r="F900" t="s">
        <v>145</v>
      </c>
      <c r="G900" t="s">
        <v>4499</v>
      </c>
    </row>
    <row r="901" spans="1:7" s="241" customFormat="1" ht="44.25" customHeight="1">
      <c r="A901" t="s">
        <v>408</v>
      </c>
      <c r="B901" t="s">
        <v>4500</v>
      </c>
      <c r="C901" t="s">
        <v>132</v>
      </c>
      <c r="D901" t="s">
        <v>79</v>
      </c>
      <c r="E901" t="s">
        <v>4501</v>
      </c>
      <c r="F901" t="s">
        <v>145</v>
      </c>
      <c r="G901" t="s">
        <v>4502</v>
      </c>
    </row>
    <row r="902" spans="1:7" s="241" customFormat="1" ht="44.25" customHeight="1">
      <c r="A902" t="s">
        <v>477</v>
      </c>
      <c r="B902" t="s">
        <v>4503</v>
      </c>
      <c r="C902" t="s">
        <v>132</v>
      </c>
      <c r="D902" t="s">
        <v>2143</v>
      </c>
      <c r="E902" t="s">
        <v>2144</v>
      </c>
      <c r="F902" t="s">
        <v>145</v>
      </c>
      <c r="G902" t="s">
        <v>4504</v>
      </c>
    </row>
    <row r="903" spans="1:7" s="241" customFormat="1" ht="44.25" customHeight="1">
      <c r="A903" t="s">
        <v>493</v>
      </c>
      <c r="B903" t="s">
        <v>4505</v>
      </c>
      <c r="C903" t="s">
        <v>132</v>
      </c>
      <c r="D903" t="s">
        <v>2143</v>
      </c>
      <c r="E903" t="s">
        <v>2151</v>
      </c>
      <c r="F903" t="s">
        <v>145</v>
      </c>
      <c r="G903" t="s">
        <v>4506</v>
      </c>
    </row>
    <row r="904" spans="1:7" s="241" customFormat="1" ht="44.25" customHeight="1">
      <c r="A904" t="s">
        <v>546</v>
      </c>
      <c r="B904" t="s">
        <v>4507</v>
      </c>
      <c r="C904" t="s">
        <v>132</v>
      </c>
      <c r="D904" t="s">
        <v>79</v>
      </c>
      <c r="E904" t="s">
        <v>4508</v>
      </c>
      <c r="F904" t="s">
        <v>145</v>
      </c>
      <c r="G904" t="s">
        <v>4509</v>
      </c>
    </row>
    <row r="905" spans="1:7" s="241" customFormat="1" ht="44.25" customHeight="1">
      <c r="A905" t="s">
        <v>824</v>
      </c>
      <c r="B905" t="s">
        <v>4510</v>
      </c>
      <c r="C905" t="s">
        <v>132</v>
      </c>
      <c r="D905" t="s">
        <v>2143</v>
      </c>
      <c r="E905" t="s">
        <v>4010</v>
      </c>
      <c r="F905" t="s">
        <v>145</v>
      </c>
      <c r="G905" t="s">
        <v>4511</v>
      </c>
    </row>
    <row r="906" spans="1:7" s="241" customFormat="1" ht="44.25" customHeight="1">
      <c r="A906" t="s">
        <v>904</v>
      </c>
      <c r="B906" t="s">
        <v>4512</v>
      </c>
      <c r="C906" t="s">
        <v>132</v>
      </c>
      <c r="D906" t="s">
        <v>2143</v>
      </c>
      <c r="E906" t="s">
        <v>2162</v>
      </c>
      <c r="F906" t="s">
        <v>145</v>
      </c>
      <c r="G906" t="s">
        <v>4513</v>
      </c>
    </row>
    <row r="907" spans="1:7" s="241" customFormat="1" ht="44.25" customHeight="1">
      <c r="A907" t="s">
        <v>630</v>
      </c>
      <c r="B907" t="s">
        <v>4514</v>
      </c>
      <c r="C907" t="s">
        <v>132</v>
      </c>
      <c r="D907" t="s">
        <v>79</v>
      </c>
      <c r="E907" t="s">
        <v>4363</v>
      </c>
      <c r="F907" t="s">
        <v>145</v>
      </c>
      <c r="G907" t="s">
        <v>4515</v>
      </c>
    </row>
    <row r="908" spans="1:7" s="241" customFormat="1" ht="44.25" customHeight="1">
      <c r="A908" t="s">
        <v>617</v>
      </c>
      <c r="B908" t="s">
        <v>4516</v>
      </c>
      <c r="C908" t="s">
        <v>132</v>
      </c>
      <c r="D908" t="s">
        <v>79</v>
      </c>
      <c r="E908" t="s">
        <v>3585</v>
      </c>
      <c r="F908" t="s">
        <v>145</v>
      </c>
      <c r="G908" t="s">
        <v>4517</v>
      </c>
    </row>
    <row r="909" spans="1:7" s="241" customFormat="1" ht="44.25" customHeight="1">
      <c r="A909" t="s">
        <v>529</v>
      </c>
      <c r="B909" t="s">
        <v>4518</v>
      </c>
      <c r="C909" t="s">
        <v>132</v>
      </c>
      <c r="D909" t="s">
        <v>79</v>
      </c>
      <c r="E909" t="s">
        <v>4519</v>
      </c>
      <c r="F909" t="s">
        <v>145</v>
      </c>
      <c r="G909" t="s">
        <v>4520</v>
      </c>
    </row>
    <row r="910" spans="1:7" s="241" customFormat="1" ht="44.25" customHeight="1">
      <c r="A910" t="s">
        <v>847</v>
      </c>
      <c r="B910" t="s">
        <v>4521</v>
      </c>
      <c r="C910" t="s">
        <v>132</v>
      </c>
      <c r="D910" t="s">
        <v>2143</v>
      </c>
      <c r="E910" t="s">
        <v>4522</v>
      </c>
      <c r="F910" t="s">
        <v>145</v>
      </c>
      <c r="G910" t="s">
        <v>4523</v>
      </c>
    </row>
    <row r="911" spans="1:7" s="241" customFormat="1" ht="44.25" customHeight="1">
      <c r="A911" t="s">
        <v>647</v>
      </c>
      <c r="B911" t="s">
        <v>4524</v>
      </c>
      <c r="C911" t="s">
        <v>132</v>
      </c>
      <c r="D911" t="s">
        <v>2143</v>
      </c>
      <c r="E911" t="s">
        <v>2200</v>
      </c>
      <c r="F911" t="s">
        <v>145</v>
      </c>
      <c r="G911" t="s">
        <v>4525</v>
      </c>
    </row>
    <row r="912" spans="1:7" s="241" customFormat="1" ht="44.25" customHeight="1">
      <c r="A912" t="s">
        <v>845</v>
      </c>
      <c r="B912" t="s">
        <v>4526</v>
      </c>
      <c r="C912" t="s">
        <v>132</v>
      </c>
      <c r="D912" t="s">
        <v>79</v>
      </c>
      <c r="E912" t="s">
        <v>4527</v>
      </c>
      <c r="F912" t="s">
        <v>145</v>
      </c>
      <c r="G912" t="s">
        <v>4528</v>
      </c>
    </row>
    <row r="913" spans="1:7" s="241" customFormat="1" ht="44.25" customHeight="1">
      <c r="A913" t="s">
        <v>551</v>
      </c>
      <c r="B913" t="s">
        <v>4529</v>
      </c>
      <c r="C913" t="s">
        <v>132</v>
      </c>
      <c r="D913" t="s">
        <v>79</v>
      </c>
      <c r="E913" t="s">
        <v>4530</v>
      </c>
      <c r="F913" t="s">
        <v>145</v>
      </c>
      <c r="G913" t="s">
        <v>4531</v>
      </c>
    </row>
    <row r="914" spans="1:7" s="241" customFormat="1" ht="44.25" customHeight="1">
      <c r="A914" t="s">
        <v>461</v>
      </c>
      <c r="B914" t="s">
        <v>4532</v>
      </c>
      <c r="C914" t="s">
        <v>132</v>
      </c>
      <c r="D914" t="s">
        <v>79</v>
      </c>
      <c r="E914" t="s">
        <v>4533</v>
      </c>
      <c r="F914" t="s">
        <v>145</v>
      </c>
      <c r="G914" t="s">
        <v>4534</v>
      </c>
    </row>
    <row r="915" spans="1:7" s="241" customFormat="1" ht="44.25" customHeight="1">
      <c r="A915" t="s">
        <v>797</v>
      </c>
      <c r="B915" t="s">
        <v>4535</v>
      </c>
      <c r="C915" t="s">
        <v>132</v>
      </c>
      <c r="D915" t="s">
        <v>79</v>
      </c>
      <c r="E915" t="s">
        <v>4536</v>
      </c>
      <c r="F915" t="s">
        <v>145</v>
      </c>
      <c r="G915" t="s">
        <v>4537</v>
      </c>
    </row>
    <row r="916" spans="1:7" s="241" customFormat="1" ht="44.25" customHeight="1">
      <c r="A916" t="s">
        <v>557</v>
      </c>
      <c r="B916" t="s">
        <v>4538</v>
      </c>
      <c r="C916" t="s">
        <v>132</v>
      </c>
      <c r="D916" t="s">
        <v>79</v>
      </c>
      <c r="E916" t="s">
        <v>4539</v>
      </c>
      <c r="F916" t="s">
        <v>145</v>
      </c>
      <c r="G916" t="s">
        <v>4540</v>
      </c>
    </row>
    <row r="917" spans="1:7" s="241" customFormat="1" ht="44.25" customHeight="1">
      <c r="A917" t="s">
        <v>787</v>
      </c>
      <c r="B917" t="s">
        <v>4541</v>
      </c>
      <c r="C917" t="s">
        <v>132</v>
      </c>
      <c r="D917" t="s">
        <v>79</v>
      </c>
      <c r="E917" t="s">
        <v>4542</v>
      </c>
      <c r="F917" t="s">
        <v>145</v>
      </c>
      <c r="G917" t="s">
        <v>4543</v>
      </c>
    </row>
    <row r="918" spans="1:7" s="241" customFormat="1" ht="44.25" customHeight="1">
      <c r="A918" t="s">
        <v>852</v>
      </c>
      <c r="B918" t="s">
        <v>4544</v>
      </c>
      <c r="C918" t="s">
        <v>132</v>
      </c>
      <c r="D918" t="s">
        <v>2143</v>
      </c>
      <c r="E918" t="s">
        <v>4522</v>
      </c>
      <c r="F918" t="s">
        <v>145</v>
      </c>
      <c r="G918" t="s">
        <v>4545</v>
      </c>
    </row>
    <row r="919" spans="1:7" s="241" customFormat="1" ht="44.25" customHeight="1">
      <c r="A919" t="s">
        <v>533</v>
      </c>
      <c r="B919" t="s">
        <v>4546</v>
      </c>
      <c r="C919" t="s">
        <v>132</v>
      </c>
      <c r="D919" t="s">
        <v>2143</v>
      </c>
      <c r="E919" t="s">
        <v>4547</v>
      </c>
      <c r="F919" t="s">
        <v>145</v>
      </c>
      <c r="G919" t="s">
        <v>4548</v>
      </c>
    </row>
    <row r="920" spans="1:7" s="241" customFormat="1" ht="44.25" customHeight="1">
      <c r="A920" t="s">
        <v>621</v>
      </c>
      <c r="B920" t="s">
        <v>4549</v>
      </c>
      <c r="C920" t="s">
        <v>132</v>
      </c>
      <c r="D920" t="s">
        <v>2143</v>
      </c>
      <c r="E920" t="s">
        <v>2151</v>
      </c>
      <c r="F920" t="s">
        <v>145</v>
      </c>
      <c r="G920" t="s">
        <v>4550</v>
      </c>
    </row>
    <row r="921" spans="1:7" s="241" customFormat="1" ht="44.25" customHeight="1">
      <c r="A921" t="s">
        <v>862</v>
      </c>
      <c r="B921" t="s">
        <v>4551</v>
      </c>
      <c r="C921" t="s">
        <v>132</v>
      </c>
      <c r="D921" t="s">
        <v>79</v>
      </c>
      <c r="E921" t="s">
        <v>4552</v>
      </c>
      <c r="F921" t="s">
        <v>145</v>
      </c>
      <c r="G921" t="s">
        <v>4553</v>
      </c>
    </row>
    <row r="922" spans="1:7" s="241" customFormat="1" ht="44.25" customHeight="1">
      <c r="A922" t="s">
        <v>474</v>
      </c>
      <c r="B922" t="s">
        <v>4554</v>
      </c>
      <c r="C922" t="s">
        <v>132</v>
      </c>
      <c r="D922" t="s">
        <v>2143</v>
      </c>
      <c r="E922" t="s">
        <v>2144</v>
      </c>
      <c r="F922" t="s">
        <v>145</v>
      </c>
      <c r="G922" t="s">
        <v>4555</v>
      </c>
    </row>
    <row r="923" spans="1:7" s="241" customFormat="1" ht="44.25" customHeight="1">
      <c r="A923" t="s">
        <v>896</v>
      </c>
      <c r="B923" t="s">
        <v>4556</v>
      </c>
      <c r="C923" t="s">
        <v>132</v>
      </c>
      <c r="D923" t="s">
        <v>2143</v>
      </c>
      <c r="E923" t="s">
        <v>4397</v>
      </c>
      <c r="F923" t="s">
        <v>145</v>
      </c>
      <c r="G923" t="s">
        <v>4557</v>
      </c>
    </row>
    <row r="924" spans="1:7" s="241" customFormat="1" ht="44.25" customHeight="1">
      <c r="A924" t="s">
        <v>706</v>
      </c>
      <c r="B924" t="s">
        <v>4558</v>
      </c>
      <c r="C924" t="s">
        <v>132</v>
      </c>
      <c r="D924" t="s">
        <v>2143</v>
      </c>
      <c r="E924" t="s">
        <v>2155</v>
      </c>
      <c r="F924" t="s">
        <v>145</v>
      </c>
      <c r="G924" t="s">
        <v>4559</v>
      </c>
    </row>
    <row r="925" spans="1:7" s="241" customFormat="1" ht="44.25" customHeight="1">
      <c r="A925" t="s">
        <v>4560</v>
      </c>
      <c r="B925" t="s">
        <v>4561</v>
      </c>
      <c r="C925" t="s">
        <v>132</v>
      </c>
      <c r="D925" t="s">
        <v>79</v>
      </c>
      <c r="E925" t="s">
        <v>4562</v>
      </c>
      <c r="F925" t="s">
        <v>145</v>
      </c>
      <c r="G925" t="s">
        <v>4563</v>
      </c>
    </row>
    <row r="926" spans="1:7" s="241" customFormat="1" ht="44.25" customHeight="1">
      <c r="A926" t="s">
        <v>856</v>
      </c>
      <c r="B926" t="s">
        <v>4564</v>
      </c>
      <c r="C926" t="s">
        <v>132</v>
      </c>
      <c r="D926" t="s">
        <v>79</v>
      </c>
      <c r="E926" t="s">
        <v>4565</v>
      </c>
      <c r="F926" t="s">
        <v>145</v>
      </c>
      <c r="G926" t="s">
        <v>4566</v>
      </c>
    </row>
    <row r="927" spans="1:7" s="241" customFormat="1" ht="44.25" customHeight="1">
      <c r="A927" t="s">
        <v>4567</v>
      </c>
      <c r="B927" t="s">
        <v>4568</v>
      </c>
      <c r="C927" t="s">
        <v>132</v>
      </c>
      <c r="D927" t="s">
        <v>2143</v>
      </c>
      <c r="E927" t="s">
        <v>4185</v>
      </c>
      <c r="F927" t="s">
        <v>145</v>
      </c>
      <c r="G927" t="s">
        <v>4569</v>
      </c>
    </row>
    <row r="928" spans="1:7" s="241" customFormat="1" ht="44.25" customHeight="1">
      <c r="A928" t="s">
        <v>601</v>
      </c>
      <c r="B928" t="s">
        <v>4570</v>
      </c>
      <c r="C928" t="s">
        <v>132</v>
      </c>
      <c r="D928" t="s">
        <v>79</v>
      </c>
      <c r="E928" t="s">
        <v>4422</v>
      </c>
      <c r="F928" t="s">
        <v>145</v>
      </c>
      <c r="G928" t="s">
        <v>4571</v>
      </c>
    </row>
    <row r="929" spans="1:7" s="241" customFormat="1" ht="44.25" customHeight="1">
      <c r="A929" t="s">
        <v>4572</v>
      </c>
      <c r="B929" t="s">
        <v>4573</v>
      </c>
      <c r="C929" t="s">
        <v>132</v>
      </c>
      <c r="D929" t="s">
        <v>79</v>
      </c>
      <c r="E929" t="s">
        <v>4481</v>
      </c>
      <c r="F929" t="s">
        <v>145</v>
      </c>
      <c r="G929" t="s">
        <v>4574</v>
      </c>
    </row>
    <row r="930" spans="1:7" s="241" customFormat="1" ht="44.25" customHeight="1">
      <c r="A930" t="s">
        <v>4575</v>
      </c>
      <c r="B930" t="s">
        <v>4576</v>
      </c>
      <c r="C930" t="s">
        <v>132</v>
      </c>
      <c r="D930" t="s">
        <v>79</v>
      </c>
      <c r="E930" t="s">
        <v>2162</v>
      </c>
      <c r="F930" t="s">
        <v>145</v>
      </c>
      <c r="G930" t="s">
        <v>4577</v>
      </c>
    </row>
    <row r="931" spans="1:7" s="241" customFormat="1" ht="44.25" customHeight="1">
      <c r="A931" t="s">
        <v>4578</v>
      </c>
      <c r="B931" t="s">
        <v>4579</v>
      </c>
      <c r="C931" t="s">
        <v>132</v>
      </c>
      <c r="D931" t="s">
        <v>79</v>
      </c>
      <c r="E931" t="s">
        <v>4481</v>
      </c>
      <c r="F931" t="s">
        <v>145</v>
      </c>
      <c r="G931" t="s">
        <v>4580</v>
      </c>
    </row>
    <row r="932" spans="1:7" s="241" customFormat="1" ht="44.25" customHeight="1">
      <c r="A932" t="s">
        <v>581</v>
      </c>
      <c r="B932" t="s">
        <v>4581</v>
      </c>
      <c r="C932" t="s">
        <v>132</v>
      </c>
      <c r="D932" t="s">
        <v>79</v>
      </c>
      <c r="E932" t="s">
        <v>4582</v>
      </c>
      <c r="F932" t="s">
        <v>145</v>
      </c>
      <c r="G932" t="s">
        <v>4583</v>
      </c>
    </row>
    <row r="933" spans="1:7" s="241" customFormat="1" ht="44.25" customHeight="1">
      <c r="A933" t="s">
        <v>606</v>
      </c>
      <c r="B933" t="s">
        <v>4584</v>
      </c>
      <c r="C933" t="s">
        <v>132</v>
      </c>
      <c r="D933" t="s">
        <v>2143</v>
      </c>
      <c r="E933" t="s">
        <v>4585</v>
      </c>
      <c r="F933" t="s">
        <v>145</v>
      </c>
      <c r="G933" t="s">
        <v>4586</v>
      </c>
    </row>
    <row r="934" spans="1:7" s="241" customFormat="1" ht="44.25" customHeight="1">
      <c r="A934" t="s">
        <v>4587</v>
      </c>
      <c r="B934" t="s">
        <v>4588</v>
      </c>
      <c r="C934" t="s">
        <v>132</v>
      </c>
      <c r="D934" t="s">
        <v>2143</v>
      </c>
      <c r="E934" t="s">
        <v>4185</v>
      </c>
      <c r="F934" t="s">
        <v>145</v>
      </c>
      <c r="G934" t="s">
        <v>4589</v>
      </c>
    </row>
    <row r="935" spans="1:7" s="241" customFormat="1" ht="44.25" customHeight="1">
      <c r="A935" t="s">
        <v>605</v>
      </c>
      <c r="B935" t="s">
        <v>4590</v>
      </c>
      <c r="C935" t="s">
        <v>132</v>
      </c>
      <c r="D935" t="s">
        <v>79</v>
      </c>
      <c r="E935" t="s">
        <v>4591</v>
      </c>
      <c r="F935" t="s">
        <v>145</v>
      </c>
      <c r="G935" t="s">
        <v>4592</v>
      </c>
    </row>
    <row r="936" spans="1:7" s="241" customFormat="1" ht="44.25" customHeight="1">
      <c r="A936" t="s">
        <v>4593</v>
      </c>
      <c r="B936" t="s">
        <v>4594</v>
      </c>
      <c r="C936" t="s">
        <v>132</v>
      </c>
      <c r="D936" t="s">
        <v>79</v>
      </c>
      <c r="E936" t="s">
        <v>4595</v>
      </c>
      <c r="F936" t="s">
        <v>145</v>
      </c>
      <c r="G936" t="s">
        <v>4596</v>
      </c>
    </row>
    <row r="937" spans="1:7" s="241" customFormat="1" ht="44.25" customHeight="1">
      <c r="A937" t="s">
        <v>419</v>
      </c>
      <c r="B937" t="s">
        <v>4597</v>
      </c>
      <c r="C937" t="s">
        <v>132</v>
      </c>
      <c r="D937" t="s">
        <v>79</v>
      </c>
      <c r="E937" t="s">
        <v>4598</v>
      </c>
      <c r="F937" t="s">
        <v>145</v>
      </c>
      <c r="G937" t="s">
        <v>4599</v>
      </c>
    </row>
    <row r="938" spans="1:7" s="241" customFormat="1" ht="44.25" customHeight="1">
      <c r="A938" t="s">
        <v>4600</v>
      </c>
      <c r="B938" t="s">
        <v>4601</v>
      </c>
      <c r="C938" t="s">
        <v>132</v>
      </c>
      <c r="D938" t="s">
        <v>79</v>
      </c>
      <c r="E938" t="s">
        <v>4167</v>
      </c>
      <c r="F938" t="s">
        <v>145</v>
      </c>
      <c r="G938" t="s">
        <v>4602</v>
      </c>
    </row>
    <row r="939" spans="1:7" s="241" customFormat="1" ht="44.25" customHeight="1">
      <c r="A939" t="s">
        <v>871</v>
      </c>
      <c r="B939" t="s">
        <v>4603</v>
      </c>
      <c r="C939" t="s">
        <v>132</v>
      </c>
      <c r="D939" t="s">
        <v>2143</v>
      </c>
      <c r="E939" t="s">
        <v>4585</v>
      </c>
      <c r="F939" t="s">
        <v>145</v>
      </c>
      <c r="G939" t="s">
        <v>4604</v>
      </c>
    </row>
    <row r="940" spans="1:7" s="241" customFormat="1" ht="44.25" customHeight="1">
      <c r="A940" t="s">
        <v>512</v>
      </c>
      <c r="B940" t="s">
        <v>4605</v>
      </c>
      <c r="C940" t="s">
        <v>132</v>
      </c>
      <c r="D940" t="s">
        <v>79</v>
      </c>
      <c r="E940" t="s">
        <v>1480</v>
      </c>
      <c r="F940" t="s">
        <v>145</v>
      </c>
      <c r="G940" t="s">
        <v>4606</v>
      </c>
    </row>
    <row r="941" spans="1:7" s="241" customFormat="1" ht="44.25" customHeight="1">
      <c r="A941" t="s">
        <v>4607</v>
      </c>
      <c r="B941" t="s">
        <v>4608</v>
      </c>
      <c r="C941" t="s">
        <v>132</v>
      </c>
      <c r="D941" t="s">
        <v>2143</v>
      </c>
      <c r="E941" t="s">
        <v>4063</v>
      </c>
      <c r="F941" t="s">
        <v>145</v>
      </c>
      <c r="G941" t="s">
        <v>4609</v>
      </c>
    </row>
    <row r="942" spans="1:7" s="241" customFormat="1" ht="44.25" customHeight="1">
      <c r="A942" t="s">
        <v>4610</v>
      </c>
      <c r="B942" t="s">
        <v>4611</v>
      </c>
      <c r="C942" t="s">
        <v>132</v>
      </c>
      <c r="D942" t="s">
        <v>2143</v>
      </c>
      <c r="E942" t="s">
        <v>4185</v>
      </c>
      <c r="F942" t="s">
        <v>145</v>
      </c>
      <c r="G942" t="s">
        <v>4612</v>
      </c>
    </row>
    <row r="943" spans="1:7" s="241" customFormat="1" ht="44.25" customHeight="1">
      <c r="A943" t="s">
        <v>899</v>
      </c>
      <c r="B943" t="s">
        <v>4613</v>
      </c>
      <c r="C943" t="s">
        <v>132</v>
      </c>
      <c r="D943" t="s">
        <v>2143</v>
      </c>
      <c r="E943" t="s">
        <v>2162</v>
      </c>
      <c r="F943" t="s">
        <v>145</v>
      </c>
      <c r="G943" t="s">
        <v>4614</v>
      </c>
    </row>
    <row r="944" spans="1:7" s="241" customFormat="1" ht="44.25" customHeight="1">
      <c r="A944" t="s">
        <v>1041</v>
      </c>
      <c r="B944" t="s">
        <v>4615</v>
      </c>
      <c r="C944" t="s">
        <v>132</v>
      </c>
      <c r="D944" t="s">
        <v>79</v>
      </c>
      <c r="E944" t="s">
        <v>4542</v>
      </c>
      <c r="F944" t="s">
        <v>145</v>
      </c>
      <c r="G944" t="s">
        <v>4616</v>
      </c>
    </row>
    <row r="945" spans="1:7" s="241" customFormat="1" ht="44.25" customHeight="1">
      <c r="A945" t="s">
        <v>1022</v>
      </c>
      <c r="B945" t="s">
        <v>4617</v>
      </c>
      <c r="C945" t="s">
        <v>132</v>
      </c>
      <c r="D945" t="s">
        <v>79</v>
      </c>
      <c r="E945" t="s">
        <v>4618</v>
      </c>
      <c r="F945" t="s">
        <v>145</v>
      </c>
      <c r="G945" t="s">
        <v>4619</v>
      </c>
    </row>
    <row r="946" spans="1:7" s="241" customFormat="1" ht="44.25" customHeight="1">
      <c r="A946" t="s">
        <v>1021</v>
      </c>
      <c r="B946" t="s">
        <v>4620</v>
      </c>
      <c r="C946" t="s">
        <v>132</v>
      </c>
      <c r="D946" t="s">
        <v>79</v>
      </c>
      <c r="E946" t="s">
        <v>4618</v>
      </c>
      <c r="F946" t="s">
        <v>145</v>
      </c>
      <c r="G946" t="s">
        <v>4621</v>
      </c>
    </row>
    <row r="947" spans="1:7" s="241" customFormat="1" ht="44.25" customHeight="1">
      <c r="A947" t="s">
        <v>411</v>
      </c>
      <c r="B947" t="s">
        <v>4622</v>
      </c>
      <c r="C947" t="s">
        <v>132</v>
      </c>
      <c r="D947" t="s">
        <v>79</v>
      </c>
      <c r="E947" t="s">
        <v>4501</v>
      </c>
      <c r="F947" t="s">
        <v>145</v>
      </c>
      <c r="G947" t="s">
        <v>4623</v>
      </c>
    </row>
    <row r="948" spans="1:7" s="241" customFormat="1" ht="44.25" customHeight="1">
      <c r="A948" t="s">
        <v>868</v>
      </c>
      <c r="B948" t="s">
        <v>4624</v>
      </c>
      <c r="C948" t="s">
        <v>132</v>
      </c>
      <c r="D948" t="s">
        <v>2143</v>
      </c>
      <c r="E948" t="s">
        <v>4585</v>
      </c>
      <c r="F948" t="s">
        <v>145</v>
      </c>
      <c r="G948" t="s">
        <v>4625</v>
      </c>
    </row>
    <row r="949" spans="1:7" s="241" customFormat="1" ht="44.25" customHeight="1">
      <c r="A949" t="s">
        <v>4626</v>
      </c>
      <c r="B949" t="s">
        <v>4627</v>
      </c>
      <c r="C949" t="s">
        <v>132</v>
      </c>
      <c r="D949" t="s">
        <v>79</v>
      </c>
      <c r="E949" t="s">
        <v>4318</v>
      </c>
      <c r="F949" t="s">
        <v>145</v>
      </c>
      <c r="G949" t="s">
        <v>4628</v>
      </c>
    </row>
    <row r="950" spans="1:7" s="241" customFormat="1" ht="44.25" customHeight="1">
      <c r="A950" t="s">
        <v>409</v>
      </c>
      <c r="B950" t="s">
        <v>4629</v>
      </c>
      <c r="C950" t="s">
        <v>132</v>
      </c>
      <c r="D950" t="s">
        <v>79</v>
      </c>
      <c r="E950" t="s">
        <v>4318</v>
      </c>
      <c r="F950" t="s">
        <v>145</v>
      </c>
      <c r="G950" t="s">
        <v>4630</v>
      </c>
    </row>
    <row r="951" spans="1:7" s="241" customFormat="1" ht="44.25" customHeight="1">
      <c r="A951" t="s">
        <v>4631</v>
      </c>
      <c r="B951" t="s">
        <v>4632</v>
      </c>
      <c r="C951" t="s">
        <v>132</v>
      </c>
      <c r="D951" t="s">
        <v>2143</v>
      </c>
      <c r="E951" t="s">
        <v>4185</v>
      </c>
      <c r="F951" t="s">
        <v>145</v>
      </c>
      <c r="G951" t="s">
        <v>4633</v>
      </c>
    </row>
    <row r="952" spans="1:7" s="241" customFormat="1" ht="44.25" customHeight="1">
      <c r="A952" t="s">
        <v>734</v>
      </c>
      <c r="B952" t="s">
        <v>4634</v>
      </c>
      <c r="C952" t="s">
        <v>132</v>
      </c>
      <c r="D952" t="s">
        <v>79</v>
      </c>
      <c r="E952" t="s">
        <v>4635</v>
      </c>
      <c r="F952" t="s">
        <v>145</v>
      </c>
      <c r="G952" t="s">
        <v>4636</v>
      </c>
    </row>
    <row r="953" spans="1:7" s="241" customFormat="1" ht="44.25" customHeight="1">
      <c r="A953" t="s">
        <v>4637</v>
      </c>
      <c r="B953" t="s">
        <v>4638</v>
      </c>
      <c r="C953" t="s">
        <v>132</v>
      </c>
      <c r="D953" t="s">
        <v>79</v>
      </c>
      <c r="E953" t="s">
        <v>4639</v>
      </c>
      <c r="F953" t="s">
        <v>145</v>
      </c>
      <c r="G953" t="s">
        <v>4640</v>
      </c>
    </row>
    <row r="954" spans="1:7" s="241" customFormat="1" ht="44.25" customHeight="1">
      <c r="A954" t="s">
        <v>510</v>
      </c>
      <c r="B954" t="s">
        <v>4641</v>
      </c>
      <c r="C954" t="s">
        <v>132</v>
      </c>
      <c r="D954" t="s">
        <v>2143</v>
      </c>
      <c r="E954" t="s">
        <v>4223</v>
      </c>
      <c r="F954" t="s">
        <v>145</v>
      </c>
      <c r="G954" t="s">
        <v>4642</v>
      </c>
    </row>
    <row r="955" spans="1:7" s="241" customFormat="1" ht="44.25" customHeight="1">
      <c r="A955" t="s">
        <v>864</v>
      </c>
      <c r="B955" t="s">
        <v>4643</v>
      </c>
      <c r="C955" t="s">
        <v>132</v>
      </c>
      <c r="D955" t="s">
        <v>2143</v>
      </c>
      <c r="E955" t="s">
        <v>4585</v>
      </c>
      <c r="F955" t="s">
        <v>145</v>
      </c>
      <c r="G955" t="s">
        <v>4644</v>
      </c>
    </row>
    <row r="956" spans="1:7" s="241" customFormat="1" ht="44.25" customHeight="1">
      <c r="A956" t="s">
        <v>671</v>
      </c>
      <c r="B956" t="s">
        <v>4645</v>
      </c>
      <c r="C956" t="s">
        <v>132</v>
      </c>
      <c r="D956" t="s">
        <v>2143</v>
      </c>
      <c r="E956" t="s">
        <v>1519</v>
      </c>
      <c r="F956" t="s">
        <v>145</v>
      </c>
      <c r="G956" t="s">
        <v>4646</v>
      </c>
    </row>
    <row r="957" spans="1:7" s="241" customFormat="1" ht="44.25" customHeight="1">
      <c r="A957" t="s">
        <v>677</v>
      </c>
      <c r="B957" t="s">
        <v>4647</v>
      </c>
      <c r="C957" t="s">
        <v>132</v>
      </c>
      <c r="D957" t="s">
        <v>2143</v>
      </c>
      <c r="E957" t="s">
        <v>1519</v>
      </c>
      <c r="F957" t="s">
        <v>145</v>
      </c>
      <c r="G957" t="s">
        <v>4648</v>
      </c>
    </row>
    <row r="958" spans="1:7" s="241" customFormat="1" ht="44.25" customHeight="1">
      <c r="A958" t="s">
        <v>1016</v>
      </c>
      <c r="B958" t="s">
        <v>4649</v>
      </c>
      <c r="C958" t="s">
        <v>132</v>
      </c>
      <c r="D958" t="s">
        <v>2143</v>
      </c>
      <c r="E958" t="s">
        <v>1559</v>
      </c>
      <c r="F958" t="s">
        <v>145</v>
      </c>
      <c r="G958" t="s">
        <v>4650</v>
      </c>
    </row>
    <row r="959" spans="1:7" s="241" customFormat="1" ht="44.25" customHeight="1">
      <c r="A959" t="s">
        <v>1017</v>
      </c>
      <c r="B959" t="s">
        <v>4651</v>
      </c>
      <c r="C959" t="s">
        <v>132</v>
      </c>
      <c r="D959" t="s">
        <v>2143</v>
      </c>
      <c r="E959" t="s">
        <v>1559</v>
      </c>
      <c r="F959" t="s">
        <v>145</v>
      </c>
      <c r="G959" t="s">
        <v>4652</v>
      </c>
    </row>
    <row r="960" spans="1:7" s="241" customFormat="1" ht="44.25" customHeight="1">
      <c r="A960" t="s">
        <v>1018</v>
      </c>
      <c r="B960" t="s">
        <v>4653</v>
      </c>
      <c r="C960" t="s">
        <v>132</v>
      </c>
      <c r="D960" t="s">
        <v>2143</v>
      </c>
      <c r="E960" t="s">
        <v>1559</v>
      </c>
      <c r="F960" t="s">
        <v>145</v>
      </c>
      <c r="G960" t="s">
        <v>4654</v>
      </c>
    </row>
    <row r="961" spans="1:7" s="241" customFormat="1" ht="44.25" customHeight="1">
      <c r="A961" t="s">
        <v>694</v>
      </c>
      <c r="B961" t="s">
        <v>4655</v>
      </c>
      <c r="C961" t="s">
        <v>132</v>
      </c>
      <c r="D961" t="s">
        <v>2143</v>
      </c>
      <c r="E961" t="s">
        <v>2155</v>
      </c>
      <c r="F961" t="s">
        <v>145</v>
      </c>
      <c r="G961" t="s">
        <v>4656</v>
      </c>
    </row>
    <row r="962" spans="1:7" s="241" customFormat="1" ht="44.25" customHeight="1">
      <c r="A962" t="s">
        <v>1000</v>
      </c>
      <c r="B962" t="s">
        <v>4657</v>
      </c>
      <c r="C962" t="s">
        <v>132</v>
      </c>
      <c r="D962" t="s">
        <v>2143</v>
      </c>
      <c r="E962" t="s">
        <v>1365</v>
      </c>
      <c r="F962" t="s">
        <v>145</v>
      </c>
      <c r="G962" t="s">
        <v>4658</v>
      </c>
    </row>
    <row r="963" spans="1:7" s="241" customFormat="1" ht="44.25" customHeight="1">
      <c r="A963" t="s">
        <v>563</v>
      </c>
      <c r="B963" t="s">
        <v>4659</v>
      </c>
      <c r="C963" t="s">
        <v>132</v>
      </c>
      <c r="D963" t="s">
        <v>2143</v>
      </c>
      <c r="E963" t="s">
        <v>4660</v>
      </c>
      <c r="F963" t="s">
        <v>145</v>
      </c>
      <c r="G963" t="s">
        <v>4661</v>
      </c>
    </row>
    <row r="964" spans="1:7" s="241" customFormat="1" ht="44.25" customHeight="1">
      <c r="A964" t="s">
        <v>669</v>
      </c>
      <c r="B964" t="s">
        <v>4662</v>
      </c>
      <c r="C964" t="s">
        <v>132</v>
      </c>
      <c r="D964" t="s">
        <v>2143</v>
      </c>
      <c r="E964" t="s">
        <v>1519</v>
      </c>
      <c r="F964" t="s">
        <v>145</v>
      </c>
      <c r="G964" t="s">
        <v>4663</v>
      </c>
    </row>
    <row r="965" spans="1:7" s="241" customFormat="1" ht="44.25" customHeight="1">
      <c r="A965" t="s">
        <v>666</v>
      </c>
      <c r="B965" t="s">
        <v>4664</v>
      </c>
      <c r="C965" t="s">
        <v>132</v>
      </c>
      <c r="D965" t="s">
        <v>2143</v>
      </c>
      <c r="E965" t="s">
        <v>1519</v>
      </c>
      <c r="F965" t="s">
        <v>145</v>
      </c>
      <c r="G965" t="s">
        <v>4665</v>
      </c>
    </row>
    <row r="966" spans="1:7" s="241" customFormat="1" ht="44.25" customHeight="1">
      <c r="A966" t="s">
        <v>661</v>
      </c>
      <c r="B966" t="s">
        <v>4666</v>
      </c>
      <c r="C966" t="s">
        <v>132</v>
      </c>
      <c r="D966" t="s">
        <v>2143</v>
      </c>
      <c r="E966" t="s">
        <v>1519</v>
      </c>
      <c r="F966" t="s">
        <v>145</v>
      </c>
      <c r="G966" t="s">
        <v>4667</v>
      </c>
    </row>
    <row r="967" spans="1:7" s="241" customFormat="1" ht="44.25" customHeight="1">
      <c r="A967" t="s">
        <v>657</v>
      </c>
      <c r="B967" t="s">
        <v>4668</v>
      </c>
      <c r="C967" t="s">
        <v>132</v>
      </c>
      <c r="D967" t="s">
        <v>2143</v>
      </c>
      <c r="E967" t="s">
        <v>1519</v>
      </c>
      <c r="F967" t="s">
        <v>145</v>
      </c>
      <c r="G967" t="s">
        <v>4669</v>
      </c>
    </row>
    <row r="968" spans="1:7" s="241" customFormat="1" ht="44.25" customHeight="1">
      <c r="A968" t="s">
        <v>468</v>
      </c>
      <c r="B968" t="s">
        <v>4670</v>
      </c>
      <c r="C968" t="s">
        <v>132</v>
      </c>
      <c r="D968" t="s">
        <v>2143</v>
      </c>
      <c r="E968" t="s">
        <v>2144</v>
      </c>
      <c r="F968" t="s">
        <v>145</v>
      </c>
      <c r="G968" t="s">
        <v>4671</v>
      </c>
    </row>
    <row r="969" spans="1:7" s="241" customFormat="1" ht="44.25" customHeight="1">
      <c r="A969" t="s">
        <v>897</v>
      </c>
      <c r="B969" t="s">
        <v>4672</v>
      </c>
      <c r="C969" t="s">
        <v>132</v>
      </c>
      <c r="D969" t="s">
        <v>2143</v>
      </c>
      <c r="E969" t="s">
        <v>2162</v>
      </c>
      <c r="F969" t="s">
        <v>145</v>
      </c>
      <c r="G969" t="s">
        <v>4673</v>
      </c>
    </row>
    <row r="970" spans="1:7" s="241" customFormat="1" ht="44.25" customHeight="1">
      <c r="A970" t="s">
        <v>844</v>
      </c>
      <c r="B970" t="s">
        <v>4674</v>
      </c>
      <c r="C970" t="s">
        <v>132</v>
      </c>
      <c r="D970" t="s">
        <v>79</v>
      </c>
      <c r="E970" t="s">
        <v>4063</v>
      </c>
      <c r="F970" t="s">
        <v>145</v>
      </c>
      <c r="G970" t="s">
        <v>4675</v>
      </c>
    </row>
    <row r="971" spans="1:7" s="241" customFormat="1" ht="44.25" customHeight="1">
      <c r="A971" t="s">
        <v>696</v>
      </c>
      <c r="B971" t="s">
        <v>4676</v>
      </c>
      <c r="C971" t="s">
        <v>132</v>
      </c>
      <c r="D971" t="s">
        <v>2143</v>
      </c>
      <c r="E971" t="s">
        <v>2155</v>
      </c>
      <c r="F971" t="s">
        <v>145</v>
      </c>
      <c r="G971" t="s">
        <v>4677</v>
      </c>
    </row>
    <row r="972" spans="1:7" s="241" customFormat="1" ht="44.25" customHeight="1">
      <c r="A972" t="s">
        <v>570</v>
      </c>
      <c r="B972" t="s">
        <v>4678</v>
      </c>
      <c r="C972" t="s">
        <v>132</v>
      </c>
      <c r="D972" t="s">
        <v>79</v>
      </c>
      <c r="E972" t="s">
        <v>4519</v>
      </c>
      <c r="F972" t="s">
        <v>145</v>
      </c>
      <c r="G972" t="s">
        <v>4679</v>
      </c>
    </row>
    <row r="973" spans="1:7" s="241" customFormat="1" ht="44.25" customHeight="1">
      <c r="A973" t="s">
        <v>4680</v>
      </c>
      <c r="B973" t="s">
        <v>4681</v>
      </c>
      <c r="C973" t="s">
        <v>132</v>
      </c>
      <c r="D973" t="s">
        <v>2143</v>
      </c>
      <c r="E973" t="s">
        <v>4185</v>
      </c>
      <c r="F973" t="s">
        <v>145</v>
      </c>
      <c r="G973" t="s">
        <v>4682</v>
      </c>
    </row>
    <row r="974" spans="1:7" s="241" customFormat="1" ht="44.25" customHeight="1">
      <c r="A974" t="s">
        <v>595</v>
      </c>
      <c r="B974" t="s">
        <v>4683</v>
      </c>
      <c r="C974" t="s">
        <v>132</v>
      </c>
      <c r="D974" t="s">
        <v>79</v>
      </c>
      <c r="E974" t="s">
        <v>4422</v>
      </c>
      <c r="F974" t="s">
        <v>145</v>
      </c>
      <c r="G974" t="s">
        <v>4684</v>
      </c>
    </row>
    <row r="975" spans="1:7" s="241" customFormat="1" ht="44.25" customHeight="1">
      <c r="A975" t="s">
        <v>410</v>
      </c>
      <c r="B975" t="s">
        <v>4685</v>
      </c>
      <c r="C975" t="s">
        <v>132</v>
      </c>
      <c r="D975" t="s">
        <v>79</v>
      </c>
      <c r="E975" t="s">
        <v>4686</v>
      </c>
      <c r="F975" t="s">
        <v>145</v>
      </c>
      <c r="G975" t="s">
        <v>4687</v>
      </c>
    </row>
    <row r="976" spans="1:7" s="241" customFormat="1" ht="44.25" customHeight="1">
      <c r="A976" t="s">
        <v>999</v>
      </c>
      <c r="B976" t="s">
        <v>4688</v>
      </c>
      <c r="C976" t="s">
        <v>132</v>
      </c>
      <c r="D976" t="s">
        <v>79</v>
      </c>
      <c r="E976" t="s">
        <v>1365</v>
      </c>
      <c r="F976" t="s">
        <v>145</v>
      </c>
      <c r="G976" t="s">
        <v>4689</v>
      </c>
    </row>
    <row r="977" spans="1:7" s="241" customFormat="1" ht="44.25" customHeight="1">
      <c r="A977" t="s">
        <v>898</v>
      </c>
      <c r="B977" t="s">
        <v>4690</v>
      </c>
      <c r="C977" t="s">
        <v>132</v>
      </c>
      <c r="D977" t="s">
        <v>2143</v>
      </c>
      <c r="E977" t="s">
        <v>2162</v>
      </c>
      <c r="F977" t="s">
        <v>145</v>
      </c>
      <c r="G977" t="s">
        <v>4691</v>
      </c>
    </row>
    <row r="978" spans="1:7" s="241" customFormat="1" ht="44.25" customHeight="1">
      <c r="A978" t="s">
        <v>1013</v>
      </c>
      <c r="B978" t="s">
        <v>4692</v>
      </c>
      <c r="C978" t="s">
        <v>132</v>
      </c>
      <c r="D978" t="s">
        <v>2143</v>
      </c>
      <c r="E978" t="s">
        <v>1559</v>
      </c>
      <c r="F978" t="s">
        <v>145</v>
      </c>
      <c r="G978" t="s">
        <v>4693</v>
      </c>
    </row>
    <row r="979" spans="1:7" s="241" customFormat="1" ht="44.25" customHeight="1">
      <c r="A979" t="s">
        <v>597</v>
      </c>
      <c r="B979" t="s">
        <v>4694</v>
      </c>
      <c r="C979" t="s">
        <v>132</v>
      </c>
      <c r="D979" t="s">
        <v>79</v>
      </c>
      <c r="E979" t="s">
        <v>4695</v>
      </c>
      <c r="F979" t="s">
        <v>145</v>
      </c>
      <c r="G979" t="s">
        <v>4696</v>
      </c>
    </row>
    <row r="980" spans="1:7" s="241" customFormat="1" ht="44.25" customHeight="1">
      <c r="A980" t="s">
        <v>4697</v>
      </c>
      <c r="B980" t="s">
        <v>4698</v>
      </c>
      <c r="C980" t="s">
        <v>132</v>
      </c>
      <c r="D980" t="s">
        <v>79</v>
      </c>
      <c r="E980" t="s">
        <v>4699</v>
      </c>
      <c r="F980" t="s">
        <v>145</v>
      </c>
      <c r="G980" t="s">
        <v>4700</v>
      </c>
    </row>
    <row r="981" spans="1:7" s="241" customFormat="1" ht="44.25" customHeight="1">
      <c r="A981" t="s">
        <v>4701</v>
      </c>
      <c r="B981" t="s">
        <v>4702</v>
      </c>
      <c r="C981" t="s">
        <v>132</v>
      </c>
      <c r="D981" t="s">
        <v>79</v>
      </c>
      <c r="E981" t="s">
        <v>4418</v>
      </c>
      <c r="F981" t="s">
        <v>145</v>
      </c>
      <c r="G981" t="s">
        <v>4703</v>
      </c>
    </row>
    <row r="982" spans="1:7" s="241" customFormat="1" ht="44.25" customHeight="1">
      <c r="A982" t="s">
        <v>4704</v>
      </c>
      <c r="B982" t="s">
        <v>4705</v>
      </c>
      <c r="C982" t="s">
        <v>132</v>
      </c>
      <c r="D982" t="s">
        <v>79</v>
      </c>
      <c r="E982" t="s">
        <v>3589</v>
      </c>
      <c r="F982" t="s">
        <v>145</v>
      </c>
      <c r="G982" t="s">
        <v>4706</v>
      </c>
    </row>
    <row r="983" spans="1:7" s="241" customFormat="1" ht="44.25" customHeight="1">
      <c r="A983" t="s">
        <v>4707</v>
      </c>
      <c r="B983" t="s">
        <v>4708</v>
      </c>
      <c r="C983" t="s">
        <v>132</v>
      </c>
      <c r="D983" t="s">
        <v>79</v>
      </c>
      <c r="E983" t="s">
        <v>4709</v>
      </c>
      <c r="F983" t="s">
        <v>145</v>
      </c>
      <c r="G983" t="s">
        <v>4710</v>
      </c>
    </row>
    <row r="984" spans="1:7" s="241" customFormat="1" ht="44.25" customHeight="1">
      <c r="A984" t="s">
        <v>4711</v>
      </c>
      <c r="B984" t="s">
        <v>4712</v>
      </c>
      <c r="C984" t="s">
        <v>132</v>
      </c>
      <c r="D984" t="s">
        <v>79</v>
      </c>
      <c r="E984" t="s">
        <v>4713</v>
      </c>
      <c r="F984" t="s">
        <v>145</v>
      </c>
      <c r="G984" t="s">
        <v>4714</v>
      </c>
    </row>
    <row r="985" spans="1:7" s="241" customFormat="1" ht="44.25" customHeight="1">
      <c r="A985" t="s">
        <v>4715</v>
      </c>
      <c r="B985" t="s">
        <v>4716</v>
      </c>
      <c r="C985" t="s">
        <v>132</v>
      </c>
      <c r="D985" t="s">
        <v>79</v>
      </c>
      <c r="E985" t="s">
        <v>4717</v>
      </c>
      <c r="F985" t="s">
        <v>145</v>
      </c>
      <c r="G985" t="s">
        <v>4718</v>
      </c>
    </row>
    <row r="986" spans="1:7" s="241" customFormat="1" ht="44.25" customHeight="1">
      <c r="A986" t="s">
        <v>4719</v>
      </c>
      <c r="B986" t="s">
        <v>4720</v>
      </c>
      <c r="C986" t="s">
        <v>132</v>
      </c>
      <c r="D986" t="s">
        <v>79</v>
      </c>
      <c r="E986" t="s">
        <v>4721</v>
      </c>
      <c r="F986" t="s">
        <v>145</v>
      </c>
      <c r="G986" t="s">
        <v>4722</v>
      </c>
    </row>
    <row r="987" spans="1:7" s="241" customFormat="1" ht="44.25" customHeight="1">
      <c r="A987" t="s">
        <v>4723</v>
      </c>
      <c r="B987" t="s">
        <v>4724</v>
      </c>
      <c r="C987" t="s">
        <v>132</v>
      </c>
      <c r="D987" t="s">
        <v>79</v>
      </c>
      <c r="E987" t="s">
        <v>4397</v>
      </c>
      <c r="F987" t="s">
        <v>145</v>
      </c>
      <c r="G987" t="s">
        <v>4725</v>
      </c>
    </row>
    <row r="988" spans="1:7" s="241" customFormat="1" ht="44.25" customHeight="1">
      <c r="A988" t="s">
        <v>4726</v>
      </c>
      <c r="B988" t="s">
        <v>4727</v>
      </c>
      <c r="C988" t="s">
        <v>132</v>
      </c>
      <c r="D988" t="s">
        <v>79</v>
      </c>
      <c r="E988" t="s">
        <v>4397</v>
      </c>
      <c r="F988" t="s">
        <v>145</v>
      </c>
      <c r="G988" t="s">
        <v>4728</v>
      </c>
    </row>
    <row r="989" spans="1:7" s="241" customFormat="1" ht="44.25" customHeight="1">
      <c r="A989" t="s">
        <v>857</v>
      </c>
      <c r="B989" t="s">
        <v>3465</v>
      </c>
      <c r="C989" t="s">
        <v>132</v>
      </c>
      <c r="D989" t="s">
        <v>2143</v>
      </c>
      <c r="E989" t="s">
        <v>3466</v>
      </c>
      <c r="F989" t="s">
        <v>145</v>
      </c>
      <c r="G989" t="s">
        <v>4729</v>
      </c>
    </row>
    <row r="990" spans="1:7" s="241" customFormat="1" ht="44.25" customHeight="1">
      <c r="A990" t="s">
        <v>4730</v>
      </c>
      <c r="B990" t="s">
        <v>4731</v>
      </c>
      <c r="C990" t="s">
        <v>132</v>
      </c>
      <c r="D990" t="s">
        <v>79</v>
      </c>
      <c r="E990" t="s">
        <v>4063</v>
      </c>
      <c r="F990" t="s">
        <v>145</v>
      </c>
      <c r="G990" t="s">
        <v>4732</v>
      </c>
    </row>
    <row r="991" spans="1:7" s="241" customFormat="1" ht="44.25" customHeight="1">
      <c r="A991" t="s">
        <v>4733</v>
      </c>
      <c r="B991" t="s">
        <v>4734</v>
      </c>
      <c r="C991" t="s">
        <v>132</v>
      </c>
      <c r="D991" t="s">
        <v>79</v>
      </c>
      <c r="E991" t="s">
        <v>2144</v>
      </c>
      <c r="F991" t="s">
        <v>145</v>
      </c>
      <c r="G991" t="s">
        <v>4735</v>
      </c>
    </row>
    <row r="992" spans="1:7" s="241" customFormat="1" ht="44.25" customHeight="1">
      <c r="A992" t="s">
        <v>4736</v>
      </c>
      <c r="B992" t="s">
        <v>4737</v>
      </c>
      <c r="C992" t="s">
        <v>132</v>
      </c>
      <c r="D992" t="s">
        <v>79</v>
      </c>
      <c r="E992" t="s">
        <v>4738</v>
      </c>
      <c r="F992" t="s">
        <v>145</v>
      </c>
      <c r="G992" t="s">
        <v>4739</v>
      </c>
    </row>
    <row r="993" spans="1:7" s="241" customFormat="1" ht="44.25" customHeight="1">
      <c r="A993" t="s">
        <v>590</v>
      </c>
      <c r="B993" t="s">
        <v>4740</v>
      </c>
      <c r="C993" t="s">
        <v>132</v>
      </c>
      <c r="D993" t="s">
        <v>2139</v>
      </c>
      <c r="E993" t="s">
        <v>4741</v>
      </c>
      <c r="F993" t="s">
        <v>145</v>
      </c>
      <c r="G993" t="s">
        <v>4742</v>
      </c>
    </row>
    <row r="994" spans="1:7" s="241" customFormat="1" ht="44.25" customHeight="1">
      <c r="A994" t="s">
        <v>4743</v>
      </c>
      <c r="B994" t="s">
        <v>4744</v>
      </c>
      <c r="C994" t="s">
        <v>132</v>
      </c>
      <c r="D994" t="s">
        <v>2284</v>
      </c>
      <c r="E994" t="s">
        <v>4745</v>
      </c>
      <c r="F994" t="s">
        <v>145</v>
      </c>
      <c r="G994" t="s">
        <v>4746</v>
      </c>
    </row>
    <row r="995" spans="1:7" s="241" customFormat="1" ht="44.25" customHeight="1">
      <c r="A995" t="s">
        <v>593</v>
      </c>
      <c r="B995" t="s">
        <v>4747</v>
      </c>
      <c r="C995" t="s">
        <v>132</v>
      </c>
      <c r="D995" t="s">
        <v>2143</v>
      </c>
      <c r="E995" t="s">
        <v>4741</v>
      </c>
      <c r="F995" t="s">
        <v>145</v>
      </c>
      <c r="G995" t="s">
        <v>4748</v>
      </c>
    </row>
    <row r="996" spans="1:7" s="241" customFormat="1" ht="44.25" customHeight="1">
      <c r="A996" t="s">
        <v>4749</v>
      </c>
      <c r="B996" t="s">
        <v>4750</v>
      </c>
      <c r="C996" t="s">
        <v>132</v>
      </c>
      <c r="D996" t="s">
        <v>2143</v>
      </c>
      <c r="E996" t="s">
        <v>4751</v>
      </c>
      <c r="F996" t="s">
        <v>145</v>
      </c>
      <c r="G996" t="s">
        <v>4752</v>
      </c>
    </row>
    <row r="997" spans="1:7" s="241" customFormat="1" ht="44.25" customHeight="1">
      <c r="A997" t="s">
        <v>132</v>
      </c>
      <c r="B997" t="s">
        <v>4753</v>
      </c>
      <c r="C997" t="s">
        <v>132</v>
      </c>
      <c r="D997" t="s">
        <v>79</v>
      </c>
      <c r="E997" t="s">
        <v>4754</v>
      </c>
      <c r="F997" t="s">
        <v>145</v>
      </c>
      <c r="G997" t="s">
        <v>4755</v>
      </c>
    </row>
    <row r="998" spans="1:7" s="241" customFormat="1" ht="44.25" customHeight="1">
      <c r="A998" t="s">
        <v>4756</v>
      </c>
      <c r="B998" t="s">
        <v>4757</v>
      </c>
      <c r="C998" t="s">
        <v>132</v>
      </c>
      <c r="D998" t="s">
        <v>79</v>
      </c>
      <c r="E998" t="s">
        <v>4758</v>
      </c>
      <c r="F998" t="s">
        <v>145</v>
      </c>
      <c r="G998" t="s">
        <v>4759</v>
      </c>
    </row>
    <row r="999" spans="1:7" s="241" customFormat="1" ht="44.25" customHeight="1">
      <c r="A999" t="s">
        <v>4760</v>
      </c>
      <c r="B999" t="s">
        <v>4761</v>
      </c>
      <c r="C999" t="s">
        <v>132</v>
      </c>
      <c r="D999" t="s">
        <v>79</v>
      </c>
      <c r="E999" t="s">
        <v>4762</v>
      </c>
      <c r="F999" t="s">
        <v>145</v>
      </c>
      <c r="G999" t="s">
        <v>4763</v>
      </c>
    </row>
    <row r="1000" spans="1:7" s="241" customFormat="1" ht="44.25" customHeight="1">
      <c r="A1000" t="s">
        <v>4764</v>
      </c>
      <c r="B1000" t="s">
        <v>4765</v>
      </c>
      <c r="C1000" t="s">
        <v>132</v>
      </c>
      <c r="D1000" t="s">
        <v>79</v>
      </c>
      <c r="E1000" t="s">
        <v>4766</v>
      </c>
      <c r="F1000" t="s">
        <v>145</v>
      </c>
      <c r="G1000" t="s">
        <v>4767</v>
      </c>
    </row>
    <row r="1001" spans="1:7" s="241" customFormat="1" ht="44.25" customHeight="1">
      <c r="A1001" t="s">
        <v>132</v>
      </c>
      <c r="B1001" t="s">
        <v>4768</v>
      </c>
      <c r="C1001" t="s">
        <v>132</v>
      </c>
      <c r="D1001" t="s">
        <v>79</v>
      </c>
      <c r="E1001" t="s">
        <v>4769</v>
      </c>
      <c r="F1001" t="s">
        <v>145</v>
      </c>
      <c r="G1001" t="s">
        <v>4770</v>
      </c>
    </row>
    <row r="1002" spans="1:7" s="241" customFormat="1" ht="44.25" customHeight="1">
      <c r="A1002" t="s">
        <v>4771</v>
      </c>
      <c r="B1002" t="s">
        <v>4772</v>
      </c>
      <c r="C1002" t="s">
        <v>132</v>
      </c>
      <c r="D1002" t="s">
        <v>79</v>
      </c>
      <c r="E1002" t="s">
        <v>1507</v>
      </c>
      <c r="F1002" t="s">
        <v>145</v>
      </c>
      <c r="G1002" t="s">
        <v>4773</v>
      </c>
    </row>
    <row r="1003" spans="1:7" s="241" customFormat="1" ht="44.25" customHeight="1">
      <c r="A1003" t="s">
        <v>132</v>
      </c>
      <c r="B1003" t="s">
        <v>4774</v>
      </c>
      <c r="C1003" t="s">
        <v>132</v>
      </c>
      <c r="D1003" t="s">
        <v>79</v>
      </c>
      <c r="E1003" t="s">
        <v>1483</v>
      </c>
      <c r="F1003" t="s">
        <v>145</v>
      </c>
      <c r="G1003" t="s">
        <v>4775</v>
      </c>
    </row>
    <row r="1004" spans="1:7" s="241" customFormat="1" ht="44.25" customHeight="1">
      <c r="A1004" t="s">
        <v>4776</v>
      </c>
      <c r="B1004" t="s">
        <v>4777</v>
      </c>
      <c r="C1004" t="s">
        <v>132</v>
      </c>
      <c r="D1004" t="s">
        <v>79</v>
      </c>
      <c r="E1004" t="s">
        <v>1476</v>
      </c>
      <c r="F1004" t="s">
        <v>145</v>
      </c>
      <c r="G1004" t="s">
        <v>4778</v>
      </c>
    </row>
    <row r="1005" spans="1:7" s="241" customFormat="1" ht="44.25" customHeight="1">
      <c r="A1005" t="s">
        <v>132</v>
      </c>
      <c r="B1005" t="s">
        <v>4779</v>
      </c>
      <c r="C1005" t="s">
        <v>132</v>
      </c>
      <c r="D1005" t="s">
        <v>2143</v>
      </c>
      <c r="E1005" t="s">
        <v>4780</v>
      </c>
      <c r="F1005" t="s">
        <v>145</v>
      </c>
      <c r="G1005" t="s">
        <v>4781</v>
      </c>
    </row>
    <row r="1006" spans="1:7" s="241" customFormat="1" ht="44.25" customHeight="1">
      <c r="A1006" t="s">
        <v>132</v>
      </c>
      <c r="B1006" t="s">
        <v>4782</v>
      </c>
      <c r="C1006" t="s">
        <v>132</v>
      </c>
      <c r="D1006" t="s">
        <v>79</v>
      </c>
      <c r="E1006" t="s">
        <v>4783</v>
      </c>
      <c r="F1006" t="s">
        <v>145</v>
      </c>
      <c r="G1006" t="s">
        <v>4784</v>
      </c>
    </row>
    <row r="1007" spans="1:7" s="241" customFormat="1" ht="44.25" customHeight="1">
      <c r="A1007" t="s">
        <v>132</v>
      </c>
      <c r="B1007" t="s">
        <v>2509</v>
      </c>
      <c r="C1007" t="s">
        <v>132</v>
      </c>
      <c r="D1007" t="s">
        <v>2510</v>
      </c>
      <c r="E1007" t="s">
        <v>2511</v>
      </c>
      <c r="F1007" t="s">
        <v>145</v>
      </c>
      <c r="G1007" t="s">
        <v>4785</v>
      </c>
    </row>
    <row r="1008" spans="1:7" s="241" customFormat="1" ht="44.25" customHeight="1">
      <c r="A1008" t="s">
        <v>4786</v>
      </c>
      <c r="B1008" t="s">
        <v>4787</v>
      </c>
      <c r="C1008" t="s">
        <v>132</v>
      </c>
      <c r="D1008" t="s">
        <v>79</v>
      </c>
      <c r="E1008" t="s">
        <v>4788</v>
      </c>
      <c r="F1008" t="s">
        <v>145</v>
      </c>
      <c r="G1008" t="s">
        <v>4789</v>
      </c>
    </row>
    <row r="1009" spans="1:7" s="241" customFormat="1" ht="44.25" customHeight="1">
      <c r="A1009" t="s">
        <v>4790</v>
      </c>
      <c r="B1009" t="s">
        <v>4791</v>
      </c>
      <c r="C1009" t="s">
        <v>132</v>
      </c>
      <c r="D1009" t="s">
        <v>79</v>
      </c>
      <c r="E1009" t="s">
        <v>4792</v>
      </c>
      <c r="F1009" t="s">
        <v>145</v>
      </c>
      <c r="G1009" t="s">
        <v>4793</v>
      </c>
    </row>
    <row r="1010" spans="1:7" s="241" customFormat="1" ht="44.25" customHeight="1">
      <c r="A1010" t="s">
        <v>4794</v>
      </c>
      <c r="B1010" t="s">
        <v>4795</v>
      </c>
      <c r="C1010" t="s">
        <v>132</v>
      </c>
      <c r="D1010" t="s">
        <v>79</v>
      </c>
      <c r="E1010" t="s">
        <v>4796</v>
      </c>
      <c r="F1010" t="s">
        <v>145</v>
      </c>
      <c r="G1010" t="s">
        <v>4797</v>
      </c>
    </row>
    <row r="1011" spans="1:7" s="241" customFormat="1" ht="44.25" customHeight="1">
      <c r="A1011" t="s">
        <v>4798</v>
      </c>
      <c r="B1011" t="s">
        <v>4799</v>
      </c>
      <c r="C1011" t="s">
        <v>132</v>
      </c>
      <c r="D1011" t="s">
        <v>79</v>
      </c>
      <c r="E1011" t="s">
        <v>4800</v>
      </c>
      <c r="F1011" t="s">
        <v>145</v>
      </c>
      <c r="G1011" t="s">
        <v>4801</v>
      </c>
    </row>
    <row r="1012" spans="1:7" s="241" customFormat="1" ht="44.25" customHeight="1">
      <c r="A1012" t="s">
        <v>4802</v>
      </c>
      <c r="B1012" t="s">
        <v>4803</v>
      </c>
      <c r="C1012" t="s">
        <v>132</v>
      </c>
      <c r="D1012" t="s">
        <v>79</v>
      </c>
      <c r="E1012" t="s">
        <v>4804</v>
      </c>
      <c r="F1012" t="s">
        <v>145</v>
      </c>
      <c r="G1012" t="s">
        <v>4805</v>
      </c>
    </row>
    <row r="1013" spans="1:7" s="241" customFormat="1" ht="44.25" customHeight="1">
      <c r="A1013" t="s">
        <v>4806</v>
      </c>
      <c r="B1013" t="s">
        <v>4807</v>
      </c>
      <c r="C1013" t="s">
        <v>132</v>
      </c>
      <c r="D1013" t="s">
        <v>79</v>
      </c>
      <c r="E1013" t="s">
        <v>4808</v>
      </c>
      <c r="F1013" t="s">
        <v>145</v>
      </c>
      <c r="G1013" t="s">
        <v>4809</v>
      </c>
    </row>
    <row r="1014" spans="1:7" s="241" customFormat="1" ht="44.25" customHeight="1">
      <c r="A1014" t="s">
        <v>4810</v>
      </c>
      <c r="B1014" t="s">
        <v>4811</v>
      </c>
      <c r="C1014" t="s">
        <v>132</v>
      </c>
      <c r="D1014" t="s">
        <v>79</v>
      </c>
      <c r="E1014" t="s">
        <v>4812</v>
      </c>
      <c r="F1014" t="s">
        <v>145</v>
      </c>
      <c r="G1014" t="s">
        <v>4813</v>
      </c>
    </row>
    <row r="1015" spans="1:7" s="241" customFormat="1" ht="44.25" customHeight="1">
      <c r="A1015" t="s">
        <v>4814</v>
      </c>
      <c r="B1015" t="s">
        <v>4815</v>
      </c>
      <c r="C1015" t="s">
        <v>132</v>
      </c>
      <c r="D1015" t="s">
        <v>79</v>
      </c>
      <c r="E1015" t="s">
        <v>4816</v>
      </c>
      <c r="F1015" t="s">
        <v>145</v>
      </c>
      <c r="G1015" t="s">
        <v>4817</v>
      </c>
    </row>
    <row r="1016" spans="1:7" s="241" customFormat="1" ht="44.25" customHeight="1">
      <c r="A1016" t="s">
        <v>4818</v>
      </c>
      <c r="B1016" t="s">
        <v>4819</v>
      </c>
      <c r="C1016" t="s">
        <v>132</v>
      </c>
      <c r="D1016" t="s">
        <v>79</v>
      </c>
      <c r="E1016" t="s">
        <v>4820</v>
      </c>
      <c r="F1016" t="s">
        <v>145</v>
      </c>
      <c r="G1016" t="s">
        <v>4821</v>
      </c>
    </row>
    <row r="1017" spans="1:7" s="241" customFormat="1" ht="44.25" customHeight="1">
      <c r="A1017" t="s">
        <v>4822</v>
      </c>
      <c r="B1017" t="s">
        <v>4823</v>
      </c>
      <c r="C1017" t="s">
        <v>132</v>
      </c>
      <c r="D1017" t="s">
        <v>79</v>
      </c>
      <c r="E1017" t="s">
        <v>4824</v>
      </c>
      <c r="F1017" t="s">
        <v>145</v>
      </c>
      <c r="G1017" t="s">
        <v>4825</v>
      </c>
    </row>
    <row r="1018" spans="1:7" s="241" customFormat="1" ht="44.25" customHeight="1">
      <c r="A1018" t="s">
        <v>4826</v>
      </c>
      <c r="B1018" t="s">
        <v>4827</v>
      </c>
      <c r="C1018" t="s">
        <v>132</v>
      </c>
      <c r="D1018" t="s">
        <v>79</v>
      </c>
      <c r="E1018" t="s">
        <v>4828</v>
      </c>
      <c r="F1018" t="s">
        <v>145</v>
      </c>
      <c r="G1018" t="s">
        <v>4829</v>
      </c>
    </row>
    <row r="1019" spans="1:7" s="241" customFormat="1" ht="44.25" customHeight="1">
      <c r="A1019" t="s">
        <v>4830</v>
      </c>
      <c r="B1019" t="s">
        <v>4831</v>
      </c>
      <c r="C1019" t="s">
        <v>132</v>
      </c>
      <c r="D1019" t="s">
        <v>79</v>
      </c>
      <c r="E1019" t="s">
        <v>4832</v>
      </c>
      <c r="F1019" t="s">
        <v>145</v>
      </c>
      <c r="G1019" t="s">
        <v>4833</v>
      </c>
    </row>
    <row r="1020" spans="1:7" s="241" customFormat="1" ht="44.25" customHeight="1">
      <c r="A1020" t="s">
        <v>4834</v>
      </c>
      <c r="B1020" t="s">
        <v>4835</v>
      </c>
      <c r="C1020" t="s">
        <v>132</v>
      </c>
      <c r="D1020" t="s">
        <v>79</v>
      </c>
      <c r="E1020" t="s">
        <v>4836</v>
      </c>
      <c r="F1020" t="s">
        <v>145</v>
      </c>
      <c r="G1020" t="s">
        <v>4837</v>
      </c>
    </row>
    <row r="1021" spans="1:7" s="241" customFormat="1" ht="44.25" customHeight="1">
      <c r="A1021" t="s">
        <v>4838</v>
      </c>
      <c r="B1021" t="s">
        <v>4839</v>
      </c>
      <c r="C1021" t="s">
        <v>132</v>
      </c>
      <c r="D1021" t="s">
        <v>79</v>
      </c>
      <c r="E1021" t="s">
        <v>4840</v>
      </c>
      <c r="F1021" t="s">
        <v>145</v>
      </c>
      <c r="G1021" t="s">
        <v>4841</v>
      </c>
    </row>
    <row r="1022" spans="1:7" s="241" customFormat="1" ht="44.25" customHeight="1">
      <c r="A1022" t="s">
        <v>4842</v>
      </c>
      <c r="B1022" t="s">
        <v>4843</v>
      </c>
      <c r="C1022" t="s">
        <v>132</v>
      </c>
      <c r="D1022" t="s">
        <v>79</v>
      </c>
      <c r="E1022" t="s">
        <v>4844</v>
      </c>
      <c r="F1022" t="s">
        <v>145</v>
      </c>
      <c r="G1022" t="s">
        <v>4845</v>
      </c>
    </row>
    <row r="1023" spans="1:7" s="241" customFormat="1" ht="44.25" customHeight="1">
      <c r="A1023" t="s">
        <v>4846</v>
      </c>
      <c r="B1023" t="s">
        <v>4847</v>
      </c>
      <c r="C1023" t="s">
        <v>132</v>
      </c>
      <c r="D1023" t="s">
        <v>79</v>
      </c>
      <c r="E1023" t="s">
        <v>4848</v>
      </c>
      <c r="F1023" t="s">
        <v>145</v>
      </c>
      <c r="G1023" t="s">
        <v>4849</v>
      </c>
    </row>
    <row r="1024" spans="1:7" s="241" customFormat="1" ht="44.25" customHeight="1">
      <c r="A1024" t="s">
        <v>4850</v>
      </c>
      <c r="B1024" t="s">
        <v>4851</v>
      </c>
      <c r="C1024" t="s">
        <v>132</v>
      </c>
      <c r="D1024" t="s">
        <v>79</v>
      </c>
      <c r="E1024" t="s">
        <v>4852</v>
      </c>
      <c r="F1024" t="s">
        <v>145</v>
      </c>
      <c r="G1024" t="s">
        <v>4853</v>
      </c>
    </row>
    <row r="1025" spans="1:7" s="241" customFormat="1" ht="44.25" customHeight="1">
      <c r="A1025" t="s">
        <v>4854</v>
      </c>
      <c r="B1025" t="s">
        <v>4855</v>
      </c>
      <c r="C1025" t="s">
        <v>132</v>
      </c>
      <c r="D1025" t="s">
        <v>79</v>
      </c>
      <c r="E1025" t="s">
        <v>4856</v>
      </c>
      <c r="F1025" t="s">
        <v>145</v>
      </c>
      <c r="G1025" t="s">
        <v>4857</v>
      </c>
    </row>
    <row r="1026" spans="1:7" s="241" customFormat="1" ht="44.25" customHeight="1">
      <c r="A1026" t="s">
        <v>4858</v>
      </c>
      <c r="B1026" t="s">
        <v>4859</v>
      </c>
      <c r="C1026" t="s">
        <v>132</v>
      </c>
      <c r="D1026" t="s">
        <v>79</v>
      </c>
      <c r="E1026" t="s">
        <v>4860</v>
      </c>
      <c r="F1026" t="s">
        <v>145</v>
      </c>
      <c r="G1026" t="s">
        <v>4861</v>
      </c>
    </row>
    <row r="1027" spans="1:7" s="241" customFormat="1" ht="44.25" customHeight="1">
      <c r="A1027" t="s">
        <v>4862</v>
      </c>
      <c r="B1027" t="s">
        <v>4863</v>
      </c>
      <c r="C1027" t="s">
        <v>132</v>
      </c>
      <c r="D1027" t="s">
        <v>79</v>
      </c>
      <c r="E1027" t="s">
        <v>4864</v>
      </c>
      <c r="F1027" t="s">
        <v>145</v>
      </c>
      <c r="G1027" t="s">
        <v>4865</v>
      </c>
    </row>
    <row r="1028" spans="1:7" s="241" customFormat="1" ht="44.25" customHeight="1">
      <c r="A1028" t="s">
        <v>4866</v>
      </c>
      <c r="B1028" t="s">
        <v>4867</v>
      </c>
      <c r="C1028" t="s">
        <v>132</v>
      </c>
      <c r="D1028" t="s">
        <v>79</v>
      </c>
      <c r="E1028" t="s">
        <v>4868</v>
      </c>
      <c r="F1028" t="s">
        <v>145</v>
      </c>
      <c r="G1028" t="s">
        <v>4869</v>
      </c>
    </row>
    <row r="1029" spans="1:7" s="241" customFormat="1" ht="44.25" customHeight="1">
      <c r="A1029" t="s">
        <v>4870</v>
      </c>
      <c r="B1029" t="s">
        <v>4871</v>
      </c>
      <c r="C1029" t="s">
        <v>132</v>
      </c>
      <c r="D1029" t="s">
        <v>79</v>
      </c>
      <c r="E1029" t="s">
        <v>4872</v>
      </c>
      <c r="F1029" t="s">
        <v>145</v>
      </c>
      <c r="G1029" t="s">
        <v>4873</v>
      </c>
    </row>
    <row r="1030" spans="1:7" s="241" customFormat="1" ht="44.25" customHeight="1">
      <c r="A1030" t="s">
        <v>4874</v>
      </c>
      <c r="B1030" t="s">
        <v>4875</v>
      </c>
      <c r="C1030" t="s">
        <v>132</v>
      </c>
      <c r="D1030" t="s">
        <v>79</v>
      </c>
      <c r="E1030" t="s">
        <v>4876</v>
      </c>
      <c r="F1030" t="s">
        <v>145</v>
      </c>
      <c r="G1030" t="s">
        <v>4877</v>
      </c>
    </row>
    <row r="1031" spans="1:7" s="241" customFormat="1" ht="44.25" customHeight="1">
      <c r="A1031" t="s">
        <v>4878</v>
      </c>
      <c r="B1031" t="s">
        <v>4879</v>
      </c>
      <c r="C1031" t="s">
        <v>132</v>
      </c>
      <c r="D1031" t="s">
        <v>79</v>
      </c>
      <c r="E1031" t="s">
        <v>4880</v>
      </c>
      <c r="F1031" t="s">
        <v>145</v>
      </c>
      <c r="G1031" t="s">
        <v>4881</v>
      </c>
    </row>
    <row r="1032" spans="1:7" s="241" customFormat="1" ht="44.25" customHeight="1">
      <c r="A1032" t="s">
        <v>4882</v>
      </c>
      <c r="B1032" t="s">
        <v>4883</v>
      </c>
      <c r="C1032" t="s">
        <v>132</v>
      </c>
      <c r="D1032" t="s">
        <v>79</v>
      </c>
      <c r="E1032" t="s">
        <v>4884</v>
      </c>
      <c r="F1032" t="s">
        <v>145</v>
      </c>
      <c r="G1032" t="s">
        <v>4885</v>
      </c>
    </row>
    <row r="1033" spans="1:7" s="241" customFormat="1" ht="44.25" customHeight="1">
      <c r="A1033" t="s">
        <v>4886</v>
      </c>
      <c r="B1033" t="s">
        <v>4887</v>
      </c>
      <c r="C1033" t="s">
        <v>132</v>
      </c>
      <c r="D1033" t="s">
        <v>79</v>
      </c>
      <c r="E1033" t="s">
        <v>4888</v>
      </c>
      <c r="F1033" t="s">
        <v>145</v>
      </c>
      <c r="G1033" t="s">
        <v>4889</v>
      </c>
    </row>
    <row r="1034" spans="1:7" s="241" customFormat="1" ht="44.25" customHeight="1">
      <c r="A1034" t="s">
        <v>4890</v>
      </c>
      <c r="B1034" t="s">
        <v>4891</v>
      </c>
      <c r="C1034" t="s">
        <v>132</v>
      </c>
      <c r="D1034" t="s">
        <v>79</v>
      </c>
      <c r="E1034" t="s">
        <v>4892</v>
      </c>
      <c r="F1034" t="s">
        <v>145</v>
      </c>
      <c r="G1034" t="s">
        <v>4893</v>
      </c>
    </row>
    <row r="1035" spans="1:7" s="241" customFormat="1" ht="44.25" customHeight="1">
      <c r="A1035" t="s">
        <v>4894</v>
      </c>
      <c r="B1035" t="s">
        <v>4895</v>
      </c>
      <c r="C1035" t="s">
        <v>132</v>
      </c>
      <c r="D1035" t="s">
        <v>79</v>
      </c>
      <c r="E1035" t="s">
        <v>4896</v>
      </c>
      <c r="F1035" t="s">
        <v>145</v>
      </c>
      <c r="G1035" t="s">
        <v>4897</v>
      </c>
    </row>
    <row r="1036" spans="1:7" s="241" customFormat="1" ht="44.25" customHeight="1">
      <c r="A1036" t="s">
        <v>4898</v>
      </c>
      <c r="B1036" t="s">
        <v>4899</v>
      </c>
      <c r="C1036" t="s">
        <v>132</v>
      </c>
      <c r="D1036" t="s">
        <v>79</v>
      </c>
      <c r="E1036" t="s">
        <v>4900</v>
      </c>
      <c r="F1036" t="s">
        <v>145</v>
      </c>
      <c r="G1036" t="s">
        <v>4901</v>
      </c>
    </row>
    <row r="1037" spans="1:7" s="241" customFormat="1" ht="44.25" customHeight="1">
      <c r="A1037" t="s">
        <v>4902</v>
      </c>
      <c r="B1037" t="s">
        <v>4903</v>
      </c>
      <c r="C1037" t="s">
        <v>132</v>
      </c>
      <c r="D1037" t="s">
        <v>79</v>
      </c>
      <c r="E1037" t="s">
        <v>4904</v>
      </c>
      <c r="F1037" t="s">
        <v>145</v>
      </c>
      <c r="G1037" t="s">
        <v>4905</v>
      </c>
    </row>
    <row r="1038" spans="1:7" s="241" customFormat="1" ht="44.25" customHeight="1">
      <c r="A1038" t="s">
        <v>4906</v>
      </c>
      <c r="B1038" t="s">
        <v>4907</v>
      </c>
      <c r="C1038" t="s">
        <v>132</v>
      </c>
      <c r="D1038" t="s">
        <v>79</v>
      </c>
      <c r="E1038" t="s">
        <v>4908</v>
      </c>
      <c r="F1038" t="s">
        <v>145</v>
      </c>
      <c r="G1038" t="s">
        <v>4909</v>
      </c>
    </row>
    <row r="1039" spans="1:7" s="241" customFormat="1" ht="44.25" customHeight="1">
      <c r="A1039" t="s">
        <v>4910</v>
      </c>
      <c r="B1039" t="s">
        <v>4911</v>
      </c>
      <c r="C1039" t="s">
        <v>132</v>
      </c>
      <c r="D1039" t="s">
        <v>79</v>
      </c>
      <c r="E1039" t="s">
        <v>4912</v>
      </c>
      <c r="F1039" t="s">
        <v>145</v>
      </c>
      <c r="G1039" t="s">
        <v>4913</v>
      </c>
    </row>
    <row r="1040" spans="1:7" s="241" customFormat="1" ht="44.25" customHeight="1">
      <c r="A1040" t="s">
        <v>4914</v>
      </c>
      <c r="B1040" t="s">
        <v>4915</v>
      </c>
      <c r="C1040" t="s">
        <v>132</v>
      </c>
      <c r="D1040" t="s">
        <v>79</v>
      </c>
      <c r="E1040" t="s">
        <v>4916</v>
      </c>
      <c r="F1040" t="s">
        <v>145</v>
      </c>
      <c r="G1040" t="s">
        <v>4917</v>
      </c>
    </row>
    <row r="1041" spans="1:7" s="241" customFormat="1" ht="44.25" customHeight="1">
      <c r="A1041" t="s">
        <v>4918</v>
      </c>
      <c r="B1041" t="s">
        <v>4919</v>
      </c>
      <c r="C1041" t="s">
        <v>132</v>
      </c>
      <c r="D1041" t="s">
        <v>79</v>
      </c>
      <c r="E1041" t="s">
        <v>4920</v>
      </c>
      <c r="F1041" t="s">
        <v>145</v>
      </c>
      <c r="G1041" t="s">
        <v>4921</v>
      </c>
    </row>
    <row r="1042" spans="1:7" s="241" customFormat="1" ht="44.25" customHeight="1">
      <c r="A1042" t="s">
        <v>4922</v>
      </c>
      <c r="B1042" t="s">
        <v>4923</v>
      </c>
      <c r="C1042" t="s">
        <v>132</v>
      </c>
      <c r="D1042" t="s">
        <v>79</v>
      </c>
      <c r="E1042" t="s">
        <v>4924</v>
      </c>
      <c r="F1042" t="s">
        <v>145</v>
      </c>
      <c r="G1042" t="s">
        <v>4925</v>
      </c>
    </row>
    <row r="1043" spans="1:7" s="241" customFormat="1" ht="44.25" customHeight="1">
      <c r="A1043" t="s">
        <v>4926</v>
      </c>
      <c r="B1043" t="s">
        <v>4927</v>
      </c>
      <c r="C1043" t="s">
        <v>132</v>
      </c>
      <c r="D1043" t="s">
        <v>79</v>
      </c>
      <c r="E1043" t="s">
        <v>4928</v>
      </c>
      <c r="F1043" t="s">
        <v>145</v>
      </c>
      <c r="G1043" t="s">
        <v>4929</v>
      </c>
    </row>
    <row r="1044" spans="1:7" s="241" customFormat="1" ht="44.25" customHeight="1">
      <c r="A1044" t="s">
        <v>4930</v>
      </c>
      <c r="B1044" t="s">
        <v>4931</v>
      </c>
      <c r="C1044" t="s">
        <v>132</v>
      </c>
      <c r="D1044" t="s">
        <v>79</v>
      </c>
      <c r="E1044" t="s">
        <v>4932</v>
      </c>
      <c r="F1044" t="s">
        <v>145</v>
      </c>
      <c r="G1044" t="s">
        <v>4933</v>
      </c>
    </row>
    <row r="1045" spans="1:7" s="241" customFormat="1" ht="44.25" customHeight="1">
      <c r="A1045" t="s">
        <v>4934</v>
      </c>
      <c r="B1045" t="s">
        <v>4935</v>
      </c>
      <c r="C1045" t="s">
        <v>132</v>
      </c>
      <c r="D1045" t="s">
        <v>79</v>
      </c>
      <c r="E1045" t="s">
        <v>4936</v>
      </c>
      <c r="F1045" t="s">
        <v>145</v>
      </c>
      <c r="G1045" t="s">
        <v>4937</v>
      </c>
    </row>
    <row r="1046" spans="1:7" s="241" customFormat="1" ht="44.25" customHeight="1">
      <c r="A1046" t="s">
        <v>4938</v>
      </c>
      <c r="B1046" t="s">
        <v>4939</v>
      </c>
      <c r="C1046" t="s">
        <v>132</v>
      </c>
      <c r="D1046" t="s">
        <v>79</v>
      </c>
      <c r="E1046" t="s">
        <v>4940</v>
      </c>
      <c r="F1046" t="s">
        <v>145</v>
      </c>
      <c r="G1046" t="s">
        <v>4941</v>
      </c>
    </row>
    <row r="1047" spans="1:7" s="241" customFormat="1" ht="44.25" customHeight="1">
      <c r="A1047" t="s">
        <v>4942</v>
      </c>
      <c r="B1047" t="s">
        <v>4943</v>
      </c>
      <c r="C1047" t="s">
        <v>132</v>
      </c>
      <c r="D1047" t="s">
        <v>79</v>
      </c>
      <c r="E1047" t="s">
        <v>4944</v>
      </c>
      <c r="F1047" t="s">
        <v>145</v>
      </c>
      <c r="G1047" t="s">
        <v>4945</v>
      </c>
    </row>
    <row r="1048" spans="1:7" s="241" customFormat="1" ht="44.25" customHeight="1">
      <c r="A1048" t="s">
        <v>4946</v>
      </c>
      <c r="B1048" t="s">
        <v>4947</v>
      </c>
      <c r="C1048" t="s">
        <v>132</v>
      </c>
      <c r="D1048" t="s">
        <v>79</v>
      </c>
      <c r="E1048" t="s">
        <v>4948</v>
      </c>
      <c r="F1048" t="s">
        <v>145</v>
      </c>
      <c r="G1048" t="s">
        <v>4949</v>
      </c>
    </row>
    <row r="1049" spans="1:7" s="241" customFormat="1" ht="44.25" customHeight="1">
      <c r="A1049" t="s">
        <v>4950</v>
      </c>
      <c r="B1049" t="s">
        <v>4951</v>
      </c>
      <c r="C1049" t="s">
        <v>132</v>
      </c>
      <c r="D1049" t="s">
        <v>79</v>
      </c>
      <c r="E1049" t="s">
        <v>4800</v>
      </c>
      <c r="F1049" t="s">
        <v>145</v>
      </c>
      <c r="G1049" t="s">
        <v>4952</v>
      </c>
    </row>
    <row r="1050" spans="1:7" s="241" customFormat="1" ht="44.25" customHeight="1">
      <c r="A1050" t="s">
        <v>4953</v>
      </c>
      <c r="B1050" t="s">
        <v>4954</v>
      </c>
      <c r="C1050" t="s">
        <v>132</v>
      </c>
      <c r="D1050" t="s">
        <v>79</v>
      </c>
      <c r="E1050" t="s">
        <v>4955</v>
      </c>
      <c r="F1050" t="s">
        <v>145</v>
      </c>
      <c r="G1050" t="s">
        <v>4956</v>
      </c>
    </row>
    <row r="1051" spans="1:7" s="241" customFormat="1" ht="44.25" customHeight="1">
      <c r="A1051" t="s">
        <v>2513</v>
      </c>
      <c r="B1051" t="s">
        <v>2514</v>
      </c>
      <c r="C1051" t="s">
        <v>132</v>
      </c>
      <c r="D1051" t="s">
        <v>79</v>
      </c>
      <c r="E1051" t="s">
        <v>2515</v>
      </c>
      <c r="F1051" t="s">
        <v>145</v>
      </c>
      <c r="G1051" t="s">
        <v>4957</v>
      </c>
    </row>
    <row r="1052" spans="1:7" s="241" customFormat="1" ht="44.25" customHeight="1">
      <c r="A1052" t="s">
        <v>4958</v>
      </c>
      <c r="B1052" t="s">
        <v>4959</v>
      </c>
      <c r="C1052" t="s">
        <v>132</v>
      </c>
      <c r="D1052" t="s">
        <v>79</v>
      </c>
      <c r="E1052" t="s">
        <v>4960</v>
      </c>
      <c r="F1052" t="s">
        <v>145</v>
      </c>
      <c r="G1052" t="s">
        <v>4961</v>
      </c>
    </row>
    <row r="1053" spans="1:7" s="241" customFormat="1" ht="44.25" customHeight="1">
      <c r="A1053" t="s">
        <v>4962</v>
      </c>
      <c r="B1053" t="s">
        <v>4963</v>
      </c>
      <c r="C1053" t="s">
        <v>132</v>
      </c>
      <c r="D1053" t="s">
        <v>79</v>
      </c>
      <c r="E1053" t="s">
        <v>4964</v>
      </c>
      <c r="F1053" t="s">
        <v>145</v>
      </c>
      <c r="G1053" t="s">
        <v>4965</v>
      </c>
    </row>
    <row r="1054" spans="1:7" s="241" customFormat="1" ht="44.25" customHeight="1">
      <c r="A1054" t="s">
        <v>4966</v>
      </c>
      <c r="B1054" t="s">
        <v>4967</v>
      </c>
      <c r="C1054" t="s">
        <v>132</v>
      </c>
      <c r="D1054" t="s">
        <v>79</v>
      </c>
      <c r="E1054" t="s">
        <v>4968</v>
      </c>
      <c r="F1054" t="s">
        <v>145</v>
      </c>
      <c r="G1054" t="s">
        <v>4969</v>
      </c>
    </row>
    <row r="1055" spans="1:7" s="241" customFormat="1" ht="44.25" customHeight="1">
      <c r="A1055" t="s">
        <v>4970</v>
      </c>
      <c r="B1055" t="s">
        <v>4971</v>
      </c>
      <c r="C1055" t="s">
        <v>132</v>
      </c>
      <c r="D1055" t="s">
        <v>79</v>
      </c>
      <c r="E1055" t="s">
        <v>4972</v>
      </c>
      <c r="F1055" t="s">
        <v>145</v>
      </c>
      <c r="G1055" t="s">
        <v>4973</v>
      </c>
    </row>
    <row r="1056" spans="1:7" s="241" customFormat="1" ht="44.25" customHeight="1">
      <c r="A1056" t="s">
        <v>4974</v>
      </c>
      <c r="B1056" t="s">
        <v>4975</v>
      </c>
      <c r="C1056" t="s">
        <v>132</v>
      </c>
      <c r="D1056" t="s">
        <v>79</v>
      </c>
      <c r="E1056" t="s">
        <v>4976</v>
      </c>
      <c r="F1056" t="s">
        <v>145</v>
      </c>
      <c r="G1056" t="s">
        <v>4977</v>
      </c>
    </row>
    <row r="1057" spans="1:7" s="241" customFormat="1" ht="44.25" customHeight="1">
      <c r="A1057" t="s">
        <v>2517</v>
      </c>
      <c r="B1057" t="s">
        <v>2518</v>
      </c>
      <c r="C1057" t="s">
        <v>132</v>
      </c>
      <c r="D1057" t="s">
        <v>79</v>
      </c>
      <c r="E1057" t="s">
        <v>2519</v>
      </c>
      <c r="F1057" t="s">
        <v>145</v>
      </c>
      <c r="G1057" t="s">
        <v>4978</v>
      </c>
    </row>
    <row r="1058" spans="1:7" s="241" customFormat="1" ht="44.25" customHeight="1">
      <c r="A1058" t="s">
        <v>4979</v>
      </c>
      <c r="B1058" t="s">
        <v>4980</v>
      </c>
      <c r="C1058" t="s">
        <v>132</v>
      </c>
      <c r="D1058" t="s">
        <v>79</v>
      </c>
      <c r="E1058" t="s">
        <v>4981</v>
      </c>
      <c r="F1058" t="s">
        <v>145</v>
      </c>
      <c r="G1058" t="s">
        <v>4982</v>
      </c>
    </row>
    <row r="1059" spans="1:7" s="241" customFormat="1" ht="44.25" customHeight="1">
      <c r="A1059" t="s">
        <v>4983</v>
      </c>
      <c r="B1059" t="s">
        <v>4984</v>
      </c>
      <c r="C1059" t="s">
        <v>132</v>
      </c>
      <c r="D1059" t="s">
        <v>79</v>
      </c>
      <c r="E1059" t="s">
        <v>4985</v>
      </c>
      <c r="F1059" t="s">
        <v>145</v>
      </c>
      <c r="G1059" t="s">
        <v>4986</v>
      </c>
    </row>
    <row r="1060" spans="1:7" s="241" customFormat="1" ht="44.25" customHeight="1">
      <c r="A1060" t="s">
        <v>4987</v>
      </c>
      <c r="B1060" t="s">
        <v>4988</v>
      </c>
      <c r="C1060" t="s">
        <v>132</v>
      </c>
      <c r="D1060" t="s">
        <v>79</v>
      </c>
      <c r="E1060" t="s">
        <v>4989</v>
      </c>
      <c r="F1060" t="s">
        <v>145</v>
      </c>
      <c r="G1060" t="s">
        <v>4990</v>
      </c>
    </row>
    <row r="1061" spans="1:7" s="241" customFormat="1" ht="44.25" customHeight="1">
      <c r="A1061" t="s">
        <v>4991</v>
      </c>
      <c r="B1061" t="s">
        <v>4992</v>
      </c>
      <c r="C1061" t="s">
        <v>132</v>
      </c>
      <c r="D1061" t="s">
        <v>79</v>
      </c>
      <c r="E1061" t="s">
        <v>4993</v>
      </c>
      <c r="F1061" t="s">
        <v>145</v>
      </c>
      <c r="G1061" t="s">
        <v>4994</v>
      </c>
    </row>
    <row r="1062" spans="1:7" s="241" customFormat="1" ht="44.25" customHeight="1">
      <c r="A1062" t="s">
        <v>4995</v>
      </c>
      <c r="B1062" t="s">
        <v>4996</v>
      </c>
      <c r="C1062" t="s">
        <v>132</v>
      </c>
      <c r="D1062" t="s">
        <v>79</v>
      </c>
      <c r="E1062" t="s">
        <v>4997</v>
      </c>
      <c r="F1062" t="s">
        <v>145</v>
      </c>
      <c r="G1062" t="s">
        <v>4998</v>
      </c>
    </row>
    <row r="1063" spans="1:7" s="241" customFormat="1" ht="44.25" customHeight="1">
      <c r="A1063" t="s">
        <v>4999</v>
      </c>
      <c r="B1063" t="s">
        <v>5000</v>
      </c>
      <c r="C1063" t="s">
        <v>132</v>
      </c>
      <c r="D1063" t="s">
        <v>2143</v>
      </c>
      <c r="E1063" t="s">
        <v>5001</v>
      </c>
      <c r="F1063" t="s">
        <v>145</v>
      </c>
      <c r="G1063" t="s">
        <v>5002</v>
      </c>
    </row>
    <row r="1064" spans="1:7" s="241" customFormat="1" ht="44.25" customHeight="1">
      <c r="A1064" t="s">
        <v>5003</v>
      </c>
      <c r="B1064" t="s">
        <v>5004</v>
      </c>
      <c r="C1064" t="s">
        <v>132</v>
      </c>
      <c r="D1064" t="s">
        <v>79</v>
      </c>
      <c r="E1064" t="s">
        <v>5005</v>
      </c>
      <c r="F1064" t="s">
        <v>145</v>
      </c>
      <c r="G1064" t="s">
        <v>5006</v>
      </c>
    </row>
    <row r="1065" spans="1:7" s="241" customFormat="1" ht="44.25" customHeight="1">
      <c r="A1065" t="s">
        <v>5007</v>
      </c>
      <c r="B1065" t="s">
        <v>5008</v>
      </c>
      <c r="C1065" t="s">
        <v>132</v>
      </c>
      <c r="D1065" t="s">
        <v>79</v>
      </c>
      <c r="E1065" t="s">
        <v>5009</v>
      </c>
      <c r="F1065" t="s">
        <v>145</v>
      </c>
      <c r="G1065" t="s">
        <v>5010</v>
      </c>
    </row>
    <row r="1066" spans="1:7" s="241" customFormat="1" ht="44.25" customHeight="1">
      <c r="A1066" t="s">
        <v>132</v>
      </c>
      <c r="B1066" t="s">
        <v>5011</v>
      </c>
      <c r="C1066" t="s">
        <v>132</v>
      </c>
      <c r="D1066" t="s">
        <v>79</v>
      </c>
      <c r="E1066" t="s">
        <v>5012</v>
      </c>
      <c r="F1066" t="s">
        <v>145</v>
      </c>
      <c r="G1066" t="s">
        <v>5013</v>
      </c>
    </row>
    <row r="1067" spans="1:7" s="241" customFormat="1" ht="44.25" customHeight="1">
      <c r="A1067" t="s">
        <v>5014</v>
      </c>
      <c r="B1067" t="s">
        <v>5015</v>
      </c>
      <c r="C1067" t="s">
        <v>132</v>
      </c>
      <c r="D1067" t="s">
        <v>79</v>
      </c>
      <c r="E1067" t="s">
        <v>5016</v>
      </c>
      <c r="F1067" t="s">
        <v>145</v>
      </c>
      <c r="G1067" t="s">
        <v>5017</v>
      </c>
    </row>
    <row r="1068" spans="1:7" s="241" customFormat="1" ht="44.25" customHeight="1">
      <c r="A1068" t="s">
        <v>5018</v>
      </c>
      <c r="B1068" t="s">
        <v>5019</v>
      </c>
      <c r="C1068" t="s">
        <v>132</v>
      </c>
      <c r="D1068" t="s">
        <v>79</v>
      </c>
      <c r="E1068" t="s">
        <v>5020</v>
      </c>
      <c r="F1068" t="s">
        <v>145</v>
      </c>
      <c r="G1068" t="s">
        <v>5021</v>
      </c>
    </row>
    <row r="1069" spans="1:7" s="241" customFormat="1" ht="44.25" customHeight="1">
      <c r="A1069" t="s">
        <v>5022</v>
      </c>
      <c r="B1069" t="s">
        <v>5023</v>
      </c>
      <c r="C1069" t="s">
        <v>132</v>
      </c>
      <c r="D1069" t="s">
        <v>79</v>
      </c>
      <c r="E1069" t="s">
        <v>5024</v>
      </c>
      <c r="F1069" t="s">
        <v>145</v>
      </c>
      <c r="G1069" t="s">
        <v>5025</v>
      </c>
    </row>
    <row r="1070" spans="1:7" s="241" customFormat="1" ht="44.25" customHeight="1">
      <c r="A1070" t="s">
        <v>5026</v>
      </c>
      <c r="B1070" t="s">
        <v>5027</v>
      </c>
      <c r="C1070" t="s">
        <v>132</v>
      </c>
      <c r="D1070" t="s">
        <v>79</v>
      </c>
      <c r="E1070" t="s">
        <v>5028</v>
      </c>
      <c r="F1070" t="s">
        <v>145</v>
      </c>
      <c r="G1070" t="s">
        <v>5029</v>
      </c>
    </row>
    <row r="1071" spans="1:7" s="241" customFormat="1" ht="44.25" customHeight="1">
      <c r="A1071" t="s">
        <v>5030</v>
      </c>
      <c r="B1071" t="s">
        <v>5031</v>
      </c>
      <c r="C1071" t="s">
        <v>132</v>
      </c>
      <c r="D1071" t="s">
        <v>79</v>
      </c>
      <c r="E1071" t="s">
        <v>5032</v>
      </c>
      <c r="F1071" t="s">
        <v>145</v>
      </c>
      <c r="G1071" t="s">
        <v>5033</v>
      </c>
    </row>
    <row r="1072" spans="1:7" s="241" customFormat="1" ht="44.25" customHeight="1">
      <c r="A1072" t="s">
        <v>5034</v>
      </c>
      <c r="B1072" t="s">
        <v>5035</v>
      </c>
      <c r="C1072" t="s">
        <v>132</v>
      </c>
      <c r="D1072" t="s">
        <v>79</v>
      </c>
      <c r="E1072" t="s">
        <v>5036</v>
      </c>
      <c r="F1072" t="s">
        <v>145</v>
      </c>
      <c r="G1072" t="s">
        <v>5037</v>
      </c>
    </row>
    <row r="1073" spans="1:7" s="241" customFormat="1" ht="44.25" customHeight="1">
      <c r="A1073" t="s">
        <v>132</v>
      </c>
      <c r="B1073" t="s">
        <v>5038</v>
      </c>
      <c r="C1073" t="s">
        <v>132</v>
      </c>
      <c r="D1073" t="s">
        <v>2143</v>
      </c>
      <c r="E1073" t="s">
        <v>5039</v>
      </c>
      <c r="F1073" t="s">
        <v>145</v>
      </c>
      <c r="G1073" t="s">
        <v>5040</v>
      </c>
    </row>
    <row r="1074" spans="1:7" s="241" customFormat="1" ht="44.25" customHeight="1">
      <c r="A1074" t="s">
        <v>5041</v>
      </c>
      <c r="B1074" t="s">
        <v>5042</v>
      </c>
      <c r="C1074" t="s">
        <v>132</v>
      </c>
      <c r="D1074" t="s">
        <v>79</v>
      </c>
      <c r="E1074" t="s">
        <v>5043</v>
      </c>
      <c r="F1074" t="s">
        <v>145</v>
      </c>
      <c r="G1074" t="s">
        <v>5044</v>
      </c>
    </row>
    <row r="1075" spans="1:7" s="241" customFormat="1" ht="44.25" customHeight="1">
      <c r="A1075" t="s">
        <v>5045</v>
      </c>
      <c r="B1075" t="s">
        <v>5046</v>
      </c>
      <c r="C1075" t="s">
        <v>132</v>
      </c>
      <c r="D1075" t="s">
        <v>79</v>
      </c>
      <c r="E1075" t="s">
        <v>5047</v>
      </c>
      <c r="F1075" t="s">
        <v>145</v>
      </c>
      <c r="G1075" t="s">
        <v>5048</v>
      </c>
    </row>
    <row r="1076" spans="1:7" s="241" customFormat="1" ht="44.25" customHeight="1">
      <c r="A1076" t="s">
        <v>5049</v>
      </c>
      <c r="B1076" t="s">
        <v>5050</v>
      </c>
      <c r="C1076" t="s">
        <v>132</v>
      </c>
      <c r="D1076" t="s">
        <v>79</v>
      </c>
      <c r="E1076" t="s">
        <v>5051</v>
      </c>
      <c r="F1076" t="s">
        <v>145</v>
      </c>
      <c r="G1076" t="s">
        <v>5052</v>
      </c>
    </row>
    <row r="1077" spans="1:7" s="241" customFormat="1" ht="44.25" customHeight="1">
      <c r="A1077" t="s">
        <v>5053</v>
      </c>
      <c r="B1077" t="s">
        <v>5054</v>
      </c>
      <c r="C1077" t="s">
        <v>132</v>
      </c>
      <c r="D1077" t="s">
        <v>79</v>
      </c>
      <c r="E1077" t="s">
        <v>5055</v>
      </c>
      <c r="F1077" t="s">
        <v>145</v>
      </c>
      <c r="G1077" t="s">
        <v>5056</v>
      </c>
    </row>
    <row r="1078" spans="1:7" s="241" customFormat="1" ht="44.25" customHeight="1">
      <c r="A1078" t="s">
        <v>5057</v>
      </c>
      <c r="B1078" t="s">
        <v>5058</v>
      </c>
      <c r="C1078" t="s">
        <v>132</v>
      </c>
      <c r="D1078" t="s">
        <v>79</v>
      </c>
      <c r="E1078" t="s">
        <v>5059</v>
      </c>
      <c r="F1078" t="s">
        <v>145</v>
      </c>
      <c r="G1078" t="s">
        <v>5060</v>
      </c>
    </row>
    <row r="1079" spans="1:7" s="241" customFormat="1" ht="44.25" customHeight="1">
      <c r="A1079" t="s">
        <v>5061</v>
      </c>
      <c r="B1079" t="s">
        <v>5062</v>
      </c>
      <c r="C1079" t="s">
        <v>132</v>
      </c>
      <c r="D1079" t="s">
        <v>79</v>
      </c>
      <c r="E1079" t="s">
        <v>5063</v>
      </c>
      <c r="F1079" t="s">
        <v>145</v>
      </c>
      <c r="G1079" t="s">
        <v>5064</v>
      </c>
    </row>
    <row r="1080" spans="1:7" s="241" customFormat="1" ht="44.25" customHeight="1">
      <c r="A1080" t="s">
        <v>3473</v>
      </c>
      <c r="B1080" t="s">
        <v>3474</v>
      </c>
      <c r="C1080" t="s">
        <v>132</v>
      </c>
      <c r="D1080" t="s">
        <v>79</v>
      </c>
      <c r="E1080" t="s">
        <v>3475</v>
      </c>
      <c r="F1080" t="s">
        <v>145</v>
      </c>
      <c r="G1080" t="s">
        <v>5065</v>
      </c>
    </row>
    <row r="1081" spans="1:7" s="241" customFormat="1" ht="44.25" customHeight="1">
      <c r="A1081" t="s">
        <v>5066</v>
      </c>
      <c r="B1081" t="s">
        <v>5067</v>
      </c>
      <c r="C1081" t="s">
        <v>132</v>
      </c>
      <c r="D1081" t="s">
        <v>79</v>
      </c>
      <c r="E1081" t="s">
        <v>5068</v>
      </c>
      <c r="F1081" t="s">
        <v>145</v>
      </c>
      <c r="G1081" t="s">
        <v>5069</v>
      </c>
    </row>
    <row r="1082" spans="1:7" s="241" customFormat="1" ht="44.25" customHeight="1">
      <c r="A1082" t="s">
        <v>5070</v>
      </c>
      <c r="B1082" t="s">
        <v>5071</v>
      </c>
      <c r="C1082" t="s">
        <v>132</v>
      </c>
      <c r="D1082" t="s">
        <v>79</v>
      </c>
      <c r="E1082" t="s">
        <v>5072</v>
      </c>
      <c r="F1082" t="s">
        <v>145</v>
      </c>
      <c r="G1082" t="s">
        <v>5073</v>
      </c>
    </row>
    <row r="1083" spans="1:7" s="241" customFormat="1" ht="44.25" customHeight="1">
      <c r="A1083" t="s">
        <v>5074</v>
      </c>
      <c r="B1083" t="s">
        <v>5075</v>
      </c>
      <c r="C1083" t="s">
        <v>132</v>
      </c>
      <c r="D1083" t="s">
        <v>79</v>
      </c>
      <c r="E1083" t="s">
        <v>5076</v>
      </c>
      <c r="F1083" t="s">
        <v>145</v>
      </c>
      <c r="G1083" t="s">
        <v>5077</v>
      </c>
    </row>
    <row r="1084" spans="1:7" s="241" customFormat="1" ht="44.25" customHeight="1">
      <c r="A1084" t="s">
        <v>5078</v>
      </c>
      <c r="B1084" t="s">
        <v>5079</v>
      </c>
      <c r="C1084" t="s">
        <v>132</v>
      </c>
      <c r="D1084" t="s">
        <v>79</v>
      </c>
      <c r="E1084" t="s">
        <v>5080</v>
      </c>
      <c r="F1084" t="s">
        <v>145</v>
      </c>
      <c r="G1084" t="s">
        <v>5081</v>
      </c>
    </row>
    <row r="1085" spans="1:7" s="241" customFormat="1" ht="44.25" customHeight="1">
      <c r="A1085" t="s">
        <v>5082</v>
      </c>
      <c r="B1085" t="s">
        <v>5083</v>
      </c>
      <c r="C1085" t="s">
        <v>132</v>
      </c>
      <c r="D1085" t="s">
        <v>79</v>
      </c>
      <c r="E1085" t="s">
        <v>5084</v>
      </c>
      <c r="F1085" t="s">
        <v>145</v>
      </c>
      <c r="G1085" t="s">
        <v>5085</v>
      </c>
    </row>
    <row r="1086" spans="1:7" s="241" customFormat="1" ht="44.25" customHeight="1">
      <c r="A1086" t="s">
        <v>5086</v>
      </c>
      <c r="B1086" t="s">
        <v>5087</v>
      </c>
      <c r="C1086" t="s">
        <v>132</v>
      </c>
      <c r="D1086" t="s">
        <v>79</v>
      </c>
      <c r="E1086" t="s">
        <v>5088</v>
      </c>
      <c r="F1086" t="s">
        <v>145</v>
      </c>
      <c r="G1086" t="s">
        <v>5089</v>
      </c>
    </row>
    <row r="1087" spans="1:7" s="241" customFormat="1" ht="44.25" customHeight="1">
      <c r="A1087" t="s">
        <v>5090</v>
      </c>
      <c r="B1087" t="s">
        <v>5091</v>
      </c>
      <c r="C1087" t="s">
        <v>132</v>
      </c>
      <c r="D1087" t="s">
        <v>79</v>
      </c>
      <c r="E1087" t="s">
        <v>5092</v>
      </c>
      <c r="F1087" t="s">
        <v>145</v>
      </c>
      <c r="G1087" t="s">
        <v>5093</v>
      </c>
    </row>
    <row r="1088" spans="1:7" s="241" customFormat="1" ht="44.25" customHeight="1">
      <c r="A1088" t="s">
        <v>5094</v>
      </c>
      <c r="B1088" t="s">
        <v>5095</v>
      </c>
      <c r="C1088" t="s">
        <v>132</v>
      </c>
      <c r="D1088" t="s">
        <v>79</v>
      </c>
      <c r="E1088" t="s">
        <v>5096</v>
      </c>
      <c r="F1088" t="s">
        <v>145</v>
      </c>
      <c r="G1088" t="s">
        <v>5097</v>
      </c>
    </row>
    <row r="1089" spans="1:7" s="241" customFormat="1" ht="44.25" customHeight="1">
      <c r="A1089" t="s">
        <v>5098</v>
      </c>
      <c r="B1089" t="s">
        <v>5099</v>
      </c>
      <c r="C1089" t="s">
        <v>132</v>
      </c>
      <c r="D1089" t="s">
        <v>79</v>
      </c>
      <c r="E1089" t="s">
        <v>5100</v>
      </c>
      <c r="F1089" t="s">
        <v>145</v>
      </c>
      <c r="G1089" t="s">
        <v>5101</v>
      </c>
    </row>
    <row r="1090" spans="1:7" s="241" customFormat="1" ht="44.25" customHeight="1">
      <c r="A1090" t="s">
        <v>5102</v>
      </c>
      <c r="B1090" t="s">
        <v>5103</v>
      </c>
      <c r="C1090" t="s">
        <v>132</v>
      </c>
      <c r="D1090" t="s">
        <v>79</v>
      </c>
      <c r="E1090" t="s">
        <v>5104</v>
      </c>
      <c r="F1090" t="s">
        <v>145</v>
      </c>
      <c r="G1090" t="s">
        <v>5105</v>
      </c>
    </row>
    <row r="1091" spans="1:7" s="241" customFormat="1" ht="44.25" customHeight="1">
      <c r="A1091" t="s">
        <v>5106</v>
      </c>
      <c r="B1091" t="s">
        <v>5107</v>
      </c>
      <c r="C1091" t="s">
        <v>132</v>
      </c>
      <c r="D1091" t="s">
        <v>79</v>
      </c>
      <c r="E1091" t="s">
        <v>5108</v>
      </c>
      <c r="F1091" t="s">
        <v>145</v>
      </c>
      <c r="G1091" t="s">
        <v>5109</v>
      </c>
    </row>
    <row r="1092" spans="1:7" s="241" customFormat="1" ht="44.25" customHeight="1">
      <c r="A1092" t="s">
        <v>5110</v>
      </c>
      <c r="B1092" t="s">
        <v>5111</v>
      </c>
      <c r="C1092" t="s">
        <v>132</v>
      </c>
      <c r="D1092" t="s">
        <v>79</v>
      </c>
      <c r="E1092" t="s">
        <v>5112</v>
      </c>
      <c r="F1092" t="s">
        <v>145</v>
      </c>
      <c r="G1092" t="s">
        <v>5113</v>
      </c>
    </row>
    <row r="1093" spans="1:7" s="241" customFormat="1" ht="44.25" customHeight="1">
      <c r="A1093" t="s">
        <v>5114</v>
      </c>
      <c r="B1093" t="s">
        <v>5115</v>
      </c>
      <c r="C1093" t="s">
        <v>132</v>
      </c>
      <c r="D1093" t="s">
        <v>79</v>
      </c>
      <c r="E1093" t="s">
        <v>5116</v>
      </c>
      <c r="F1093" t="s">
        <v>145</v>
      </c>
      <c r="G1093" t="s">
        <v>5117</v>
      </c>
    </row>
    <row r="1094" spans="1:7" s="241" customFormat="1" ht="44.25" customHeight="1">
      <c r="A1094" t="s">
        <v>5118</v>
      </c>
      <c r="B1094" t="s">
        <v>5119</v>
      </c>
      <c r="C1094" t="s">
        <v>132</v>
      </c>
      <c r="D1094" t="s">
        <v>79</v>
      </c>
      <c r="E1094" t="s">
        <v>5120</v>
      </c>
      <c r="F1094" t="s">
        <v>145</v>
      </c>
      <c r="G1094" t="s">
        <v>5121</v>
      </c>
    </row>
    <row r="1095" spans="1:7" s="241" customFormat="1" ht="44.25" customHeight="1">
      <c r="A1095" t="s">
        <v>5122</v>
      </c>
      <c r="B1095" t="s">
        <v>5123</v>
      </c>
      <c r="C1095" t="s">
        <v>132</v>
      </c>
      <c r="D1095" t="s">
        <v>79</v>
      </c>
      <c r="E1095" t="s">
        <v>5124</v>
      </c>
      <c r="F1095" t="s">
        <v>145</v>
      </c>
      <c r="G1095" t="s">
        <v>5125</v>
      </c>
    </row>
    <row r="1096" spans="1:7" s="241" customFormat="1" ht="44.25" customHeight="1">
      <c r="A1096" t="s">
        <v>5126</v>
      </c>
      <c r="B1096" t="s">
        <v>5127</v>
      </c>
      <c r="C1096" t="s">
        <v>132</v>
      </c>
      <c r="D1096" t="s">
        <v>79</v>
      </c>
      <c r="E1096" t="s">
        <v>5128</v>
      </c>
      <c r="F1096" t="s">
        <v>145</v>
      </c>
      <c r="G1096" t="s">
        <v>5129</v>
      </c>
    </row>
    <row r="1097" spans="1:7" s="241" customFormat="1" ht="44.25" customHeight="1">
      <c r="A1097" t="s">
        <v>5130</v>
      </c>
      <c r="B1097" t="s">
        <v>5131</v>
      </c>
      <c r="C1097" t="s">
        <v>132</v>
      </c>
      <c r="D1097" t="s">
        <v>79</v>
      </c>
      <c r="E1097" t="s">
        <v>5132</v>
      </c>
      <c r="F1097" t="s">
        <v>145</v>
      </c>
      <c r="G1097" t="s">
        <v>5133</v>
      </c>
    </row>
    <row r="1098" spans="1:7" s="241" customFormat="1" ht="44.25" customHeight="1">
      <c r="A1098" t="s">
        <v>5134</v>
      </c>
      <c r="B1098" t="s">
        <v>5135</v>
      </c>
      <c r="C1098" t="s">
        <v>132</v>
      </c>
      <c r="D1098" t="s">
        <v>79</v>
      </c>
      <c r="E1098" t="s">
        <v>5136</v>
      </c>
      <c r="F1098" t="s">
        <v>145</v>
      </c>
      <c r="G1098" t="s">
        <v>5137</v>
      </c>
    </row>
    <row r="1099" spans="1:7" s="241" customFormat="1" ht="44.25" customHeight="1">
      <c r="A1099" t="s">
        <v>5138</v>
      </c>
      <c r="B1099" t="s">
        <v>5139</v>
      </c>
      <c r="C1099" t="s">
        <v>132</v>
      </c>
      <c r="D1099" t="s">
        <v>79</v>
      </c>
      <c r="E1099" t="s">
        <v>5140</v>
      </c>
      <c r="F1099" t="s">
        <v>145</v>
      </c>
      <c r="G1099" t="s">
        <v>5141</v>
      </c>
    </row>
    <row r="1100" spans="1:7" s="241" customFormat="1" ht="44.25" customHeight="1">
      <c r="A1100" t="s">
        <v>5142</v>
      </c>
      <c r="B1100" t="s">
        <v>5143</v>
      </c>
      <c r="C1100" t="s">
        <v>132</v>
      </c>
      <c r="D1100" t="s">
        <v>79</v>
      </c>
      <c r="E1100" t="s">
        <v>5144</v>
      </c>
      <c r="F1100" t="s">
        <v>145</v>
      </c>
      <c r="G1100" t="s">
        <v>5145</v>
      </c>
    </row>
    <row r="1101" spans="1:7" s="241" customFormat="1" ht="44.25" customHeight="1">
      <c r="A1101" t="s">
        <v>5146</v>
      </c>
      <c r="B1101" t="s">
        <v>5147</v>
      </c>
      <c r="C1101" t="s">
        <v>132</v>
      </c>
      <c r="D1101" t="s">
        <v>79</v>
      </c>
      <c r="E1101" t="s">
        <v>5148</v>
      </c>
      <c r="F1101" t="s">
        <v>145</v>
      </c>
      <c r="G1101" t="s">
        <v>5149</v>
      </c>
    </row>
    <row r="1102" spans="1:7" s="241" customFormat="1" ht="44.25" customHeight="1">
      <c r="A1102" t="s">
        <v>5150</v>
      </c>
      <c r="B1102" t="s">
        <v>5151</v>
      </c>
      <c r="C1102" t="s">
        <v>132</v>
      </c>
      <c r="D1102" t="s">
        <v>79</v>
      </c>
      <c r="E1102" t="s">
        <v>5152</v>
      </c>
      <c r="F1102" t="s">
        <v>145</v>
      </c>
      <c r="G1102" t="s">
        <v>5153</v>
      </c>
    </row>
    <row r="1103" spans="1:7" s="241" customFormat="1" ht="44.25" customHeight="1">
      <c r="A1103" t="s">
        <v>5154</v>
      </c>
      <c r="B1103" t="s">
        <v>5155</v>
      </c>
      <c r="C1103" t="s">
        <v>132</v>
      </c>
      <c r="D1103" t="s">
        <v>79</v>
      </c>
      <c r="E1103" t="s">
        <v>5156</v>
      </c>
      <c r="F1103" t="s">
        <v>145</v>
      </c>
      <c r="G1103" t="s">
        <v>5157</v>
      </c>
    </row>
    <row r="1104" spans="1:7" s="241" customFormat="1" ht="44.25" customHeight="1">
      <c r="A1104" t="s">
        <v>5158</v>
      </c>
      <c r="B1104" t="s">
        <v>5159</v>
      </c>
      <c r="C1104" t="s">
        <v>132</v>
      </c>
      <c r="D1104" t="s">
        <v>79</v>
      </c>
      <c r="E1104" t="s">
        <v>5160</v>
      </c>
      <c r="F1104" t="s">
        <v>145</v>
      </c>
      <c r="G1104" t="s">
        <v>5161</v>
      </c>
    </row>
    <row r="1105" spans="1:7" s="241" customFormat="1" ht="44.25" customHeight="1">
      <c r="A1105" t="s">
        <v>5162</v>
      </c>
      <c r="B1105" t="s">
        <v>5163</v>
      </c>
      <c r="C1105" t="s">
        <v>132</v>
      </c>
      <c r="D1105" t="s">
        <v>79</v>
      </c>
      <c r="E1105" t="s">
        <v>5164</v>
      </c>
      <c r="F1105" t="s">
        <v>145</v>
      </c>
      <c r="G1105" t="s">
        <v>5165</v>
      </c>
    </row>
    <row r="1106" spans="1:7" s="241" customFormat="1" ht="44.25" customHeight="1">
      <c r="A1106" t="s">
        <v>5166</v>
      </c>
      <c r="B1106" t="s">
        <v>5167</v>
      </c>
      <c r="C1106" t="s">
        <v>132</v>
      </c>
      <c r="D1106" t="s">
        <v>79</v>
      </c>
      <c r="E1106" t="s">
        <v>5168</v>
      </c>
      <c r="F1106" t="s">
        <v>145</v>
      </c>
      <c r="G1106" t="s">
        <v>5169</v>
      </c>
    </row>
    <row r="1107" spans="1:7" s="241" customFormat="1" ht="44.25" customHeight="1">
      <c r="A1107" t="s">
        <v>5170</v>
      </c>
      <c r="B1107" t="s">
        <v>5171</v>
      </c>
      <c r="C1107" t="s">
        <v>132</v>
      </c>
      <c r="D1107" t="s">
        <v>79</v>
      </c>
      <c r="E1107" t="s">
        <v>5172</v>
      </c>
      <c r="F1107" t="s">
        <v>145</v>
      </c>
      <c r="G1107" t="s">
        <v>5173</v>
      </c>
    </row>
    <row r="1108" spans="1:7" s="241" customFormat="1" ht="44.25" customHeight="1">
      <c r="A1108" t="s">
        <v>5174</v>
      </c>
      <c r="B1108" t="s">
        <v>5175</v>
      </c>
      <c r="C1108" t="s">
        <v>132</v>
      </c>
      <c r="D1108" t="s">
        <v>79</v>
      </c>
      <c r="E1108" t="s">
        <v>5176</v>
      </c>
      <c r="F1108" t="s">
        <v>145</v>
      </c>
      <c r="G1108" t="s">
        <v>5177</v>
      </c>
    </row>
    <row r="1109" spans="1:7" s="241" customFormat="1" ht="44.25" customHeight="1">
      <c r="A1109" t="s">
        <v>3477</v>
      </c>
      <c r="B1109" t="s">
        <v>3478</v>
      </c>
      <c r="C1109" t="s">
        <v>132</v>
      </c>
      <c r="D1109" t="s">
        <v>2143</v>
      </c>
      <c r="E1109" t="s">
        <v>3479</v>
      </c>
      <c r="F1109" t="s">
        <v>145</v>
      </c>
      <c r="G1109" t="s">
        <v>5178</v>
      </c>
    </row>
    <row r="1110" spans="1:7" s="241" customFormat="1" ht="44.25" customHeight="1">
      <c r="A1110" t="s">
        <v>5179</v>
      </c>
      <c r="B1110" t="s">
        <v>5180</v>
      </c>
      <c r="C1110" t="s">
        <v>132</v>
      </c>
      <c r="D1110" t="s">
        <v>79</v>
      </c>
      <c r="E1110" t="s">
        <v>5181</v>
      </c>
      <c r="F1110" t="s">
        <v>145</v>
      </c>
      <c r="G1110" t="s">
        <v>5182</v>
      </c>
    </row>
    <row r="1111" spans="1:7" s="241" customFormat="1" ht="44.25" customHeight="1">
      <c r="A1111" t="s">
        <v>388</v>
      </c>
      <c r="B1111" t="s">
        <v>3481</v>
      </c>
      <c r="C1111" t="s">
        <v>132</v>
      </c>
      <c r="D1111" t="s">
        <v>2143</v>
      </c>
      <c r="E1111" t="s">
        <v>1459</v>
      </c>
      <c r="F1111" t="s">
        <v>145</v>
      </c>
      <c r="G1111" t="s">
        <v>5183</v>
      </c>
    </row>
    <row r="1112" spans="1:7" s="241" customFormat="1" ht="44.25" customHeight="1">
      <c r="A1112" t="s">
        <v>5184</v>
      </c>
      <c r="B1112" t="s">
        <v>5185</v>
      </c>
      <c r="C1112" t="s">
        <v>132</v>
      </c>
      <c r="D1112" t="s">
        <v>79</v>
      </c>
      <c r="E1112" t="s">
        <v>5186</v>
      </c>
      <c r="F1112" t="s">
        <v>145</v>
      </c>
      <c r="G1112" t="s">
        <v>5187</v>
      </c>
    </row>
    <row r="1113" spans="1:7" s="241" customFormat="1" ht="44.25" customHeight="1">
      <c r="A1113" t="s">
        <v>5188</v>
      </c>
      <c r="B1113" t="s">
        <v>5189</v>
      </c>
      <c r="C1113" t="s">
        <v>132</v>
      </c>
      <c r="D1113" t="s">
        <v>79</v>
      </c>
      <c r="E1113" t="s">
        <v>5190</v>
      </c>
      <c r="F1113" t="s">
        <v>145</v>
      </c>
      <c r="G1113" t="s">
        <v>5191</v>
      </c>
    </row>
    <row r="1114" spans="1:7" s="241" customFormat="1" ht="44.25" customHeight="1">
      <c r="A1114" t="s">
        <v>5192</v>
      </c>
      <c r="B1114" t="s">
        <v>5193</v>
      </c>
      <c r="C1114" t="s">
        <v>132</v>
      </c>
      <c r="D1114" t="s">
        <v>79</v>
      </c>
      <c r="E1114" t="s">
        <v>5194</v>
      </c>
      <c r="F1114" t="s">
        <v>145</v>
      </c>
      <c r="G1114" t="s">
        <v>5195</v>
      </c>
    </row>
    <row r="1115" spans="1:7" s="241" customFormat="1" ht="44.25" customHeight="1">
      <c r="A1115" t="s">
        <v>5196</v>
      </c>
      <c r="B1115" t="s">
        <v>5197</v>
      </c>
      <c r="C1115" t="s">
        <v>132</v>
      </c>
      <c r="D1115" t="s">
        <v>79</v>
      </c>
      <c r="E1115" t="s">
        <v>5198</v>
      </c>
      <c r="F1115" t="s">
        <v>145</v>
      </c>
      <c r="G1115" t="s">
        <v>5199</v>
      </c>
    </row>
    <row r="1116" spans="1:7" s="241" customFormat="1" ht="44.25" customHeight="1">
      <c r="A1116" t="s">
        <v>5200</v>
      </c>
      <c r="B1116" t="s">
        <v>5201</v>
      </c>
      <c r="C1116" t="s">
        <v>132</v>
      </c>
      <c r="D1116" t="s">
        <v>79</v>
      </c>
      <c r="E1116" t="s">
        <v>4788</v>
      </c>
      <c r="F1116" t="s">
        <v>145</v>
      </c>
      <c r="G1116" t="s">
        <v>5202</v>
      </c>
    </row>
    <row r="1117" spans="1:7" s="241" customFormat="1" ht="44.25" customHeight="1">
      <c r="A1117" t="s">
        <v>5203</v>
      </c>
      <c r="B1117" t="s">
        <v>5204</v>
      </c>
      <c r="C1117" t="s">
        <v>132</v>
      </c>
      <c r="D1117" t="s">
        <v>79</v>
      </c>
      <c r="E1117" t="s">
        <v>5205</v>
      </c>
      <c r="F1117" t="s">
        <v>145</v>
      </c>
      <c r="G1117" t="s">
        <v>5206</v>
      </c>
    </row>
    <row r="1118" spans="1:7" s="241" customFormat="1" ht="44.25" customHeight="1">
      <c r="A1118" t="s">
        <v>5207</v>
      </c>
      <c r="B1118" t="s">
        <v>5208</v>
      </c>
      <c r="C1118" t="s">
        <v>132</v>
      </c>
      <c r="D1118" t="s">
        <v>79</v>
      </c>
      <c r="E1118" t="s">
        <v>5209</v>
      </c>
      <c r="F1118" t="s">
        <v>145</v>
      </c>
      <c r="G1118" t="s">
        <v>5210</v>
      </c>
    </row>
    <row r="1119" spans="1:7" s="241" customFormat="1" ht="44.25" customHeight="1">
      <c r="A1119" t="s">
        <v>5211</v>
      </c>
      <c r="B1119" t="s">
        <v>5212</v>
      </c>
      <c r="C1119" t="s">
        <v>132</v>
      </c>
      <c r="D1119" t="s">
        <v>79</v>
      </c>
      <c r="E1119" t="s">
        <v>5213</v>
      </c>
      <c r="F1119" t="s">
        <v>145</v>
      </c>
      <c r="G1119" t="s">
        <v>5214</v>
      </c>
    </row>
    <row r="1120" spans="1:7" s="241" customFormat="1" ht="44.25" customHeight="1">
      <c r="A1120" t="s">
        <v>132</v>
      </c>
      <c r="B1120" t="s">
        <v>2525</v>
      </c>
      <c r="C1120" t="s">
        <v>132</v>
      </c>
      <c r="D1120" t="s">
        <v>2510</v>
      </c>
      <c r="E1120" t="s">
        <v>2511</v>
      </c>
      <c r="F1120" t="s">
        <v>145</v>
      </c>
      <c r="G1120" t="s">
        <v>5215</v>
      </c>
    </row>
    <row r="1121" spans="1:7" s="241" customFormat="1" ht="44.25" customHeight="1">
      <c r="A1121" t="s">
        <v>5216</v>
      </c>
      <c r="B1121" t="s">
        <v>5217</v>
      </c>
      <c r="C1121" t="s">
        <v>132</v>
      </c>
      <c r="D1121" t="s">
        <v>79</v>
      </c>
      <c r="E1121" t="s">
        <v>5218</v>
      </c>
      <c r="F1121" t="s">
        <v>145</v>
      </c>
      <c r="G1121" t="s">
        <v>5219</v>
      </c>
    </row>
    <row r="1122" spans="1:7" s="241" customFormat="1" ht="44.25" customHeight="1">
      <c r="A1122" t="s">
        <v>5220</v>
      </c>
      <c r="B1122" t="s">
        <v>5221</v>
      </c>
      <c r="C1122" t="s">
        <v>132</v>
      </c>
      <c r="D1122" t="s">
        <v>79</v>
      </c>
      <c r="E1122" t="s">
        <v>5222</v>
      </c>
      <c r="F1122" t="s">
        <v>145</v>
      </c>
      <c r="G1122" t="s">
        <v>5223</v>
      </c>
    </row>
    <row r="1123" spans="1:7" s="241" customFormat="1" ht="44.25" customHeight="1">
      <c r="A1123" t="s">
        <v>5224</v>
      </c>
      <c r="B1123" t="s">
        <v>5225</v>
      </c>
      <c r="C1123" t="s">
        <v>132</v>
      </c>
      <c r="D1123" t="s">
        <v>79</v>
      </c>
      <c r="E1123" t="s">
        <v>5226</v>
      </c>
      <c r="F1123" t="s">
        <v>145</v>
      </c>
      <c r="G1123" t="s">
        <v>5227</v>
      </c>
    </row>
    <row r="1124" spans="1:7" s="241" customFormat="1" ht="44.25" customHeight="1">
      <c r="A1124" t="s">
        <v>5228</v>
      </c>
      <c r="B1124" t="s">
        <v>5229</v>
      </c>
      <c r="C1124" t="s">
        <v>132</v>
      </c>
      <c r="D1124" t="s">
        <v>79</v>
      </c>
      <c r="E1124" t="s">
        <v>5230</v>
      </c>
      <c r="F1124" t="s">
        <v>145</v>
      </c>
      <c r="G1124" t="s">
        <v>5231</v>
      </c>
    </row>
    <row r="1125" spans="1:7" s="241" customFormat="1" ht="44.25" customHeight="1">
      <c r="A1125" t="s">
        <v>5232</v>
      </c>
      <c r="B1125" t="s">
        <v>5233</v>
      </c>
      <c r="C1125" t="s">
        <v>132</v>
      </c>
      <c r="D1125" t="s">
        <v>79</v>
      </c>
      <c r="E1125" t="s">
        <v>5234</v>
      </c>
      <c r="F1125" t="s">
        <v>145</v>
      </c>
      <c r="G1125" t="s">
        <v>5235</v>
      </c>
    </row>
    <row r="1126" spans="1:7" s="241" customFormat="1" ht="44.25" customHeight="1">
      <c r="A1126" t="s">
        <v>5236</v>
      </c>
      <c r="B1126" t="s">
        <v>5237</v>
      </c>
      <c r="C1126" t="s">
        <v>132</v>
      </c>
      <c r="D1126" t="s">
        <v>79</v>
      </c>
      <c r="E1126" t="s">
        <v>5238</v>
      </c>
      <c r="F1126" t="s">
        <v>145</v>
      </c>
      <c r="G1126" t="s">
        <v>5239</v>
      </c>
    </row>
    <row r="1127" spans="1:7" s="241" customFormat="1" ht="44.25" customHeight="1">
      <c r="A1127" t="s">
        <v>3483</v>
      </c>
      <c r="B1127" t="s">
        <v>3484</v>
      </c>
      <c r="C1127" t="s">
        <v>132</v>
      </c>
      <c r="D1127" t="s">
        <v>79</v>
      </c>
      <c r="E1127" t="s">
        <v>3485</v>
      </c>
      <c r="F1127" t="s">
        <v>145</v>
      </c>
      <c r="G1127" t="s">
        <v>5240</v>
      </c>
    </row>
    <row r="1128" spans="1:7" s="241" customFormat="1" ht="44.25" customHeight="1">
      <c r="A1128" t="s">
        <v>3487</v>
      </c>
      <c r="B1128" t="s">
        <v>3488</v>
      </c>
      <c r="C1128" t="s">
        <v>132</v>
      </c>
      <c r="D1128" t="s">
        <v>79</v>
      </c>
      <c r="E1128" t="s">
        <v>3489</v>
      </c>
      <c r="F1128" t="s">
        <v>145</v>
      </c>
      <c r="G1128" t="s">
        <v>5241</v>
      </c>
    </row>
    <row r="1129" spans="1:7" s="241" customFormat="1" ht="44.25" customHeight="1">
      <c r="A1129" t="s">
        <v>5242</v>
      </c>
      <c r="B1129" t="s">
        <v>5243</v>
      </c>
      <c r="C1129" t="s">
        <v>132</v>
      </c>
      <c r="D1129" t="s">
        <v>79</v>
      </c>
      <c r="E1129" t="s">
        <v>5244</v>
      </c>
      <c r="F1129" t="s">
        <v>145</v>
      </c>
      <c r="G1129" t="s">
        <v>5245</v>
      </c>
    </row>
    <row r="1130" spans="1:7" s="241" customFormat="1" ht="44.25" customHeight="1">
      <c r="A1130" t="s">
        <v>5246</v>
      </c>
      <c r="B1130" t="s">
        <v>5247</v>
      </c>
      <c r="C1130" t="s">
        <v>132</v>
      </c>
      <c r="D1130" t="s">
        <v>79</v>
      </c>
      <c r="E1130" t="s">
        <v>5248</v>
      </c>
      <c r="F1130" t="s">
        <v>145</v>
      </c>
      <c r="G1130" t="s">
        <v>5249</v>
      </c>
    </row>
    <row r="1131" spans="1:7" s="241" customFormat="1" ht="44.25" customHeight="1">
      <c r="A1131" t="s">
        <v>5250</v>
      </c>
      <c r="B1131" t="s">
        <v>5251</v>
      </c>
      <c r="C1131" t="s">
        <v>132</v>
      </c>
      <c r="D1131" t="s">
        <v>79</v>
      </c>
      <c r="E1131" t="s">
        <v>5252</v>
      </c>
      <c r="F1131" t="s">
        <v>145</v>
      </c>
      <c r="G1131" t="s">
        <v>5253</v>
      </c>
    </row>
    <row r="1132" spans="1:7" s="241" customFormat="1" ht="44.25" customHeight="1">
      <c r="A1132" t="s">
        <v>3491</v>
      </c>
      <c r="B1132" t="s">
        <v>3492</v>
      </c>
      <c r="C1132" t="s">
        <v>132</v>
      </c>
      <c r="D1132" t="s">
        <v>79</v>
      </c>
      <c r="E1132" t="s">
        <v>3493</v>
      </c>
      <c r="F1132" t="s">
        <v>145</v>
      </c>
      <c r="G1132" t="s">
        <v>5254</v>
      </c>
    </row>
    <row r="1133" spans="1:7" s="241" customFormat="1" ht="44.25" customHeight="1">
      <c r="A1133" t="s">
        <v>5255</v>
      </c>
      <c r="B1133" t="s">
        <v>5256</v>
      </c>
      <c r="C1133" t="s">
        <v>132</v>
      </c>
      <c r="D1133" t="s">
        <v>79</v>
      </c>
      <c r="E1133" t="s">
        <v>5257</v>
      </c>
      <c r="F1133" t="s">
        <v>145</v>
      </c>
      <c r="G1133" t="s">
        <v>5258</v>
      </c>
    </row>
    <row r="1134" spans="1:7" s="241" customFormat="1" ht="44.25" customHeight="1">
      <c r="A1134" t="s">
        <v>5259</v>
      </c>
      <c r="B1134" t="s">
        <v>5260</v>
      </c>
      <c r="C1134" t="s">
        <v>132</v>
      </c>
      <c r="D1134" t="s">
        <v>79</v>
      </c>
      <c r="E1134" t="s">
        <v>5261</v>
      </c>
      <c r="F1134" t="s">
        <v>145</v>
      </c>
      <c r="G1134" t="s">
        <v>5262</v>
      </c>
    </row>
    <row r="1135" spans="1:7" s="241" customFormat="1" ht="44.25" customHeight="1">
      <c r="A1135" t="s">
        <v>5263</v>
      </c>
      <c r="B1135" t="s">
        <v>5264</v>
      </c>
      <c r="C1135" t="s">
        <v>132</v>
      </c>
      <c r="D1135" t="s">
        <v>79</v>
      </c>
      <c r="E1135" t="s">
        <v>5265</v>
      </c>
      <c r="F1135" t="s">
        <v>145</v>
      </c>
      <c r="G1135" t="s">
        <v>5266</v>
      </c>
    </row>
    <row r="1136" spans="1:7" s="241" customFormat="1" ht="44.25" customHeight="1">
      <c r="A1136" t="s">
        <v>5267</v>
      </c>
      <c r="B1136" t="s">
        <v>5268</v>
      </c>
      <c r="C1136" t="s">
        <v>132</v>
      </c>
      <c r="D1136" t="s">
        <v>79</v>
      </c>
      <c r="E1136" t="s">
        <v>5269</v>
      </c>
      <c r="F1136" t="s">
        <v>145</v>
      </c>
      <c r="G1136" t="s">
        <v>5270</v>
      </c>
    </row>
    <row r="1137" spans="1:7" s="241" customFormat="1" ht="44.25" customHeight="1">
      <c r="A1137" t="s">
        <v>5271</v>
      </c>
      <c r="B1137" t="s">
        <v>5272</v>
      </c>
      <c r="C1137" t="s">
        <v>132</v>
      </c>
      <c r="D1137" t="s">
        <v>79</v>
      </c>
      <c r="E1137" t="s">
        <v>5273</v>
      </c>
      <c r="F1137" t="s">
        <v>145</v>
      </c>
      <c r="G1137" t="s">
        <v>5274</v>
      </c>
    </row>
    <row r="1138" spans="1:7" s="241" customFormat="1" ht="44.25" customHeight="1">
      <c r="A1138" t="s">
        <v>5275</v>
      </c>
      <c r="B1138" t="s">
        <v>5276</v>
      </c>
      <c r="C1138" t="s">
        <v>132</v>
      </c>
      <c r="D1138" t="s">
        <v>79</v>
      </c>
      <c r="E1138" t="s">
        <v>5277</v>
      </c>
      <c r="F1138" t="s">
        <v>145</v>
      </c>
      <c r="G1138" t="s">
        <v>5278</v>
      </c>
    </row>
    <row r="1139" spans="1:7" s="241" customFormat="1" ht="44.25" customHeight="1">
      <c r="A1139" t="s">
        <v>5279</v>
      </c>
      <c r="B1139" t="s">
        <v>5280</v>
      </c>
      <c r="C1139" t="s">
        <v>132</v>
      </c>
      <c r="D1139" t="s">
        <v>79</v>
      </c>
      <c r="E1139" t="s">
        <v>5281</v>
      </c>
      <c r="F1139" t="s">
        <v>145</v>
      </c>
      <c r="G1139" t="s">
        <v>5282</v>
      </c>
    </row>
    <row r="1140" spans="1:7" s="241" customFormat="1" ht="44.25" customHeight="1">
      <c r="A1140" t="s">
        <v>3495</v>
      </c>
      <c r="B1140" t="s">
        <v>3496</v>
      </c>
      <c r="C1140" t="s">
        <v>132</v>
      </c>
      <c r="D1140" t="s">
        <v>79</v>
      </c>
      <c r="E1140" t="s">
        <v>3497</v>
      </c>
      <c r="F1140" t="s">
        <v>145</v>
      </c>
      <c r="G1140" t="s">
        <v>5283</v>
      </c>
    </row>
    <row r="1141" spans="1:7" s="241" customFormat="1" ht="44.25" customHeight="1">
      <c r="A1141" t="s">
        <v>5284</v>
      </c>
      <c r="B1141" t="s">
        <v>5285</v>
      </c>
      <c r="C1141" t="s">
        <v>132</v>
      </c>
      <c r="D1141" t="s">
        <v>79</v>
      </c>
      <c r="E1141" t="s">
        <v>5286</v>
      </c>
      <c r="F1141" t="s">
        <v>145</v>
      </c>
      <c r="G1141" t="s">
        <v>5287</v>
      </c>
    </row>
    <row r="1142" spans="1:7" s="241" customFormat="1" ht="44.25" customHeight="1">
      <c r="A1142" t="s">
        <v>5288</v>
      </c>
      <c r="B1142" t="s">
        <v>5289</v>
      </c>
      <c r="C1142" t="s">
        <v>132</v>
      </c>
      <c r="D1142" t="s">
        <v>79</v>
      </c>
      <c r="E1142" t="s">
        <v>5290</v>
      </c>
      <c r="F1142" t="s">
        <v>145</v>
      </c>
      <c r="G1142" t="s">
        <v>5291</v>
      </c>
    </row>
    <row r="1143" spans="1:7" s="241" customFormat="1" ht="44.25" customHeight="1">
      <c r="A1143" t="s">
        <v>5292</v>
      </c>
      <c r="B1143" t="s">
        <v>5293</v>
      </c>
      <c r="C1143" t="s">
        <v>132</v>
      </c>
      <c r="D1143" t="s">
        <v>79</v>
      </c>
      <c r="E1143" t="s">
        <v>5294</v>
      </c>
      <c r="F1143" t="s">
        <v>145</v>
      </c>
      <c r="G1143" t="s">
        <v>5295</v>
      </c>
    </row>
    <row r="1144" spans="1:7" s="241" customFormat="1" ht="44.25" customHeight="1">
      <c r="A1144" t="s">
        <v>5296</v>
      </c>
      <c r="B1144" t="s">
        <v>5297</v>
      </c>
      <c r="C1144" t="s">
        <v>132</v>
      </c>
      <c r="D1144" t="s">
        <v>79</v>
      </c>
      <c r="E1144" t="s">
        <v>5298</v>
      </c>
      <c r="F1144" t="s">
        <v>145</v>
      </c>
      <c r="G1144" t="s">
        <v>5299</v>
      </c>
    </row>
    <row r="1145" spans="1:7" s="241" customFormat="1" ht="44.25" customHeight="1">
      <c r="A1145" t="s">
        <v>5300</v>
      </c>
      <c r="B1145" t="s">
        <v>5301</v>
      </c>
      <c r="C1145" t="s">
        <v>132</v>
      </c>
      <c r="D1145" t="s">
        <v>79</v>
      </c>
      <c r="E1145" t="s">
        <v>5302</v>
      </c>
      <c r="F1145" t="s">
        <v>145</v>
      </c>
      <c r="G1145" t="s">
        <v>5303</v>
      </c>
    </row>
    <row r="1146" spans="1:7" s="241" customFormat="1" ht="44.25" customHeight="1">
      <c r="A1146" t="s">
        <v>5304</v>
      </c>
      <c r="B1146" t="s">
        <v>5305</v>
      </c>
      <c r="C1146" t="s">
        <v>132</v>
      </c>
      <c r="D1146" t="s">
        <v>79</v>
      </c>
      <c r="E1146" t="s">
        <v>5306</v>
      </c>
      <c r="F1146" t="s">
        <v>145</v>
      </c>
      <c r="G1146" t="s">
        <v>5307</v>
      </c>
    </row>
    <row r="1147" spans="1:7" s="241" customFormat="1" ht="44.25" customHeight="1">
      <c r="A1147" t="s">
        <v>5308</v>
      </c>
      <c r="B1147" t="s">
        <v>5309</v>
      </c>
      <c r="C1147" t="s">
        <v>132</v>
      </c>
      <c r="D1147" t="s">
        <v>79</v>
      </c>
      <c r="E1147" t="s">
        <v>5310</v>
      </c>
      <c r="F1147" t="s">
        <v>145</v>
      </c>
      <c r="G1147" t="s">
        <v>5311</v>
      </c>
    </row>
    <row r="1148" spans="1:7" s="241" customFormat="1" ht="44.25" customHeight="1">
      <c r="A1148" t="s">
        <v>5312</v>
      </c>
      <c r="B1148" t="s">
        <v>5313</v>
      </c>
      <c r="C1148" t="s">
        <v>132</v>
      </c>
      <c r="D1148" t="s">
        <v>79</v>
      </c>
      <c r="E1148" t="s">
        <v>5314</v>
      </c>
      <c r="F1148" t="s">
        <v>145</v>
      </c>
      <c r="G1148" t="s">
        <v>5315</v>
      </c>
    </row>
    <row r="1149" spans="1:7" s="241" customFormat="1" ht="44.25" customHeight="1">
      <c r="A1149" t="s">
        <v>5316</v>
      </c>
      <c r="B1149" t="s">
        <v>5317</v>
      </c>
      <c r="C1149" t="s">
        <v>132</v>
      </c>
      <c r="D1149" t="s">
        <v>79</v>
      </c>
      <c r="E1149" t="s">
        <v>5318</v>
      </c>
      <c r="F1149" t="s">
        <v>145</v>
      </c>
      <c r="G1149" t="s">
        <v>5319</v>
      </c>
    </row>
    <row r="1150" spans="1:7" s="241" customFormat="1" ht="44.25" customHeight="1">
      <c r="A1150" t="s">
        <v>5320</v>
      </c>
      <c r="B1150" t="s">
        <v>5321</v>
      </c>
      <c r="C1150" t="s">
        <v>132</v>
      </c>
      <c r="D1150" t="s">
        <v>79</v>
      </c>
      <c r="E1150" t="s">
        <v>5322</v>
      </c>
      <c r="F1150" t="s">
        <v>145</v>
      </c>
      <c r="G1150" t="s">
        <v>5323</v>
      </c>
    </row>
    <row r="1151" spans="1:7" s="241" customFormat="1" ht="44.25" customHeight="1">
      <c r="A1151" t="s">
        <v>5324</v>
      </c>
      <c r="B1151" t="s">
        <v>5325</v>
      </c>
      <c r="C1151" t="s">
        <v>132</v>
      </c>
      <c r="D1151" t="s">
        <v>79</v>
      </c>
      <c r="E1151" t="s">
        <v>5326</v>
      </c>
      <c r="F1151" t="s">
        <v>145</v>
      </c>
      <c r="G1151" t="s">
        <v>5327</v>
      </c>
    </row>
    <row r="1152" spans="1:7" s="241" customFormat="1" ht="44.25" customHeight="1">
      <c r="A1152" t="s">
        <v>5328</v>
      </c>
      <c r="B1152" t="s">
        <v>5329</v>
      </c>
      <c r="C1152" t="s">
        <v>132</v>
      </c>
      <c r="D1152" t="s">
        <v>79</v>
      </c>
      <c r="E1152" t="s">
        <v>5330</v>
      </c>
      <c r="F1152" t="s">
        <v>145</v>
      </c>
      <c r="G1152" t="s">
        <v>5331</v>
      </c>
    </row>
    <row r="1153" spans="1:7" s="241" customFormat="1" ht="44.25" customHeight="1">
      <c r="A1153" t="s">
        <v>5332</v>
      </c>
      <c r="B1153" t="s">
        <v>5333</v>
      </c>
      <c r="C1153" t="s">
        <v>132</v>
      </c>
      <c r="D1153" t="s">
        <v>79</v>
      </c>
      <c r="E1153" t="s">
        <v>5334</v>
      </c>
      <c r="F1153" t="s">
        <v>145</v>
      </c>
      <c r="G1153" t="s">
        <v>5335</v>
      </c>
    </row>
    <row r="1154" spans="1:7" s="241" customFormat="1" ht="44.25" customHeight="1">
      <c r="A1154" t="s">
        <v>5336</v>
      </c>
      <c r="B1154" t="s">
        <v>5337</v>
      </c>
      <c r="C1154" t="s">
        <v>132</v>
      </c>
      <c r="D1154" t="s">
        <v>79</v>
      </c>
      <c r="E1154" t="s">
        <v>5338</v>
      </c>
      <c r="F1154" t="s">
        <v>145</v>
      </c>
      <c r="G1154" t="s">
        <v>5339</v>
      </c>
    </row>
    <row r="1155" spans="1:7" s="241" customFormat="1" ht="44.25" customHeight="1">
      <c r="A1155" t="s">
        <v>5340</v>
      </c>
      <c r="B1155" t="s">
        <v>5341</v>
      </c>
      <c r="C1155" t="s">
        <v>132</v>
      </c>
      <c r="D1155" t="s">
        <v>79</v>
      </c>
      <c r="E1155" t="s">
        <v>5342</v>
      </c>
      <c r="F1155" t="s">
        <v>145</v>
      </c>
      <c r="G1155" t="s">
        <v>5343</v>
      </c>
    </row>
    <row r="1156" spans="1:7" s="241" customFormat="1" ht="44.25" customHeight="1">
      <c r="A1156" t="s">
        <v>5344</v>
      </c>
      <c r="B1156" t="s">
        <v>5345</v>
      </c>
      <c r="C1156" t="s">
        <v>132</v>
      </c>
      <c r="D1156" t="s">
        <v>79</v>
      </c>
      <c r="E1156" t="s">
        <v>5346</v>
      </c>
      <c r="F1156" t="s">
        <v>145</v>
      </c>
      <c r="G1156" t="s">
        <v>5347</v>
      </c>
    </row>
    <row r="1157" spans="1:7" s="241" customFormat="1" ht="44.25" customHeight="1">
      <c r="A1157" t="s">
        <v>5348</v>
      </c>
      <c r="B1157" t="s">
        <v>5349</v>
      </c>
      <c r="C1157" t="s">
        <v>132</v>
      </c>
      <c r="D1157" t="s">
        <v>79</v>
      </c>
      <c r="E1157" t="s">
        <v>5350</v>
      </c>
      <c r="F1157" t="s">
        <v>145</v>
      </c>
      <c r="G1157" t="s">
        <v>5351</v>
      </c>
    </row>
    <row r="1158" spans="1:7" s="241" customFormat="1" ht="44.25" customHeight="1">
      <c r="A1158" t="s">
        <v>5352</v>
      </c>
      <c r="B1158" t="s">
        <v>5353</v>
      </c>
      <c r="C1158" t="s">
        <v>132</v>
      </c>
      <c r="D1158" t="s">
        <v>79</v>
      </c>
      <c r="E1158" t="s">
        <v>5354</v>
      </c>
      <c r="F1158" t="s">
        <v>145</v>
      </c>
      <c r="G1158" t="s">
        <v>5355</v>
      </c>
    </row>
    <row r="1159" spans="1:7" s="241" customFormat="1" ht="44.25" customHeight="1">
      <c r="A1159" t="s">
        <v>5356</v>
      </c>
      <c r="B1159" t="s">
        <v>5357</v>
      </c>
      <c r="C1159" t="s">
        <v>132</v>
      </c>
      <c r="D1159" t="s">
        <v>79</v>
      </c>
      <c r="E1159" t="s">
        <v>5358</v>
      </c>
      <c r="F1159" t="s">
        <v>145</v>
      </c>
      <c r="G1159" t="s">
        <v>5359</v>
      </c>
    </row>
    <row r="1160" spans="1:7" s="241" customFormat="1" ht="44.25" customHeight="1">
      <c r="A1160" t="s">
        <v>5360</v>
      </c>
      <c r="B1160" t="s">
        <v>5361</v>
      </c>
      <c r="C1160" t="s">
        <v>132</v>
      </c>
      <c r="D1160" t="s">
        <v>79</v>
      </c>
      <c r="E1160" t="s">
        <v>5362</v>
      </c>
      <c r="F1160" t="s">
        <v>145</v>
      </c>
      <c r="G1160" t="s">
        <v>5363</v>
      </c>
    </row>
    <row r="1161" spans="1:7" s="241" customFormat="1" ht="44.25" customHeight="1">
      <c r="A1161" t="s">
        <v>5364</v>
      </c>
      <c r="B1161" t="s">
        <v>5365</v>
      </c>
      <c r="C1161" t="s">
        <v>132</v>
      </c>
      <c r="D1161" t="s">
        <v>79</v>
      </c>
      <c r="E1161" t="s">
        <v>5366</v>
      </c>
      <c r="F1161" t="s">
        <v>145</v>
      </c>
      <c r="G1161" t="s">
        <v>5367</v>
      </c>
    </row>
    <row r="1162" spans="1:7" s="241" customFormat="1" ht="44.25" customHeight="1">
      <c r="A1162" t="s">
        <v>5368</v>
      </c>
      <c r="B1162" t="s">
        <v>5369</v>
      </c>
      <c r="C1162" t="s">
        <v>132</v>
      </c>
      <c r="D1162" t="s">
        <v>79</v>
      </c>
      <c r="E1162" t="s">
        <v>5370</v>
      </c>
      <c r="F1162" t="s">
        <v>145</v>
      </c>
      <c r="G1162" t="s">
        <v>5371</v>
      </c>
    </row>
    <row r="1163" spans="1:7" s="241" customFormat="1" ht="44.25" customHeight="1">
      <c r="A1163" t="s">
        <v>5372</v>
      </c>
      <c r="B1163" t="s">
        <v>5373</v>
      </c>
      <c r="C1163" t="s">
        <v>132</v>
      </c>
      <c r="D1163" t="s">
        <v>79</v>
      </c>
      <c r="E1163" t="s">
        <v>5374</v>
      </c>
      <c r="F1163" t="s">
        <v>145</v>
      </c>
      <c r="G1163" t="s">
        <v>5375</v>
      </c>
    </row>
    <row r="1164" spans="1:7" s="241" customFormat="1" ht="44.25" customHeight="1">
      <c r="A1164" t="s">
        <v>5376</v>
      </c>
      <c r="B1164" t="s">
        <v>5377</v>
      </c>
      <c r="C1164" t="s">
        <v>132</v>
      </c>
      <c r="D1164" t="s">
        <v>79</v>
      </c>
      <c r="E1164" t="s">
        <v>5378</v>
      </c>
      <c r="F1164" t="s">
        <v>145</v>
      </c>
      <c r="G1164" t="s">
        <v>5379</v>
      </c>
    </row>
    <row r="1165" spans="1:7" s="241" customFormat="1" ht="44.25" customHeight="1">
      <c r="A1165" t="s">
        <v>5380</v>
      </c>
      <c r="B1165" t="s">
        <v>5381</v>
      </c>
      <c r="C1165" t="s">
        <v>132</v>
      </c>
      <c r="D1165" t="s">
        <v>79</v>
      </c>
      <c r="E1165" t="s">
        <v>5382</v>
      </c>
      <c r="F1165" t="s">
        <v>145</v>
      </c>
      <c r="G1165" t="s">
        <v>5383</v>
      </c>
    </row>
    <row r="1166" spans="1:7" s="241" customFormat="1" ht="44.25" customHeight="1">
      <c r="A1166" t="s">
        <v>5384</v>
      </c>
      <c r="B1166" t="s">
        <v>5385</v>
      </c>
      <c r="C1166" t="s">
        <v>132</v>
      </c>
      <c r="D1166" t="s">
        <v>79</v>
      </c>
      <c r="E1166" t="s">
        <v>5386</v>
      </c>
      <c r="F1166" t="s">
        <v>145</v>
      </c>
      <c r="G1166" t="s">
        <v>5387</v>
      </c>
    </row>
    <row r="1167" spans="1:7" s="241" customFormat="1" ht="44.25" customHeight="1">
      <c r="A1167" t="s">
        <v>3499</v>
      </c>
      <c r="B1167" t="s">
        <v>3500</v>
      </c>
      <c r="C1167" t="s">
        <v>132</v>
      </c>
      <c r="D1167" t="s">
        <v>79</v>
      </c>
      <c r="E1167" t="s">
        <v>3501</v>
      </c>
      <c r="F1167" t="s">
        <v>145</v>
      </c>
      <c r="G1167" t="s">
        <v>5388</v>
      </c>
    </row>
    <row r="1168" spans="1:7" s="241" customFormat="1" ht="44.25" customHeight="1">
      <c r="A1168" t="s">
        <v>5389</v>
      </c>
      <c r="B1168" t="s">
        <v>5390</v>
      </c>
      <c r="C1168" t="s">
        <v>132</v>
      </c>
      <c r="D1168" t="s">
        <v>79</v>
      </c>
      <c r="E1168" t="s">
        <v>5391</v>
      </c>
      <c r="F1168" t="s">
        <v>145</v>
      </c>
      <c r="G1168" t="s">
        <v>5392</v>
      </c>
    </row>
    <row r="1169" spans="1:7" s="241" customFormat="1" ht="44.25" customHeight="1">
      <c r="A1169" t="s">
        <v>5393</v>
      </c>
      <c r="B1169" t="s">
        <v>5394</v>
      </c>
      <c r="C1169" t="s">
        <v>132</v>
      </c>
      <c r="D1169" t="s">
        <v>79</v>
      </c>
      <c r="E1169" t="s">
        <v>5395</v>
      </c>
      <c r="F1169" t="s">
        <v>145</v>
      </c>
      <c r="G1169" t="s">
        <v>5396</v>
      </c>
    </row>
    <row r="1170" spans="1:7" s="241" customFormat="1" ht="44.25" customHeight="1">
      <c r="A1170" t="s">
        <v>785</v>
      </c>
      <c r="B1170" t="s">
        <v>5397</v>
      </c>
      <c r="C1170" t="s">
        <v>132</v>
      </c>
      <c r="D1170" t="s">
        <v>79</v>
      </c>
      <c r="E1170" t="s">
        <v>5398</v>
      </c>
      <c r="F1170" t="s">
        <v>145</v>
      </c>
      <c r="G1170" t="s">
        <v>5399</v>
      </c>
    </row>
    <row r="1171" spans="1:7" s="241" customFormat="1" ht="44.25" customHeight="1">
      <c r="A1171" t="s">
        <v>5400</v>
      </c>
      <c r="B1171" t="s">
        <v>5401</v>
      </c>
      <c r="C1171" t="s">
        <v>132</v>
      </c>
      <c r="D1171" t="s">
        <v>79</v>
      </c>
      <c r="E1171" t="s">
        <v>5402</v>
      </c>
      <c r="F1171" t="s">
        <v>145</v>
      </c>
      <c r="G1171" t="s">
        <v>5403</v>
      </c>
    </row>
    <row r="1172" spans="1:7" s="241" customFormat="1" ht="44.25" customHeight="1">
      <c r="A1172" t="s">
        <v>5404</v>
      </c>
      <c r="B1172" t="s">
        <v>5405</v>
      </c>
      <c r="C1172" t="s">
        <v>132</v>
      </c>
      <c r="D1172" t="s">
        <v>79</v>
      </c>
      <c r="E1172" t="s">
        <v>5406</v>
      </c>
      <c r="F1172" t="s">
        <v>145</v>
      </c>
      <c r="G1172" t="s">
        <v>5407</v>
      </c>
    </row>
    <row r="1173" spans="1:7" s="241" customFormat="1" ht="44.25" customHeight="1">
      <c r="A1173" t="s">
        <v>5408</v>
      </c>
      <c r="B1173" t="s">
        <v>5409</v>
      </c>
      <c r="C1173" t="s">
        <v>132</v>
      </c>
      <c r="D1173" t="s">
        <v>79</v>
      </c>
      <c r="E1173" t="s">
        <v>5410</v>
      </c>
      <c r="F1173" t="s">
        <v>145</v>
      </c>
      <c r="G1173" t="s">
        <v>5411</v>
      </c>
    </row>
    <row r="1174" spans="1:7" s="241" customFormat="1" ht="44.25" customHeight="1">
      <c r="A1174" t="s">
        <v>5412</v>
      </c>
      <c r="B1174" t="s">
        <v>5413</v>
      </c>
      <c r="C1174" t="s">
        <v>132</v>
      </c>
      <c r="D1174" t="s">
        <v>79</v>
      </c>
      <c r="E1174" t="s">
        <v>5414</v>
      </c>
      <c r="F1174" t="s">
        <v>145</v>
      </c>
      <c r="G1174" t="s">
        <v>5415</v>
      </c>
    </row>
    <row r="1175" spans="1:7" s="241" customFormat="1" ht="44.25" customHeight="1">
      <c r="A1175" t="s">
        <v>5416</v>
      </c>
      <c r="B1175" t="s">
        <v>5417</v>
      </c>
      <c r="C1175" t="s">
        <v>132</v>
      </c>
      <c r="D1175" t="s">
        <v>79</v>
      </c>
      <c r="E1175" t="s">
        <v>5418</v>
      </c>
      <c r="F1175" t="s">
        <v>145</v>
      </c>
      <c r="G1175" t="s">
        <v>5419</v>
      </c>
    </row>
    <row r="1176" spans="1:7" s="241" customFormat="1" ht="44.25" customHeight="1">
      <c r="A1176" t="s">
        <v>5420</v>
      </c>
      <c r="B1176" t="s">
        <v>5421</v>
      </c>
      <c r="C1176" t="s">
        <v>132</v>
      </c>
      <c r="D1176" t="s">
        <v>79</v>
      </c>
      <c r="E1176" t="s">
        <v>5422</v>
      </c>
      <c r="F1176" t="s">
        <v>145</v>
      </c>
      <c r="G1176" t="s">
        <v>5423</v>
      </c>
    </row>
    <row r="1177" spans="1:7" s="241" customFormat="1" ht="44.25" customHeight="1">
      <c r="A1177" t="s">
        <v>5424</v>
      </c>
      <c r="B1177" t="s">
        <v>5425</v>
      </c>
      <c r="C1177" t="s">
        <v>132</v>
      </c>
      <c r="D1177" t="s">
        <v>79</v>
      </c>
      <c r="E1177" t="s">
        <v>5426</v>
      </c>
      <c r="F1177" t="s">
        <v>145</v>
      </c>
      <c r="G1177" t="s">
        <v>5427</v>
      </c>
    </row>
    <row r="1178" spans="1:7" s="241" customFormat="1" ht="44.25" customHeight="1">
      <c r="A1178" t="s">
        <v>5428</v>
      </c>
      <c r="B1178" t="s">
        <v>5429</v>
      </c>
      <c r="C1178" t="s">
        <v>132</v>
      </c>
      <c r="D1178" t="s">
        <v>79</v>
      </c>
      <c r="E1178" t="s">
        <v>5430</v>
      </c>
      <c r="F1178" t="s">
        <v>145</v>
      </c>
      <c r="G1178" t="s">
        <v>5431</v>
      </c>
    </row>
    <row r="1179" spans="1:7" s="241" customFormat="1" ht="44.25" customHeight="1">
      <c r="A1179" t="s">
        <v>5432</v>
      </c>
      <c r="B1179" t="s">
        <v>5433</v>
      </c>
      <c r="C1179" t="s">
        <v>132</v>
      </c>
      <c r="D1179" t="s">
        <v>79</v>
      </c>
      <c r="E1179" t="s">
        <v>5434</v>
      </c>
      <c r="F1179" t="s">
        <v>145</v>
      </c>
      <c r="G1179" t="s">
        <v>5435</v>
      </c>
    </row>
    <row r="1180" spans="1:7" s="241" customFormat="1" ht="44.25" customHeight="1">
      <c r="A1180" t="s">
        <v>5436</v>
      </c>
      <c r="B1180" t="s">
        <v>5437</v>
      </c>
      <c r="C1180" t="s">
        <v>132</v>
      </c>
      <c r="D1180" t="s">
        <v>79</v>
      </c>
      <c r="E1180" t="s">
        <v>5438</v>
      </c>
      <c r="F1180" t="s">
        <v>145</v>
      </c>
      <c r="G1180" t="s">
        <v>5439</v>
      </c>
    </row>
    <row r="1181" spans="1:7" s="241" customFormat="1" ht="44.25" customHeight="1">
      <c r="A1181" t="s">
        <v>5440</v>
      </c>
      <c r="B1181" t="s">
        <v>5441</v>
      </c>
      <c r="C1181" t="s">
        <v>132</v>
      </c>
      <c r="D1181" t="s">
        <v>79</v>
      </c>
      <c r="E1181" t="s">
        <v>5442</v>
      </c>
      <c r="F1181" t="s">
        <v>145</v>
      </c>
      <c r="G1181" t="s">
        <v>5443</v>
      </c>
    </row>
    <row r="1182" spans="1:7" s="241" customFormat="1" ht="44.25" customHeight="1">
      <c r="A1182" t="s">
        <v>5444</v>
      </c>
      <c r="B1182" t="s">
        <v>5445</v>
      </c>
      <c r="C1182" t="s">
        <v>132</v>
      </c>
      <c r="D1182" t="s">
        <v>79</v>
      </c>
      <c r="E1182" t="s">
        <v>5446</v>
      </c>
      <c r="F1182" t="s">
        <v>145</v>
      </c>
      <c r="G1182" t="s">
        <v>5447</v>
      </c>
    </row>
    <row r="1183" spans="1:7" s="241" customFormat="1" ht="44.25" customHeight="1">
      <c r="A1183" t="s">
        <v>5448</v>
      </c>
      <c r="B1183" t="s">
        <v>5449</v>
      </c>
      <c r="C1183" t="s">
        <v>132</v>
      </c>
      <c r="D1183" t="s">
        <v>79</v>
      </c>
      <c r="E1183" t="s">
        <v>5450</v>
      </c>
      <c r="F1183" t="s">
        <v>145</v>
      </c>
      <c r="G1183" t="s">
        <v>5451</v>
      </c>
    </row>
    <row r="1184" spans="1:7" s="241" customFormat="1" ht="44.25" customHeight="1">
      <c r="A1184" t="s">
        <v>5452</v>
      </c>
      <c r="B1184" t="s">
        <v>5453</v>
      </c>
      <c r="C1184" t="s">
        <v>132</v>
      </c>
      <c r="D1184" t="s">
        <v>79</v>
      </c>
      <c r="E1184" t="s">
        <v>5454</v>
      </c>
      <c r="F1184" t="s">
        <v>145</v>
      </c>
      <c r="G1184" t="s">
        <v>5455</v>
      </c>
    </row>
    <row r="1185" spans="1:7" s="241" customFormat="1" ht="44.25" customHeight="1">
      <c r="A1185" t="s">
        <v>5456</v>
      </c>
      <c r="B1185" t="s">
        <v>5457</v>
      </c>
      <c r="C1185" t="s">
        <v>132</v>
      </c>
      <c r="D1185" t="s">
        <v>79</v>
      </c>
      <c r="E1185" t="s">
        <v>5458</v>
      </c>
      <c r="F1185" t="s">
        <v>145</v>
      </c>
      <c r="G1185" t="s">
        <v>5459</v>
      </c>
    </row>
    <row r="1186" spans="1:7" s="241" customFormat="1" ht="44.25" customHeight="1">
      <c r="A1186" t="s">
        <v>5460</v>
      </c>
      <c r="B1186" t="s">
        <v>5461</v>
      </c>
      <c r="C1186" t="s">
        <v>132</v>
      </c>
      <c r="D1186" t="s">
        <v>79</v>
      </c>
      <c r="E1186" t="s">
        <v>5462</v>
      </c>
      <c r="F1186" t="s">
        <v>145</v>
      </c>
      <c r="G1186" t="s">
        <v>5463</v>
      </c>
    </row>
    <row r="1187" spans="1:7" s="241" customFormat="1" ht="44.25" customHeight="1">
      <c r="A1187" t="s">
        <v>5464</v>
      </c>
      <c r="B1187" t="s">
        <v>5465</v>
      </c>
      <c r="C1187" t="s">
        <v>132</v>
      </c>
      <c r="D1187" t="s">
        <v>79</v>
      </c>
      <c r="E1187" t="s">
        <v>5466</v>
      </c>
      <c r="F1187" t="s">
        <v>145</v>
      </c>
      <c r="G1187" t="s">
        <v>5467</v>
      </c>
    </row>
    <row r="1188" spans="1:7" s="241" customFormat="1" ht="44.25" customHeight="1">
      <c r="A1188" t="s">
        <v>5468</v>
      </c>
      <c r="B1188" t="s">
        <v>5469</v>
      </c>
      <c r="C1188" t="s">
        <v>132</v>
      </c>
      <c r="D1188" t="s">
        <v>79</v>
      </c>
      <c r="E1188" t="s">
        <v>5470</v>
      </c>
      <c r="F1188" t="s">
        <v>145</v>
      </c>
      <c r="G1188" t="s">
        <v>5471</v>
      </c>
    </row>
    <row r="1189" spans="1:7" s="241" customFormat="1" ht="44.25" customHeight="1">
      <c r="A1189" t="s">
        <v>5472</v>
      </c>
      <c r="B1189" t="s">
        <v>5473</v>
      </c>
      <c r="C1189" t="s">
        <v>132</v>
      </c>
      <c r="D1189" t="s">
        <v>79</v>
      </c>
      <c r="E1189" t="s">
        <v>5474</v>
      </c>
      <c r="F1189" t="s">
        <v>145</v>
      </c>
      <c r="G1189" t="s">
        <v>5475</v>
      </c>
    </row>
    <row r="1190" spans="1:7" s="241" customFormat="1" ht="44.25" customHeight="1">
      <c r="A1190" t="s">
        <v>465</v>
      </c>
      <c r="B1190" t="s">
        <v>5476</v>
      </c>
      <c r="C1190" t="s">
        <v>132</v>
      </c>
      <c r="D1190" t="s">
        <v>79</v>
      </c>
      <c r="E1190" t="s">
        <v>5477</v>
      </c>
      <c r="F1190" t="s">
        <v>145</v>
      </c>
      <c r="G1190" t="s">
        <v>5478</v>
      </c>
    </row>
    <row r="1191" spans="1:7" s="241" customFormat="1" ht="44.25" customHeight="1">
      <c r="A1191" t="s">
        <v>5479</v>
      </c>
      <c r="B1191" t="s">
        <v>5480</v>
      </c>
      <c r="C1191" t="s">
        <v>132</v>
      </c>
      <c r="D1191" t="s">
        <v>79</v>
      </c>
      <c r="E1191" t="s">
        <v>5481</v>
      </c>
      <c r="F1191" t="s">
        <v>145</v>
      </c>
      <c r="G1191" t="s">
        <v>5482</v>
      </c>
    </row>
    <row r="1192" spans="1:7" s="241" customFormat="1" ht="44.25" customHeight="1">
      <c r="A1192" t="s">
        <v>5483</v>
      </c>
      <c r="B1192" t="s">
        <v>5484</v>
      </c>
      <c r="C1192" t="s">
        <v>132</v>
      </c>
      <c r="D1192" t="s">
        <v>79</v>
      </c>
      <c r="E1192" t="s">
        <v>5485</v>
      </c>
      <c r="F1192" t="s">
        <v>145</v>
      </c>
      <c r="G1192" t="s">
        <v>5486</v>
      </c>
    </row>
    <row r="1193" spans="1:7" s="241" customFormat="1" ht="44.25" customHeight="1">
      <c r="A1193" t="s">
        <v>5487</v>
      </c>
      <c r="B1193" t="s">
        <v>5488</v>
      </c>
      <c r="C1193" t="s">
        <v>132</v>
      </c>
      <c r="D1193" t="s">
        <v>79</v>
      </c>
      <c r="E1193" t="s">
        <v>5489</v>
      </c>
      <c r="F1193" t="s">
        <v>145</v>
      </c>
      <c r="G1193" t="s">
        <v>5490</v>
      </c>
    </row>
    <row r="1194" spans="1:7" s="241" customFormat="1" ht="44.25" customHeight="1">
      <c r="A1194" t="s">
        <v>5491</v>
      </c>
      <c r="B1194" t="s">
        <v>5492</v>
      </c>
      <c r="C1194" t="s">
        <v>132</v>
      </c>
      <c r="D1194" t="s">
        <v>79</v>
      </c>
      <c r="E1194" t="s">
        <v>5493</v>
      </c>
      <c r="F1194" t="s">
        <v>145</v>
      </c>
      <c r="G1194" t="s">
        <v>5494</v>
      </c>
    </row>
    <row r="1195" spans="1:7" s="241" customFormat="1" ht="44.25" customHeight="1">
      <c r="A1195" t="s">
        <v>5495</v>
      </c>
      <c r="B1195" t="s">
        <v>5496</v>
      </c>
      <c r="C1195" t="s">
        <v>132</v>
      </c>
      <c r="D1195" t="s">
        <v>79</v>
      </c>
      <c r="E1195" t="s">
        <v>5497</v>
      </c>
      <c r="F1195" t="s">
        <v>145</v>
      </c>
      <c r="G1195" t="s">
        <v>5498</v>
      </c>
    </row>
    <row r="1196" spans="1:7" s="241" customFormat="1" ht="44.25" customHeight="1">
      <c r="A1196" t="s">
        <v>5499</v>
      </c>
      <c r="B1196" t="s">
        <v>5500</v>
      </c>
      <c r="C1196" t="s">
        <v>132</v>
      </c>
      <c r="D1196" t="s">
        <v>79</v>
      </c>
      <c r="E1196" t="s">
        <v>5501</v>
      </c>
      <c r="F1196" t="s">
        <v>145</v>
      </c>
      <c r="G1196" t="s">
        <v>5502</v>
      </c>
    </row>
    <row r="1197" spans="1:7" s="241" customFormat="1" ht="44.25" customHeight="1">
      <c r="A1197" t="s">
        <v>5503</v>
      </c>
      <c r="B1197" t="s">
        <v>5504</v>
      </c>
      <c r="C1197" t="s">
        <v>132</v>
      </c>
      <c r="D1197" t="s">
        <v>79</v>
      </c>
      <c r="E1197" t="s">
        <v>5505</v>
      </c>
      <c r="F1197" t="s">
        <v>145</v>
      </c>
      <c r="G1197" t="s">
        <v>5506</v>
      </c>
    </row>
    <row r="1198" spans="1:7" s="241" customFormat="1" ht="44.25" customHeight="1">
      <c r="A1198" t="s">
        <v>5507</v>
      </c>
      <c r="B1198" t="s">
        <v>5508</v>
      </c>
      <c r="C1198" t="s">
        <v>132</v>
      </c>
      <c r="D1198" t="s">
        <v>79</v>
      </c>
      <c r="E1198" t="s">
        <v>5509</v>
      </c>
      <c r="F1198" t="s">
        <v>145</v>
      </c>
      <c r="G1198" t="s">
        <v>5510</v>
      </c>
    </row>
    <row r="1199" spans="1:7" s="241" customFormat="1" ht="44.25" customHeight="1">
      <c r="A1199" t="s">
        <v>5511</v>
      </c>
      <c r="B1199" t="s">
        <v>5512</v>
      </c>
      <c r="C1199" t="s">
        <v>132</v>
      </c>
      <c r="D1199" t="s">
        <v>79</v>
      </c>
      <c r="E1199" t="s">
        <v>5513</v>
      </c>
      <c r="F1199" t="s">
        <v>145</v>
      </c>
      <c r="G1199" t="s">
        <v>5514</v>
      </c>
    </row>
    <row r="1200" spans="1:7" s="241" customFormat="1" ht="44.25" customHeight="1">
      <c r="A1200" t="s">
        <v>5515</v>
      </c>
      <c r="B1200" t="s">
        <v>5516</v>
      </c>
      <c r="C1200" t="s">
        <v>132</v>
      </c>
      <c r="D1200" t="s">
        <v>79</v>
      </c>
      <c r="E1200" t="s">
        <v>5517</v>
      </c>
      <c r="F1200" t="s">
        <v>145</v>
      </c>
      <c r="G1200" t="s">
        <v>5518</v>
      </c>
    </row>
    <row r="1201" spans="1:7" s="241" customFormat="1" ht="44.25" customHeight="1">
      <c r="A1201" t="s">
        <v>779</v>
      </c>
      <c r="B1201" t="s">
        <v>5519</v>
      </c>
      <c r="C1201" t="s">
        <v>132</v>
      </c>
      <c r="D1201" t="s">
        <v>79</v>
      </c>
      <c r="E1201" t="s">
        <v>5520</v>
      </c>
      <c r="F1201" t="s">
        <v>145</v>
      </c>
      <c r="G1201" t="s">
        <v>5521</v>
      </c>
    </row>
    <row r="1202" spans="1:7" s="241" customFormat="1" ht="44.25" customHeight="1">
      <c r="A1202" t="s">
        <v>5522</v>
      </c>
      <c r="B1202" t="s">
        <v>5523</v>
      </c>
      <c r="C1202" t="s">
        <v>132</v>
      </c>
      <c r="D1202" t="s">
        <v>79</v>
      </c>
      <c r="E1202" t="s">
        <v>5524</v>
      </c>
      <c r="F1202" t="s">
        <v>145</v>
      </c>
      <c r="G1202" t="s">
        <v>5525</v>
      </c>
    </row>
    <row r="1203" spans="1:7" s="241" customFormat="1" ht="44.25" customHeight="1">
      <c r="A1203" t="s">
        <v>5526</v>
      </c>
      <c r="B1203" t="s">
        <v>5527</v>
      </c>
      <c r="C1203" t="s">
        <v>132</v>
      </c>
      <c r="D1203" t="s">
        <v>79</v>
      </c>
      <c r="E1203" t="s">
        <v>5528</v>
      </c>
      <c r="F1203" t="s">
        <v>145</v>
      </c>
      <c r="G1203" t="s">
        <v>5529</v>
      </c>
    </row>
    <row r="1204" spans="1:7" s="241" customFormat="1" ht="44.25" customHeight="1">
      <c r="A1204" t="s">
        <v>5530</v>
      </c>
      <c r="B1204" t="s">
        <v>5531</v>
      </c>
      <c r="C1204" t="s">
        <v>132</v>
      </c>
      <c r="D1204" t="s">
        <v>79</v>
      </c>
      <c r="E1204" t="s">
        <v>5532</v>
      </c>
      <c r="F1204" t="s">
        <v>145</v>
      </c>
      <c r="G1204" t="s">
        <v>5533</v>
      </c>
    </row>
    <row r="1205" spans="1:7" s="241" customFormat="1" ht="44.25" customHeight="1">
      <c r="A1205" t="s">
        <v>2527</v>
      </c>
      <c r="B1205" t="s">
        <v>2528</v>
      </c>
      <c r="C1205" t="s">
        <v>132</v>
      </c>
      <c r="D1205" t="s">
        <v>79</v>
      </c>
      <c r="E1205" t="s">
        <v>2529</v>
      </c>
      <c r="F1205" t="s">
        <v>145</v>
      </c>
      <c r="G1205" t="s">
        <v>5534</v>
      </c>
    </row>
    <row r="1206" spans="1:7" s="241" customFormat="1" ht="44.25" customHeight="1">
      <c r="A1206" t="s">
        <v>5535</v>
      </c>
      <c r="B1206" t="s">
        <v>5536</v>
      </c>
      <c r="C1206" t="s">
        <v>132</v>
      </c>
      <c r="D1206" t="s">
        <v>79</v>
      </c>
      <c r="E1206" t="s">
        <v>5537</v>
      </c>
      <c r="F1206" t="s">
        <v>145</v>
      </c>
      <c r="G1206" t="s">
        <v>5538</v>
      </c>
    </row>
    <row r="1207" spans="1:7" s="241" customFormat="1" ht="44.25" customHeight="1">
      <c r="A1207" t="s">
        <v>5539</v>
      </c>
      <c r="B1207" t="s">
        <v>5540</v>
      </c>
      <c r="C1207" t="s">
        <v>132</v>
      </c>
      <c r="D1207" t="s">
        <v>79</v>
      </c>
      <c r="E1207" t="s">
        <v>5541</v>
      </c>
      <c r="F1207" t="s">
        <v>145</v>
      </c>
      <c r="G1207" t="s">
        <v>5542</v>
      </c>
    </row>
    <row r="1208" spans="1:7" s="241" customFormat="1" ht="44.25" customHeight="1">
      <c r="A1208" t="s">
        <v>5543</v>
      </c>
      <c r="B1208" t="s">
        <v>5544</v>
      </c>
      <c r="C1208" t="s">
        <v>132</v>
      </c>
      <c r="D1208" t="s">
        <v>79</v>
      </c>
      <c r="E1208" t="s">
        <v>5545</v>
      </c>
      <c r="F1208" t="s">
        <v>145</v>
      </c>
      <c r="G1208" t="s">
        <v>5546</v>
      </c>
    </row>
    <row r="1209" spans="1:7" s="241" customFormat="1" ht="44.25" customHeight="1">
      <c r="A1209" t="s">
        <v>5547</v>
      </c>
      <c r="B1209" t="s">
        <v>5548</v>
      </c>
      <c r="C1209" t="s">
        <v>132</v>
      </c>
      <c r="D1209" t="s">
        <v>79</v>
      </c>
      <c r="E1209" t="s">
        <v>5549</v>
      </c>
      <c r="F1209" t="s">
        <v>145</v>
      </c>
      <c r="G1209" t="s">
        <v>5550</v>
      </c>
    </row>
    <row r="1210" spans="1:7" s="241" customFormat="1" ht="44.25" customHeight="1">
      <c r="A1210" t="s">
        <v>3503</v>
      </c>
      <c r="B1210" t="s">
        <v>3504</v>
      </c>
      <c r="C1210" t="s">
        <v>132</v>
      </c>
      <c r="D1210" t="s">
        <v>79</v>
      </c>
      <c r="E1210" t="s">
        <v>3505</v>
      </c>
      <c r="F1210" t="s">
        <v>145</v>
      </c>
      <c r="G1210" t="s">
        <v>5551</v>
      </c>
    </row>
    <row r="1211" spans="1:7" s="241" customFormat="1" ht="44.25" customHeight="1">
      <c r="A1211" t="s">
        <v>5552</v>
      </c>
      <c r="B1211" t="s">
        <v>5553</v>
      </c>
      <c r="C1211" t="s">
        <v>132</v>
      </c>
      <c r="D1211" t="s">
        <v>79</v>
      </c>
      <c r="E1211" t="s">
        <v>5554</v>
      </c>
      <c r="F1211" t="s">
        <v>145</v>
      </c>
      <c r="G1211" t="s">
        <v>5555</v>
      </c>
    </row>
    <row r="1212" spans="1:7" s="241" customFormat="1" ht="44.25" customHeight="1">
      <c r="A1212" t="s">
        <v>5556</v>
      </c>
      <c r="B1212" t="s">
        <v>5557</v>
      </c>
      <c r="C1212" t="s">
        <v>132</v>
      </c>
      <c r="D1212" t="s">
        <v>79</v>
      </c>
      <c r="E1212" t="s">
        <v>5558</v>
      </c>
      <c r="F1212" t="s">
        <v>145</v>
      </c>
      <c r="G1212" t="s">
        <v>5559</v>
      </c>
    </row>
    <row r="1213" spans="1:7" s="241" customFormat="1" ht="44.25" customHeight="1">
      <c r="A1213" t="s">
        <v>5560</v>
      </c>
      <c r="B1213" t="s">
        <v>5561</v>
      </c>
      <c r="C1213" t="s">
        <v>132</v>
      </c>
      <c r="D1213" t="s">
        <v>79</v>
      </c>
      <c r="E1213" t="s">
        <v>5562</v>
      </c>
      <c r="F1213" t="s">
        <v>145</v>
      </c>
      <c r="G1213" t="s">
        <v>5563</v>
      </c>
    </row>
    <row r="1214" spans="1:7" s="241" customFormat="1" ht="44.25" customHeight="1">
      <c r="A1214" t="s">
        <v>5564</v>
      </c>
      <c r="B1214" t="s">
        <v>5565</v>
      </c>
      <c r="C1214" t="s">
        <v>132</v>
      </c>
      <c r="D1214" t="s">
        <v>79</v>
      </c>
      <c r="E1214" t="s">
        <v>5566</v>
      </c>
      <c r="F1214" t="s">
        <v>145</v>
      </c>
      <c r="G1214" t="s">
        <v>5567</v>
      </c>
    </row>
    <row r="1215" spans="1:7" s="241" customFormat="1" ht="44.25" customHeight="1">
      <c r="A1215" t="s">
        <v>5568</v>
      </c>
      <c r="B1215" t="s">
        <v>5569</v>
      </c>
      <c r="C1215" t="s">
        <v>132</v>
      </c>
      <c r="D1215" t="s">
        <v>2143</v>
      </c>
      <c r="E1215" t="s">
        <v>5570</v>
      </c>
      <c r="F1215" t="s">
        <v>145</v>
      </c>
      <c r="G1215" t="s">
        <v>5571</v>
      </c>
    </row>
    <row r="1216" spans="1:7" s="241" customFormat="1" ht="44.25" customHeight="1">
      <c r="A1216" t="s">
        <v>5572</v>
      </c>
      <c r="B1216" t="s">
        <v>5573</v>
      </c>
      <c r="C1216" t="s">
        <v>132</v>
      </c>
      <c r="D1216" t="s">
        <v>2143</v>
      </c>
      <c r="E1216" t="s">
        <v>5570</v>
      </c>
      <c r="F1216" t="s">
        <v>145</v>
      </c>
      <c r="G1216" t="s">
        <v>5574</v>
      </c>
    </row>
    <row r="1217" spans="1:7" s="241" customFormat="1" ht="44.25" customHeight="1">
      <c r="A1217" t="s">
        <v>5575</v>
      </c>
      <c r="B1217" t="s">
        <v>5576</v>
      </c>
      <c r="C1217" t="s">
        <v>132</v>
      </c>
      <c r="D1217" t="s">
        <v>2143</v>
      </c>
      <c r="E1217" t="s">
        <v>5577</v>
      </c>
      <c r="F1217" t="s">
        <v>145</v>
      </c>
      <c r="G1217" t="s">
        <v>5578</v>
      </c>
    </row>
    <row r="1218" spans="1:7" s="241" customFormat="1" ht="44.25" customHeight="1">
      <c r="A1218" t="s">
        <v>5579</v>
      </c>
      <c r="B1218" t="s">
        <v>5580</v>
      </c>
      <c r="C1218" t="s">
        <v>132</v>
      </c>
      <c r="D1218" t="s">
        <v>2143</v>
      </c>
      <c r="E1218" t="s">
        <v>5581</v>
      </c>
      <c r="F1218" t="s">
        <v>145</v>
      </c>
      <c r="G1218" t="s">
        <v>5582</v>
      </c>
    </row>
    <row r="1219" spans="1:7" s="241" customFormat="1" ht="44.25" customHeight="1">
      <c r="A1219" t="s">
        <v>5583</v>
      </c>
      <c r="B1219" t="s">
        <v>5584</v>
      </c>
      <c r="C1219" t="s">
        <v>132</v>
      </c>
      <c r="D1219" t="s">
        <v>2143</v>
      </c>
      <c r="E1219" t="s">
        <v>5570</v>
      </c>
      <c r="F1219" t="s">
        <v>145</v>
      </c>
      <c r="G1219" t="s">
        <v>5585</v>
      </c>
    </row>
    <row r="1220" spans="1:7" s="241" customFormat="1" ht="44.25" customHeight="1">
      <c r="A1220" t="s">
        <v>5586</v>
      </c>
      <c r="B1220" t="s">
        <v>5587</v>
      </c>
      <c r="C1220" t="s">
        <v>132</v>
      </c>
      <c r="D1220" t="s">
        <v>2143</v>
      </c>
      <c r="E1220" t="s">
        <v>5581</v>
      </c>
      <c r="F1220" t="s">
        <v>145</v>
      </c>
      <c r="G1220" t="s">
        <v>5588</v>
      </c>
    </row>
    <row r="1221" spans="1:7" s="241" customFormat="1" ht="44.25" customHeight="1">
      <c r="A1221" t="s">
        <v>5589</v>
      </c>
      <c r="B1221" t="s">
        <v>5590</v>
      </c>
      <c r="C1221" t="s">
        <v>132</v>
      </c>
      <c r="D1221" t="s">
        <v>2143</v>
      </c>
      <c r="E1221" t="s">
        <v>5577</v>
      </c>
      <c r="F1221" t="s">
        <v>145</v>
      </c>
      <c r="G1221" t="s">
        <v>5591</v>
      </c>
    </row>
    <row r="1222" spans="1:7" s="241" customFormat="1" ht="44.25" customHeight="1">
      <c r="A1222" t="s">
        <v>5592</v>
      </c>
      <c r="B1222" t="s">
        <v>5593</v>
      </c>
      <c r="C1222" t="s">
        <v>132</v>
      </c>
      <c r="D1222" t="s">
        <v>2143</v>
      </c>
      <c r="E1222" t="s">
        <v>5570</v>
      </c>
      <c r="F1222" t="s">
        <v>145</v>
      </c>
      <c r="G1222" t="s">
        <v>5594</v>
      </c>
    </row>
    <row r="1223" spans="1:7" s="241" customFormat="1" ht="44.25" customHeight="1">
      <c r="A1223" t="s">
        <v>5595</v>
      </c>
      <c r="B1223" t="s">
        <v>5596</v>
      </c>
      <c r="C1223" t="s">
        <v>132</v>
      </c>
      <c r="D1223" t="s">
        <v>2143</v>
      </c>
      <c r="E1223" t="s">
        <v>5570</v>
      </c>
      <c r="F1223" t="s">
        <v>145</v>
      </c>
      <c r="G1223" t="s">
        <v>5597</v>
      </c>
    </row>
    <row r="1224" spans="1:7" s="241" customFormat="1" ht="44.25" customHeight="1">
      <c r="A1224" t="s">
        <v>5598</v>
      </c>
      <c r="B1224" t="s">
        <v>5599</v>
      </c>
      <c r="C1224" t="s">
        <v>132</v>
      </c>
      <c r="D1224" t="s">
        <v>2143</v>
      </c>
      <c r="E1224" t="s">
        <v>5581</v>
      </c>
      <c r="F1224" t="s">
        <v>145</v>
      </c>
      <c r="G1224" t="s">
        <v>5600</v>
      </c>
    </row>
    <row r="1225" spans="1:7" s="241" customFormat="1" ht="44.25" customHeight="1">
      <c r="A1225" t="s">
        <v>5601</v>
      </c>
      <c r="B1225" t="s">
        <v>5602</v>
      </c>
      <c r="C1225" t="s">
        <v>132</v>
      </c>
      <c r="D1225" t="s">
        <v>2143</v>
      </c>
      <c r="E1225" t="s">
        <v>5581</v>
      </c>
      <c r="F1225" t="s">
        <v>145</v>
      </c>
      <c r="G1225" t="s">
        <v>5603</v>
      </c>
    </row>
    <row r="1226" spans="1:7" s="241" customFormat="1" ht="44.25" customHeight="1">
      <c r="A1226" t="s">
        <v>5604</v>
      </c>
      <c r="B1226" t="s">
        <v>5605</v>
      </c>
      <c r="C1226" t="s">
        <v>132</v>
      </c>
      <c r="D1226" t="s">
        <v>2143</v>
      </c>
      <c r="E1226" t="s">
        <v>5577</v>
      </c>
      <c r="F1226" t="s">
        <v>145</v>
      </c>
      <c r="G1226" t="s">
        <v>5606</v>
      </c>
    </row>
    <row r="1227" spans="1:7" s="241" customFormat="1" ht="44.25" customHeight="1">
      <c r="A1227" t="s">
        <v>5607</v>
      </c>
      <c r="B1227" t="s">
        <v>5608</v>
      </c>
      <c r="C1227" t="s">
        <v>132</v>
      </c>
      <c r="D1227" t="s">
        <v>2143</v>
      </c>
      <c r="E1227" t="s">
        <v>5577</v>
      </c>
      <c r="F1227" t="s">
        <v>145</v>
      </c>
      <c r="G1227" t="s">
        <v>5609</v>
      </c>
    </row>
    <row r="1228" spans="1:7" s="241" customFormat="1" ht="44.25" customHeight="1">
      <c r="A1228" t="s">
        <v>5610</v>
      </c>
      <c r="B1228" t="s">
        <v>5611</v>
      </c>
      <c r="C1228" t="s">
        <v>132</v>
      </c>
      <c r="D1228" t="s">
        <v>2143</v>
      </c>
      <c r="E1228" t="s">
        <v>5581</v>
      </c>
      <c r="F1228" t="s">
        <v>145</v>
      </c>
      <c r="G1228" t="s">
        <v>5612</v>
      </c>
    </row>
    <row r="1229" spans="1:7" s="241" customFormat="1" ht="44.25" customHeight="1">
      <c r="A1229" t="s">
        <v>5613</v>
      </c>
      <c r="B1229" t="s">
        <v>5614</v>
      </c>
      <c r="C1229" t="s">
        <v>132</v>
      </c>
      <c r="D1229" t="s">
        <v>2143</v>
      </c>
      <c r="E1229" t="s">
        <v>5577</v>
      </c>
      <c r="F1229" t="s">
        <v>145</v>
      </c>
      <c r="G1229" t="s">
        <v>5615</v>
      </c>
    </row>
    <row r="1230" spans="1:7" s="241" customFormat="1" ht="44.25" customHeight="1">
      <c r="A1230" t="s">
        <v>5616</v>
      </c>
      <c r="B1230" t="s">
        <v>5617</v>
      </c>
      <c r="C1230" t="s">
        <v>132</v>
      </c>
      <c r="D1230" t="s">
        <v>2143</v>
      </c>
      <c r="E1230" t="s">
        <v>5570</v>
      </c>
      <c r="F1230" t="s">
        <v>145</v>
      </c>
      <c r="G1230" t="s">
        <v>5618</v>
      </c>
    </row>
    <row r="1231" spans="1:7" s="241" customFormat="1" ht="44.25" customHeight="1">
      <c r="A1231" t="s">
        <v>5619</v>
      </c>
      <c r="B1231" t="s">
        <v>5620</v>
      </c>
      <c r="C1231" t="s">
        <v>132</v>
      </c>
      <c r="D1231" t="s">
        <v>2143</v>
      </c>
      <c r="E1231" t="s">
        <v>5570</v>
      </c>
      <c r="F1231" t="s">
        <v>145</v>
      </c>
      <c r="G1231" t="s">
        <v>5621</v>
      </c>
    </row>
    <row r="1232" spans="1:7" s="241" customFormat="1" ht="44.25" customHeight="1">
      <c r="A1232" t="s">
        <v>5622</v>
      </c>
      <c r="B1232" t="s">
        <v>5623</v>
      </c>
      <c r="C1232" t="s">
        <v>132</v>
      </c>
      <c r="D1232" t="s">
        <v>2143</v>
      </c>
      <c r="E1232" t="s">
        <v>5624</v>
      </c>
      <c r="F1232" t="s">
        <v>145</v>
      </c>
      <c r="G1232" t="s">
        <v>5625</v>
      </c>
    </row>
    <row r="1233" spans="1:7" s="241" customFormat="1" ht="44.25" customHeight="1">
      <c r="A1233" t="s">
        <v>5626</v>
      </c>
      <c r="B1233" t="s">
        <v>5627</v>
      </c>
      <c r="C1233" t="s">
        <v>132</v>
      </c>
      <c r="D1233" t="s">
        <v>2143</v>
      </c>
      <c r="E1233" t="s">
        <v>5577</v>
      </c>
      <c r="F1233" t="s">
        <v>145</v>
      </c>
      <c r="G1233" t="s">
        <v>5628</v>
      </c>
    </row>
    <row r="1234" spans="1:7" s="241" customFormat="1" ht="44.25" customHeight="1">
      <c r="A1234" t="s">
        <v>5629</v>
      </c>
      <c r="B1234" t="s">
        <v>5630</v>
      </c>
      <c r="C1234" t="s">
        <v>132</v>
      </c>
      <c r="D1234" t="s">
        <v>2143</v>
      </c>
      <c r="E1234" t="s">
        <v>5581</v>
      </c>
      <c r="F1234" t="s">
        <v>145</v>
      </c>
      <c r="G1234" t="s">
        <v>5631</v>
      </c>
    </row>
    <row r="1235" spans="1:7" s="241" customFormat="1" ht="44.25" customHeight="1">
      <c r="A1235" t="s">
        <v>5632</v>
      </c>
      <c r="B1235" t="s">
        <v>5633</v>
      </c>
      <c r="C1235" t="s">
        <v>132</v>
      </c>
      <c r="D1235" t="s">
        <v>2143</v>
      </c>
      <c r="E1235" t="s">
        <v>5570</v>
      </c>
      <c r="F1235" t="s">
        <v>145</v>
      </c>
      <c r="G1235" t="s">
        <v>5634</v>
      </c>
    </row>
    <row r="1236" spans="1:7" s="241" customFormat="1" ht="44.25" customHeight="1">
      <c r="A1236" t="s">
        <v>5635</v>
      </c>
      <c r="B1236" t="s">
        <v>5636</v>
      </c>
      <c r="C1236" t="s">
        <v>132</v>
      </c>
      <c r="D1236" t="s">
        <v>2143</v>
      </c>
      <c r="E1236" t="s">
        <v>5570</v>
      </c>
      <c r="F1236" t="s">
        <v>145</v>
      </c>
      <c r="G1236" t="s">
        <v>5637</v>
      </c>
    </row>
    <row r="1237" spans="1:7" s="241" customFormat="1" ht="44.25" customHeight="1">
      <c r="A1237" t="s">
        <v>5638</v>
      </c>
      <c r="B1237" t="s">
        <v>5639</v>
      </c>
      <c r="C1237" t="s">
        <v>132</v>
      </c>
      <c r="D1237" t="s">
        <v>2143</v>
      </c>
      <c r="E1237" t="s">
        <v>5577</v>
      </c>
      <c r="F1237" t="s">
        <v>145</v>
      </c>
      <c r="G1237" t="s">
        <v>5640</v>
      </c>
    </row>
    <row r="1238" spans="1:7" s="241" customFormat="1" ht="44.25" customHeight="1">
      <c r="A1238" t="s">
        <v>5641</v>
      </c>
      <c r="B1238" t="s">
        <v>5642</v>
      </c>
      <c r="C1238" t="s">
        <v>132</v>
      </c>
      <c r="D1238" t="s">
        <v>2143</v>
      </c>
      <c r="E1238" t="s">
        <v>5577</v>
      </c>
      <c r="F1238" t="s">
        <v>145</v>
      </c>
      <c r="G1238" t="s">
        <v>5643</v>
      </c>
    </row>
    <row r="1239" spans="1:7" s="241" customFormat="1" ht="44.25" customHeight="1">
      <c r="A1239" t="s">
        <v>5644</v>
      </c>
      <c r="B1239" t="s">
        <v>5645</v>
      </c>
      <c r="C1239" t="s">
        <v>132</v>
      </c>
      <c r="D1239" t="s">
        <v>2143</v>
      </c>
      <c r="E1239" t="s">
        <v>5581</v>
      </c>
      <c r="F1239" t="s">
        <v>145</v>
      </c>
      <c r="G1239" t="s">
        <v>5646</v>
      </c>
    </row>
    <row r="1240" spans="1:7" s="241" customFormat="1" ht="44.25" customHeight="1">
      <c r="A1240" t="s">
        <v>5647</v>
      </c>
      <c r="B1240" t="s">
        <v>5648</v>
      </c>
      <c r="C1240" t="s">
        <v>132</v>
      </c>
      <c r="D1240" t="s">
        <v>2143</v>
      </c>
      <c r="E1240" t="s">
        <v>5577</v>
      </c>
      <c r="F1240" t="s">
        <v>145</v>
      </c>
      <c r="G1240" t="s">
        <v>5649</v>
      </c>
    </row>
    <row r="1241" spans="1:7" s="241" customFormat="1" ht="44.25" customHeight="1">
      <c r="A1241" t="s">
        <v>5650</v>
      </c>
      <c r="B1241" t="s">
        <v>5651</v>
      </c>
      <c r="C1241" t="s">
        <v>132</v>
      </c>
      <c r="D1241" t="s">
        <v>2143</v>
      </c>
      <c r="E1241" t="s">
        <v>5652</v>
      </c>
      <c r="F1241" t="s">
        <v>145</v>
      </c>
      <c r="G1241" t="s">
        <v>5653</v>
      </c>
    </row>
    <row r="1242" spans="1:7" s="241" customFormat="1" ht="44.25" customHeight="1">
      <c r="A1242" t="s">
        <v>5654</v>
      </c>
      <c r="B1242" t="s">
        <v>5655</v>
      </c>
      <c r="C1242" t="s">
        <v>132</v>
      </c>
      <c r="D1242" t="s">
        <v>2143</v>
      </c>
      <c r="E1242" t="s">
        <v>5577</v>
      </c>
      <c r="F1242" t="s">
        <v>145</v>
      </c>
      <c r="G1242" t="s">
        <v>5656</v>
      </c>
    </row>
    <row r="1243" spans="1:7" s="241" customFormat="1" ht="44.25" customHeight="1">
      <c r="A1243" t="s">
        <v>132</v>
      </c>
      <c r="B1243" t="s">
        <v>5657</v>
      </c>
      <c r="C1243" t="s">
        <v>132</v>
      </c>
      <c r="D1243" t="s">
        <v>2143</v>
      </c>
      <c r="E1243" t="s">
        <v>5624</v>
      </c>
      <c r="F1243" t="s">
        <v>145</v>
      </c>
      <c r="G1243" t="s">
        <v>5658</v>
      </c>
    </row>
    <row r="1244" spans="1:7" s="241" customFormat="1" ht="44.25" customHeight="1">
      <c r="A1244" t="s">
        <v>132</v>
      </c>
      <c r="B1244" t="s">
        <v>5659</v>
      </c>
      <c r="C1244" t="s">
        <v>132</v>
      </c>
      <c r="D1244" t="s">
        <v>2143</v>
      </c>
      <c r="E1244" t="s">
        <v>5624</v>
      </c>
      <c r="F1244" t="s">
        <v>145</v>
      </c>
      <c r="G1244" t="s">
        <v>5660</v>
      </c>
    </row>
    <row r="1245" spans="1:7" s="241" customFormat="1" ht="44.25" customHeight="1">
      <c r="A1245" t="s">
        <v>5661</v>
      </c>
      <c r="B1245" t="s">
        <v>5662</v>
      </c>
      <c r="C1245" t="s">
        <v>132</v>
      </c>
      <c r="D1245" t="s">
        <v>2143</v>
      </c>
      <c r="E1245" t="s">
        <v>5663</v>
      </c>
      <c r="F1245" t="s">
        <v>145</v>
      </c>
      <c r="G1245" t="s">
        <v>5664</v>
      </c>
    </row>
    <row r="1246" spans="1:7" s="241" customFormat="1" ht="44.25" customHeight="1">
      <c r="A1246" t="s">
        <v>132</v>
      </c>
      <c r="B1246" t="s">
        <v>5665</v>
      </c>
      <c r="C1246" t="s">
        <v>132</v>
      </c>
      <c r="D1246" t="s">
        <v>2143</v>
      </c>
      <c r="E1246" t="s">
        <v>5577</v>
      </c>
      <c r="F1246" t="s">
        <v>145</v>
      </c>
      <c r="G1246" t="s">
        <v>5666</v>
      </c>
    </row>
    <row r="1247" spans="1:7" s="241" customFormat="1" ht="44.25" customHeight="1">
      <c r="A1247" t="s">
        <v>132</v>
      </c>
      <c r="B1247" t="s">
        <v>5667</v>
      </c>
      <c r="C1247" t="s">
        <v>132</v>
      </c>
      <c r="D1247" t="s">
        <v>2143</v>
      </c>
      <c r="E1247" t="s">
        <v>5668</v>
      </c>
      <c r="F1247" t="s">
        <v>145</v>
      </c>
      <c r="G1247" t="s">
        <v>5669</v>
      </c>
    </row>
    <row r="1248" spans="1:7" s="241" customFormat="1" ht="44.25" customHeight="1">
      <c r="A1248" t="s">
        <v>132</v>
      </c>
      <c r="B1248" t="s">
        <v>5670</v>
      </c>
      <c r="C1248" t="s">
        <v>132</v>
      </c>
      <c r="D1248" t="s">
        <v>2143</v>
      </c>
      <c r="E1248" t="s">
        <v>5577</v>
      </c>
      <c r="F1248" t="s">
        <v>145</v>
      </c>
      <c r="G1248" t="s">
        <v>5671</v>
      </c>
    </row>
    <row r="1249" spans="1:7" s="241" customFormat="1" ht="44.25" customHeight="1">
      <c r="A1249" t="s">
        <v>132</v>
      </c>
      <c r="B1249" t="s">
        <v>5672</v>
      </c>
      <c r="C1249" t="s">
        <v>132</v>
      </c>
      <c r="D1249" t="s">
        <v>2143</v>
      </c>
      <c r="E1249" t="s">
        <v>5577</v>
      </c>
      <c r="F1249" t="s">
        <v>145</v>
      </c>
      <c r="G1249" t="s">
        <v>5673</v>
      </c>
    </row>
    <row r="1250" spans="1:7" s="241" customFormat="1" ht="44.25" customHeight="1">
      <c r="A1250" t="s">
        <v>132</v>
      </c>
      <c r="B1250" t="s">
        <v>5674</v>
      </c>
      <c r="C1250" t="s">
        <v>132</v>
      </c>
      <c r="D1250" t="s">
        <v>2143</v>
      </c>
      <c r="E1250" t="s">
        <v>5624</v>
      </c>
      <c r="F1250" t="s">
        <v>145</v>
      </c>
      <c r="G1250" t="s">
        <v>5675</v>
      </c>
    </row>
    <row r="1251" spans="1:7" s="241" customFormat="1" ht="44.25" customHeight="1">
      <c r="A1251" t="s">
        <v>132</v>
      </c>
      <c r="B1251" t="s">
        <v>5676</v>
      </c>
      <c r="C1251" t="s">
        <v>132</v>
      </c>
      <c r="D1251" t="s">
        <v>2143</v>
      </c>
      <c r="E1251" t="s">
        <v>5677</v>
      </c>
      <c r="F1251" t="s">
        <v>145</v>
      </c>
      <c r="G1251" t="s">
        <v>5678</v>
      </c>
    </row>
    <row r="1252" spans="1:7" s="241" customFormat="1" ht="44.25" customHeight="1">
      <c r="A1252" t="s">
        <v>132</v>
      </c>
      <c r="B1252" t="s">
        <v>5679</v>
      </c>
      <c r="C1252" t="s">
        <v>132</v>
      </c>
      <c r="D1252" t="s">
        <v>2143</v>
      </c>
      <c r="E1252" t="s">
        <v>5577</v>
      </c>
      <c r="F1252" t="s">
        <v>145</v>
      </c>
      <c r="G1252" t="s">
        <v>5680</v>
      </c>
    </row>
    <row r="1253" spans="1:7" s="241" customFormat="1" ht="44.25" customHeight="1">
      <c r="A1253" t="s">
        <v>5681</v>
      </c>
      <c r="B1253" t="s">
        <v>5682</v>
      </c>
      <c r="C1253" t="s">
        <v>132</v>
      </c>
      <c r="D1253" t="s">
        <v>2143</v>
      </c>
      <c r="E1253" t="s">
        <v>5652</v>
      </c>
      <c r="F1253" t="s">
        <v>145</v>
      </c>
      <c r="G1253" t="s">
        <v>5683</v>
      </c>
    </row>
    <row r="1254" spans="1:7" s="241" customFormat="1" ht="44.25" customHeight="1">
      <c r="A1254" t="s">
        <v>132</v>
      </c>
      <c r="B1254" t="s">
        <v>5684</v>
      </c>
      <c r="C1254" t="s">
        <v>132</v>
      </c>
      <c r="D1254" t="s">
        <v>2143</v>
      </c>
      <c r="E1254" t="s">
        <v>5663</v>
      </c>
      <c r="F1254" t="s">
        <v>145</v>
      </c>
      <c r="G1254" t="s">
        <v>5685</v>
      </c>
    </row>
    <row r="1255" spans="1:7" s="241" customFormat="1" ht="44.25" customHeight="1">
      <c r="A1255" t="s">
        <v>132</v>
      </c>
      <c r="B1255" t="s">
        <v>5686</v>
      </c>
      <c r="C1255" t="s">
        <v>132</v>
      </c>
      <c r="D1255" t="s">
        <v>2143</v>
      </c>
      <c r="E1255" t="s">
        <v>5652</v>
      </c>
      <c r="F1255" t="s">
        <v>145</v>
      </c>
      <c r="G1255" t="s">
        <v>5687</v>
      </c>
    </row>
    <row r="1256" spans="1:7" s="241" customFormat="1" ht="44.25" customHeight="1">
      <c r="A1256" t="s">
        <v>5688</v>
      </c>
      <c r="B1256" t="s">
        <v>5689</v>
      </c>
      <c r="C1256" t="s">
        <v>132</v>
      </c>
      <c r="D1256" t="s">
        <v>2143</v>
      </c>
      <c r="E1256" t="s">
        <v>5581</v>
      </c>
      <c r="F1256" t="s">
        <v>145</v>
      </c>
      <c r="G1256" t="s">
        <v>5690</v>
      </c>
    </row>
    <row r="1257" spans="1:7" s="241" customFormat="1" ht="44.25" customHeight="1">
      <c r="A1257" t="s">
        <v>132</v>
      </c>
      <c r="B1257" t="s">
        <v>5691</v>
      </c>
      <c r="C1257" t="s">
        <v>132</v>
      </c>
      <c r="D1257" t="s">
        <v>2143</v>
      </c>
      <c r="E1257" t="s">
        <v>5577</v>
      </c>
      <c r="F1257" t="s">
        <v>145</v>
      </c>
      <c r="G1257" t="s">
        <v>5692</v>
      </c>
    </row>
    <row r="1258" spans="1:7" s="241" customFormat="1" ht="44.25" customHeight="1">
      <c r="A1258" t="s">
        <v>5693</v>
      </c>
      <c r="B1258" t="s">
        <v>5694</v>
      </c>
      <c r="C1258" t="s">
        <v>132</v>
      </c>
      <c r="D1258" t="s">
        <v>2143</v>
      </c>
      <c r="E1258" t="s">
        <v>5624</v>
      </c>
      <c r="F1258" t="s">
        <v>145</v>
      </c>
      <c r="G1258" t="s">
        <v>5695</v>
      </c>
    </row>
    <row r="1259" spans="1:7" s="241" customFormat="1" ht="44.25" customHeight="1">
      <c r="A1259" t="s">
        <v>132</v>
      </c>
      <c r="B1259" t="s">
        <v>5696</v>
      </c>
      <c r="C1259" t="s">
        <v>132</v>
      </c>
      <c r="D1259" t="s">
        <v>2143</v>
      </c>
      <c r="E1259" t="s">
        <v>5577</v>
      </c>
      <c r="F1259" t="s">
        <v>145</v>
      </c>
      <c r="G1259" t="s">
        <v>5697</v>
      </c>
    </row>
    <row r="1260" spans="1:7" s="241" customFormat="1" ht="44.25" customHeight="1">
      <c r="A1260" t="s">
        <v>132</v>
      </c>
      <c r="B1260" t="s">
        <v>5698</v>
      </c>
      <c r="C1260" t="s">
        <v>132</v>
      </c>
      <c r="D1260" t="s">
        <v>2143</v>
      </c>
      <c r="E1260" t="s">
        <v>5699</v>
      </c>
      <c r="F1260" t="s">
        <v>145</v>
      </c>
      <c r="G1260" t="s">
        <v>5700</v>
      </c>
    </row>
    <row r="1261" spans="1:7" s="241" customFormat="1" ht="44.25" customHeight="1">
      <c r="A1261" t="s">
        <v>132</v>
      </c>
      <c r="B1261" t="s">
        <v>5701</v>
      </c>
      <c r="C1261" t="s">
        <v>132</v>
      </c>
      <c r="D1261" t="s">
        <v>2143</v>
      </c>
      <c r="E1261" t="s">
        <v>5577</v>
      </c>
      <c r="F1261" t="s">
        <v>145</v>
      </c>
      <c r="G1261" t="s">
        <v>5702</v>
      </c>
    </row>
    <row r="1262" spans="1:7" s="241" customFormat="1" ht="44.25" customHeight="1">
      <c r="A1262" t="s">
        <v>132</v>
      </c>
      <c r="B1262" t="s">
        <v>5703</v>
      </c>
      <c r="C1262" t="s">
        <v>132</v>
      </c>
      <c r="D1262" t="s">
        <v>2143</v>
      </c>
      <c r="E1262" t="s">
        <v>5577</v>
      </c>
      <c r="F1262" t="s">
        <v>145</v>
      </c>
      <c r="G1262" t="s">
        <v>5704</v>
      </c>
    </row>
    <row r="1263" spans="1:7" s="241" customFormat="1" ht="44.25" customHeight="1">
      <c r="A1263" t="s">
        <v>5705</v>
      </c>
      <c r="B1263" t="s">
        <v>5706</v>
      </c>
      <c r="C1263" t="s">
        <v>132</v>
      </c>
      <c r="D1263" t="s">
        <v>2143</v>
      </c>
      <c r="E1263" t="s">
        <v>5677</v>
      </c>
      <c r="F1263" t="s">
        <v>145</v>
      </c>
      <c r="G1263" t="s">
        <v>5707</v>
      </c>
    </row>
    <row r="1264" spans="1:7" s="241" customFormat="1" ht="44.25" customHeight="1">
      <c r="A1264" t="s">
        <v>5708</v>
      </c>
      <c r="B1264" t="s">
        <v>5709</v>
      </c>
      <c r="C1264" t="s">
        <v>132</v>
      </c>
      <c r="D1264" t="s">
        <v>2143</v>
      </c>
      <c r="E1264" t="s">
        <v>5577</v>
      </c>
      <c r="F1264" t="s">
        <v>145</v>
      </c>
      <c r="G1264" t="s">
        <v>5710</v>
      </c>
    </row>
    <row r="1265" spans="1:7" s="241" customFormat="1" ht="44.25" customHeight="1">
      <c r="A1265" t="s">
        <v>132</v>
      </c>
      <c r="B1265" t="s">
        <v>5711</v>
      </c>
      <c r="C1265" t="s">
        <v>132</v>
      </c>
      <c r="D1265" t="s">
        <v>2143</v>
      </c>
      <c r="E1265" t="s">
        <v>5577</v>
      </c>
      <c r="F1265" t="s">
        <v>145</v>
      </c>
      <c r="G1265" t="s">
        <v>5712</v>
      </c>
    </row>
    <row r="1266" spans="1:7" s="241" customFormat="1" ht="44.25" customHeight="1">
      <c r="A1266" t="s">
        <v>5713</v>
      </c>
      <c r="B1266" t="s">
        <v>5714</v>
      </c>
      <c r="C1266" t="s">
        <v>132</v>
      </c>
      <c r="D1266" t="s">
        <v>2143</v>
      </c>
      <c r="E1266" t="s">
        <v>5581</v>
      </c>
      <c r="F1266" t="s">
        <v>145</v>
      </c>
      <c r="G1266" t="s">
        <v>5715</v>
      </c>
    </row>
    <row r="1267" spans="1:7" s="241" customFormat="1" ht="44.25" customHeight="1">
      <c r="A1267" t="s">
        <v>132</v>
      </c>
      <c r="B1267" t="s">
        <v>5716</v>
      </c>
      <c r="C1267" t="s">
        <v>132</v>
      </c>
      <c r="D1267" t="s">
        <v>2143</v>
      </c>
      <c r="E1267" t="s">
        <v>5577</v>
      </c>
      <c r="F1267" t="s">
        <v>145</v>
      </c>
      <c r="G1267" t="s">
        <v>5717</v>
      </c>
    </row>
    <row r="1268" spans="1:7" s="241" customFormat="1" ht="44.25" customHeight="1">
      <c r="A1268" t="s">
        <v>132</v>
      </c>
      <c r="B1268" t="s">
        <v>5718</v>
      </c>
      <c r="C1268" t="s">
        <v>132</v>
      </c>
      <c r="D1268" t="s">
        <v>2143</v>
      </c>
      <c r="E1268" t="s">
        <v>5577</v>
      </c>
      <c r="F1268" t="s">
        <v>145</v>
      </c>
      <c r="G1268" t="s">
        <v>5719</v>
      </c>
    </row>
    <row r="1269" spans="1:7" s="241" customFormat="1" ht="44.25" customHeight="1">
      <c r="A1269" t="s">
        <v>132</v>
      </c>
      <c r="B1269" t="s">
        <v>5720</v>
      </c>
      <c r="C1269" t="s">
        <v>132</v>
      </c>
      <c r="D1269" t="s">
        <v>2143</v>
      </c>
      <c r="E1269" t="s">
        <v>5581</v>
      </c>
      <c r="F1269" t="s">
        <v>145</v>
      </c>
      <c r="G1269" t="s">
        <v>5721</v>
      </c>
    </row>
    <row r="1270" spans="1:7" s="241" customFormat="1" ht="44.25" customHeight="1">
      <c r="A1270" t="s">
        <v>132</v>
      </c>
      <c r="B1270" t="s">
        <v>5722</v>
      </c>
      <c r="C1270" t="s">
        <v>132</v>
      </c>
      <c r="D1270" t="s">
        <v>2143</v>
      </c>
      <c r="E1270" t="s">
        <v>5577</v>
      </c>
      <c r="F1270" t="s">
        <v>145</v>
      </c>
      <c r="G1270" t="s">
        <v>5723</v>
      </c>
    </row>
    <row r="1271" spans="1:7" s="241" customFormat="1" ht="44.25" customHeight="1">
      <c r="A1271" t="s">
        <v>132</v>
      </c>
      <c r="B1271" t="s">
        <v>5724</v>
      </c>
      <c r="C1271" t="s">
        <v>132</v>
      </c>
      <c r="D1271" t="s">
        <v>2143</v>
      </c>
      <c r="E1271" t="s">
        <v>5577</v>
      </c>
      <c r="F1271" t="s">
        <v>145</v>
      </c>
      <c r="G1271" t="s">
        <v>5725</v>
      </c>
    </row>
    <row r="1272" spans="1:7" s="241" customFormat="1" ht="44.25" customHeight="1">
      <c r="A1272" t="s">
        <v>5726</v>
      </c>
      <c r="B1272" t="s">
        <v>5727</v>
      </c>
      <c r="C1272" t="s">
        <v>132</v>
      </c>
      <c r="D1272" t="s">
        <v>2143</v>
      </c>
      <c r="E1272" t="s">
        <v>5668</v>
      </c>
      <c r="F1272" t="s">
        <v>145</v>
      </c>
      <c r="G1272" t="s">
        <v>5728</v>
      </c>
    </row>
    <row r="1273" spans="1:7" s="241" customFormat="1" ht="44.25" customHeight="1">
      <c r="A1273" t="s">
        <v>132</v>
      </c>
      <c r="B1273" t="s">
        <v>5729</v>
      </c>
      <c r="C1273" t="s">
        <v>132</v>
      </c>
      <c r="D1273" t="s">
        <v>2143</v>
      </c>
      <c r="E1273" t="s">
        <v>5581</v>
      </c>
      <c r="F1273" t="s">
        <v>145</v>
      </c>
      <c r="G1273" t="s">
        <v>5730</v>
      </c>
    </row>
    <row r="1274" spans="1:7" s="241" customFormat="1" ht="44.25" customHeight="1">
      <c r="A1274" t="s">
        <v>132</v>
      </c>
      <c r="B1274" t="s">
        <v>5731</v>
      </c>
      <c r="C1274" t="s">
        <v>132</v>
      </c>
      <c r="D1274" t="s">
        <v>2143</v>
      </c>
      <c r="E1274" t="s">
        <v>5668</v>
      </c>
      <c r="F1274" t="s">
        <v>145</v>
      </c>
      <c r="G1274" t="s">
        <v>5732</v>
      </c>
    </row>
    <row r="1275" spans="1:7" s="241" customFormat="1" ht="44.25" customHeight="1">
      <c r="A1275" t="s">
        <v>5733</v>
      </c>
      <c r="B1275" t="s">
        <v>5734</v>
      </c>
      <c r="C1275" t="s">
        <v>132</v>
      </c>
      <c r="D1275" t="s">
        <v>2143</v>
      </c>
      <c r="E1275" t="s">
        <v>5577</v>
      </c>
      <c r="F1275" t="s">
        <v>145</v>
      </c>
      <c r="G1275" t="s">
        <v>5735</v>
      </c>
    </row>
    <row r="1276" spans="1:7" s="241" customFormat="1" ht="44.25" customHeight="1">
      <c r="A1276" t="s">
        <v>132</v>
      </c>
      <c r="B1276" t="s">
        <v>5736</v>
      </c>
      <c r="C1276" t="s">
        <v>132</v>
      </c>
      <c r="D1276" t="s">
        <v>2143</v>
      </c>
      <c r="E1276" t="s">
        <v>5577</v>
      </c>
      <c r="F1276" t="s">
        <v>145</v>
      </c>
      <c r="G1276" t="s">
        <v>5737</v>
      </c>
    </row>
    <row r="1277" spans="1:7" s="241" customFormat="1" ht="44.25" customHeight="1">
      <c r="A1277" t="s">
        <v>132</v>
      </c>
      <c r="B1277" t="s">
        <v>5738</v>
      </c>
      <c r="C1277" t="s">
        <v>132</v>
      </c>
      <c r="D1277" t="s">
        <v>2143</v>
      </c>
      <c r="E1277" t="s">
        <v>5699</v>
      </c>
      <c r="F1277" t="s">
        <v>145</v>
      </c>
      <c r="G1277" t="s">
        <v>5739</v>
      </c>
    </row>
    <row r="1278" spans="1:7" s="241" customFormat="1" ht="44.25" customHeight="1">
      <c r="A1278" t="s">
        <v>132</v>
      </c>
      <c r="B1278" t="s">
        <v>5740</v>
      </c>
      <c r="C1278" t="s">
        <v>132</v>
      </c>
      <c r="D1278" t="s">
        <v>2143</v>
      </c>
      <c r="E1278" t="s">
        <v>5741</v>
      </c>
      <c r="F1278" t="s">
        <v>145</v>
      </c>
      <c r="G1278" t="s">
        <v>5742</v>
      </c>
    </row>
    <row r="1279" spans="1:7" s="241" customFormat="1" ht="44.25" customHeight="1">
      <c r="A1279" t="s">
        <v>132</v>
      </c>
      <c r="B1279" t="s">
        <v>5743</v>
      </c>
      <c r="C1279" t="s">
        <v>132</v>
      </c>
      <c r="D1279" t="s">
        <v>2143</v>
      </c>
      <c r="E1279" t="s">
        <v>5577</v>
      </c>
      <c r="F1279" t="s">
        <v>145</v>
      </c>
      <c r="G1279" t="s">
        <v>5744</v>
      </c>
    </row>
    <row r="1280" spans="1:7" s="241" customFormat="1" ht="44.25" customHeight="1">
      <c r="A1280" t="s">
        <v>5745</v>
      </c>
      <c r="B1280" t="s">
        <v>5746</v>
      </c>
      <c r="C1280" t="s">
        <v>132</v>
      </c>
      <c r="D1280" t="s">
        <v>2139</v>
      </c>
      <c r="E1280" t="s">
        <v>5577</v>
      </c>
      <c r="F1280" t="s">
        <v>145</v>
      </c>
      <c r="G1280" t="s">
        <v>5747</v>
      </c>
    </row>
    <row r="1281" spans="1:7" s="241" customFormat="1" ht="44.25" customHeight="1">
      <c r="A1281" t="s">
        <v>448</v>
      </c>
      <c r="B1281" t="s">
        <v>5748</v>
      </c>
      <c r="C1281" t="s">
        <v>132</v>
      </c>
      <c r="D1281" t="s">
        <v>79</v>
      </c>
      <c r="E1281" t="s">
        <v>1471</v>
      </c>
      <c r="F1281" t="s">
        <v>145</v>
      </c>
      <c r="G1281" t="s">
        <v>5749</v>
      </c>
    </row>
    <row r="1282" spans="1:7" s="241" customFormat="1" ht="44.25" customHeight="1">
      <c r="A1282" t="s">
        <v>5750</v>
      </c>
      <c r="B1282" t="s">
        <v>5751</v>
      </c>
      <c r="C1282" t="s">
        <v>132</v>
      </c>
      <c r="D1282" t="s">
        <v>79</v>
      </c>
      <c r="E1282" t="s">
        <v>5752</v>
      </c>
      <c r="F1282" t="s">
        <v>145</v>
      </c>
      <c r="G1282" t="s">
        <v>5753</v>
      </c>
    </row>
    <row r="1283" spans="1:7" s="241" customFormat="1" ht="44.25" customHeight="1">
      <c r="A1283" t="s">
        <v>5754</v>
      </c>
      <c r="B1283" t="s">
        <v>5755</v>
      </c>
      <c r="C1283" t="s">
        <v>132</v>
      </c>
      <c r="D1283" t="s">
        <v>79</v>
      </c>
      <c r="E1283" t="s">
        <v>5756</v>
      </c>
      <c r="F1283" t="s">
        <v>145</v>
      </c>
      <c r="G1283" t="s">
        <v>5757</v>
      </c>
    </row>
    <row r="1284" spans="1:7" s="241" customFormat="1" ht="44.25" customHeight="1">
      <c r="A1284" t="s">
        <v>5758</v>
      </c>
      <c r="B1284" t="s">
        <v>5759</v>
      </c>
      <c r="C1284" t="s">
        <v>132</v>
      </c>
      <c r="D1284" t="s">
        <v>79</v>
      </c>
      <c r="E1284" t="s">
        <v>5760</v>
      </c>
      <c r="F1284" t="s">
        <v>145</v>
      </c>
      <c r="G1284" t="s">
        <v>5761</v>
      </c>
    </row>
    <row r="1285" spans="1:7" s="241" customFormat="1" ht="44.25" customHeight="1">
      <c r="A1285" t="s">
        <v>5762</v>
      </c>
      <c r="B1285" t="s">
        <v>5763</v>
      </c>
      <c r="C1285" t="s">
        <v>132</v>
      </c>
      <c r="D1285" t="s">
        <v>79</v>
      </c>
      <c r="E1285" t="s">
        <v>5764</v>
      </c>
      <c r="F1285" t="s">
        <v>145</v>
      </c>
      <c r="G1285" t="s">
        <v>5765</v>
      </c>
    </row>
    <row r="1286" spans="1:7" s="241" customFormat="1" ht="44.25" customHeight="1">
      <c r="A1286" t="s">
        <v>383</v>
      </c>
      <c r="B1286" t="s">
        <v>5766</v>
      </c>
      <c r="C1286" t="s">
        <v>132</v>
      </c>
      <c r="D1286" t="s">
        <v>2143</v>
      </c>
      <c r="E1286" t="s">
        <v>1456</v>
      </c>
      <c r="F1286" t="s">
        <v>145</v>
      </c>
      <c r="G1286" t="s">
        <v>5767</v>
      </c>
    </row>
    <row r="1287" spans="1:7" s="241" customFormat="1" ht="44.25" customHeight="1">
      <c r="A1287" t="s">
        <v>381</v>
      </c>
      <c r="B1287" t="s">
        <v>5768</v>
      </c>
      <c r="C1287" t="s">
        <v>132</v>
      </c>
      <c r="D1287" t="s">
        <v>2143</v>
      </c>
      <c r="E1287" t="s">
        <v>1455</v>
      </c>
      <c r="F1287" t="s">
        <v>145</v>
      </c>
      <c r="G1287" t="s">
        <v>5769</v>
      </c>
    </row>
    <row r="1288" spans="1:7" s="241" customFormat="1" ht="44.25" customHeight="1">
      <c r="A1288" t="s">
        <v>5770</v>
      </c>
      <c r="B1288" t="s">
        <v>5771</v>
      </c>
      <c r="C1288" t="s">
        <v>132</v>
      </c>
      <c r="D1288" t="s">
        <v>2143</v>
      </c>
      <c r="E1288" t="s">
        <v>1457</v>
      </c>
      <c r="F1288" t="s">
        <v>145</v>
      </c>
      <c r="G1288" t="s">
        <v>5772</v>
      </c>
    </row>
    <row r="1289" spans="1:7" s="241" customFormat="1" ht="44.25" customHeight="1">
      <c r="A1289" t="s">
        <v>385</v>
      </c>
      <c r="B1289" t="s">
        <v>5773</v>
      </c>
      <c r="C1289" t="s">
        <v>132</v>
      </c>
      <c r="D1289" t="s">
        <v>2143</v>
      </c>
      <c r="E1289" t="s">
        <v>1457</v>
      </c>
      <c r="F1289" t="s">
        <v>145</v>
      </c>
      <c r="G1289" t="s">
        <v>5774</v>
      </c>
    </row>
    <row r="1290" spans="1:7" s="241" customFormat="1" ht="44.25" customHeight="1">
      <c r="A1290" t="s">
        <v>5775</v>
      </c>
      <c r="B1290" t="s">
        <v>5776</v>
      </c>
      <c r="C1290" t="s">
        <v>132</v>
      </c>
      <c r="D1290" t="s">
        <v>2143</v>
      </c>
      <c r="E1290" t="s">
        <v>5777</v>
      </c>
      <c r="F1290" t="s">
        <v>145</v>
      </c>
      <c r="G1290" t="s">
        <v>5778</v>
      </c>
    </row>
    <row r="1291" spans="1:7" s="241" customFormat="1" ht="44.25" customHeight="1">
      <c r="A1291" t="s">
        <v>378</v>
      </c>
      <c r="B1291" t="s">
        <v>5779</v>
      </c>
      <c r="C1291" t="s">
        <v>132</v>
      </c>
      <c r="D1291" t="s">
        <v>2143</v>
      </c>
      <c r="E1291" t="s">
        <v>1453</v>
      </c>
      <c r="F1291" t="s">
        <v>145</v>
      </c>
      <c r="G1291" t="s">
        <v>5780</v>
      </c>
    </row>
    <row r="1292" spans="1:7" s="241" customFormat="1" ht="44.25" customHeight="1">
      <c r="A1292" t="s">
        <v>442</v>
      </c>
      <c r="B1292" t="s">
        <v>5781</v>
      </c>
      <c r="C1292" t="s">
        <v>132</v>
      </c>
      <c r="D1292" t="s">
        <v>2139</v>
      </c>
      <c r="E1292" t="s">
        <v>1453</v>
      </c>
      <c r="F1292" t="s">
        <v>145</v>
      </c>
      <c r="G1292" t="s">
        <v>5782</v>
      </c>
    </row>
    <row r="1293" spans="1:7" s="241" customFormat="1" ht="44.25" customHeight="1">
      <c r="A1293" t="s">
        <v>380</v>
      </c>
      <c r="B1293" t="s">
        <v>5783</v>
      </c>
      <c r="C1293" t="s">
        <v>132</v>
      </c>
      <c r="D1293" t="s">
        <v>2143</v>
      </c>
      <c r="E1293" t="s">
        <v>1453</v>
      </c>
      <c r="F1293" t="s">
        <v>145</v>
      </c>
      <c r="G1293" t="s">
        <v>5784</v>
      </c>
    </row>
    <row r="1294" spans="1:7" s="241" customFormat="1" ht="44.25" customHeight="1">
      <c r="A1294" t="s">
        <v>132</v>
      </c>
      <c r="B1294" t="s">
        <v>5785</v>
      </c>
      <c r="C1294" t="s">
        <v>132</v>
      </c>
      <c r="D1294" t="s">
        <v>79</v>
      </c>
      <c r="E1294" t="s">
        <v>1474</v>
      </c>
      <c r="F1294" t="s">
        <v>145</v>
      </c>
      <c r="G1294" t="s">
        <v>5786</v>
      </c>
    </row>
    <row r="1295" spans="1:7" s="241" customFormat="1" ht="44.25" customHeight="1">
      <c r="A1295" t="s">
        <v>5787</v>
      </c>
      <c r="B1295" t="s">
        <v>5788</v>
      </c>
      <c r="C1295" t="s">
        <v>132</v>
      </c>
      <c r="D1295" t="s">
        <v>2143</v>
      </c>
      <c r="E1295" t="s">
        <v>5789</v>
      </c>
      <c r="F1295" t="s">
        <v>145</v>
      </c>
      <c r="G1295" t="s">
        <v>5790</v>
      </c>
    </row>
    <row r="1296" spans="1:7" s="241" customFormat="1" ht="44.25" customHeight="1">
      <c r="A1296" t="s">
        <v>5791</v>
      </c>
      <c r="B1296" t="s">
        <v>5792</v>
      </c>
      <c r="C1296" t="s">
        <v>132</v>
      </c>
      <c r="D1296" t="s">
        <v>79</v>
      </c>
      <c r="E1296" t="s">
        <v>5793</v>
      </c>
      <c r="F1296" t="s">
        <v>145</v>
      </c>
      <c r="G1296" t="s">
        <v>5794</v>
      </c>
    </row>
    <row r="1297" spans="1:7" s="241" customFormat="1" ht="44.25" customHeight="1">
      <c r="A1297" t="s">
        <v>3304</v>
      </c>
      <c r="B1297" t="s">
        <v>3305</v>
      </c>
      <c r="C1297" t="s">
        <v>132</v>
      </c>
      <c r="D1297" t="s">
        <v>2143</v>
      </c>
      <c r="E1297" t="s">
        <v>3306</v>
      </c>
      <c r="F1297" t="s">
        <v>145</v>
      </c>
      <c r="G1297" t="s">
        <v>5795</v>
      </c>
    </row>
    <row r="1298" spans="1:7" s="241" customFormat="1" ht="44.25" customHeight="1">
      <c r="A1298" t="s">
        <v>775</v>
      </c>
      <c r="B1298" t="s">
        <v>5796</v>
      </c>
      <c r="C1298" t="s">
        <v>132</v>
      </c>
      <c r="D1298" t="s">
        <v>2143</v>
      </c>
      <c r="E1298" t="s">
        <v>5789</v>
      </c>
      <c r="F1298" t="s">
        <v>145</v>
      </c>
      <c r="G1298" t="s">
        <v>5797</v>
      </c>
    </row>
    <row r="1299" spans="1:7" s="241" customFormat="1" ht="44.25" customHeight="1">
      <c r="A1299" t="s">
        <v>3320</v>
      </c>
      <c r="B1299" t="s">
        <v>3321</v>
      </c>
      <c r="C1299" t="s">
        <v>132</v>
      </c>
      <c r="D1299" t="s">
        <v>79</v>
      </c>
      <c r="E1299" t="s">
        <v>3322</v>
      </c>
      <c r="F1299" t="s">
        <v>145</v>
      </c>
      <c r="G1299" t="s">
        <v>5798</v>
      </c>
    </row>
    <row r="1300" spans="1:7" s="241" customFormat="1" ht="44.25" customHeight="1">
      <c r="A1300" t="s">
        <v>455</v>
      </c>
      <c r="B1300" t="s">
        <v>5799</v>
      </c>
      <c r="C1300" t="s">
        <v>132</v>
      </c>
      <c r="D1300" t="s">
        <v>79</v>
      </c>
      <c r="E1300" t="s">
        <v>5800</v>
      </c>
      <c r="F1300" t="s">
        <v>145</v>
      </c>
      <c r="G1300" t="s">
        <v>5801</v>
      </c>
    </row>
    <row r="1301" spans="1:7" s="241" customFormat="1" ht="44.25" customHeight="1">
      <c r="A1301" t="s">
        <v>1030</v>
      </c>
      <c r="B1301" t="s">
        <v>5802</v>
      </c>
      <c r="C1301" t="s">
        <v>132</v>
      </c>
      <c r="D1301" t="s">
        <v>79</v>
      </c>
      <c r="E1301" t="s">
        <v>5803</v>
      </c>
      <c r="F1301" t="s">
        <v>145</v>
      </c>
      <c r="G1301" t="s">
        <v>5804</v>
      </c>
    </row>
    <row r="1302" spans="1:7" s="241" customFormat="1" ht="44.25" customHeight="1">
      <c r="A1302" t="s">
        <v>5805</v>
      </c>
      <c r="B1302" t="s">
        <v>5806</v>
      </c>
      <c r="C1302" t="s">
        <v>132</v>
      </c>
      <c r="D1302" t="s">
        <v>79</v>
      </c>
      <c r="E1302" t="s">
        <v>5807</v>
      </c>
      <c r="F1302" t="s">
        <v>145</v>
      </c>
      <c r="G1302" t="s">
        <v>5808</v>
      </c>
    </row>
    <row r="1303" spans="1:7" s="241" customFormat="1" ht="44.25" customHeight="1">
      <c r="A1303" t="s">
        <v>5809</v>
      </c>
      <c r="B1303" t="s">
        <v>5810</v>
      </c>
      <c r="C1303" t="s">
        <v>132</v>
      </c>
      <c r="D1303" t="s">
        <v>79</v>
      </c>
      <c r="E1303" t="s">
        <v>5811</v>
      </c>
      <c r="F1303" t="s">
        <v>145</v>
      </c>
      <c r="G1303" t="s">
        <v>5812</v>
      </c>
    </row>
    <row r="1304" spans="1:7" s="241" customFormat="1" ht="44.25" customHeight="1">
      <c r="A1304" t="s">
        <v>5813</v>
      </c>
      <c r="B1304" t="s">
        <v>5814</v>
      </c>
      <c r="C1304" t="s">
        <v>132</v>
      </c>
      <c r="D1304" t="s">
        <v>79</v>
      </c>
      <c r="E1304" t="s">
        <v>5815</v>
      </c>
      <c r="F1304" t="s">
        <v>145</v>
      </c>
      <c r="G1304" t="s">
        <v>5816</v>
      </c>
    </row>
    <row r="1305" spans="1:7" s="241" customFormat="1" ht="44.25" customHeight="1">
      <c r="A1305" t="s">
        <v>5817</v>
      </c>
      <c r="B1305" t="s">
        <v>5818</v>
      </c>
      <c r="C1305" t="s">
        <v>132</v>
      </c>
      <c r="D1305" t="s">
        <v>79</v>
      </c>
      <c r="E1305" t="s">
        <v>5819</v>
      </c>
      <c r="F1305" t="s">
        <v>145</v>
      </c>
      <c r="G1305" t="s">
        <v>5820</v>
      </c>
    </row>
    <row r="1306" spans="1:7" s="241" customFormat="1" ht="44.25" customHeight="1">
      <c r="A1306" t="s">
        <v>634</v>
      </c>
      <c r="B1306" t="s">
        <v>5821</v>
      </c>
      <c r="C1306" t="s">
        <v>132</v>
      </c>
      <c r="D1306" t="s">
        <v>79</v>
      </c>
      <c r="E1306" t="s">
        <v>5822</v>
      </c>
      <c r="F1306" t="s">
        <v>145</v>
      </c>
      <c r="G1306" t="s">
        <v>5823</v>
      </c>
    </row>
    <row r="1307" spans="1:7" s="241" customFormat="1" ht="44.25" customHeight="1">
      <c r="A1307" t="s">
        <v>628</v>
      </c>
      <c r="B1307" t="s">
        <v>5824</v>
      </c>
      <c r="C1307" t="s">
        <v>132</v>
      </c>
      <c r="D1307" t="s">
        <v>79</v>
      </c>
      <c r="E1307" t="s">
        <v>5825</v>
      </c>
      <c r="F1307" t="s">
        <v>145</v>
      </c>
      <c r="G1307" t="s">
        <v>5826</v>
      </c>
    </row>
    <row r="1308" spans="1:7" s="241" customFormat="1" ht="44.25" customHeight="1">
      <c r="A1308" t="s">
        <v>735</v>
      </c>
      <c r="B1308" t="s">
        <v>5827</v>
      </c>
      <c r="C1308" t="s">
        <v>132</v>
      </c>
      <c r="D1308" t="s">
        <v>79</v>
      </c>
      <c r="E1308" t="s">
        <v>5828</v>
      </c>
      <c r="F1308" t="s">
        <v>145</v>
      </c>
      <c r="G1308" t="s">
        <v>5829</v>
      </c>
    </row>
    <row r="1309" spans="1:7" s="241" customFormat="1" ht="44.25" customHeight="1">
      <c r="A1309" t="s">
        <v>625</v>
      </c>
      <c r="B1309" t="s">
        <v>5830</v>
      </c>
      <c r="C1309" t="s">
        <v>132</v>
      </c>
      <c r="D1309" t="s">
        <v>79</v>
      </c>
      <c r="E1309" t="s">
        <v>5831</v>
      </c>
      <c r="F1309" t="s">
        <v>145</v>
      </c>
      <c r="G1309" t="s">
        <v>5832</v>
      </c>
    </row>
    <row r="1310" spans="1:7" s="241" customFormat="1" ht="44.25" customHeight="1">
      <c r="A1310" t="s">
        <v>773</v>
      </c>
      <c r="B1310" t="s">
        <v>5833</v>
      </c>
      <c r="C1310" t="s">
        <v>132</v>
      </c>
      <c r="D1310" t="s">
        <v>79</v>
      </c>
      <c r="E1310" t="s">
        <v>1523</v>
      </c>
      <c r="F1310" t="s">
        <v>145</v>
      </c>
      <c r="G1310" t="s">
        <v>5834</v>
      </c>
    </row>
    <row r="1311" spans="1:7" s="241" customFormat="1" ht="44.25" customHeight="1">
      <c r="A1311" t="s">
        <v>627</v>
      </c>
      <c r="B1311" t="s">
        <v>5835</v>
      </c>
      <c r="C1311" t="s">
        <v>132</v>
      </c>
      <c r="D1311" t="s">
        <v>79</v>
      </c>
      <c r="E1311" t="s">
        <v>5836</v>
      </c>
      <c r="F1311" t="s">
        <v>145</v>
      </c>
      <c r="G1311" t="s">
        <v>5837</v>
      </c>
    </row>
    <row r="1312" spans="1:7" s="241" customFormat="1" ht="44.25" customHeight="1">
      <c r="A1312" t="s">
        <v>648</v>
      </c>
      <c r="B1312" t="s">
        <v>5838</v>
      </c>
      <c r="C1312" t="s">
        <v>132</v>
      </c>
      <c r="D1312" t="s">
        <v>79</v>
      </c>
      <c r="E1312" t="s">
        <v>1514</v>
      </c>
      <c r="F1312" t="s">
        <v>145</v>
      </c>
      <c r="G1312" t="s">
        <v>5839</v>
      </c>
    </row>
    <row r="1313" spans="1:7" s="241" customFormat="1" ht="44.25" customHeight="1">
      <c r="A1313" t="s">
        <v>782</v>
      </c>
      <c r="B1313" t="s">
        <v>5840</v>
      </c>
      <c r="C1313" t="s">
        <v>132</v>
      </c>
      <c r="D1313" t="s">
        <v>79</v>
      </c>
      <c r="E1313" t="s">
        <v>5841</v>
      </c>
      <c r="F1313" t="s">
        <v>145</v>
      </c>
      <c r="G1313" t="s">
        <v>5842</v>
      </c>
    </row>
    <row r="1314" spans="1:7" s="241" customFormat="1" ht="44.25" customHeight="1">
      <c r="A1314" t="s">
        <v>623</v>
      </c>
      <c r="B1314" t="s">
        <v>5843</v>
      </c>
      <c r="C1314" t="s">
        <v>132</v>
      </c>
      <c r="D1314" t="s">
        <v>79</v>
      </c>
      <c r="E1314" t="s">
        <v>5844</v>
      </c>
      <c r="F1314" t="s">
        <v>145</v>
      </c>
      <c r="G1314" t="s">
        <v>5845</v>
      </c>
    </row>
    <row r="1315" spans="1:7" s="241" customFormat="1" ht="44.25" customHeight="1">
      <c r="A1315" t="s">
        <v>1040</v>
      </c>
      <c r="B1315" t="s">
        <v>5846</v>
      </c>
      <c r="C1315" t="s">
        <v>132</v>
      </c>
      <c r="D1315" t="s">
        <v>79</v>
      </c>
      <c r="E1315" t="s">
        <v>5847</v>
      </c>
      <c r="F1315" t="s">
        <v>145</v>
      </c>
      <c r="G1315" t="s">
        <v>5848</v>
      </c>
    </row>
    <row r="1316" spans="1:7" s="241" customFormat="1" ht="44.25" customHeight="1">
      <c r="A1316" t="s">
        <v>1038</v>
      </c>
      <c r="B1316" t="s">
        <v>5849</v>
      </c>
      <c r="C1316" t="s">
        <v>132</v>
      </c>
      <c r="D1316" t="s">
        <v>79</v>
      </c>
      <c r="E1316" t="s">
        <v>5850</v>
      </c>
      <c r="F1316" t="s">
        <v>145</v>
      </c>
      <c r="G1316" t="s">
        <v>5851</v>
      </c>
    </row>
    <row r="1317" spans="1:7" s="241" customFormat="1" ht="44.25" customHeight="1">
      <c r="A1317" t="s">
        <v>611</v>
      </c>
      <c r="B1317" t="s">
        <v>5852</v>
      </c>
      <c r="C1317" t="s">
        <v>132</v>
      </c>
      <c r="D1317" t="s">
        <v>79</v>
      </c>
      <c r="E1317" t="s">
        <v>1509</v>
      </c>
      <c r="F1317" t="s">
        <v>145</v>
      </c>
      <c r="G1317" t="s">
        <v>5853</v>
      </c>
    </row>
    <row r="1318" spans="1:7" s="241" customFormat="1" ht="44.25" customHeight="1">
      <c r="A1318" t="s">
        <v>416</v>
      </c>
      <c r="B1318" t="s">
        <v>5854</v>
      </c>
      <c r="C1318" t="s">
        <v>132</v>
      </c>
      <c r="D1318" t="s">
        <v>79</v>
      </c>
      <c r="E1318" t="s">
        <v>5855</v>
      </c>
      <c r="F1318" t="s">
        <v>145</v>
      </c>
      <c r="G1318" t="s">
        <v>5856</v>
      </c>
    </row>
    <row r="1319" spans="1:7" s="241" customFormat="1" ht="44.25" customHeight="1">
      <c r="A1319" t="s">
        <v>5857</v>
      </c>
      <c r="B1319" t="s">
        <v>5858</v>
      </c>
      <c r="C1319" t="s">
        <v>132</v>
      </c>
      <c r="D1319" t="s">
        <v>2143</v>
      </c>
      <c r="E1319" t="s">
        <v>5859</v>
      </c>
      <c r="F1319" t="s">
        <v>145</v>
      </c>
      <c r="G1319" t="s">
        <v>5860</v>
      </c>
    </row>
    <row r="1320" spans="1:7" s="241" customFormat="1" ht="44.25" customHeight="1">
      <c r="A1320" t="s">
        <v>553</v>
      </c>
      <c r="B1320" t="s">
        <v>5861</v>
      </c>
      <c r="C1320" t="s">
        <v>132</v>
      </c>
      <c r="D1320" t="s">
        <v>79</v>
      </c>
      <c r="E1320" t="s">
        <v>5793</v>
      </c>
      <c r="F1320" t="s">
        <v>145</v>
      </c>
      <c r="G1320" t="s">
        <v>5862</v>
      </c>
    </row>
    <row r="1321" spans="1:7" s="241" customFormat="1" ht="44.25" customHeight="1">
      <c r="A1321" t="s">
        <v>452</v>
      </c>
      <c r="B1321" t="s">
        <v>5863</v>
      </c>
      <c r="C1321" t="s">
        <v>132</v>
      </c>
      <c r="D1321" t="s">
        <v>79</v>
      </c>
      <c r="E1321" t="s">
        <v>5807</v>
      </c>
      <c r="F1321" t="s">
        <v>145</v>
      </c>
      <c r="G1321" t="s">
        <v>5864</v>
      </c>
    </row>
    <row r="1322" spans="1:7" s="241" customFormat="1" ht="44.25" customHeight="1">
      <c r="A1322" t="s">
        <v>774</v>
      </c>
      <c r="B1322" t="s">
        <v>5865</v>
      </c>
      <c r="C1322" t="s">
        <v>132</v>
      </c>
      <c r="D1322" t="s">
        <v>79</v>
      </c>
      <c r="E1322" t="s">
        <v>5789</v>
      </c>
      <c r="F1322" t="s">
        <v>145</v>
      </c>
      <c r="G1322" t="s">
        <v>5866</v>
      </c>
    </row>
    <row r="1323" spans="1:7" s="241" customFormat="1" ht="44.25" customHeight="1">
      <c r="A1323" t="s">
        <v>550</v>
      </c>
      <c r="B1323" t="s">
        <v>5867</v>
      </c>
      <c r="C1323" t="s">
        <v>132</v>
      </c>
      <c r="D1323" t="s">
        <v>79</v>
      </c>
      <c r="E1323" t="s">
        <v>5868</v>
      </c>
      <c r="F1323" t="s">
        <v>145</v>
      </c>
      <c r="G1323" t="s">
        <v>5869</v>
      </c>
    </row>
    <row r="1324" spans="1:7" s="241" customFormat="1" ht="44.25" customHeight="1">
      <c r="A1324" t="s">
        <v>5870</v>
      </c>
      <c r="B1324" t="s">
        <v>5871</v>
      </c>
      <c r="C1324" t="s">
        <v>132</v>
      </c>
      <c r="D1324" t="s">
        <v>79</v>
      </c>
      <c r="E1324" t="s">
        <v>5872</v>
      </c>
      <c r="F1324" t="s">
        <v>145</v>
      </c>
      <c r="G1324" t="s">
        <v>5873</v>
      </c>
    </row>
    <row r="1325" spans="1:7" s="241" customFormat="1" ht="44.25" customHeight="1">
      <c r="A1325" t="s">
        <v>469</v>
      </c>
      <c r="B1325" t="s">
        <v>5874</v>
      </c>
      <c r="C1325" t="s">
        <v>132</v>
      </c>
      <c r="D1325" t="s">
        <v>2143</v>
      </c>
      <c r="E1325" t="s">
        <v>2144</v>
      </c>
      <c r="F1325" t="s">
        <v>145</v>
      </c>
      <c r="G1325" t="s">
        <v>5875</v>
      </c>
    </row>
    <row r="1326" spans="1:7" s="241" customFormat="1" ht="44.25" customHeight="1">
      <c r="A1326" t="s">
        <v>5876</v>
      </c>
      <c r="B1326" t="s">
        <v>5877</v>
      </c>
      <c r="C1326" t="s">
        <v>132</v>
      </c>
      <c r="D1326" t="s">
        <v>2139</v>
      </c>
      <c r="E1326" t="s">
        <v>1367</v>
      </c>
      <c r="F1326" t="s">
        <v>145</v>
      </c>
      <c r="G1326" t="s">
        <v>5878</v>
      </c>
    </row>
    <row r="1327" spans="1:7" s="241" customFormat="1" ht="44.25" customHeight="1">
      <c r="A1327" t="s">
        <v>5879</v>
      </c>
      <c r="B1327" t="s">
        <v>5880</v>
      </c>
      <c r="C1327" t="s">
        <v>132</v>
      </c>
      <c r="D1327" t="s">
        <v>2139</v>
      </c>
      <c r="E1327" t="s">
        <v>1365</v>
      </c>
      <c r="F1327" t="s">
        <v>145</v>
      </c>
      <c r="G1327" t="s">
        <v>5881</v>
      </c>
    </row>
    <row r="1328" spans="1:7" s="241" customFormat="1" ht="44.25" customHeight="1">
      <c r="A1328" t="s">
        <v>5882</v>
      </c>
      <c r="B1328" t="s">
        <v>5883</v>
      </c>
      <c r="C1328" t="s">
        <v>132</v>
      </c>
      <c r="D1328" t="s">
        <v>2139</v>
      </c>
      <c r="E1328" t="s">
        <v>1365</v>
      </c>
      <c r="F1328" t="s">
        <v>145</v>
      </c>
      <c r="G1328" t="s">
        <v>5884</v>
      </c>
    </row>
    <row r="1329" spans="1:7" s="241" customFormat="1" ht="44.25" customHeight="1">
      <c r="A1329" t="s">
        <v>5885</v>
      </c>
      <c r="B1329" t="s">
        <v>5886</v>
      </c>
      <c r="C1329" t="s">
        <v>132</v>
      </c>
      <c r="D1329" t="s">
        <v>2139</v>
      </c>
      <c r="E1329" t="s">
        <v>1365</v>
      </c>
      <c r="F1329" t="s">
        <v>145</v>
      </c>
      <c r="G1329" t="s">
        <v>5887</v>
      </c>
    </row>
    <row r="1330" spans="1:7" s="241" customFormat="1" ht="44.25" customHeight="1">
      <c r="A1330" t="s">
        <v>5888</v>
      </c>
      <c r="B1330" t="s">
        <v>5889</v>
      </c>
      <c r="C1330" t="s">
        <v>132</v>
      </c>
      <c r="D1330" t="s">
        <v>2139</v>
      </c>
      <c r="E1330" t="s">
        <v>1367</v>
      </c>
      <c r="F1330" t="s">
        <v>145</v>
      </c>
      <c r="G1330" t="s">
        <v>5890</v>
      </c>
    </row>
    <row r="1331" spans="1:7" s="241" customFormat="1" ht="44.25" customHeight="1">
      <c r="A1331" t="s">
        <v>5891</v>
      </c>
      <c r="B1331" t="s">
        <v>5892</v>
      </c>
      <c r="C1331" t="s">
        <v>132</v>
      </c>
      <c r="D1331" t="s">
        <v>2139</v>
      </c>
      <c r="E1331" t="s">
        <v>1365</v>
      </c>
      <c r="F1331" t="s">
        <v>145</v>
      </c>
      <c r="G1331" t="s">
        <v>5893</v>
      </c>
    </row>
    <row r="1332" spans="1:7" s="241" customFormat="1" ht="44.25" customHeight="1">
      <c r="A1332" t="s">
        <v>5894</v>
      </c>
      <c r="B1332" t="s">
        <v>5895</v>
      </c>
      <c r="C1332" t="s">
        <v>132</v>
      </c>
      <c r="D1332" t="s">
        <v>2139</v>
      </c>
      <c r="E1332" t="s">
        <v>1365</v>
      </c>
      <c r="F1332" t="s">
        <v>145</v>
      </c>
      <c r="G1332" t="s">
        <v>5896</v>
      </c>
    </row>
    <row r="1333" spans="1:7" s="241" customFormat="1" ht="44.25" customHeight="1">
      <c r="A1333" t="s">
        <v>5897</v>
      </c>
      <c r="B1333" t="s">
        <v>5898</v>
      </c>
      <c r="C1333" t="s">
        <v>132</v>
      </c>
      <c r="D1333" t="s">
        <v>2143</v>
      </c>
      <c r="E1333" t="s">
        <v>2162</v>
      </c>
      <c r="F1333" t="s">
        <v>145</v>
      </c>
      <c r="G1333" t="s">
        <v>5899</v>
      </c>
    </row>
    <row r="1334" spans="1:7" s="241" customFormat="1" ht="44.25" customHeight="1">
      <c r="A1334" t="s">
        <v>5900</v>
      </c>
      <c r="B1334" t="s">
        <v>5901</v>
      </c>
      <c r="C1334" t="s">
        <v>132</v>
      </c>
      <c r="D1334" t="s">
        <v>2139</v>
      </c>
      <c r="E1334" t="s">
        <v>1365</v>
      </c>
      <c r="F1334" t="s">
        <v>145</v>
      </c>
      <c r="G1334" t="s">
        <v>5902</v>
      </c>
    </row>
    <row r="1335" spans="1:7" s="241" customFormat="1" ht="44.25" customHeight="1">
      <c r="A1335" t="s">
        <v>5903</v>
      </c>
      <c r="B1335" t="s">
        <v>5904</v>
      </c>
      <c r="C1335" t="s">
        <v>132</v>
      </c>
      <c r="D1335" t="s">
        <v>2139</v>
      </c>
      <c r="E1335" t="s">
        <v>1365</v>
      </c>
      <c r="F1335" t="s">
        <v>145</v>
      </c>
      <c r="G1335" t="s">
        <v>5905</v>
      </c>
    </row>
    <row r="1336" spans="1:7" s="241" customFormat="1" ht="44.25" customHeight="1">
      <c r="A1336" t="s">
        <v>5906</v>
      </c>
      <c r="B1336" t="s">
        <v>5907</v>
      </c>
      <c r="C1336" t="s">
        <v>132</v>
      </c>
      <c r="D1336" t="s">
        <v>2143</v>
      </c>
      <c r="E1336" t="s">
        <v>1365</v>
      </c>
      <c r="F1336" t="s">
        <v>145</v>
      </c>
      <c r="G1336" t="s">
        <v>5908</v>
      </c>
    </row>
    <row r="1337" spans="1:7" s="241" customFormat="1" ht="44.25" customHeight="1">
      <c r="A1337" t="s">
        <v>5909</v>
      </c>
      <c r="B1337" t="s">
        <v>5910</v>
      </c>
      <c r="C1337" t="s">
        <v>132</v>
      </c>
      <c r="D1337" t="s">
        <v>2143</v>
      </c>
      <c r="E1337" t="s">
        <v>2162</v>
      </c>
      <c r="F1337" t="s">
        <v>145</v>
      </c>
      <c r="G1337" t="s">
        <v>5911</v>
      </c>
    </row>
    <row r="1338" spans="1:7" s="241" customFormat="1" ht="44.25" customHeight="1">
      <c r="A1338" t="s">
        <v>5912</v>
      </c>
      <c r="B1338" t="s">
        <v>5913</v>
      </c>
      <c r="C1338" t="s">
        <v>132</v>
      </c>
      <c r="D1338" t="s">
        <v>2143</v>
      </c>
      <c r="E1338" t="s">
        <v>1367</v>
      </c>
      <c r="F1338" t="s">
        <v>145</v>
      </c>
      <c r="G1338" t="s">
        <v>5914</v>
      </c>
    </row>
    <row r="1339" spans="1:7" s="241" customFormat="1" ht="44.25" customHeight="1">
      <c r="A1339" t="s">
        <v>5915</v>
      </c>
      <c r="B1339" t="s">
        <v>5916</v>
      </c>
      <c r="C1339" t="s">
        <v>132</v>
      </c>
      <c r="D1339" t="s">
        <v>2143</v>
      </c>
      <c r="E1339" t="s">
        <v>1365</v>
      </c>
      <c r="F1339" t="s">
        <v>145</v>
      </c>
      <c r="G1339" t="s">
        <v>5917</v>
      </c>
    </row>
    <row r="1340" spans="1:7" s="241" customFormat="1" ht="44.25" customHeight="1">
      <c r="A1340" t="s">
        <v>5918</v>
      </c>
      <c r="B1340" t="s">
        <v>5919</v>
      </c>
      <c r="C1340" t="s">
        <v>132</v>
      </c>
      <c r="D1340" t="s">
        <v>2139</v>
      </c>
      <c r="E1340" t="s">
        <v>1367</v>
      </c>
      <c r="F1340" t="s">
        <v>145</v>
      </c>
      <c r="G1340" t="s">
        <v>5920</v>
      </c>
    </row>
    <row r="1341" spans="1:7" s="241" customFormat="1" ht="44.25" customHeight="1">
      <c r="A1341" t="s">
        <v>743</v>
      </c>
      <c r="B1341" t="s">
        <v>5921</v>
      </c>
      <c r="C1341" t="s">
        <v>132</v>
      </c>
      <c r="D1341" t="s">
        <v>2143</v>
      </c>
      <c r="E1341" t="s">
        <v>1367</v>
      </c>
      <c r="F1341" t="s">
        <v>145</v>
      </c>
      <c r="G1341" t="s">
        <v>5922</v>
      </c>
    </row>
    <row r="1342" spans="1:7" s="241" customFormat="1" ht="44.25" customHeight="1">
      <c r="A1342" t="s">
        <v>1396</v>
      </c>
      <c r="B1342" t="s">
        <v>5923</v>
      </c>
      <c r="C1342" t="s">
        <v>132</v>
      </c>
      <c r="D1342" t="s">
        <v>2143</v>
      </c>
      <c r="E1342" t="s">
        <v>1367</v>
      </c>
      <c r="F1342" t="s">
        <v>145</v>
      </c>
      <c r="G1342" t="s">
        <v>5924</v>
      </c>
    </row>
    <row r="1343" spans="1:7" s="241" customFormat="1" ht="44.25" customHeight="1">
      <c r="A1343" t="s">
        <v>1050</v>
      </c>
      <c r="B1343" t="s">
        <v>5925</v>
      </c>
      <c r="C1343" t="s">
        <v>132</v>
      </c>
      <c r="D1343" t="s">
        <v>2143</v>
      </c>
      <c r="E1343" t="s">
        <v>2155</v>
      </c>
      <c r="F1343" t="s">
        <v>145</v>
      </c>
      <c r="G1343" t="s">
        <v>5926</v>
      </c>
    </row>
    <row r="1344" spans="1:7" s="241" customFormat="1" ht="44.25" customHeight="1">
      <c r="A1344" t="s">
        <v>485</v>
      </c>
      <c r="B1344" t="s">
        <v>5927</v>
      </c>
      <c r="C1344" t="s">
        <v>132</v>
      </c>
      <c r="D1344" t="s">
        <v>2143</v>
      </c>
      <c r="E1344" t="s">
        <v>2144</v>
      </c>
      <c r="F1344" t="s">
        <v>145</v>
      </c>
      <c r="G1344" t="s">
        <v>5928</v>
      </c>
    </row>
    <row r="1345" spans="1:7" s="241" customFormat="1" ht="44.25" customHeight="1">
      <c r="A1345" t="s">
        <v>709</v>
      </c>
      <c r="B1345" t="s">
        <v>5929</v>
      </c>
      <c r="C1345" t="s">
        <v>132</v>
      </c>
      <c r="D1345" t="s">
        <v>2143</v>
      </c>
      <c r="E1345" t="s">
        <v>2155</v>
      </c>
      <c r="F1345" t="s">
        <v>145</v>
      </c>
      <c r="G1345" t="s">
        <v>5930</v>
      </c>
    </row>
    <row r="1346" spans="1:7" s="241" customFormat="1" ht="44.25" customHeight="1">
      <c r="A1346" t="s">
        <v>489</v>
      </c>
      <c r="B1346" t="s">
        <v>5931</v>
      </c>
      <c r="C1346" t="s">
        <v>132</v>
      </c>
      <c r="D1346" t="s">
        <v>2143</v>
      </c>
      <c r="E1346" t="s">
        <v>2144</v>
      </c>
      <c r="F1346" t="s">
        <v>145</v>
      </c>
      <c r="G1346" t="s">
        <v>5932</v>
      </c>
    </row>
    <row r="1347" spans="1:7" s="241" customFormat="1" ht="44.25" customHeight="1">
      <c r="A1347" t="s">
        <v>5933</v>
      </c>
      <c r="B1347" t="s">
        <v>5934</v>
      </c>
      <c r="C1347" t="s">
        <v>132</v>
      </c>
      <c r="D1347" t="s">
        <v>2143</v>
      </c>
      <c r="E1347" t="s">
        <v>1365</v>
      </c>
      <c r="F1347" t="s">
        <v>145</v>
      </c>
      <c r="G1347" t="s">
        <v>5935</v>
      </c>
    </row>
    <row r="1348" spans="1:7" s="241" customFormat="1" ht="44.25" customHeight="1">
      <c r="A1348" t="s">
        <v>487</v>
      </c>
      <c r="B1348" t="s">
        <v>5936</v>
      </c>
      <c r="C1348" t="s">
        <v>132</v>
      </c>
      <c r="D1348" t="s">
        <v>2143</v>
      </c>
      <c r="E1348" t="s">
        <v>2144</v>
      </c>
      <c r="F1348" t="s">
        <v>145</v>
      </c>
      <c r="G1348" t="s">
        <v>5937</v>
      </c>
    </row>
    <row r="1349" spans="1:7" s="241" customFormat="1" ht="44.25" customHeight="1">
      <c r="A1349" t="s">
        <v>710</v>
      </c>
      <c r="B1349" t="s">
        <v>5938</v>
      </c>
      <c r="C1349" t="s">
        <v>132</v>
      </c>
      <c r="D1349" t="s">
        <v>2143</v>
      </c>
      <c r="E1349" t="s">
        <v>2155</v>
      </c>
      <c r="F1349" t="s">
        <v>145</v>
      </c>
      <c r="G1349" t="s">
        <v>5939</v>
      </c>
    </row>
    <row r="1350" spans="1:7" s="241" customFormat="1" ht="44.25" customHeight="1">
      <c r="A1350" t="s">
        <v>748</v>
      </c>
      <c r="B1350" t="s">
        <v>5940</v>
      </c>
      <c r="C1350" t="s">
        <v>132</v>
      </c>
      <c r="D1350" t="s">
        <v>2143</v>
      </c>
      <c r="E1350" t="s">
        <v>1367</v>
      </c>
      <c r="F1350" t="s">
        <v>145</v>
      </c>
      <c r="G1350" t="s">
        <v>5941</v>
      </c>
    </row>
    <row r="1351" spans="1:7" s="241" customFormat="1" ht="44.25" customHeight="1">
      <c r="A1351" t="s">
        <v>1364</v>
      </c>
      <c r="B1351" t="s">
        <v>5942</v>
      </c>
      <c r="C1351" t="s">
        <v>132</v>
      </c>
      <c r="D1351" t="s">
        <v>2143</v>
      </c>
      <c r="E1351" t="s">
        <v>1365</v>
      </c>
      <c r="F1351" t="s">
        <v>145</v>
      </c>
      <c r="G1351" t="s">
        <v>5943</v>
      </c>
    </row>
    <row r="1352" spans="1:7" s="241" customFormat="1" ht="44.25" customHeight="1">
      <c r="A1352" t="s">
        <v>5944</v>
      </c>
      <c r="B1352" t="s">
        <v>5945</v>
      </c>
      <c r="C1352" t="s">
        <v>132</v>
      </c>
      <c r="D1352" t="s">
        <v>2143</v>
      </c>
      <c r="E1352" t="s">
        <v>1367</v>
      </c>
      <c r="F1352" t="s">
        <v>145</v>
      </c>
      <c r="G1352" t="s">
        <v>5946</v>
      </c>
    </row>
    <row r="1353" spans="1:7" s="241" customFormat="1" ht="44.25" customHeight="1">
      <c r="A1353" t="s">
        <v>711</v>
      </c>
      <c r="B1353" t="s">
        <v>5947</v>
      </c>
      <c r="C1353" t="s">
        <v>132</v>
      </c>
      <c r="D1353" t="s">
        <v>2143</v>
      </c>
      <c r="E1353" t="s">
        <v>2155</v>
      </c>
      <c r="F1353" t="s">
        <v>145</v>
      </c>
      <c r="G1353" t="s">
        <v>5948</v>
      </c>
    </row>
    <row r="1354" spans="1:7" s="241" customFormat="1" ht="44.25" customHeight="1">
      <c r="A1354" t="s">
        <v>5949</v>
      </c>
      <c r="B1354" t="s">
        <v>5950</v>
      </c>
      <c r="C1354" t="s">
        <v>132</v>
      </c>
      <c r="D1354" t="s">
        <v>2139</v>
      </c>
      <c r="E1354" t="s">
        <v>1367</v>
      </c>
      <c r="F1354" t="s">
        <v>145</v>
      </c>
      <c r="G1354" t="s">
        <v>5951</v>
      </c>
    </row>
    <row r="1355" spans="1:7" s="241" customFormat="1" ht="44.25" customHeight="1">
      <c r="A1355" t="s">
        <v>5952</v>
      </c>
      <c r="B1355" t="s">
        <v>5953</v>
      </c>
      <c r="C1355" t="s">
        <v>132</v>
      </c>
      <c r="D1355" t="s">
        <v>2139</v>
      </c>
      <c r="E1355" t="s">
        <v>1365</v>
      </c>
      <c r="F1355" t="s">
        <v>145</v>
      </c>
      <c r="G1355" t="s">
        <v>5954</v>
      </c>
    </row>
    <row r="1356" spans="1:7" s="241" customFormat="1" ht="44.25" customHeight="1">
      <c r="A1356" t="s">
        <v>5955</v>
      </c>
      <c r="B1356" t="s">
        <v>5956</v>
      </c>
      <c r="C1356" t="s">
        <v>132</v>
      </c>
      <c r="D1356" t="s">
        <v>2139</v>
      </c>
      <c r="E1356" t="s">
        <v>1367</v>
      </c>
      <c r="F1356" t="s">
        <v>145</v>
      </c>
      <c r="G1356" t="s">
        <v>5957</v>
      </c>
    </row>
    <row r="1357" spans="1:7" s="241" customFormat="1" ht="44.25" customHeight="1">
      <c r="A1357" t="s">
        <v>5958</v>
      </c>
      <c r="B1357" t="s">
        <v>5959</v>
      </c>
      <c r="C1357" t="s">
        <v>132</v>
      </c>
      <c r="D1357" t="s">
        <v>2139</v>
      </c>
      <c r="E1357" t="s">
        <v>1365</v>
      </c>
      <c r="F1357" t="s">
        <v>145</v>
      </c>
      <c r="G1357" t="s">
        <v>5960</v>
      </c>
    </row>
    <row r="1358" spans="1:7" s="241" customFormat="1" ht="44.25" customHeight="1">
      <c r="A1358" t="s">
        <v>5961</v>
      </c>
      <c r="B1358" t="s">
        <v>5962</v>
      </c>
      <c r="C1358" t="s">
        <v>132</v>
      </c>
      <c r="D1358" t="s">
        <v>2139</v>
      </c>
      <c r="E1358" t="s">
        <v>1365</v>
      </c>
      <c r="F1358" t="s">
        <v>145</v>
      </c>
      <c r="G1358" t="s">
        <v>5963</v>
      </c>
    </row>
    <row r="1359" spans="1:7" s="241" customFormat="1" ht="44.25" customHeight="1">
      <c r="A1359" t="s">
        <v>5964</v>
      </c>
      <c r="B1359" t="s">
        <v>5965</v>
      </c>
      <c r="C1359" t="s">
        <v>132</v>
      </c>
      <c r="D1359" t="s">
        <v>2139</v>
      </c>
      <c r="E1359" t="s">
        <v>1367</v>
      </c>
      <c r="F1359" t="s">
        <v>145</v>
      </c>
      <c r="G1359" t="s">
        <v>5966</v>
      </c>
    </row>
    <row r="1360" spans="1:7" s="241" customFormat="1" ht="44.25" customHeight="1">
      <c r="A1360" t="s">
        <v>5967</v>
      </c>
      <c r="B1360" t="s">
        <v>5968</v>
      </c>
      <c r="C1360" t="s">
        <v>132</v>
      </c>
      <c r="D1360" t="s">
        <v>2139</v>
      </c>
      <c r="E1360" t="s">
        <v>1365</v>
      </c>
      <c r="F1360" t="s">
        <v>145</v>
      </c>
      <c r="G1360" t="s">
        <v>5969</v>
      </c>
    </row>
    <row r="1361" spans="1:7" s="241" customFormat="1" ht="44.25" customHeight="1">
      <c r="A1361" t="s">
        <v>5970</v>
      </c>
      <c r="B1361" t="s">
        <v>5971</v>
      </c>
      <c r="C1361" t="s">
        <v>132</v>
      </c>
      <c r="D1361" t="s">
        <v>2139</v>
      </c>
      <c r="E1361" t="s">
        <v>1367</v>
      </c>
      <c r="F1361" t="s">
        <v>145</v>
      </c>
      <c r="G1361" t="s">
        <v>5972</v>
      </c>
    </row>
    <row r="1362" spans="1:7" s="241" customFormat="1" ht="44.25" customHeight="1">
      <c r="A1362" t="s">
        <v>5973</v>
      </c>
      <c r="B1362" t="s">
        <v>5974</v>
      </c>
      <c r="C1362" t="s">
        <v>132</v>
      </c>
      <c r="D1362" t="s">
        <v>2139</v>
      </c>
      <c r="E1362" t="s">
        <v>1367</v>
      </c>
      <c r="F1362" t="s">
        <v>145</v>
      </c>
      <c r="G1362" t="s">
        <v>5975</v>
      </c>
    </row>
    <row r="1363" spans="1:7" s="241" customFormat="1" ht="44.25" customHeight="1">
      <c r="A1363" t="s">
        <v>5976</v>
      </c>
      <c r="B1363" t="s">
        <v>5977</v>
      </c>
      <c r="C1363" t="s">
        <v>132</v>
      </c>
      <c r="D1363" t="s">
        <v>2139</v>
      </c>
      <c r="E1363" t="s">
        <v>1367</v>
      </c>
      <c r="F1363" t="s">
        <v>145</v>
      </c>
      <c r="G1363" t="s">
        <v>5978</v>
      </c>
    </row>
    <row r="1364" spans="1:7" s="241" customFormat="1" ht="44.25" customHeight="1">
      <c r="A1364" t="s">
        <v>5979</v>
      </c>
      <c r="B1364" t="s">
        <v>5980</v>
      </c>
      <c r="C1364" t="s">
        <v>132</v>
      </c>
      <c r="D1364" t="s">
        <v>2143</v>
      </c>
      <c r="E1364" t="s">
        <v>2162</v>
      </c>
      <c r="F1364" t="s">
        <v>145</v>
      </c>
      <c r="G1364" t="s">
        <v>5981</v>
      </c>
    </row>
    <row r="1365" spans="1:7" s="241" customFormat="1" ht="44.25" customHeight="1">
      <c r="A1365" t="s">
        <v>5982</v>
      </c>
      <c r="B1365" t="s">
        <v>5983</v>
      </c>
      <c r="C1365" t="s">
        <v>132</v>
      </c>
      <c r="D1365" t="s">
        <v>2139</v>
      </c>
      <c r="E1365" t="s">
        <v>1367</v>
      </c>
      <c r="F1365" t="s">
        <v>145</v>
      </c>
      <c r="G1365" t="s">
        <v>5984</v>
      </c>
    </row>
    <row r="1366" spans="1:7" s="241" customFormat="1" ht="44.25" customHeight="1">
      <c r="A1366" t="s">
        <v>5985</v>
      </c>
      <c r="B1366" t="s">
        <v>5986</v>
      </c>
      <c r="C1366" t="s">
        <v>132</v>
      </c>
      <c r="D1366" t="s">
        <v>2139</v>
      </c>
      <c r="E1366" t="s">
        <v>1367</v>
      </c>
      <c r="F1366" t="s">
        <v>145</v>
      </c>
      <c r="G1366" t="s">
        <v>5987</v>
      </c>
    </row>
    <row r="1367" spans="1:7" s="241" customFormat="1" ht="44.25" customHeight="1">
      <c r="A1367" t="s">
        <v>5988</v>
      </c>
      <c r="B1367" t="s">
        <v>5989</v>
      </c>
      <c r="C1367" t="s">
        <v>132</v>
      </c>
      <c r="D1367" t="s">
        <v>2139</v>
      </c>
      <c r="E1367" t="s">
        <v>1367</v>
      </c>
      <c r="F1367" t="s">
        <v>145</v>
      </c>
      <c r="G1367" t="s">
        <v>5990</v>
      </c>
    </row>
    <row r="1368" spans="1:7" s="241" customFormat="1" ht="44.25" customHeight="1">
      <c r="A1368" t="s">
        <v>5991</v>
      </c>
      <c r="B1368" t="s">
        <v>5992</v>
      </c>
      <c r="C1368" t="s">
        <v>132</v>
      </c>
      <c r="D1368" t="s">
        <v>2139</v>
      </c>
      <c r="E1368" t="s">
        <v>1367</v>
      </c>
      <c r="F1368" t="s">
        <v>145</v>
      </c>
      <c r="G1368" t="s">
        <v>5993</v>
      </c>
    </row>
    <row r="1369" spans="1:7" s="241" customFormat="1" ht="44.25" customHeight="1">
      <c r="A1369" t="s">
        <v>5994</v>
      </c>
      <c r="B1369" t="s">
        <v>5995</v>
      </c>
      <c r="C1369" t="s">
        <v>132</v>
      </c>
      <c r="D1369" t="s">
        <v>2139</v>
      </c>
      <c r="E1369" t="s">
        <v>1367</v>
      </c>
      <c r="F1369" t="s">
        <v>145</v>
      </c>
      <c r="G1369" t="s">
        <v>5996</v>
      </c>
    </row>
    <row r="1370" spans="1:7" s="241" customFormat="1" ht="44.25" customHeight="1">
      <c r="A1370" t="s">
        <v>5997</v>
      </c>
      <c r="B1370" t="s">
        <v>5998</v>
      </c>
      <c r="C1370" t="s">
        <v>132</v>
      </c>
      <c r="D1370" t="s">
        <v>2139</v>
      </c>
      <c r="E1370" t="s">
        <v>1367</v>
      </c>
      <c r="F1370" t="s">
        <v>145</v>
      </c>
      <c r="G1370" t="s">
        <v>5999</v>
      </c>
    </row>
    <row r="1371" spans="1:7" s="241" customFormat="1" ht="44.25" customHeight="1">
      <c r="A1371" t="s">
        <v>6000</v>
      </c>
      <c r="B1371" t="s">
        <v>6001</v>
      </c>
      <c r="C1371" t="s">
        <v>132</v>
      </c>
      <c r="D1371" t="s">
        <v>2139</v>
      </c>
      <c r="E1371" t="s">
        <v>1367</v>
      </c>
      <c r="F1371" t="s">
        <v>145</v>
      </c>
      <c r="G1371" t="s">
        <v>6002</v>
      </c>
    </row>
    <row r="1372" spans="1:7" s="241" customFormat="1" ht="44.25" customHeight="1">
      <c r="A1372" t="s">
        <v>6003</v>
      </c>
      <c r="B1372" t="s">
        <v>6004</v>
      </c>
      <c r="C1372" t="s">
        <v>132</v>
      </c>
      <c r="D1372" t="s">
        <v>2139</v>
      </c>
      <c r="E1372" t="s">
        <v>1367</v>
      </c>
      <c r="F1372" t="s">
        <v>145</v>
      </c>
      <c r="G1372" t="s">
        <v>6005</v>
      </c>
    </row>
    <row r="1373" spans="1:7" s="241" customFormat="1" ht="44.25" customHeight="1">
      <c r="A1373" t="s">
        <v>6006</v>
      </c>
      <c r="B1373" t="s">
        <v>6007</v>
      </c>
      <c r="C1373" t="s">
        <v>132</v>
      </c>
      <c r="D1373" t="s">
        <v>2139</v>
      </c>
      <c r="E1373" t="s">
        <v>1367</v>
      </c>
      <c r="F1373" t="s">
        <v>145</v>
      </c>
      <c r="G1373" t="s">
        <v>6008</v>
      </c>
    </row>
    <row r="1374" spans="1:7" s="241" customFormat="1" ht="44.25" customHeight="1">
      <c r="A1374" t="s">
        <v>6009</v>
      </c>
      <c r="B1374" t="s">
        <v>6010</v>
      </c>
      <c r="C1374" t="s">
        <v>132</v>
      </c>
      <c r="D1374" t="s">
        <v>2139</v>
      </c>
      <c r="E1374" t="s">
        <v>1367</v>
      </c>
      <c r="F1374" t="s">
        <v>145</v>
      </c>
      <c r="G1374" t="s">
        <v>6011</v>
      </c>
    </row>
    <row r="1375" spans="1:7" s="241" customFormat="1" ht="44.25" customHeight="1">
      <c r="A1375" t="s">
        <v>6012</v>
      </c>
      <c r="B1375" t="s">
        <v>6013</v>
      </c>
      <c r="C1375" t="s">
        <v>132</v>
      </c>
      <c r="D1375" t="s">
        <v>2143</v>
      </c>
      <c r="E1375" t="s">
        <v>6014</v>
      </c>
      <c r="F1375" t="s">
        <v>145</v>
      </c>
      <c r="G1375" t="s">
        <v>6015</v>
      </c>
    </row>
    <row r="1376" spans="1:7" s="241" customFormat="1" ht="44.25" customHeight="1">
      <c r="A1376" t="s">
        <v>6016</v>
      </c>
      <c r="B1376" t="s">
        <v>6017</v>
      </c>
      <c r="C1376" t="s">
        <v>132</v>
      </c>
      <c r="D1376" t="s">
        <v>79</v>
      </c>
      <c r="E1376" t="s">
        <v>6018</v>
      </c>
      <c r="F1376" t="s">
        <v>145</v>
      </c>
      <c r="G1376" t="s">
        <v>6019</v>
      </c>
    </row>
    <row r="1377" spans="1:7" s="241" customFormat="1" ht="44.25" customHeight="1">
      <c r="A1377" t="s">
        <v>6020</v>
      </c>
      <c r="B1377" t="s">
        <v>6021</v>
      </c>
      <c r="C1377" t="s">
        <v>132</v>
      </c>
      <c r="D1377" t="s">
        <v>2143</v>
      </c>
      <c r="E1377" t="s">
        <v>2144</v>
      </c>
      <c r="F1377" t="s">
        <v>145</v>
      </c>
      <c r="G1377" t="s">
        <v>6022</v>
      </c>
    </row>
    <row r="1378" spans="1:7" s="241" customFormat="1" ht="44.25" customHeight="1">
      <c r="A1378" t="s">
        <v>6023</v>
      </c>
      <c r="B1378" t="s">
        <v>6024</v>
      </c>
      <c r="C1378" t="s">
        <v>132</v>
      </c>
      <c r="D1378" t="s">
        <v>79</v>
      </c>
      <c r="E1378" t="s">
        <v>6025</v>
      </c>
      <c r="F1378" t="s">
        <v>145</v>
      </c>
      <c r="G1378" t="s">
        <v>6026</v>
      </c>
    </row>
    <row r="1379" spans="1:7" s="241" customFormat="1" ht="44.25" customHeight="1">
      <c r="A1379" t="s">
        <v>6027</v>
      </c>
      <c r="B1379" t="s">
        <v>6028</v>
      </c>
      <c r="C1379" t="s">
        <v>132</v>
      </c>
      <c r="D1379" t="s">
        <v>79</v>
      </c>
      <c r="E1379" t="s">
        <v>6029</v>
      </c>
      <c r="F1379" t="s">
        <v>145</v>
      </c>
      <c r="G1379" t="s">
        <v>6030</v>
      </c>
    </row>
    <row r="1380" spans="1:7" s="241" customFormat="1" ht="44.25" customHeight="1">
      <c r="A1380" t="s">
        <v>6027</v>
      </c>
      <c r="B1380" t="s">
        <v>6028</v>
      </c>
      <c r="C1380" t="s">
        <v>132</v>
      </c>
      <c r="D1380" t="s">
        <v>79</v>
      </c>
      <c r="E1380" t="s">
        <v>6029</v>
      </c>
      <c r="F1380" t="s">
        <v>145</v>
      </c>
      <c r="G1380" t="s">
        <v>6030</v>
      </c>
    </row>
    <row r="1381" spans="1:7" s="241" customFormat="1" ht="44.25" customHeight="1">
      <c r="A1381" t="s">
        <v>6031</v>
      </c>
      <c r="B1381" t="s">
        <v>6032</v>
      </c>
      <c r="C1381" t="s">
        <v>132</v>
      </c>
      <c r="D1381" t="s">
        <v>79</v>
      </c>
      <c r="E1381" t="s">
        <v>6033</v>
      </c>
      <c r="F1381" t="s">
        <v>145</v>
      </c>
      <c r="G1381" t="s">
        <v>6034</v>
      </c>
    </row>
    <row r="1382" spans="1:7" s="241" customFormat="1" ht="44.25" customHeight="1">
      <c r="A1382" t="s">
        <v>6035</v>
      </c>
      <c r="B1382" t="s">
        <v>6036</v>
      </c>
      <c r="C1382" t="s">
        <v>132</v>
      </c>
      <c r="D1382" t="s">
        <v>79</v>
      </c>
      <c r="E1382" t="s">
        <v>6037</v>
      </c>
      <c r="F1382" t="s">
        <v>145</v>
      </c>
      <c r="G1382" t="s">
        <v>6038</v>
      </c>
    </row>
    <row r="1383" spans="1:7" s="241" customFormat="1" ht="44.25" customHeight="1">
      <c r="A1383" t="s">
        <v>340</v>
      </c>
      <c r="B1383" t="s">
        <v>6039</v>
      </c>
      <c r="C1383" t="s">
        <v>132</v>
      </c>
      <c r="D1383" t="s">
        <v>79</v>
      </c>
      <c r="E1383" t="s">
        <v>6040</v>
      </c>
      <c r="F1383" t="s">
        <v>145</v>
      </c>
      <c r="G1383" t="s">
        <v>6041</v>
      </c>
    </row>
    <row r="1384" spans="1:7" s="241" customFormat="1" ht="44.25" customHeight="1">
      <c r="A1384" t="s">
        <v>739</v>
      </c>
      <c r="B1384" t="s">
        <v>6042</v>
      </c>
      <c r="C1384" t="s">
        <v>132</v>
      </c>
      <c r="D1384" t="s">
        <v>2143</v>
      </c>
      <c r="E1384" t="s">
        <v>1367</v>
      </c>
      <c r="F1384" t="s">
        <v>145</v>
      </c>
      <c r="G1384" t="s">
        <v>6043</v>
      </c>
    </row>
    <row r="1385" spans="1:7" s="241" customFormat="1" ht="44.25" customHeight="1">
      <c r="A1385" t="s">
        <v>6044</v>
      </c>
      <c r="B1385" t="s">
        <v>6045</v>
      </c>
      <c r="C1385" t="s">
        <v>132</v>
      </c>
      <c r="D1385" t="s">
        <v>2139</v>
      </c>
      <c r="E1385" t="s">
        <v>1367</v>
      </c>
      <c r="F1385" t="s">
        <v>145</v>
      </c>
      <c r="G1385" t="s">
        <v>6046</v>
      </c>
    </row>
    <row r="1386" spans="1:7" s="241" customFormat="1" ht="44.25" customHeight="1">
      <c r="A1386" t="s">
        <v>6047</v>
      </c>
      <c r="B1386" t="s">
        <v>6048</v>
      </c>
      <c r="C1386" t="s">
        <v>132</v>
      </c>
      <c r="D1386" t="s">
        <v>2139</v>
      </c>
      <c r="E1386" t="s">
        <v>1365</v>
      </c>
      <c r="F1386" t="s">
        <v>145</v>
      </c>
      <c r="G1386" t="s">
        <v>6049</v>
      </c>
    </row>
    <row r="1387" spans="1:7" s="241" customFormat="1" ht="44.25" customHeight="1">
      <c r="A1387" t="s">
        <v>588</v>
      </c>
      <c r="B1387" t="s">
        <v>6050</v>
      </c>
      <c r="C1387" t="s">
        <v>132</v>
      </c>
      <c r="D1387" t="s">
        <v>79</v>
      </c>
      <c r="E1387" t="s">
        <v>6051</v>
      </c>
      <c r="F1387" t="s">
        <v>145</v>
      </c>
      <c r="G1387" t="s">
        <v>6052</v>
      </c>
    </row>
    <row r="1388" spans="1:7" s="241" customFormat="1" ht="44.25" customHeight="1">
      <c r="A1388" t="s">
        <v>587</v>
      </c>
      <c r="B1388" t="s">
        <v>6053</v>
      </c>
      <c r="C1388" t="s">
        <v>132</v>
      </c>
      <c r="D1388" t="s">
        <v>79</v>
      </c>
      <c r="E1388" t="s">
        <v>6051</v>
      </c>
      <c r="F1388" t="s">
        <v>145</v>
      </c>
      <c r="G1388" t="s">
        <v>6054</v>
      </c>
    </row>
    <row r="1389" spans="1:7" s="241" customFormat="1" ht="44.25" customHeight="1">
      <c r="A1389" t="s">
        <v>6055</v>
      </c>
      <c r="B1389" t="s">
        <v>6056</v>
      </c>
      <c r="C1389" t="s">
        <v>132</v>
      </c>
      <c r="D1389" t="s">
        <v>2143</v>
      </c>
      <c r="E1389" t="s">
        <v>2162</v>
      </c>
      <c r="F1389" t="s">
        <v>145</v>
      </c>
      <c r="G1389" t="s">
        <v>6057</v>
      </c>
    </row>
    <row r="1390" spans="1:7" s="241" customFormat="1" ht="44.25" customHeight="1">
      <c r="A1390" t="s">
        <v>6058</v>
      </c>
      <c r="B1390" t="s">
        <v>6059</v>
      </c>
      <c r="C1390" t="s">
        <v>132</v>
      </c>
      <c r="D1390" t="s">
        <v>2139</v>
      </c>
      <c r="E1390" t="s">
        <v>1365</v>
      </c>
      <c r="F1390" t="s">
        <v>145</v>
      </c>
      <c r="G1390" t="s">
        <v>6060</v>
      </c>
    </row>
    <row r="1391" spans="1:7" s="241" customFormat="1" ht="44.25" customHeight="1">
      <c r="A1391" t="s">
        <v>6061</v>
      </c>
      <c r="B1391" t="s">
        <v>6062</v>
      </c>
      <c r="C1391" t="s">
        <v>132</v>
      </c>
      <c r="D1391" t="s">
        <v>2139</v>
      </c>
      <c r="E1391" t="s">
        <v>1365</v>
      </c>
      <c r="F1391" t="s">
        <v>145</v>
      </c>
      <c r="G1391" t="s">
        <v>6063</v>
      </c>
    </row>
    <row r="1392" spans="1:7" s="241" customFormat="1" ht="44.25" customHeight="1">
      <c r="A1392" t="s">
        <v>6064</v>
      </c>
      <c r="B1392" t="s">
        <v>6065</v>
      </c>
      <c r="C1392" t="s">
        <v>132</v>
      </c>
      <c r="D1392" t="s">
        <v>2139</v>
      </c>
      <c r="E1392" t="s">
        <v>1367</v>
      </c>
      <c r="F1392" t="s">
        <v>145</v>
      </c>
      <c r="G1392" t="s">
        <v>6066</v>
      </c>
    </row>
    <row r="1393" spans="1:7" s="241" customFormat="1" ht="44.25" customHeight="1">
      <c r="A1393" t="s">
        <v>6067</v>
      </c>
      <c r="B1393" t="s">
        <v>6068</v>
      </c>
      <c r="C1393" t="s">
        <v>132</v>
      </c>
      <c r="D1393" t="s">
        <v>2143</v>
      </c>
      <c r="E1393" t="s">
        <v>2162</v>
      </c>
      <c r="F1393" t="s">
        <v>145</v>
      </c>
      <c r="G1393" t="s">
        <v>6069</v>
      </c>
    </row>
    <row r="1394" spans="1:7" s="241" customFormat="1" ht="44.25" customHeight="1">
      <c r="A1394" t="s">
        <v>6070</v>
      </c>
      <c r="B1394" t="s">
        <v>6071</v>
      </c>
      <c r="C1394" t="s">
        <v>132</v>
      </c>
      <c r="D1394" t="s">
        <v>2139</v>
      </c>
      <c r="E1394" t="s">
        <v>1365</v>
      </c>
      <c r="F1394" t="s">
        <v>145</v>
      </c>
      <c r="G1394" t="s">
        <v>6072</v>
      </c>
    </row>
    <row r="1395" spans="1:7" s="241" customFormat="1" ht="44.25" customHeight="1">
      <c r="A1395" t="s">
        <v>6073</v>
      </c>
      <c r="B1395" t="s">
        <v>6074</v>
      </c>
      <c r="C1395" t="s">
        <v>132</v>
      </c>
      <c r="D1395" t="s">
        <v>2139</v>
      </c>
      <c r="E1395" t="s">
        <v>1367</v>
      </c>
      <c r="F1395" t="s">
        <v>145</v>
      </c>
      <c r="G1395" t="s">
        <v>6075</v>
      </c>
    </row>
    <row r="1396" spans="1:7" s="241" customFormat="1" ht="44.25" customHeight="1">
      <c r="A1396" t="s">
        <v>6076</v>
      </c>
      <c r="B1396" t="s">
        <v>6077</v>
      </c>
      <c r="C1396" t="s">
        <v>132</v>
      </c>
      <c r="D1396" t="s">
        <v>2143</v>
      </c>
      <c r="E1396" t="s">
        <v>6014</v>
      </c>
      <c r="F1396" t="s">
        <v>145</v>
      </c>
      <c r="G1396" t="s">
        <v>6078</v>
      </c>
    </row>
    <row r="1397" spans="1:7" s="241" customFormat="1" ht="44.25" customHeight="1">
      <c r="A1397" t="s">
        <v>6079</v>
      </c>
      <c r="B1397" t="s">
        <v>6080</v>
      </c>
      <c r="C1397" t="s">
        <v>132</v>
      </c>
      <c r="D1397" t="s">
        <v>79</v>
      </c>
      <c r="E1397" t="s">
        <v>6081</v>
      </c>
      <c r="F1397" t="s">
        <v>145</v>
      </c>
      <c r="G1397" t="s">
        <v>6082</v>
      </c>
    </row>
    <row r="1398" spans="1:7" s="241" customFormat="1" ht="44.25" customHeight="1">
      <c r="A1398" t="s">
        <v>6083</v>
      </c>
      <c r="B1398" t="s">
        <v>6084</v>
      </c>
      <c r="C1398" t="s">
        <v>132</v>
      </c>
      <c r="D1398" t="s">
        <v>2143</v>
      </c>
      <c r="E1398" t="s">
        <v>5570</v>
      </c>
      <c r="F1398" t="s">
        <v>145</v>
      </c>
      <c r="G1398" t="s">
        <v>6085</v>
      </c>
    </row>
    <row r="1399" spans="1:7" s="241" customFormat="1" ht="44.25" customHeight="1">
      <c r="A1399" t="s">
        <v>6086</v>
      </c>
      <c r="B1399" t="s">
        <v>6087</v>
      </c>
      <c r="C1399" t="s">
        <v>132</v>
      </c>
      <c r="D1399" t="s">
        <v>2143</v>
      </c>
      <c r="E1399" t="s">
        <v>5570</v>
      </c>
      <c r="F1399" t="s">
        <v>145</v>
      </c>
      <c r="G1399" t="s">
        <v>6088</v>
      </c>
    </row>
    <row r="1400" spans="1:7" s="241" customFormat="1" ht="44.25" customHeight="1">
      <c r="A1400" t="s">
        <v>6089</v>
      </c>
      <c r="B1400" t="s">
        <v>6090</v>
      </c>
      <c r="C1400" t="s">
        <v>132</v>
      </c>
      <c r="D1400" t="s">
        <v>2139</v>
      </c>
      <c r="E1400" t="s">
        <v>1367</v>
      </c>
      <c r="F1400" t="s">
        <v>145</v>
      </c>
      <c r="G1400" t="s">
        <v>6091</v>
      </c>
    </row>
    <row r="1401" spans="1:7" s="241" customFormat="1" ht="44.25" customHeight="1">
      <c r="A1401" t="s">
        <v>6092</v>
      </c>
      <c r="B1401" t="s">
        <v>6093</v>
      </c>
      <c r="C1401" t="s">
        <v>132</v>
      </c>
      <c r="D1401" t="s">
        <v>2139</v>
      </c>
      <c r="E1401" t="s">
        <v>1367</v>
      </c>
      <c r="F1401" t="s">
        <v>145</v>
      </c>
      <c r="G1401" t="s">
        <v>6094</v>
      </c>
    </row>
    <row r="1402" spans="1:7" s="241" customFormat="1" ht="44.25" customHeight="1">
      <c r="A1402" t="s">
        <v>6095</v>
      </c>
      <c r="B1402" t="s">
        <v>6096</v>
      </c>
      <c r="C1402" t="s">
        <v>132</v>
      </c>
      <c r="D1402" t="s">
        <v>79</v>
      </c>
      <c r="E1402" t="s">
        <v>6097</v>
      </c>
      <c r="F1402" t="s">
        <v>145</v>
      </c>
      <c r="G1402" t="s">
        <v>6098</v>
      </c>
    </row>
    <row r="1403" spans="1:7" s="241" customFormat="1" ht="44.25" customHeight="1">
      <c r="A1403" t="s">
        <v>6099</v>
      </c>
      <c r="B1403" t="s">
        <v>6100</v>
      </c>
      <c r="C1403" t="s">
        <v>132</v>
      </c>
      <c r="D1403" t="s">
        <v>2139</v>
      </c>
      <c r="E1403" t="s">
        <v>1365</v>
      </c>
      <c r="F1403" t="s">
        <v>145</v>
      </c>
      <c r="G1403" t="s">
        <v>6101</v>
      </c>
    </row>
    <row r="1404" spans="1:7" s="241" customFormat="1" ht="44.25" customHeight="1">
      <c r="A1404" t="s">
        <v>6102</v>
      </c>
      <c r="B1404" t="s">
        <v>6103</v>
      </c>
      <c r="C1404" t="s">
        <v>132</v>
      </c>
      <c r="D1404" t="s">
        <v>2139</v>
      </c>
      <c r="E1404" t="s">
        <v>1365</v>
      </c>
      <c r="F1404" t="s">
        <v>145</v>
      </c>
      <c r="G1404" t="s">
        <v>6104</v>
      </c>
    </row>
    <row r="1405" spans="1:7" s="241" customFormat="1" ht="44.25" customHeight="1">
      <c r="A1405" t="s">
        <v>6105</v>
      </c>
      <c r="B1405" t="s">
        <v>6106</v>
      </c>
      <c r="C1405" t="s">
        <v>132</v>
      </c>
      <c r="D1405" t="s">
        <v>2139</v>
      </c>
      <c r="E1405" t="s">
        <v>1365</v>
      </c>
      <c r="F1405" t="s">
        <v>145</v>
      </c>
      <c r="G1405" t="s">
        <v>6107</v>
      </c>
    </row>
    <row r="1406" spans="1:7" s="241" customFormat="1" ht="44.25" customHeight="1">
      <c r="A1406" t="s">
        <v>6108</v>
      </c>
      <c r="B1406" t="s">
        <v>6109</v>
      </c>
      <c r="C1406" t="s">
        <v>132</v>
      </c>
      <c r="D1406" t="s">
        <v>2139</v>
      </c>
      <c r="E1406" t="s">
        <v>1365</v>
      </c>
      <c r="F1406" t="s">
        <v>145</v>
      </c>
      <c r="G1406" t="s">
        <v>6110</v>
      </c>
    </row>
    <row r="1407" spans="1:7" s="241" customFormat="1" ht="44.25" customHeight="1">
      <c r="A1407" t="s">
        <v>6111</v>
      </c>
      <c r="B1407" t="s">
        <v>6112</v>
      </c>
      <c r="C1407" t="s">
        <v>132</v>
      </c>
      <c r="D1407" t="s">
        <v>2143</v>
      </c>
      <c r="E1407" t="s">
        <v>2144</v>
      </c>
      <c r="F1407" t="s">
        <v>145</v>
      </c>
      <c r="G1407" t="s">
        <v>6113</v>
      </c>
    </row>
    <row r="1408" spans="1:7" s="241" customFormat="1" ht="44.25" customHeight="1">
      <c r="A1408" t="s">
        <v>6114</v>
      </c>
      <c r="B1408" t="s">
        <v>6115</v>
      </c>
      <c r="C1408" t="s">
        <v>132</v>
      </c>
      <c r="D1408" t="s">
        <v>2139</v>
      </c>
      <c r="E1408" t="s">
        <v>1367</v>
      </c>
      <c r="F1408" t="s">
        <v>145</v>
      </c>
      <c r="G1408" t="s">
        <v>6116</v>
      </c>
    </row>
    <row r="1409" spans="1:7" s="241" customFormat="1" ht="44.25" customHeight="1">
      <c r="A1409" t="s">
        <v>6117</v>
      </c>
      <c r="B1409" t="s">
        <v>6118</v>
      </c>
      <c r="C1409" t="s">
        <v>132</v>
      </c>
      <c r="D1409" t="s">
        <v>2139</v>
      </c>
      <c r="E1409" t="s">
        <v>1367</v>
      </c>
      <c r="F1409" t="s">
        <v>145</v>
      </c>
      <c r="G1409" t="s">
        <v>6119</v>
      </c>
    </row>
    <row r="1410" spans="1:7" s="241" customFormat="1" ht="44.25" customHeight="1">
      <c r="A1410" t="s">
        <v>6120</v>
      </c>
      <c r="B1410" t="s">
        <v>6121</v>
      </c>
      <c r="C1410" t="s">
        <v>132</v>
      </c>
      <c r="D1410" t="s">
        <v>2139</v>
      </c>
      <c r="E1410" t="s">
        <v>1367</v>
      </c>
      <c r="F1410" t="s">
        <v>145</v>
      </c>
      <c r="G1410" t="s">
        <v>6122</v>
      </c>
    </row>
    <row r="1411" spans="1:7" s="241" customFormat="1" ht="44.25" customHeight="1">
      <c r="A1411" t="s">
        <v>6123</v>
      </c>
      <c r="B1411" t="s">
        <v>6124</v>
      </c>
      <c r="C1411" t="s">
        <v>132</v>
      </c>
      <c r="D1411" t="s">
        <v>2143</v>
      </c>
      <c r="E1411" t="s">
        <v>2155</v>
      </c>
      <c r="F1411" t="s">
        <v>145</v>
      </c>
      <c r="G1411" t="s">
        <v>6125</v>
      </c>
    </row>
    <row r="1412" spans="1:7" s="241" customFormat="1" ht="44.25" customHeight="1">
      <c r="A1412" t="s">
        <v>6126</v>
      </c>
      <c r="B1412" t="s">
        <v>6127</v>
      </c>
      <c r="C1412" t="s">
        <v>132</v>
      </c>
      <c r="D1412" t="s">
        <v>79</v>
      </c>
      <c r="E1412" t="s">
        <v>6128</v>
      </c>
      <c r="F1412" t="s">
        <v>145</v>
      </c>
      <c r="G1412" t="s">
        <v>6129</v>
      </c>
    </row>
    <row r="1413" spans="1:7" s="241" customFormat="1" ht="44.25" customHeight="1">
      <c r="A1413" t="s">
        <v>6130</v>
      </c>
      <c r="B1413" t="s">
        <v>6131</v>
      </c>
      <c r="C1413" t="s">
        <v>132</v>
      </c>
      <c r="D1413" t="s">
        <v>2139</v>
      </c>
      <c r="E1413" t="s">
        <v>1367</v>
      </c>
      <c r="F1413" t="s">
        <v>145</v>
      </c>
      <c r="G1413" t="s">
        <v>6132</v>
      </c>
    </row>
    <row r="1414" spans="1:7" s="241" customFormat="1" ht="44.25" customHeight="1">
      <c r="A1414" t="s">
        <v>6133</v>
      </c>
      <c r="B1414" t="s">
        <v>6134</v>
      </c>
      <c r="C1414" t="s">
        <v>132</v>
      </c>
      <c r="D1414" t="s">
        <v>79</v>
      </c>
      <c r="E1414" t="s">
        <v>4318</v>
      </c>
      <c r="F1414" t="s">
        <v>145</v>
      </c>
      <c r="G1414" t="s">
        <v>6135</v>
      </c>
    </row>
    <row r="1415" spans="1:7" s="241" customFormat="1" ht="44.25" customHeight="1">
      <c r="A1415" t="s">
        <v>6136</v>
      </c>
      <c r="B1415" t="s">
        <v>6137</v>
      </c>
      <c r="C1415" t="s">
        <v>132</v>
      </c>
      <c r="D1415" t="s">
        <v>2139</v>
      </c>
      <c r="E1415" t="s">
        <v>1367</v>
      </c>
      <c r="F1415" t="s">
        <v>145</v>
      </c>
      <c r="G1415" t="s">
        <v>6138</v>
      </c>
    </row>
    <row r="1416" spans="1:7" s="241" customFormat="1" ht="44.25" customHeight="1">
      <c r="A1416" t="s">
        <v>6139</v>
      </c>
      <c r="B1416" t="s">
        <v>6140</v>
      </c>
      <c r="C1416" t="s">
        <v>132</v>
      </c>
      <c r="D1416" t="s">
        <v>2139</v>
      </c>
      <c r="E1416" t="s">
        <v>1367</v>
      </c>
      <c r="F1416" t="s">
        <v>145</v>
      </c>
      <c r="G1416" t="s">
        <v>6141</v>
      </c>
    </row>
    <row r="1417" spans="1:7" s="241" customFormat="1" ht="44.25" customHeight="1">
      <c r="A1417" t="s">
        <v>6142</v>
      </c>
      <c r="B1417" t="s">
        <v>6143</v>
      </c>
      <c r="C1417" t="s">
        <v>132</v>
      </c>
      <c r="D1417" t="s">
        <v>2139</v>
      </c>
      <c r="E1417" t="s">
        <v>1365</v>
      </c>
      <c r="F1417" t="s">
        <v>145</v>
      </c>
      <c r="G1417" t="s">
        <v>6144</v>
      </c>
    </row>
    <row r="1418" spans="1:7" s="241" customFormat="1" ht="44.25" customHeight="1">
      <c r="A1418" t="s">
        <v>6145</v>
      </c>
      <c r="B1418" t="s">
        <v>6146</v>
      </c>
      <c r="C1418" t="s">
        <v>132</v>
      </c>
      <c r="D1418" t="s">
        <v>2139</v>
      </c>
      <c r="E1418" t="s">
        <v>1365</v>
      </c>
      <c r="F1418" t="s">
        <v>145</v>
      </c>
      <c r="G1418" t="s">
        <v>6147</v>
      </c>
    </row>
    <row r="1419" spans="1:7" s="241" customFormat="1" ht="44.25" customHeight="1">
      <c r="A1419" t="s">
        <v>6148</v>
      </c>
      <c r="B1419" t="s">
        <v>6149</v>
      </c>
      <c r="C1419" t="s">
        <v>132</v>
      </c>
      <c r="D1419" t="s">
        <v>2139</v>
      </c>
      <c r="E1419" t="s">
        <v>1367</v>
      </c>
      <c r="F1419" t="s">
        <v>145</v>
      </c>
      <c r="G1419" t="s">
        <v>6150</v>
      </c>
    </row>
    <row r="1420" spans="1:7" s="241" customFormat="1" ht="44.25" customHeight="1">
      <c r="A1420" t="s">
        <v>6151</v>
      </c>
      <c r="B1420" t="s">
        <v>6152</v>
      </c>
      <c r="C1420" t="s">
        <v>132</v>
      </c>
      <c r="D1420" t="s">
        <v>2139</v>
      </c>
      <c r="E1420" t="s">
        <v>1367</v>
      </c>
      <c r="F1420" t="s">
        <v>145</v>
      </c>
      <c r="G1420" t="s">
        <v>6153</v>
      </c>
    </row>
    <row r="1421" spans="1:7" s="241" customFormat="1" ht="44.25" customHeight="1">
      <c r="A1421" t="s">
        <v>6154</v>
      </c>
      <c r="B1421" t="s">
        <v>6155</v>
      </c>
      <c r="C1421" t="s">
        <v>132</v>
      </c>
      <c r="D1421" t="s">
        <v>2139</v>
      </c>
      <c r="E1421" t="s">
        <v>1367</v>
      </c>
      <c r="F1421" t="s">
        <v>145</v>
      </c>
      <c r="G1421" t="s">
        <v>6156</v>
      </c>
    </row>
    <row r="1422" spans="1:7" s="241" customFormat="1" ht="44.25" customHeight="1">
      <c r="A1422" t="s">
        <v>6157</v>
      </c>
      <c r="B1422" t="s">
        <v>6158</v>
      </c>
      <c r="C1422" t="s">
        <v>132</v>
      </c>
      <c r="D1422" t="s">
        <v>2139</v>
      </c>
      <c r="E1422" t="s">
        <v>1367</v>
      </c>
      <c r="F1422" t="s">
        <v>145</v>
      </c>
      <c r="G1422" t="s">
        <v>6159</v>
      </c>
    </row>
    <row r="1423" spans="1:7" s="241" customFormat="1" ht="44.25" customHeight="1">
      <c r="A1423" t="s">
        <v>6160</v>
      </c>
      <c r="B1423" t="s">
        <v>6161</v>
      </c>
      <c r="C1423" t="s">
        <v>132</v>
      </c>
      <c r="D1423" t="s">
        <v>2139</v>
      </c>
      <c r="E1423" t="s">
        <v>1367</v>
      </c>
      <c r="F1423" t="s">
        <v>145</v>
      </c>
      <c r="G1423" t="s">
        <v>6162</v>
      </c>
    </row>
    <row r="1424" spans="1:7" s="241" customFormat="1" ht="44.25" customHeight="1">
      <c r="A1424" t="s">
        <v>6163</v>
      </c>
      <c r="B1424" t="s">
        <v>6164</v>
      </c>
      <c r="C1424" t="s">
        <v>132</v>
      </c>
      <c r="D1424" t="s">
        <v>2139</v>
      </c>
      <c r="E1424" t="s">
        <v>1367</v>
      </c>
      <c r="F1424" t="s">
        <v>145</v>
      </c>
      <c r="G1424" t="s">
        <v>6165</v>
      </c>
    </row>
    <row r="1425" spans="1:7" s="241" customFormat="1" ht="44.25" customHeight="1">
      <c r="A1425" t="s">
        <v>6166</v>
      </c>
      <c r="B1425" t="s">
        <v>6167</v>
      </c>
      <c r="C1425" t="s">
        <v>132</v>
      </c>
      <c r="D1425" t="s">
        <v>2143</v>
      </c>
      <c r="E1425" t="s">
        <v>2162</v>
      </c>
      <c r="F1425" t="s">
        <v>145</v>
      </c>
      <c r="G1425" t="s">
        <v>6168</v>
      </c>
    </row>
    <row r="1426" spans="1:7" s="241" customFormat="1" ht="44.25" customHeight="1">
      <c r="A1426" t="s">
        <v>6169</v>
      </c>
      <c r="B1426" t="s">
        <v>6170</v>
      </c>
      <c r="C1426" t="s">
        <v>132</v>
      </c>
      <c r="D1426" t="s">
        <v>79</v>
      </c>
      <c r="E1426" t="s">
        <v>6171</v>
      </c>
      <c r="F1426" t="s">
        <v>145</v>
      </c>
      <c r="G1426" t="s">
        <v>6172</v>
      </c>
    </row>
    <row r="1427" spans="1:7" s="241" customFormat="1" ht="44.25" customHeight="1">
      <c r="A1427" t="s">
        <v>6173</v>
      </c>
      <c r="B1427" t="s">
        <v>6174</v>
      </c>
      <c r="C1427" t="s">
        <v>132</v>
      </c>
      <c r="D1427" t="s">
        <v>2143</v>
      </c>
      <c r="E1427" t="s">
        <v>1367</v>
      </c>
      <c r="F1427" t="s">
        <v>145</v>
      </c>
      <c r="G1427" t="s">
        <v>6175</v>
      </c>
    </row>
    <row r="1428" spans="1:7" s="241" customFormat="1" ht="44.25" customHeight="1">
      <c r="A1428" t="s">
        <v>6176</v>
      </c>
      <c r="B1428" t="s">
        <v>6177</v>
      </c>
      <c r="C1428" t="s">
        <v>132</v>
      </c>
      <c r="D1428" t="s">
        <v>2139</v>
      </c>
      <c r="E1428" t="s">
        <v>1367</v>
      </c>
      <c r="F1428" t="s">
        <v>145</v>
      </c>
      <c r="G1428" t="s">
        <v>6178</v>
      </c>
    </row>
    <row r="1429" spans="1:7" s="241" customFormat="1" ht="44.25" customHeight="1">
      <c r="A1429" t="s">
        <v>6179</v>
      </c>
      <c r="B1429" t="s">
        <v>6180</v>
      </c>
      <c r="C1429" t="s">
        <v>132</v>
      </c>
      <c r="D1429" t="s">
        <v>2139</v>
      </c>
      <c r="E1429" t="s">
        <v>1367</v>
      </c>
      <c r="F1429" t="s">
        <v>145</v>
      </c>
      <c r="G1429" t="s">
        <v>6181</v>
      </c>
    </row>
    <row r="1430" spans="1:7" s="241" customFormat="1" ht="44.25" customHeight="1">
      <c r="A1430" t="s">
        <v>6182</v>
      </c>
      <c r="B1430" t="s">
        <v>6183</v>
      </c>
      <c r="C1430" t="s">
        <v>132</v>
      </c>
      <c r="D1430" t="s">
        <v>2139</v>
      </c>
      <c r="E1430" t="s">
        <v>1367</v>
      </c>
      <c r="F1430" t="s">
        <v>145</v>
      </c>
      <c r="G1430" t="s">
        <v>6184</v>
      </c>
    </row>
    <row r="1431" spans="1:7" s="241" customFormat="1" ht="44.25" customHeight="1">
      <c r="A1431" t="s">
        <v>6185</v>
      </c>
      <c r="B1431" t="s">
        <v>6186</v>
      </c>
      <c r="C1431" t="s">
        <v>132</v>
      </c>
      <c r="D1431" t="s">
        <v>2139</v>
      </c>
      <c r="E1431" t="s">
        <v>1365</v>
      </c>
      <c r="F1431" t="s">
        <v>145</v>
      </c>
      <c r="G1431" t="s">
        <v>6187</v>
      </c>
    </row>
    <row r="1432" spans="1:7" s="241" customFormat="1" ht="44.25" customHeight="1">
      <c r="A1432" t="s">
        <v>6188</v>
      </c>
      <c r="B1432" t="s">
        <v>6189</v>
      </c>
      <c r="C1432" t="s">
        <v>132</v>
      </c>
      <c r="D1432" t="s">
        <v>79</v>
      </c>
      <c r="E1432" t="s">
        <v>4699</v>
      </c>
      <c r="F1432" t="s">
        <v>145</v>
      </c>
      <c r="G1432" t="s">
        <v>6190</v>
      </c>
    </row>
    <row r="1433" spans="1:7" s="241" customFormat="1" ht="44.25" customHeight="1">
      <c r="A1433" t="s">
        <v>6191</v>
      </c>
      <c r="B1433" t="s">
        <v>6192</v>
      </c>
      <c r="C1433" t="s">
        <v>132</v>
      </c>
      <c r="D1433" t="s">
        <v>2139</v>
      </c>
      <c r="E1433" t="s">
        <v>1367</v>
      </c>
      <c r="F1433" t="s">
        <v>145</v>
      </c>
      <c r="G1433" t="s">
        <v>6193</v>
      </c>
    </row>
    <row r="1434" spans="1:7" s="241" customFormat="1" ht="44.25" customHeight="1">
      <c r="A1434" t="s">
        <v>6194</v>
      </c>
      <c r="B1434" t="s">
        <v>6195</v>
      </c>
      <c r="C1434" t="s">
        <v>132</v>
      </c>
      <c r="D1434" t="s">
        <v>2143</v>
      </c>
      <c r="E1434" t="s">
        <v>1542</v>
      </c>
      <c r="F1434" t="s">
        <v>145</v>
      </c>
      <c r="G1434" t="s">
        <v>6196</v>
      </c>
    </row>
    <row r="1435" spans="1:7" s="241" customFormat="1" ht="44.25" customHeight="1">
      <c r="A1435" t="s">
        <v>1334</v>
      </c>
      <c r="B1435" t="s">
        <v>6197</v>
      </c>
      <c r="C1435" t="s">
        <v>132</v>
      </c>
      <c r="D1435" t="s">
        <v>2143</v>
      </c>
      <c r="E1435" t="s">
        <v>1542</v>
      </c>
      <c r="F1435" t="s">
        <v>145</v>
      </c>
      <c r="G1435" t="s">
        <v>6198</v>
      </c>
    </row>
    <row r="1436" spans="1:7" s="241" customFormat="1" ht="44.25" customHeight="1">
      <c r="A1436" t="s">
        <v>6199</v>
      </c>
      <c r="B1436" t="s">
        <v>6200</v>
      </c>
      <c r="C1436" t="s">
        <v>6201</v>
      </c>
      <c r="D1436" t="s">
        <v>2143</v>
      </c>
      <c r="E1436" t="s">
        <v>2571</v>
      </c>
      <c r="F1436" t="s">
        <v>145</v>
      </c>
      <c r="G1436" t="s">
        <v>6202</v>
      </c>
    </row>
    <row r="1437" spans="1:7" s="241" customFormat="1" ht="44.25" customHeight="1">
      <c r="A1437" t="s">
        <v>6203</v>
      </c>
      <c r="B1437" t="s">
        <v>6204</v>
      </c>
      <c r="C1437" t="s">
        <v>132</v>
      </c>
      <c r="D1437" t="s">
        <v>79</v>
      </c>
      <c r="E1437" t="s">
        <v>6205</v>
      </c>
      <c r="F1437" t="s">
        <v>145</v>
      </c>
      <c r="G1437" t="s">
        <v>6206</v>
      </c>
    </row>
    <row r="1438" spans="1:7" s="241" customFormat="1" ht="44.25" customHeight="1">
      <c r="A1438" t="s">
        <v>6207</v>
      </c>
      <c r="B1438" t="s">
        <v>6208</v>
      </c>
      <c r="C1438" t="s">
        <v>132</v>
      </c>
      <c r="D1438" t="s">
        <v>79</v>
      </c>
      <c r="E1438" t="s">
        <v>6209</v>
      </c>
      <c r="F1438" t="s">
        <v>145</v>
      </c>
      <c r="G1438" t="s">
        <v>6210</v>
      </c>
    </row>
    <row r="1439" spans="1:7" s="241" customFormat="1" ht="44.25" customHeight="1">
      <c r="A1439" t="s">
        <v>6211</v>
      </c>
      <c r="B1439" t="s">
        <v>6212</v>
      </c>
      <c r="C1439" t="s">
        <v>132</v>
      </c>
      <c r="D1439" t="s">
        <v>2139</v>
      </c>
      <c r="E1439" t="s">
        <v>1367</v>
      </c>
      <c r="F1439" t="s">
        <v>145</v>
      </c>
      <c r="G1439" t="s">
        <v>6213</v>
      </c>
    </row>
    <row r="1440" spans="1:7" s="241" customFormat="1" ht="44.25" customHeight="1">
      <c r="A1440" t="s">
        <v>6214</v>
      </c>
      <c r="B1440" t="s">
        <v>6215</v>
      </c>
      <c r="C1440" t="s">
        <v>132</v>
      </c>
      <c r="D1440" t="s">
        <v>2139</v>
      </c>
      <c r="E1440" t="s">
        <v>1367</v>
      </c>
      <c r="F1440" t="s">
        <v>145</v>
      </c>
      <c r="G1440" t="s">
        <v>6216</v>
      </c>
    </row>
    <row r="1441" spans="1:7" s="241" customFormat="1" ht="44.25" customHeight="1">
      <c r="A1441" t="s">
        <v>6217</v>
      </c>
      <c r="B1441" t="s">
        <v>6218</v>
      </c>
      <c r="C1441" t="s">
        <v>132</v>
      </c>
      <c r="D1441" t="s">
        <v>2139</v>
      </c>
      <c r="E1441" t="s">
        <v>1367</v>
      </c>
      <c r="F1441" t="s">
        <v>145</v>
      </c>
      <c r="G1441" t="s">
        <v>6219</v>
      </c>
    </row>
    <row r="1442" spans="1:7" s="241" customFormat="1" ht="44.25" customHeight="1">
      <c r="A1442" t="s">
        <v>6220</v>
      </c>
      <c r="B1442" t="s">
        <v>6221</v>
      </c>
      <c r="C1442" t="s">
        <v>132</v>
      </c>
      <c r="D1442" t="s">
        <v>2143</v>
      </c>
      <c r="E1442" t="s">
        <v>2162</v>
      </c>
      <c r="F1442" t="s">
        <v>145</v>
      </c>
      <c r="G1442" t="s">
        <v>6222</v>
      </c>
    </row>
    <row r="1443" spans="1:7" s="241" customFormat="1" ht="44.25" customHeight="1">
      <c r="A1443" t="s">
        <v>1414</v>
      </c>
      <c r="B1443" t="s">
        <v>6223</v>
      </c>
      <c r="C1443" t="s">
        <v>132</v>
      </c>
      <c r="D1443" t="s">
        <v>2139</v>
      </c>
      <c r="E1443" t="s">
        <v>1367</v>
      </c>
      <c r="F1443" t="s">
        <v>145</v>
      </c>
      <c r="G1443" t="s">
        <v>6224</v>
      </c>
    </row>
    <row r="1444" spans="1:7" s="241" customFormat="1" ht="44.25" customHeight="1">
      <c r="A1444" t="s">
        <v>376</v>
      </c>
      <c r="B1444" t="s">
        <v>6225</v>
      </c>
      <c r="C1444" t="s">
        <v>132</v>
      </c>
      <c r="D1444" t="s">
        <v>2143</v>
      </c>
      <c r="E1444" t="s">
        <v>2162</v>
      </c>
      <c r="F1444" t="s">
        <v>145</v>
      </c>
      <c r="G1444" t="s">
        <v>6226</v>
      </c>
    </row>
    <row r="1445" spans="1:7" s="241" customFormat="1" ht="44.25" customHeight="1">
      <c r="A1445" t="s">
        <v>733</v>
      </c>
      <c r="B1445" t="s">
        <v>6227</v>
      </c>
      <c r="C1445" t="s">
        <v>132</v>
      </c>
      <c r="D1445" t="s">
        <v>79</v>
      </c>
      <c r="E1445" t="s">
        <v>4635</v>
      </c>
      <c r="F1445" t="s">
        <v>145</v>
      </c>
      <c r="G1445" t="s">
        <v>6228</v>
      </c>
    </row>
    <row r="1446" spans="1:7" s="241" customFormat="1" ht="44.25" customHeight="1">
      <c r="A1446" t="s">
        <v>1019</v>
      </c>
      <c r="B1446" t="s">
        <v>6229</v>
      </c>
      <c r="C1446" t="s">
        <v>132</v>
      </c>
      <c r="D1446" t="s">
        <v>2143</v>
      </c>
      <c r="E1446" t="s">
        <v>1559</v>
      </c>
      <c r="F1446" t="s">
        <v>145</v>
      </c>
      <c r="G1446" t="s">
        <v>6230</v>
      </c>
    </row>
    <row r="1447" spans="1:7" s="241" customFormat="1" ht="44.25" customHeight="1">
      <c r="A1447" t="s">
        <v>6231</v>
      </c>
      <c r="B1447" t="s">
        <v>6232</v>
      </c>
      <c r="C1447" t="s">
        <v>132</v>
      </c>
      <c r="D1447" t="s">
        <v>79</v>
      </c>
      <c r="E1447" t="s">
        <v>6233</v>
      </c>
      <c r="F1447" t="s">
        <v>145</v>
      </c>
      <c r="G1447" t="s">
        <v>6234</v>
      </c>
    </row>
    <row r="1448" spans="1:7" s="241" customFormat="1" ht="44.25" customHeight="1">
      <c r="A1448" t="s">
        <v>6235</v>
      </c>
      <c r="B1448" t="s">
        <v>6236</v>
      </c>
      <c r="C1448" t="s">
        <v>132</v>
      </c>
      <c r="D1448" t="s">
        <v>79</v>
      </c>
      <c r="E1448" t="s">
        <v>6237</v>
      </c>
      <c r="F1448" t="s">
        <v>145</v>
      </c>
      <c r="G1448" t="s">
        <v>6238</v>
      </c>
    </row>
    <row r="1449" spans="1:7" s="241" customFormat="1" ht="44.25" customHeight="1">
      <c r="A1449" t="s">
        <v>6239</v>
      </c>
      <c r="B1449" t="s">
        <v>6240</v>
      </c>
      <c r="C1449" t="s">
        <v>132</v>
      </c>
      <c r="D1449" t="s">
        <v>79</v>
      </c>
      <c r="E1449" t="s">
        <v>6241</v>
      </c>
      <c r="F1449" t="s">
        <v>145</v>
      </c>
      <c r="G1449" t="s">
        <v>6242</v>
      </c>
    </row>
    <row r="1450" spans="1:7" s="241" customFormat="1" ht="44.25" customHeight="1">
      <c r="A1450" t="s">
        <v>514</v>
      </c>
      <c r="B1450" t="s">
        <v>6243</v>
      </c>
      <c r="C1450" t="s">
        <v>132</v>
      </c>
      <c r="D1450" t="s">
        <v>79</v>
      </c>
      <c r="E1450" t="s">
        <v>6244</v>
      </c>
      <c r="F1450" t="s">
        <v>145</v>
      </c>
      <c r="G1450" t="s">
        <v>6245</v>
      </c>
    </row>
    <row r="1451" spans="1:7" s="241" customFormat="1" ht="44.25" customHeight="1">
      <c r="A1451" t="s">
        <v>6246</v>
      </c>
      <c r="B1451" t="s">
        <v>6247</v>
      </c>
      <c r="C1451" t="s">
        <v>132</v>
      </c>
      <c r="D1451" t="s">
        <v>2143</v>
      </c>
      <c r="E1451" t="s">
        <v>2285</v>
      </c>
      <c r="F1451" t="s">
        <v>145</v>
      </c>
      <c r="G1451" t="s">
        <v>6248</v>
      </c>
    </row>
    <row r="1452" spans="1:7" s="241" customFormat="1" ht="44.25" customHeight="1">
      <c r="A1452" t="s">
        <v>6249</v>
      </c>
      <c r="B1452" t="s">
        <v>6250</v>
      </c>
      <c r="C1452" t="s">
        <v>132</v>
      </c>
      <c r="D1452" t="s">
        <v>2143</v>
      </c>
      <c r="E1452" t="s">
        <v>1542</v>
      </c>
      <c r="F1452" t="s">
        <v>145</v>
      </c>
      <c r="G1452" t="s">
        <v>6251</v>
      </c>
    </row>
    <row r="1453" spans="1:7" s="241" customFormat="1" ht="44.25" customHeight="1">
      <c r="A1453" t="s">
        <v>6252</v>
      </c>
      <c r="B1453" t="s">
        <v>6253</v>
      </c>
      <c r="C1453" t="s">
        <v>132</v>
      </c>
      <c r="D1453" t="s">
        <v>2143</v>
      </c>
      <c r="E1453" t="s">
        <v>2581</v>
      </c>
      <c r="F1453" t="s">
        <v>145</v>
      </c>
      <c r="G1453" t="s">
        <v>6254</v>
      </c>
    </row>
    <row r="1454" spans="1:7" s="241" customFormat="1" ht="44.25" customHeight="1">
      <c r="A1454" t="s">
        <v>6255</v>
      </c>
      <c r="B1454" t="s">
        <v>6256</v>
      </c>
      <c r="C1454" t="s">
        <v>132</v>
      </c>
      <c r="D1454" t="s">
        <v>2143</v>
      </c>
      <c r="E1454" t="s">
        <v>1542</v>
      </c>
      <c r="F1454" t="s">
        <v>145</v>
      </c>
      <c r="G1454" t="s">
        <v>6257</v>
      </c>
    </row>
    <row r="1455" spans="1:7" s="241" customFormat="1" ht="44.25" customHeight="1">
      <c r="A1455" t="s">
        <v>6258</v>
      </c>
      <c r="B1455" t="s">
        <v>6259</v>
      </c>
      <c r="C1455" t="s">
        <v>132</v>
      </c>
      <c r="D1455" t="s">
        <v>2143</v>
      </c>
      <c r="E1455" t="s">
        <v>2285</v>
      </c>
      <c r="F1455" t="s">
        <v>145</v>
      </c>
      <c r="G1455" t="s">
        <v>6260</v>
      </c>
    </row>
    <row r="1456" spans="1:7" s="241" customFormat="1" ht="44.25" customHeight="1">
      <c r="A1456" t="s">
        <v>6261</v>
      </c>
      <c r="B1456" t="s">
        <v>6262</v>
      </c>
      <c r="C1456" t="s">
        <v>132</v>
      </c>
      <c r="D1456" t="s">
        <v>2143</v>
      </c>
      <c r="E1456" t="s">
        <v>2162</v>
      </c>
      <c r="F1456" t="s">
        <v>145</v>
      </c>
      <c r="G1456" t="s">
        <v>6263</v>
      </c>
    </row>
    <row r="1457" spans="1:7" s="241" customFormat="1" ht="44.25" customHeight="1">
      <c r="A1457" t="s">
        <v>6264</v>
      </c>
      <c r="B1457" t="s">
        <v>6265</v>
      </c>
      <c r="C1457" t="s">
        <v>132</v>
      </c>
      <c r="D1457" t="s">
        <v>2139</v>
      </c>
      <c r="E1457" t="s">
        <v>1365</v>
      </c>
      <c r="F1457" t="s">
        <v>145</v>
      </c>
      <c r="G1457" t="s">
        <v>6266</v>
      </c>
    </row>
    <row r="1458" spans="1:7" s="241" customFormat="1" ht="44.25" customHeight="1">
      <c r="A1458" t="s">
        <v>6267</v>
      </c>
      <c r="B1458" t="s">
        <v>6268</v>
      </c>
      <c r="C1458" t="s">
        <v>132</v>
      </c>
      <c r="D1458" t="s">
        <v>2143</v>
      </c>
      <c r="E1458" t="s">
        <v>2162</v>
      </c>
      <c r="F1458" t="s">
        <v>145</v>
      </c>
      <c r="G1458" t="s">
        <v>6269</v>
      </c>
    </row>
    <row r="1459" spans="1:7" s="241" customFormat="1" ht="44.25" customHeight="1">
      <c r="A1459" t="s">
        <v>1252</v>
      </c>
      <c r="B1459" t="s">
        <v>6270</v>
      </c>
      <c r="C1459" t="s">
        <v>132</v>
      </c>
      <c r="D1459" t="s">
        <v>2139</v>
      </c>
      <c r="E1459" t="s">
        <v>2144</v>
      </c>
      <c r="F1459" t="s">
        <v>145</v>
      </c>
      <c r="G1459" t="s">
        <v>6271</v>
      </c>
    </row>
    <row r="1460" spans="1:7" s="241" customFormat="1" ht="44.25" customHeight="1">
      <c r="A1460" t="s">
        <v>1275</v>
      </c>
      <c r="B1460" t="s">
        <v>6272</v>
      </c>
      <c r="C1460" t="s">
        <v>132</v>
      </c>
      <c r="D1460" t="s">
        <v>2139</v>
      </c>
      <c r="E1460" t="s">
        <v>1367</v>
      </c>
      <c r="F1460" t="s">
        <v>145</v>
      </c>
      <c r="G1460" t="s">
        <v>6273</v>
      </c>
    </row>
    <row r="1461" spans="1:7" s="241" customFormat="1" ht="44.25" customHeight="1">
      <c r="A1461" t="s">
        <v>1385</v>
      </c>
      <c r="B1461" t="s">
        <v>6274</v>
      </c>
      <c r="C1461" t="s">
        <v>132</v>
      </c>
      <c r="D1461" t="s">
        <v>2143</v>
      </c>
      <c r="E1461" t="s">
        <v>2162</v>
      </c>
      <c r="F1461" t="s">
        <v>145</v>
      </c>
      <c r="G1461" t="s">
        <v>6275</v>
      </c>
    </row>
    <row r="1462" spans="1:7" s="241" customFormat="1" ht="44.25" customHeight="1">
      <c r="A1462" t="s">
        <v>848</v>
      </c>
      <c r="B1462" t="s">
        <v>6276</v>
      </c>
      <c r="C1462" t="s">
        <v>132</v>
      </c>
      <c r="D1462" t="s">
        <v>79</v>
      </c>
      <c r="E1462" t="s">
        <v>6097</v>
      </c>
      <c r="F1462" t="s">
        <v>145</v>
      </c>
      <c r="G1462" t="s">
        <v>6277</v>
      </c>
    </row>
    <row r="1463" spans="1:7" s="241" customFormat="1" ht="44.25" customHeight="1">
      <c r="A1463" t="s">
        <v>132</v>
      </c>
      <c r="B1463" t="s">
        <v>6278</v>
      </c>
      <c r="C1463" t="s">
        <v>132</v>
      </c>
      <c r="D1463" t="s">
        <v>79</v>
      </c>
      <c r="E1463" t="s">
        <v>1517</v>
      </c>
      <c r="F1463" t="s">
        <v>145</v>
      </c>
      <c r="G1463" t="s">
        <v>6279</v>
      </c>
    </row>
    <row r="1464" spans="1:7" s="241" customFormat="1" ht="44.25" customHeight="1">
      <c r="A1464" t="s">
        <v>6280</v>
      </c>
      <c r="B1464" t="s">
        <v>6281</v>
      </c>
      <c r="C1464" t="s">
        <v>132</v>
      </c>
      <c r="D1464" t="s">
        <v>79</v>
      </c>
      <c r="E1464" t="s">
        <v>6282</v>
      </c>
      <c r="F1464" t="s">
        <v>145</v>
      </c>
      <c r="G1464" t="s">
        <v>6283</v>
      </c>
    </row>
    <row r="1465" spans="1:7" s="241" customFormat="1" ht="44.25" customHeight="1">
      <c r="A1465" t="s">
        <v>6284</v>
      </c>
      <c r="B1465" t="s">
        <v>6285</v>
      </c>
      <c r="C1465" t="s">
        <v>132</v>
      </c>
      <c r="D1465" t="s">
        <v>79</v>
      </c>
      <c r="E1465" t="s">
        <v>6286</v>
      </c>
      <c r="F1465" t="s">
        <v>145</v>
      </c>
      <c r="G1465" t="s">
        <v>6287</v>
      </c>
    </row>
    <row r="1466" spans="1:7" s="241" customFormat="1" ht="44.25" customHeight="1">
      <c r="A1466" t="s">
        <v>6284</v>
      </c>
      <c r="B1466" t="s">
        <v>6285</v>
      </c>
      <c r="C1466" t="s">
        <v>132</v>
      </c>
      <c r="D1466" t="s">
        <v>79</v>
      </c>
      <c r="E1466" t="s">
        <v>6286</v>
      </c>
      <c r="F1466" t="s">
        <v>145</v>
      </c>
      <c r="G1466" t="s">
        <v>6287</v>
      </c>
    </row>
    <row r="1467" spans="1:7" s="241" customFormat="1" ht="44.25" customHeight="1">
      <c r="A1467" t="s">
        <v>6288</v>
      </c>
      <c r="B1467" t="s">
        <v>6289</v>
      </c>
      <c r="C1467" t="s">
        <v>132</v>
      </c>
      <c r="D1467" t="s">
        <v>2143</v>
      </c>
      <c r="E1467" t="s">
        <v>5570</v>
      </c>
      <c r="F1467" t="s">
        <v>145</v>
      </c>
      <c r="G1467" t="s">
        <v>6290</v>
      </c>
    </row>
    <row r="1468" spans="1:7" s="241" customFormat="1" ht="44.25" customHeight="1">
      <c r="A1468" t="s">
        <v>6291</v>
      </c>
      <c r="B1468" t="s">
        <v>6292</v>
      </c>
      <c r="C1468" t="s">
        <v>132</v>
      </c>
      <c r="D1468" t="s">
        <v>2143</v>
      </c>
      <c r="E1468" t="s">
        <v>5577</v>
      </c>
      <c r="F1468" t="s">
        <v>145</v>
      </c>
      <c r="G1468" t="s">
        <v>6293</v>
      </c>
    </row>
    <row r="1469" spans="1:7" s="241" customFormat="1" ht="44.25" customHeight="1">
      <c r="A1469" t="s">
        <v>132</v>
      </c>
      <c r="B1469" t="s">
        <v>6294</v>
      </c>
      <c r="C1469" t="s">
        <v>132</v>
      </c>
      <c r="D1469" t="s">
        <v>2143</v>
      </c>
      <c r="E1469" t="s">
        <v>6295</v>
      </c>
      <c r="F1469" t="s">
        <v>145</v>
      </c>
      <c r="G1469" t="s">
        <v>6296</v>
      </c>
    </row>
    <row r="1470" spans="1:7" s="241" customFormat="1" ht="44.25" customHeight="1">
      <c r="A1470" t="s">
        <v>132</v>
      </c>
      <c r="B1470" t="s">
        <v>6297</v>
      </c>
      <c r="C1470" t="s">
        <v>132</v>
      </c>
      <c r="D1470" t="s">
        <v>2143</v>
      </c>
      <c r="E1470" t="s">
        <v>5577</v>
      </c>
      <c r="F1470" t="s">
        <v>145</v>
      </c>
      <c r="G1470" t="s">
        <v>6298</v>
      </c>
    </row>
    <row r="1471" spans="1:7" s="241" customFormat="1" ht="44.25" customHeight="1">
      <c r="A1471" t="s">
        <v>132</v>
      </c>
      <c r="B1471" t="s">
        <v>6299</v>
      </c>
      <c r="C1471" t="s">
        <v>132</v>
      </c>
      <c r="D1471" t="s">
        <v>2143</v>
      </c>
      <c r="E1471" t="s">
        <v>5699</v>
      </c>
      <c r="F1471" t="s">
        <v>145</v>
      </c>
      <c r="G1471" t="s">
        <v>6300</v>
      </c>
    </row>
    <row r="1472" spans="1:7" s="241" customFormat="1" ht="44.25" customHeight="1">
      <c r="A1472" t="s">
        <v>6301</v>
      </c>
      <c r="B1472" t="s">
        <v>6302</v>
      </c>
      <c r="C1472" t="s">
        <v>132</v>
      </c>
      <c r="D1472" t="s">
        <v>2143</v>
      </c>
      <c r="E1472" t="s">
        <v>1542</v>
      </c>
      <c r="F1472" t="s">
        <v>145</v>
      </c>
      <c r="G1472" t="s">
        <v>6303</v>
      </c>
    </row>
    <row r="1473" spans="1:7" s="241" customFormat="1" ht="44.25" customHeight="1">
      <c r="A1473" t="s">
        <v>6304</v>
      </c>
      <c r="B1473" t="s">
        <v>6305</v>
      </c>
      <c r="C1473" t="s">
        <v>132</v>
      </c>
      <c r="D1473" t="s">
        <v>2143</v>
      </c>
      <c r="E1473" t="s">
        <v>1542</v>
      </c>
      <c r="F1473" t="s">
        <v>145</v>
      </c>
      <c r="G1473" t="s">
        <v>6306</v>
      </c>
    </row>
    <row r="1474" spans="1:7" s="241" customFormat="1" ht="44.25" customHeight="1">
      <c r="A1474" t="s">
        <v>247</v>
      </c>
      <c r="B1474" t="s">
        <v>6307</v>
      </c>
      <c r="C1474" t="s">
        <v>132</v>
      </c>
      <c r="D1474" t="s">
        <v>2510</v>
      </c>
      <c r="E1474" t="s">
        <v>1542</v>
      </c>
      <c r="F1474" t="s">
        <v>145</v>
      </c>
      <c r="G1474" t="s">
        <v>6308</v>
      </c>
    </row>
    <row r="1475" spans="1:7" s="241" customFormat="1" ht="44.25" customHeight="1">
      <c r="A1475" t="s">
        <v>6309</v>
      </c>
      <c r="B1475" t="s">
        <v>6310</v>
      </c>
      <c r="C1475" t="s">
        <v>132</v>
      </c>
      <c r="D1475" t="s">
        <v>2143</v>
      </c>
      <c r="E1475" t="s">
        <v>1542</v>
      </c>
      <c r="F1475" t="s">
        <v>145</v>
      </c>
      <c r="G1475" t="s">
        <v>6311</v>
      </c>
    </row>
    <row r="1476" spans="1:7" s="241" customFormat="1" ht="44.25" customHeight="1">
      <c r="A1476" t="s">
        <v>6312</v>
      </c>
      <c r="B1476" t="s">
        <v>6313</v>
      </c>
      <c r="C1476" t="s">
        <v>132</v>
      </c>
      <c r="D1476" t="s">
        <v>2143</v>
      </c>
      <c r="E1476" t="s">
        <v>1542</v>
      </c>
      <c r="F1476" t="s">
        <v>145</v>
      </c>
      <c r="G1476" t="s">
        <v>6314</v>
      </c>
    </row>
    <row r="1477" spans="1:7" s="241" customFormat="1" ht="44.25" customHeight="1">
      <c r="A1477" t="s">
        <v>6315</v>
      </c>
      <c r="B1477" t="s">
        <v>6316</v>
      </c>
      <c r="C1477" t="s">
        <v>132</v>
      </c>
      <c r="D1477" t="s">
        <v>2143</v>
      </c>
      <c r="E1477" t="s">
        <v>2285</v>
      </c>
      <c r="F1477" t="s">
        <v>145</v>
      </c>
      <c r="G1477" t="s">
        <v>6317</v>
      </c>
    </row>
    <row r="1478" spans="1:7" s="241" customFormat="1" ht="44.25" customHeight="1">
      <c r="A1478" t="s">
        <v>6318</v>
      </c>
      <c r="B1478" t="s">
        <v>6319</v>
      </c>
      <c r="C1478" t="s">
        <v>132</v>
      </c>
      <c r="D1478" t="s">
        <v>2143</v>
      </c>
      <c r="E1478" t="s">
        <v>2285</v>
      </c>
      <c r="F1478" t="s">
        <v>145</v>
      </c>
      <c r="G1478" t="s">
        <v>6320</v>
      </c>
    </row>
    <row r="1479" spans="1:7" s="241" customFormat="1" ht="44.25" customHeight="1">
      <c r="A1479" t="s">
        <v>859</v>
      </c>
      <c r="B1479" t="s">
        <v>6321</v>
      </c>
      <c r="C1479" t="s">
        <v>132</v>
      </c>
      <c r="D1479" t="s">
        <v>2143</v>
      </c>
      <c r="E1479" t="s">
        <v>3466</v>
      </c>
      <c r="F1479" t="s">
        <v>145</v>
      </c>
      <c r="G1479" t="s">
        <v>6322</v>
      </c>
    </row>
    <row r="1480" spans="1:7" s="241" customFormat="1" ht="44.25" customHeight="1">
      <c r="A1480" t="s">
        <v>6323</v>
      </c>
      <c r="B1480" t="s">
        <v>6324</v>
      </c>
      <c r="C1480" t="s">
        <v>132</v>
      </c>
      <c r="D1480" t="s">
        <v>79</v>
      </c>
      <c r="E1480" t="s">
        <v>3302</v>
      </c>
      <c r="F1480" t="s">
        <v>145</v>
      </c>
      <c r="G1480" t="s">
        <v>6325</v>
      </c>
    </row>
    <row r="1481" spans="1:7" s="241" customFormat="1" ht="44.25" customHeight="1">
      <c r="A1481" t="s">
        <v>6323</v>
      </c>
      <c r="B1481" t="s">
        <v>6324</v>
      </c>
      <c r="C1481" t="s">
        <v>132</v>
      </c>
      <c r="D1481" t="s">
        <v>79</v>
      </c>
      <c r="E1481" t="s">
        <v>3302</v>
      </c>
      <c r="F1481" t="s">
        <v>145</v>
      </c>
      <c r="G1481" t="s">
        <v>6325</v>
      </c>
    </row>
    <row r="1482" spans="1:7" s="241" customFormat="1" ht="44.25" customHeight="1">
      <c r="A1482" t="s">
        <v>6326</v>
      </c>
      <c r="B1482" t="s">
        <v>6327</v>
      </c>
      <c r="C1482" t="s">
        <v>132</v>
      </c>
      <c r="D1482" t="s">
        <v>2139</v>
      </c>
      <c r="E1482" t="s">
        <v>1365</v>
      </c>
      <c r="F1482" t="s">
        <v>145</v>
      </c>
      <c r="G1482" t="s">
        <v>6328</v>
      </c>
    </row>
    <row r="1483" spans="1:7" s="241" customFormat="1" ht="44.25" customHeight="1">
      <c r="A1483" t="s">
        <v>6329</v>
      </c>
      <c r="B1483" t="s">
        <v>6330</v>
      </c>
      <c r="C1483" t="s">
        <v>132</v>
      </c>
      <c r="D1483" t="s">
        <v>2139</v>
      </c>
      <c r="E1483" t="s">
        <v>1365</v>
      </c>
      <c r="F1483" t="s">
        <v>145</v>
      </c>
      <c r="G1483" t="s">
        <v>6331</v>
      </c>
    </row>
    <row r="1484" spans="1:7" s="241" customFormat="1" ht="44.25" customHeight="1">
      <c r="A1484" t="s">
        <v>6332</v>
      </c>
      <c r="B1484" t="s">
        <v>6333</v>
      </c>
      <c r="C1484" t="s">
        <v>132</v>
      </c>
      <c r="D1484" t="s">
        <v>2143</v>
      </c>
      <c r="E1484" t="s">
        <v>2162</v>
      </c>
      <c r="F1484" t="s">
        <v>145</v>
      </c>
      <c r="G1484" t="s">
        <v>6334</v>
      </c>
    </row>
    <row r="1485" spans="1:7" s="241" customFormat="1" ht="44.25" customHeight="1">
      <c r="A1485" t="s">
        <v>6335</v>
      </c>
      <c r="B1485" t="s">
        <v>6336</v>
      </c>
      <c r="C1485" t="s">
        <v>132</v>
      </c>
      <c r="D1485" t="s">
        <v>2139</v>
      </c>
      <c r="E1485" t="s">
        <v>1367</v>
      </c>
      <c r="F1485" t="s">
        <v>145</v>
      </c>
      <c r="G1485" t="s">
        <v>6337</v>
      </c>
    </row>
    <row r="1486" spans="1:7" s="241" customFormat="1" ht="44.25" customHeight="1">
      <c r="A1486" t="s">
        <v>6338</v>
      </c>
      <c r="B1486" t="s">
        <v>6339</v>
      </c>
      <c r="C1486" t="s">
        <v>132</v>
      </c>
      <c r="D1486" t="s">
        <v>2139</v>
      </c>
      <c r="E1486" t="s">
        <v>1367</v>
      </c>
      <c r="F1486" t="s">
        <v>145</v>
      </c>
      <c r="G1486" t="s">
        <v>6340</v>
      </c>
    </row>
    <row r="1487" spans="1:7" s="241" customFormat="1" ht="44.25" customHeight="1">
      <c r="A1487" t="s">
        <v>1282</v>
      </c>
      <c r="B1487" t="s">
        <v>6341</v>
      </c>
      <c r="C1487" t="s">
        <v>132</v>
      </c>
      <c r="D1487" t="s">
        <v>2143</v>
      </c>
      <c r="E1487" t="s">
        <v>2162</v>
      </c>
      <c r="F1487" t="s">
        <v>145</v>
      </c>
      <c r="G1487" t="s">
        <v>6342</v>
      </c>
    </row>
    <row r="1488" spans="1:7" s="241" customFormat="1" ht="44.25" customHeight="1">
      <c r="A1488" t="s">
        <v>1306</v>
      </c>
      <c r="B1488" t="s">
        <v>6343</v>
      </c>
      <c r="C1488" t="s">
        <v>132</v>
      </c>
      <c r="D1488" t="s">
        <v>2143</v>
      </c>
      <c r="E1488" t="s">
        <v>2162</v>
      </c>
      <c r="F1488" t="s">
        <v>145</v>
      </c>
      <c r="G1488" t="s">
        <v>6344</v>
      </c>
    </row>
    <row r="1489" spans="1:7" s="241" customFormat="1" ht="44.25" customHeight="1">
      <c r="A1489" t="s">
        <v>1382</v>
      </c>
      <c r="B1489" t="s">
        <v>6345</v>
      </c>
      <c r="C1489" t="s">
        <v>132</v>
      </c>
      <c r="D1489" t="s">
        <v>2143</v>
      </c>
      <c r="E1489" t="s">
        <v>2162</v>
      </c>
      <c r="F1489" t="s">
        <v>145</v>
      </c>
      <c r="G1489" t="s">
        <v>6346</v>
      </c>
    </row>
    <row r="1490" spans="1:7" s="241" customFormat="1" ht="44.25" customHeight="1">
      <c r="A1490" t="s">
        <v>1419</v>
      </c>
      <c r="B1490" t="s">
        <v>6347</v>
      </c>
      <c r="C1490" t="s">
        <v>132</v>
      </c>
      <c r="D1490" t="s">
        <v>2143</v>
      </c>
      <c r="E1490" t="s">
        <v>2162</v>
      </c>
      <c r="F1490" t="s">
        <v>145</v>
      </c>
      <c r="G1490" t="s">
        <v>6348</v>
      </c>
    </row>
    <row r="1491" spans="1:7" s="241" customFormat="1" ht="44.25" customHeight="1">
      <c r="A1491" t="s">
        <v>895</v>
      </c>
      <c r="B1491" t="s">
        <v>6349</v>
      </c>
      <c r="C1491" t="s">
        <v>132</v>
      </c>
      <c r="D1491" t="s">
        <v>79</v>
      </c>
      <c r="E1491" t="s">
        <v>4397</v>
      </c>
      <c r="F1491" t="s">
        <v>145</v>
      </c>
      <c r="G1491" t="s">
        <v>6350</v>
      </c>
    </row>
    <row r="1492" spans="1:7" s="241" customFormat="1" ht="44.25" customHeight="1">
      <c r="A1492" t="s">
        <v>939</v>
      </c>
      <c r="B1492" t="s">
        <v>6351</v>
      </c>
      <c r="C1492" t="s">
        <v>132</v>
      </c>
      <c r="D1492" t="s">
        <v>2143</v>
      </c>
      <c r="E1492" t="s">
        <v>2162</v>
      </c>
      <c r="F1492" t="s">
        <v>145</v>
      </c>
      <c r="G1492" t="s">
        <v>6352</v>
      </c>
    </row>
    <row r="1493" spans="1:7" s="241" customFormat="1" ht="44.25" customHeight="1">
      <c r="A1493" t="s">
        <v>6353</v>
      </c>
      <c r="B1493" t="s">
        <v>6354</v>
      </c>
      <c r="C1493" t="s">
        <v>132</v>
      </c>
      <c r="D1493" t="s">
        <v>79</v>
      </c>
      <c r="E1493" t="s">
        <v>3368</v>
      </c>
      <c r="F1493" t="s">
        <v>145</v>
      </c>
      <c r="G1493" t="s">
        <v>6355</v>
      </c>
    </row>
    <row r="1494" spans="1:7" s="241" customFormat="1" ht="44.25" customHeight="1">
      <c r="A1494" t="s">
        <v>6356</v>
      </c>
      <c r="B1494" t="s">
        <v>6357</v>
      </c>
      <c r="C1494" t="s">
        <v>132</v>
      </c>
      <c r="D1494" t="s">
        <v>79</v>
      </c>
      <c r="E1494" t="s">
        <v>6358</v>
      </c>
      <c r="F1494" t="s">
        <v>145</v>
      </c>
      <c r="G1494" t="s">
        <v>6359</v>
      </c>
    </row>
    <row r="1495" spans="1:7" s="241" customFormat="1" ht="44.25" customHeight="1">
      <c r="A1495" t="s">
        <v>6360</v>
      </c>
      <c r="B1495" t="s">
        <v>6361</v>
      </c>
      <c r="C1495" t="s">
        <v>132</v>
      </c>
      <c r="D1495" t="s">
        <v>79</v>
      </c>
      <c r="E1495" t="s">
        <v>6362</v>
      </c>
      <c r="F1495" t="s">
        <v>145</v>
      </c>
      <c r="G1495" t="s">
        <v>6363</v>
      </c>
    </row>
    <row r="1496" spans="1:7" s="241" customFormat="1" ht="44.25" customHeight="1">
      <c r="A1496" t="s">
        <v>6364</v>
      </c>
      <c r="B1496" t="s">
        <v>6365</v>
      </c>
      <c r="C1496" t="s">
        <v>132</v>
      </c>
      <c r="D1496" t="s">
        <v>79</v>
      </c>
      <c r="E1496" t="s">
        <v>6366</v>
      </c>
      <c r="F1496" t="s">
        <v>145</v>
      </c>
      <c r="G1496" t="s">
        <v>6367</v>
      </c>
    </row>
    <row r="1497" spans="1:7" s="241" customFormat="1" ht="44.25" customHeight="1">
      <c r="A1497" t="s">
        <v>6368</v>
      </c>
      <c r="B1497" t="s">
        <v>6369</v>
      </c>
      <c r="C1497" t="s">
        <v>132</v>
      </c>
      <c r="D1497" t="s">
        <v>79</v>
      </c>
      <c r="E1497" t="s">
        <v>6370</v>
      </c>
      <c r="F1497" t="s">
        <v>145</v>
      </c>
      <c r="G1497" t="s">
        <v>6371</v>
      </c>
    </row>
    <row r="1498" spans="1:7" s="241" customFormat="1" ht="44.25" customHeight="1">
      <c r="A1498" t="s">
        <v>6372</v>
      </c>
      <c r="B1498" t="s">
        <v>6373</v>
      </c>
      <c r="C1498" t="s">
        <v>132</v>
      </c>
      <c r="D1498" t="s">
        <v>2143</v>
      </c>
      <c r="E1498" t="s">
        <v>5577</v>
      </c>
      <c r="F1498" t="s">
        <v>145</v>
      </c>
      <c r="G1498" t="s">
        <v>6374</v>
      </c>
    </row>
    <row r="1499" spans="1:7" s="241" customFormat="1" ht="44.25" customHeight="1">
      <c r="A1499" t="s">
        <v>132</v>
      </c>
      <c r="B1499" t="s">
        <v>6375</v>
      </c>
      <c r="C1499" t="s">
        <v>132</v>
      </c>
      <c r="D1499" t="s">
        <v>2143</v>
      </c>
      <c r="E1499" t="s">
        <v>5577</v>
      </c>
      <c r="F1499" t="s">
        <v>145</v>
      </c>
      <c r="G1499" t="s">
        <v>6376</v>
      </c>
    </row>
    <row r="1500" spans="1:7" s="241" customFormat="1" ht="44.25" customHeight="1">
      <c r="A1500" t="s">
        <v>132</v>
      </c>
      <c r="B1500" t="s">
        <v>6377</v>
      </c>
      <c r="C1500" t="s">
        <v>132</v>
      </c>
      <c r="D1500" t="s">
        <v>2143</v>
      </c>
      <c r="E1500" t="s">
        <v>5624</v>
      </c>
      <c r="F1500" t="s">
        <v>145</v>
      </c>
      <c r="G1500" t="s">
        <v>6378</v>
      </c>
    </row>
    <row r="1501" spans="1:7" s="241" customFormat="1" ht="44.25" customHeight="1">
      <c r="A1501" t="s">
        <v>1356</v>
      </c>
      <c r="B1501" t="s">
        <v>6379</v>
      </c>
      <c r="C1501" t="s">
        <v>132</v>
      </c>
      <c r="D1501" t="s">
        <v>2143</v>
      </c>
      <c r="E1501" t="s">
        <v>1542</v>
      </c>
      <c r="F1501" t="s">
        <v>145</v>
      </c>
      <c r="G1501" t="s">
        <v>6380</v>
      </c>
    </row>
    <row r="1502" spans="1:7" s="241" customFormat="1" ht="44.25" customHeight="1">
      <c r="A1502" t="s">
        <v>258</v>
      </c>
      <c r="B1502" t="s">
        <v>6381</v>
      </c>
      <c r="C1502" t="s">
        <v>132</v>
      </c>
      <c r="D1502" t="s">
        <v>2143</v>
      </c>
      <c r="E1502" t="s">
        <v>1542</v>
      </c>
      <c r="F1502" t="s">
        <v>145</v>
      </c>
      <c r="G1502" t="s">
        <v>6382</v>
      </c>
    </row>
    <row r="1503" spans="1:7" s="241" customFormat="1" ht="44.25" customHeight="1">
      <c r="A1503" t="s">
        <v>882</v>
      </c>
      <c r="B1503" t="s">
        <v>6383</v>
      </c>
      <c r="C1503" t="s">
        <v>132</v>
      </c>
      <c r="D1503" t="s">
        <v>2143</v>
      </c>
      <c r="E1503" t="s">
        <v>3247</v>
      </c>
      <c r="F1503" t="s">
        <v>145</v>
      </c>
      <c r="G1503" t="s">
        <v>6384</v>
      </c>
    </row>
    <row r="1504" spans="1:7" s="241" customFormat="1" ht="44.25" customHeight="1">
      <c r="A1504" t="s">
        <v>1049</v>
      </c>
      <c r="B1504" t="s">
        <v>6385</v>
      </c>
      <c r="C1504" t="s">
        <v>132</v>
      </c>
      <c r="D1504" t="s">
        <v>2143</v>
      </c>
      <c r="E1504" t="s">
        <v>2162</v>
      </c>
      <c r="F1504" t="s">
        <v>145</v>
      </c>
      <c r="G1504" t="s">
        <v>6386</v>
      </c>
    </row>
    <row r="1505" spans="1:7" s="241" customFormat="1" ht="44.25" customHeight="1">
      <c r="A1505" t="s">
        <v>670</v>
      </c>
      <c r="B1505" t="s">
        <v>6387</v>
      </c>
      <c r="C1505" t="s">
        <v>132</v>
      </c>
      <c r="D1505" t="s">
        <v>2143</v>
      </c>
      <c r="E1505" t="s">
        <v>1519</v>
      </c>
      <c r="F1505" t="s">
        <v>145</v>
      </c>
      <c r="G1505" t="s">
        <v>6388</v>
      </c>
    </row>
    <row r="1506" spans="1:7" s="241" customFormat="1" ht="44.25" customHeight="1">
      <c r="A1506" t="s">
        <v>6389</v>
      </c>
      <c r="B1506" t="s">
        <v>6390</v>
      </c>
      <c r="C1506" t="s">
        <v>132</v>
      </c>
      <c r="D1506" t="s">
        <v>2143</v>
      </c>
      <c r="E1506" t="s">
        <v>6295</v>
      </c>
      <c r="F1506" t="s">
        <v>145</v>
      </c>
      <c r="G1506" t="s">
        <v>6391</v>
      </c>
    </row>
    <row r="1507" spans="1:7" s="241" customFormat="1" ht="44.25" customHeight="1">
      <c r="A1507" t="s">
        <v>6392</v>
      </c>
      <c r="B1507" t="s">
        <v>6393</v>
      </c>
      <c r="C1507" t="s">
        <v>132</v>
      </c>
      <c r="D1507" t="s">
        <v>79</v>
      </c>
      <c r="E1507" t="s">
        <v>1458</v>
      </c>
      <c r="F1507" t="s">
        <v>145</v>
      </c>
      <c r="G1507" t="s">
        <v>6394</v>
      </c>
    </row>
    <row r="1508" spans="1:7" s="241" customFormat="1" ht="44.25" customHeight="1">
      <c r="A1508" t="s">
        <v>6395</v>
      </c>
      <c r="B1508" t="s">
        <v>6396</v>
      </c>
      <c r="C1508" t="s">
        <v>132</v>
      </c>
      <c r="D1508" t="s">
        <v>79</v>
      </c>
      <c r="E1508" t="s">
        <v>6397</v>
      </c>
      <c r="F1508" t="s">
        <v>145</v>
      </c>
      <c r="G1508" t="s">
        <v>6398</v>
      </c>
    </row>
    <row r="1509" spans="1:7" s="241" customFormat="1" ht="44.25" customHeight="1">
      <c r="A1509" t="s">
        <v>6399</v>
      </c>
      <c r="B1509" t="s">
        <v>6400</v>
      </c>
      <c r="C1509" t="s">
        <v>132</v>
      </c>
      <c r="D1509" t="s">
        <v>2143</v>
      </c>
      <c r="E1509" t="s">
        <v>1542</v>
      </c>
      <c r="F1509" t="s">
        <v>145</v>
      </c>
      <c r="G1509" t="s">
        <v>6401</v>
      </c>
    </row>
    <row r="1510" spans="1:7" s="241" customFormat="1" ht="44.25" customHeight="1">
      <c r="A1510" t="s">
        <v>265</v>
      </c>
      <c r="B1510" t="s">
        <v>6402</v>
      </c>
      <c r="C1510" t="s">
        <v>132</v>
      </c>
      <c r="D1510" t="s">
        <v>2143</v>
      </c>
      <c r="E1510" t="s">
        <v>1542</v>
      </c>
      <c r="F1510" t="s">
        <v>145</v>
      </c>
      <c r="G1510" t="s">
        <v>6403</v>
      </c>
    </row>
    <row r="1511" spans="1:7" s="241" customFormat="1" ht="44.25" customHeight="1">
      <c r="A1511" t="s">
        <v>6404</v>
      </c>
      <c r="B1511" t="s">
        <v>6405</v>
      </c>
      <c r="C1511" t="s">
        <v>132</v>
      </c>
      <c r="D1511" t="s">
        <v>2139</v>
      </c>
      <c r="E1511" t="s">
        <v>1367</v>
      </c>
      <c r="F1511" t="s">
        <v>145</v>
      </c>
      <c r="G1511" t="s">
        <v>6406</v>
      </c>
    </row>
    <row r="1512" spans="1:7" s="241" customFormat="1" ht="44.25" customHeight="1">
      <c r="A1512" t="s">
        <v>6407</v>
      </c>
      <c r="B1512" t="s">
        <v>6408</v>
      </c>
      <c r="C1512" t="s">
        <v>132</v>
      </c>
      <c r="D1512" t="s">
        <v>2139</v>
      </c>
      <c r="E1512" t="s">
        <v>1367</v>
      </c>
      <c r="F1512" t="s">
        <v>145</v>
      </c>
      <c r="G1512" t="s">
        <v>6409</v>
      </c>
    </row>
    <row r="1513" spans="1:7" s="241" customFormat="1" ht="44.25" customHeight="1">
      <c r="A1513" t="s">
        <v>1292</v>
      </c>
      <c r="B1513" t="s">
        <v>6410</v>
      </c>
      <c r="C1513" t="s">
        <v>132</v>
      </c>
      <c r="D1513" t="s">
        <v>2143</v>
      </c>
      <c r="E1513" t="s">
        <v>4010</v>
      </c>
      <c r="F1513" t="s">
        <v>145</v>
      </c>
      <c r="G1513" t="s">
        <v>6411</v>
      </c>
    </row>
    <row r="1514" spans="1:7" s="241" customFormat="1" ht="44.25" customHeight="1">
      <c r="A1514" t="s">
        <v>979</v>
      </c>
      <c r="B1514" t="s">
        <v>6412</v>
      </c>
      <c r="C1514" t="s">
        <v>132</v>
      </c>
      <c r="D1514" t="s">
        <v>2143</v>
      </c>
      <c r="E1514" t="s">
        <v>2162</v>
      </c>
      <c r="F1514" t="s">
        <v>145</v>
      </c>
      <c r="G1514" t="s">
        <v>6413</v>
      </c>
    </row>
    <row r="1515" spans="1:7" s="241" customFormat="1" ht="44.25" customHeight="1">
      <c r="A1515" t="s">
        <v>437</v>
      </c>
      <c r="B1515" t="s">
        <v>6414</v>
      </c>
      <c r="C1515" t="s">
        <v>132</v>
      </c>
      <c r="D1515" t="s">
        <v>79</v>
      </c>
      <c r="E1515" t="s">
        <v>4713</v>
      </c>
      <c r="F1515" t="s">
        <v>145</v>
      </c>
      <c r="G1515" t="s">
        <v>6415</v>
      </c>
    </row>
    <row r="1516" spans="1:7" s="241" customFormat="1" ht="44.25" customHeight="1">
      <c r="A1516" t="s">
        <v>676</v>
      </c>
      <c r="B1516" t="s">
        <v>6416</v>
      </c>
      <c r="C1516" t="s">
        <v>132</v>
      </c>
      <c r="D1516" t="s">
        <v>2143</v>
      </c>
      <c r="E1516" t="s">
        <v>1519</v>
      </c>
      <c r="F1516" t="s">
        <v>145</v>
      </c>
      <c r="G1516" t="s">
        <v>6417</v>
      </c>
    </row>
    <row r="1517" spans="1:7" s="241" customFormat="1" ht="44.25" customHeight="1">
      <c r="A1517" t="s">
        <v>6418</v>
      </c>
      <c r="B1517" t="s">
        <v>6419</v>
      </c>
      <c r="C1517" t="s">
        <v>132</v>
      </c>
      <c r="D1517" t="s">
        <v>79</v>
      </c>
      <c r="E1517" t="s">
        <v>6420</v>
      </c>
      <c r="F1517" t="s">
        <v>145</v>
      </c>
      <c r="G1517" t="s">
        <v>6421</v>
      </c>
    </row>
    <row r="1518" spans="1:7" s="241" customFormat="1" ht="44.25" customHeight="1">
      <c r="A1518" t="s">
        <v>6422</v>
      </c>
      <c r="B1518" t="s">
        <v>6423</v>
      </c>
      <c r="C1518" t="s">
        <v>132</v>
      </c>
      <c r="D1518" t="s">
        <v>79</v>
      </c>
      <c r="E1518" t="s">
        <v>6424</v>
      </c>
      <c r="F1518" t="s">
        <v>145</v>
      </c>
      <c r="G1518" t="s">
        <v>6425</v>
      </c>
    </row>
    <row r="1519" spans="1:7" s="241" customFormat="1" ht="44.25" customHeight="1">
      <c r="A1519" t="s">
        <v>132</v>
      </c>
      <c r="B1519" t="s">
        <v>6426</v>
      </c>
      <c r="C1519" t="s">
        <v>132</v>
      </c>
      <c r="D1519" t="s">
        <v>2143</v>
      </c>
      <c r="E1519" t="s">
        <v>5039</v>
      </c>
      <c r="F1519" t="s">
        <v>145</v>
      </c>
      <c r="G1519" t="s">
        <v>6427</v>
      </c>
    </row>
    <row r="1520" spans="1:7" s="241" customFormat="1" ht="44.25" customHeight="1">
      <c r="A1520" t="s">
        <v>6428</v>
      </c>
      <c r="B1520" t="s">
        <v>6429</v>
      </c>
      <c r="C1520" t="s">
        <v>132</v>
      </c>
      <c r="D1520" t="s">
        <v>79</v>
      </c>
      <c r="E1520" t="s">
        <v>6430</v>
      </c>
      <c r="F1520" t="s">
        <v>145</v>
      </c>
      <c r="G1520" t="s">
        <v>6431</v>
      </c>
    </row>
    <row r="1521" spans="1:7" s="241" customFormat="1" ht="44.25" customHeight="1">
      <c r="A1521" t="s">
        <v>6432</v>
      </c>
      <c r="B1521" t="s">
        <v>6433</v>
      </c>
      <c r="C1521" t="s">
        <v>132</v>
      </c>
      <c r="D1521" t="s">
        <v>2143</v>
      </c>
      <c r="E1521" t="s">
        <v>2581</v>
      </c>
      <c r="F1521" t="s">
        <v>145</v>
      </c>
      <c r="G1521" t="s">
        <v>6434</v>
      </c>
    </row>
    <row r="1522" spans="1:7" s="241" customFormat="1" ht="44.25" customHeight="1">
      <c r="A1522" t="s">
        <v>6435</v>
      </c>
      <c r="B1522" t="s">
        <v>6436</v>
      </c>
      <c r="C1522" t="s">
        <v>132</v>
      </c>
      <c r="D1522" t="s">
        <v>2143</v>
      </c>
      <c r="E1522" t="s">
        <v>1542</v>
      </c>
      <c r="F1522" t="s">
        <v>145</v>
      </c>
      <c r="G1522" t="s">
        <v>6437</v>
      </c>
    </row>
    <row r="1523" spans="1:7" s="241" customFormat="1" ht="44.25" customHeight="1">
      <c r="A1523" t="s">
        <v>6438</v>
      </c>
      <c r="B1523" t="s">
        <v>6439</v>
      </c>
      <c r="C1523" t="s">
        <v>132</v>
      </c>
      <c r="D1523" t="s">
        <v>2143</v>
      </c>
      <c r="E1523" t="s">
        <v>1542</v>
      </c>
      <c r="F1523" t="s">
        <v>145</v>
      </c>
      <c r="G1523" t="s">
        <v>6440</v>
      </c>
    </row>
    <row r="1524" spans="1:7" s="241" customFormat="1" ht="44.25" customHeight="1">
      <c r="A1524" t="s">
        <v>1325</v>
      </c>
      <c r="B1524" t="s">
        <v>6441</v>
      </c>
      <c r="C1524" t="s">
        <v>132</v>
      </c>
      <c r="D1524" t="s">
        <v>2143</v>
      </c>
      <c r="E1524" t="s">
        <v>1542</v>
      </c>
      <c r="F1524" t="s">
        <v>145</v>
      </c>
      <c r="G1524" t="s">
        <v>6442</v>
      </c>
    </row>
    <row r="1525" spans="1:7" s="241" customFormat="1" ht="44.25" customHeight="1">
      <c r="A1525" t="s">
        <v>6443</v>
      </c>
      <c r="B1525" t="s">
        <v>6444</v>
      </c>
      <c r="C1525" t="s">
        <v>132</v>
      </c>
      <c r="D1525" t="s">
        <v>2143</v>
      </c>
      <c r="E1525" t="s">
        <v>1542</v>
      </c>
      <c r="F1525" t="s">
        <v>145</v>
      </c>
      <c r="G1525" t="s">
        <v>6445</v>
      </c>
    </row>
    <row r="1526" spans="1:7" s="241" customFormat="1" ht="44.25" customHeight="1">
      <c r="A1526" t="s">
        <v>6446</v>
      </c>
      <c r="B1526" t="s">
        <v>6447</v>
      </c>
      <c r="C1526" t="s">
        <v>6448</v>
      </c>
      <c r="D1526" t="s">
        <v>2143</v>
      </c>
      <c r="E1526" t="s">
        <v>2571</v>
      </c>
      <c r="F1526" t="s">
        <v>145</v>
      </c>
      <c r="G1526" t="s">
        <v>6449</v>
      </c>
    </row>
    <row r="1527" spans="1:7" s="241" customFormat="1" ht="44.25" customHeight="1">
      <c r="A1527" t="s">
        <v>1349</v>
      </c>
      <c r="B1527" t="s">
        <v>6450</v>
      </c>
      <c r="C1527" t="s">
        <v>132</v>
      </c>
      <c r="D1527" t="s">
        <v>2143</v>
      </c>
      <c r="E1527" t="s">
        <v>1542</v>
      </c>
      <c r="F1527" t="s">
        <v>145</v>
      </c>
      <c r="G1527" t="s">
        <v>6451</v>
      </c>
    </row>
    <row r="1528" spans="1:7" s="241" customFormat="1" ht="44.25" customHeight="1">
      <c r="A1528" t="s">
        <v>873</v>
      </c>
      <c r="B1528" t="s">
        <v>6452</v>
      </c>
      <c r="C1528" t="s">
        <v>132</v>
      </c>
      <c r="D1528" t="s">
        <v>2143</v>
      </c>
      <c r="E1528" t="s">
        <v>1542</v>
      </c>
      <c r="F1528" t="s">
        <v>145</v>
      </c>
      <c r="G1528" t="s">
        <v>6453</v>
      </c>
    </row>
    <row r="1529" spans="1:7" s="241" customFormat="1" ht="44.25" customHeight="1">
      <c r="A1529" t="s">
        <v>426</v>
      </c>
      <c r="B1529" t="s">
        <v>6454</v>
      </c>
      <c r="C1529" t="s">
        <v>132</v>
      </c>
      <c r="D1529" t="s">
        <v>79</v>
      </c>
      <c r="E1529" t="s">
        <v>6455</v>
      </c>
      <c r="F1529" t="s">
        <v>145</v>
      </c>
      <c r="G1529" t="s">
        <v>6456</v>
      </c>
    </row>
    <row r="1530" spans="1:7" s="241" customFormat="1" ht="44.25" customHeight="1">
      <c r="A1530" t="s">
        <v>6457</v>
      </c>
      <c r="B1530" t="s">
        <v>6458</v>
      </c>
      <c r="C1530" t="s">
        <v>132</v>
      </c>
      <c r="D1530" t="s">
        <v>2139</v>
      </c>
      <c r="E1530" t="s">
        <v>3623</v>
      </c>
      <c r="F1530" t="s">
        <v>145</v>
      </c>
      <c r="G1530" t="s">
        <v>6459</v>
      </c>
    </row>
    <row r="1531" spans="1:7" s="241" customFormat="1" ht="44.25" customHeight="1">
      <c r="A1531" t="s">
        <v>1269</v>
      </c>
      <c r="B1531" t="s">
        <v>6460</v>
      </c>
      <c r="C1531" t="s">
        <v>132</v>
      </c>
      <c r="D1531" t="s">
        <v>2143</v>
      </c>
      <c r="E1531" t="s">
        <v>2162</v>
      </c>
      <c r="F1531" t="s">
        <v>145</v>
      </c>
      <c r="G1531" t="s">
        <v>6461</v>
      </c>
    </row>
    <row r="1532" spans="1:7" s="241" customFormat="1" ht="44.25" customHeight="1">
      <c r="A1532" t="s">
        <v>395</v>
      </c>
      <c r="B1532" t="s">
        <v>6462</v>
      </c>
      <c r="C1532" t="s">
        <v>132</v>
      </c>
      <c r="D1532" t="s">
        <v>79</v>
      </c>
      <c r="E1532" t="s">
        <v>6463</v>
      </c>
      <c r="F1532" t="s">
        <v>145</v>
      </c>
      <c r="G1532" t="s">
        <v>6464</v>
      </c>
    </row>
    <row r="1533" spans="1:7" s="241" customFormat="1" ht="44.25" customHeight="1">
      <c r="A1533" t="s">
        <v>506</v>
      </c>
      <c r="B1533" t="s">
        <v>6465</v>
      </c>
      <c r="C1533" t="s">
        <v>132</v>
      </c>
      <c r="D1533" t="s">
        <v>79</v>
      </c>
      <c r="E1533" t="s">
        <v>6466</v>
      </c>
      <c r="F1533" t="s">
        <v>145</v>
      </c>
      <c r="G1533" t="s">
        <v>6467</v>
      </c>
    </row>
    <row r="1534" spans="1:7" s="241" customFormat="1" ht="44.25" customHeight="1">
      <c r="A1534" t="s">
        <v>955</v>
      </c>
      <c r="B1534" t="s">
        <v>6468</v>
      </c>
      <c r="C1534" t="s">
        <v>132</v>
      </c>
      <c r="D1534" t="s">
        <v>2143</v>
      </c>
      <c r="E1534" t="s">
        <v>2162</v>
      </c>
      <c r="F1534" t="s">
        <v>145</v>
      </c>
      <c r="G1534" t="s">
        <v>6469</v>
      </c>
    </row>
    <row r="1535" spans="1:7" s="241" customFormat="1" ht="44.25" customHeight="1">
      <c r="A1535" t="s">
        <v>700</v>
      </c>
      <c r="B1535" t="s">
        <v>6470</v>
      </c>
      <c r="C1535" t="s">
        <v>132</v>
      </c>
      <c r="D1535" t="s">
        <v>2143</v>
      </c>
      <c r="E1535" t="s">
        <v>2155</v>
      </c>
      <c r="F1535" t="s">
        <v>145</v>
      </c>
      <c r="G1535" t="s">
        <v>6471</v>
      </c>
    </row>
    <row r="1536" spans="1:7" s="241" customFormat="1" ht="44.25" customHeight="1">
      <c r="A1536" t="s">
        <v>6472</v>
      </c>
      <c r="B1536" t="s">
        <v>6473</v>
      </c>
      <c r="C1536" t="s">
        <v>132</v>
      </c>
      <c r="D1536" t="s">
        <v>79</v>
      </c>
      <c r="E1536" t="s">
        <v>4063</v>
      </c>
      <c r="F1536" t="s">
        <v>145</v>
      </c>
      <c r="G1536" t="s">
        <v>6474</v>
      </c>
    </row>
    <row r="1537" spans="1:7" s="241" customFormat="1" ht="44.25" customHeight="1">
      <c r="A1537" t="s">
        <v>6475</v>
      </c>
      <c r="B1537" t="s">
        <v>6476</v>
      </c>
      <c r="C1537" t="s">
        <v>132</v>
      </c>
      <c r="D1537" t="s">
        <v>79</v>
      </c>
      <c r="E1537" t="s">
        <v>6477</v>
      </c>
      <c r="F1537" t="s">
        <v>145</v>
      </c>
      <c r="G1537" t="s">
        <v>6478</v>
      </c>
    </row>
    <row r="1538" spans="1:7" s="241" customFormat="1" ht="44.25" customHeight="1">
      <c r="A1538" t="s">
        <v>132</v>
      </c>
      <c r="B1538" t="s">
        <v>6479</v>
      </c>
      <c r="C1538" t="s">
        <v>132</v>
      </c>
      <c r="D1538" t="s">
        <v>2510</v>
      </c>
      <c r="E1538" t="s">
        <v>2511</v>
      </c>
      <c r="F1538" t="s">
        <v>145</v>
      </c>
      <c r="G1538" t="s">
        <v>6480</v>
      </c>
    </row>
    <row r="1539" spans="1:7" s="241" customFormat="1" ht="44.25" customHeight="1">
      <c r="A1539" t="s">
        <v>132</v>
      </c>
      <c r="B1539" t="s">
        <v>6479</v>
      </c>
      <c r="C1539" t="s">
        <v>132</v>
      </c>
      <c r="D1539" t="s">
        <v>2510</v>
      </c>
      <c r="E1539" t="s">
        <v>2511</v>
      </c>
      <c r="F1539" t="s">
        <v>145</v>
      </c>
      <c r="G1539" t="s">
        <v>6480</v>
      </c>
    </row>
    <row r="1540" spans="1:7" s="241" customFormat="1" ht="44.25" customHeight="1">
      <c r="A1540" t="s">
        <v>6481</v>
      </c>
      <c r="B1540" t="s">
        <v>6482</v>
      </c>
      <c r="C1540" t="s">
        <v>132</v>
      </c>
      <c r="D1540" t="s">
        <v>79</v>
      </c>
      <c r="E1540" t="s">
        <v>6483</v>
      </c>
      <c r="F1540" t="s">
        <v>145</v>
      </c>
      <c r="G1540" t="s">
        <v>6484</v>
      </c>
    </row>
    <row r="1541" spans="1:7" s="241" customFormat="1" ht="44.25" customHeight="1">
      <c r="A1541" t="s">
        <v>6485</v>
      </c>
      <c r="B1541" t="s">
        <v>6486</v>
      </c>
      <c r="C1541" t="s">
        <v>132</v>
      </c>
      <c r="D1541" t="s">
        <v>2143</v>
      </c>
      <c r="E1541" t="s">
        <v>5570</v>
      </c>
      <c r="F1541" t="s">
        <v>145</v>
      </c>
      <c r="G1541" t="s">
        <v>6487</v>
      </c>
    </row>
    <row r="1542" spans="1:7" s="241" customFormat="1" ht="44.25" customHeight="1">
      <c r="A1542" t="s">
        <v>132</v>
      </c>
      <c r="B1542" t="s">
        <v>6488</v>
      </c>
      <c r="C1542" t="s">
        <v>132</v>
      </c>
      <c r="D1542" t="s">
        <v>2143</v>
      </c>
      <c r="E1542" t="s">
        <v>6489</v>
      </c>
      <c r="F1542" t="s">
        <v>145</v>
      </c>
      <c r="G1542" t="s">
        <v>6490</v>
      </c>
    </row>
    <row r="1543" spans="1:7" s="241" customFormat="1" ht="44.25" customHeight="1">
      <c r="A1543" t="s">
        <v>6491</v>
      </c>
      <c r="B1543" t="s">
        <v>6492</v>
      </c>
      <c r="C1543" t="s">
        <v>132</v>
      </c>
      <c r="D1543" t="s">
        <v>2143</v>
      </c>
      <c r="E1543" t="s">
        <v>6295</v>
      </c>
      <c r="F1543" t="s">
        <v>145</v>
      </c>
      <c r="G1543" t="s">
        <v>6493</v>
      </c>
    </row>
    <row r="1544" spans="1:7" s="241" customFormat="1" ht="44.25" customHeight="1">
      <c r="A1544" t="s">
        <v>450</v>
      </c>
      <c r="B1544" t="s">
        <v>6494</v>
      </c>
      <c r="C1544" t="s">
        <v>6495</v>
      </c>
      <c r="D1544" t="s">
        <v>79</v>
      </c>
      <c r="E1544" t="s">
        <v>1473</v>
      </c>
      <c r="F1544" t="s">
        <v>145</v>
      </c>
      <c r="G1544" t="s">
        <v>6496</v>
      </c>
    </row>
    <row r="1545" spans="1:7" s="241" customFormat="1" ht="44.25" customHeight="1">
      <c r="A1545" t="s">
        <v>6497</v>
      </c>
      <c r="B1545" t="s">
        <v>6498</v>
      </c>
      <c r="C1545" t="s">
        <v>132</v>
      </c>
      <c r="D1545" t="s">
        <v>2143</v>
      </c>
      <c r="E1545" t="s">
        <v>1542</v>
      </c>
      <c r="F1545" t="s">
        <v>145</v>
      </c>
      <c r="G1545" t="s">
        <v>6499</v>
      </c>
    </row>
    <row r="1546" spans="1:7" s="241" customFormat="1" ht="44.25" customHeight="1">
      <c r="A1546" t="s">
        <v>6500</v>
      </c>
      <c r="B1546" t="s">
        <v>6501</v>
      </c>
      <c r="C1546" t="s">
        <v>132</v>
      </c>
      <c r="D1546" t="s">
        <v>2143</v>
      </c>
      <c r="E1546" t="s">
        <v>1542</v>
      </c>
      <c r="F1546" t="s">
        <v>145</v>
      </c>
      <c r="G1546" t="s">
        <v>6502</v>
      </c>
    </row>
    <row r="1547" spans="1:7" s="241" customFormat="1" ht="44.25" customHeight="1">
      <c r="A1547" t="s">
        <v>6503</v>
      </c>
      <c r="B1547" t="s">
        <v>6504</v>
      </c>
      <c r="C1547" t="s">
        <v>132</v>
      </c>
      <c r="D1547" t="s">
        <v>2143</v>
      </c>
      <c r="E1547" t="s">
        <v>2285</v>
      </c>
      <c r="F1547" t="s">
        <v>145</v>
      </c>
      <c r="G1547" t="s">
        <v>6505</v>
      </c>
    </row>
    <row r="1548" spans="1:7" s="241" customFormat="1" ht="44.25" customHeight="1">
      <c r="A1548" t="s">
        <v>1362</v>
      </c>
      <c r="B1548" t="s">
        <v>6506</v>
      </c>
      <c r="C1548" t="s">
        <v>132</v>
      </c>
      <c r="D1548" t="s">
        <v>2143</v>
      </c>
      <c r="E1548" t="s">
        <v>1542</v>
      </c>
      <c r="F1548" t="s">
        <v>145</v>
      </c>
      <c r="G1548" t="s">
        <v>6507</v>
      </c>
    </row>
    <row r="1549" spans="1:7" s="241" customFormat="1" ht="44.25" customHeight="1">
      <c r="A1549" t="s">
        <v>6508</v>
      </c>
      <c r="B1549" t="s">
        <v>6509</v>
      </c>
      <c r="C1549" t="s">
        <v>132</v>
      </c>
      <c r="D1549" t="s">
        <v>2143</v>
      </c>
      <c r="E1549" t="s">
        <v>1542</v>
      </c>
      <c r="F1549" t="s">
        <v>145</v>
      </c>
      <c r="G1549" t="s">
        <v>6510</v>
      </c>
    </row>
    <row r="1550" spans="1:7" s="241" customFormat="1" ht="44.25" customHeight="1">
      <c r="A1550" t="s">
        <v>6511</v>
      </c>
      <c r="B1550" t="s">
        <v>6512</v>
      </c>
      <c r="C1550" t="s">
        <v>132</v>
      </c>
      <c r="D1550" t="s">
        <v>2139</v>
      </c>
      <c r="E1550" t="s">
        <v>1367</v>
      </c>
      <c r="F1550" t="s">
        <v>145</v>
      </c>
      <c r="G1550" t="s">
        <v>6513</v>
      </c>
    </row>
    <row r="1551" spans="1:7" s="241" customFormat="1" ht="44.25" customHeight="1">
      <c r="A1551" t="s">
        <v>6514</v>
      </c>
      <c r="B1551" t="s">
        <v>6515</v>
      </c>
      <c r="C1551" t="s">
        <v>132</v>
      </c>
      <c r="D1551" t="s">
        <v>2139</v>
      </c>
      <c r="E1551" t="s">
        <v>1365</v>
      </c>
      <c r="F1551" t="s">
        <v>145</v>
      </c>
      <c r="G1551" t="s">
        <v>6516</v>
      </c>
    </row>
    <row r="1552" spans="1:7" s="241" customFormat="1" ht="44.25" customHeight="1">
      <c r="A1552" t="s">
        <v>355</v>
      </c>
      <c r="B1552" t="s">
        <v>6517</v>
      </c>
      <c r="C1552" t="s">
        <v>132</v>
      </c>
      <c r="D1552" t="s">
        <v>2143</v>
      </c>
      <c r="E1552" t="s">
        <v>2162</v>
      </c>
      <c r="F1552" t="s">
        <v>145</v>
      </c>
      <c r="G1552" t="s">
        <v>6518</v>
      </c>
    </row>
    <row r="1553" spans="1:7" s="241" customFormat="1" ht="44.25" customHeight="1">
      <c r="A1553" t="s">
        <v>834</v>
      </c>
      <c r="B1553" t="s">
        <v>6519</v>
      </c>
      <c r="C1553" t="s">
        <v>132</v>
      </c>
      <c r="D1553" t="s">
        <v>2143</v>
      </c>
      <c r="E1553" t="s">
        <v>4010</v>
      </c>
      <c r="F1553" t="s">
        <v>145</v>
      </c>
      <c r="G1553" t="s">
        <v>6520</v>
      </c>
    </row>
    <row r="1554" spans="1:7" ht="44.25" customHeight="1">
      <c r="A1554" t="s">
        <v>6521</v>
      </c>
      <c r="B1554" t="s">
        <v>6522</v>
      </c>
      <c r="C1554" t="s">
        <v>132</v>
      </c>
      <c r="D1554" t="s">
        <v>79</v>
      </c>
      <c r="E1554" t="s">
        <v>6523</v>
      </c>
      <c r="F1554" t="s">
        <v>145</v>
      </c>
      <c r="G1554" t="s">
        <v>6524</v>
      </c>
    </row>
    <row r="1555" spans="1:7" ht="44.25" customHeight="1">
      <c r="A1555" t="s">
        <v>6525</v>
      </c>
      <c r="B1555" t="s">
        <v>6526</v>
      </c>
      <c r="C1555" t="s">
        <v>132</v>
      </c>
      <c r="D1555" t="s">
        <v>79</v>
      </c>
      <c r="E1555" t="s">
        <v>6527</v>
      </c>
      <c r="F1555" t="s">
        <v>145</v>
      </c>
      <c r="G1555" t="s">
        <v>6528</v>
      </c>
    </row>
    <row r="1556" spans="1:7" ht="44.25" customHeight="1">
      <c r="A1556" t="s">
        <v>6529</v>
      </c>
      <c r="B1556" t="s">
        <v>6530</v>
      </c>
      <c r="C1556" t="s">
        <v>132</v>
      </c>
      <c r="D1556" t="s">
        <v>79</v>
      </c>
      <c r="E1556" t="s">
        <v>6531</v>
      </c>
      <c r="F1556" t="s">
        <v>145</v>
      </c>
      <c r="G1556" t="s">
        <v>6532</v>
      </c>
    </row>
    <row r="1557" spans="1:7" ht="44.25" customHeight="1">
      <c r="A1557" t="s">
        <v>6533</v>
      </c>
      <c r="B1557" t="s">
        <v>6534</v>
      </c>
      <c r="C1557" t="s">
        <v>132</v>
      </c>
      <c r="D1557" t="s">
        <v>79</v>
      </c>
      <c r="E1557" t="s">
        <v>6535</v>
      </c>
      <c r="F1557" t="s">
        <v>145</v>
      </c>
      <c r="G1557" t="s">
        <v>6536</v>
      </c>
    </row>
    <row r="1558" spans="1:7" ht="44.25" customHeight="1">
      <c r="A1558" t="s">
        <v>6537</v>
      </c>
      <c r="B1558" t="s">
        <v>6538</v>
      </c>
      <c r="C1558" t="s">
        <v>132</v>
      </c>
      <c r="D1558" t="s">
        <v>79</v>
      </c>
      <c r="E1558" t="s">
        <v>6539</v>
      </c>
      <c r="F1558" t="s">
        <v>145</v>
      </c>
      <c r="G1558" t="s">
        <v>6540</v>
      </c>
    </row>
    <row r="1559" spans="1:7" ht="44.25" customHeight="1">
      <c r="A1559" t="s">
        <v>6541</v>
      </c>
      <c r="B1559" t="s">
        <v>6542</v>
      </c>
      <c r="C1559" t="s">
        <v>132</v>
      </c>
      <c r="D1559" t="s">
        <v>79</v>
      </c>
      <c r="E1559" t="s">
        <v>6543</v>
      </c>
      <c r="F1559" t="s">
        <v>145</v>
      </c>
      <c r="G1559" t="s">
        <v>6544</v>
      </c>
    </row>
    <row r="1560" spans="1:7" ht="44.25" customHeight="1">
      <c r="A1560" t="s">
        <v>6545</v>
      </c>
      <c r="B1560" t="s">
        <v>6546</v>
      </c>
      <c r="C1560" t="s">
        <v>132</v>
      </c>
      <c r="D1560" t="s">
        <v>79</v>
      </c>
      <c r="E1560" t="s">
        <v>6547</v>
      </c>
      <c r="F1560" t="s">
        <v>145</v>
      </c>
      <c r="G1560" t="s">
        <v>6548</v>
      </c>
    </row>
    <row r="1561" spans="1:7" ht="44.25" customHeight="1">
      <c r="A1561" t="s">
        <v>6549</v>
      </c>
      <c r="B1561" t="s">
        <v>6550</v>
      </c>
      <c r="C1561" t="s">
        <v>132</v>
      </c>
      <c r="D1561" t="s">
        <v>2143</v>
      </c>
      <c r="E1561" t="s">
        <v>5859</v>
      </c>
      <c r="F1561" t="s">
        <v>145</v>
      </c>
      <c r="G1561" t="s">
        <v>6551</v>
      </c>
    </row>
    <row r="1562" spans="1:7" ht="44.25" customHeight="1">
      <c r="A1562" t="s">
        <v>6552</v>
      </c>
      <c r="B1562" t="s">
        <v>6553</v>
      </c>
      <c r="C1562" t="s">
        <v>132</v>
      </c>
      <c r="D1562" t="s">
        <v>2143</v>
      </c>
      <c r="E1562" t="s">
        <v>1542</v>
      </c>
      <c r="F1562" t="s">
        <v>145</v>
      </c>
      <c r="G1562" t="s">
        <v>6554</v>
      </c>
    </row>
    <row r="1563" spans="1:7" ht="44.25" customHeight="1">
      <c r="A1563" t="s">
        <v>6555</v>
      </c>
      <c r="B1563" t="s">
        <v>6556</v>
      </c>
      <c r="C1563" t="s">
        <v>132</v>
      </c>
      <c r="D1563" t="s">
        <v>2143</v>
      </c>
      <c r="E1563" t="s">
        <v>1542</v>
      </c>
      <c r="F1563" t="s">
        <v>145</v>
      </c>
      <c r="G1563" t="s">
        <v>6557</v>
      </c>
    </row>
    <row r="1564" spans="1:7" ht="44.25" customHeight="1">
      <c r="A1564" t="s">
        <v>6558</v>
      </c>
      <c r="B1564" t="s">
        <v>6559</v>
      </c>
      <c r="C1564" t="s">
        <v>132</v>
      </c>
      <c r="D1564" t="s">
        <v>2143</v>
      </c>
      <c r="E1564" t="s">
        <v>1542</v>
      </c>
      <c r="F1564" t="s">
        <v>145</v>
      </c>
      <c r="G1564" t="s">
        <v>6560</v>
      </c>
    </row>
    <row r="1565" spans="1:7" ht="44.25" customHeight="1">
      <c r="A1565" t="s">
        <v>132</v>
      </c>
      <c r="B1565" t="s">
        <v>6561</v>
      </c>
      <c r="C1565" t="s">
        <v>132</v>
      </c>
      <c r="D1565" t="s">
        <v>2143</v>
      </c>
      <c r="E1565" t="s">
        <v>1542</v>
      </c>
      <c r="F1565" t="s">
        <v>145</v>
      </c>
      <c r="G1565" t="s">
        <v>6562</v>
      </c>
    </row>
    <row r="1566" spans="1:7" ht="44.25" customHeight="1">
      <c r="A1566" t="s">
        <v>6563</v>
      </c>
      <c r="B1566" t="s">
        <v>6564</v>
      </c>
      <c r="C1566" t="s">
        <v>132</v>
      </c>
      <c r="D1566" t="s">
        <v>2143</v>
      </c>
      <c r="E1566" t="s">
        <v>2581</v>
      </c>
      <c r="F1566" t="s">
        <v>145</v>
      </c>
      <c r="G1566" t="s">
        <v>6565</v>
      </c>
    </row>
    <row r="1567" spans="1:7" ht="44.25" customHeight="1">
      <c r="A1567" t="s">
        <v>259</v>
      </c>
      <c r="B1567" t="s">
        <v>6566</v>
      </c>
      <c r="C1567" t="s">
        <v>132</v>
      </c>
      <c r="D1567" t="s">
        <v>2143</v>
      </c>
      <c r="E1567" t="s">
        <v>1542</v>
      </c>
      <c r="F1567" t="s">
        <v>145</v>
      </c>
      <c r="G1567" t="s">
        <v>6567</v>
      </c>
    </row>
    <row r="1568" spans="1:7" ht="44.25" customHeight="1">
      <c r="A1568" t="s">
        <v>1363</v>
      </c>
      <c r="B1568" t="s">
        <v>6568</v>
      </c>
      <c r="C1568" t="s">
        <v>132</v>
      </c>
      <c r="D1568" t="s">
        <v>2143</v>
      </c>
      <c r="E1568" t="s">
        <v>1542</v>
      </c>
      <c r="F1568" t="s">
        <v>145</v>
      </c>
      <c r="G1568" t="s">
        <v>6569</v>
      </c>
    </row>
    <row r="1569" spans="1:7" ht="44.25" customHeight="1">
      <c r="A1569" t="s">
        <v>6570</v>
      </c>
      <c r="B1569" t="s">
        <v>6571</v>
      </c>
      <c r="C1569" t="s">
        <v>132</v>
      </c>
      <c r="D1569" t="s">
        <v>79</v>
      </c>
      <c r="E1569" t="s">
        <v>3408</v>
      </c>
      <c r="F1569" t="s">
        <v>145</v>
      </c>
      <c r="G1569" t="s">
        <v>6572</v>
      </c>
    </row>
    <row r="1570" spans="1:7" ht="44.25" customHeight="1">
      <c r="A1570" t="s">
        <v>6573</v>
      </c>
      <c r="B1570" t="s">
        <v>6574</v>
      </c>
      <c r="C1570" t="s">
        <v>132</v>
      </c>
      <c r="D1570" t="s">
        <v>79</v>
      </c>
      <c r="E1570" t="s">
        <v>6575</v>
      </c>
      <c r="F1570" t="s">
        <v>145</v>
      </c>
      <c r="G1570" t="s">
        <v>6576</v>
      </c>
    </row>
    <row r="1571" spans="1:7" ht="44.25" customHeight="1">
      <c r="A1571" t="s">
        <v>6577</v>
      </c>
      <c r="B1571" t="s">
        <v>6578</v>
      </c>
      <c r="C1571" t="s">
        <v>132</v>
      </c>
      <c r="D1571" t="s">
        <v>2143</v>
      </c>
      <c r="E1571" t="s">
        <v>2162</v>
      </c>
      <c r="F1571" t="s">
        <v>145</v>
      </c>
      <c r="G1571" t="s">
        <v>6579</v>
      </c>
    </row>
    <row r="1572" spans="1:7" ht="44.25" customHeight="1">
      <c r="A1572" t="s">
        <v>6580</v>
      </c>
      <c r="B1572" t="s">
        <v>6581</v>
      </c>
      <c r="C1572" t="s">
        <v>132</v>
      </c>
      <c r="D1572" t="s">
        <v>2143</v>
      </c>
      <c r="E1572" t="s">
        <v>2162</v>
      </c>
      <c r="F1572" t="s">
        <v>145</v>
      </c>
      <c r="G1572" t="s">
        <v>6582</v>
      </c>
    </row>
    <row r="1573" spans="1:7" ht="44.25" customHeight="1">
      <c r="A1573" t="s">
        <v>659</v>
      </c>
      <c r="B1573" t="s">
        <v>6583</v>
      </c>
      <c r="C1573" t="s">
        <v>132</v>
      </c>
      <c r="D1573" t="s">
        <v>2143</v>
      </c>
      <c r="E1573" t="s">
        <v>1519</v>
      </c>
      <c r="F1573" t="s">
        <v>145</v>
      </c>
      <c r="G1573" t="s">
        <v>6584</v>
      </c>
    </row>
    <row r="1574" spans="1:7" ht="44.25" customHeight="1">
      <c r="A1574" t="s">
        <v>6585</v>
      </c>
      <c r="B1574" t="s">
        <v>6586</v>
      </c>
      <c r="C1574" t="s">
        <v>132</v>
      </c>
      <c r="D1574" t="s">
        <v>79</v>
      </c>
      <c r="E1574" t="s">
        <v>6587</v>
      </c>
      <c r="F1574" t="s">
        <v>145</v>
      </c>
      <c r="G1574" t="s">
        <v>6588</v>
      </c>
    </row>
    <row r="1575" spans="1:7" ht="44.25" customHeight="1">
      <c r="A1575" t="s">
        <v>6589</v>
      </c>
      <c r="B1575" t="s">
        <v>6590</v>
      </c>
      <c r="C1575" t="s">
        <v>132</v>
      </c>
      <c r="D1575" t="s">
        <v>79</v>
      </c>
      <c r="E1575" t="s">
        <v>6591</v>
      </c>
      <c r="F1575" t="s">
        <v>145</v>
      </c>
      <c r="G1575" t="s">
        <v>6592</v>
      </c>
    </row>
    <row r="1576" spans="1:7" ht="44.25" customHeight="1">
      <c r="A1576" t="s">
        <v>6593</v>
      </c>
      <c r="B1576" t="s">
        <v>6594</v>
      </c>
      <c r="C1576" t="s">
        <v>132</v>
      </c>
      <c r="D1576" t="s">
        <v>79</v>
      </c>
      <c r="E1576" t="s">
        <v>6595</v>
      </c>
      <c r="F1576" t="s">
        <v>145</v>
      </c>
      <c r="G1576" t="s">
        <v>6596</v>
      </c>
    </row>
    <row r="1577" spans="1:7" ht="44.25" customHeight="1">
      <c r="A1577" t="s">
        <v>6597</v>
      </c>
      <c r="B1577" t="s">
        <v>6598</v>
      </c>
      <c r="C1577" t="s">
        <v>132</v>
      </c>
      <c r="D1577" t="s">
        <v>79</v>
      </c>
      <c r="E1577" t="s">
        <v>6599</v>
      </c>
      <c r="F1577" t="s">
        <v>145</v>
      </c>
      <c r="G1577" t="s">
        <v>6600</v>
      </c>
    </row>
    <row r="1578" spans="1:7" ht="44.25" customHeight="1">
      <c r="A1578" t="s">
        <v>6601</v>
      </c>
      <c r="B1578" t="s">
        <v>6602</v>
      </c>
      <c r="C1578" t="s">
        <v>132</v>
      </c>
      <c r="D1578" t="s">
        <v>79</v>
      </c>
      <c r="E1578" t="s">
        <v>6603</v>
      </c>
      <c r="F1578" t="s">
        <v>145</v>
      </c>
      <c r="G1578" t="s">
        <v>6604</v>
      </c>
    </row>
    <row r="1579" spans="1:7" ht="44.25" customHeight="1">
      <c r="A1579" t="s">
        <v>6605</v>
      </c>
      <c r="B1579" t="s">
        <v>6606</v>
      </c>
      <c r="C1579" t="s">
        <v>132</v>
      </c>
      <c r="D1579" t="s">
        <v>2143</v>
      </c>
      <c r="E1579" t="s">
        <v>5577</v>
      </c>
      <c r="F1579" t="s">
        <v>145</v>
      </c>
      <c r="G1579" t="s">
        <v>6607</v>
      </c>
    </row>
    <row r="1580" spans="1:7" ht="44.25" customHeight="1">
      <c r="A1580" t="s">
        <v>631</v>
      </c>
      <c r="B1580" t="s">
        <v>6608</v>
      </c>
      <c r="C1580" t="s">
        <v>132</v>
      </c>
      <c r="D1580" t="s">
        <v>79</v>
      </c>
      <c r="E1580" t="s">
        <v>6609</v>
      </c>
      <c r="F1580" t="s">
        <v>145</v>
      </c>
      <c r="G1580" t="s">
        <v>6610</v>
      </c>
    </row>
    <row r="1581" spans="1:7" ht="44.25" customHeight="1">
      <c r="A1581" t="s">
        <v>6611</v>
      </c>
      <c r="B1581" t="s">
        <v>6612</v>
      </c>
      <c r="C1581" t="s">
        <v>132</v>
      </c>
      <c r="D1581" t="s">
        <v>2143</v>
      </c>
      <c r="E1581" t="s">
        <v>1542</v>
      </c>
      <c r="F1581" t="s">
        <v>145</v>
      </c>
      <c r="G1581" t="s">
        <v>6613</v>
      </c>
    </row>
    <row r="1582" spans="1:7" ht="44.25" customHeight="1">
      <c r="A1582" t="s">
        <v>6614</v>
      </c>
      <c r="B1582" t="s">
        <v>6615</v>
      </c>
      <c r="C1582" t="s">
        <v>132</v>
      </c>
      <c r="D1582" t="s">
        <v>2143</v>
      </c>
      <c r="E1582" t="s">
        <v>1542</v>
      </c>
      <c r="F1582" t="s">
        <v>145</v>
      </c>
      <c r="G1582" t="s">
        <v>6616</v>
      </c>
    </row>
    <row r="1583" spans="1:7" ht="44.25" customHeight="1">
      <c r="A1583" t="s">
        <v>6617</v>
      </c>
      <c r="B1583" t="s">
        <v>6618</v>
      </c>
      <c r="C1583" t="s">
        <v>132</v>
      </c>
      <c r="D1583" t="s">
        <v>79</v>
      </c>
      <c r="E1583" t="s">
        <v>6619</v>
      </c>
      <c r="F1583" t="s">
        <v>145</v>
      </c>
      <c r="G1583" t="s">
        <v>6620</v>
      </c>
    </row>
    <row r="1584" spans="1:7" ht="44.25" customHeight="1">
      <c r="A1584" t="s">
        <v>6621</v>
      </c>
      <c r="B1584" t="s">
        <v>6622</v>
      </c>
      <c r="C1584" t="s">
        <v>132</v>
      </c>
      <c r="D1584" t="s">
        <v>2143</v>
      </c>
      <c r="E1584" t="s">
        <v>1527</v>
      </c>
      <c r="F1584" t="s">
        <v>145</v>
      </c>
      <c r="G1584" t="s">
        <v>6623</v>
      </c>
    </row>
    <row r="1585" spans="1:7" ht="44.25" customHeight="1">
      <c r="A1585" t="s">
        <v>6624</v>
      </c>
      <c r="B1585" t="s">
        <v>6625</v>
      </c>
      <c r="C1585" t="s">
        <v>132</v>
      </c>
      <c r="D1585" t="s">
        <v>2139</v>
      </c>
      <c r="E1585" t="s">
        <v>1367</v>
      </c>
      <c r="F1585" t="s">
        <v>145</v>
      </c>
      <c r="G1585" t="s">
        <v>6626</v>
      </c>
    </row>
    <row r="1586" spans="1:7" ht="44.25" customHeight="1">
      <c r="A1586" t="s">
        <v>6627</v>
      </c>
      <c r="B1586" t="s">
        <v>6628</v>
      </c>
      <c r="C1586" t="s">
        <v>132</v>
      </c>
      <c r="D1586" t="s">
        <v>2139</v>
      </c>
      <c r="E1586" t="s">
        <v>1365</v>
      </c>
      <c r="F1586" t="s">
        <v>145</v>
      </c>
      <c r="G1586" t="s">
        <v>6629</v>
      </c>
    </row>
    <row r="1587" spans="1:7" ht="44.25" customHeight="1">
      <c r="A1587" t="s">
        <v>6630</v>
      </c>
      <c r="B1587" t="s">
        <v>6631</v>
      </c>
      <c r="C1587" t="s">
        <v>132</v>
      </c>
      <c r="D1587" t="s">
        <v>2139</v>
      </c>
      <c r="E1587" t="s">
        <v>1367</v>
      </c>
      <c r="F1587" t="s">
        <v>145</v>
      </c>
      <c r="G1587" t="s">
        <v>6632</v>
      </c>
    </row>
    <row r="1588" spans="1:7" ht="44.25" customHeight="1">
      <c r="A1588" t="s">
        <v>6633</v>
      </c>
      <c r="B1588" t="s">
        <v>6634</v>
      </c>
      <c r="C1588" t="s">
        <v>132</v>
      </c>
      <c r="D1588" t="s">
        <v>2139</v>
      </c>
      <c r="E1588" t="s">
        <v>2144</v>
      </c>
      <c r="F1588" t="s">
        <v>145</v>
      </c>
      <c r="G1588" t="s">
        <v>6635</v>
      </c>
    </row>
    <row r="1589" spans="1:7" ht="44.25" customHeight="1">
      <c r="A1589" t="s">
        <v>867</v>
      </c>
      <c r="B1589" t="s">
        <v>6636</v>
      </c>
      <c r="C1589" t="s">
        <v>132</v>
      </c>
      <c r="D1589" t="s">
        <v>2143</v>
      </c>
      <c r="E1589" t="s">
        <v>4585</v>
      </c>
      <c r="F1589" t="s">
        <v>145</v>
      </c>
      <c r="G1589" t="s">
        <v>6637</v>
      </c>
    </row>
    <row r="1590" spans="1:7" ht="44.25" customHeight="1">
      <c r="A1590" t="s">
        <v>865</v>
      </c>
      <c r="B1590" t="s">
        <v>6638</v>
      </c>
      <c r="C1590" t="s">
        <v>132</v>
      </c>
      <c r="D1590" t="s">
        <v>2143</v>
      </c>
      <c r="E1590" t="s">
        <v>4585</v>
      </c>
      <c r="F1590" t="s">
        <v>145</v>
      </c>
      <c r="G1590" t="s">
        <v>6639</v>
      </c>
    </row>
    <row r="1591" spans="1:7" ht="44.25" customHeight="1">
      <c r="A1591" t="s">
        <v>6640</v>
      </c>
      <c r="B1591" t="s">
        <v>6641</v>
      </c>
      <c r="C1591" t="s">
        <v>132</v>
      </c>
      <c r="D1591" t="s">
        <v>79</v>
      </c>
      <c r="E1591" t="s">
        <v>6642</v>
      </c>
      <c r="F1591" t="s">
        <v>145</v>
      </c>
      <c r="G1591" t="s">
        <v>6643</v>
      </c>
    </row>
    <row r="1592" spans="1:7" ht="44.25" customHeight="1">
      <c r="A1592" t="s">
        <v>6644</v>
      </c>
      <c r="B1592" t="s">
        <v>6645</v>
      </c>
      <c r="C1592" t="s">
        <v>132</v>
      </c>
      <c r="D1592" t="s">
        <v>79</v>
      </c>
      <c r="E1592" t="s">
        <v>6646</v>
      </c>
      <c r="F1592" t="s">
        <v>145</v>
      </c>
      <c r="G1592" t="s">
        <v>6647</v>
      </c>
    </row>
    <row r="1593" spans="1:7" ht="44.25" customHeight="1">
      <c r="A1593" t="s">
        <v>6648</v>
      </c>
      <c r="B1593" t="s">
        <v>6649</v>
      </c>
      <c r="C1593" t="s">
        <v>132</v>
      </c>
      <c r="D1593" t="s">
        <v>79</v>
      </c>
      <c r="E1593" t="s">
        <v>6650</v>
      </c>
      <c r="F1593" t="s">
        <v>145</v>
      </c>
      <c r="G1593" t="s">
        <v>6651</v>
      </c>
    </row>
    <row r="1594" spans="1:7" ht="44.25" customHeight="1">
      <c r="A1594" t="s">
        <v>6652</v>
      </c>
      <c r="B1594" t="s">
        <v>6653</v>
      </c>
      <c r="C1594" t="s">
        <v>132</v>
      </c>
      <c r="D1594" t="s">
        <v>79</v>
      </c>
      <c r="E1594" t="s">
        <v>6654</v>
      </c>
      <c r="F1594" t="s">
        <v>145</v>
      </c>
      <c r="G1594" t="s">
        <v>6655</v>
      </c>
    </row>
    <row r="1595" spans="1:7" ht="44.25" customHeight="1">
      <c r="A1595" t="s">
        <v>6656</v>
      </c>
      <c r="B1595" t="s">
        <v>6657</v>
      </c>
      <c r="C1595" t="s">
        <v>132</v>
      </c>
      <c r="D1595" t="s">
        <v>79</v>
      </c>
      <c r="E1595" t="s">
        <v>6658</v>
      </c>
      <c r="F1595" t="s">
        <v>145</v>
      </c>
      <c r="G1595" t="s">
        <v>6659</v>
      </c>
    </row>
    <row r="1596" spans="1:7" ht="44.25" customHeight="1">
      <c r="A1596" t="s">
        <v>364</v>
      </c>
      <c r="B1596" t="s">
        <v>6660</v>
      </c>
      <c r="C1596" t="s">
        <v>132</v>
      </c>
      <c r="D1596" t="s">
        <v>79</v>
      </c>
      <c r="E1596" t="s">
        <v>1450</v>
      </c>
      <c r="F1596" t="s">
        <v>145</v>
      </c>
      <c r="G1596" t="s">
        <v>6661</v>
      </c>
    </row>
    <row r="1597" spans="1:7" ht="44.25" customHeight="1">
      <c r="A1597" t="s">
        <v>6662</v>
      </c>
      <c r="B1597" t="s">
        <v>6663</v>
      </c>
      <c r="C1597" t="s">
        <v>132</v>
      </c>
      <c r="D1597" t="s">
        <v>2143</v>
      </c>
      <c r="E1597" t="s">
        <v>1542</v>
      </c>
      <c r="F1597" t="s">
        <v>145</v>
      </c>
      <c r="G1597" t="s">
        <v>6664</v>
      </c>
    </row>
    <row r="1598" spans="1:7" ht="44.25" customHeight="1">
      <c r="A1598" t="s">
        <v>6665</v>
      </c>
      <c r="B1598" t="s">
        <v>6666</v>
      </c>
      <c r="C1598" t="s">
        <v>132</v>
      </c>
      <c r="D1598" t="s">
        <v>2143</v>
      </c>
      <c r="E1598" t="s">
        <v>1542</v>
      </c>
      <c r="F1598" t="s">
        <v>145</v>
      </c>
      <c r="G1598" t="s">
        <v>6667</v>
      </c>
    </row>
    <row r="1599" spans="1:7" ht="44.25" customHeight="1">
      <c r="A1599" t="s">
        <v>996</v>
      </c>
      <c r="B1599" t="s">
        <v>6668</v>
      </c>
      <c r="C1599" t="s">
        <v>132</v>
      </c>
      <c r="D1599" t="s">
        <v>79</v>
      </c>
      <c r="E1599" t="s">
        <v>3389</v>
      </c>
      <c r="F1599" t="s">
        <v>145</v>
      </c>
      <c r="G1599" t="s">
        <v>6669</v>
      </c>
    </row>
    <row r="1600" spans="1:7" ht="44.25" customHeight="1">
      <c r="A1600" t="s">
        <v>6670</v>
      </c>
      <c r="B1600" t="s">
        <v>6671</v>
      </c>
      <c r="C1600" t="s">
        <v>132</v>
      </c>
      <c r="D1600" t="s">
        <v>79</v>
      </c>
      <c r="E1600" t="s">
        <v>3442</v>
      </c>
      <c r="F1600" t="s">
        <v>145</v>
      </c>
      <c r="G1600" t="s">
        <v>6672</v>
      </c>
    </row>
    <row r="1601" spans="1:7" ht="44.25" customHeight="1">
      <c r="A1601" t="s">
        <v>6673</v>
      </c>
      <c r="B1601" t="s">
        <v>6674</v>
      </c>
      <c r="C1601" t="s">
        <v>132</v>
      </c>
      <c r="D1601" t="s">
        <v>2139</v>
      </c>
      <c r="E1601" t="s">
        <v>1367</v>
      </c>
      <c r="F1601" t="s">
        <v>145</v>
      </c>
      <c r="G1601" t="s">
        <v>6675</v>
      </c>
    </row>
    <row r="1602" spans="1:7" ht="44.25" customHeight="1">
      <c r="A1602" t="s">
        <v>946</v>
      </c>
      <c r="B1602" t="s">
        <v>6676</v>
      </c>
      <c r="C1602" t="s">
        <v>132</v>
      </c>
      <c r="D1602" t="s">
        <v>2143</v>
      </c>
      <c r="E1602" t="s">
        <v>2162</v>
      </c>
      <c r="F1602" t="s">
        <v>145</v>
      </c>
      <c r="G1602" t="s">
        <v>6677</v>
      </c>
    </row>
    <row r="1603" spans="1:7" ht="44.25" customHeight="1">
      <c r="A1603" t="s">
        <v>497</v>
      </c>
      <c r="B1603" t="s">
        <v>6678</v>
      </c>
      <c r="C1603" t="s">
        <v>132</v>
      </c>
      <c r="D1603" t="s">
        <v>79</v>
      </c>
      <c r="E1603" t="s">
        <v>6679</v>
      </c>
      <c r="F1603" t="s">
        <v>145</v>
      </c>
      <c r="G1603" t="s">
        <v>6680</v>
      </c>
    </row>
    <row r="1604" spans="1:7" ht="44.25" customHeight="1">
      <c r="A1604" t="s">
        <v>6681</v>
      </c>
      <c r="B1604" t="s">
        <v>6682</v>
      </c>
      <c r="C1604" t="s">
        <v>132</v>
      </c>
      <c r="D1604" t="s">
        <v>79</v>
      </c>
      <c r="E1604" t="s">
        <v>6683</v>
      </c>
      <c r="F1604" t="s">
        <v>145</v>
      </c>
      <c r="G1604" t="s">
        <v>6684</v>
      </c>
    </row>
    <row r="1605" spans="1:7" ht="44.25" customHeight="1">
      <c r="A1605" t="s">
        <v>6685</v>
      </c>
      <c r="B1605" t="s">
        <v>6686</v>
      </c>
      <c r="C1605" t="s">
        <v>132</v>
      </c>
      <c r="D1605" t="s">
        <v>79</v>
      </c>
      <c r="E1605" t="s">
        <v>6687</v>
      </c>
      <c r="F1605" t="s">
        <v>145</v>
      </c>
      <c r="G1605" t="s">
        <v>6688</v>
      </c>
    </row>
    <row r="1606" spans="1:7" ht="44.25" customHeight="1">
      <c r="A1606" t="s">
        <v>6689</v>
      </c>
      <c r="B1606" t="s">
        <v>6690</v>
      </c>
      <c r="C1606" t="s">
        <v>132</v>
      </c>
      <c r="D1606" t="s">
        <v>2143</v>
      </c>
      <c r="E1606" t="s">
        <v>6691</v>
      </c>
      <c r="F1606" t="s">
        <v>145</v>
      </c>
      <c r="G1606" t="s">
        <v>6692</v>
      </c>
    </row>
    <row r="1607" spans="1:7" ht="44.25" customHeight="1">
      <c r="A1607" t="s">
        <v>6693</v>
      </c>
      <c r="B1607" t="s">
        <v>6694</v>
      </c>
      <c r="C1607" t="s">
        <v>132</v>
      </c>
      <c r="D1607" t="s">
        <v>2143</v>
      </c>
      <c r="E1607" t="s">
        <v>1542</v>
      </c>
      <c r="F1607" t="s">
        <v>145</v>
      </c>
      <c r="G1607" t="s">
        <v>6695</v>
      </c>
    </row>
    <row r="1608" spans="1:7" ht="44.25" customHeight="1">
      <c r="A1608" t="s">
        <v>6696</v>
      </c>
      <c r="B1608" t="s">
        <v>6697</v>
      </c>
      <c r="C1608" t="s">
        <v>132</v>
      </c>
      <c r="D1608" t="s">
        <v>2143</v>
      </c>
      <c r="E1608" t="s">
        <v>1542</v>
      </c>
      <c r="F1608" t="s">
        <v>145</v>
      </c>
      <c r="G1608" t="s">
        <v>6698</v>
      </c>
    </row>
    <row r="1609" spans="1:7" ht="44.25" customHeight="1">
      <c r="A1609" t="s">
        <v>272</v>
      </c>
      <c r="B1609" t="s">
        <v>6699</v>
      </c>
      <c r="C1609" t="s">
        <v>132</v>
      </c>
      <c r="D1609" t="s">
        <v>2143</v>
      </c>
      <c r="E1609" t="s">
        <v>2581</v>
      </c>
      <c r="F1609" t="s">
        <v>145</v>
      </c>
      <c r="G1609" t="s">
        <v>6700</v>
      </c>
    </row>
    <row r="1610" spans="1:7" ht="44.25" customHeight="1">
      <c r="A1610" t="s">
        <v>6701</v>
      </c>
      <c r="B1610" t="s">
        <v>6702</v>
      </c>
      <c r="C1610" t="s">
        <v>132</v>
      </c>
      <c r="D1610" t="s">
        <v>2143</v>
      </c>
      <c r="E1610" t="s">
        <v>6703</v>
      </c>
      <c r="F1610" t="s">
        <v>145</v>
      </c>
      <c r="G1610" t="s">
        <v>6704</v>
      </c>
    </row>
    <row r="1611" spans="1:7" ht="44.25" customHeight="1">
      <c r="A1611" t="s">
        <v>309</v>
      </c>
      <c r="B1611" t="s">
        <v>6705</v>
      </c>
      <c r="C1611" t="s">
        <v>132</v>
      </c>
      <c r="D1611" t="s">
        <v>2139</v>
      </c>
      <c r="E1611" t="s">
        <v>1367</v>
      </c>
      <c r="F1611" t="s">
        <v>145</v>
      </c>
      <c r="G1611" t="s">
        <v>6706</v>
      </c>
    </row>
    <row r="1612" spans="1:7" ht="44.25" customHeight="1">
      <c r="A1612" t="s">
        <v>949</v>
      </c>
      <c r="B1612" t="s">
        <v>6707</v>
      </c>
      <c r="C1612" t="s">
        <v>132</v>
      </c>
      <c r="D1612" t="s">
        <v>2143</v>
      </c>
      <c r="E1612" t="s">
        <v>2162</v>
      </c>
      <c r="F1612" t="s">
        <v>145</v>
      </c>
      <c r="G1612" t="s">
        <v>6708</v>
      </c>
    </row>
    <row r="1613" spans="1:7" ht="44.25" customHeight="1">
      <c r="A1613" t="s">
        <v>492</v>
      </c>
      <c r="B1613" t="s">
        <v>6709</v>
      </c>
      <c r="C1613" t="s">
        <v>132</v>
      </c>
      <c r="D1613" t="s">
        <v>2143</v>
      </c>
      <c r="E1613" t="s">
        <v>2151</v>
      </c>
      <c r="F1613" t="s">
        <v>145</v>
      </c>
      <c r="G1613" t="s">
        <v>6710</v>
      </c>
    </row>
    <row r="1614" spans="1:7" ht="44.25" customHeight="1">
      <c r="A1614" t="s">
        <v>806</v>
      </c>
      <c r="B1614" t="s">
        <v>6711</v>
      </c>
      <c r="C1614" t="s">
        <v>132</v>
      </c>
      <c r="D1614" t="s">
        <v>2143</v>
      </c>
      <c r="E1614" t="s">
        <v>3589</v>
      </c>
      <c r="F1614" t="s">
        <v>145</v>
      </c>
      <c r="G1614" t="s">
        <v>6712</v>
      </c>
    </row>
    <row r="1615" spans="1:7" ht="44.25" customHeight="1">
      <c r="A1615" t="s">
        <v>658</v>
      </c>
      <c r="B1615" t="s">
        <v>6713</v>
      </c>
      <c r="C1615" t="s">
        <v>132</v>
      </c>
      <c r="D1615" t="s">
        <v>2143</v>
      </c>
      <c r="E1615" t="s">
        <v>1519</v>
      </c>
      <c r="F1615" t="s">
        <v>145</v>
      </c>
      <c r="G1615" t="s">
        <v>6714</v>
      </c>
    </row>
    <row r="1616" spans="1:7" ht="44.25" customHeight="1">
      <c r="A1616" t="s">
        <v>859</v>
      </c>
      <c r="B1616" t="s">
        <v>6321</v>
      </c>
      <c r="C1616" t="s">
        <v>132</v>
      </c>
      <c r="D1616" t="s">
        <v>2143</v>
      </c>
      <c r="E1616" t="s">
        <v>3466</v>
      </c>
      <c r="F1616" t="s">
        <v>145</v>
      </c>
      <c r="G1616" t="s">
        <v>6715</v>
      </c>
    </row>
    <row r="1617" spans="1:7" ht="44.25" customHeight="1">
      <c r="A1617" t="s">
        <v>6716</v>
      </c>
      <c r="B1617" t="s">
        <v>6717</v>
      </c>
      <c r="C1617" t="s">
        <v>132</v>
      </c>
      <c r="D1617" t="s">
        <v>79</v>
      </c>
      <c r="E1617" t="s">
        <v>6718</v>
      </c>
      <c r="F1617" t="s">
        <v>145</v>
      </c>
      <c r="G1617" t="s">
        <v>6719</v>
      </c>
    </row>
    <row r="1618" spans="1:7" ht="44.25" customHeight="1">
      <c r="A1618" t="s">
        <v>6720</v>
      </c>
      <c r="B1618" t="s">
        <v>6721</v>
      </c>
      <c r="C1618" t="s">
        <v>132</v>
      </c>
      <c r="D1618" t="s">
        <v>2143</v>
      </c>
      <c r="E1618" t="s">
        <v>6691</v>
      </c>
      <c r="F1618" t="s">
        <v>145</v>
      </c>
      <c r="G1618" t="s">
        <v>6722</v>
      </c>
    </row>
    <row r="1619" spans="1:7" ht="44.25" customHeight="1">
      <c r="A1619" t="s">
        <v>132</v>
      </c>
      <c r="B1619" t="s">
        <v>6723</v>
      </c>
      <c r="C1619" t="s">
        <v>132</v>
      </c>
      <c r="D1619" t="s">
        <v>2143</v>
      </c>
      <c r="E1619" t="s">
        <v>6295</v>
      </c>
      <c r="F1619" t="s">
        <v>145</v>
      </c>
      <c r="G1619" t="s">
        <v>6724</v>
      </c>
    </row>
    <row r="1620" spans="1:7" ht="44.25" customHeight="1">
      <c r="A1620" t="s">
        <v>6725</v>
      </c>
      <c r="B1620" t="s">
        <v>6726</v>
      </c>
      <c r="C1620" t="s">
        <v>6727</v>
      </c>
      <c r="D1620" t="s">
        <v>2143</v>
      </c>
      <c r="E1620" t="s">
        <v>1438</v>
      </c>
      <c r="F1620" t="s">
        <v>145</v>
      </c>
      <c r="G1620" t="s">
        <v>6728</v>
      </c>
    </row>
    <row r="1621" spans="1:7" ht="44.25" customHeight="1">
      <c r="A1621" t="s">
        <v>6729</v>
      </c>
      <c r="B1621" t="s">
        <v>6730</v>
      </c>
      <c r="C1621" t="s">
        <v>132</v>
      </c>
      <c r="D1621" t="s">
        <v>2143</v>
      </c>
      <c r="E1621" t="s">
        <v>1542</v>
      </c>
      <c r="F1621" t="s">
        <v>145</v>
      </c>
      <c r="G1621" t="s">
        <v>6731</v>
      </c>
    </row>
    <row r="1622" spans="1:7" ht="44.25" customHeight="1">
      <c r="A1622" t="s">
        <v>6732</v>
      </c>
      <c r="B1622" t="s">
        <v>6733</v>
      </c>
      <c r="C1622" t="s">
        <v>132</v>
      </c>
      <c r="D1622" t="s">
        <v>79</v>
      </c>
      <c r="E1622" t="s">
        <v>3796</v>
      </c>
      <c r="F1622" t="s">
        <v>145</v>
      </c>
      <c r="G1622" t="s">
        <v>6734</v>
      </c>
    </row>
    <row r="1623" spans="1:7" ht="44.25" customHeight="1">
      <c r="A1623" t="s">
        <v>6735</v>
      </c>
      <c r="B1623" t="s">
        <v>6736</v>
      </c>
      <c r="C1623" t="s">
        <v>132</v>
      </c>
      <c r="D1623" t="s">
        <v>2143</v>
      </c>
      <c r="E1623" t="s">
        <v>2151</v>
      </c>
      <c r="F1623" t="s">
        <v>145</v>
      </c>
      <c r="G1623" t="s">
        <v>6737</v>
      </c>
    </row>
    <row r="1624" spans="1:7" ht="44.25" customHeight="1">
      <c r="A1624" t="s">
        <v>6738</v>
      </c>
      <c r="B1624" t="s">
        <v>6739</v>
      </c>
      <c r="C1624" t="s">
        <v>132</v>
      </c>
      <c r="D1624" t="s">
        <v>2143</v>
      </c>
      <c r="E1624" t="s">
        <v>2162</v>
      </c>
      <c r="F1624" t="s">
        <v>145</v>
      </c>
      <c r="G1624" t="s">
        <v>6740</v>
      </c>
    </row>
    <row r="1625" spans="1:7" ht="44.25" customHeight="1">
      <c r="A1625" t="s">
        <v>6741</v>
      </c>
      <c r="B1625" t="s">
        <v>6742</v>
      </c>
      <c r="C1625" t="s">
        <v>132</v>
      </c>
      <c r="D1625" t="s">
        <v>2143</v>
      </c>
      <c r="E1625" t="s">
        <v>2162</v>
      </c>
      <c r="F1625" t="s">
        <v>145</v>
      </c>
      <c r="G1625" t="s">
        <v>6743</v>
      </c>
    </row>
    <row r="1626" spans="1:7" ht="44.25" customHeight="1">
      <c r="A1626" t="s">
        <v>6744</v>
      </c>
      <c r="B1626" t="s">
        <v>6745</v>
      </c>
      <c r="C1626" t="s">
        <v>132</v>
      </c>
      <c r="D1626" t="s">
        <v>2143</v>
      </c>
      <c r="E1626" t="s">
        <v>6746</v>
      </c>
      <c r="F1626" t="s">
        <v>145</v>
      </c>
      <c r="G1626" t="s">
        <v>6747</v>
      </c>
    </row>
    <row r="1627" spans="1:7" ht="44.25" customHeight="1">
      <c r="A1627" t="s">
        <v>916</v>
      </c>
      <c r="B1627" t="s">
        <v>6748</v>
      </c>
      <c r="C1627" t="s">
        <v>132</v>
      </c>
      <c r="D1627" t="s">
        <v>2143</v>
      </c>
      <c r="E1627" t="s">
        <v>2162</v>
      </c>
      <c r="F1627" t="s">
        <v>145</v>
      </c>
      <c r="G1627" t="s">
        <v>6749</v>
      </c>
    </row>
    <row r="1628" spans="1:7" ht="44.25" customHeight="1">
      <c r="A1628" t="s">
        <v>872</v>
      </c>
      <c r="B1628" t="s">
        <v>6750</v>
      </c>
      <c r="C1628" t="s">
        <v>132</v>
      </c>
      <c r="D1628" t="s">
        <v>79</v>
      </c>
      <c r="E1628" t="s">
        <v>4585</v>
      </c>
      <c r="F1628" t="s">
        <v>145</v>
      </c>
      <c r="G1628" t="s">
        <v>6751</v>
      </c>
    </row>
    <row r="1629" spans="1:7" ht="44.25" customHeight="1">
      <c r="A1629" t="s">
        <v>6752</v>
      </c>
      <c r="B1629" t="s">
        <v>6753</v>
      </c>
      <c r="C1629" t="s">
        <v>132</v>
      </c>
      <c r="D1629" t="s">
        <v>79</v>
      </c>
      <c r="E1629" t="s">
        <v>6754</v>
      </c>
      <c r="F1629" t="s">
        <v>145</v>
      </c>
      <c r="G1629" t="s">
        <v>6755</v>
      </c>
    </row>
    <row r="1630" spans="1:7" ht="44.25" customHeight="1">
      <c r="A1630" t="s">
        <v>6756</v>
      </c>
      <c r="B1630" t="s">
        <v>6757</v>
      </c>
      <c r="C1630" t="s">
        <v>132</v>
      </c>
      <c r="D1630" t="s">
        <v>79</v>
      </c>
      <c r="E1630" t="s">
        <v>6758</v>
      </c>
      <c r="F1630" t="s">
        <v>145</v>
      </c>
      <c r="G1630" t="s">
        <v>6759</v>
      </c>
    </row>
    <row r="1631" spans="1:7" ht="44.25" customHeight="1">
      <c r="A1631" t="s">
        <v>6760</v>
      </c>
      <c r="B1631" t="s">
        <v>6761</v>
      </c>
      <c r="C1631" t="s">
        <v>132</v>
      </c>
      <c r="D1631" t="s">
        <v>79</v>
      </c>
      <c r="E1631" t="s">
        <v>6762</v>
      </c>
      <c r="F1631" t="s">
        <v>145</v>
      </c>
      <c r="G1631" t="s">
        <v>6763</v>
      </c>
    </row>
    <row r="1632" spans="1:7" ht="44.25" customHeight="1">
      <c r="A1632" t="s">
        <v>6760</v>
      </c>
      <c r="B1632" t="s">
        <v>6761</v>
      </c>
      <c r="C1632" t="s">
        <v>132</v>
      </c>
      <c r="D1632" t="s">
        <v>79</v>
      </c>
      <c r="E1632" t="s">
        <v>6762</v>
      </c>
      <c r="F1632" t="s">
        <v>145</v>
      </c>
      <c r="G1632" t="s">
        <v>6763</v>
      </c>
    </row>
    <row r="1633" spans="1:7" ht="44.25" customHeight="1">
      <c r="A1633" t="s">
        <v>6764</v>
      </c>
      <c r="B1633" t="s">
        <v>6765</v>
      </c>
      <c r="C1633" t="s">
        <v>132</v>
      </c>
      <c r="D1633" t="s">
        <v>2143</v>
      </c>
      <c r="E1633" t="s">
        <v>5577</v>
      </c>
      <c r="F1633" t="s">
        <v>145</v>
      </c>
      <c r="G1633" t="s">
        <v>6766</v>
      </c>
    </row>
    <row r="1634" spans="1:7" ht="44.25" customHeight="1">
      <c r="A1634" t="s">
        <v>132</v>
      </c>
      <c r="B1634" t="s">
        <v>6767</v>
      </c>
      <c r="C1634" t="s">
        <v>132</v>
      </c>
      <c r="D1634" t="s">
        <v>2143</v>
      </c>
      <c r="E1634" t="s">
        <v>6014</v>
      </c>
      <c r="F1634" t="s">
        <v>145</v>
      </c>
      <c r="G1634" t="s">
        <v>6768</v>
      </c>
    </row>
    <row r="1635" spans="1:7" ht="44.25" customHeight="1">
      <c r="A1635" t="s">
        <v>6769</v>
      </c>
      <c r="B1635" t="s">
        <v>6770</v>
      </c>
      <c r="C1635" t="s">
        <v>132</v>
      </c>
      <c r="D1635" t="s">
        <v>2143</v>
      </c>
      <c r="E1635" t="s">
        <v>1542</v>
      </c>
      <c r="F1635" t="s">
        <v>145</v>
      </c>
      <c r="G1635" t="s">
        <v>6771</v>
      </c>
    </row>
    <row r="1636" spans="1:7" ht="44.25" customHeight="1">
      <c r="A1636" t="s">
        <v>6772</v>
      </c>
      <c r="B1636" t="s">
        <v>6773</v>
      </c>
      <c r="C1636" t="s">
        <v>132</v>
      </c>
      <c r="D1636" t="s">
        <v>2143</v>
      </c>
      <c r="E1636" t="s">
        <v>1542</v>
      </c>
      <c r="F1636" t="s">
        <v>145</v>
      </c>
      <c r="G1636" t="s">
        <v>6774</v>
      </c>
    </row>
    <row r="1637" spans="1:7" ht="44.25" customHeight="1">
      <c r="A1637" t="s">
        <v>233</v>
      </c>
      <c r="B1637" t="s">
        <v>6775</v>
      </c>
      <c r="C1637" t="s">
        <v>132</v>
      </c>
      <c r="D1637" t="s">
        <v>2143</v>
      </c>
      <c r="E1637" t="s">
        <v>1542</v>
      </c>
      <c r="F1637" t="s">
        <v>145</v>
      </c>
      <c r="G1637" t="s">
        <v>6776</v>
      </c>
    </row>
    <row r="1638" spans="1:7" ht="44.25" customHeight="1">
      <c r="A1638" t="s">
        <v>6777</v>
      </c>
      <c r="B1638" t="s">
        <v>6778</v>
      </c>
      <c r="C1638" t="s">
        <v>132</v>
      </c>
      <c r="D1638" t="s">
        <v>2143</v>
      </c>
      <c r="E1638" t="s">
        <v>1542</v>
      </c>
      <c r="F1638" t="s">
        <v>145</v>
      </c>
      <c r="G1638" t="s">
        <v>6779</v>
      </c>
    </row>
    <row r="1639" spans="1:7" ht="44.25" customHeight="1">
      <c r="A1639" t="s">
        <v>6780</v>
      </c>
      <c r="B1639" t="s">
        <v>6781</v>
      </c>
      <c r="C1639" t="s">
        <v>132</v>
      </c>
      <c r="D1639" t="s">
        <v>2143</v>
      </c>
      <c r="E1639" t="s">
        <v>1542</v>
      </c>
      <c r="F1639" t="s">
        <v>145</v>
      </c>
      <c r="G1639" t="s">
        <v>6782</v>
      </c>
    </row>
    <row r="1640" spans="1:7" ht="44.25" customHeight="1">
      <c r="A1640" t="s">
        <v>888</v>
      </c>
      <c r="B1640" t="s">
        <v>6783</v>
      </c>
      <c r="C1640" t="s">
        <v>132</v>
      </c>
      <c r="D1640" t="s">
        <v>2143</v>
      </c>
      <c r="E1640" t="s">
        <v>3048</v>
      </c>
      <c r="F1640" t="s">
        <v>145</v>
      </c>
      <c r="G1640" t="s">
        <v>6784</v>
      </c>
    </row>
    <row r="1641" spans="1:7" ht="44.25" customHeight="1">
      <c r="A1641" t="s">
        <v>6785</v>
      </c>
      <c r="B1641" t="s">
        <v>6786</v>
      </c>
      <c r="C1641" t="s">
        <v>132</v>
      </c>
      <c r="D1641" t="s">
        <v>79</v>
      </c>
      <c r="E1641" t="s">
        <v>6787</v>
      </c>
      <c r="F1641" t="s">
        <v>145</v>
      </c>
      <c r="G1641" t="s">
        <v>6788</v>
      </c>
    </row>
    <row r="1642" spans="1:7" ht="44.25" customHeight="1">
      <c r="A1642" t="s">
        <v>6789</v>
      </c>
      <c r="B1642" t="s">
        <v>6790</v>
      </c>
      <c r="C1642" t="s">
        <v>132</v>
      </c>
      <c r="D1642" t="s">
        <v>2139</v>
      </c>
      <c r="E1642" t="s">
        <v>1365</v>
      </c>
      <c r="F1642" t="s">
        <v>145</v>
      </c>
      <c r="G1642" t="s">
        <v>6791</v>
      </c>
    </row>
    <row r="1643" spans="1:7" ht="44.25" customHeight="1">
      <c r="A1643" t="s">
        <v>6792</v>
      </c>
      <c r="B1643" t="s">
        <v>6793</v>
      </c>
      <c r="C1643" t="s">
        <v>132</v>
      </c>
      <c r="D1643" t="s">
        <v>79</v>
      </c>
      <c r="E1643" t="s">
        <v>3796</v>
      </c>
      <c r="F1643" t="s">
        <v>145</v>
      </c>
      <c r="G1643" t="s">
        <v>6794</v>
      </c>
    </row>
    <row r="1644" spans="1:7" ht="44.25" customHeight="1">
      <c r="A1644" t="s">
        <v>6795</v>
      </c>
      <c r="B1644" t="s">
        <v>6796</v>
      </c>
      <c r="C1644" t="s">
        <v>132</v>
      </c>
      <c r="D1644" t="s">
        <v>2139</v>
      </c>
      <c r="E1644" t="s">
        <v>1367</v>
      </c>
      <c r="F1644" t="s">
        <v>145</v>
      </c>
      <c r="G1644" t="s">
        <v>6797</v>
      </c>
    </row>
    <row r="1645" spans="1:7" ht="44.25" customHeight="1">
      <c r="A1645" t="s">
        <v>6798</v>
      </c>
      <c r="B1645" t="s">
        <v>6799</v>
      </c>
      <c r="C1645" t="s">
        <v>132</v>
      </c>
      <c r="D1645" t="s">
        <v>2143</v>
      </c>
      <c r="E1645" t="s">
        <v>2162</v>
      </c>
      <c r="F1645" t="s">
        <v>145</v>
      </c>
      <c r="G1645" t="s">
        <v>6800</v>
      </c>
    </row>
    <row r="1646" spans="1:7" ht="44.25" customHeight="1">
      <c r="A1646" t="s">
        <v>6801</v>
      </c>
      <c r="B1646" t="s">
        <v>6802</v>
      </c>
      <c r="C1646" t="s">
        <v>132</v>
      </c>
      <c r="D1646" t="s">
        <v>79</v>
      </c>
      <c r="E1646" t="s">
        <v>4438</v>
      </c>
      <c r="F1646" t="s">
        <v>145</v>
      </c>
      <c r="G1646" t="s">
        <v>6803</v>
      </c>
    </row>
    <row r="1647" spans="1:7" ht="44.25" customHeight="1">
      <c r="A1647" t="s">
        <v>132</v>
      </c>
      <c r="B1647" t="s">
        <v>6804</v>
      </c>
      <c r="C1647" t="s">
        <v>132</v>
      </c>
      <c r="D1647" t="s">
        <v>79</v>
      </c>
      <c r="E1647" t="s">
        <v>1485</v>
      </c>
      <c r="F1647" t="s">
        <v>145</v>
      </c>
      <c r="G1647" t="s">
        <v>6805</v>
      </c>
    </row>
    <row r="1648" spans="1:7" ht="44.25" customHeight="1">
      <c r="A1648" t="s">
        <v>6806</v>
      </c>
      <c r="B1648" t="s">
        <v>6807</v>
      </c>
      <c r="C1648" t="s">
        <v>132</v>
      </c>
      <c r="D1648" t="s">
        <v>79</v>
      </c>
      <c r="E1648" t="s">
        <v>6808</v>
      </c>
      <c r="F1648" t="s">
        <v>145</v>
      </c>
      <c r="G1648" t="s">
        <v>6809</v>
      </c>
    </row>
    <row r="1649" spans="1:7" ht="44.25" customHeight="1">
      <c r="A1649" t="s">
        <v>6810</v>
      </c>
      <c r="B1649" t="s">
        <v>6811</v>
      </c>
      <c r="C1649" t="s">
        <v>132</v>
      </c>
      <c r="D1649" t="s">
        <v>79</v>
      </c>
      <c r="E1649" t="s">
        <v>6812</v>
      </c>
      <c r="F1649" t="s">
        <v>145</v>
      </c>
      <c r="G1649" t="s">
        <v>6813</v>
      </c>
    </row>
    <row r="1650" spans="1:7" ht="44.25" customHeight="1">
      <c r="A1650" t="s">
        <v>6814</v>
      </c>
      <c r="B1650" t="s">
        <v>6815</v>
      </c>
      <c r="C1650" t="s">
        <v>132</v>
      </c>
      <c r="D1650" t="s">
        <v>2143</v>
      </c>
      <c r="E1650" t="s">
        <v>1542</v>
      </c>
      <c r="F1650" t="s">
        <v>145</v>
      </c>
      <c r="G1650" t="s">
        <v>6816</v>
      </c>
    </row>
    <row r="1651" spans="1:7" ht="44.25" customHeight="1">
      <c r="A1651" t="s">
        <v>6817</v>
      </c>
      <c r="B1651" t="s">
        <v>6818</v>
      </c>
      <c r="C1651" t="s">
        <v>132</v>
      </c>
      <c r="D1651" t="s">
        <v>2143</v>
      </c>
      <c r="E1651" t="s">
        <v>1542</v>
      </c>
      <c r="F1651" t="s">
        <v>145</v>
      </c>
      <c r="G1651" t="s">
        <v>6819</v>
      </c>
    </row>
    <row r="1652" spans="1:7" ht="44.25" customHeight="1">
      <c r="A1652" t="s">
        <v>6820</v>
      </c>
      <c r="B1652" t="s">
        <v>6821</v>
      </c>
      <c r="C1652" t="s">
        <v>132</v>
      </c>
      <c r="D1652" t="s">
        <v>2143</v>
      </c>
      <c r="E1652" t="s">
        <v>1542</v>
      </c>
      <c r="F1652" t="s">
        <v>145</v>
      </c>
      <c r="G1652" t="s">
        <v>6822</v>
      </c>
    </row>
    <row r="1653" spans="1:7" ht="44.25" customHeight="1">
      <c r="A1653" t="s">
        <v>6823</v>
      </c>
      <c r="B1653" t="s">
        <v>6824</v>
      </c>
      <c r="C1653" t="s">
        <v>132</v>
      </c>
      <c r="D1653" t="s">
        <v>2143</v>
      </c>
      <c r="E1653" t="s">
        <v>1542</v>
      </c>
      <c r="F1653" t="s">
        <v>145</v>
      </c>
      <c r="G1653" t="s">
        <v>6825</v>
      </c>
    </row>
    <row r="1654" spans="1:7" ht="44.25" customHeight="1">
      <c r="A1654" t="s">
        <v>6826</v>
      </c>
      <c r="B1654" t="s">
        <v>6827</v>
      </c>
      <c r="C1654" t="s">
        <v>132</v>
      </c>
      <c r="D1654" t="s">
        <v>2143</v>
      </c>
      <c r="E1654" t="s">
        <v>1542</v>
      </c>
      <c r="F1654" t="s">
        <v>145</v>
      </c>
      <c r="G1654" t="s">
        <v>6828</v>
      </c>
    </row>
    <row r="1655" spans="1:7" ht="44.25" customHeight="1">
      <c r="A1655" t="s">
        <v>397</v>
      </c>
      <c r="B1655" t="s">
        <v>6829</v>
      </c>
      <c r="C1655" t="s">
        <v>132</v>
      </c>
      <c r="D1655" t="s">
        <v>79</v>
      </c>
      <c r="E1655" t="s">
        <v>3402</v>
      </c>
      <c r="F1655" t="s">
        <v>145</v>
      </c>
      <c r="G1655" t="s">
        <v>6830</v>
      </c>
    </row>
    <row r="1656" spans="1:7" ht="44.25" customHeight="1">
      <c r="A1656" t="s">
        <v>6831</v>
      </c>
      <c r="B1656" t="s">
        <v>6832</v>
      </c>
      <c r="C1656" t="s">
        <v>132</v>
      </c>
      <c r="D1656" t="s">
        <v>2139</v>
      </c>
      <c r="E1656" t="s">
        <v>1367</v>
      </c>
      <c r="F1656" t="s">
        <v>145</v>
      </c>
      <c r="G1656" t="s">
        <v>6833</v>
      </c>
    </row>
    <row r="1657" spans="1:7" ht="44.25" customHeight="1">
      <c r="A1657" t="s">
        <v>6834</v>
      </c>
      <c r="B1657" t="s">
        <v>6835</v>
      </c>
      <c r="C1657" t="s">
        <v>132</v>
      </c>
      <c r="D1657" t="s">
        <v>2139</v>
      </c>
      <c r="E1657" t="s">
        <v>1365</v>
      </c>
      <c r="F1657" t="s">
        <v>145</v>
      </c>
      <c r="G1657" t="s">
        <v>6836</v>
      </c>
    </row>
    <row r="1658" spans="1:7" ht="44.25" customHeight="1">
      <c r="A1658" t="s">
        <v>6837</v>
      </c>
      <c r="B1658" t="s">
        <v>6838</v>
      </c>
      <c r="C1658" t="s">
        <v>132</v>
      </c>
      <c r="D1658" t="s">
        <v>2139</v>
      </c>
      <c r="E1658" t="s">
        <v>1365</v>
      </c>
      <c r="F1658" t="s">
        <v>145</v>
      </c>
      <c r="G1658" t="s">
        <v>6839</v>
      </c>
    </row>
    <row r="1659" spans="1:7" ht="44.25" customHeight="1">
      <c r="A1659" t="s">
        <v>6840</v>
      </c>
      <c r="B1659" t="s">
        <v>6841</v>
      </c>
      <c r="C1659" t="s">
        <v>132</v>
      </c>
      <c r="D1659" t="s">
        <v>2143</v>
      </c>
      <c r="E1659" t="s">
        <v>2162</v>
      </c>
      <c r="F1659" t="s">
        <v>145</v>
      </c>
      <c r="G1659" t="s">
        <v>6842</v>
      </c>
    </row>
    <row r="1660" spans="1:7" ht="44.25" customHeight="1">
      <c r="A1660" t="s">
        <v>1268</v>
      </c>
      <c r="B1660" t="s">
        <v>6843</v>
      </c>
      <c r="C1660" t="s">
        <v>132</v>
      </c>
      <c r="D1660" t="s">
        <v>2143</v>
      </c>
      <c r="E1660" t="s">
        <v>2162</v>
      </c>
      <c r="F1660" t="s">
        <v>145</v>
      </c>
      <c r="G1660" t="s">
        <v>6844</v>
      </c>
    </row>
    <row r="1661" spans="1:7" ht="44.25" customHeight="1">
      <c r="A1661" t="s">
        <v>1427</v>
      </c>
      <c r="B1661" t="s">
        <v>6845</v>
      </c>
      <c r="C1661" t="s">
        <v>132</v>
      </c>
      <c r="D1661" t="s">
        <v>2143</v>
      </c>
      <c r="E1661" t="s">
        <v>2162</v>
      </c>
      <c r="F1661" t="s">
        <v>145</v>
      </c>
      <c r="G1661" t="s">
        <v>6846</v>
      </c>
    </row>
    <row r="1662" spans="1:7" ht="44.25" customHeight="1">
      <c r="A1662" t="s">
        <v>1002</v>
      </c>
      <c r="B1662" t="s">
        <v>6847</v>
      </c>
      <c r="C1662" t="s">
        <v>132</v>
      </c>
      <c r="D1662" t="s">
        <v>79</v>
      </c>
      <c r="E1662" t="s">
        <v>1365</v>
      </c>
      <c r="F1662" t="s">
        <v>145</v>
      </c>
      <c r="G1662" t="s">
        <v>6848</v>
      </c>
    </row>
    <row r="1663" spans="1:7" ht="44.25" customHeight="1">
      <c r="A1663" t="s">
        <v>6849</v>
      </c>
      <c r="B1663" t="s">
        <v>6850</v>
      </c>
      <c r="C1663" t="s">
        <v>132</v>
      </c>
      <c r="D1663" t="s">
        <v>2143</v>
      </c>
      <c r="E1663" t="s">
        <v>4185</v>
      </c>
      <c r="F1663" t="s">
        <v>145</v>
      </c>
      <c r="G1663" t="s">
        <v>6851</v>
      </c>
    </row>
    <row r="1664" spans="1:7" ht="44.25" customHeight="1">
      <c r="A1664" t="s">
        <v>664</v>
      </c>
      <c r="B1664" t="s">
        <v>6852</v>
      </c>
      <c r="C1664" t="s">
        <v>132</v>
      </c>
      <c r="D1664" t="s">
        <v>2143</v>
      </c>
      <c r="E1664" t="s">
        <v>1519</v>
      </c>
      <c r="F1664" t="s">
        <v>145</v>
      </c>
      <c r="G1664" t="s">
        <v>6853</v>
      </c>
    </row>
    <row r="1665" spans="1:7" ht="44.25" customHeight="1">
      <c r="A1665" t="s">
        <v>6854</v>
      </c>
      <c r="B1665" t="s">
        <v>6855</v>
      </c>
      <c r="C1665" t="s">
        <v>132</v>
      </c>
      <c r="D1665" t="s">
        <v>79</v>
      </c>
      <c r="E1665" t="s">
        <v>6856</v>
      </c>
      <c r="F1665" t="s">
        <v>145</v>
      </c>
      <c r="G1665" t="s">
        <v>6857</v>
      </c>
    </row>
    <row r="1666" spans="1:7" ht="44.25" customHeight="1">
      <c r="A1666" t="s">
        <v>6858</v>
      </c>
      <c r="B1666" t="s">
        <v>6859</v>
      </c>
      <c r="C1666" t="s">
        <v>132</v>
      </c>
      <c r="D1666" t="s">
        <v>79</v>
      </c>
      <c r="E1666" t="s">
        <v>6860</v>
      </c>
      <c r="F1666" t="s">
        <v>145</v>
      </c>
      <c r="G1666" t="s">
        <v>6861</v>
      </c>
    </row>
    <row r="1667" spans="1:7" ht="44.25" customHeight="1">
      <c r="A1667" t="s">
        <v>6862</v>
      </c>
      <c r="B1667" t="s">
        <v>6863</v>
      </c>
      <c r="C1667" t="s">
        <v>132</v>
      </c>
      <c r="D1667" t="s">
        <v>79</v>
      </c>
      <c r="E1667" t="s">
        <v>6864</v>
      </c>
      <c r="F1667" t="s">
        <v>145</v>
      </c>
      <c r="G1667" t="s">
        <v>6865</v>
      </c>
    </row>
    <row r="1668" spans="1:7" ht="44.25" customHeight="1">
      <c r="A1668" t="s">
        <v>6866</v>
      </c>
      <c r="B1668" t="s">
        <v>6867</v>
      </c>
      <c r="C1668" t="s">
        <v>132</v>
      </c>
      <c r="D1668" t="s">
        <v>79</v>
      </c>
      <c r="E1668" t="s">
        <v>6868</v>
      </c>
      <c r="F1668" t="s">
        <v>145</v>
      </c>
      <c r="G1668" t="s">
        <v>6869</v>
      </c>
    </row>
    <row r="1669" spans="1:7" ht="44.25" customHeight="1">
      <c r="A1669" t="s">
        <v>6870</v>
      </c>
      <c r="B1669" t="s">
        <v>6871</v>
      </c>
      <c r="C1669" t="s">
        <v>132</v>
      </c>
      <c r="D1669" t="s">
        <v>79</v>
      </c>
      <c r="E1669" t="s">
        <v>6872</v>
      </c>
      <c r="F1669" t="s">
        <v>145</v>
      </c>
      <c r="G1669" t="s">
        <v>6873</v>
      </c>
    </row>
    <row r="1670" spans="1:7" ht="44.25" customHeight="1">
      <c r="A1670" t="s">
        <v>6874</v>
      </c>
      <c r="B1670" t="s">
        <v>6875</v>
      </c>
      <c r="C1670" t="s">
        <v>132</v>
      </c>
      <c r="D1670" t="s">
        <v>2143</v>
      </c>
      <c r="E1670" t="s">
        <v>5624</v>
      </c>
      <c r="F1670" t="s">
        <v>145</v>
      </c>
      <c r="G1670" t="s">
        <v>6876</v>
      </c>
    </row>
    <row r="1671" spans="1:7" ht="44.25" customHeight="1">
      <c r="A1671" t="s">
        <v>6877</v>
      </c>
      <c r="B1671" t="s">
        <v>6878</v>
      </c>
      <c r="C1671" t="s">
        <v>132</v>
      </c>
      <c r="D1671" t="s">
        <v>2143</v>
      </c>
      <c r="E1671" t="s">
        <v>1542</v>
      </c>
      <c r="F1671" t="s">
        <v>145</v>
      </c>
      <c r="G1671" t="s">
        <v>6879</v>
      </c>
    </row>
    <row r="1672" spans="1:7" ht="44.25" customHeight="1">
      <c r="A1672" t="s">
        <v>6880</v>
      </c>
      <c r="B1672" t="s">
        <v>6881</v>
      </c>
      <c r="C1672" t="s">
        <v>132</v>
      </c>
      <c r="D1672" t="s">
        <v>2143</v>
      </c>
      <c r="E1672" t="s">
        <v>1542</v>
      </c>
      <c r="F1672" t="s">
        <v>145</v>
      </c>
      <c r="G1672" t="s">
        <v>6882</v>
      </c>
    </row>
    <row r="1673" spans="1:7" ht="44.25" customHeight="1">
      <c r="A1673" t="s">
        <v>1331</v>
      </c>
      <c r="B1673" t="s">
        <v>6883</v>
      </c>
      <c r="C1673" t="s">
        <v>132</v>
      </c>
      <c r="D1673" t="s">
        <v>2143</v>
      </c>
      <c r="E1673" t="s">
        <v>1542</v>
      </c>
      <c r="F1673" t="s">
        <v>145</v>
      </c>
      <c r="G1673" t="s">
        <v>6884</v>
      </c>
    </row>
    <row r="1674" spans="1:7" ht="44.25" customHeight="1">
      <c r="A1674" t="s">
        <v>1339</v>
      </c>
      <c r="B1674" t="s">
        <v>6885</v>
      </c>
      <c r="C1674" t="s">
        <v>132</v>
      </c>
      <c r="D1674" t="s">
        <v>2143</v>
      </c>
      <c r="E1674" t="s">
        <v>1542</v>
      </c>
      <c r="F1674" t="s">
        <v>145</v>
      </c>
      <c r="G1674" t="s">
        <v>6886</v>
      </c>
    </row>
    <row r="1675" spans="1:7" ht="44.25" customHeight="1">
      <c r="A1675" t="s">
        <v>6887</v>
      </c>
      <c r="B1675" t="s">
        <v>6888</v>
      </c>
      <c r="C1675" t="s">
        <v>132</v>
      </c>
      <c r="D1675" t="s">
        <v>79</v>
      </c>
      <c r="E1675" t="s">
        <v>3378</v>
      </c>
      <c r="F1675" t="s">
        <v>145</v>
      </c>
      <c r="G1675" t="s">
        <v>6889</v>
      </c>
    </row>
    <row r="1676" spans="1:7" ht="44.25" customHeight="1">
      <c r="A1676" t="s">
        <v>777</v>
      </c>
      <c r="B1676" t="s">
        <v>6890</v>
      </c>
      <c r="C1676" t="s">
        <v>132</v>
      </c>
      <c r="D1676" t="s">
        <v>79</v>
      </c>
      <c r="E1676" t="s">
        <v>6891</v>
      </c>
      <c r="F1676" t="s">
        <v>145</v>
      </c>
      <c r="G1676" t="s">
        <v>6892</v>
      </c>
    </row>
    <row r="1677" spans="1:7" ht="44.25" customHeight="1">
      <c r="A1677" t="s">
        <v>6893</v>
      </c>
      <c r="B1677" t="s">
        <v>6894</v>
      </c>
      <c r="C1677" t="s">
        <v>132</v>
      </c>
      <c r="D1677" t="s">
        <v>79</v>
      </c>
      <c r="E1677" t="s">
        <v>6895</v>
      </c>
      <c r="F1677" t="s">
        <v>145</v>
      </c>
      <c r="G1677" t="s">
        <v>6896</v>
      </c>
    </row>
    <row r="1678" spans="1:7" ht="44.25" customHeight="1">
      <c r="A1678" t="s">
        <v>425</v>
      </c>
      <c r="B1678" t="s">
        <v>6897</v>
      </c>
      <c r="C1678" t="s">
        <v>132</v>
      </c>
      <c r="D1678" t="s">
        <v>79</v>
      </c>
      <c r="E1678" t="s">
        <v>6455</v>
      </c>
      <c r="F1678" t="s">
        <v>145</v>
      </c>
      <c r="G1678" t="s">
        <v>6898</v>
      </c>
    </row>
    <row r="1679" spans="1:7" ht="44.25" customHeight="1">
      <c r="A1679" t="s">
        <v>6899</v>
      </c>
      <c r="B1679" t="s">
        <v>6900</v>
      </c>
      <c r="C1679" t="s">
        <v>132</v>
      </c>
      <c r="D1679" t="s">
        <v>2139</v>
      </c>
      <c r="E1679" t="s">
        <v>1367</v>
      </c>
      <c r="F1679" t="s">
        <v>145</v>
      </c>
      <c r="G1679" t="s">
        <v>6901</v>
      </c>
    </row>
    <row r="1680" spans="1:7" ht="44.25" customHeight="1">
      <c r="A1680" t="s">
        <v>6902</v>
      </c>
      <c r="B1680" t="s">
        <v>6903</v>
      </c>
      <c r="C1680" t="s">
        <v>132</v>
      </c>
      <c r="D1680" t="s">
        <v>2139</v>
      </c>
      <c r="E1680" t="s">
        <v>1365</v>
      </c>
      <c r="F1680" t="s">
        <v>145</v>
      </c>
      <c r="G1680" t="s">
        <v>6904</v>
      </c>
    </row>
    <row r="1681" spans="1:7" ht="44.25" customHeight="1">
      <c r="A1681" t="s">
        <v>6905</v>
      </c>
      <c r="B1681" t="s">
        <v>6906</v>
      </c>
      <c r="C1681" t="s">
        <v>132</v>
      </c>
      <c r="D1681" t="s">
        <v>2139</v>
      </c>
      <c r="E1681" t="s">
        <v>1367</v>
      </c>
      <c r="F1681" t="s">
        <v>145</v>
      </c>
      <c r="G1681" t="s">
        <v>6907</v>
      </c>
    </row>
    <row r="1682" spans="1:7" ht="44.25" customHeight="1">
      <c r="A1682" t="s">
        <v>6908</v>
      </c>
      <c r="B1682" t="s">
        <v>6909</v>
      </c>
      <c r="C1682" t="s">
        <v>132</v>
      </c>
      <c r="D1682" t="s">
        <v>2139</v>
      </c>
      <c r="E1682" t="s">
        <v>1367</v>
      </c>
      <c r="F1682" t="s">
        <v>145</v>
      </c>
      <c r="G1682" t="s">
        <v>6910</v>
      </c>
    </row>
    <row r="1683" spans="1:7" ht="44.25" customHeight="1">
      <c r="A1683" t="s">
        <v>6911</v>
      </c>
      <c r="B1683" t="s">
        <v>6912</v>
      </c>
      <c r="C1683" t="s">
        <v>132</v>
      </c>
      <c r="D1683" t="s">
        <v>2139</v>
      </c>
      <c r="E1683" t="s">
        <v>1367</v>
      </c>
      <c r="F1683" t="s">
        <v>145</v>
      </c>
      <c r="G1683" t="s">
        <v>6913</v>
      </c>
    </row>
    <row r="1684" spans="1:7" ht="44.25" customHeight="1">
      <c r="A1684" t="s">
        <v>6914</v>
      </c>
      <c r="B1684" t="s">
        <v>6915</v>
      </c>
      <c r="C1684" t="s">
        <v>132</v>
      </c>
      <c r="D1684" t="s">
        <v>2143</v>
      </c>
      <c r="E1684" t="s">
        <v>2162</v>
      </c>
      <c r="F1684" t="s">
        <v>145</v>
      </c>
      <c r="G1684" t="s">
        <v>6916</v>
      </c>
    </row>
    <row r="1685" spans="1:7" ht="44.25" customHeight="1">
      <c r="A1685" t="s">
        <v>275</v>
      </c>
      <c r="B1685" t="s">
        <v>6917</v>
      </c>
      <c r="C1685" t="s">
        <v>132</v>
      </c>
      <c r="D1685" t="s">
        <v>2139</v>
      </c>
      <c r="E1685" t="s">
        <v>1367</v>
      </c>
      <c r="F1685" t="s">
        <v>145</v>
      </c>
      <c r="G1685" t="s">
        <v>6918</v>
      </c>
    </row>
    <row r="1686" spans="1:7" ht="44.25" customHeight="1">
      <c r="A1686" t="s">
        <v>296</v>
      </c>
      <c r="B1686" t="s">
        <v>6919</v>
      </c>
      <c r="C1686" t="s">
        <v>132</v>
      </c>
      <c r="D1686" t="s">
        <v>2139</v>
      </c>
      <c r="E1686" t="s">
        <v>1367</v>
      </c>
      <c r="F1686" t="s">
        <v>145</v>
      </c>
      <c r="G1686" t="s">
        <v>6920</v>
      </c>
    </row>
    <row r="1687" spans="1:7" ht="44.25" customHeight="1">
      <c r="A1687" t="s">
        <v>532</v>
      </c>
      <c r="B1687" t="s">
        <v>6921</v>
      </c>
      <c r="C1687" t="s">
        <v>132</v>
      </c>
      <c r="D1687" t="s">
        <v>2143</v>
      </c>
      <c r="E1687" t="s">
        <v>4547</v>
      </c>
      <c r="F1687" t="s">
        <v>145</v>
      </c>
      <c r="G1687" t="s">
        <v>6922</v>
      </c>
    </row>
    <row r="1688" spans="1:7" ht="44.25" customHeight="1">
      <c r="A1688" t="s">
        <v>6923</v>
      </c>
      <c r="B1688" t="s">
        <v>6924</v>
      </c>
      <c r="C1688" t="s">
        <v>132</v>
      </c>
      <c r="D1688" t="s">
        <v>79</v>
      </c>
      <c r="E1688" t="s">
        <v>6925</v>
      </c>
      <c r="F1688" t="s">
        <v>145</v>
      </c>
      <c r="G1688" t="s">
        <v>6926</v>
      </c>
    </row>
    <row r="1689" spans="1:7" ht="44.25" customHeight="1">
      <c r="A1689" t="s">
        <v>6927</v>
      </c>
      <c r="B1689" t="s">
        <v>6928</v>
      </c>
      <c r="C1689" t="s">
        <v>132</v>
      </c>
      <c r="D1689" t="s">
        <v>2143</v>
      </c>
      <c r="E1689" t="s">
        <v>6014</v>
      </c>
      <c r="F1689" t="s">
        <v>145</v>
      </c>
      <c r="G1689" t="s">
        <v>6929</v>
      </c>
    </row>
    <row r="1690" spans="1:7" ht="44.25" customHeight="1">
      <c r="A1690" t="s">
        <v>6930</v>
      </c>
      <c r="B1690" t="s">
        <v>6931</v>
      </c>
      <c r="C1690" t="s">
        <v>132</v>
      </c>
      <c r="D1690" t="s">
        <v>2143</v>
      </c>
      <c r="E1690" t="s">
        <v>6932</v>
      </c>
      <c r="F1690" t="s">
        <v>145</v>
      </c>
      <c r="G1690" t="s">
        <v>6933</v>
      </c>
    </row>
    <row r="1691" spans="1:7" ht="44.25" customHeight="1">
      <c r="A1691" t="s">
        <v>6934</v>
      </c>
      <c r="B1691" t="s">
        <v>6935</v>
      </c>
      <c r="C1691" t="s">
        <v>132</v>
      </c>
      <c r="D1691" t="s">
        <v>2143</v>
      </c>
      <c r="E1691" t="s">
        <v>1542</v>
      </c>
      <c r="F1691" t="s">
        <v>145</v>
      </c>
      <c r="G1691" t="s">
        <v>6936</v>
      </c>
    </row>
    <row r="1692" spans="1:7" ht="44.25" customHeight="1">
      <c r="A1692" t="s">
        <v>6937</v>
      </c>
      <c r="B1692" t="s">
        <v>6938</v>
      </c>
      <c r="C1692" t="s">
        <v>132</v>
      </c>
      <c r="D1692" t="s">
        <v>2143</v>
      </c>
      <c r="E1692" t="s">
        <v>1542</v>
      </c>
      <c r="F1692" t="s">
        <v>145</v>
      </c>
      <c r="G1692" t="s">
        <v>6939</v>
      </c>
    </row>
    <row r="1693" spans="1:7" ht="44.25" customHeight="1">
      <c r="A1693" t="s">
        <v>6940</v>
      </c>
      <c r="B1693" t="s">
        <v>6941</v>
      </c>
      <c r="C1693" t="s">
        <v>132</v>
      </c>
      <c r="D1693" t="s">
        <v>2143</v>
      </c>
      <c r="E1693" t="s">
        <v>1542</v>
      </c>
      <c r="F1693" t="s">
        <v>145</v>
      </c>
      <c r="G1693" t="s">
        <v>6942</v>
      </c>
    </row>
    <row r="1694" spans="1:7" ht="44.25" customHeight="1">
      <c r="A1694" t="s">
        <v>6943</v>
      </c>
      <c r="B1694" t="s">
        <v>6944</v>
      </c>
      <c r="C1694" t="s">
        <v>132</v>
      </c>
      <c r="D1694" t="s">
        <v>2143</v>
      </c>
      <c r="E1694" t="s">
        <v>1542</v>
      </c>
      <c r="F1694" t="s">
        <v>145</v>
      </c>
      <c r="G1694" t="s">
        <v>6945</v>
      </c>
    </row>
    <row r="1695" spans="1:7" ht="44.25" customHeight="1">
      <c r="A1695" t="s">
        <v>6946</v>
      </c>
      <c r="B1695" t="s">
        <v>6947</v>
      </c>
      <c r="C1695" t="s">
        <v>6948</v>
      </c>
      <c r="D1695" t="s">
        <v>2143</v>
      </c>
      <c r="E1695" t="s">
        <v>2571</v>
      </c>
      <c r="F1695" t="s">
        <v>145</v>
      </c>
      <c r="G1695" t="s">
        <v>6949</v>
      </c>
    </row>
    <row r="1696" spans="1:7" ht="44.25" customHeight="1">
      <c r="A1696" t="s">
        <v>6950</v>
      </c>
      <c r="B1696" t="s">
        <v>6951</v>
      </c>
      <c r="C1696" t="s">
        <v>132</v>
      </c>
      <c r="D1696" t="s">
        <v>2143</v>
      </c>
      <c r="E1696" t="s">
        <v>1542</v>
      </c>
      <c r="F1696" t="s">
        <v>145</v>
      </c>
      <c r="G1696" t="s">
        <v>6952</v>
      </c>
    </row>
    <row r="1697" spans="1:7" ht="44.25" customHeight="1">
      <c r="A1697" t="s">
        <v>618</v>
      </c>
      <c r="B1697" t="s">
        <v>6953</v>
      </c>
      <c r="C1697" t="s">
        <v>132</v>
      </c>
      <c r="D1697" t="s">
        <v>79</v>
      </c>
      <c r="E1697" t="s">
        <v>3408</v>
      </c>
      <c r="F1697" t="s">
        <v>145</v>
      </c>
      <c r="G1697" t="s">
        <v>6954</v>
      </c>
    </row>
    <row r="1698" spans="1:7" ht="44.25" customHeight="1">
      <c r="A1698" t="s">
        <v>6955</v>
      </c>
      <c r="B1698" t="s">
        <v>6956</v>
      </c>
      <c r="C1698" t="s">
        <v>132</v>
      </c>
      <c r="D1698" t="s">
        <v>79</v>
      </c>
      <c r="E1698" t="s">
        <v>6957</v>
      </c>
      <c r="F1698" t="s">
        <v>145</v>
      </c>
      <c r="G1698" t="s">
        <v>6958</v>
      </c>
    </row>
    <row r="1699" spans="1:7" ht="44.25" customHeight="1">
      <c r="A1699" t="s">
        <v>972</v>
      </c>
      <c r="B1699" t="s">
        <v>6959</v>
      </c>
      <c r="C1699" t="s">
        <v>132</v>
      </c>
      <c r="D1699" t="s">
        <v>2143</v>
      </c>
      <c r="E1699" t="s">
        <v>2162</v>
      </c>
      <c r="F1699" t="s">
        <v>145</v>
      </c>
      <c r="G1699" t="s">
        <v>6960</v>
      </c>
    </row>
    <row r="1700" spans="1:7" ht="44.25" customHeight="1">
      <c r="A1700" t="s">
        <v>752</v>
      </c>
      <c r="B1700" t="s">
        <v>6961</v>
      </c>
      <c r="C1700" t="s">
        <v>132</v>
      </c>
      <c r="D1700" t="s">
        <v>2139</v>
      </c>
      <c r="E1700" t="s">
        <v>1367</v>
      </c>
      <c r="F1700" t="s">
        <v>145</v>
      </c>
      <c r="G1700" t="s">
        <v>6962</v>
      </c>
    </row>
    <row r="1701" spans="1:7" ht="44.25" customHeight="1">
      <c r="A1701" t="s">
        <v>750</v>
      </c>
      <c r="B1701" t="s">
        <v>6963</v>
      </c>
      <c r="C1701" t="s">
        <v>132</v>
      </c>
      <c r="D1701" t="s">
        <v>2143</v>
      </c>
      <c r="E1701" t="s">
        <v>1367</v>
      </c>
      <c r="F1701" t="s">
        <v>145</v>
      </c>
      <c r="G1701" t="s">
        <v>6964</v>
      </c>
    </row>
    <row r="1702" spans="1:7" ht="44.25" customHeight="1">
      <c r="A1702" t="s">
        <v>6965</v>
      </c>
      <c r="B1702" t="s">
        <v>6966</v>
      </c>
      <c r="C1702" t="s">
        <v>132</v>
      </c>
      <c r="D1702" t="s">
        <v>79</v>
      </c>
      <c r="E1702" t="s">
        <v>6967</v>
      </c>
      <c r="F1702" t="s">
        <v>145</v>
      </c>
      <c r="G1702" t="s">
        <v>6968</v>
      </c>
    </row>
    <row r="1703" spans="1:7" ht="44.25" customHeight="1">
      <c r="A1703" t="s">
        <v>1370</v>
      </c>
      <c r="B1703" t="s">
        <v>6969</v>
      </c>
      <c r="C1703" t="s">
        <v>132</v>
      </c>
      <c r="D1703" t="s">
        <v>2143</v>
      </c>
      <c r="E1703" t="s">
        <v>6970</v>
      </c>
      <c r="F1703" t="s">
        <v>145</v>
      </c>
      <c r="G1703" t="s">
        <v>6971</v>
      </c>
    </row>
    <row r="1704" spans="1:7" ht="44.25" customHeight="1">
      <c r="A1704" t="s">
        <v>6972</v>
      </c>
      <c r="B1704" t="s">
        <v>6973</v>
      </c>
      <c r="C1704" t="s">
        <v>132</v>
      </c>
      <c r="D1704" t="s">
        <v>79</v>
      </c>
      <c r="E1704" t="s">
        <v>4717</v>
      </c>
      <c r="F1704" t="s">
        <v>145</v>
      </c>
      <c r="G1704" t="s">
        <v>6974</v>
      </c>
    </row>
    <row r="1705" spans="1:7" ht="44.25" customHeight="1">
      <c r="A1705" t="s">
        <v>6975</v>
      </c>
      <c r="B1705" t="s">
        <v>6976</v>
      </c>
      <c r="C1705" t="s">
        <v>132</v>
      </c>
      <c r="D1705" t="s">
        <v>2143</v>
      </c>
      <c r="E1705" t="s">
        <v>6209</v>
      </c>
      <c r="F1705" t="s">
        <v>145</v>
      </c>
      <c r="G1705" t="s">
        <v>6977</v>
      </c>
    </row>
    <row r="1706" spans="1:7" ht="44.25" customHeight="1">
      <c r="A1706" t="s">
        <v>132</v>
      </c>
      <c r="B1706" t="s">
        <v>6978</v>
      </c>
      <c r="C1706" t="s">
        <v>132</v>
      </c>
      <c r="D1706" t="s">
        <v>79</v>
      </c>
      <c r="E1706" t="s">
        <v>6979</v>
      </c>
      <c r="F1706" t="s">
        <v>145</v>
      </c>
      <c r="G1706" t="s">
        <v>6980</v>
      </c>
    </row>
    <row r="1707" spans="1:7" ht="44.25" customHeight="1">
      <c r="A1707" t="s">
        <v>6981</v>
      </c>
      <c r="B1707" t="s">
        <v>6982</v>
      </c>
      <c r="C1707" t="s">
        <v>132</v>
      </c>
      <c r="D1707" t="s">
        <v>79</v>
      </c>
      <c r="E1707" t="s">
        <v>6983</v>
      </c>
      <c r="F1707" t="s">
        <v>145</v>
      </c>
      <c r="G1707" t="s">
        <v>6984</v>
      </c>
    </row>
    <row r="1708" spans="1:7" ht="44.25" customHeight="1">
      <c r="A1708" t="s">
        <v>6985</v>
      </c>
      <c r="B1708" t="s">
        <v>6986</v>
      </c>
      <c r="C1708" t="s">
        <v>132</v>
      </c>
      <c r="D1708" t="s">
        <v>79</v>
      </c>
      <c r="E1708" t="s">
        <v>6987</v>
      </c>
      <c r="F1708" t="s">
        <v>145</v>
      </c>
      <c r="G1708" t="s">
        <v>6988</v>
      </c>
    </row>
    <row r="1709" spans="1:7" ht="44.25" customHeight="1">
      <c r="A1709" t="s">
        <v>6989</v>
      </c>
      <c r="B1709" t="s">
        <v>6990</v>
      </c>
      <c r="C1709" t="s">
        <v>132</v>
      </c>
      <c r="D1709" t="s">
        <v>79</v>
      </c>
      <c r="E1709" t="s">
        <v>6991</v>
      </c>
      <c r="F1709" t="s">
        <v>145</v>
      </c>
      <c r="G1709" t="s">
        <v>6992</v>
      </c>
    </row>
    <row r="1710" spans="1:7" ht="44.25" customHeight="1">
      <c r="A1710" t="s">
        <v>6993</v>
      </c>
      <c r="B1710" t="s">
        <v>6994</v>
      </c>
      <c r="C1710" t="s">
        <v>132</v>
      </c>
      <c r="D1710" t="s">
        <v>79</v>
      </c>
      <c r="E1710" t="s">
        <v>6995</v>
      </c>
      <c r="F1710" t="s">
        <v>145</v>
      </c>
      <c r="G1710" t="s">
        <v>6996</v>
      </c>
    </row>
    <row r="1711" spans="1:7" ht="44.25" customHeight="1">
      <c r="A1711" t="s">
        <v>6997</v>
      </c>
      <c r="B1711" t="s">
        <v>6998</v>
      </c>
      <c r="C1711" t="s">
        <v>132</v>
      </c>
      <c r="D1711" t="s">
        <v>2143</v>
      </c>
      <c r="E1711" t="s">
        <v>1542</v>
      </c>
      <c r="F1711" t="s">
        <v>145</v>
      </c>
      <c r="G1711" t="s">
        <v>6999</v>
      </c>
    </row>
    <row r="1712" spans="1:7" ht="44.25" customHeight="1">
      <c r="A1712" t="s">
        <v>803</v>
      </c>
      <c r="B1712" t="s">
        <v>7000</v>
      </c>
      <c r="C1712" t="s">
        <v>132</v>
      </c>
      <c r="D1712" t="s">
        <v>79</v>
      </c>
      <c r="E1712" t="s">
        <v>1527</v>
      </c>
      <c r="F1712" t="s">
        <v>145</v>
      </c>
      <c r="G1712" t="s">
        <v>7001</v>
      </c>
    </row>
    <row r="1713" spans="1:7" ht="44.25" customHeight="1">
      <c r="A1713" t="s">
        <v>7002</v>
      </c>
      <c r="B1713" t="s">
        <v>7003</v>
      </c>
      <c r="C1713" t="s">
        <v>132</v>
      </c>
      <c r="D1713" t="s">
        <v>2139</v>
      </c>
      <c r="E1713" t="s">
        <v>1367</v>
      </c>
      <c r="F1713" t="s">
        <v>145</v>
      </c>
      <c r="G1713" t="s">
        <v>7004</v>
      </c>
    </row>
    <row r="1714" spans="1:7" ht="44.25" customHeight="1">
      <c r="A1714" t="s">
        <v>7005</v>
      </c>
      <c r="B1714" t="s">
        <v>7006</v>
      </c>
      <c r="C1714" t="s">
        <v>132</v>
      </c>
      <c r="D1714" t="s">
        <v>2139</v>
      </c>
      <c r="E1714" t="s">
        <v>1367</v>
      </c>
      <c r="F1714" t="s">
        <v>145</v>
      </c>
      <c r="G1714" t="s">
        <v>7007</v>
      </c>
    </row>
    <row r="1715" spans="1:7" ht="44.25" customHeight="1">
      <c r="A1715" t="s">
        <v>1310</v>
      </c>
      <c r="B1715" t="s">
        <v>7008</v>
      </c>
      <c r="C1715" t="s">
        <v>132</v>
      </c>
      <c r="D1715" t="s">
        <v>2143</v>
      </c>
      <c r="E1715" t="s">
        <v>2162</v>
      </c>
      <c r="F1715" t="s">
        <v>145</v>
      </c>
      <c r="G1715" t="s">
        <v>7009</v>
      </c>
    </row>
    <row r="1716" spans="1:7" ht="44.25" customHeight="1">
      <c r="A1716" t="s">
        <v>362</v>
      </c>
      <c r="B1716" t="s">
        <v>7010</v>
      </c>
      <c r="C1716" t="s">
        <v>132</v>
      </c>
      <c r="D1716" t="s">
        <v>2143</v>
      </c>
      <c r="E1716" t="s">
        <v>2144</v>
      </c>
      <c r="F1716" t="s">
        <v>145</v>
      </c>
      <c r="G1716" t="s">
        <v>7011</v>
      </c>
    </row>
    <row r="1717" spans="1:7" ht="44.25" customHeight="1">
      <c r="A1717" t="s">
        <v>478</v>
      </c>
      <c r="B1717" t="s">
        <v>7012</v>
      </c>
      <c r="C1717" t="s">
        <v>132</v>
      </c>
      <c r="D1717" t="s">
        <v>2143</v>
      </c>
      <c r="E1717" t="s">
        <v>2144</v>
      </c>
      <c r="F1717" t="s">
        <v>145</v>
      </c>
      <c r="G1717" t="s">
        <v>7013</v>
      </c>
    </row>
    <row r="1718" spans="1:7" ht="44.25" customHeight="1">
      <c r="A1718" t="s">
        <v>7014</v>
      </c>
      <c r="B1718" t="s">
        <v>7015</v>
      </c>
      <c r="C1718" t="s">
        <v>132</v>
      </c>
      <c r="D1718" t="s">
        <v>79</v>
      </c>
      <c r="E1718" t="s">
        <v>7016</v>
      </c>
      <c r="F1718" t="s">
        <v>145</v>
      </c>
      <c r="G1718" t="s">
        <v>7017</v>
      </c>
    </row>
    <row r="1719" spans="1:7" ht="44.25" customHeight="1">
      <c r="A1719" t="s">
        <v>7018</v>
      </c>
      <c r="B1719" t="s">
        <v>7019</v>
      </c>
      <c r="C1719" t="s">
        <v>132</v>
      </c>
      <c r="D1719" t="s">
        <v>79</v>
      </c>
      <c r="E1719" t="s">
        <v>7020</v>
      </c>
      <c r="F1719" t="s">
        <v>145</v>
      </c>
      <c r="G1719" t="s">
        <v>7021</v>
      </c>
    </row>
    <row r="1720" spans="1:7" ht="44.25" customHeight="1">
      <c r="A1720" t="s">
        <v>7022</v>
      </c>
      <c r="B1720" t="s">
        <v>7023</v>
      </c>
      <c r="C1720" t="s">
        <v>132</v>
      </c>
      <c r="D1720" t="s">
        <v>79</v>
      </c>
      <c r="E1720" t="s">
        <v>7024</v>
      </c>
      <c r="F1720" t="s">
        <v>145</v>
      </c>
      <c r="G1720" t="s">
        <v>7025</v>
      </c>
    </row>
    <row r="1721" spans="1:7" ht="44.25" customHeight="1">
      <c r="A1721" t="s">
        <v>7026</v>
      </c>
      <c r="B1721" t="s">
        <v>7027</v>
      </c>
      <c r="C1721" t="s">
        <v>132</v>
      </c>
      <c r="D1721" t="s">
        <v>79</v>
      </c>
      <c r="E1721" t="s">
        <v>7028</v>
      </c>
      <c r="F1721" t="s">
        <v>145</v>
      </c>
      <c r="G1721" t="s">
        <v>7029</v>
      </c>
    </row>
    <row r="1722" spans="1:7" ht="44.25" customHeight="1">
      <c r="A1722" t="s">
        <v>7026</v>
      </c>
      <c r="B1722" t="s">
        <v>7027</v>
      </c>
      <c r="C1722" t="s">
        <v>132</v>
      </c>
      <c r="D1722" t="s">
        <v>79</v>
      </c>
      <c r="E1722" t="s">
        <v>7028</v>
      </c>
      <c r="F1722" t="s">
        <v>145</v>
      </c>
      <c r="G1722" t="s">
        <v>7029</v>
      </c>
    </row>
    <row r="1723" spans="1:7" ht="44.25" customHeight="1">
      <c r="A1723" t="s">
        <v>7030</v>
      </c>
      <c r="B1723" t="s">
        <v>7031</v>
      </c>
      <c r="C1723" t="s">
        <v>132</v>
      </c>
      <c r="D1723" t="s">
        <v>79</v>
      </c>
      <c r="E1723" t="s">
        <v>7032</v>
      </c>
      <c r="F1723" t="s">
        <v>145</v>
      </c>
      <c r="G1723" t="s">
        <v>7033</v>
      </c>
    </row>
    <row r="1724" spans="1:7" ht="44.25" customHeight="1">
      <c r="A1724" t="s">
        <v>7034</v>
      </c>
      <c r="B1724" t="s">
        <v>7035</v>
      </c>
      <c r="C1724" t="s">
        <v>132</v>
      </c>
      <c r="D1724" t="s">
        <v>79</v>
      </c>
      <c r="E1724" t="s">
        <v>7036</v>
      </c>
      <c r="F1724" t="s">
        <v>145</v>
      </c>
      <c r="G1724" t="s">
        <v>7037</v>
      </c>
    </row>
    <row r="1725" spans="1:7" ht="44.25" customHeight="1">
      <c r="A1725" t="s">
        <v>7034</v>
      </c>
      <c r="B1725" t="s">
        <v>7035</v>
      </c>
      <c r="C1725" t="s">
        <v>132</v>
      </c>
      <c r="D1725" t="s">
        <v>79</v>
      </c>
      <c r="E1725" t="s">
        <v>7036</v>
      </c>
      <c r="F1725" t="s">
        <v>145</v>
      </c>
      <c r="G1725" t="s">
        <v>7037</v>
      </c>
    </row>
    <row r="1726" spans="1:7" ht="44.25" customHeight="1">
      <c r="A1726" t="s">
        <v>7038</v>
      </c>
      <c r="B1726" t="s">
        <v>7039</v>
      </c>
      <c r="C1726" t="s">
        <v>132</v>
      </c>
      <c r="D1726" t="s">
        <v>79</v>
      </c>
      <c r="E1726" t="s">
        <v>7040</v>
      </c>
      <c r="F1726" t="s">
        <v>145</v>
      </c>
      <c r="G1726" t="s">
        <v>7041</v>
      </c>
    </row>
    <row r="1727" spans="1:7" ht="44.25" customHeight="1">
      <c r="A1727" t="s">
        <v>556</v>
      </c>
      <c r="B1727" t="s">
        <v>7042</v>
      </c>
      <c r="C1727" t="s">
        <v>132</v>
      </c>
      <c r="D1727" t="s">
        <v>79</v>
      </c>
      <c r="E1727" t="s">
        <v>1494</v>
      </c>
      <c r="F1727" t="s">
        <v>145</v>
      </c>
      <c r="G1727" t="s">
        <v>7043</v>
      </c>
    </row>
    <row r="1728" spans="1:7" ht="44.25" customHeight="1">
      <c r="A1728" t="s">
        <v>7044</v>
      </c>
      <c r="B1728" t="s">
        <v>7045</v>
      </c>
      <c r="C1728" t="s">
        <v>132</v>
      </c>
      <c r="D1728" t="s">
        <v>79</v>
      </c>
      <c r="E1728" t="s">
        <v>7046</v>
      </c>
      <c r="F1728" t="s">
        <v>145</v>
      </c>
      <c r="G1728" t="s">
        <v>7047</v>
      </c>
    </row>
    <row r="1729" spans="1:7" ht="44.25" customHeight="1">
      <c r="A1729" t="s">
        <v>7048</v>
      </c>
      <c r="B1729" t="s">
        <v>7049</v>
      </c>
      <c r="C1729" t="s">
        <v>132</v>
      </c>
      <c r="D1729" t="s">
        <v>2143</v>
      </c>
      <c r="E1729" t="s">
        <v>1542</v>
      </c>
      <c r="F1729" t="s">
        <v>145</v>
      </c>
      <c r="G1729" t="s">
        <v>7050</v>
      </c>
    </row>
    <row r="1730" spans="1:7" ht="44.25" customHeight="1">
      <c r="A1730" t="s">
        <v>132</v>
      </c>
      <c r="B1730" t="s">
        <v>7051</v>
      </c>
      <c r="C1730" t="s">
        <v>132</v>
      </c>
      <c r="D1730" t="s">
        <v>2143</v>
      </c>
      <c r="E1730" t="s">
        <v>2285</v>
      </c>
      <c r="F1730" t="s">
        <v>145</v>
      </c>
      <c r="G1730" t="s">
        <v>7052</v>
      </c>
    </row>
    <row r="1731" spans="1:7" ht="44.25" customHeight="1">
      <c r="A1731" t="s">
        <v>224</v>
      </c>
      <c r="B1731" t="s">
        <v>7053</v>
      </c>
      <c r="C1731" t="s">
        <v>132</v>
      </c>
      <c r="D1731" t="s">
        <v>2143</v>
      </c>
      <c r="E1731" t="s">
        <v>1542</v>
      </c>
      <c r="F1731" t="s">
        <v>145</v>
      </c>
      <c r="G1731" t="s">
        <v>7054</v>
      </c>
    </row>
    <row r="1732" spans="1:7" ht="44.25" customHeight="1">
      <c r="A1732" t="s">
        <v>412</v>
      </c>
      <c r="B1732" t="s">
        <v>7055</v>
      </c>
      <c r="C1732" t="s">
        <v>132</v>
      </c>
      <c r="D1732" t="s">
        <v>79</v>
      </c>
      <c r="E1732" t="s">
        <v>7056</v>
      </c>
      <c r="F1732" t="s">
        <v>145</v>
      </c>
      <c r="G1732" t="s">
        <v>7057</v>
      </c>
    </row>
    <row r="1733" spans="1:7" ht="44.25" customHeight="1">
      <c r="A1733" t="s">
        <v>7058</v>
      </c>
      <c r="B1733" t="s">
        <v>7059</v>
      </c>
      <c r="C1733" t="s">
        <v>132</v>
      </c>
      <c r="D1733" t="s">
        <v>2139</v>
      </c>
      <c r="E1733" t="s">
        <v>1365</v>
      </c>
      <c r="F1733" t="s">
        <v>145</v>
      </c>
      <c r="G1733" t="s">
        <v>7060</v>
      </c>
    </row>
    <row r="1734" spans="1:7" ht="44.25" customHeight="1">
      <c r="A1734" t="s">
        <v>7061</v>
      </c>
      <c r="B1734" t="s">
        <v>7062</v>
      </c>
      <c r="C1734" t="s">
        <v>132</v>
      </c>
      <c r="D1734" t="s">
        <v>2139</v>
      </c>
      <c r="E1734" t="s">
        <v>1367</v>
      </c>
      <c r="F1734" t="s">
        <v>145</v>
      </c>
      <c r="G1734" t="s">
        <v>7063</v>
      </c>
    </row>
    <row r="1735" spans="1:7" ht="44.25" customHeight="1">
      <c r="A1735" t="s">
        <v>349</v>
      </c>
      <c r="B1735" t="s">
        <v>7064</v>
      </c>
      <c r="C1735" t="s">
        <v>132</v>
      </c>
      <c r="D1735" t="s">
        <v>2139</v>
      </c>
      <c r="E1735" t="s">
        <v>1367</v>
      </c>
      <c r="F1735" t="s">
        <v>145</v>
      </c>
      <c r="G1735" t="s">
        <v>7065</v>
      </c>
    </row>
    <row r="1736" spans="1:7" ht="44.25" customHeight="1">
      <c r="A1736" t="s">
        <v>7066</v>
      </c>
      <c r="B1736" t="s">
        <v>7067</v>
      </c>
      <c r="C1736" t="s">
        <v>132</v>
      </c>
      <c r="D1736" t="s">
        <v>79</v>
      </c>
      <c r="E1736" t="s">
        <v>6128</v>
      </c>
      <c r="F1736" t="s">
        <v>145</v>
      </c>
      <c r="G1736" t="s">
        <v>7068</v>
      </c>
    </row>
    <row r="1737" spans="1:7" ht="44.25" customHeight="1">
      <c r="A1737" t="s">
        <v>7069</v>
      </c>
      <c r="B1737" t="s">
        <v>7070</v>
      </c>
      <c r="C1737" t="s">
        <v>132</v>
      </c>
      <c r="D1737" t="s">
        <v>79</v>
      </c>
      <c r="E1737" t="s">
        <v>7071</v>
      </c>
      <c r="F1737" t="s">
        <v>145</v>
      </c>
      <c r="G1737" t="s">
        <v>7072</v>
      </c>
    </row>
    <row r="1738" spans="1:7" ht="44.25" customHeight="1">
      <c r="A1738" t="s">
        <v>7073</v>
      </c>
      <c r="B1738" t="s">
        <v>7074</v>
      </c>
      <c r="C1738" t="s">
        <v>132</v>
      </c>
      <c r="D1738" t="s">
        <v>79</v>
      </c>
      <c r="E1738" t="s">
        <v>7075</v>
      </c>
      <c r="F1738" t="s">
        <v>145</v>
      </c>
      <c r="G1738" t="s">
        <v>7076</v>
      </c>
    </row>
    <row r="1739" spans="1:7" ht="44.25" customHeight="1">
      <c r="A1739" t="s">
        <v>7077</v>
      </c>
      <c r="B1739" t="s">
        <v>7078</v>
      </c>
      <c r="C1739" t="s">
        <v>132</v>
      </c>
      <c r="D1739" t="s">
        <v>79</v>
      </c>
      <c r="E1739" t="s">
        <v>7079</v>
      </c>
      <c r="F1739" t="s">
        <v>145</v>
      </c>
      <c r="G1739" t="s">
        <v>7080</v>
      </c>
    </row>
    <row r="1740" spans="1:7" ht="44.25" customHeight="1">
      <c r="A1740" t="s">
        <v>132</v>
      </c>
      <c r="B1740" t="s">
        <v>7081</v>
      </c>
      <c r="C1740" t="s">
        <v>132</v>
      </c>
      <c r="D1740" t="s">
        <v>2143</v>
      </c>
      <c r="E1740" t="s">
        <v>5577</v>
      </c>
      <c r="F1740" t="s">
        <v>145</v>
      </c>
      <c r="G1740" t="s">
        <v>7082</v>
      </c>
    </row>
    <row r="1741" spans="1:7" ht="44.25" customHeight="1">
      <c r="A1741" t="s">
        <v>132</v>
      </c>
      <c r="B1741" t="s">
        <v>7083</v>
      </c>
      <c r="C1741" t="s">
        <v>132</v>
      </c>
      <c r="D1741" t="s">
        <v>2143</v>
      </c>
      <c r="E1741" t="s">
        <v>5577</v>
      </c>
      <c r="F1741" t="s">
        <v>145</v>
      </c>
      <c r="G1741" t="s">
        <v>7084</v>
      </c>
    </row>
    <row r="1742" spans="1:7" ht="44.25" customHeight="1">
      <c r="A1742" t="s">
        <v>7085</v>
      </c>
      <c r="B1742" t="s">
        <v>7086</v>
      </c>
      <c r="C1742" t="s">
        <v>132</v>
      </c>
      <c r="D1742" t="s">
        <v>79</v>
      </c>
      <c r="E1742" t="s">
        <v>7087</v>
      </c>
      <c r="F1742" t="s">
        <v>145</v>
      </c>
      <c r="G1742" t="s">
        <v>7088</v>
      </c>
    </row>
    <row r="1743" spans="1:7" ht="44.25" customHeight="1">
      <c r="A1743" t="s">
        <v>7089</v>
      </c>
      <c r="B1743" t="s">
        <v>7090</v>
      </c>
      <c r="C1743" t="s">
        <v>132</v>
      </c>
      <c r="D1743" t="s">
        <v>2143</v>
      </c>
      <c r="E1743" t="s">
        <v>2285</v>
      </c>
      <c r="F1743" t="s">
        <v>145</v>
      </c>
      <c r="G1743" t="s">
        <v>7091</v>
      </c>
    </row>
    <row r="1744" spans="1:7" ht="44.25" customHeight="1">
      <c r="A1744" t="s">
        <v>7092</v>
      </c>
      <c r="B1744" t="s">
        <v>7093</v>
      </c>
      <c r="C1744" t="s">
        <v>132</v>
      </c>
      <c r="D1744" t="s">
        <v>2143</v>
      </c>
      <c r="E1744" t="s">
        <v>1542</v>
      </c>
      <c r="F1744" t="s">
        <v>145</v>
      </c>
      <c r="G1744" t="s">
        <v>7094</v>
      </c>
    </row>
    <row r="1745" spans="1:7" ht="44.25" customHeight="1">
      <c r="A1745" t="s">
        <v>7095</v>
      </c>
      <c r="B1745" t="s">
        <v>7096</v>
      </c>
      <c r="C1745" t="s">
        <v>7097</v>
      </c>
      <c r="D1745" t="s">
        <v>2143</v>
      </c>
      <c r="E1745" t="s">
        <v>7098</v>
      </c>
      <c r="F1745" t="s">
        <v>145</v>
      </c>
      <c r="G1745" t="s">
        <v>7099</v>
      </c>
    </row>
    <row r="1746" spans="1:7" ht="44.25" customHeight="1">
      <c r="A1746" t="s">
        <v>7100</v>
      </c>
      <c r="B1746" t="s">
        <v>7101</v>
      </c>
      <c r="C1746" t="s">
        <v>132</v>
      </c>
      <c r="D1746" t="s">
        <v>79</v>
      </c>
      <c r="E1746" t="s">
        <v>7102</v>
      </c>
      <c r="F1746" t="s">
        <v>145</v>
      </c>
      <c r="G1746" t="s">
        <v>7103</v>
      </c>
    </row>
    <row r="1747" spans="1:7" ht="44.25" customHeight="1">
      <c r="A1747" t="s">
        <v>7100</v>
      </c>
      <c r="B1747" t="s">
        <v>7101</v>
      </c>
      <c r="C1747" t="s">
        <v>132</v>
      </c>
      <c r="D1747" t="s">
        <v>79</v>
      </c>
      <c r="E1747" t="s">
        <v>7102</v>
      </c>
      <c r="F1747" t="s">
        <v>145</v>
      </c>
      <c r="G1747" t="s">
        <v>7103</v>
      </c>
    </row>
    <row r="1748" spans="1:7" ht="44.25" customHeight="1">
      <c r="A1748" t="s">
        <v>7104</v>
      </c>
      <c r="B1748" t="s">
        <v>7105</v>
      </c>
      <c r="C1748" t="s">
        <v>132</v>
      </c>
      <c r="D1748" t="s">
        <v>79</v>
      </c>
      <c r="E1748" t="s">
        <v>7106</v>
      </c>
      <c r="F1748" t="s">
        <v>145</v>
      </c>
      <c r="G1748" t="s">
        <v>7107</v>
      </c>
    </row>
    <row r="1749" spans="1:7" ht="44.25" customHeight="1">
      <c r="A1749" t="s">
        <v>7108</v>
      </c>
      <c r="B1749" t="s">
        <v>7109</v>
      </c>
      <c r="C1749" t="s">
        <v>132</v>
      </c>
      <c r="D1749" t="s">
        <v>2139</v>
      </c>
      <c r="E1749" t="s">
        <v>1367</v>
      </c>
      <c r="F1749" t="s">
        <v>145</v>
      </c>
      <c r="G1749" t="s">
        <v>7110</v>
      </c>
    </row>
    <row r="1750" spans="1:7" ht="44.25" customHeight="1">
      <c r="A1750" t="s">
        <v>7111</v>
      </c>
      <c r="B1750" t="s">
        <v>7112</v>
      </c>
      <c r="C1750" t="s">
        <v>132</v>
      </c>
      <c r="D1750" t="s">
        <v>2139</v>
      </c>
      <c r="E1750" t="s">
        <v>1367</v>
      </c>
      <c r="F1750" t="s">
        <v>145</v>
      </c>
      <c r="G1750" t="s">
        <v>7113</v>
      </c>
    </row>
    <row r="1751" spans="1:7" ht="44.25" customHeight="1">
      <c r="A1751" t="s">
        <v>1274</v>
      </c>
      <c r="B1751" t="s">
        <v>7114</v>
      </c>
      <c r="C1751" t="s">
        <v>132</v>
      </c>
      <c r="D1751" t="s">
        <v>2139</v>
      </c>
      <c r="E1751" t="s">
        <v>1367</v>
      </c>
      <c r="F1751" t="s">
        <v>145</v>
      </c>
      <c r="G1751" t="s">
        <v>7115</v>
      </c>
    </row>
    <row r="1752" spans="1:7" ht="44.25" customHeight="1">
      <c r="A1752" t="s">
        <v>608</v>
      </c>
      <c r="B1752" t="s">
        <v>7116</v>
      </c>
      <c r="C1752" t="s">
        <v>132</v>
      </c>
      <c r="D1752" t="s">
        <v>79</v>
      </c>
      <c r="E1752" t="s">
        <v>7117</v>
      </c>
      <c r="F1752" t="s">
        <v>145</v>
      </c>
      <c r="G1752" t="s">
        <v>7118</v>
      </c>
    </row>
    <row r="1753" spans="1:7" ht="44.25" customHeight="1">
      <c r="A1753" t="s">
        <v>1012</v>
      </c>
      <c r="B1753" t="s">
        <v>7119</v>
      </c>
      <c r="C1753" t="s">
        <v>132</v>
      </c>
      <c r="D1753" t="s">
        <v>2143</v>
      </c>
      <c r="E1753" t="s">
        <v>1559</v>
      </c>
      <c r="F1753" t="s">
        <v>145</v>
      </c>
      <c r="G1753" t="s">
        <v>7120</v>
      </c>
    </row>
    <row r="1754" spans="1:7" ht="44.25" customHeight="1">
      <c r="A1754" t="s">
        <v>7121</v>
      </c>
      <c r="B1754" t="s">
        <v>7122</v>
      </c>
      <c r="C1754" t="s">
        <v>132</v>
      </c>
      <c r="D1754" t="s">
        <v>2143</v>
      </c>
      <c r="E1754" t="s">
        <v>3479</v>
      </c>
      <c r="F1754" t="s">
        <v>145</v>
      </c>
      <c r="G1754" t="s">
        <v>7123</v>
      </c>
    </row>
    <row r="1755" spans="1:7" ht="44.25" customHeight="1">
      <c r="A1755" t="s">
        <v>7121</v>
      </c>
      <c r="B1755" t="s">
        <v>7122</v>
      </c>
      <c r="C1755" t="s">
        <v>132</v>
      </c>
      <c r="D1755" t="s">
        <v>2143</v>
      </c>
      <c r="E1755" t="s">
        <v>3479</v>
      </c>
      <c r="F1755" t="s">
        <v>145</v>
      </c>
      <c r="G1755" t="s">
        <v>7123</v>
      </c>
    </row>
    <row r="1756" spans="1:7" ht="44.25" customHeight="1">
      <c r="A1756" t="s">
        <v>7124</v>
      </c>
      <c r="B1756" t="s">
        <v>7125</v>
      </c>
      <c r="C1756" t="s">
        <v>132</v>
      </c>
      <c r="D1756" t="s">
        <v>79</v>
      </c>
      <c r="E1756" t="s">
        <v>7126</v>
      </c>
      <c r="F1756" t="s">
        <v>145</v>
      </c>
      <c r="G1756" t="s">
        <v>7127</v>
      </c>
    </row>
    <row r="1757" spans="1:7" ht="44.25" customHeight="1">
      <c r="A1757" t="s">
        <v>7128</v>
      </c>
      <c r="B1757" t="s">
        <v>7129</v>
      </c>
      <c r="C1757" t="s">
        <v>132</v>
      </c>
      <c r="D1757" t="s">
        <v>79</v>
      </c>
      <c r="E1757" t="s">
        <v>7130</v>
      </c>
      <c r="F1757" t="s">
        <v>145</v>
      </c>
      <c r="G1757" t="s">
        <v>7131</v>
      </c>
    </row>
    <row r="1758" spans="1:7" ht="44.25" customHeight="1">
      <c r="A1758" t="s">
        <v>7132</v>
      </c>
      <c r="B1758" t="s">
        <v>7133</v>
      </c>
      <c r="C1758" t="s">
        <v>132</v>
      </c>
      <c r="D1758" t="s">
        <v>79</v>
      </c>
      <c r="E1758" t="s">
        <v>7134</v>
      </c>
      <c r="F1758" t="s">
        <v>145</v>
      </c>
      <c r="G1758" t="s">
        <v>7135</v>
      </c>
    </row>
    <row r="1759" spans="1:7" ht="44.25" customHeight="1">
      <c r="A1759" t="s">
        <v>7136</v>
      </c>
      <c r="B1759" t="s">
        <v>7137</v>
      </c>
      <c r="C1759" t="s">
        <v>132</v>
      </c>
      <c r="D1759" t="s">
        <v>79</v>
      </c>
      <c r="E1759" t="s">
        <v>7138</v>
      </c>
      <c r="F1759" t="s">
        <v>145</v>
      </c>
      <c r="G1759" t="s">
        <v>7139</v>
      </c>
    </row>
    <row r="1760" spans="1:7" ht="44.25" customHeight="1">
      <c r="A1760" t="s">
        <v>7140</v>
      </c>
      <c r="B1760" t="s">
        <v>7141</v>
      </c>
      <c r="C1760" t="s">
        <v>132</v>
      </c>
      <c r="D1760" t="s">
        <v>2143</v>
      </c>
      <c r="E1760" t="s">
        <v>6691</v>
      </c>
      <c r="F1760" t="s">
        <v>145</v>
      </c>
      <c r="G1760" t="s">
        <v>7142</v>
      </c>
    </row>
    <row r="1761" spans="1:7" ht="44.25" customHeight="1">
      <c r="A1761" t="s">
        <v>132</v>
      </c>
      <c r="B1761" t="s">
        <v>7143</v>
      </c>
      <c r="C1761" t="s">
        <v>132</v>
      </c>
      <c r="D1761" t="s">
        <v>2143</v>
      </c>
      <c r="E1761" t="s">
        <v>5577</v>
      </c>
      <c r="F1761" t="s">
        <v>145</v>
      </c>
      <c r="G1761" t="s">
        <v>7144</v>
      </c>
    </row>
    <row r="1762" spans="1:7" ht="44.25" customHeight="1">
      <c r="A1762" t="s">
        <v>7145</v>
      </c>
      <c r="B1762" t="s">
        <v>7146</v>
      </c>
      <c r="C1762" t="s">
        <v>132</v>
      </c>
      <c r="D1762" t="s">
        <v>2143</v>
      </c>
      <c r="E1762" t="s">
        <v>2285</v>
      </c>
      <c r="F1762" t="s">
        <v>145</v>
      </c>
      <c r="G1762" t="s">
        <v>7147</v>
      </c>
    </row>
    <row r="1763" spans="1:7" ht="44.25" customHeight="1">
      <c r="A1763" t="s">
        <v>7148</v>
      </c>
      <c r="B1763" t="s">
        <v>7149</v>
      </c>
      <c r="C1763" t="s">
        <v>132</v>
      </c>
      <c r="D1763" t="s">
        <v>2143</v>
      </c>
      <c r="E1763" t="s">
        <v>1542</v>
      </c>
      <c r="F1763" t="s">
        <v>145</v>
      </c>
      <c r="G1763" t="s">
        <v>7150</v>
      </c>
    </row>
    <row r="1764" spans="1:7" ht="44.25" customHeight="1">
      <c r="A1764" t="s">
        <v>7151</v>
      </c>
      <c r="B1764" t="s">
        <v>7152</v>
      </c>
      <c r="C1764" t="s">
        <v>132</v>
      </c>
      <c r="D1764" t="s">
        <v>2143</v>
      </c>
      <c r="E1764" t="s">
        <v>1542</v>
      </c>
      <c r="F1764" t="s">
        <v>145</v>
      </c>
      <c r="G1764" t="s">
        <v>7153</v>
      </c>
    </row>
    <row r="1765" spans="1:7" ht="44.25" customHeight="1">
      <c r="A1765" t="s">
        <v>7154</v>
      </c>
      <c r="B1765" t="s">
        <v>7155</v>
      </c>
      <c r="C1765" t="s">
        <v>132</v>
      </c>
      <c r="D1765" t="s">
        <v>2143</v>
      </c>
      <c r="E1765" t="s">
        <v>1542</v>
      </c>
      <c r="F1765" t="s">
        <v>145</v>
      </c>
      <c r="G1765" t="s">
        <v>7156</v>
      </c>
    </row>
    <row r="1766" spans="1:7" ht="44.25" customHeight="1">
      <c r="A1766" t="s">
        <v>7157</v>
      </c>
      <c r="B1766" t="s">
        <v>7158</v>
      </c>
      <c r="C1766" t="s">
        <v>132</v>
      </c>
      <c r="D1766" t="s">
        <v>2143</v>
      </c>
      <c r="E1766" t="s">
        <v>1542</v>
      </c>
      <c r="F1766" t="s">
        <v>145</v>
      </c>
      <c r="G1766" t="s">
        <v>7159</v>
      </c>
    </row>
    <row r="1767" spans="1:7" ht="44.25" customHeight="1">
      <c r="A1767" t="s">
        <v>7160</v>
      </c>
      <c r="B1767" t="s">
        <v>7161</v>
      </c>
      <c r="C1767" t="s">
        <v>132</v>
      </c>
      <c r="D1767" t="s">
        <v>2143</v>
      </c>
      <c r="E1767" t="s">
        <v>1542</v>
      </c>
      <c r="F1767" t="s">
        <v>145</v>
      </c>
      <c r="G1767" t="s">
        <v>7162</v>
      </c>
    </row>
    <row r="1768" spans="1:7" ht="44.25" customHeight="1">
      <c r="A1768" t="s">
        <v>7163</v>
      </c>
      <c r="B1768" t="s">
        <v>7164</v>
      </c>
      <c r="C1768" t="s">
        <v>132</v>
      </c>
      <c r="D1768" t="s">
        <v>2143</v>
      </c>
      <c r="E1768" t="s">
        <v>2285</v>
      </c>
      <c r="F1768" t="s">
        <v>145</v>
      </c>
      <c r="G1768" t="s">
        <v>7165</v>
      </c>
    </row>
    <row r="1769" spans="1:7" ht="44.25" customHeight="1">
      <c r="A1769" t="s">
        <v>7166</v>
      </c>
      <c r="B1769" t="s">
        <v>7167</v>
      </c>
      <c r="C1769" t="s">
        <v>132</v>
      </c>
      <c r="D1769" t="s">
        <v>2143</v>
      </c>
      <c r="E1769" t="s">
        <v>1542</v>
      </c>
      <c r="F1769" t="s">
        <v>145</v>
      </c>
      <c r="G1769" t="s">
        <v>7168</v>
      </c>
    </row>
    <row r="1770" spans="1:7" ht="44.25" customHeight="1">
      <c r="A1770" t="s">
        <v>7169</v>
      </c>
      <c r="B1770" t="s">
        <v>7170</v>
      </c>
      <c r="C1770" t="s">
        <v>132</v>
      </c>
      <c r="D1770" t="s">
        <v>2143</v>
      </c>
      <c r="E1770" t="s">
        <v>3048</v>
      </c>
      <c r="F1770" t="s">
        <v>145</v>
      </c>
      <c r="G1770" t="s">
        <v>7171</v>
      </c>
    </row>
    <row r="1771" spans="1:7" ht="44.25" customHeight="1">
      <c r="A1771" t="s">
        <v>543</v>
      </c>
      <c r="B1771" t="s">
        <v>7172</v>
      </c>
      <c r="C1771" t="s">
        <v>132</v>
      </c>
      <c r="D1771" t="s">
        <v>79</v>
      </c>
      <c r="E1771" t="s">
        <v>7173</v>
      </c>
      <c r="F1771" t="s">
        <v>145</v>
      </c>
      <c r="G1771" t="s">
        <v>7174</v>
      </c>
    </row>
    <row r="1772" spans="1:7" ht="44.25" customHeight="1">
      <c r="A1772" t="s">
        <v>7175</v>
      </c>
      <c r="B1772" t="s">
        <v>7176</v>
      </c>
      <c r="C1772" t="s">
        <v>132</v>
      </c>
      <c r="D1772" t="s">
        <v>79</v>
      </c>
      <c r="E1772" t="s">
        <v>7177</v>
      </c>
      <c r="F1772" t="s">
        <v>145</v>
      </c>
      <c r="G1772" t="s">
        <v>7178</v>
      </c>
    </row>
    <row r="1773" spans="1:7" ht="44.25" customHeight="1">
      <c r="A1773" t="s">
        <v>7175</v>
      </c>
      <c r="B1773" t="s">
        <v>7176</v>
      </c>
      <c r="C1773" t="s">
        <v>132</v>
      </c>
      <c r="D1773" t="s">
        <v>79</v>
      </c>
      <c r="E1773" t="s">
        <v>7177</v>
      </c>
      <c r="F1773" t="s">
        <v>145</v>
      </c>
      <c r="G1773" t="s">
        <v>7178</v>
      </c>
    </row>
    <row r="1774" spans="1:7" ht="44.25" customHeight="1">
      <c r="A1774" t="s">
        <v>7179</v>
      </c>
      <c r="B1774" t="s">
        <v>7180</v>
      </c>
      <c r="C1774" t="s">
        <v>132</v>
      </c>
      <c r="D1774" t="s">
        <v>79</v>
      </c>
      <c r="E1774" t="s">
        <v>7181</v>
      </c>
      <c r="F1774" t="s">
        <v>145</v>
      </c>
      <c r="G1774" t="s">
        <v>7182</v>
      </c>
    </row>
    <row r="1775" spans="1:7" ht="44.25" customHeight="1">
      <c r="A1775" t="s">
        <v>7183</v>
      </c>
      <c r="B1775" t="s">
        <v>7184</v>
      </c>
      <c r="C1775" t="s">
        <v>132</v>
      </c>
      <c r="D1775" t="s">
        <v>2143</v>
      </c>
      <c r="E1775" t="s">
        <v>2155</v>
      </c>
      <c r="F1775" t="s">
        <v>145</v>
      </c>
      <c r="G1775" t="s">
        <v>7185</v>
      </c>
    </row>
    <row r="1776" spans="1:7" ht="44.25" customHeight="1">
      <c r="A1776" t="s">
        <v>7186</v>
      </c>
      <c r="B1776" t="s">
        <v>7187</v>
      </c>
      <c r="C1776" t="s">
        <v>132</v>
      </c>
      <c r="D1776" t="s">
        <v>2139</v>
      </c>
      <c r="E1776" t="s">
        <v>1367</v>
      </c>
      <c r="F1776" t="s">
        <v>145</v>
      </c>
      <c r="G1776" t="s">
        <v>7188</v>
      </c>
    </row>
    <row r="1777" spans="1:7" ht="44.25" customHeight="1">
      <c r="A1777" t="s">
        <v>7189</v>
      </c>
      <c r="B1777" t="s">
        <v>7190</v>
      </c>
      <c r="C1777" t="s">
        <v>132</v>
      </c>
      <c r="D1777" t="s">
        <v>2139</v>
      </c>
      <c r="E1777" t="s">
        <v>1367</v>
      </c>
      <c r="F1777" t="s">
        <v>145</v>
      </c>
      <c r="G1777" t="s">
        <v>7191</v>
      </c>
    </row>
    <row r="1778" spans="1:7" ht="44.25" customHeight="1">
      <c r="A1778" t="s">
        <v>7192</v>
      </c>
      <c r="B1778" t="s">
        <v>7193</v>
      </c>
      <c r="C1778" t="s">
        <v>132</v>
      </c>
      <c r="D1778" t="s">
        <v>2139</v>
      </c>
      <c r="E1778" t="s">
        <v>1367</v>
      </c>
      <c r="F1778" t="s">
        <v>145</v>
      </c>
      <c r="G1778" t="s">
        <v>7194</v>
      </c>
    </row>
    <row r="1779" spans="1:7" ht="44.25" customHeight="1">
      <c r="A1779" t="s">
        <v>970</v>
      </c>
      <c r="B1779" t="s">
        <v>7195</v>
      </c>
      <c r="C1779" t="s">
        <v>132</v>
      </c>
      <c r="D1779" t="s">
        <v>2143</v>
      </c>
      <c r="E1779" t="s">
        <v>2162</v>
      </c>
      <c r="F1779" t="s">
        <v>145</v>
      </c>
      <c r="G1779" t="s">
        <v>7196</v>
      </c>
    </row>
    <row r="1780" spans="1:7" ht="44.25" customHeight="1">
      <c r="A1780" t="s">
        <v>1053</v>
      </c>
      <c r="B1780" t="s">
        <v>7197</v>
      </c>
      <c r="C1780" t="s">
        <v>132</v>
      </c>
      <c r="D1780" t="s">
        <v>2143</v>
      </c>
      <c r="E1780" t="s">
        <v>2162</v>
      </c>
      <c r="F1780" t="s">
        <v>145</v>
      </c>
      <c r="G1780" t="s">
        <v>7198</v>
      </c>
    </row>
    <row r="1781" spans="1:7" ht="44.25" customHeight="1">
      <c r="A1781" t="s">
        <v>7199</v>
      </c>
      <c r="B1781" t="s">
        <v>7200</v>
      </c>
      <c r="C1781" t="s">
        <v>132</v>
      </c>
      <c r="D1781" t="s">
        <v>79</v>
      </c>
      <c r="E1781" t="s">
        <v>7201</v>
      </c>
      <c r="F1781" t="s">
        <v>145</v>
      </c>
      <c r="G1781" t="s">
        <v>7202</v>
      </c>
    </row>
    <row r="1782" spans="1:7" ht="44.25" customHeight="1">
      <c r="A1782" t="s">
        <v>476</v>
      </c>
      <c r="B1782" t="s">
        <v>7203</v>
      </c>
      <c r="C1782" t="s">
        <v>132</v>
      </c>
      <c r="D1782" t="s">
        <v>2143</v>
      </c>
      <c r="E1782" t="s">
        <v>2144</v>
      </c>
      <c r="F1782" t="s">
        <v>145</v>
      </c>
      <c r="G1782" t="s">
        <v>7204</v>
      </c>
    </row>
    <row r="1783" spans="1:7" ht="44.25" customHeight="1">
      <c r="A1783" t="s">
        <v>7205</v>
      </c>
      <c r="B1783" t="s">
        <v>7206</v>
      </c>
      <c r="C1783" t="s">
        <v>132</v>
      </c>
      <c r="D1783" t="s">
        <v>79</v>
      </c>
      <c r="E1783" t="s">
        <v>7207</v>
      </c>
      <c r="F1783" t="s">
        <v>145</v>
      </c>
      <c r="G1783" t="s">
        <v>7208</v>
      </c>
    </row>
    <row r="1784" spans="1:7" ht="44.25" customHeight="1">
      <c r="A1784" t="s">
        <v>7209</v>
      </c>
      <c r="B1784" t="s">
        <v>7210</v>
      </c>
      <c r="C1784" t="s">
        <v>132</v>
      </c>
      <c r="D1784" t="s">
        <v>79</v>
      </c>
      <c r="E1784" t="s">
        <v>7211</v>
      </c>
      <c r="F1784" t="s">
        <v>145</v>
      </c>
      <c r="G1784" t="s">
        <v>7212</v>
      </c>
    </row>
    <row r="1785" spans="1:7" ht="44.25" customHeight="1">
      <c r="A1785" t="s">
        <v>7209</v>
      </c>
      <c r="B1785" t="s">
        <v>7210</v>
      </c>
      <c r="C1785" t="s">
        <v>132</v>
      </c>
      <c r="D1785" t="s">
        <v>79</v>
      </c>
      <c r="E1785" t="s">
        <v>7211</v>
      </c>
      <c r="F1785" t="s">
        <v>145</v>
      </c>
      <c r="G1785" t="s">
        <v>7212</v>
      </c>
    </row>
    <row r="1786" spans="1:7" ht="44.25" customHeight="1">
      <c r="A1786" t="s">
        <v>7213</v>
      </c>
      <c r="B1786" t="s">
        <v>7214</v>
      </c>
      <c r="C1786" t="s">
        <v>132</v>
      </c>
      <c r="D1786" t="s">
        <v>79</v>
      </c>
      <c r="E1786" t="s">
        <v>7215</v>
      </c>
      <c r="F1786" t="s">
        <v>145</v>
      </c>
      <c r="G1786" t="s">
        <v>7216</v>
      </c>
    </row>
    <row r="1787" spans="1:7" ht="44.25" customHeight="1">
      <c r="A1787" t="s">
        <v>7217</v>
      </c>
      <c r="B1787" t="s">
        <v>7218</v>
      </c>
      <c r="C1787" t="s">
        <v>132</v>
      </c>
      <c r="D1787" t="s">
        <v>2143</v>
      </c>
      <c r="E1787" t="s">
        <v>5577</v>
      </c>
      <c r="F1787" t="s">
        <v>145</v>
      </c>
      <c r="G1787" t="s">
        <v>7219</v>
      </c>
    </row>
    <row r="1788" spans="1:7" ht="44.25" customHeight="1">
      <c r="A1788" t="s">
        <v>7220</v>
      </c>
      <c r="B1788" t="s">
        <v>7221</v>
      </c>
      <c r="C1788" t="s">
        <v>132</v>
      </c>
      <c r="D1788" t="s">
        <v>2143</v>
      </c>
      <c r="E1788" t="s">
        <v>1542</v>
      </c>
      <c r="F1788" t="s">
        <v>145</v>
      </c>
      <c r="G1788" t="s">
        <v>7222</v>
      </c>
    </row>
    <row r="1789" spans="1:7" ht="44.25" customHeight="1">
      <c r="A1789" t="s">
        <v>7223</v>
      </c>
      <c r="B1789" t="s">
        <v>7224</v>
      </c>
      <c r="C1789" t="s">
        <v>132</v>
      </c>
      <c r="D1789" t="s">
        <v>2143</v>
      </c>
      <c r="E1789" t="s">
        <v>1542</v>
      </c>
      <c r="F1789" t="s">
        <v>145</v>
      </c>
      <c r="G1789" t="s">
        <v>7225</v>
      </c>
    </row>
    <row r="1790" spans="1:7" ht="44.25" customHeight="1">
      <c r="A1790" t="s">
        <v>226</v>
      </c>
      <c r="B1790" t="s">
        <v>7226</v>
      </c>
      <c r="C1790" t="s">
        <v>132</v>
      </c>
      <c r="D1790" t="s">
        <v>2143</v>
      </c>
      <c r="E1790" t="s">
        <v>1542</v>
      </c>
      <c r="F1790" t="s">
        <v>145</v>
      </c>
      <c r="G1790" t="s">
        <v>7227</v>
      </c>
    </row>
    <row r="1791" spans="1:7" ht="44.25" customHeight="1">
      <c r="A1791" t="s">
        <v>7228</v>
      </c>
      <c r="B1791" t="s">
        <v>7229</v>
      </c>
      <c r="C1791" t="s">
        <v>132</v>
      </c>
      <c r="D1791" t="s">
        <v>2143</v>
      </c>
      <c r="E1791" t="s">
        <v>1542</v>
      </c>
      <c r="F1791" t="s">
        <v>145</v>
      </c>
      <c r="G1791" t="s">
        <v>7230</v>
      </c>
    </row>
    <row r="1792" spans="1:7" ht="44.25" customHeight="1">
      <c r="A1792" t="s">
        <v>7231</v>
      </c>
      <c r="B1792" t="s">
        <v>7232</v>
      </c>
      <c r="C1792" t="s">
        <v>132</v>
      </c>
      <c r="D1792" t="s">
        <v>2139</v>
      </c>
      <c r="E1792" t="s">
        <v>1367</v>
      </c>
      <c r="F1792" t="s">
        <v>145</v>
      </c>
      <c r="G1792" t="s">
        <v>7233</v>
      </c>
    </row>
    <row r="1793" spans="1:7" ht="44.25" customHeight="1">
      <c r="A1793" t="s">
        <v>1374</v>
      </c>
      <c r="B1793" t="s">
        <v>7234</v>
      </c>
      <c r="C1793" t="s">
        <v>132</v>
      </c>
      <c r="D1793" t="s">
        <v>2143</v>
      </c>
      <c r="E1793" t="s">
        <v>1519</v>
      </c>
      <c r="F1793" t="s">
        <v>145</v>
      </c>
      <c r="G1793" t="s">
        <v>7235</v>
      </c>
    </row>
    <row r="1794" spans="1:7" ht="44.25" customHeight="1">
      <c r="A1794" t="s">
        <v>849</v>
      </c>
      <c r="B1794" t="s">
        <v>7236</v>
      </c>
      <c r="C1794" t="s">
        <v>132</v>
      </c>
      <c r="D1794" t="s">
        <v>79</v>
      </c>
      <c r="E1794" t="s">
        <v>6097</v>
      </c>
      <c r="F1794" t="s">
        <v>145</v>
      </c>
      <c r="G1794" t="s">
        <v>7237</v>
      </c>
    </row>
    <row r="1795" spans="1:7" ht="44.25" customHeight="1">
      <c r="A1795" t="s">
        <v>7238</v>
      </c>
      <c r="B1795" t="s">
        <v>7239</v>
      </c>
      <c r="C1795" t="s">
        <v>132</v>
      </c>
      <c r="D1795" t="s">
        <v>79</v>
      </c>
      <c r="E1795" t="s">
        <v>7240</v>
      </c>
      <c r="F1795" t="s">
        <v>145</v>
      </c>
      <c r="G1795" t="s">
        <v>7241</v>
      </c>
    </row>
    <row r="1796" spans="1:7" ht="44.25" customHeight="1">
      <c r="A1796" t="s">
        <v>665</v>
      </c>
      <c r="B1796" t="s">
        <v>7242</v>
      </c>
      <c r="C1796" t="s">
        <v>132</v>
      </c>
      <c r="D1796" t="s">
        <v>2143</v>
      </c>
      <c r="E1796" t="s">
        <v>1519</v>
      </c>
      <c r="F1796" t="s">
        <v>145</v>
      </c>
      <c r="G1796" t="s">
        <v>7243</v>
      </c>
    </row>
    <row r="1797" spans="1:7" ht="44.25" customHeight="1">
      <c r="A1797" t="s">
        <v>7244</v>
      </c>
      <c r="B1797" t="s">
        <v>7245</v>
      </c>
      <c r="C1797" t="s">
        <v>132</v>
      </c>
      <c r="D1797" t="s">
        <v>79</v>
      </c>
      <c r="E1797" t="s">
        <v>7246</v>
      </c>
      <c r="F1797" t="s">
        <v>145</v>
      </c>
      <c r="G1797" t="s">
        <v>7247</v>
      </c>
    </row>
    <row r="1798" spans="1:7" ht="44.25" customHeight="1">
      <c r="A1798" t="s">
        <v>7248</v>
      </c>
      <c r="B1798" t="s">
        <v>7249</v>
      </c>
      <c r="C1798" t="s">
        <v>132</v>
      </c>
      <c r="D1798" t="s">
        <v>79</v>
      </c>
      <c r="E1798" t="s">
        <v>7250</v>
      </c>
      <c r="F1798" t="s">
        <v>145</v>
      </c>
      <c r="G1798" t="s">
        <v>7251</v>
      </c>
    </row>
    <row r="1799" spans="1:7" ht="44.25" customHeight="1">
      <c r="A1799" t="s">
        <v>7252</v>
      </c>
      <c r="B1799" t="s">
        <v>7253</v>
      </c>
      <c r="C1799" t="s">
        <v>132</v>
      </c>
      <c r="D1799" t="s">
        <v>79</v>
      </c>
      <c r="E1799" t="s">
        <v>7254</v>
      </c>
      <c r="F1799" t="s">
        <v>145</v>
      </c>
      <c r="G1799" t="s">
        <v>7255</v>
      </c>
    </row>
    <row r="1800" spans="1:7" ht="44.25" customHeight="1">
      <c r="A1800" t="s">
        <v>7256</v>
      </c>
      <c r="B1800" t="s">
        <v>7257</v>
      </c>
      <c r="C1800" t="s">
        <v>132</v>
      </c>
      <c r="D1800" t="s">
        <v>79</v>
      </c>
      <c r="E1800" t="s">
        <v>7258</v>
      </c>
      <c r="F1800" t="s">
        <v>145</v>
      </c>
      <c r="G1800" t="s">
        <v>7259</v>
      </c>
    </row>
    <row r="1801" spans="1:7" ht="44.25" customHeight="1">
      <c r="A1801" t="s">
        <v>7260</v>
      </c>
      <c r="B1801" t="s">
        <v>7261</v>
      </c>
      <c r="C1801" t="s">
        <v>132</v>
      </c>
      <c r="D1801" t="s">
        <v>2143</v>
      </c>
      <c r="E1801" t="s">
        <v>7262</v>
      </c>
      <c r="F1801" t="s">
        <v>145</v>
      </c>
      <c r="G1801" t="s">
        <v>7263</v>
      </c>
    </row>
    <row r="1802" spans="1:7" ht="44.25" customHeight="1">
      <c r="A1802" t="s">
        <v>386</v>
      </c>
      <c r="B1802" t="s">
        <v>7264</v>
      </c>
      <c r="C1802" t="s">
        <v>132</v>
      </c>
      <c r="D1802" t="s">
        <v>79</v>
      </c>
      <c r="E1802" t="s">
        <v>1455</v>
      </c>
      <c r="F1802" t="s">
        <v>145</v>
      </c>
      <c r="G1802" t="s">
        <v>7265</v>
      </c>
    </row>
    <row r="1803" spans="1:7" ht="44.25" customHeight="1">
      <c r="A1803" t="s">
        <v>7266</v>
      </c>
      <c r="B1803" t="s">
        <v>7267</v>
      </c>
      <c r="C1803" t="s">
        <v>132</v>
      </c>
      <c r="D1803" t="s">
        <v>2143</v>
      </c>
      <c r="E1803" t="s">
        <v>1542</v>
      </c>
      <c r="F1803" t="s">
        <v>145</v>
      </c>
      <c r="G1803" t="s">
        <v>7268</v>
      </c>
    </row>
    <row r="1804" spans="1:7" ht="44.25" customHeight="1">
      <c r="A1804" t="s">
        <v>7269</v>
      </c>
      <c r="B1804" t="s">
        <v>7270</v>
      </c>
      <c r="C1804" t="s">
        <v>7271</v>
      </c>
      <c r="D1804" t="s">
        <v>2143</v>
      </c>
      <c r="E1804" t="s">
        <v>2571</v>
      </c>
      <c r="F1804" t="s">
        <v>145</v>
      </c>
      <c r="G1804" t="s">
        <v>7272</v>
      </c>
    </row>
    <row r="1805" spans="1:7" ht="44.25" customHeight="1">
      <c r="A1805" t="s">
        <v>230</v>
      </c>
      <c r="B1805" t="s">
        <v>7273</v>
      </c>
      <c r="C1805" t="s">
        <v>132</v>
      </c>
      <c r="D1805" t="s">
        <v>2143</v>
      </c>
      <c r="E1805" t="s">
        <v>1542</v>
      </c>
      <c r="F1805" t="s">
        <v>145</v>
      </c>
      <c r="G1805" t="s">
        <v>7274</v>
      </c>
    </row>
    <row r="1806" spans="1:7" ht="44.25" customHeight="1">
      <c r="A1806" t="s">
        <v>692</v>
      </c>
      <c r="B1806" t="s">
        <v>7275</v>
      </c>
      <c r="C1806" t="s">
        <v>132</v>
      </c>
      <c r="D1806" t="s">
        <v>2143</v>
      </c>
      <c r="E1806" t="s">
        <v>7276</v>
      </c>
      <c r="F1806" t="s">
        <v>145</v>
      </c>
      <c r="G1806" t="s">
        <v>7277</v>
      </c>
    </row>
    <row r="1807" spans="1:7" ht="44.25" customHeight="1">
      <c r="A1807" t="s">
        <v>398</v>
      </c>
      <c r="B1807" t="s">
        <v>7278</v>
      </c>
      <c r="C1807" t="s">
        <v>132</v>
      </c>
      <c r="D1807" t="s">
        <v>79</v>
      </c>
      <c r="E1807" t="s">
        <v>3402</v>
      </c>
      <c r="F1807" t="s">
        <v>145</v>
      </c>
      <c r="G1807" t="s">
        <v>7279</v>
      </c>
    </row>
    <row r="1808" spans="1:7" ht="44.25" customHeight="1">
      <c r="A1808" t="s">
        <v>7280</v>
      </c>
      <c r="B1808" t="s">
        <v>7281</v>
      </c>
      <c r="C1808" t="s">
        <v>132</v>
      </c>
      <c r="D1808" t="s">
        <v>79</v>
      </c>
      <c r="E1808" t="s">
        <v>7282</v>
      </c>
      <c r="F1808" t="s">
        <v>145</v>
      </c>
      <c r="G1808" t="s">
        <v>7283</v>
      </c>
    </row>
    <row r="1809" spans="1:7" ht="44.25" customHeight="1">
      <c r="A1809" t="s">
        <v>7280</v>
      </c>
      <c r="B1809" t="s">
        <v>7281</v>
      </c>
      <c r="C1809" t="s">
        <v>132</v>
      </c>
      <c r="D1809" t="s">
        <v>79</v>
      </c>
      <c r="E1809" t="s">
        <v>7282</v>
      </c>
      <c r="F1809" t="s">
        <v>145</v>
      </c>
      <c r="G1809" t="s">
        <v>7283</v>
      </c>
    </row>
    <row r="1810" spans="1:7" ht="44.25" customHeight="1">
      <c r="A1810" t="s">
        <v>343</v>
      </c>
      <c r="B1810" t="s">
        <v>7284</v>
      </c>
      <c r="C1810" t="s">
        <v>132</v>
      </c>
      <c r="D1810" t="s">
        <v>2139</v>
      </c>
      <c r="E1810" t="s">
        <v>1367</v>
      </c>
      <c r="F1810" t="s">
        <v>145</v>
      </c>
      <c r="G1810" t="s">
        <v>7285</v>
      </c>
    </row>
    <row r="1811" spans="1:7" ht="44.25" customHeight="1">
      <c r="A1811" t="s">
        <v>705</v>
      </c>
      <c r="B1811" t="s">
        <v>7286</v>
      </c>
      <c r="C1811" t="s">
        <v>132</v>
      </c>
      <c r="D1811" t="s">
        <v>2143</v>
      </c>
      <c r="E1811" t="s">
        <v>2155</v>
      </c>
      <c r="F1811" t="s">
        <v>145</v>
      </c>
      <c r="G1811" t="s">
        <v>7287</v>
      </c>
    </row>
    <row r="1812" spans="1:7" ht="44.25" customHeight="1">
      <c r="A1812" t="s">
        <v>861</v>
      </c>
      <c r="B1812" t="s">
        <v>7288</v>
      </c>
      <c r="C1812" t="s">
        <v>132</v>
      </c>
      <c r="D1812" t="s">
        <v>79</v>
      </c>
      <c r="E1812" t="s">
        <v>4738</v>
      </c>
      <c r="F1812" t="s">
        <v>145</v>
      </c>
      <c r="G1812" t="s">
        <v>7289</v>
      </c>
    </row>
    <row r="1813" spans="1:7" ht="44.25" customHeight="1">
      <c r="A1813" t="s">
        <v>693</v>
      </c>
      <c r="B1813" t="s">
        <v>7290</v>
      </c>
      <c r="C1813" t="s">
        <v>132</v>
      </c>
      <c r="D1813" t="s">
        <v>2143</v>
      </c>
      <c r="E1813" t="s">
        <v>2155</v>
      </c>
      <c r="F1813" t="s">
        <v>145</v>
      </c>
      <c r="G1813" t="s">
        <v>7291</v>
      </c>
    </row>
    <row r="1814" spans="1:7" ht="44.25" customHeight="1">
      <c r="A1814" t="s">
        <v>7292</v>
      </c>
      <c r="B1814" t="s">
        <v>7293</v>
      </c>
      <c r="C1814" t="s">
        <v>132</v>
      </c>
      <c r="D1814" t="s">
        <v>79</v>
      </c>
      <c r="E1814" t="s">
        <v>4223</v>
      </c>
      <c r="F1814" t="s">
        <v>145</v>
      </c>
      <c r="G1814" t="s">
        <v>7294</v>
      </c>
    </row>
    <row r="1815" spans="1:7" ht="44.25" customHeight="1">
      <c r="A1815" t="s">
        <v>818</v>
      </c>
      <c r="B1815" t="s">
        <v>7295</v>
      </c>
      <c r="C1815" t="s">
        <v>132</v>
      </c>
      <c r="D1815" t="s">
        <v>2143</v>
      </c>
      <c r="E1815" t="s">
        <v>4010</v>
      </c>
      <c r="F1815" t="s">
        <v>145</v>
      </c>
      <c r="G1815" t="s">
        <v>7296</v>
      </c>
    </row>
    <row r="1816" spans="1:7" ht="44.25" customHeight="1">
      <c r="A1816" t="s">
        <v>7297</v>
      </c>
      <c r="B1816" t="s">
        <v>7298</v>
      </c>
      <c r="C1816" t="s">
        <v>132</v>
      </c>
      <c r="D1816" t="s">
        <v>79</v>
      </c>
      <c r="E1816" t="s">
        <v>7299</v>
      </c>
      <c r="F1816" t="s">
        <v>145</v>
      </c>
      <c r="G1816" t="s">
        <v>7300</v>
      </c>
    </row>
    <row r="1817" spans="1:7" ht="44.25" customHeight="1">
      <c r="A1817" t="s">
        <v>7301</v>
      </c>
      <c r="B1817" t="s">
        <v>7302</v>
      </c>
      <c r="C1817" t="s">
        <v>132</v>
      </c>
      <c r="D1817" t="s">
        <v>79</v>
      </c>
      <c r="E1817" t="s">
        <v>7303</v>
      </c>
      <c r="F1817" t="s">
        <v>145</v>
      </c>
      <c r="G1817" t="s">
        <v>7304</v>
      </c>
    </row>
    <row r="1818" spans="1:7" ht="44.25" customHeight="1">
      <c r="A1818" t="s">
        <v>7305</v>
      </c>
      <c r="B1818" t="s">
        <v>7306</v>
      </c>
      <c r="C1818" t="s">
        <v>132</v>
      </c>
      <c r="D1818" t="s">
        <v>79</v>
      </c>
      <c r="E1818" t="s">
        <v>7307</v>
      </c>
      <c r="F1818" t="s">
        <v>145</v>
      </c>
      <c r="G1818" t="s">
        <v>7308</v>
      </c>
    </row>
    <row r="1819" spans="1:7" ht="44.25" customHeight="1">
      <c r="A1819" t="s">
        <v>7309</v>
      </c>
      <c r="B1819" t="s">
        <v>7310</v>
      </c>
      <c r="C1819" t="s">
        <v>132</v>
      </c>
      <c r="D1819" t="s">
        <v>79</v>
      </c>
      <c r="E1819" t="s">
        <v>7311</v>
      </c>
      <c r="F1819" t="s">
        <v>145</v>
      </c>
      <c r="G1819" t="s">
        <v>7312</v>
      </c>
    </row>
    <row r="1820" spans="1:7" ht="44.25" customHeight="1">
      <c r="A1820" t="s">
        <v>7313</v>
      </c>
      <c r="B1820" t="s">
        <v>7314</v>
      </c>
      <c r="C1820" t="s">
        <v>132</v>
      </c>
      <c r="D1820" t="s">
        <v>2143</v>
      </c>
      <c r="E1820" t="s">
        <v>1542</v>
      </c>
      <c r="F1820" t="s">
        <v>145</v>
      </c>
      <c r="G1820" t="s">
        <v>7315</v>
      </c>
    </row>
    <row r="1821" spans="1:7" ht="44.25" customHeight="1">
      <c r="A1821" t="s">
        <v>7316</v>
      </c>
      <c r="B1821" t="s">
        <v>7317</v>
      </c>
      <c r="C1821" t="s">
        <v>132</v>
      </c>
      <c r="D1821" t="s">
        <v>2143</v>
      </c>
      <c r="E1821" t="s">
        <v>2581</v>
      </c>
      <c r="F1821" t="s">
        <v>145</v>
      </c>
      <c r="G1821" t="s">
        <v>7318</v>
      </c>
    </row>
    <row r="1822" spans="1:7" ht="44.25" customHeight="1">
      <c r="A1822" t="s">
        <v>7319</v>
      </c>
      <c r="B1822" t="s">
        <v>7320</v>
      </c>
      <c r="C1822" t="s">
        <v>132</v>
      </c>
      <c r="D1822" t="s">
        <v>79</v>
      </c>
      <c r="E1822" t="s">
        <v>7321</v>
      </c>
      <c r="F1822" t="s">
        <v>145</v>
      </c>
      <c r="G1822" t="s">
        <v>7322</v>
      </c>
    </row>
    <row r="1823" spans="1:7" ht="44.25" customHeight="1">
      <c r="A1823" t="s">
        <v>7323</v>
      </c>
      <c r="B1823" t="s">
        <v>7324</v>
      </c>
      <c r="C1823" t="s">
        <v>132</v>
      </c>
      <c r="D1823" t="s">
        <v>79</v>
      </c>
      <c r="E1823" t="s">
        <v>7325</v>
      </c>
      <c r="F1823" t="s">
        <v>145</v>
      </c>
      <c r="G1823" t="s">
        <v>7326</v>
      </c>
    </row>
    <row r="1824" spans="1:7" ht="44.25" customHeight="1">
      <c r="A1824" t="s">
        <v>7327</v>
      </c>
      <c r="B1824" t="s">
        <v>7328</v>
      </c>
      <c r="C1824" t="s">
        <v>132</v>
      </c>
      <c r="D1824" t="s">
        <v>2143</v>
      </c>
      <c r="E1824" t="s">
        <v>1365</v>
      </c>
      <c r="F1824" t="s">
        <v>145</v>
      </c>
      <c r="G1824" t="s">
        <v>7329</v>
      </c>
    </row>
    <row r="1825" spans="1:7" ht="44.25" customHeight="1">
      <c r="A1825" t="s">
        <v>7330</v>
      </c>
      <c r="B1825" t="s">
        <v>7331</v>
      </c>
      <c r="C1825" t="s">
        <v>132</v>
      </c>
      <c r="D1825" t="s">
        <v>2143</v>
      </c>
      <c r="E1825" t="s">
        <v>2162</v>
      </c>
      <c r="F1825" t="s">
        <v>145</v>
      </c>
      <c r="G1825" t="s">
        <v>7332</v>
      </c>
    </row>
    <row r="1826" spans="1:7" ht="44.25" customHeight="1">
      <c r="A1826" t="s">
        <v>7333</v>
      </c>
      <c r="B1826" t="s">
        <v>7334</v>
      </c>
      <c r="C1826" t="s">
        <v>132</v>
      </c>
      <c r="D1826" t="s">
        <v>2143</v>
      </c>
      <c r="E1826" t="s">
        <v>1365</v>
      </c>
      <c r="F1826" t="s">
        <v>145</v>
      </c>
      <c r="G1826" t="s">
        <v>7335</v>
      </c>
    </row>
    <row r="1827" spans="1:7" ht="44.25" customHeight="1">
      <c r="A1827" t="s">
        <v>1291</v>
      </c>
      <c r="B1827" t="s">
        <v>7336</v>
      </c>
      <c r="C1827" t="s">
        <v>132</v>
      </c>
      <c r="D1827" t="s">
        <v>2139</v>
      </c>
      <c r="E1827" t="s">
        <v>1367</v>
      </c>
      <c r="F1827" t="s">
        <v>145</v>
      </c>
      <c r="G1827" t="s">
        <v>7337</v>
      </c>
    </row>
    <row r="1828" spans="1:7" ht="44.25" customHeight="1">
      <c r="A1828" t="s">
        <v>393</v>
      </c>
      <c r="B1828" t="s">
        <v>7338</v>
      </c>
      <c r="C1828" t="s">
        <v>132</v>
      </c>
      <c r="D1828" t="s">
        <v>79</v>
      </c>
      <c r="E1828" t="s">
        <v>6463</v>
      </c>
      <c r="F1828" t="s">
        <v>145</v>
      </c>
      <c r="G1828" t="s">
        <v>7339</v>
      </c>
    </row>
    <row r="1829" spans="1:7" ht="44.25" customHeight="1">
      <c r="A1829" t="s">
        <v>328</v>
      </c>
      <c r="B1829" t="s">
        <v>7340</v>
      </c>
      <c r="C1829" t="s">
        <v>132</v>
      </c>
      <c r="D1829" t="s">
        <v>2139</v>
      </c>
      <c r="E1829" t="s">
        <v>1367</v>
      </c>
      <c r="F1829" t="s">
        <v>145</v>
      </c>
      <c r="G1829" t="s">
        <v>7341</v>
      </c>
    </row>
    <row r="1830" spans="1:7" ht="44.25" customHeight="1">
      <c r="A1830" t="s">
        <v>995</v>
      </c>
      <c r="B1830" t="s">
        <v>7342</v>
      </c>
      <c r="C1830" t="s">
        <v>132</v>
      </c>
      <c r="D1830" t="s">
        <v>79</v>
      </c>
      <c r="E1830" t="s">
        <v>7343</v>
      </c>
      <c r="F1830" t="s">
        <v>145</v>
      </c>
      <c r="G1830" t="s">
        <v>7344</v>
      </c>
    </row>
    <row r="1831" spans="1:7" ht="44.25" customHeight="1">
      <c r="A1831" t="s">
        <v>772</v>
      </c>
      <c r="B1831" t="s">
        <v>7345</v>
      </c>
      <c r="C1831" t="s">
        <v>132</v>
      </c>
      <c r="D1831" t="s">
        <v>79</v>
      </c>
      <c r="E1831" t="s">
        <v>7346</v>
      </c>
      <c r="F1831" t="s">
        <v>145</v>
      </c>
      <c r="G1831" t="s">
        <v>7347</v>
      </c>
    </row>
    <row r="1832" spans="1:7" ht="44.25" customHeight="1">
      <c r="A1832" t="s">
        <v>7348</v>
      </c>
      <c r="B1832" t="s">
        <v>7349</v>
      </c>
      <c r="C1832" t="s">
        <v>132</v>
      </c>
      <c r="D1832" t="s">
        <v>2143</v>
      </c>
      <c r="E1832" t="s">
        <v>7350</v>
      </c>
      <c r="F1832" t="s">
        <v>145</v>
      </c>
      <c r="G1832" t="s">
        <v>7351</v>
      </c>
    </row>
    <row r="1833" spans="1:7" ht="44.25" customHeight="1">
      <c r="A1833" t="s">
        <v>7352</v>
      </c>
      <c r="B1833" t="s">
        <v>7353</v>
      </c>
      <c r="C1833" t="s">
        <v>132</v>
      </c>
      <c r="D1833" t="s">
        <v>79</v>
      </c>
      <c r="E1833" t="s">
        <v>7354</v>
      </c>
      <c r="F1833" t="s">
        <v>145</v>
      </c>
      <c r="G1833" t="s">
        <v>7355</v>
      </c>
    </row>
    <row r="1834" spans="1:7" ht="44.25" customHeight="1">
      <c r="A1834" t="s">
        <v>7356</v>
      </c>
      <c r="B1834" t="s">
        <v>7357</v>
      </c>
      <c r="C1834" t="s">
        <v>132</v>
      </c>
      <c r="D1834" t="s">
        <v>79</v>
      </c>
      <c r="E1834" t="s">
        <v>7358</v>
      </c>
      <c r="F1834" t="s">
        <v>145</v>
      </c>
      <c r="G1834" t="s">
        <v>7359</v>
      </c>
    </row>
    <row r="1835" spans="1:7" ht="44.25" customHeight="1">
      <c r="A1835" t="s">
        <v>7360</v>
      </c>
      <c r="B1835" t="s">
        <v>7361</v>
      </c>
      <c r="C1835" t="s">
        <v>132</v>
      </c>
      <c r="D1835" t="s">
        <v>2143</v>
      </c>
      <c r="E1835" t="s">
        <v>5624</v>
      </c>
      <c r="F1835" t="s">
        <v>145</v>
      </c>
      <c r="G1835" t="s">
        <v>7362</v>
      </c>
    </row>
    <row r="1836" spans="1:7" ht="44.25" customHeight="1">
      <c r="A1836" t="s">
        <v>641</v>
      </c>
      <c r="B1836" t="s">
        <v>7363</v>
      </c>
      <c r="C1836" t="s">
        <v>132</v>
      </c>
      <c r="D1836" t="s">
        <v>79</v>
      </c>
      <c r="E1836" t="s">
        <v>7364</v>
      </c>
      <c r="F1836" t="s">
        <v>145</v>
      </c>
      <c r="G1836" t="s">
        <v>7365</v>
      </c>
    </row>
    <row r="1837" spans="1:7" ht="44.25" customHeight="1">
      <c r="A1837" t="s">
        <v>7366</v>
      </c>
      <c r="B1837" t="s">
        <v>7367</v>
      </c>
      <c r="C1837" t="s">
        <v>132</v>
      </c>
      <c r="D1837" t="s">
        <v>2143</v>
      </c>
      <c r="E1837" t="s">
        <v>1542</v>
      </c>
      <c r="F1837" t="s">
        <v>145</v>
      </c>
      <c r="G1837" t="s">
        <v>7368</v>
      </c>
    </row>
    <row r="1838" spans="1:7" ht="44.25" customHeight="1">
      <c r="A1838" t="s">
        <v>7369</v>
      </c>
      <c r="B1838" t="s">
        <v>7370</v>
      </c>
      <c r="C1838" t="s">
        <v>132</v>
      </c>
      <c r="D1838" t="s">
        <v>79</v>
      </c>
      <c r="E1838" t="s">
        <v>7371</v>
      </c>
      <c r="F1838" t="s">
        <v>145</v>
      </c>
      <c r="G1838" t="s">
        <v>7372</v>
      </c>
    </row>
    <row r="1839" spans="1:7" ht="44.25" customHeight="1">
      <c r="A1839" t="s">
        <v>7373</v>
      </c>
      <c r="B1839" t="s">
        <v>7374</v>
      </c>
      <c r="C1839" t="s">
        <v>132</v>
      </c>
      <c r="D1839" t="s">
        <v>2139</v>
      </c>
      <c r="E1839" t="s">
        <v>1365</v>
      </c>
      <c r="F1839" t="s">
        <v>145</v>
      </c>
      <c r="G1839" t="s">
        <v>7375</v>
      </c>
    </row>
    <row r="1840" spans="1:7" ht="44.25" customHeight="1">
      <c r="A1840" t="s">
        <v>7376</v>
      </c>
      <c r="B1840" t="s">
        <v>7377</v>
      </c>
      <c r="C1840" t="s">
        <v>132</v>
      </c>
      <c r="D1840" t="s">
        <v>2139</v>
      </c>
      <c r="E1840" t="s">
        <v>1367</v>
      </c>
      <c r="F1840" t="s">
        <v>145</v>
      </c>
      <c r="G1840" t="s">
        <v>7378</v>
      </c>
    </row>
    <row r="1841" spans="1:7" ht="44.25" customHeight="1">
      <c r="A1841" t="s">
        <v>7379</v>
      </c>
      <c r="B1841" t="s">
        <v>7380</v>
      </c>
      <c r="C1841" t="s">
        <v>132</v>
      </c>
      <c r="D1841" t="s">
        <v>2139</v>
      </c>
      <c r="E1841" t="s">
        <v>1367</v>
      </c>
      <c r="F1841" t="s">
        <v>145</v>
      </c>
      <c r="G1841" t="s">
        <v>7381</v>
      </c>
    </row>
    <row r="1842" spans="1:7" ht="44.25" customHeight="1">
      <c r="A1842" t="s">
        <v>7382</v>
      </c>
      <c r="B1842" t="s">
        <v>7383</v>
      </c>
      <c r="C1842" t="s">
        <v>132</v>
      </c>
      <c r="D1842" t="s">
        <v>79</v>
      </c>
      <c r="E1842" t="s">
        <v>3589</v>
      </c>
      <c r="F1842" t="s">
        <v>145</v>
      </c>
      <c r="G1842" t="s">
        <v>7384</v>
      </c>
    </row>
    <row r="1843" spans="1:7" ht="44.25" customHeight="1">
      <c r="A1843" t="s">
        <v>7385</v>
      </c>
      <c r="B1843" t="s">
        <v>7386</v>
      </c>
      <c r="C1843" t="s">
        <v>132</v>
      </c>
      <c r="D1843" t="s">
        <v>79</v>
      </c>
      <c r="E1843" t="s">
        <v>7387</v>
      </c>
      <c r="F1843" t="s">
        <v>145</v>
      </c>
      <c r="G1843" t="s">
        <v>7388</v>
      </c>
    </row>
    <row r="1844" spans="1:7" ht="44.25" customHeight="1">
      <c r="A1844" t="s">
        <v>7389</v>
      </c>
      <c r="B1844" t="s">
        <v>7390</v>
      </c>
      <c r="C1844" t="s">
        <v>132</v>
      </c>
      <c r="D1844" t="s">
        <v>79</v>
      </c>
      <c r="E1844" t="s">
        <v>7391</v>
      </c>
      <c r="F1844" t="s">
        <v>145</v>
      </c>
      <c r="G1844" t="s">
        <v>7392</v>
      </c>
    </row>
    <row r="1845" spans="1:7" ht="44.25" customHeight="1">
      <c r="A1845" t="s">
        <v>7393</v>
      </c>
      <c r="B1845" t="s">
        <v>7394</v>
      </c>
      <c r="C1845" t="s">
        <v>132</v>
      </c>
      <c r="D1845" t="s">
        <v>2143</v>
      </c>
      <c r="E1845" t="s">
        <v>1542</v>
      </c>
      <c r="F1845" t="s">
        <v>145</v>
      </c>
      <c r="G1845" t="s">
        <v>7395</v>
      </c>
    </row>
    <row r="1846" spans="1:7" ht="44.25" customHeight="1">
      <c r="A1846" t="s">
        <v>7396</v>
      </c>
      <c r="B1846" t="s">
        <v>7397</v>
      </c>
      <c r="C1846" t="s">
        <v>132</v>
      </c>
      <c r="D1846" t="s">
        <v>2143</v>
      </c>
      <c r="E1846" t="s">
        <v>1542</v>
      </c>
      <c r="F1846" t="s">
        <v>145</v>
      </c>
      <c r="G1846" t="s">
        <v>7398</v>
      </c>
    </row>
    <row r="1847" spans="1:7" ht="44.25" customHeight="1">
      <c r="A1847" t="s">
        <v>7399</v>
      </c>
      <c r="B1847" t="s">
        <v>7400</v>
      </c>
      <c r="C1847" t="s">
        <v>132</v>
      </c>
      <c r="D1847" t="s">
        <v>2139</v>
      </c>
      <c r="E1847" t="s">
        <v>1365</v>
      </c>
      <c r="F1847" t="s">
        <v>145</v>
      </c>
      <c r="G1847" t="s">
        <v>7401</v>
      </c>
    </row>
    <row r="1848" spans="1:7" ht="44.25" customHeight="1">
      <c r="A1848" t="s">
        <v>7402</v>
      </c>
      <c r="B1848" t="s">
        <v>7403</v>
      </c>
      <c r="C1848" t="s">
        <v>132</v>
      </c>
      <c r="D1848" t="s">
        <v>2143</v>
      </c>
      <c r="E1848" t="s">
        <v>1519</v>
      </c>
      <c r="F1848" t="s">
        <v>145</v>
      </c>
      <c r="G1848" t="s">
        <v>7404</v>
      </c>
    </row>
    <row r="1849" spans="1:7" ht="44.25" customHeight="1">
      <c r="A1849" t="s">
        <v>1409</v>
      </c>
      <c r="B1849" t="s">
        <v>7405</v>
      </c>
      <c r="C1849" t="s">
        <v>132</v>
      </c>
      <c r="D1849" t="s">
        <v>2139</v>
      </c>
      <c r="E1849" t="s">
        <v>1367</v>
      </c>
      <c r="F1849" t="s">
        <v>145</v>
      </c>
      <c r="G1849" t="s">
        <v>7406</v>
      </c>
    </row>
    <row r="1850" spans="1:7" ht="44.25" customHeight="1">
      <c r="A1850" t="s">
        <v>985</v>
      </c>
      <c r="B1850" t="s">
        <v>7407</v>
      </c>
      <c r="C1850" t="s">
        <v>132</v>
      </c>
      <c r="D1850" t="s">
        <v>2143</v>
      </c>
      <c r="E1850" t="s">
        <v>2162</v>
      </c>
      <c r="F1850" t="s">
        <v>145</v>
      </c>
      <c r="G1850" t="s">
        <v>7408</v>
      </c>
    </row>
    <row r="1851" spans="1:7" ht="44.25" customHeight="1">
      <c r="A1851" t="s">
        <v>7409</v>
      </c>
      <c r="B1851" t="s">
        <v>7410</v>
      </c>
      <c r="C1851" t="s">
        <v>132</v>
      </c>
      <c r="D1851" t="s">
        <v>79</v>
      </c>
      <c r="E1851" t="s">
        <v>4063</v>
      </c>
      <c r="F1851" t="s">
        <v>145</v>
      </c>
      <c r="G1851" t="s">
        <v>7411</v>
      </c>
    </row>
    <row r="1852" spans="1:7" ht="44.25" customHeight="1">
      <c r="A1852" t="s">
        <v>7412</v>
      </c>
      <c r="B1852" t="s">
        <v>7413</v>
      </c>
      <c r="C1852" t="s">
        <v>132</v>
      </c>
      <c r="D1852" t="s">
        <v>79</v>
      </c>
      <c r="E1852" t="s">
        <v>7414</v>
      </c>
      <c r="F1852" t="s">
        <v>145</v>
      </c>
      <c r="G1852" t="s">
        <v>7415</v>
      </c>
    </row>
    <row r="1853" spans="1:7" ht="44.25" customHeight="1">
      <c r="A1853" t="s">
        <v>7416</v>
      </c>
      <c r="B1853" t="s">
        <v>7417</v>
      </c>
      <c r="C1853" t="s">
        <v>132</v>
      </c>
      <c r="D1853" t="s">
        <v>2143</v>
      </c>
      <c r="E1853" t="s">
        <v>5570</v>
      </c>
      <c r="F1853" t="s">
        <v>145</v>
      </c>
      <c r="G1853" t="s">
        <v>7418</v>
      </c>
    </row>
    <row r="1854" spans="1:7" ht="44.25" customHeight="1">
      <c r="A1854" t="s">
        <v>7419</v>
      </c>
      <c r="B1854" t="s">
        <v>7420</v>
      </c>
      <c r="C1854" t="s">
        <v>132</v>
      </c>
      <c r="D1854" t="s">
        <v>2143</v>
      </c>
      <c r="E1854" t="s">
        <v>6014</v>
      </c>
      <c r="F1854" t="s">
        <v>145</v>
      </c>
      <c r="G1854" t="s">
        <v>7421</v>
      </c>
    </row>
    <row r="1855" spans="1:7" ht="44.25" customHeight="1">
      <c r="A1855" t="s">
        <v>379</v>
      </c>
      <c r="B1855" t="s">
        <v>7422</v>
      </c>
      <c r="C1855" t="s">
        <v>132</v>
      </c>
      <c r="D1855" t="s">
        <v>2143</v>
      </c>
      <c r="E1855" t="s">
        <v>1453</v>
      </c>
      <c r="F1855" t="s">
        <v>145</v>
      </c>
      <c r="G1855" t="s">
        <v>7423</v>
      </c>
    </row>
    <row r="1856" spans="1:7" ht="44.25" customHeight="1">
      <c r="A1856" t="s">
        <v>640</v>
      </c>
      <c r="B1856" t="s">
        <v>7424</v>
      </c>
      <c r="C1856" t="s">
        <v>132</v>
      </c>
      <c r="D1856" t="s">
        <v>79</v>
      </c>
      <c r="E1856" t="s">
        <v>1513</v>
      </c>
      <c r="F1856" t="s">
        <v>145</v>
      </c>
      <c r="G1856" t="s">
        <v>7425</v>
      </c>
    </row>
    <row r="1857" spans="1:7" ht="44.25" customHeight="1">
      <c r="A1857" t="s">
        <v>7426</v>
      </c>
      <c r="B1857" t="s">
        <v>7427</v>
      </c>
      <c r="C1857" t="s">
        <v>132</v>
      </c>
      <c r="D1857" t="s">
        <v>2143</v>
      </c>
      <c r="E1857" t="s">
        <v>1542</v>
      </c>
      <c r="F1857" t="s">
        <v>145</v>
      </c>
      <c r="G1857" t="s">
        <v>7428</v>
      </c>
    </row>
    <row r="1858" spans="1:7" ht="44.25" customHeight="1">
      <c r="A1858" t="s">
        <v>7429</v>
      </c>
      <c r="B1858" t="s">
        <v>7430</v>
      </c>
      <c r="C1858" t="s">
        <v>132</v>
      </c>
      <c r="D1858" t="s">
        <v>2143</v>
      </c>
      <c r="E1858" t="s">
        <v>1542</v>
      </c>
      <c r="F1858" t="s">
        <v>145</v>
      </c>
      <c r="G1858" t="s">
        <v>7431</v>
      </c>
    </row>
    <row r="1859" spans="1:7" ht="44.25" customHeight="1">
      <c r="A1859" t="s">
        <v>1333</v>
      </c>
      <c r="B1859" t="s">
        <v>7432</v>
      </c>
      <c r="C1859" t="s">
        <v>132</v>
      </c>
      <c r="D1859" t="s">
        <v>2143</v>
      </c>
      <c r="E1859" t="s">
        <v>1542</v>
      </c>
      <c r="F1859" t="s">
        <v>145</v>
      </c>
      <c r="G1859" t="s">
        <v>7433</v>
      </c>
    </row>
    <row r="1860" spans="1:7" ht="44.25" customHeight="1">
      <c r="A1860" t="s">
        <v>7434</v>
      </c>
      <c r="B1860" t="s">
        <v>7435</v>
      </c>
      <c r="C1860" t="s">
        <v>132</v>
      </c>
      <c r="D1860" t="s">
        <v>2143</v>
      </c>
      <c r="E1860" t="s">
        <v>1542</v>
      </c>
      <c r="F1860" t="s">
        <v>145</v>
      </c>
      <c r="G1860" t="s">
        <v>7436</v>
      </c>
    </row>
    <row r="1861" spans="1:7" ht="44.25" customHeight="1">
      <c r="A1861" t="s">
        <v>132</v>
      </c>
      <c r="B1861" t="s">
        <v>7437</v>
      </c>
      <c r="C1861" t="s">
        <v>132</v>
      </c>
      <c r="D1861" t="s">
        <v>79</v>
      </c>
      <c r="E1861" t="s">
        <v>6463</v>
      </c>
      <c r="F1861" t="s">
        <v>145</v>
      </c>
      <c r="G1861" t="s">
        <v>7438</v>
      </c>
    </row>
    <row r="1862" spans="1:7" ht="44.25" customHeight="1">
      <c r="A1862" t="s">
        <v>7439</v>
      </c>
      <c r="B1862" t="s">
        <v>7440</v>
      </c>
      <c r="C1862" t="s">
        <v>132</v>
      </c>
      <c r="D1862" t="s">
        <v>2143</v>
      </c>
      <c r="E1862" t="s">
        <v>2162</v>
      </c>
      <c r="F1862" t="s">
        <v>145</v>
      </c>
      <c r="G1862" t="s">
        <v>7441</v>
      </c>
    </row>
    <row r="1863" spans="1:7" ht="44.25" customHeight="1">
      <c r="A1863" t="s">
        <v>1391</v>
      </c>
      <c r="B1863" t="s">
        <v>7442</v>
      </c>
      <c r="C1863" t="s">
        <v>132</v>
      </c>
      <c r="D1863" t="s">
        <v>2143</v>
      </c>
      <c r="E1863" t="s">
        <v>2144</v>
      </c>
      <c r="F1863" t="s">
        <v>145</v>
      </c>
      <c r="G1863" t="s">
        <v>7443</v>
      </c>
    </row>
    <row r="1864" spans="1:7" ht="44.25" customHeight="1">
      <c r="A1864" t="s">
        <v>7444</v>
      </c>
      <c r="B1864" t="s">
        <v>7445</v>
      </c>
      <c r="C1864" t="s">
        <v>132</v>
      </c>
      <c r="D1864" t="s">
        <v>79</v>
      </c>
      <c r="E1864" t="s">
        <v>7446</v>
      </c>
      <c r="F1864" t="s">
        <v>145</v>
      </c>
      <c r="G1864" t="s">
        <v>7447</v>
      </c>
    </row>
    <row r="1865" spans="1:7" ht="44.25" customHeight="1">
      <c r="A1865" t="s">
        <v>562</v>
      </c>
      <c r="B1865" t="s">
        <v>7448</v>
      </c>
      <c r="C1865" t="s">
        <v>132</v>
      </c>
      <c r="D1865" t="s">
        <v>2143</v>
      </c>
      <c r="E1865" t="s">
        <v>4660</v>
      </c>
      <c r="F1865" t="s">
        <v>145</v>
      </c>
      <c r="G1865" t="s">
        <v>7449</v>
      </c>
    </row>
    <row r="1866" spans="1:7" ht="44.25" customHeight="1">
      <c r="A1866" t="s">
        <v>7450</v>
      </c>
      <c r="B1866" t="s">
        <v>7451</v>
      </c>
      <c r="C1866" t="s">
        <v>132</v>
      </c>
      <c r="D1866" t="s">
        <v>79</v>
      </c>
      <c r="E1866" t="s">
        <v>7452</v>
      </c>
      <c r="F1866" t="s">
        <v>145</v>
      </c>
      <c r="G1866" t="s">
        <v>7453</v>
      </c>
    </row>
    <row r="1867" spans="1:7" ht="44.25" customHeight="1">
      <c r="A1867" t="s">
        <v>7454</v>
      </c>
      <c r="B1867" t="s">
        <v>7455</v>
      </c>
      <c r="C1867" t="s">
        <v>132</v>
      </c>
      <c r="D1867" t="s">
        <v>79</v>
      </c>
      <c r="E1867" t="s">
        <v>7456</v>
      </c>
      <c r="F1867" t="s">
        <v>145</v>
      </c>
      <c r="G1867" t="s">
        <v>7457</v>
      </c>
    </row>
    <row r="1868" spans="1:7" ht="44.25" customHeight="1">
      <c r="A1868" t="s">
        <v>7458</v>
      </c>
      <c r="B1868" t="s">
        <v>7459</v>
      </c>
      <c r="C1868" t="s">
        <v>132</v>
      </c>
      <c r="D1868" t="s">
        <v>79</v>
      </c>
      <c r="E1868" t="s">
        <v>7460</v>
      </c>
      <c r="F1868" t="s">
        <v>145</v>
      </c>
      <c r="G1868" t="s">
        <v>7461</v>
      </c>
    </row>
    <row r="1869" spans="1:7" ht="44.25" customHeight="1">
      <c r="A1869" t="s">
        <v>7462</v>
      </c>
      <c r="B1869" t="s">
        <v>7463</v>
      </c>
      <c r="C1869" t="s">
        <v>132</v>
      </c>
      <c r="D1869" t="s">
        <v>79</v>
      </c>
      <c r="E1869" t="s">
        <v>7464</v>
      </c>
      <c r="F1869" t="s">
        <v>145</v>
      </c>
      <c r="G1869" t="s">
        <v>7465</v>
      </c>
    </row>
    <row r="1870" spans="1:7" ht="44.25" customHeight="1">
      <c r="A1870" t="s">
        <v>132</v>
      </c>
      <c r="B1870" t="s">
        <v>7466</v>
      </c>
      <c r="C1870" t="s">
        <v>132</v>
      </c>
      <c r="D1870" t="s">
        <v>2143</v>
      </c>
      <c r="E1870" t="s">
        <v>1542</v>
      </c>
      <c r="F1870" t="s">
        <v>145</v>
      </c>
      <c r="G1870" t="s">
        <v>7467</v>
      </c>
    </row>
    <row r="1871" spans="1:7" ht="44.25" customHeight="1">
      <c r="A1871" t="s">
        <v>7468</v>
      </c>
      <c r="B1871" t="s">
        <v>7469</v>
      </c>
      <c r="C1871" t="s">
        <v>132</v>
      </c>
      <c r="D1871" t="s">
        <v>2143</v>
      </c>
      <c r="E1871" t="s">
        <v>1438</v>
      </c>
      <c r="F1871" t="s">
        <v>145</v>
      </c>
      <c r="G1871" t="s">
        <v>7470</v>
      </c>
    </row>
    <row r="1872" spans="1:7" ht="44.25" customHeight="1">
      <c r="A1872" t="s">
        <v>7471</v>
      </c>
      <c r="B1872" t="s">
        <v>7472</v>
      </c>
      <c r="C1872" t="s">
        <v>7473</v>
      </c>
      <c r="D1872" t="s">
        <v>2143</v>
      </c>
      <c r="E1872" t="s">
        <v>2571</v>
      </c>
      <c r="F1872" t="s">
        <v>145</v>
      </c>
      <c r="G1872" t="s">
        <v>7474</v>
      </c>
    </row>
    <row r="1873" spans="1:7" ht="44.25" customHeight="1">
      <c r="A1873" t="s">
        <v>7475</v>
      </c>
      <c r="B1873" t="s">
        <v>7476</v>
      </c>
      <c r="C1873" t="s">
        <v>132</v>
      </c>
      <c r="D1873" t="s">
        <v>2143</v>
      </c>
      <c r="E1873" t="s">
        <v>3313</v>
      </c>
      <c r="F1873" t="s">
        <v>145</v>
      </c>
      <c r="G1873" t="s">
        <v>7477</v>
      </c>
    </row>
    <row r="1874" spans="1:7" ht="44.25" customHeight="1">
      <c r="A1874" t="s">
        <v>794</v>
      </c>
      <c r="B1874" t="s">
        <v>7478</v>
      </c>
      <c r="C1874" t="s">
        <v>132</v>
      </c>
      <c r="D1874" t="s">
        <v>79</v>
      </c>
      <c r="E1874" t="s">
        <v>3414</v>
      </c>
      <c r="F1874" t="s">
        <v>145</v>
      </c>
      <c r="G1874" t="s">
        <v>7479</v>
      </c>
    </row>
    <row r="1875" spans="1:7" ht="44.25" customHeight="1">
      <c r="A1875" t="s">
        <v>7480</v>
      </c>
      <c r="B1875" t="s">
        <v>7481</v>
      </c>
      <c r="C1875" t="s">
        <v>132</v>
      </c>
      <c r="D1875" t="s">
        <v>2143</v>
      </c>
      <c r="E1875" t="s">
        <v>2162</v>
      </c>
      <c r="F1875" t="s">
        <v>145</v>
      </c>
      <c r="G1875" t="s">
        <v>7482</v>
      </c>
    </row>
    <row r="1876" spans="1:7" ht="44.25" customHeight="1">
      <c r="A1876" t="s">
        <v>7483</v>
      </c>
      <c r="B1876" t="s">
        <v>7484</v>
      </c>
      <c r="C1876" t="s">
        <v>132</v>
      </c>
      <c r="D1876" t="s">
        <v>2139</v>
      </c>
      <c r="E1876" t="s">
        <v>1367</v>
      </c>
      <c r="F1876" t="s">
        <v>145</v>
      </c>
      <c r="G1876" t="s">
        <v>7485</v>
      </c>
    </row>
    <row r="1877" spans="1:7" ht="44.25" customHeight="1">
      <c r="A1877" t="s">
        <v>7486</v>
      </c>
      <c r="B1877" t="s">
        <v>7487</v>
      </c>
      <c r="C1877" t="s">
        <v>132</v>
      </c>
      <c r="D1877" t="s">
        <v>2143</v>
      </c>
      <c r="E1877" t="s">
        <v>2162</v>
      </c>
      <c r="F1877" t="s">
        <v>145</v>
      </c>
      <c r="G1877" t="s">
        <v>7488</v>
      </c>
    </row>
    <row r="1878" spans="1:7" ht="44.25" customHeight="1">
      <c r="A1878" t="s">
        <v>7489</v>
      </c>
      <c r="B1878" t="s">
        <v>7490</v>
      </c>
      <c r="C1878" t="s">
        <v>132</v>
      </c>
      <c r="D1878" t="s">
        <v>2139</v>
      </c>
      <c r="E1878" t="s">
        <v>1367</v>
      </c>
      <c r="F1878" t="s">
        <v>145</v>
      </c>
      <c r="G1878" t="s">
        <v>7491</v>
      </c>
    </row>
    <row r="1879" spans="1:7" ht="44.25" customHeight="1">
      <c r="A1879" t="s">
        <v>7492</v>
      </c>
      <c r="B1879" t="s">
        <v>7493</v>
      </c>
      <c r="C1879" t="s">
        <v>132</v>
      </c>
      <c r="D1879" t="s">
        <v>2139</v>
      </c>
      <c r="E1879" t="s">
        <v>1367</v>
      </c>
      <c r="F1879" t="s">
        <v>145</v>
      </c>
      <c r="G1879" t="s">
        <v>7494</v>
      </c>
    </row>
    <row r="1880" spans="1:7" ht="44.25" customHeight="1">
      <c r="A1880" t="s">
        <v>1320</v>
      </c>
      <c r="B1880" t="s">
        <v>7495</v>
      </c>
      <c r="C1880" t="s">
        <v>132</v>
      </c>
      <c r="D1880" t="s">
        <v>2143</v>
      </c>
      <c r="E1880" t="s">
        <v>1542</v>
      </c>
      <c r="F1880" t="s">
        <v>145</v>
      </c>
      <c r="G1880" t="s">
        <v>7496</v>
      </c>
    </row>
    <row r="1881" spans="1:7" ht="44.25" customHeight="1">
      <c r="A1881" t="s">
        <v>7497</v>
      </c>
      <c r="B1881" t="s">
        <v>7498</v>
      </c>
      <c r="C1881" t="s">
        <v>132</v>
      </c>
      <c r="D1881" t="s">
        <v>2143</v>
      </c>
      <c r="E1881" t="s">
        <v>2285</v>
      </c>
      <c r="F1881" t="s">
        <v>145</v>
      </c>
      <c r="G1881" t="s">
        <v>7499</v>
      </c>
    </row>
    <row r="1882" spans="1:7" ht="44.25" customHeight="1">
      <c r="A1882" t="s">
        <v>7500</v>
      </c>
      <c r="B1882" t="s">
        <v>7501</v>
      </c>
      <c r="C1882" t="s">
        <v>132</v>
      </c>
      <c r="D1882" t="s">
        <v>2143</v>
      </c>
      <c r="E1882" t="s">
        <v>2285</v>
      </c>
      <c r="F1882" t="s">
        <v>145</v>
      </c>
      <c r="G1882" t="s">
        <v>7502</v>
      </c>
    </row>
    <row r="1883" spans="1:7" ht="44.25" customHeight="1">
      <c r="A1883" t="s">
        <v>454</v>
      </c>
      <c r="B1883" t="s">
        <v>7503</v>
      </c>
      <c r="C1883" t="s">
        <v>132</v>
      </c>
      <c r="D1883" t="s">
        <v>79</v>
      </c>
      <c r="E1883" t="s">
        <v>3408</v>
      </c>
      <c r="F1883" t="s">
        <v>145</v>
      </c>
      <c r="G1883" t="s">
        <v>7504</v>
      </c>
    </row>
    <row r="1884" spans="1:7" ht="44.25" customHeight="1">
      <c r="A1884" t="s">
        <v>7505</v>
      </c>
      <c r="B1884" t="s">
        <v>7506</v>
      </c>
      <c r="C1884" t="s">
        <v>132</v>
      </c>
      <c r="D1884" t="s">
        <v>2139</v>
      </c>
      <c r="E1884" t="s">
        <v>1367</v>
      </c>
      <c r="F1884" t="s">
        <v>145</v>
      </c>
      <c r="G1884" t="s">
        <v>7507</v>
      </c>
    </row>
    <row r="1885" spans="1:7" ht="44.25" customHeight="1">
      <c r="A1885" t="s">
        <v>7508</v>
      </c>
      <c r="B1885" t="s">
        <v>7509</v>
      </c>
      <c r="C1885" t="s">
        <v>132</v>
      </c>
      <c r="D1885" t="s">
        <v>2143</v>
      </c>
      <c r="E1885" t="s">
        <v>2162</v>
      </c>
      <c r="F1885" t="s">
        <v>145</v>
      </c>
      <c r="G1885" t="s">
        <v>7510</v>
      </c>
    </row>
    <row r="1886" spans="1:7" ht="44.25" customHeight="1">
      <c r="A1886" t="s">
        <v>7511</v>
      </c>
      <c r="B1886" t="s">
        <v>7512</v>
      </c>
      <c r="C1886" t="s">
        <v>132</v>
      </c>
      <c r="D1886" t="s">
        <v>2143</v>
      </c>
      <c r="E1886" t="s">
        <v>2162</v>
      </c>
      <c r="F1886" t="s">
        <v>145</v>
      </c>
      <c r="G1886" t="s">
        <v>7513</v>
      </c>
    </row>
    <row r="1887" spans="1:7" ht="44.25" customHeight="1">
      <c r="A1887" t="s">
        <v>7514</v>
      </c>
      <c r="B1887" t="s">
        <v>7515</v>
      </c>
      <c r="C1887" t="s">
        <v>132</v>
      </c>
      <c r="D1887" t="s">
        <v>2139</v>
      </c>
      <c r="E1887" t="s">
        <v>1367</v>
      </c>
      <c r="F1887" t="s">
        <v>145</v>
      </c>
      <c r="G1887" t="s">
        <v>7516</v>
      </c>
    </row>
    <row r="1888" spans="1:7" ht="44.25" customHeight="1">
      <c r="A1888" t="s">
        <v>1404</v>
      </c>
      <c r="B1888" t="s">
        <v>7517</v>
      </c>
      <c r="C1888" t="s">
        <v>132</v>
      </c>
      <c r="D1888" t="s">
        <v>2139</v>
      </c>
      <c r="E1888" t="s">
        <v>2144</v>
      </c>
      <c r="F1888" t="s">
        <v>145</v>
      </c>
      <c r="G1888" t="s">
        <v>7518</v>
      </c>
    </row>
    <row r="1889" spans="1:7" ht="44.25" customHeight="1">
      <c r="A1889" t="s">
        <v>1007</v>
      </c>
      <c r="B1889" t="s">
        <v>7519</v>
      </c>
      <c r="C1889" t="s">
        <v>132</v>
      </c>
      <c r="D1889" t="s">
        <v>2139</v>
      </c>
      <c r="E1889" t="s">
        <v>1365</v>
      </c>
      <c r="F1889" t="s">
        <v>145</v>
      </c>
      <c r="G1889" t="s">
        <v>7520</v>
      </c>
    </row>
    <row r="1890" spans="1:7" ht="44.25" customHeight="1">
      <c r="A1890" t="s">
        <v>367</v>
      </c>
      <c r="B1890" t="s">
        <v>7521</v>
      </c>
      <c r="C1890" t="s">
        <v>132</v>
      </c>
      <c r="D1890" t="s">
        <v>2143</v>
      </c>
      <c r="E1890" t="s">
        <v>2162</v>
      </c>
      <c r="F1890" t="s">
        <v>145</v>
      </c>
      <c r="G1890" t="s">
        <v>7522</v>
      </c>
    </row>
    <row r="1891" spans="1:7" ht="44.25" customHeight="1">
      <c r="A1891" t="s">
        <v>500</v>
      </c>
      <c r="B1891" t="s">
        <v>7523</v>
      </c>
      <c r="C1891" t="s">
        <v>132</v>
      </c>
      <c r="D1891" t="s">
        <v>2143</v>
      </c>
      <c r="E1891" t="s">
        <v>2151</v>
      </c>
      <c r="F1891" t="s">
        <v>145</v>
      </c>
      <c r="G1891" t="s">
        <v>7524</v>
      </c>
    </row>
    <row r="1892" spans="1:7" ht="44.25" customHeight="1">
      <c r="A1892" t="s">
        <v>1006</v>
      </c>
      <c r="B1892" t="s">
        <v>7525</v>
      </c>
      <c r="C1892" t="s">
        <v>132</v>
      </c>
      <c r="D1892" t="s">
        <v>2143</v>
      </c>
      <c r="E1892" t="s">
        <v>1365</v>
      </c>
      <c r="F1892" t="s">
        <v>145</v>
      </c>
      <c r="G1892" t="s">
        <v>7526</v>
      </c>
    </row>
    <row r="1893" spans="1:7" ht="44.25" customHeight="1">
      <c r="A1893" t="s">
        <v>7527</v>
      </c>
      <c r="B1893" t="s">
        <v>7528</v>
      </c>
      <c r="C1893" t="s">
        <v>132</v>
      </c>
      <c r="D1893" t="s">
        <v>79</v>
      </c>
      <c r="E1893" t="s">
        <v>6128</v>
      </c>
      <c r="F1893" t="s">
        <v>145</v>
      </c>
      <c r="G1893" t="s">
        <v>7529</v>
      </c>
    </row>
    <row r="1894" spans="1:7" ht="44.25" customHeight="1">
      <c r="A1894" t="s">
        <v>7530</v>
      </c>
      <c r="B1894" t="s">
        <v>7531</v>
      </c>
      <c r="C1894" t="s">
        <v>132</v>
      </c>
      <c r="D1894" t="s">
        <v>2143</v>
      </c>
      <c r="E1894" t="s">
        <v>4481</v>
      </c>
      <c r="F1894" t="s">
        <v>145</v>
      </c>
      <c r="G1894" t="s">
        <v>7532</v>
      </c>
    </row>
    <row r="1895" spans="1:7" ht="44.25" customHeight="1">
      <c r="A1895" t="s">
        <v>475</v>
      </c>
      <c r="B1895" t="s">
        <v>7533</v>
      </c>
      <c r="C1895" t="s">
        <v>132</v>
      </c>
      <c r="D1895" t="s">
        <v>2143</v>
      </c>
      <c r="E1895" t="s">
        <v>2144</v>
      </c>
      <c r="F1895" t="s">
        <v>145</v>
      </c>
      <c r="G1895" t="s">
        <v>7534</v>
      </c>
    </row>
    <row r="1896" spans="1:7" ht="44.25" customHeight="1">
      <c r="A1896" t="s">
        <v>7535</v>
      </c>
      <c r="B1896" t="s">
        <v>7536</v>
      </c>
      <c r="C1896" t="s">
        <v>132</v>
      </c>
      <c r="D1896" t="s">
        <v>79</v>
      </c>
      <c r="E1896" t="s">
        <v>7537</v>
      </c>
      <c r="F1896" t="s">
        <v>145</v>
      </c>
      <c r="G1896" t="s">
        <v>7538</v>
      </c>
    </row>
    <row r="1897" spans="1:7" ht="44.25" customHeight="1">
      <c r="A1897" t="s">
        <v>132</v>
      </c>
      <c r="B1897" t="s">
        <v>7539</v>
      </c>
      <c r="C1897" t="s">
        <v>132</v>
      </c>
      <c r="D1897" t="s">
        <v>2143</v>
      </c>
      <c r="E1897" t="s">
        <v>6014</v>
      </c>
      <c r="F1897" t="s">
        <v>145</v>
      </c>
      <c r="G1897" t="s">
        <v>7540</v>
      </c>
    </row>
    <row r="1898" spans="1:7" ht="44.25" customHeight="1">
      <c r="A1898" t="s">
        <v>637</v>
      </c>
      <c r="B1898" t="s">
        <v>7541</v>
      </c>
      <c r="C1898" t="s">
        <v>132</v>
      </c>
      <c r="D1898" t="s">
        <v>79</v>
      </c>
      <c r="E1898" t="s">
        <v>7542</v>
      </c>
      <c r="F1898" t="s">
        <v>145</v>
      </c>
      <c r="G1898" t="s">
        <v>7543</v>
      </c>
    </row>
    <row r="1899" spans="1:7" ht="44.25" customHeight="1">
      <c r="A1899" t="s">
        <v>538</v>
      </c>
      <c r="B1899" t="s">
        <v>7544</v>
      </c>
      <c r="C1899" t="s">
        <v>132</v>
      </c>
      <c r="D1899" t="s">
        <v>2143</v>
      </c>
      <c r="E1899" t="s">
        <v>7545</v>
      </c>
      <c r="F1899" t="s">
        <v>145</v>
      </c>
      <c r="G1899" t="s">
        <v>7546</v>
      </c>
    </row>
    <row r="1900" spans="1:7" ht="44.25" customHeight="1">
      <c r="A1900" t="s">
        <v>7547</v>
      </c>
      <c r="B1900" t="s">
        <v>7548</v>
      </c>
      <c r="C1900" t="s">
        <v>132</v>
      </c>
      <c r="D1900" t="s">
        <v>2143</v>
      </c>
      <c r="E1900" t="s">
        <v>1542</v>
      </c>
      <c r="F1900" t="s">
        <v>145</v>
      </c>
      <c r="G1900" t="s">
        <v>7549</v>
      </c>
    </row>
    <row r="1901" spans="1:7" ht="44.25" customHeight="1">
      <c r="A1901" t="s">
        <v>227</v>
      </c>
      <c r="B1901" t="s">
        <v>7550</v>
      </c>
      <c r="C1901" t="s">
        <v>132</v>
      </c>
      <c r="D1901" t="s">
        <v>2143</v>
      </c>
      <c r="E1901" t="s">
        <v>1542</v>
      </c>
      <c r="F1901" t="s">
        <v>145</v>
      </c>
      <c r="G1901" t="s">
        <v>7551</v>
      </c>
    </row>
    <row r="1902" spans="1:7" ht="44.25" customHeight="1">
      <c r="A1902" t="s">
        <v>132</v>
      </c>
      <c r="B1902" t="s">
        <v>7552</v>
      </c>
      <c r="C1902" t="s">
        <v>132</v>
      </c>
      <c r="D1902" t="s">
        <v>2143</v>
      </c>
      <c r="E1902" t="s">
        <v>2285</v>
      </c>
      <c r="F1902" t="s">
        <v>145</v>
      </c>
      <c r="G1902" t="s">
        <v>7553</v>
      </c>
    </row>
    <row r="1903" spans="1:7" ht="44.25" customHeight="1">
      <c r="A1903" t="s">
        <v>287</v>
      </c>
      <c r="B1903" t="s">
        <v>7554</v>
      </c>
      <c r="C1903" t="s">
        <v>1444</v>
      </c>
      <c r="D1903" t="s">
        <v>2143</v>
      </c>
      <c r="E1903" t="s">
        <v>3048</v>
      </c>
      <c r="F1903" t="s">
        <v>145</v>
      </c>
      <c r="G1903" t="s">
        <v>7555</v>
      </c>
    </row>
    <row r="1904" spans="1:7" ht="44.25" customHeight="1">
      <c r="A1904" t="s">
        <v>7556</v>
      </c>
      <c r="B1904" t="s">
        <v>7557</v>
      </c>
      <c r="C1904" t="s">
        <v>132</v>
      </c>
      <c r="D1904" t="s">
        <v>2143</v>
      </c>
      <c r="E1904" t="s">
        <v>2285</v>
      </c>
      <c r="F1904" t="s">
        <v>145</v>
      </c>
      <c r="G1904" t="s">
        <v>7558</v>
      </c>
    </row>
    <row r="1905" spans="1:7" ht="44.25" customHeight="1">
      <c r="A1905" t="s">
        <v>262</v>
      </c>
      <c r="B1905" t="s">
        <v>7559</v>
      </c>
      <c r="C1905" t="s">
        <v>132</v>
      </c>
      <c r="D1905" t="s">
        <v>2143</v>
      </c>
      <c r="E1905" t="s">
        <v>1542</v>
      </c>
      <c r="F1905" t="s">
        <v>145</v>
      </c>
      <c r="G1905" t="s">
        <v>7560</v>
      </c>
    </row>
    <row r="1906" spans="1:7" ht="44.25" customHeight="1">
      <c r="A1906" t="s">
        <v>7561</v>
      </c>
      <c r="B1906" t="s">
        <v>7562</v>
      </c>
      <c r="C1906" t="s">
        <v>132</v>
      </c>
      <c r="D1906" t="s">
        <v>2139</v>
      </c>
      <c r="E1906" t="s">
        <v>1367</v>
      </c>
      <c r="F1906" t="s">
        <v>145</v>
      </c>
      <c r="G1906" t="s">
        <v>7563</v>
      </c>
    </row>
    <row r="1907" spans="1:7" ht="44.25" customHeight="1">
      <c r="A1907" t="s">
        <v>7564</v>
      </c>
      <c r="B1907" t="s">
        <v>7565</v>
      </c>
      <c r="C1907" t="s">
        <v>132</v>
      </c>
      <c r="D1907" t="s">
        <v>79</v>
      </c>
      <c r="E1907" t="s">
        <v>4519</v>
      </c>
      <c r="F1907" t="s">
        <v>145</v>
      </c>
      <c r="G1907" t="s">
        <v>7566</v>
      </c>
    </row>
    <row r="1908" spans="1:7" ht="44.25" customHeight="1">
      <c r="A1908" t="s">
        <v>680</v>
      </c>
      <c r="B1908" t="s">
        <v>7567</v>
      </c>
      <c r="C1908" t="s">
        <v>132</v>
      </c>
      <c r="D1908" t="s">
        <v>2143</v>
      </c>
      <c r="E1908" t="s">
        <v>1519</v>
      </c>
      <c r="F1908" t="s">
        <v>145</v>
      </c>
      <c r="G1908" t="s">
        <v>7568</v>
      </c>
    </row>
    <row r="1909" spans="1:7" ht="44.25" customHeight="1">
      <c r="A1909" t="s">
        <v>699</v>
      </c>
      <c r="B1909" t="s">
        <v>7569</v>
      </c>
      <c r="C1909" t="s">
        <v>132</v>
      </c>
      <c r="D1909" t="s">
        <v>2143</v>
      </c>
      <c r="E1909" t="s">
        <v>2155</v>
      </c>
      <c r="F1909" t="s">
        <v>145</v>
      </c>
      <c r="G1909" t="s">
        <v>7570</v>
      </c>
    </row>
    <row r="1910" spans="1:7" ht="44.25" customHeight="1">
      <c r="A1910" t="s">
        <v>526</v>
      </c>
      <c r="B1910" t="s">
        <v>7571</v>
      </c>
      <c r="C1910" t="s">
        <v>132</v>
      </c>
      <c r="D1910" t="s">
        <v>79</v>
      </c>
      <c r="E1910" t="s">
        <v>7572</v>
      </c>
      <c r="F1910" t="s">
        <v>145</v>
      </c>
      <c r="G1910" t="s">
        <v>7573</v>
      </c>
    </row>
    <row r="1911" spans="1:7" ht="44.25" customHeight="1">
      <c r="A1911" t="s">
        <v>7574</v>
      </c>
      <c r="B1911" t="s">
        <v>7575</v>
      </c>
      <c r="C1911" t="s">
        <v>132</v>
      </c>
      <c r="D1911" t="s">
        <v>79</v>
      </c>
      <c r="E1911" t="s">
        <v>4686</v>
      </c>
      <c r="F1911" t="s">
        <v>145</v>
      </c>
      <c r="G1911" t="s">
        <v>7576</v>
      </c>
    </row>
    <row r="1912" spans="1:7" ht="44.25" customHeight="1">
      <c r="A1912" t="s">
        <v>7577</v>
      </c>
      <c r="B1912" t="s">
        <v>7578</v>
      </c>
      <c r="C1912" t="s">
        <v>132</v>
      </c>
      <c r="D1912" t="s">
        <v>79</v>
      </c>
      <c r="E1912" t="s">
        <v>7579</v>
      </c>
      <c r="F1912" t="s">
        <v>145</v>
      </c>
      <c r="G1912" t="s">
        <v>7580</v>
      </c>
    </row>
    <row r="1913" spans="1:7" ht="44.25" customHeight="1">
      <c r="A1913" t="s">
        <v>7581</v>
      </c>
      <c r="B1913" t="s">
        <v>7582</v>
      </c>
      <c r="C1913" t="s">
        <v>132</v>
      </c>
      <c r="D1913" t="s">
        <v>79</v>
      </c>
      <c r="E1913" t="s">
        <v>7583</v>
      </c>
      <c r="F1913" t="s">
        <v>145</v>
      </c>
      <c r="G1913" t="s">
        <v>7584</v>
      </c>
    </row>
    <row r="1914" spans="1:7" ht="44.25" customHeight="1">
      <c r="A1914" t="s">
        <v>7581</v>
      </c>
      <c r="B1914" t="s">
        <v>7582</v>
      </c>
      <c r="C1914" t="s">
        <v>132</v>
      </c>
      <c r="D1914" t="s">
        <v>79</v>
      </c>
      <c r="E1914" t="s">
        <v>7583</v>
      </c>
      <c r="F1914" t="s">
        <v>145</v>
      </c>
      <c r="G1914" t="s">
        <v>7584</v>
      </c>
    </row>
    <row r="1915" spans="1:7" ht="44.25" customHeight="1">
      <c r="A1915" t="s">
        <v>7581</v>
      </c>
      <c r="B1915" t="s">
        <v>7582</v>
      </c>
      <c r="C1915" t="s">
        <v>132</v>
      </c>
      <c r="D1915" t="s">
        <v>79</v>
      </c>
      <c r="E1915" t="s">
        <v>7583</v>
      </c>
      <c r="F1915" t="s">
        <v>145</v>
      </c>
      <c r="G1915" t="s">
        <v>7584</v>
      </c>
    </row>
    <row r="1916" spans="1:7" ht="44.25" customHeight="1">
      <c r="A1916" t="s">
        <v>7585</v>
      </c>
      <c r="B1916" t="s">
        <v>7586</v>
      </c>
      <c r="C1916" t="s">
        <v>132</v>
      </c>
      <c r="D1916" t="s">
        <v>79</v>
      </c>
      <c r="E1916" t="s">
        <v>7587</v>
      </c>
      <c r="F1916" t="s">
        <v>145</v>
      </c>
      <c r="G1916" t="s">
        <v>7588</v>
      </c>
    </row>
    <row r="1917" spans="1:7" ht="44.25" customHeight="1">
      <c r="A1917" t="s">
        <v>7589</v>
      </c>
      <c r="B1917" t="s">
        <v>7590</v>
      </c>
      <c r="C1917" t="s">
        <v>132</v>
      </c>
      <c r="D1917" t="s">
        <v>2143</v>
      </c>
      <c r="E1917" t="s">
        <v>5577</v>
      </c>
      <c r="F1917" t="s">
        <v>145</v>
      </c>
      <c r="G1917" t="s">
        <v>7591</v>
      </c>
    </row>
    <row r="1918" spans="1:7" ht="44.25" customHeight="1">
      <c r="A1918" t="s">
        <v>7592</v>
      </c>
      <c r="B1918" t="s">
        <v>7593</v>
      </c>
      <c r="C1918" t="s">
        <v>132</v>
      </c>
      <c r="D1918" t="s">
        <v>79</v>
      </c>
      <c r="E1918" t="s">
        <v>7594</v>
      </c>
      <c r="F1918" t="s">
        <v>145</v>
      </c>
      <c r="G1918" t="s">
        <v>7595</v>
      </c>
    </row>
    <row r="1919" spans="1:7" ht="44.25" customHeight="1">
      <c r="A1919" t="s">
        <v>7596</v>
      </c>
      <c r="B1919" t="s">
        <v>7597</v>
      </c>
      <c r="C1919" t="s">
        <v>132</v>
      </c>
      <c r="D1919" t="s">
        <v>2143</v>
      </c>
      <c r="E1919" t="s">
        <v>1542</v>
      </c>
      <c r="F1919" t="s">
        <v>145</v>
      </c>
      <c r="G1919" t="s">
        <v>7598</v>
      </c>
    </row>
    <row r="1920" spans="1:7" ht="44.25" customHeight="1">
      <c r="A1920" t="s">
        <v>7599</v>
      </c>
      <c r="B1920" t="s">
        <v>7600</v>
      </c>
      <c r="C1920" t="s">
        <v>7601</v>
      </c>
      <c r="D1920" t="s">
        <v>2143</v>
      </c>
      <c r="E1920" t="s">
        <v>1438</v>
      </c>
      <c r="F1920" t="s">
        <v>145</v>
      </c>
      <c r="G1920" t="s">
        <v>7602</v>
      </c>
    </row>
    <row r="1921" spans="1:7" ht="44.25" customHeight="1">
      <c r="A1921" t="s">
        <v>7603</v>
      </c>
      <c r="B1921" t="s">
        <v>7604</v>
      </c>
      <c r="C1921" t="s">
        <v>132</v>
      </c>
      <c r="D1921" t="s">
        <v>79</v>
      </c>
      <c r="E1921" t="s">
        <v>7605</v>
      </c>
      <c r="F1921" t="s">
        <v>145</v>
      </c>
      <c r="G1921" t="s">
        <v>7606</v>
      </c>
    </row>
    <row r="1922" spans="1:7" ht="44.25" customHeight="1">
      <c r="A1922" t="s">
        <v>7607</v>
      </c>
      <c r="B1922" t="s">
        <v>7608</v>
      </c>
      <c r="C1922" t="s">
        <v>132</v>
      </c>
      <c r="D1922" t="s">
        <v>2143</v>
      </c>
      <c r="E1922" t="s">
        <v>1542</v>
      </c>
      <c r="F1922" t="s">
        <v>145</v>
      </c>
      <c r="G1922" t="s">
        <v>7609</v>
      </c>
    </row>
    <row r="1923" spans="1:7" ht="44.25" customHeight="1">
      <c r="A1923" t="s">
        <v>7610</v>
      </c>
      <c r="B1923" t="s">
        <v>7611</v>
      </c>
      <c r="C1923" t="s">
        <v>132</v>
      </c>
      <c r="D1923" t="s">
        <v>2139</v>
      </c>
      <c r="E1923" t="s">
        <v>1367</v>
      </c>
      <c r="F1923" t="s">
        <v>145</v>
      </c>
      <c r="G1923" t="s">
        <v>7612</v>
      </c>
    </row>
    <row r="1924" spans="1:7" ht="44.25" customHeight="1">
      <c r="A1924" t="s">
        <v>7613</v>
      </c>
      <c r="B1924" t="s">
        <v>7614</v>
      </c>
      <c r="C1924" t="s">
        <v>132</v>
      </c>
      <c r="D1924" t="s">
        <v>2139</v>
      </c>
      <c r="E1924" t="s">
        <v>1367</v>
      </c>
      <c r="F1924" t="s">
        <v>145</v>
      </c>
      <c r="G1924" t="s">
        <v>7615</v>
      </c>
    </row>
    <row r="1925" spans="1:7" ht="44.25" customHeight="1">
      <c r="A1925" t="s">
        <v>956</v>
      </c>
      <c r="B1925" t="s">
        <v>7616</v>
      </c>
      <c r="C1925" t="s">
        <v>132</v>
      </c>
      <c r="D1925" t="s">
        <v>2143</v>
      </c>
      <c r="E1925" t="s">
        <v>2162</v>
      </c>
      <c r="F1925" t="s">
        <v>145</v>
      </c>
      <c r="G1925" t="s">
        <v>7617</v>
      </c>
    </row>
    <row r="1926" spans="1:7" ht="44.25" customHeight="1">
      <c r="A1926" t="s">
        <v>952</v>
      </c>
      <c r="B1926" t="s">
        <v>7618</v>
      </c>
      <c r="C1926" t="s">
        <v>132</v>
      </c>
      <c r="D1926" t="s">
        <v>2143</v>
      </c>
      <c r="E1926" t="s">
        <v>2162</v>
      </c>
      <c r="F1926" t="s">
        <v>145</v>
      </c>
      <c r="G1926" t="s">
        <v>7619</v>
      </c>
    </row>
    <row r="1927" spans="1:7" ht="44.25" customHeight="1">
      <c r="A1927" t="s">
        <v>1366</v>
      </c>
      <c r="B1927" t="s">
        <v>7620</v>
      </c>
      <c r="C1927" t="s">
        <v>132</v>
      </c>
      <c r="D1927" t="s">
        <v>2139</v>
      </c>
      <c r="E1927" t="s">
        <v>1367</v>
      </c>
      <c r="F1927" t="s">
        <v>145</v>
      </c>
      <c r="G1927" t="s">
        <v>7621</v>
      </c>
    </row>
    <row r="1928" spans="1:7" ht="44.25" customHeight="1">
      <c r="A1928" t="s">
        <v>766</v>
      </c>
      <c r="B1928" t="s">
        <v>7622</v>
      </c>
      <c r="C1928" t="s">
        <v>132</v>
      </c>
      <c r="D1928" t="s">
        <v>79</v>
      </c>
      <c r="E1928" t="s">
        <v>4388</v>
      </c>
      <c r="F1928" t="s">
        <v>145</v>
      </c>
      <c r="G1928" t="s">
        <v>7623</v>
      </c>
    </row>
    <row r="1929" spans="1:7" ht="44.25" customHeight="1">
      <c r="A1929" t="s">
        <v>913</v>
      </c>
      <c r="B1929" t="s">
        <v>7624</v>
      </c>
      <c r="C1929" t="s">
        <v>132</v>
      </c>
      <c r="D1929" t="s">
        <v>2143</v>
      </c>
      <c r="E1929" t="s">
        <v>2162</v>
      </c>
      <c r="F1929" t="s">
        <v>145</v>
      </c>
      <c r="G1929" t="s">
        <v>7625</v>
      </c>
    </row>
    <row r="1930" spans="1:7" ht="44.25" customHeight="1">
      <c r="A1930" t="s">
        <v>7626</v>
      </c>
      <c r="B1930" t="s">
        <v>7627</v>
      </c>
      <c r="C1930" t="s">
        <v>132</v>
      </c>
      <c r="D1930" t="s">
        <v>79</v>
      </c>
      <c r="E1930" t="s">
        <v>7628</v>
      </c>
      <c r="F1930" t="s">
        <v>145</v>
      </c>
      <c r="G1930" t="s">
        <v>7629</v>
      </c>
    </row>
    <row r="1931" spans="1:7" ht="44.25" customHeight="1">
      <c r="A1931" t="s">
        <v>7630</v>
      </c>
      <c r="B1931" t="s">
        <v>7631</v>
      </c>
      <c r="C1931" t="s">
        <v>132</v>
      </c>
      <c r="D1931" t="s">
        <v>79</v>
      </c>
      <c r="E1931" t="s">
        <v>7632</v>
      </c>
      <c r="F1931" t="s">
        <v>145</v>
      </c>
      <c r="G1931" t="s">
        <v>7633</v>
      </c>
    </row>
    <row r="1932" spans="1:7" ht="44.25" customHeight="1">
      <c r="A1932" t="s">
        <v>7634</v>
      </c>
      <c r="B1932" t="s">
        <v>7635</v>
      </c>
      <c r="C1932" t="s">
        <v>132</v>
      </c>
      <c r="D1932" t="s">
        <v>79</v>
      </c>
      <c r="E1932" t="s">
        <v>7636</v>
      </c>
      <c r="F1932" t="s">
        <v>145</v>
      </c>
      <c r="G1932" t="s">
        <v>7637</v>
      </c>
    </row>
    <row r="1933" spans="1:7" ht="44.25" customHeight="1">
      <c r="A1933" t="s">
        <v>7638</v>
      </c>
      <c r="B1933" t="s">
        <v>7639</v>
      </c>
      <c r="C1933" t="s">
        <v>132</v>
      </c>
      <c r="D1933" t="s">
        <v>2143</v>
      </c>
      <c r="E1933" t="s">
        <v>1542</v>
      </c>
      <c r="F1933" t="s">
        <v>145</v>
      </c>
      <c r="G1933" t="s">
        <v>7640</v>
      </c>
    </row>
    <row r="1934" spans="1:7" ht="44.25" customHeight="1">
      <c r="A1934" t="s">
        <v>7641</v>
      </c>
      <c r="B1934" t="s">
        <v>7642</v>
      </c>
      <c r="C1934" t="s">
        <v>132</v>
      </c>
      <c r="D1934" t="s">
        <v>2143</v>
      </c>
      <c r="E1934" t="s">
        <v>2285</v>
      </c>
      <c r="F1934" t="s">
        <v>145</v>
      </c>
      <c r="G1934" t="s">
        <v>7643</v>
      </c>
    </row>
    <row r="1935" spans="1:7" ht="44.25" customHeight="1">
      <c r="A1935" t="s">
        <v>7644</v>
      </c>
      <c r="B1935" t="s">
        <v>7645</v>
      </c>
      <c r="C1935" t="s">
        <v>132</v>
      </c>
      <c r="D1935" t="s">
        <v>2143</v>
      </c>
      <c r="E1935" t="s">
        <v>2571</v>
      </c>
      <c r="F1935" t="s">
        <v>145</v>
      </c>
      <c r="G1935" t="s">
        <v>7646</v>
      </c>
    </row>
    <row r="1936" spans="1:7" ht="44.25" customHeight="1">
      <c r="A1936" t="s">
        <v>7647</v>
      </c>
      <c r="B1936" t="s">
        <v>7648</v>
      </c>
      <c r="C1936" t="s">
        <v>132</v>
      </c>
      <c r="D1936" t="s">
        <v>2143</v>
      </c>
      <c r="E1936" t="s">
        <v>1542</v>
      </c>
      <c r="F1936" t="s">
        <v>145</v>
      </c>
      <c r="G1936" t="s">
        <v>7649</v>
      </c>
    </row>
    <row r="1937" spans="1:7" ht="44.25" customHeight="1">
      <c r="A1937" t="s">
        <v>7650</v>
      </c>
      <c r="B1937" t="s">
        <v>7651</v>
      </c>
      <c r="C1937" t="s">
        <v>132</v>
      </c>
      <c r="D1937" t="s">
        <v>2143</v>
      </c>
      <c r="E1937" t="s">
        <v>1438</v>
      </c>
      <c r="F1937" t="s">
        <v>145</v>
      </c>
      <c r="G1937" t="s">
        <v>7652</v>
      </c>
    </row>
    <row r="1938" spans="1:7" ht="44.25" customHeight="1">
      <c r="A1938" t="s">
        <v>7653</v>
      </c>
      <c r="B1938" t="s">
        <v>7654</v>
      </c>
      <c r="C1938" t="s">
        <v>132</v>
      </c>
      <c r="D1938" t="s">
        <v>2143</v>
      </c>
      <c r="E1938" t="s">
        <v>2285</v>
      </c>
      <c r="F1938" t="s">
        <v>145</v>
      </c>
      <c r="G1938" t="s">
        <v>7655</v>
      </c>
    </row>
    <row r="1939" spans="1:7" ht="44.25" customHeight="1">
      <c r="A1939" t="s">
        <v>1376</v>
      </c>
      <c r="B1939" t="s">
        <v>7656</v>
      </c>
      <c r="C1939" t="s">
        <v>132</v>
      </c>
      <c r="D1939" t="s">
        <v>2139</v>
      </c>
      <c r="E1939" t="s">
        <v>1367</v>
      </c>
      <c r="F1939" t="s">
        <v>145</v>
      </c>
      <c r="G1939" t="s">
        <v>7657</v>
      </c>
    </row>
    <row r="1940" spans="1:7" ht="44.25" customHeight="1">
      <c r="A1940" t="s">
        <v>359</v>
      </c>
      <c r="B1940" t="s">
        <v>7658</v>
      </c>
      <c r="C1940" t="s">
        <v>132</v>
      </c>
      <c r="D1940" t="s">
        <v>2143</v>
      </c>
      <c r="E1940" t="s">
        <v>1367</v>
      </c>
      <c r="F1940" t="s">
        <v>145</v>
      </c>
      <c r="G1940" t="s">
        <v>7659</v>
      </c>
    </row>
    <row r="1941" spans="1:7" ht="44.25" customHeight="1">
      <c r="A1941" t="s">
        <v>353</v>
      </c>
      <c r="B1941" t="s">
        <v>7660</v>
      </c>
      <c r="C1941" t="s">
        <v>132</v>
      </c>
      <c r="D1941" t="s">
        <v>2143</v>
      </c>
      <c r="E1941" t="s">
        <v>2162</v>
      </c>
      <c r="F1941" t="s">
        <v>145</v>
      </c>
      <c r="G1941" t="s">
        <v>7661</v>
      </c>
    </row>
    <row r="1942" spans="1:7" ht="44.25" customHeight="1">
      <c r="A1942" t="s">
        <v>7662</v>
      </c>
      <c r="B1942" t="s">
        <v>7663</v>
      </c>
      <c r="C1942" t="s">
        <v>132</v>
      </c>
      <c r="D1942" t="s">
        <v>79</v>
      </c>
      <c r="E1942" t="s">
        <v>7664</v>
      </c>
      <c r="F1942" t="s">
        <v>145</v>
      </c>
      <c r="G1942" t="s">
        <v>7665</v>
      </c>
    </row>
    <row r="1943" spans="1:7" ht="44.25" customHeight="1">
      <c r="A1943" t="s">
        <v>7666</v>
      </c>
      <c r="B1943" t="s">
        <v>7667</v>
      </c>
      <c r="C1943" t="s">
        <v>132</v>
      </c>
      <c r="D1943" t="s">
        <v>79</v>
      </c>
      <c r="E1943" t="s">
        <v>4993</v>
      </c>
      <c r="F1943" t="s">
        <v>145</v>
      </c>
      <c r="G1943" t="s">
        <v>7668</v>
      </c>
    </row>
    <row r="1944" spans="1:7" ht="44.25" customHeight="1">
      <c r="A1944" t="s">
        <v>7669</v>
      </c>
      <c r="B1944" t="s">
        <v>7670</v>
      </c>
      <c r="C1944" t="s">
        <v>132</v>
      </c>
      <c r="D1944" t="s">
        <v>79</v>
      </c>
      <c r="E1944" t="s">
        <v>7671</v>
      </c>
      <c r="F1944" t="s">
        <v>145</v>
      </c>
      <c r="G1944" t="s">
        <v>7672</v>
      </c>
    </row>
    <row r="1945" spans="1:7" ht="44.25" customHeight="1">
      <c r="A1945" t="s">
        <v>7669</v>
      </c>
      <c r="B1945" t="s">
        <v>7670</v>
      </c>
      <c r="C1945" t="s">
        <v>132</v>
      </c>
      <c r="D1945" t="s">
        <v>79</v>
      </c>
      <c r="E1945" t="s">
        <v>7671</v>
      </c>
      <c r="F1945" t="s">
        <v>145</v>
      </c>
      <c r="G1945" t="s">
        <v>7672</v>
      </c>
    </row>
    <row r="1946" spans="1:7" ht="44.25" customHeight="1">
      <c r="A1946" t="s">
        <v>7673</v>
      </c>
      <c r="B1946" t="s">
        <v>7674</v>
      </c>
      <c r="C1946" t="s">
        <v>132</v>
      </c>
      <c r="D1946" t="s">
        <v>79</v>
      </c>
      <c r="E1946" t="s">
        <v>7675</v>
      </c>
      <c r="F1946" t="s">
        <v>145</v>
      </c>
      <c r="G1946" t="s">
        <v>7676</v>
      </c>
    </row>
    <row r="1947" spans="1:7" ht="44.25" customHeight="1">
      <c r="A1947" t="s">
        <v>7677</v>
      </c>
      <c r="B1947" t="s">
        <v>7678</v>
      </c>
      <c r="C1947" t="s">
        <v>132</v>
      </c>
      <c r="D1947" t="s">
        <v>79</v>
      </c>
      <c r="E1947" t="s">
        <v>7679</v>
      </c>
      <c r="F1947" t="s">
        <v>145</v>
      </c>
      <c r="G1947" t="s">
        <v>7680</v>
      </c>
    </row>
    <row r="1948" spans="1:7" ht="44.25" customHeight="1">
      <c r="A1948" t="s">
        <v>7681</v>
      </c>
      <c r="B1948" t="s">
        <v>7682</v>
      </c>
      <c r="C1948" t="s">
        <v>132</v>
      </c>
      <c r="D1948" t="s">
        <v>79</v>
      </c>
      <c r="E1948" t="s">
        <v>7683</v>
      </c>
      <c r="F1948" t="s">
        <v>145</v>
      </c>
      <c r="G1948" t="s">
        <v>7684</v>
      </c>
    </row>
    <row r="1949" spans="1:7" ht="44.25" customHeight="1">
      <c r="A1949" t="s">
        <v>7685</v>
      </c>
      <c r="B1949" t="s">
        <v>7686</v>
      </c>
      <c r="C1949" t="s">
        <v>132</v>
      </c>
      <c r="D1949" t="s">
        <v>2143</v>
      </c>
      <c r="E1949" t="s">
        <v>5570</v>
      </c>
      <c r="F1949" t="s">
        <v>145</v>
      </c>
      <c r="G1949" t="s">
        <v>7687</v>
      </c>
    </row>
    <row r="1950" spans="1:7" ht="44.25" customHeight="1">
      <c r="A1950" t="s">
        <v>132</v>
      </c>
      <c r="B1950" t="s">
        <v>7688</v>
      </c>
      <c r="C1950" t="s">
        <v>132</v>
      </c>
      <c r="D1950" t="s">
        <v>2143</v>
      </c>
      <c r="E1950" t="s">
        <v>5577</v>
      </c>
      <c r="F1950" t="s">
        <v>145</v>
      </c>
      <c r="G1950" t="s">
        <v>7689</v>
      </c>
    </row>
    <row r="1951" spans="1:7" ht="44.25" customHeight="1">
      <c r="A1951" t="s">
        <v>132</v>
      </c>
      <c r="B1951" t="s">
        <v>7690</v>
      </c>
      <c r="C1951" t="s">
        <v>132</v>
      </c>
      <c r="D1951" t="s">
        <v>2143</v>
      </c>
      <c r="E1951" t="s">
        <v>6932</v>
      </c>
      <c r="F1951" t="s">
        <v>145</v>
      </c>
      <c r="G1951" t="s">
        <v>7691</v>
      </c>
    </row>
    <row r="1952" spans="1:7" ht="44.25" customHeight="1">
      <c r="A1952" t="s">
        <v>7692</v>
      </c>
      <c r="B1952" t="s">
        <v>7693</v>
      </c>
      <c r="C1952" t="s">
        <v>132</v>
      </c>
      <c r="D1952" t="s">
        <v>2143</v>
      </c>
      <c r="E1952" t="s">
        <v>1542</v>
      </c>
      <c r="F1952" t="s">
        <v>145</v>
      </c>
      <c r="G1952" t="s">
        <v>7694</v>
      </c>
    </row>
    <row r="1953" spans="1:7" ht="44.25" customHeight="1">
      <c r="A1953" t="s">
        <v>7695</v>
      </c>
      <c r="B1953" t="s">
        <v>7696</v>
      </c>
      <c r="C1953" t="s">
        <v>132</v>
      </c>
      <c r="D1953" t="s">
        <v>2143</v>
      </c>
      <c r="E1953" t="s">
        <v>2285</v>
      </c>
      <c r="F1953" t="s">
        <v>145</v>
      </c>
      <c r="G1953" t="s">
        <v>7697</v>
      </c>
    </row>
    <row r="1954" spans="1:7" ht="44.25" customHeight="1">
      <c r="A1954" t="s">
        <v>7698</v>
      </c>
      <c r="B1954" t="s">
        <v>7699</v>
      </c>
      <c r="C1954" t="s">
        <v>132</v>
      </c>
      <c r="D1954" t="s">
        <v>2143</v>
      </c>
      <c r="E1954" t="s">
        <v>2581</v>
      </c>
      <c r="F1954" t="s">
        <v>145</v>
      </c>
      <c r="G1954" t="s">
        <v>7700</v>
      </c>
    </row>
    <row r="1955" spans="1:7" ht="44.25" customHeight="1">
      <c r="A1955" t="s">
        <v>399</v>
      </c>
      <c r="B1955" t="s">
        <v>7701</v>
      </c>
      <c r="C1955" t="s">
        <v>132</v>
      </c>
      <c r="D1955" t="s">
        <v>79</v>
      </c>
      <c r="E1955" t="s">
        <v>3402</v>
      </c>
      <c r="F1955" t="s">
        <v>145</v>
      </c>
      <c r="G1955" t="s">
        <v>7702</v>
      </c>
    </row>
    <row r="1956" spans="1:7" ht="44.25" customHeight="1">
      <c r="A1956" t="s">
        <v>1020</v>
      </c>
      <c r="B1956" t="s">
        <v>7703</v>
      </c>
      <c r="C1956" t="s">
        <v>132</v>
      </c>
      <c r="D1956" t="s">
        <v>2143</v>
      </c>
      <c r="E1956" t="s">
        <v>1559</v>
      </c>
      <c r="F1956" t="s">
        <v>145</v>
      </c>
      <c r="G1956" t="s">
        <v>7704</v>
      </c>
    </row>
    <row r="1957" spans="1:7" ht="44.25" customHeight="1">
      <c r="A1957" t="s">
        <v>7705</v>
      </c>
      <c r="B1957" t="s">
        <v>7706</v>
      </c>
      <c r="C1957" t="s">
        <v>132</v>
      </c>
      <c r="D1957" t="s">
        <v>79</v>
      </c>
      <c r="E1957" t="s">
        <v>7707</v>
      </c>
      <c r="F1957" t="s">
        <v>145</v>
      </c>
      <c r="G1957" t="s">
        <v>7708</v>
      </c>
    </row>
    <row r="1958" spans="1:7" ht="44.25" customHeight="1">
      <c r="A1958" t="s">
        <v>377</v>
      </c>
      <c r="B1958" t="s">
        <v>7709</v>
      </c>
      <c r="C1958" t="s">
        <v>132</v>
      </c>
      <c r="D1958" t="s">
        <v>2143</v>
      </c>
      <c r="E1958" t="s">
        <v>1453</v>
      </c>
      <c r="F1958" t="s">
        <v>145</v>
      </c>
      <c r="G1958" t="s">
        <v>7710</v>
      </c>
    </row>
    <row r="1959" spans="1:7" ht="44.25" customHeight="1">
      <c r="A1959" t="s">
        <v>7711</v>
      </c>
      <c r="B1959" t="s">
        <v>7712</v>
      </c>
      <c r="C1959" t="s">
        <v>132</v>
      </c>
      <c r="D1959" t="s">
        <v>2143</v>
      </c>
      <c r="E1959" t="s">
        <v>1542</v>
      </c>
      <c r="F1959" t="s">
        <v>145</v>
      </c>
      <c r="G1959" t="s">
        <v>7713</v>
      </c>
    </row>
    <row r="1960" spans="1:7" ht="44.25" customHeight="1">
      <c r="A1960" t="s">
        <v>132</v>
      </c>
      <c r="B1960" t="s">
        <v>7714</v>
      </c>
      <c r="C1960" t="s">
        <v>132</v>
      </c>
      <c r="D1960" t="s">
        <v>2143</v>
      </c>
      <c r="E1960" t="s">
        <v>2891</v>
      </c>
      <c r="F1960" t="s">
        <v>145</v>
      </c>
      <c r="G1960" t="s">
        <v>7715</v>
      </c>
    </row>
    <row r="1961" spans="1:7" ht="44.25" customHeight="1">
      <c r="A1961" t="s">
        <v>7716</v>
      </c>
      <c r="B1961" t="s">
        <v>7717</v>
      </c>
      <c r="C1961" t="s">
        <v>132</v>
      </c>
      <c r="D1961" t="s">
        <v>2143</v>
      </c>
      <c r="E1961" t="s">
        <v>2571</v>
      </c>
      <c r="F1961" t="s">
        <v>145</v>
      </c>
      <c r="G1961" t="s">
        <v>7718</v>
      </c>
    </row>
    <row r="1962" spans="1:7" ht="44.25" customHeight="1">
      <c r="A1962" t="s">
        <v>7719</v>
      </c>
      <c r="B1962" t="s">
        <v>7720</v>
      </c>
      <c r="C1962" t="s">
        <v>7721</v>
      </c>
      <c r="D1962" t="s">
        <v>2143</v>
      </c>
      <c r="E1962" t="s">
        <v>1438</v>
      </c>
      <c r="F1962" t="s">
        <v>145</v>
      </c>
      <c r="G1962" t="s">
        <v>7722</v>
      </c>
    </row>
    <row r="1963" spans="1:7" ht="44.25" customHeight="1">
      <c r="A1963" t="s">
        <v>7723</v>
      </c>
      <c r="B1963" t="s">
        <v>7724</v>
      </c>
      <c r="C1963" t="s">
        <v>132</v>
      </c>
      <c r="D1963" t="s">
        <v>2143</v>
      </c>
      <c r="E1963" t="s">
        <v>1542</v>
      </c>
      <c r="F1963" t="s">
        <v>145</v>
      </c>
      <c r="G1963" t="s">
        <v>7725</v>
      </c>
    </row>
    <row r="1964" spans="1:7" ht="44.25" customHeight="1">
      <c r="A1964" t="s">
        <v>7726</v>
      </c>
      <c r="B1964" t="s">
        <v>7727</v>
      </c>
      <c r="C1964" t="s">
        <v>132</v>
      </c>
      <c r="D1964" t="s">
        <v>2143</v>
      </c>
      <c r="E1964" t="s">
        <v>2285</v>
      </c>
      <c r="F1964" t="s">
        <v>145</v>
      </c>
      <c r="G1964" t="s">
        <v>7728</v>
      </c>
    </row>
    <row r="1965" spans="1:7" ht="44.25" customHeight="1">
      <c r="A1965" t="s">
        <v>7729</v>
      </c>
      <c r="B1965" t="s">
        <v>7730</v>
      </c>
      <c r="C1965" t="s">
        <v>132</v>
      </c>
      <c r="D1965" t="s">
        <v>79</v>
      </c>
      <c r="E1965" t="s">
        <v>7731</v>
      </c>
      <c r="F1965" t="s">
        <v>145</v>
      </c>
      <c r="G1965" t="s">
        <v>7732</v>
      </c>
    </row>
    <row r="1966" spans="1:7" ht="44.25" customHeight="1">
      <c r="A1966" t="s">
        <v>7733</v>
      </c>
      <c r="B1966" t="s">
        <v>7734</v>
      </c>
      <c r="C1966" t="s">
        <v>132</v>
      </c>
      <c r="D1966" t="s">
        <v>79</v>
      </c>
      <c r="E1966" t="s">
        <v>6209</v>
      </c>
      <c r="F1966" t="s">
        <v>145</v>
      </c>
      <c r="G1966" t="s">
        <v>7735</v>
      </c>
    </row>
    <row r="1967" spans="1:7" ht="44.25" customHeight="1">
      <c r="A1967" t="s">
        <v>7736</v>
      </c>
      <c r="B1967" t="s">
        <v>7737</v>
      </c>
      <c r="C1967" t="s">
        <v>132</v>
      </c>
      <c r="D1967" t="s">
        <v>2143</v>
      </c>
      <c r="E1967" t="s">
        <v>2162</v>
      </c>
      <c r="F1967" t="s">
        <v>145</v>
      </c>
      <c r="G1967" t="s">
        <v>7738</v>
      </c>
    </row>
    <row r="1968" spans="1:7" ht="44.25" customHeight="1">
      <c r="A1968" t="s">
        <v>473</v>
      </c>
      <c r="B1968" t="s">
        <v>7739</v>
      </c>
      <c r="C1968" t="s">
        <v>132</v>
      </c>
      <c r="D1968" t="s">
        <v>79</v>
      </c>
      <c r="E1968" t="s">
        <v>2144</v>
      </c>
      <c r="F1968" t="s">
        <v>145</v>
      </c>
      <c r="G1968" t="s">
        <v>7740</v>
      </c>
    </row>
    <row r="1969" spans="1:7" ht="44.25" customHeight="1">
      <c r="A1969" t="s">
        <v>7741</v>
      </c>
      <c r="B1969" t="s">
        <v>7742</v>
      </c>
      <c r="C1969" t="s">
        <v>132</v>
      </c>
      <c r="D1969" t="s">
        <v>79</v>
      </c>
      <c r="E1969" t="s">
        <v>7743</v>
      </c>
      <c r="F1969" t="s">
        <v>145</v>
      </c>
      <c r="G1969" t="s">
        <v>7744</v>
      </c>
    </row>
    <row r="1970" spans="1:7" ht="44.25" customHeight="1">
      <c r="A1970" t="s">
        <v>7745</v>
      </c>
      <c r="B1970" t="s">
        <v>7746</v>
      </c>
      <c r="C1970" t="s">
        <v>132</v>
      </c>
      <c r="D1970" t="s">
        <v>79</v>
      </c>
      <c r="E1970" t="s">
        <v>7747</v>
      </c>
      <c r="F1970" t="s">
        <v>145</v>
      </c>
      <c r="G1970" t="s">
        <v>7748</v>
      </c>
    </row>
    <row r="1971" spans="1:7" ht="44.25" customHeight="1">
      <c r="A1971" t="s">
        <v>132</v>
      </c>
      <c r="B1971" t="s">
        <v>7749</v>
      </c>
      <c r="C1971" t="s">
        <v>132</v>
      </c>
      <c r="D1971" t="s">
        <v>79</v>
      </c>
      <c r="E1971" t="s">
        <v>7750</v>
      </c>
      <c r="F1971" t="s">
        <v>145</v>
      </c>
      <c r="G1971" t="s">
        <v>7751</v>
      </c>
    </row>
    <row r="1972" spans="1:7" ht="44.25" customHeight="1">
      <c r="A1972" t="s">
        <v>7752</v>
      </c>
      <c r="B1972" t="s">
        <v>7753</v>
      </c>
      <c r="C1972" t="s">
        <v>132</v>
      </c>
      <c r="D1972" t="s">
        <v>79</v>
      </c>
      <c r="E1972" t="s">
        <v>7754</v>
      </c>
      <c r="F1972" t="s">
        <v>145</v>
      </c>
      <c r="G1972" t="s">
        <v>7755</v>
      </c>
    </row>
    <row r="1973" spans="1:7" ht="44.25" customHeight="1">
      <c r="A1973" t="s">
        <v>7756</v>
      </c>
      <c r="B1973" t="s">
        <v>7757</v>
      </c>
      <c r="C1973" t="s">
        <v>132</v>
      </c>
      <c r="D1973" t="s">
        <v>79</v>
      </c>
      <c r="E1973" t="s">
        <v>7758</v>
      </c>
      <c r="F1973" t="s">
        <v>145</v>
      </c>
      <c r="G1973" t="s">
        <v>7759</v>
      </c>
    </row>
    <row r="1974" spans="1:7" ht="44.25" customHeight="1">
      <c r="A1974" t="s">
        <v>132</v>
      </c>
      <c r="B1974" t="s">
        <v>7760</v>
      </c>
      <c r="C1974" t="s">
        <v>132</v>
      </c>
      <c r="D1974" t="s">
        <v>2143</v>
      </c>
      <c r="E1974" t="s">
        <v>6295</v>
      </c>
      <c r="F1974" t="s">
        <v>145</v>
      </c>
      <c r="G1974" t="s">
        <v>7761</v>
      </c>
    </row>
    <row r="1975" spans="1:7" ht="44.25" customHeight="1">
      <c r="A1975" t="s">
        <v>382</v>
      </c>
      <c r="B1975" t="s">
        <v>7762</v>
      </c>
      <c r="C1975" t="s">
        <v>1454</v>
      </c>
      <c r="D1975" t="s">
        <v>2143</v>
      </c>
      <c r="E1975" t="s">
        <v>1455</v>
      </c>
      <c r="F1975" t="s">
        <v>145</v>
      </c>
      <c r="G1975" t="s">
        <v>7763</v>
      </c>
    </row>
    <row r="1976" spans="1:7" ht="44.25" customHeight="1">
      <c r="A1976" t="s">
        <v>7764</v>
      </c>
      <c r="B1976" t="s">
        <v>7765</v>
      </c>
      <c r="C1976" t="s">
        <v>132</v>
      </c>
      <c r="D1976" t="s">
        <v>2143</v>
      </c>
      <c r="E1976" t="s">
        <v>5777</v>
      </c>
      <c r="F1976" t="s">
        <v>145</v>
      </c>
      <c r="G1976" t="s">
        <v>7766</v>
      </c>
    </row>
    <row r="1977" spans="1:7" ht="44.25" customHeight="1">
      <c r="A1977" t="s">
        <v>663</v>
      </c>
      <c r="B1977" t="s">
        <v>7767</v>
      </c>
      <c r="C1977" t="s">
        <v>132</v>
      </c>
      <c r="D1977" t="s">
        <v>2143</v>
      </c>
      <c r="E1977" t="s">
        <v>1519</v>
      </c>
      <c r="F1977" t="s">
        <v>145</v>
      </c>
      <c r="G1977" t="s">
        <v>7768</v>
      </c>
    </row>
    <row r="1978" spans="1:7" ht="44.25" customHeight="1">
      <c r="A1978" t="s">
        <v>7769</v>
      </c>
      <c r="B1978" t="s">
        <v>7770</v>
      </c>
      <c r="C1978" t="s">
        <v>132</v>
      </c>
      <c r="D1978" t="s">
        <v>2143</v>
      </c>
      <c r="E1978" t="s">
        <v>1542</v>
      </c>
      <c r="F1978" t="s">
        <v>145</v>
      </c>
      <c r="G1978" t="s">
        <v>7771</v>
      </c>
    </row>
    <row r="1979" spans="1:7" ht="44.25" customHeight="1">
      <c r="A1979" t="s">
        <v>7772</v>
      </c>
      <c r="B1979" t="s">
        <v>7773</v>
      </c>
      <c r="C1979" t="s">
        <v>132</v>
      </c>
      <c r="D1979" t="s">
        <v>2143</v>
      </c>
      <c r="E1979" t="s">
        <v>2285</v>
      </c>
      <c r="F1979" t="s">
        <v>145</v>
      </c>
      <c r="G1979" t="s">
        <v>7774</v>
      </c>
    </row>
    <row r="1980" spans="1:7" ht="44.25" customHeight="1">
      <c r="A1980" t="s">
        <v>7775</v>
      </c>
      <c r="B1980" t="s">
        <v>7776</v>
      </c>
      <c r="C1980" t="s">
        <v>132</v>
      </c>
      <c r="D1980" t="s">
        <v>79</v>
      </c>
      <c r="E1980" t="s">
        <v>7777</v>
      </c>
      <c r="F1980" t="s">
        <v>145</v>
      </c>
      <c r="G1980" t="s">
        <v>7778</v>
      </c>
    </row>
    <row r="1981" spans="1:7" ht="44.25" customHeight="1">
      <c r="A1981" t="s">
        <v>7779</v>
      </c>
      <c r="B1981" t="s">
        <v>7780</v>
      </c>
      <c r="C1981" t="s">
        <v>132</v>
      </c>
      <c r="D1981" t="s">
        <v>2139</v>
      </c>
      <c r="E1981" t="s">
        <v>1367</v>
      </c>
      <c r="F1981" t="s">
        <v>145</v>
      </c>
      <c r="G1981" t="s">
        <v>7781</v>
      </c>
    </row>
    <row r="1982" spans="1:7" ht="44.25" customHeight="1">
      <c r="A1982" t="s">
        <v>7782</v>
      </c>
      <c r="B1982" t="s">
        <v>7783</v>
      </c>
      <c r="C1982" t="s">
        <v>132</v>
      </c>
      <c r="D1982" t="s">
        <v>2143</v>
      </c>
      <c r="E1982" t="s">
        <v>2162</v>
      </c>
      <c r="F1982" t="s">
        <v>145</v>
      </c>
      <c r="G1982" t="s">
        <v>7784</v>
      </c>
    </row>
    <row r="1983" spans="1:7" ht="44.25" customHeight="1">
      <c r="A1983" t="s">
        <v>332</v>
      </c>
      <c r="B1983" t="s">
        <v>7785</v>
      </c>
      <c r="C1983" t="s">
        <v>132</v>
      </c>
      <c r="D1983" t="s">
        <v>2139</v>
      </c>
      <c r="E1983" t="s">
        <v>1367</v>
      </c>
      <c r="F1983" t="s">
        <v>145</v>
      </c>
      <c r="G1983" t="s">
        <v>7786</v>
      </c>
    </row>
    <row r="1984" spans="1:7" ht="44.25" customHeight="1">
      <c r="A1984" t="s">
        <v>351</v>
      </c>
      <c r="B1984" t="s">
        <v>7787</v>
      </c>
      <c r="C1984" t="s">
        <v>132</v>
      </c>
      <c r="D1984" t="s">
        <v>2143</v>
      </c>
      <c r="E1984" t="s">
        <v>2162</v>
      </c>
      <c r="F1984" t="s">
        <v>145</v>
      </c>
      <c r="G1984" t="s">
        <v>7788</v>
      </c>
    </row>
    <row r="1985" spans="1:7" ht="44.25" customHeight="1">
      <c r="A1985" t="s">
        <v>758</v>
      </c>
      <c r="B1985" t="s">
        <v>7789</v>
      </c>
      <c r="C1985" t="s">
        <v>132</v>
      </c>
      <c r="D1985" t="s">
        <v>2139</v>
      </c>
      <c r="E1985" t="s">
        <v>1367</v>
      </c>
      <c r="F1985" t="s">
        <v>145</v>
      </c>
      <c r="G1985" t="s">
        <v>7790</v>
      </c>
    </row>
    <row r="1986" spans="1:7" ht="44.25" customHeight="1">
      <c r="A1986" t="s">
        <v>948</v>
      </c>
      <c r="B1986" t="s">
        <v>7791</v>
      </c>
      <c r="C1986" t="s">
        <v>132</v>
      </c>
      <c r="D1986" t="s">
        <v>2143</v>
      </c>
      <c r="E1986" t="s">
        <v>2162</v>
      </c>
      <c r="F1986" t="s">
        <v>145</v>
      </c>
      <c r="G1986" t="s">
        <v>7792</v>
      </c>
    </row>
    <row r="1987" spans="1:7" ht="44.25" customHeight="1">
      <c r="A1987" t="s">
        <v>1052</v>
      </c>
      <c r="B1987" t="s">
        <v>7793</v>
      </c>
      <c r="C1987" t="s">
        <v>132</v>
      </c>
      <c r="D1987" t="s">
        <v>2143</v>
      </c>
      <c r="E1987" t="s">
        <v>2162</v>
      </c>
      <c r="F1987" t="s">
        <v>145</v>
      </c>
      <c r="G1987" t="s">
        <v>7794</v>
      </c>
    </row>
    <row r="1988" spans="1:7" ht="44.25" customHeight="1">
      <c r="A1988" t="s">
        <v>509</v>
      </c>
      <c r="B1988" t="s">
        <v>7795</v>
      </c>
      <c r="C1988" t="s">
        <v>132</v>
      </c>
      <c r="D1988" t="s">
        <v>79</v>
      </c>
      <c r="E1988" t="s">
        <v>4686</v>
      </c>
      <c r="F1988" t="s">
        <v>145</v>
      </c>
      <c r="G1988" t="s">
        <v>7796</v>
      </c>
    </row>
    <row r="1989" spans="1:7" ht="44.25" customHeight="1">
      <c r="A1989" t="s">
        <v>491</v>
      </c>
      <c r="B1989" t="s">
        <v>7797</v>
      </c>
      <c r="C1989" t="s">
        <v>132</v>
      </c>
      <c r="D1989" t="s">
        <v>79</v>
      </c>
      <c r="E1989" t="s">
        <v>7798</v>
      </c>
      <c r="F1989" t="s">
        <v>145</v>
      </c>
      <c r="G1989" t="s">
        <v>7799</v>
      </c>
    </row>
    <row r="1990" spans="1:7" ht="44.25" customHeight="1">
      <c r="A1990" t="s">
        <v>667</v>
      </c>
      <c r="B1990" t="s">
        <v>7800</v>
      </c>
      <c r="C1990" t="s">
        <v>132</v>
      </c>
      <c r="D1990" t="s">
        <v>2143</v>
      </c>
      <c r="E1990" t="s">
        <v>1519</v>
      </c>
      <c r="F1990" t="s">
        <v>145</v>
      </c>
      <c r="G1990" t="s">
        <v>7801</v>
      </c>
    </row>
    <row r="1991" spans="1:7" ht="44.25" customHeight="1">
      <c r="A1991" t="s">
        <v>7802</v>
      </c>
      <c r="B1991" t="s">
        <v>7803</v>
      </c>
      <c r="C1991" t="s">
        <v>132</v>
      </c>
      <c r="D1991" t="s">
        <v>2143</v>
      </c>
      <c r="E1991" t="s">
        <v>7804</v>
      </c>
      <c r="F1991" t="s">
        <v>145</v>
      </c>
      <c r="G1991" t="s">
        <v>7805</v>
      </c>
    </row>
    <row r="1992" spans="1:7" ht="44.25" customHeight="1">
      <c r="A1992" t="s">
        <v>7806</v>
      </c>
      <c r="B1992" t="s">
        <v>7807</v>
      </c>
      <c r="C1992" t="s">
        <v>132</v>
      </c>
      <c r="D1992" t="s">
        <v>2143</v>
      </c>
      <c r="E1992" t="s">
        <v>1542</v>
      </c>
      <c r="F1992" t="s">
        <v>145</v>
      </c>
      <c r="G1992" t="s">
        <v>7808</v>
      </c>
    </row>
    <row r="1993" spans="1:7" ht="44.25" customHeight="1">
      <c r="A1993" t="s">
        <v>7809</v>
      </c>
      <c r="B1993" t="s">
        <v>7810</v>
      </c>
      <c r="C1993" t="s">
        <v>132</v>
      </c>
      <c r="D1993" t="s">
        <v>2143</v>
      </c>
      <c r="E1993" t="s">
        <v>1542</v>
      </c>
      <c r="F1993" t="s">
        <v>145</v>
      </c>
      <c r="G1993" t="s">
        <v>7811</v>
      </c>
    </row>
    <row r="1994" spans="1:7" ht="44.25" customHeight="1">
      <c r="A1994" t="s">
        <v>7812</v>
      </c>
      <c r="B1994" t="s">
        <v>7813</v>
      </c>
      <c r="C1994" t="s">
        <v>132</v>
      </c>
      <c r="D1994" t="s">
        <v>2143</v>
      </c>
      <c r="E1994" t="s">
        <v>2581</v>
      </c>
      <c r="F1994" t="s">
        <v>145</v>
      </c>
      <c r="G1994" t="s">
        <v>7814</v>
      </c>
    </row>
    <row r="1995" spans="1:7" ht="44.25" customHeight="1">
      <c r="A1995" t="s">
        <v>7815</v>
      </c>
      <c r="B1995" t="s">
        <v>7816</v>
      </c>
      <c r="C1995" t="s">
        <v>132</v>
      </c>
      <c r="D1995" t="s">
        <v>2139</v>
      </c>
      <c r="E1995" t="s">
        <v>1367</v>
      </c>
      <c r="F1995" t="s">
        <v>145</v>
      </c>
      <c r="G1995" t="s">
        <v>7817</v>
      </c>
    </row>
    <row r="1996" spans="1:7" ht="44.25" customHeight="1">
      <c r="A1996" t="s">
        <v>7818</v>
      </c>
      <c r="B1996" t="s">
        <v>7819</v>
      </c>
      <c r="C1996" t="s">
        <v>132</v>
      </c>
      <c r="D1996" t="s">
        <v>2139</v>
      </c>
      <c r="E1996" t="s">
        <v>1367</v>
      </c>
      <c r="F1996" t="s">
        <v>145</v>
      </c>
      <c r="G1996" t="s">
        <v>7820</v>
      </c>
    </row>
    <row r="1997" spans="1:7" ht="44.25" customHeight="1">
      <c r="A1997" t="s">
        <v>745</v>
      </c>
      <c r="B1997" t="s">
        <v>7821</v>
      </c>
      <c r="C1997" t="s">
        <v>132</v>
      </c>
      <c r="D1997" t="s">
        <v>2139</v>
      </c>
      <c r="E1997" t="s">
        <v>1367</v>
      </c>
      <c r="F1997" t="s">
        <v>145</v>
      </c>
      <c r="G1997" t="s">
        <v>7822</v>
      </c>
    </row>
    <row r="1998" spans="1:7" ht="44.25" customHeight="1">
      <c r="A1998" t="s">
        <v>736</v>
      </c>
      <c r="B1998" t="s">
        <v>7823</v>
      </c>
      <c r="C1998" t="s">
        <v>132</v>
      </c>
      <c r="D1998" t="s">
        <v>79</v>
      </c>
      <c r="E1998" t="s">
        <v>7824</v>
      </c>
      <c r="F1998" t="s">
        <v>145</v>
      </c>
      <c r="G1998" t="s">
        <v>7825</v>
      </c>
    </row>
    <row r="1999" spans="1:7" ht="44.25" customHeight="1">
      <c r="A1999" t="s">
        <v>7826</v>
      </c>
      <c r="B1999" t="s">
        <v>7827</v>
      </c>
      <c r="C1999" t="s">
        <v>132</v>
      </c>
      <c r="D1999" t="s">
        <v>79</v>
      </c>
      <c r="E1999" t="s">
        <v>7828</v>
      </c>
      <c r="F1999" t="s">
        <v>145</v>
      </c>
      <c r="G1999" t="s">
        <v>7829</v>
      </c>
    </row>
    <row r="2000" spans="1:7" ht="44.25" customHeight="1">
      <c r="A2000" t="s">
        <v>7830</v>
      </c>
      <c r="B2000" t="s">
        <v>7831</v>
      </c>
      <c r="C2000" t="s">
        <v>132</v>
      </c>
      <c r="D2000" t="s">
        <v>79</v>
      </c>
      <c r="E2000" t="s">
        <v>7832</v>
      </c>
      <c r="F2000" t="s">
        <v>145</v>
      </c>
      <c r="G2000" t="s">
        <v>7833</v>
      </c>
    </row>
    <row r="2001" spans="1:7" ht="44.25" customHeight="1">
      <c r="A2001" t="s">
        <v>7834</v>
      </c>
      <c r="B2001" t="s">
        <v>7835</v>
      </c>
      <c r="C2001" t="s">
        <v>132</v>
      </c>
      <c r="D2001" t="s">
        <v>79</v>
      </c>
      <c r="E2001" t="s">
        <v>7836</v>
      </c>
      <c r="F2001" t="s">
        <v>145</v>
      </c>
      <c r="G2001" t="s">
        <v>7837</v>
      </c>
    </row>
    <row r="2002" spans="1:7" ht="44.25" customHeight="1">
      <c r="A2002" t="s">
        <v>7834</v>
      </c>
      <c r="B2002" t="s">
        <v>7835</v>
      </c>
      <c r="C2002" t="s">
        <v>132</v>
      </c>
      <c r="D2002" t="s">
        <v>79</v>
      </c>
      <c r="E2002" t="s">
        <v>7836</v>
      </c>
      <c r="F2002" t="s">
        <v>145</v>
      </c>
      <c r="G2002" t="s">
        <v>7837</v>
      </c>
    </row>
    <row r="2003" spans="1:7" ht="44.25" customHeight="1">
      <c r="A2003" t="s">
        <v>7838</v>
      </c>
      <c r="B2003" t="s">
        <v>7839</v>
      </c>
      <c r="C2003" t="s">
        <v>132</v>
      </c>
      <c r="D2003" t="s">
        <v>79</v>
      </c>
      <c r="E2003" t="s">
        <v>7840</v>
      </c>
      <c r="F2003" t="s">
        <v>145</v>
      </c>
      <c r="G2003" t="s">
        <v>7841</v>
      </c>
    </row>
    <row r="2004" spans="1:7" ht="44.25" customHeight="1">
      <c r="A2004" t="s">
        <v>7842</v>
      </c>
      <c r="B2004" t="s">
        <v>7843</v>
      </c>
      <c r="C2004" t="s">
        <v>132</v>
      </c>
      <c r="D2004" t="s">
        <v>2143</v>
      </c>
      <c r="E2004" t="s">
        <v>5577</v>
      </c>
      <c r="F2004" t="s">
        <v>145</v>
      </c>
      <c r="G2004" t="s">
        <v>7844</v>
      </c>
    </row>
    <row r="2005" spans="1:7" ht="44.25" customHeight="1">
      <c r="A2005" t="s">
        <v>132</v>
      </c>
      <c r="B2005" t="s">
        <v>7845</v>
      </c>
      <c r="C2005" t="s">
        <v>132</v>
      </c>
      <c r="D2005" t="s">
        <v>2143</v>
      </c>
      <c r="E2005" t="s">
        <v>7846</v>
      </c>
      <c r="F2005" t="s">
        <v>145</v>
      </c>
      <c r="G2005" t="s">
        <v>7847</v>
      </c>
    </row>
    <row r="2006" spans="1:7" ht="44.25" customHeight="1">
      <c r="A2006" t="s">
        <v>445</v>
      </c>
      <c r="B2006" t="s">
        <v>7848</v>
      </c>
      <c r="C2006" t="s">
        <v>7849</v>
      </c>
      <c r="D2006" t="s">
        <v>79</v>
      </c>
      <c r="E2006" t="s">
        <v>1469</v>
      </c>
      <c r="F2006" t="s">
        <v>145</v>
      </c>
      <c r="G2006" t="s">
        <v>7850</v>
      </c>
    </row>
    <row r="2007" spans="1:7" ht="44.25" customHeight="1">
      <c r="A2007" t="s">
        <v>614</v>
      </c>
      <c r="B2007" t="s">
        <v>7851</v>
      </c>
      <c r="C2007" t="s">
        <v>132</v>
      </c>
      <c r="D2007" t="s">
        <v>79</v>
      </c>
      <c r="E2007" t="s">
        <v>7852</v>
      </c>
      <c r="F2007" t="s">
        <v>145</v>
      </c>
      <c r="G2007" t="s">
        <v>7853</v>
      </c>
    </row>
    <row r="2008" spans="1:7" ht="44.25" customHeight="1">
      <c r="A2008" t="s">
        <v>761</v>
      </c>
      <c r="B2008" t="s">
        <v>7854</v>
      </c>
      <c r="C2008" t="s">
        <v>132</v>
      </c>
      <c r="D2008" t="s">
        <v>2139</v>
      </c>
      <c r="E2008" t="s">
        <v>1367</v>
      </c>
      <c r="F2008" t="s">
        <v>145</v>
      </c>
      <c r="G2008" t="s">
        <v>7855</v>
      </c>
    </row>
    <row r="2009" spans="1:7" ht="44.25" customHeight="1">
      <c r="A2009" t="s">
        <v>467</v>
      </c>
      <c r="B2009" t="s">
        <v>7856</v>
      </c>
      <c r="C2009" t="s">
        <v>132</v>
      </c>
      <c r="D2009" t="s">
        <v>2143</v>
      </c>
      <c r="E2009" t="s">
        <v>2144</v>
      </c>
      <c r="F2009" t="s">
        <v>145</v>
      </c>
      <c r="G2009" t="s">
        <v>7857</v>
      </c>
    </row>
    <row r="2010" spans="1:7" ht="44.25" customHeight="1">
      <c r="A2010" t="s">
        <v>7858</v>
      </c>
      <c r="B2010" t="s">
        <v>7859</v>
      </c>
      <c r="C2010" t="s">
        <v>132</v>
      </c>
      <c r="D2010" t="s">
        <v>2143</v>
      </c>
      <c r="E2010" t="s">
        <v>4063</v>
      </c>
      <c r="F2010" t="s">
        <v>145</v>
      </c>
      <c r="G2010" t="s">
        <v>7860</v>
      </c>
    </row>
    <row r="2011" spans="1:7" ht="44.25" customHeight="1">
      <c r="A2011" t="s">
        <v>7861</v>
      </c>
      <c r="B2011" t="s">
        <v>7862</v>
      </c>
      <c r="C2011" t="s">
        <v>132</v>
      </c>
      <c r="D2011" t="s">
        <v>79</v>
      </c>
      <c r="E2011" t="s">
        <v>7863</v>
      </c>
      <c r="F2011" t="s">
        <v>145</v>
      </c>
      <c r="G2011" t="s">
        <v>7864</v>
      </c>
    </row>
    <row r="2012" spans="1:7" ht="44.25" customHeight="1">
      <c r="A2012" t="s">
        <v>7865</v>
      </c>
      <c r="B2012" t="s">
        <v>7866</v>
      </c>
      <c r="C2012" t="s">
        <v>132</v>
      </c>
      <c r="D2012" t="s">
        <v>79</v>
      </c>
      <c r="E2012" t="s">
        <v>7867</v>
      </c>
      <c r="F2012" t="s">
        <v>145</v>
      </c>
      <c r="G2012" t="s">
        <v>7868</v>
      </c>
    </row>
    <row r="2013" spans="1:7" ht="44.25" customHeight="1">
      <c r="A2013" t="s">
        <v>7869</v>
      </c>
      <c r="B2013" t="s">
        <v>7870</v>
      </c>
      <c r="C2013" t="s">
        <v>132</v>
      </c>
      <c r="D2013" t="s">
        <v>79</v>
      </c>
      <c r="E2013" t="s">
        <v>7871</v>
      </c>
      <c r="F2013" t="s">
        <v>145</v>
      </c>
      <c r="G2013" t="s">
        <v>7872</v>
      </c>
    </row>
    <row r="2014" spans="1:7" ht="44.25" customHeight="1">
      <c r="A2014" t="s">
        <v>132</v>
      </c>
      <c r="B2014" t="s">
        <v>7873</v>
      </c>
      <c r="C2014" t="s">
        <v>132</v>
      </c>
      <c r="D2014" t="s">
        <v>2510</v>
      </c>
      <c r="E2014" t="s">
        <v>2511</v>
      </c>
      <c r="F2014" t="s">
        <v>145</v>
      </c>
      <c r="G2014" t="s">
        <v>7874</v>
      </c>
    </row>
    <row r="2015" spans="1:7" ht="44.25" customHeight="1">
      <c r="A2015" t="s">
        <v>132</v>
      </c>
      <c r="B2015" t="s">
        <v>7873</v>
      </c>
      <c r="C2015" t="s">
        <v>132</v>
      </c>
      <c r="D2015" t="s">
        <v>2510</v>
      </c>
      <c r="E2015" t="s">
        <v>2511</v>
      </c>
      <c r="F2015" t="s">
        <v>145</v>
      </c>
      <c r="G2015" t="s">
        <v>7874</v>
      </c>
    </row>
    <row r="2016" spans="1:7" ht="44.25" customHeight="1">
      <c r="A2016" t="s">
        <v>132</v>
      </c>
      <c r="B2016" t="s">
        <v>7875</v>
      </c>
      <c r="C2016" t="s">
        <v>132</v>
      </c>
      <c r="D2016" t="s">
        <v>2143</v>
      </c>
      <c r="E2016" t="s">
        <v>5668</v>
      </c>
      <c r="F2016" t="s">
        <v>145</v>
      </c>
      <c r="G2016" t="s">
        <v>7876</v>
      </c>
    </row>
    <row r="2017" spans="1:7" ht="44.25" customHeight="1">
      <c r="A2017" t="s">
        <v>132</v>
      </c>
      <c r="B2017" t="s">
        <v>7877</v>
      </c>
      <c r="C2017" t="s">
        <v>132</v>
      </c>
      <c r="D2017" t="s">
        <v>2143</v>
      </c>
      <c r="E2017" t="s">
        <v>6691</v>
      </c>
      <c r="F2017" t="s">
        <v>145</v>
      </c>
      <c r="G2017" t="s">
        <v>7878</v>
      </c>
    </row>
    <row r="2018" spans="1:7" ht="44.25" customHeight="1">
      <c r="A2018" t="s">
        <v>1036</v>
      </c>
      <c r="B2018" t="s">
        <v>7879</v>
      </c>
      <c r="C2018" t="s">
        <v>132</v>
      </c>
      <c r="D2018" t="s">
        <v>79</v>
      </c>
      <c r="E2018" t="s">
        <v>3322</v>
      </c>
      <c r="F2018" t="s">
        <v>145</v>
      </c>
      <c r="G2018" t="s">
        <v>7880</v>
      </c>
    </row>
    <row r="2019" spans="1:7" ht="44.25" customHeight="1">
      <c r="A2019" t="s">
        <v>1036</v>
      </c>
      <c r="B2019" t="s">
        <v>7879</v>
      </c>
      <c r="C2019" t="s">
        <v>132</v>
      </c>
      <c r="D2019" t="s">
        <v>79</v>
      </c>
      <c r="E2019" t="s">
        <v>3322</v>
      </c>
      <c r="F2019" t="s">
        <v>145</v>
      </c>
      <c r="G2019" t="s">
        <v>7880</v>
      </c>
    </row>
    <row r="2020" spans="1:7" ht="44.25" customHeight="1">
      <c r="A2020" t="s">
        <v>1036</v>
      </c>
      <c r="B2020" t="s">
        <v>7879</v>
      </c>
      <c r="C2020" t="s">
        <v>132</v>
      </c>
      <c r="D2020" t="s">
        <v>79</v>
      </c>
      <c r="E2020" t="s">
        <v>3322</v>
      </c>
      <c r="F2020" t="s">
        <v>145</v>
      </c>
      <c r="G2020" t="s">
        <v>7880</v>
      </c>
    </row>
    <row r="2021" spans="1:7" ht="44.25" customHeight="1">
      <c r="A2021" t="s">
        <v>7881</v>
      </c>
      <c r="B2021" t="s">
        <v>7882</v>
      </c>
      <c r="C2021" t="s">
        <v>7883</v>
      </c>
      <c r="D2021" t="s">
        <v>79</v>
      </c>
      <c r="E2021" t="s">
        <v>2891</v>
      </c>
      <c r="F2021" t="s">
        <v>145</v>
      </c>
      <c r="G2021" t="s">
        <v>7884</v>
      </c>
    </row>
    <row r="2022" spans="1:7" ht="44.25" customHeight="1">
      <c r="A2022" t="s">
        <v>7885</v>
      </c>
      <c r="B2022" t="s">
        <v>7886</v>
      </c>
      <c r="C2022" t="s">
        <v>132</v>
      </c>
      <c r="D2022" t="s">
        <v>2143</v>
      </c>
      <c r="E2022" t="s">
        <v>2285</v>
      </c>
      <c r="F2022" t="s">
        <v>145</v>
      </c>
      <c r="G2022" t="s">
        <v>7887</v>
      </c>
    </row>
    <row r="2023" spans="1:7" ht="44.25" customHeight="1">
      <c r="A2023" t="s">
        <v>7888</v>
      </c>
      <c r="B2023" t="s">
        <v>7889</v>
      </c>
      <c r="C2023" t="s">
        <v>132</v>
      </c>
      <c r="D2023" t="s">
        <v>2143</v>
      </c>
      <c r="E2023" t="s">
        <v>1542</v>
      </c>
      <c r="F2023" t="s">
        <v>145</v>
      </c>
      <c r="G2023" t="s">
        <v>7890</v>
      </c>
    </row>
    <row r="2024" spans="1:7" ht="44.25" customHeight="1">
      <c r="A2024" t="s">
        <v>7891</v>
      </c>
      <c r="B2024" t="s">
        <v>7892</v>
      </c>
      <c r="C2024" t="s">
        <v>132</v>
      </c>
      <c r="D2024" t="s">
        <v>79</v>
      </c>
      <c r="E2024" t="s">
        <v>3451</v>
      </c>
      <c r="F2024" t="s">
        <v>145</v>
      </c>
      <c r="G2024" t="s">
        <v>7893</v>
      </c>
    </row>
    <row r="2025" spans="1:7" ht="44.25" customHeight="1">
      <c r="A2025" t="s">
        <v>7894</v>
      </c>
      <c r="B2025" t="s">
        <v>7895</v>
      </c>
      <c r="C2025" t="s">
        <v>132</v>
      </c>
      <c r="D2025" t="s">
        <v>79</v>
      </c>
      <c r="E2025" t="s">
        <v>7896</v>
      </c>
      <c r="F2025" t="s">
        <v>145</v>
      </c>
      <c r="G2025" t="s">
        <v>7897</v>
      </c>
    </row>
    <row r="2026" spans="1:7" ht="44.25" customHeight="1">
      <c r="A2026" t="s">
        <v>7898</v>
      </c>
      <c r="B2026" t="s">
        <v>7899</v>
      </c>
      <c r="C2026" t="s">
        <v>132</v>
      </c>
      <c r="D2026" t="s">
        <v>2139</v>
      </c>
      <c r="E2026" t="s">
        <v>1367</v>
      </c>
      <c r="F2026" t="s">
        <v>145</v>
      </c>
      <c r="G2026" t="s">
        <v>7900</v>
      </c>
    </row>
    <row r="2027" spans="1:7" ht="44.25" customHeight="1">
      <c r="A2027" t="s">
        <v>7901</v>
      </c>
      <c r="B2027" t="s">
        <v>7902</v>
      </c>
      <c r="C2027" t="s">
        <v>132</v>
      </c>
      <c r="D2027" t="s">
        <v>79</v>
      </c>
      <c r="E2027" t="s">
        <v>4063</v>
      </c>
      <c r="F2027" t="s">
        <v>145</v>
      </c>
      <c r="G2027" t="s">
        <v>7903</v>
      </c>
    </row>
    <row r="2028" spans="1:7" ht="44.25" customHeight="1">
      <c r="A2028" t="s">
        <v>7904</v>
      </c>
      <c r="B2028" t="s">
        <v>7905</v>
      </c>
      <c r="C2028" t="s">
        <v>132</v>
      </c>
      <c r="D2028" t="s">
        <v>79</v>
      </c>
      <c r="E2028" t="s">
        <v>7906</v>
      </c>
      <c r="F2028" t="s">
        <v>145</v>
      </c>
      <c r="G2028" t="s">
        <v>7907</v>
      </c>
    </row>
    <row r="2029" spans="1:7" ht="44.25" customHeight="1">
      <c r="A2029" t="s">
        <v>7908</v>
      </c>
      <c r="B2029" t="s">
        <v>7909</v>
      </c>
      <c r="C2029" t="s">
        <v>132</v>
      </c>
      <c r="D2029" t="s">
        <v>79</v>
      </c>
      <c r="E2029" t="s">
        <v>7910</v>
      </c>
      <c r="F2029" t="s">
        <v>145</v>
      </c>
      <c r="G2029" t="s">
        <v>7911</v>
      </c>
    </row>
    <row r="2030" spans="1:7" ht="44.25" customHeight="1">
      <c r="A2030" t="s">
        <v>7912</v>
      </c>
      <c r="B2030" t="s">
        <v>7913</v>
      </c>
      <c r="C2030" t="s">
        <v>132</v>
      </c>
      <c r="D2030" t="s">
        <v>79</v>
      </c>
      <c r="E2030" t="s">
        <v>7914</v>
      </c>
      <c r="F2030" t="s">
        <v>145</v>
      </c>
      <c r="G2030" t="s">
        <v>7915</v>
      </c>
    </row>
    <row r="2031" spans="1:7" ht="44.25" customHeight="1">
      <c r="A2031" t="s">
        <v>7912</v>
      </c>
      <c r="B2031" t="s">
        <v>7913</v>
      </c>
      <c r="C2031" t="s">
        <v>132</v>
      </c>
      <c r="D2031" t="s">
        <v>79</v>
      </c>
      <c r="E2031" t="s">
        <v>7914</v>
      </c>
      <c r="F2031" t="s">
        <v>145</v>
      </c>
      <c r="G2031" t="s">
        <v>7915</v>
      </c>
    </row>
    <row r="2032" spans="1:7" ht="44.25" customHeight="1">
      <c r="A2032" t="s">
        <v>7912</v>
      </c>
      <c r="B2032" t="s">
        <v>7913</v>
      </c>
      <c r="C2032" t="s">
        <v>132</v>
      </c>
      <c r="D2032" t="s">
        <v>79</v>
      </c>
      <c r="E2032" t="s">
        <v>7914</v>
      </c>
      <c r="F2032" t="s">
        <v>145</v>
      </c>
      <c r="G2032" t="s">
        <v>7915</v>
      </c>
    </row>
    <row r="2033" spans="1:7" ht="44.25" customHeight="1">
      <c r="A2033" t="s">
        <v>7916</v>
      </c>
      <c r="B2033" t="s">
        <v>7917</v>
      </c>
      <c r="C2033" t="s">
        <v>132</v>
      </c>
      <c r="D2033" t="s">
        <v>79</v>
      </c>
      <c r="E2033" t="s">
        <v>7918</v>
      </c>
      <c r="F2033" t="s">
        <v>145</v>
      </c>
      <c r="G2033" t="s">
        <v>7919</v>
      </c>
    </row>
    <row r="2034" spans="1:7" ht="44.25" customHeight="1">
      <c r="A2034" t="s">
        <v>7920</v>
      </c>
      <c r="B2034" t="s">
        <v>7921</v>
      </c>
      <c r="C2034" t="s">
        <v>132</v>
      </c>
      <c r="D2034" t="s">
        <v>79</v>
      </c>
      <c r="E2034" t="s">
        <v>7922</v>
      </c>
      <c r="F2034" t="s">
        <v>145</v>
      </c>
      <c r="G2034" t="s">
        <v>7923</v>
      </c>
    </row>
    <row r="2035" spans="1:7" ht="44.25" customHeight="1">
      <c r="A2035" t="s">
        <v>132</v>
      </c>
      <c r="B2035" t="s">
        <v>7924</v>
      </c>
      <c r="C2035" t="s">
        <v>132</v>
      </c>
      <c r="D2035" t="s">
        <v>2143</v>
      </c>
      <c r="E2035" t="s">
        <v>5699</v>
      </c>
      <c r="F2035" t="s">
        <v>145</v>
      </c>
      <c r="G2035" t="s">
        <v>7925</v>
      </c>
    </row>
    <row r="2036" spans="1:7" ht="44.25" customHeight="1">
      <c r="A2036" t="s">
        <v>7926</v>
      </c>
      <c r="B2036" t="s">
        <v>7927</v>
      </c>
      <c r="C2036" t="s">
        <v>132</v>
      </c>
      <c r="D2036" t="s">
        <v>2143</v>
      </c>
      <c r="E2036" t="s">
        <v>1542</v>
      </c>
      <c r="F2036" t="s">
        <v>145</v>
      </c>
      <c r="G2036" t="s">
        <v>7928</v>
      </c>
    </row>
    <row r="2037" spans="1:7" ht="44.25" customHeight="1">
      <c r="A2037" t="s">
        <v>7929</v>
      </c>
      <c r="B2037" t="s">
        <v>7930</v>
      </c>
      <c r="C2037" t="s">
        <v>132</v>
      </c>
      <c r="D2037" t="s">
        <v>2143</v>
      </c>
      <c r="E2037" t="s">
        <v>3291</v>
      </c>
      <c r="F2037" t="s">
        <v>145</v>
      </c>
      <c r="G2037" t="s">
        <v>7931</v>
      </c>
    </row>
    <row r="2038" spans="1:7" ht="44.25" customHeight="1">
      <c r="A2038" t="s">
        <v>299</v>
      </c>
      <c r="B2038" t="s">
        <v>7932</v>
      </c>
      <c r="C2038" t="s">
        <v>132</v>
      </c>
      <c r="D2038" t="s">
        <v>79</v>
      </c>
      <c r="E2038" t="s">
        <v>7933</v>
      </c>
      <c r="F2038" t="s">
        <v>145</v>
      </c>
      <c r="G2038" t="s">
        <v>7934</v>
      </c>
    </row>
    <row r="2039" spans="1:7" ht="44.25" customHeight="1">
      <c r="A2039" t="s">
        <v>7935</v>
      </c>
      <c r="B2039" t="s">
        <v>7936</v>
      </c>
      <c r="C2039" t="s">
        <v>132</v>
      </c>
      <c r="D2039" t="s">
        <v>2139</v>
      </c>
      <c r="E2039" t="s">
        <v>1367</v>
      </c>
      <c r="F2039" t="s">
        <v>145</v>
      </c>
      <c r="G2039" t="s">
        <v>7937</v>
      </c>
    </row>
    <row r="2040" spans="1:7" ht="44.25" customHeight="1">
      <c r="A2040" t="s">
        <v>7938</v>
      </c>
      <c r="B2040" t="s">
        <v>7939</v>
      </c>
      <c r="C2040" t="s">
        <v>132</v>
      </c>
      <c r="D2040" t="s">
        <v>2143</v>
      </c>
      <c r="E2040" t="s">
        <v>2144</v>
      </c>
      <c r="F2040" t="s">
        <v>145</v>
      </c>
      <c r="G2040" t="s">
        <v>7940</v>
      </c>
    </row>
    <row r="2041" spans="1:7" ht="44.25" customHeight="1">
      <c r="A2041" t="s">
        <v>7941</v>
      </c>
      <c r="B2041" t="s">
        <v>7942</v>
      </c>
      <c r="C2041" t="s">
        <v>132</v>
      </c>
      <c r="D2041" t="s">
        <v>2143</v>
      </c>
      <c r="E2041" t="s">
        <v>2162</v>
      </c>
      <c r="F2041" t="s">
        <v>145</v>
      </c>
      <c r="G2041" t="s">
        <v>7943</v>
      </c>
    </row>
    <row r="2042" spans="1:7" ht="44.25" customHeight="1">
      <c r="A2042" t="s">
        <v>673</v>
      </c>
      <c r="B2042" t="s">
        <v>7944</v>
      </c>
      <c r="C2042" t="s">
        <v>132</v>
      </c>
      <c r="D2042" t="s">
        <v>2143</v>
      </c>
      <c r="E2042" t="s">
        <v>1519</v>
      </c>
      <c r="F2042" t="s">
        <v>145</v>
      </c>
      <c r="G2042" t="s">
        <v>7945</v>
      </c>
    </row>
    <row r="2043" spans="1:7" ht="44.25" customHeight="1">
      <c r="A2043" t="s">
        <v>132</v>
      </c>
      <c r="B2043" t="s">
        <v>7437</v>
      </c>
      <c r="C2043" t="s">
        <v>132</v>
      </c>
      <c r="D2043" t="s">
        <v>79</v>
      </c>
      <c r="E2043" t="s">
        <v>6463</v>
      </c>
      <c r="F2043" t="s">
        <v>145</v>
      </c>
      <c r="G2043" t="s">
        <v>7946</v>
      </c>
    </row>
    <row r="2044" spans="1:7" ht="44.25" customHeight="1">
      <c r="A2044" t="s">
        <v>7947</v>
      </c>
      <c r="B2044" t="s">
        <v>7948</v>
      </c>
      <c r="C2044" t="s">
        <v>132</v>
      </c>
      <c r="D2044" t="s">
        <v>79</v>
      </c>
      <c r="E2044" t="s">
        <v>7949</v>
      </c>
      <c r="F2044" t="s">
        <v>145</v>
      </c>
      <c r="G2044" t="s">
        <v>7950</v>
      </c>
    </row>
    <row r="2045" spans="1:7" ht="44.25" customHeight="1">
      <c r="A2045" t="s">
        <v>7951</v>
      </c>
      <c r="B2045" t="s">
        <v>7952</v>
      </c>
      <c r="C2045" t="s">
        <v>132</v>
      </c>
      <c r="D2045" t="s">
        <v>79</v>
      </c>
      <c r="E2045" t="s">
        <v>7953</v>
      </c>
      <c r="F2045" t="s">
        <v>145</v>
      </c>
      <c r="G2045" t="s">
        <v>7954</v>
      </c>
    </row>
    <row r="2046" spans="1:7" ht="44.25" customHeight="1">
      <c r="A2046" t="s">
        <v>7955</v>
      </c>
      <c r="B2046" t="s">
        <v>7956</v>
      </c>
      <c r="C2046" t="s">
        <v>132</v>
      </c>
      <c r="D2046" t="s">
        <v>79</v>
      </c>
      <c r="E2046" t="s">
        <v>7957</v>
      </c>
      <c r="F2046" t="s">
        <v>145</v>
      </c>
      <c r="G2046" t="s">
        <v>7958</v>
      </c>
    </row>
    <row r="2047" spans="1:7" ht="44.25" customHeight="1">
      <c r="A2047" t="s">
        <v>7959</v>
      </c>
      <c r="B2047" t="s">
        <v>7960</v>
      </c>
      <c r="C2047" t="s">
        <v>132</v>
      </c>
      <c r="D2047" t="s">
        <v>79</v>
      </c>
      <c r="E2047" t="s">
        <v>7961</v>
      </c>
      <c r="F2047" t="s">
        <v>145</v>
      </c>
      <c r="G2047" t="s">
        <v>7962</v>
      </c>
    </row>
    <row r="2048" spans="1:7" ht="44.25" customHeight="1">
      <c r="A2048" t="s">
        <v>7963</v>
      </c>
      <c r="B2048" t="s">
        <v>7964</v>
      </c>
      <c r="C2048" t="s">
        <v>132</v>
      </c>
      <c r="D2048" t="s">
        <v>79</v>
      </c>
      <c r="E2048" t="s">
        <v>7965</v>
      </c>
      <c r="F2048" t="s">
        <v>145</v>
      </c>
      <c r="G2048" t="s">
        <v>7966</v>
      </c>
    </row>
    <row r="2049" spans="1:7" ht="44.25" customHeight="1">
      <c r="A2049" t="s">
        <v>7967</v>
      </c>
      <c r="B2049" t="s">
        <v>7968</v>
      </c>
      <c r="C2049" t="s">
        <v>132</v>
      </c>
      <c r="D2049" t="s">
        <v>2143</v>
      </c>
      <c r="E2049" t="s">
        <v>6691</v>
      </c>
      <c r="F2049" t="s">
        <v>145</v>
      </c>
      <c r="G2049" t="s">
        <v>7969</v>
      </c>
    </row>
    <row r="2050" spans="1:7" ht="44.25" customHeight="1">
      <c r="A2050" t="s">
        <v>7970</v>
      </c>
      <c r="B2050" t="s">
        <v>7971</v>
      </c>
      <c r="C2050" t="s">
        <v>132</v>
      </c>
      <c r="D2050" t="s">
        <v>2143</v>
      </c>
      <c r="E2050" t="s">
        <v>1542</v>
      </c>
      <c r="F2050" t="s">
        <v>145</v>
      </c>
      <c r="G2050" t="s">
        <v>7972</v>
      </c>
    </row>
    <row r="2051" spans="1:7" ht="44.25" customHeight="1">
      <c r="A2051" t="s">
        <v>7973</v>
      </c>
      <c r="B2051" t="s">
        <v>7974</v>
      </c>
      <c r="C2051" t="s">
        <v>132</v>
      </c>
      <c r="D2051" t="s">
        <v>2143</v>
      </c>
      <c r="E2051" t="s">
        <v>1542</v>
      </c>
      <c r="F2051" t="s">
        <v>145</v>
      </c>
      <c r="G2051" t="s">
        <v>7975</v>
      </c>
    </row>
    <row r="2052" spans="1:7" ht="44.25" customHeight="1">
      <c r="A2052" t="s">
        <v>7976</v>
      </c>
      <c r="B2052" t="s">
        <v>7977</v>
      </c>
      <c r="C2052" t="s">
        <v>132</v>
      </c>
      <c r="D2052" t="s">
        <v>2143</v>
      </c>
      <c r="E2052" t="s">
        <v>1542</v>
      </c>
      <c r="F2052" t="s">
        <v>145</v>
      </c>
      <c r="G2052" t="s">
        <v>7978</v>
      </c>
    </row>
    <row r="2053" spans="1:7" ht="44.25" customHeight="1">
      <c r="A2053" t="s">
        <v>881</v>
      </c>
      <c r="B2053" t="s">
        <v>7979</v>
      </c>
      <c r="C2053" t="s">
        <v>132</v>
      </c>
      <c r="D2053" t="s">
        <v>2143</v>
      </c>
      <c r="E2053" t="s">
        <v>7980</v>
      </c>
      <c r="F2053" t="s">
        <v>145</v>
      </c>
      <c r="G2053" t="s">
        <v>7981</v>
      </c>
    </row>
    <row r="2054" spans="1:7" ht="44.25" customHeight="1">
      <c r="A2054" t="s">
        <v>7982</v>
      </c>
      <c r="B2054" t="s">
        <v>7983</v>
      </c>
      <c r="C2054" t="s">
        <v>132</v>
      </c>
      <c r="D2054" t="s">
        <v>79</v>
      </c>
      <c r="E2054" t="s">
        <v>3368</v>
      </c>
      <c r="F2054" t="s">
        <v>145</v>
      </c>
      <c r="G2054" t="s">
        <v>7984</v>
      </c>
    </row>
    <row r="2055" spans="1:7" ht="44.25" customHeight="1">
      <c r="A2055" t="s">
        <v>7985</v>
      </c>
      <c r="B2055" t="s">
        <v>7986</v>
      </c>
      <c r="C2055" t="s">
        <v>132</v>
      </c>
      <c r="D2055" t="s">
        <v>79</v>
      </c>
      <c r="E2055" t="s">
        <v>3393</v>
      </c>
      <c r="F2055" t="s">
        <v>145</v>
      </c>
      <c r="G2055" t="s">
        <v>7987</v>
      </c>
    </row>
    <row r="2056" spans="1:7" ht="44.25" customHeight="1">
      <c r="A2056" t="s">
        <v>642</v>
      </c>
      <c r="B2056" t="s">
        <v>7988</v>
      </c>
      <c r="C2056" t="s">
        <v>132</v>
      </c>
      <c r="D2056" t="s">
        <v>79</v>
      </c>
      <c r="E2056" t="s">
        <v>7989</v>
      </c>
      <c r="F2056" t="s">
        <v>145</v>
      </c>
      <c r="G2056" t="s">
        <v>7990</v>
      </c>
    </row>
    <row r="2057" spans="1:7" ht="44.25" customHeight="1">
      <c r="A2057" t="s">
        <v>7991</v>
      </c>
      <c r="B2057" t="s">
        <v>7992</v>
      </c>
      <c r="C2057" t="s">
        <v>132</v>
      </c>
      <c r="D2057" t="s">
        <v>2139</v>
      </c>
      <c r="E2057" t="s">
        <v>1367</v>
      </c>
      <c r="F2057" t="s">
        <v>145</v>
      </c>
      <c r="G2057" t="s">
        <v>7993</v>
      </c>
    </row>
    <row r="2058" spans="1:7" ht="44.25" customHeight="1">
      <c r="A2058" t="s">
        <v>7994</v>
      </c>
      <c r="B2058" t="s">
        <v>7995</v>
      </c>
      <c r="C2058" t="s">
        <v>132</v>
      </c>
      <c r="D2058" t="s">
        <v>2143</v>
      </c>
      <c r="E2058" t="s">
        <v>1367</v>
      </c>
      <c r="F2058" t="s">
        <v>145</v>
      </c>
      <c r="G2058" t="s">
        <v>7996</v>
      </c>
    </row>
    <row r="2059" spans="1:7" ht="44.25" customHeight="1">
      <c r="A2059" t="s">
        <v>329</v>
      </c>
      <c r="B2059" t="s">
        <v>7997</v>
      </c>
      <c r="C2059" t="s">
        <v>132</v>
      </c>
      <c r="D2059" t="s">
        <v>2139</v>
      </c>
      <c r="E2059" t="s">
        <v>1367</v>
      </c>
      <c r="F2059" t="s">
        <v>145</v>
      </c>
      <c r="G2059" t="s">
        <v>7998</v>
      </c>
    </row>
    <row r="2060" spans="1:7" ht="44.25" customHeight="1">
      <c r="A2060" t="s">
        <v>7999</v>
      </c>
      <c r="B2060" t="s">
        <v>8000</v>
      </c>
      <c r="C2060" t="s">
        <v>132</v>
      </c>
      <c r="D2060" t="s">
        <v>2143</v>
      </c>
      <c r="E2060" t="s">
        <v>1367</v>
      </c>
      <c r="F2060" t="s">
        <v>145</v>
      </c>
      <c r="G2060" t="s">
        <v>8001</v>
      </c>
    </row>
    <row r="2061" spans="1:7" ht="44.25" customHeight="1">
      <c r="A2061" t="s">
        <v>832</v>
      </c>
      <c r="B2061" t="s">
        <v>8002</v>
      </c>
      <c r="C2061" t="s">
        <v>132</v>
      </c>
      <c r="D2061" t="s">
        <v>79</v>
      </c>
      <c r="E2061" t="s">
        <v>4010</v>
      </c>
      <c r="F2061" t="s">
        <v>145</v>
      </c>
      <c r="G2061" t="s">
        <v>8003</v>
      </c>
    </row>
    <row r="2062" spans="1:7" ht="44.25" customHeight="1">
      <c r="A2062" t="s">
        <v>645</v>
      </c>
      <c r="B2062" t="s">
        <v>8004</v>
      </c>
      <c r="C2062" t="s">
        <v>132</v>
      </c>
      <c r="D2062" t="s">
        <v>2143</v>
      </c>
      <c r="E2062" t="s">
        <v>2200</v>
      </c>
      <c r="F2062" t="s">
        <v>145</v>
      </c>
      <c r="G2062" t="s">
        <v>8005</v>
      </c>
    </row>
    <row r="2063" spans="1:7" ht="44.25" customHeight="1">
      <c r="A2063" t="s">
        <v>8006</v>
      </c>
      <c r="B2063" t="s">
        <v>8007</v>
      </c>
      <c r="C2063" t="s">
        <v>132</v>
      </c>
      <c r="D2063" t="s">
        <v>79</v>
      </c>
      <c r="E2063" t="s">
        <v>8008</v>
      </c>
      <c r="F2063" t="s">
        <v>145</v>
      </c>
      <c r="G2063" t="s">
        <v>8009</v>
      </c>
    </row>
    <row r="2064" spans="1:7" ht="44.25" customHeight="1">
      <c r="A2064" t="s">
        <v>8010</v>
      </c>
      <c r="B2064" t="s">
        <v>8011</v>
      </c>
      <c r="C2064" t="s">
        <v>132</v>
      </c>
      <c r="D2064" t="s">
        <v>79</v>
      </c>
      <c r="E2064" t="s">
        <v>8012</v>
      </c>
      <c r="F2064" t="s">
        <v>145</v>
      </c>
      <c r="G2064" t="s">
        <v>8013</v>
      </c>
    </row>
    <row r="2065" spans="1:7" ht="44.25" customHeight="1">
      <c r="A2065" t="s">
        <v>8014</v>
      </c>
      <c r="B2065" t="s">
        <v>8015</v>
      </c>
      <c r="C2065" t="s">
        <v>132</v>
      </c>
      <c r="D2065" t="s">
        <v>79</v>
      </c>
      <c r="E2065" t="s">
        <v>8016</v>
      </c>
      <c r="F2065" t="s">
        <v>145</v>
      </c>
      <c r="G2065" t="s">
        <v>8017</v>
      </c>
    </row>
    <row r="2066" spans="1:7" ht="44.25" customHeight="1">
      <c r="A2066" t="s">
        <v>389</v>
      </c>
      <c r="B2066" t="s">
        <v>8018</v>
      </c>
      <c r="C2066" t="s">
        <v>132</v>
      </c>
      <c r="D2066" t="s">
        <v>2143</v>
      </c>
      <c r="E2066" t="s">
        <v>1459</v>
      </c>
      <c r="F2066" t="s">
        <v>145</v>
      </c>
      <c r="G2066" t="s">
        <v>8019</v>
      </c>
    </row>
    <row r="2067" spans="1:7" ht="44.25" customHeight="1">
      <c r="A2067" t="s">
        <v>389</v>
      </c>
      <c r="B2067" t="s">
        <v>8018</v>
      </c>
      <c r="C2067" t="s">
        <v>132</v>
      </c>
      <c r="D2067" t="s">
        <v>2143</v>
      </c>
      <c r="E2067" t="s">
        <v>1459</v>
      </c>
      <c r="F2067" t="s">
        <v>145</v>
      </c>
      <c r="G2067" t="s">
        <v>8019</v>
      </c>
    </row>
    <row r="2068" spans="1:7" ht="44.25" customHeight="1">
      <c r="A2068" t="s">
        <v>8020</v>
      </c>
      <c r="B2068" t="s">
        <v>8021</v>
      </c>
      <c r="C2068" t="s">
        <v>132</v>
      </c>
      <c r="D2068" t="s">
        <v>79</v>
      </c>
      <c r="E2068" t="s">
        <v>8022</v>
      </c>
      <c r="F2068" t="s">
        <v>145</v>
      </c>
      <c r="G2068" t="s">
        <v>8023</v>
      </c>
    </row>
    <row r="2069" spans="1:7" ht="44.25" customHeight="1">
      <c r="A2069" t="s">
        <v>8024</v>
      </c>
      <c r="B2069" t="s">
        <v>8025</v>
      </c>
      <c r="C2069" t="s">
        <v>132</v>
      </c>
      <c r="D2069" t="s">
        <v>79</v>
      </c>
      <c r="E2069" t="s">
        <v>8026</v>
      </c>
      <c r="F2069" t="s">
        <v>145</v>
      </c>
      <c r="G2069" t="s">
        <v>8027</v>
      </c>
    </row>
    <row r="2070" spans="1:7" ht="44.25" customHeight="1">
      <c r="A2070" t="s">
        <v>132</v>
      </c>
      <c r="B2070" t="s">
        <v>8028</v>
      </c>
      <c r="C2070" t="s">
        <v>132</v>
      </c>
      <c r="D2070" t="s">
        <v>2143</v>
      </c>
      <c r="E2070" t="s">
        <v>5668</v>
      </c>
      <c r="F2070" t="s">
        <v>145</v>
      </c>
      <c r="G2070" t="s">
        <v>8029</v>
      </c>
    </row>
    <row r="2071" spans="1:7" ht="44.25" customHeight="1">
      <c r="A2071" t="s">
        <v>8030</v>
      </c>
      <c r="B2071" t="s">
        <v>8031</v>
      </c>
      <c r="C2071" t="s">
        <v>8032</v>
      </c>
      <c r="D2071" t="s">
        <v>79</v>
      </c>
      <c r="E2071" t="s">
        <v>8033</v>
      </c>
      <c r="F2071" t="s">
        <v>145</v>
      </c>
      <c r="G2071" t="s">
        <v>8034</v>
      </c>
    </row>
    <row r="2072" spans="1:7" ht="44.25" customHeight="1">
      <c r="A2072" t="s">
        <v>8035</v>
      </c>
      <c r="B2072" t="s">
        <v>8036</v>
      </c>
      <c r="C2072" t="s">
        <v>132</v>
      </c>
      <c r="D2072" t="s">
        <v>2143</v>
      </c>
      <c r="E2072" t="s">
        <v>1542</v>
      </c>
      <c r="F2072" t="s">
        <v>145</v>
      </c>
      <c r="G2072" t="s">
        <v>8037</v>
      </c>
    </row>
    <row r="2073" spans="1:7" ht="44.25" customHeight="1">
      <c r="A2073" t="s">
        <v>132</v>
      </c>
      <c r="B2073" t="s">
        <v>8038</v>
      </c>
      <c r="C2073" t="s">
        <v>132</v>
      </c>
      <c r="D2073" t="s">
        <v>2143</v>
      </c>
      <c r="E2073" t="s">
        <v>2285</v>
      </c>
      <c r="F2073" t="s">
        <v>145</v>
      </c>
      <c r="G2073" t="s">
        <v>8039</v>
      </c>
    </row>
    <row r="2074" spans="1:7" ht="44.25" customHeight="1">
      <c r="A2074" t="s">
        <v>8040</v>
      </c>
      <c r="B2074" t="s">
        <v>8041</v>
      </c>
      <c r="C2074" t="s">
        <v>132</v>
      </c>
      <c r="D2074" t="s">
        <v>2143</v>
      </c>
      <c r="E2074" t="s">
        <v>2285</v>
      </c>
      <c r="F2074" t="s">
        <v>145</v>
      </c>
      <c r="G2074" t="s">
        <v>8042</v>
      </c>
    </row>
    <row r="2075" spans="1:7" ht="44.25" customHeight="1">
      <c r="A2075" t="s">
        <v>8043</v>
      </c>
      <c r="B2075" t="s">
        <v>8044</v>
      </c>
      <c r="C2075" t="s">
        <v>132</v>
      </c>
      <c r="D2075" t="s">
        <v>2139</v>
      </c>
      <c r="E2075" t="s">
        <v>1367</v>
      </c>
      <c r="F2075" t="s">
        <v>145</v>
      </c>
      <c r="G2075" t="s">
        <v>8045</v>
      </c>
    </row>
    <row r="2076" spans="1:7" ht="44.25" customHeight="1">
      <c r="A2076" t="s">
        <v>8046</v>
      </c>
      <c r="B2076" t="s">
        <v>8047</v>
      </c>
      <c r="C2076" t="s">
        <v>132</v>
      </c>
      <c r="D2076" t="s">
        <v>2139</v>
      </c>
      <c r="E2076" t="s">
        <v>1367</v>
      </c>
      <c r="F2076" t="s">
        <v>145</v>
      </c>
      <c r="G2076" t="s">
        <v>8048</v>
      </c>
    </row>
    <row r="2077" spans="1:7" ht="44.25" customHeight="1">
      <c r="A2077" t="s">
        <v>987</v>
      </c>
      <c r="B2077" t="s">
        <v>8049</v>
      </c>
      <c r="C2077" t="s">
        <v>132</v>
      </c>
      <c r="D2077" t="s">
        <v>2143</v>
      </c>
      <c r="E2077" t="s">
        <v>2162</v>
      </c>
      <c r="F2077" t="s">
        <v>145</v>
      </c>
      <c r="G2077" t="s">
        <v>8050</v>
      </c>
    </row>
    <row r="2078" spans="1:7" ht="44.25" customHeight="1">
      <c r="A2078" t="s">
        <v>350</v>
      </c>
      <c r="B2078" t="s">
        <v>8051</v>
      </c>
      <c r="C2078" t="s">
        <v>132</v>
      </c>
      <c r="D2078" t="s">
        <v>2139</v>
      </c>
      <c r="E2078" t="s">
        <v>1367</v>
      </c>
      <c r="F2078" t="s">
        <v>145</v>
      </c>
      <c r="G2078" t="s">
        <v>8052</v>
      </c>
    </row>
    <row r="2079" spans="1:7" ht="44.25" customHeight="1">
      <c r="A2079" t="s">
        <v>683</v>
      </c>
      <c r="B2079" t="s">
        <v>8053</v>
      </c>
      <c r="C2079" t="s">
        <v>132</v>
      </c>
      <c r="D2079" t="s">
        <v>2143</v>
      </c>
      <c r="E2079" t="s">
        <v>1519</v>
      </c>
      <c r="F2079" t="s">
        <v>145</v>
      </c>
      <c r="G2079" t="s">
        <v>8054</v>
      </c>
    </row>
    <row r="2080" spans="1:7" ht="44.25" customHeight="1">
      <c r="A2080" t="s">
        <v>8055</v>
      </c>
      <c r="B2080" t="s">
        <v>8056</v>
      </c>
      <c r="C2080" t="s">
        <v>132</v>
      </c>
      <c r="D2080" t="s">
        <v>79</v>
      </c>
      <c r="E2080" t="s">
        <v>8057</v>
      </c>
      <c r="F2080" t="s">
        <v>145</v>
      </c>
      <c r="G2080" t="s">
        <v>8058</v>
      </c>
    </row>
    <row r="2081" spans="1:7" ht="44.25" customHeight="1">
      <c r="A2081" t="s">
        <v>900</v>
      </c>
      <c r="B2081" t="s">
        <v>8059</v>
      </c>
      <c r="C2081" t="s">
        <v>132</v>
      </c>
      <c r="D2081" t="s">
        <v>2143</v>
      </c>
      <c r="E2081" t="s">
        <v>2162</v>
      </c>
      <c r="F2081" t="s">
        <v>145</v>
      </c>
      <c r="G2081" t="s">
        <v>8060</v>
      </c>
    </row>
    <row r="2082" spans="1:7" ht="44.25" customHeight="1">
      <c r="A2082" t="s">
        <v>8061</v>
      </c>
      <c r="B2082" t="s">
        <v>8062</v>
      </c>
      <c r="C2082" t="s">
        <v>132</v>
      </c>
      <c r="D2082" t="s">
        <v>2143</v>
      </c>
      <c r="E2082" t="s">
        <v>1542</v>
      </c>
      <c r="F2082" t="s">
        <v>145</v>
      </c>
      <c r="G2082" t="s">
        <v>8063</v>
      </c>
    </row>
    <row r="2083" spans="1:7" ht="44.25" customHeight="1">
      <c r="A2083" t="s">
        <v>8064</v>
      </c>
      <c r="B2083" t="s">
        <v>8065</v>
      </c>
      <c r="C2083" t="s">
        <v>132</v>
      </c>
      <c r="D2083" t="s">
        <v>2143</v>
      </c>
      <c r="E2083" t="s">
        <v>1542</v>
      </c>
      <c r="F2083" t="s">
        <v>145</v>
      </c>
      <c r="G2083" t="s">
        <v>8066</v>
      </c>
    </row>
    <row r="2084" spans="1:7" ht="44.25" customHeight="1">
      <c r="A2084" t="s">
        <v>998</v>
      </c>
      <c r="B2084" t="s">
        <v>8067</v>
      </c>
      <c r="C2084" t="s">
        <v>132</v>
      </c>
      <c r="D2084" t="s">
        <v>79</v>
      </c>
      <c r="E2084" t="s">
        <v>3389</v>
      </c>
      <c r="F2084" t="s">
        <v>145</v>
      </c>
      <c r="G2084" t="s">
        <v>8068</v>
      </c>
    </row>
    <row r="2085" spans="1:7" ht="44.25" customHeight="1">
      <c r="A2085" t="s">
        <v>8069</v>
      </c>
      <c r="B2085" t="s">
        <v>8070</v>
      </c>
      <c r="C2085" t="s">
        <v>132</v>
      </c>
      <c r="D2085" t="s">
        <v>2139</v>
      </c>
      <c r="E2085" t="s">
        <v>1367</v>
      </c>
      <c r="F2085" t="s">
        <v>145</v>
      </c>
      <c r="G2085" t="s">
        <v>8071</v>
      </c>
    </row>
    <row r="2086" spans="1:7" ht="44.25" customHeight="1">
      <c r="A2086" t="s">
        <v>935</v>
      </c>
      <c r="B2086" t="s">
        <v>8072</v>
      </c>
      <c r="C2086" t="s">
        <v>132</v>
      </c>
      <c r="D2086" t="s">
        <v>2143</v>
      </c>
      <c r="E2086" t="s">
        <v>2162</v>
      </c>
      <c r="F2086" t="s">
        <v>145</v>
      </c>
      <c r="G2086" t="s">
        <v>8073</v>
      </c>
    </row>
    <row r="2087" spans="1:7" ht="44.25" customHeight="1">
      <c r="A2087" t="s">
        <v>8074</v>
      </c>
      <c r="B2087" t="s">
        <v>8075</v>
      </c>
      <c r="C2087" t="s">
        <v>132</v>
      </c>
      <c r="D2087" t="s">
        <v>79</v>
      </c>
      <c r="E2087" t="s">
        <v>7106</v>
      </c>
      <c r="F2087" t="s">
        <v>145</v>
      </c>
      <c r="G2087" t="s">
        <v>8076</v>
      </c>
    </row>
    <row r="2088" spans="1:7" ht="44.25" customHeight="1">
      <c r="A2088" t="s">
        <v>457</v>
      </c>
      <c r="B2088" t="s">
        <v>8077</v>
      </c>
      <c r="C2088" t="s">
        <v>132</v>
      </c>
      <c r="D2088" t="s">
        <v>79</v>
      </c>
      <c r="E2088" t="s">
        <v>8078</v>
      </c>
      <c r="F2088" t="s">
        <v>145</v>
      </c>
      <c r="G2088" t="s">
        <v>8079</v>
      </c>
    </row>
    <row r="2089" spans="1:7" ht="44.25" customHeight="1">
      <c r="A2089" t="s">
        <v>8080</v>
      </c>
      <c r="B2089" t="s">
        <v>8081</v>
      </c>
      <c r="C2089" t="s">
        <v>132</v>
      </c>
      <c r="D2089" t="s">
        <v>79</v>
      </c>
      <c r="E2089" t="s">
        <v>8082</v>
      </c>
      <c r="F2089" t="s">
        <v>145</v>
      </c>
      <c r="G2089" t="s">
        <v>8083</v>
      </c>
    </row>
    <row r="2090" spans="1:7" ht="44.25" customHeight="1">
      <c r="A2090" t="s">
        <v>8084</v>
      </c>
      <c r="B2090" t="s">
        <v>8085</v>
      </c>
      <c r="C2090" t="s">
        <v>132</v>
      </c>
      <c r="D2090" t="s">
        <v>79</v>
      </c>
      <c r="E2090" t="s">
        <v>8086</v>
      </c>
      <c r="F2090" t="s">
        <v>145</v>
      </c>
      <c r="G2090" t="s">
        <v>8087</v>
      </c>
    </row>
    <row r="2091" spans="1:7" ht="44.25" customHeight="1">
      <c r="A2091" t="s">
        <v>132</v>
      </c>
      <c r="B2091" t="s">
        <v>8088</v>
      </c>
      <c r="C2091" t="s">
        <v>132</v>
      </c>
      <c r="D2091" t="s">
        <v>2143</v>
      </c>
      <c r="E2091" t="s">
        <v>5624</v>
      </c>
      <c r="F2091" t="s">
        <v>145</v>
      </c>
      <c r="G2091" t="s">
        <v>8089</v>
      </c>
    </row>
    <row r="2092" spans="1:7" ht="44.25" customHeight="1">
      <c r="A2092" t="s">
        <v>8090</v>
      </c>
      <c r="B2092" t="s">
        <v>8091</v>
      </c>
      <c r="C2092" t="s">
        <v>132</v>
      </c>
      <c r="D2092" t="s">
        <v>2143</v>
      </c>
      <c r="E2092" t="s">
        <v>5777</v>
      </c>
      <c r="F2092" t="s">
        <v>145</v>
      </c>
      <c r="G2092" t="s">
        <v>8092</v>
      </c>
    </row>
    <row r="2093" spans="1:7" ht="44.25" customHeight="1">
      <c r="A2093" t="s">
        <v>132</v>
      </c>
      <c r="B2093" t="s">
        <v>8093</v>
      </c>
      <c r="C2093" t="s">
        <v>132</v>
      </c>
      <c r="D2093" t="s">
        <v>2143</v>
      </c>
      <c r="E2093" t="s">
        <v>2581</v>
      </c>
      <c r="F2093" t="s">
        <v>145</v>
      </c>
      <c r="G2093" t="s">
        <v>8094</v>
      </c>
    </row>
    <row r="2094" spans="1:7" ht="44.25" customHeight="1">
      <c r="A2094" t="s">
        <v>8095</v>
      </c>
      <c r="B2094" t="s">
        <v>8096</v>
      </c>
      <c r="C2094" t="s">
        <v>132</v>
      </c>
      <c r="D2094" t="s">
        <v>2143</v>
      </c>
      <c r="E2094" t="s">
        <v>1542</v>
      </c>
      <c r="F2094" t="s">
        <v>145</v>
      </c>
      <c r="G2094" t="s">
        <v>8097</v>
      </c>
    </row>
    <row r="2095" spans="1:7" ht="44.25" customHeight="1">
      <c r="A2095" t="s">
        <v>8098</v>
      </c>
      <c r="B2095" t="s">
        <v>8099</v>
      </c>
      <c r="C2095" t="s">
        <v>132</v>
      </c>
      <c r="D2095" t="s">
        <v>2143</v>
      </c>
      <c r="E2095" t="s">
        <v>1542</v>
      </c>
      <c r="F2095" t="s">
        <v>145</v>
      </c>
      <c r="G2095" t="s">
        <v>8100</v>
      </c>
    </row>
    <row r="2096" spans="1:7" ht="44.25" customHeight="1">
      <c r="A2096" t="s">
        <v>1371</v>
      </c>
      <c r="B2096" t="s">
        <v>8101</v>
      </c>
      <c r="C2096" t="s">
        <v>132</v>
      </c>
      <c r="D2096" t="s">
        <v>2143</v>
      </c>
      <c r="E2096" t="s">
        <v>6970</v>
      </c>
      <c r="F2096" t="s">
        <v>145</v>
      </c>
      <c r="G2096" t="s">
        <v>8102</v>
      </c>
    </row>
    <row r="2097" spans="1:7" ht="44.25" customHeight="1">
      <c r="A2097" t="s">
        <v>8103</v>
      </c>
      <c r="B2097" t="s">
        <v>8104</v>
      </c>
      <c r="C2097" t="s">
        <v>132</v>
      </c>
      <c r="D2097" t="s">
        <v>2143</v>
      </c>
      <c r="E2097" t="s">
        <v>2581</v>
      </c>
      <c r="F2097" t="s">
        <v>145</v>
      </c>
      <c r="G2097" t="s">
        <v>8105</v>
      </c>
    </row>
    <row r="2098" spans="1:7" ht="44.25" customHeight="1">
      <c r="A2098" t="s">
        <v>8106</v>
      </c>
      <c r="B2098" t="s">
        <v>8107</v>
      </c>
      <c r="C2098" t="s">
        <v>132</v>
      </c>
      <c r="D2098" t="s">
        <v>2143</v>
      </c>
      <c r="E2098" t="s">
        <v>1542</v>
      </c>
      <c r="F2098" t="s">
        <v>145</v>
      </c>
      <c r="G2098" t="s">
        <v>8108</v>
      </c>
    </row>
    <row r="2099" spans="1:7" ht="44.25" customHeight="1">
      <c r="A2099" t="s">
        <v>1345</v>
      </c>
      <c r="B2099" t="s">
        <v>8109</v>
      </c>
      <c r="C2099" t="s">
        <v>132</v>
      </c>
      <c r="D2099" t="s">
        <v>2143</v>
      </c>
      <c r="E2099" t="s">
        <v>1542</v>
      </c>
      <c r="F2099" t="s">
        <v>145</v>
      </c>
      <c r="G2099" t="s">
        <v>8110</v>
      </c>
    </row>
    <row r="2100" spans="1:7" ht="44.25" customHeight="1">
      <c r="A2100" t="s">
        <v>8111</v>
      </c>
      <c r="B2100" t="s">
        <v>8112</v>
      </c>
      <c r="C2100" t="s">
        <v>132</v>
      </c>
      <c r="D2100" t="s">
        <v>2139</v>
      </c>
      <c r="E2100" t="s">
        <v>1365</v>
      </c>
      <c r="F2100" t="s">
        <v>145</v>
      </c>
      <c r="G2100" t="s">
        <v>8113</v>
      </c>
    </row>
    <row r="2101" spans="1:7" ht="44.25" customHeight="1">
      <c r="A2101" t="s">
        <v>8114</v>
      </c>
      <c r="B2101" t="s">
        <v>8115</v>
      </c>
      <c r="C2101" t="s">
        <v>132</v>
      </c>
      <c r="D2101" t="s">
        <v>2139</v>
      </c>
      <c r="E2101" t="s">
        <v>1367</v>
      </c>
      <c r="F2101" t="s">
        <v>145</v>
      </c>
      <c r="G2101" t="s">
        <v>8116</v>
      </c>
    </row>
    <row r="2102" spans="1:7" ht="44.25" customHeight="1">
      <c r="A2102" t="s">
        <v>8117</v>
      </c>
      <c r="B2102" t="s">
        <v>8118</v>
      </c>
      <c r="C2102" t="s">
        <v>132</v>
      </c>
      <c r="D2102" t="s">
        <v>2139</v>
      </c>
      <c r="E2102" t="s">
        <v>1367</v>
      </c>
      <c r="F2102" t="s">
        <v>145</v>
      </c>
      <c r="G2102" t="s">
        <v>8119</v>
      </c>
    </row>
    <row r="2103" spans="1:7" ht="44.25" customHeight="1">
      <c r="A2103" t="s">
        <v>1286</v>
      </c>
      <c r="B2103" t="s">
        <v>8120</v>
      </c>
      <c r="C2103" t="s">
        <v>132</v>
      </c>
      <c r="D2103" t="s">
        <v>2143</v>
      </c>
      <c r="E2103" t="s">
        <v>2200</v>
      </c>
      <c r="F2103" t="s">
        <v>145</v>
      </c>
      <c r="G2103" t="s">
        <v>8121</v>
      </c>
    </row>
    <row r="2104" spans="1:7" ht="44.25" customHeight="1">
      <c r="A2104" t="s">
        <v>1395</v>
      </c>
      <c r="B2104" t="s">
        <v>8122</v>
      </c>
      <c r="C2104" t="s">
        <v>132</v>
      </c>
      <c r="D2104" t="s">
        <v>2143</v>
      </c>
      <c r="E2104" t="s">
        <v>1365</v>
      </c>
      <c r="F2104" t="s">
        <v>145</v>
      </c>
      <c r="G2104" t="s">
        <v>8123</v>
      </c>
    </row>
    <row r="2105" spans="1:7" ht="44.25" customHeight="1">
      <c r="A2105" t="s">
        <v>1413</v>
      </c>
      <c r="B2105" t="s">
        <v>8124</v>
      </c>
      <c r="C2105" t="s">
        <v>132</v>
      </c>
      <c r="D2105" t="s">
        <v>2143</v>
      </c>
      <c r="E2105" t="s">
        <v>2144</v>
      </c>
      <c r="F2105" t="s">
        <v>145</v>
      </c>
      <c r="G2105" t="s">
        <v>8125</v>
      </c>
    </row>
    <row r="2106" spans="1:7" ht="44.25" customHeight="1">
      <c r="A2106" t="s">
        <v>293</v>
      </c>
      <c r="B2106" t="s">
        <v>8126</v>
      </c>
      <c r="C2106" t="s">
        <v>132</v>
      </c>
      <c r="D2106" t="s">
        <v>2143</v>
      </c>
      <c r="E2106" t="s">
        <v>2162</v>
      </c>
      <c r="F2106" t="s">
        <v>145</v>
      </c>
      <c r="G2106" t="s">
        <v>8127</v>
      </c>
    </row>
    <row r="2107" spans="1:7" ht="44.25" customHeight="1">
      <c r="A2107" t="s">
        <v>543</v>
      </c>
      <c r="B2107" t="s">
        <v>7172</v>
      </c>
      <c r="C2107" t="s">
        <v>132</v>
      </c>
      <c r="D2107" t="s">
        <v>79</v>
      </c>
      <c r="E2107" t="s">
        <v>7173</v>
      </c>
      <c r="F2107" t="s">
        <v>145</v>
      </c>
      <c r="G2107" t="s">
        <v>8128</v>
      </c>
    </row>
    <row r="2108" spans="1:7" ht="44.25" customHeight="1">
      <c r="A2108" t="s">
        <v>513</v>
      </c>
      <c r="B2108" t="s">
        <v>8129</v>
      </c>
      <c r="C2108" t="s">
        <v>132</v>
      </c>
      <c r="D2108" t="s">
        <v>79</v>
      </c>
      <c r="E2108" t="s">
        <v>4223</v>
      </c>
      <c r="F2108" t="s">
        <v>145</v>
      </c>
      <c r="G2108" t="s">
        <v>8130</v>
      </c>
    </row>
    <row r="2109" spans="1:7" ht="44.25" customHeight="1">
      <c r="A2109" t="s">
        <v>1031</v>
      </c>
      <c r="B2109" t="s">
        <v>8131</v>
      </c>
      <c r="C2109" t="s">
        <v>132</v>
      </c>
      <c r="D2109" t="s">
        <v>2143</v>
      </c>
      <c r="E2109" t="s">
        <v>8132</v>
      </c>
      <c r="F2109" t="s">
        <v>145</v>
      </c>
      <c r="G2109" t="s">
        <v>8133</v>
      </c>
    </row>
    <row r="2110" spans="1:7" ht="44.25" customHeight="1">
      <c r="A2110" t="s">
        <v>8134</v>
      </c>
      <c r="B2110" t="s">
        <v>8135</v>
      </c>
      <c r="C2110" t="s">
        <v>132</v>
      </c>
      <c r="D2110" t="s">
        <v>79</v>
      </c>
      <c r="E2110" t="s">
        <v>8136</v>
      </c>
      <c r="F2110" t="s">
        <v>145</v>
      </c>
      <c r="G2110" t="s">
        <v>8137</v>
      </c>
    </row>
    <row r="2111" spans="1:7" ht="44.25" customHeight="1">
      <c r="A2111" t="s">
        <v>8138</v>
      </c>
      <c r="B2111" t="s">
        <v>8139</v>
      </c>
      <c r="C2111" t="s">
        <v>132</v>
      </c>
      <c r="D2111" t="s">
        <v>79</v>
      </c>
      <c r="E2111" t="s">
        <v>8140</v>
      </c>
      <c r="F2111" t="s">
        <v>145</v>
      </c>
      <c r="G2111" t="s">
        <v>8141</v>
      </c>
    </row>
    <row r="2112" spans="1:7" ht="44.25" customHeight="1">
      <c r="A2112" t="s">
        <v>8142</v>
      </c>
      <c r="B2112" t="s">
        <v>8143</v>
      </c>
      <c r="C2112" t="s">
        <v>132</v>
      </c>
      <c r="D2112" t="s">
        <v>79</v>
      </c>
      <c r="E2112" t="s">
        <v>8144</v>
      </c>
      <c r="F2112" t="s">
        <v>145</v>
      </c>
      <c r="G2112" t="s">
        <v>8145</v>
      </c>
    </row>
    <row r="2113" spans="1:7" ht="44.25" customHeight="1">
      <c r="A2113" t="s">
        <v>8146</v>
      </c>
      <c r="B2113" t="s">
        <v>8147</v>
      </c>
      <c r="C2113" t="s">
        <v>132</v>
      </c>
      <c r="D2113" t="s">
        <v>79</v>
      </c>
      <c r="E2113" t="s">
        <v>8148</v>
      </c>
      <c r="F2113" t="s">
        <v>145</v>
      </c>
      <c r="G2113" t="s">
        <v>8149</v>
      </c>
    </row>
    <row r="2114" spans="1:7" ht="44.25" customHeight="1">
      <c r="A2114" t="s">
        <v>8150</v>
      </c>
      <c r="B2114" t="s">
        <v>8151</v>
      </c>
      <c r="C2114" t="s">
        <v>132</v>
      </c>
      <c r="D2114" t="s">
        <v>79</v>
      </c>
      <c r="E2114" t="s">
        <v>8152</v>
      </c>
      <c r="F2114" t="s">
        <v>145</v>
      </c>
      <c r="G2114" t="s">
        <v>8153</v>
      </c>
    </row>
    <row r="2115" spans="1:7" ht="44.25" customHeight="1">
      <c r="A2115" t="s">
        <v>8154</v>
      </c>
      <c r="B2115" t="s">
        <v>8155</v>
      </c>
      <c r="C2115" t="s">
        <v>132</v>
      </c>
      <c r="D2115" t="s">
        <v>2143</v>
      </c>
      <c r="E2115" t="s">
        <v>5570</v>
      </c>
      <c r="F2115" t="s">
        <v>145</v>
      </c>
      <c r="G2115" t="s">
        <v>8156</v>
      </c>
    </row>
    <row r="2116" spans="1:7" ht="44.25" customHeight="1">
      <c r="A2116" t="s">
        <v>132</v>
      </c>
      <c r="B2116" t="s">
        <v>8157</v>
      </c>
      <c r="C2116" t="s">
        <v>132</v>
      </c>
      <c r="D2116" t="s">
        <v>2143</v>
      </c>
      <c r="E2116" t="s">
        <v>5577</v>
      </c>
      <c r="F2116" t="s">
        <v>145</v>
      </c>
      <c r="G2116" t="s">
        <v>8158</v>
      </c>
    </row>
    <row r="2117" spans="1:7" ht="44.25" customHeight="1">
      <c r="A2117" t="s">
        <v>8159</v>
      </c>
      <c r="B2117" t="s">
        <v>8160</v>
      </c>
      <c r="C2117" t="s">
        <v>132</v>
      </c>
      <c r="D2117" t="s">
        <v>2143</v>
      </c>
      <c r="E2117" t="s">
        <v>5624</v>
      </c>
      <c r="F2117" t="s">
        <v>145</v>
      </c>
      <c r="G2117" t="s">
        <v>8161</v>
      </c>
    </row>
    <row r="2118" spans="1:7" ht="44.25" customHeight="1">
      <c r="A2118" t="s">
        <v>8162</v>
      </c>
      <c r="B2118" t="s">
        <v>8163</v>
      </c>
      <c r="C2118" t="s">
        <v>132</v>
      </c>
      <c r="D2118" t="s">
        <v>2143</v>
      </c>
      <c r="E2118" t="s">
        <v>1542</v>
      </c>
      <c r="F2118" t="s">
        <v>145</v>
      </c>
      <c r="G2118" t="s">
        <v>8164</v>
      </c>
    </row>
    <row r="2119" spans="1:7" ht="44.25" customHeight="1">
      <c r="A2119" t="s">
        <v>8165</v>
      </c>
      <c r="B2119" t="s">
        <v>8166</v>
      </c>
      <c r="C2119" t="s">
        <v>132</v>
      </c>
      <c r="D2119" t="s">
        <v>2143</v>
      </c>
      <c r="E2119" t="s">
        <v>1542</v>
      </c>
      <c r="F2119" t="s">
        <v>145</v>
      </c>
      <c r="G2119" t="s">
        <v>8167</v>
      </c>
    </row>
    <row r="2120" spans="1:7" ht="44.25" customHeight="1">
      <c r="A2120" t="s">
        <v>8168</v>
      </c>
      <c r="B2120" t="s">
        <v>8169</v>
      </c>
      <c r="C2120" t="s">
        <v>132</v>
      </c>
      <c r="D2120" t="s">
        <v>2143</v>
      </c>
      <c r="E2120" t="s">
        <v>1542</v>
      </c>
      <c r="F2120" t="s">
        <v>145</v>
      </c>
      <c r="G2120" t="s">
        <v>8170</v>
      </c>
    </row>
    <row r="2121" spans="1:7" ht="44.25" customHeight="1">
      <c r="A2121" t="s">
        <v>8171</v>
      </c>
      <c r="B2121" t="s">
        <v>8172</v>
      </c>
      <c r="C2121" t="s">
        <v>132</v>
      </c>
      <c r="D2121" t="s">
        <v>79</v>
      </c>
      <c r="E2121" t="s">
        <v>3402</v>
      </c>
      <c r="F2121" t="s">
        <v>145</v>
      </c>
      <c r="G2121" t="s">
        <v>8173</v>
      </c>
    </row>
    <row r="2122" spans="1:7" ht="44.25" customHeight="1">
      <c r="A2122" t="s">
        <v>8174</v>
      </c>
      <c r="B2122" t="s">
        <v>8175</v>
      </c>
      <c r="C2122" t="s">
        <v>132</v>
      </c>
      <c r="D2122" t="s">
        <v>2139</v>
      </c>
      <c r="E2122" t="s">
        <v>2144</v>
      </c>
      <c r="F2122" t="s">
        <v>145</v>
      </c>
      <c r="G2122" t="s">
        <v>8176</v>
      </c>
    </row>
    <row r="2123" spans="1:7" ht="44.25" customHeight="1">
      <c r="A2123" t="s">
        <v>8177</v>
      </c>
      <c r="B2123" t="s">
        <v>8178</v>
      </c>
      <c r="C2123" t="s">
        <v>132</v>
      </c>
      <c r="D2123" t="s">
        <v>2139</v>
      </c>
      <c r="E2123" t="s">
        <v>1367</v>
      </c>
      <c r="F2123" t="s">
        <v>145</v>
      </c>
      <c r="G2123" t="s">
        <v>8179</v>
      </c>
    </row>
    <row r="2124" spans="1:7" ht="44.25" customHeight="1">
      <c r="A2124" t="s">
        <v>8180</v>
      </c>
      <c r="B2124" t="s">
        <v>8181</v>
      </c>
      <c r="C2124" t="s">
        <v>132</v>
      </c>
      <c r="D2124" t="s">
        <v>2143</v>
      </c>
      <c r="E2124" t="s">
        <v>2162</v>
      </c>
      <c r="F2124" t="s">
        <v>145</v>
      </c>
      <c r="G2124" t="s">
        <v>8182</v>
      </c>
    </row>
    <row r="2125" spans="1:7" ht="44.25" customHeight="1">
      <c r="A2125" t="s">
        <v>8183</v>
      </c>
      <c r="B2125" t="s">
        <v>8184</v>
      </c>
      <c r="C2125" t="s">
        <v>132</v>
      </c>
      <c r="D2125" t="s">
        <v>2143</v>
      </c>
      <c r="E2125" t="s">
        <v>1365</v>
      </c>
      <c r="F2125" t="s">
        <v>145</v>
      </c>
      <c r="G2125" t="s">
        <v>8185</v>
      </c>
    </row>
    <row r="2126" spans="1:7" ht="44.25" customHeight="1">
      <c r="A2126" t="s">
        <v>1280</v>
      </c>
      <c r="B2126" t="s">
        <v>8186</v>
      </c>
      <c r="C2126" t="s">
        <v>132</v>
      </c>
      <c r="D2126" t="s">
        <v>2139</v>
      </c>
      <c r="E2126" t="s">
        <v>1367</v>
      </c>
      <c r="F2126" t="s">
        <v>145</v>
      </c>
      <c r="G2126" t="s">
        <v>8187</v>
      </c>
    </row>
    <row r="2127" spans="1:7" ht="44.25" customHeight="1">
      <c r="A2127" t="s">
        <v>8188</v>
      </c>
      <c r="B2127" t="s">
        <v>8189</v>
      </c>
      <c r="C2127" t="s">
        <v>132</v>
      </c>
      <c r="D2127" t="s">
        <v>79</v>
      </c>
      <c r="E2127" t="s">
        <v>8190</v>
      </c>
      <c r="F2127" t="s">
        <v>145</v>
      </c>
      <c r="G2127" t="s">
        <v>8191</v>
      </c>
    </row>
    <row r="2128" spans="1:7" ht="44.25" customHeight="1">
      <c r="A2128" t="s">
        <v>8192</v>
      </c>
      <c r="B2128" t="s">
        <v>8193</v>
      </c>
      <c r="C2128" t="s">
        <v>132</v>
      </c>
      <c r="D2128" t="s">
        <v>79</v>
      </c>
      <c r="E2128" t="s">
        <v>8194</v>
      </c>
      <c r="F2128" t="s">
        <v>145</v>
      </c>
      <c r="G2128" t="s">
        <v>8195</v>
      </c>
    </row>
    <row r="2129" spans="1:7" ht="44.25" customHeight="1">
      <c r="A2129" t="s">
        <v>8196</v>
      </c>
      <c r="B2129" t="s">
        <v>8197</v>
      </c>
      <c r="C2129" t="s">
        <v>132</v>
      </c>
      <c r="D2129" t="s">
        <v>79</v>
      </c>
      <c r="E2129" t="s">
        <v>8198</v>
      </c>
      <c r="F2129" t="s">
        <v>145</v>
      </c>
      <c r="G2129" t="s">
        <v>8199</v>
      </c>
    </row>
    <row r="2130" spans="1:7" ht="44.25" customHeight="1">
      <c r="A2130" t="s">
        <v>8200</v>
      </c>
      <c r="B2130" t="s">
        <v>8201</v>
      </c>
      <c r="C2130" t="s">
        <v>132</v>
      </c>
      <c r="D2130" t="s">
        <v>79</v>
      </c>
      <c r="E2130" t="s">
        <v>8202</v>
      </c>
      <c r="F2130" t="s">
        <v>145</v>
      </c>
      <c r="G2130" t="s">
        <v>8203</v>
      </c>
    </row>
    <row r="2131" spans="1:7" ht="44.25" customHeight="1">
      <c r="A2131" t="s">
        <v>132</v>
      </c>
      <c r="B2131" t="s">
        <v>8204</v>
      </c>
      <c r="C2131" t="s">
        <v>132</v>
      </c>
      <c r="D2131" t="s">
        <v>2143</v>
      </c>
      <c r="E2131" t="s">
        <v>6691</v>
      </c>
      <c r="F2131" t="s">
        <v>145</v>
      </c>
      <c r="G2131" t="s">
        <v>8205</v>
      </c>
    </row>
    <row r="2132" spans="1:7" ht="44.25" customHeight="1">
      <c r="A2132" t="s">
        <v>132</v>
      </c>
      <c r="B2132" t="s">
        <v>8206</v>
      </c>
      <c r="C2132" t="s">
        <v>132</v>
      </c>
      <c r="D2132" t="s">
        <v>2143</v>
      </c>
      <c r="E2132" t="s">
        <v>5577</v>
      </c>
      <c r="F2132" t="s">
        <v>145</v>
      </c>
      <c r="G2132" t="s">
        <v>8207</v>
      </c>
    </row>
    <row r="2133" spans="1:7" ht="44.25" customHeight="1">
      <c r="A2133" t="s">
        <v>624</v>
      </c>
      <c r="B2133" t="s">
        <v>8208</v>
      </c>
      <c r="C2133" t="s">
        <v>132</v>
      </c>
      <c r="D2133" t="s">
        <v>79</v>
      </c>
      <c r="E2133" t="s">
        <v>8209</v>
      </c>
      <c r="F2133" t="s">
        <v>145</v>
      </c>
      <c r="G2133" t="s">
        <v>8210</v>
      </c>
    </row>
    <row r="2134" spans="1:7" ht="44.25" customHeight="1">
      <c r="A2134" t="s">
        <v>8211</v>
      </c>
      <c r="B2134" t="s">
        <v>8212</v>
      </c>
      <c r="C2134" t="s">
        <v>132</v>
      </c>
      <c r="D2134" t="s">
        <v>2143</v>
      </c>
      <c r="E2134" t="s">
        <v>1542</v>
      </c>
      <c r="F2134" t="s">
        <v>145</v>
      </c>
      <c r="G2134" t="s">
        <v>8213</v>
      </c>
    </row>
    <row r="2135" spans="1:7" ht="44.25" customHeight="1">
      <c r="A2135" t="s">
        <v>8214</v>
      </c>
      <c r="B2135" t="s">
        <v>8215</v>
      </c>
      <c r="C2135" t="s">
        <v>132</v>
      </c>
      <c r="D2135" t="s">
        <v>2143</v>
      </c>
      <c r="E2135" t="s">
        <v>1542</v>
      </c>
      <c r="F2135" t="s">
        <v>145</v>
      </c>
      <c r="G2135" t="s">
        <v>8216</v>
      </c>
    </row>
    <row r="2136" spans="1:7" ht="44.25" customHeight="1">
      <c r="A2136" t="s">
        <v>8217</v>
      </c>
      <c r="B2136" t="s">
        <v>8218</v>
      </c>
      <c r="C2136" t="s">
        <v>132</v>
      </c>
      <c r="D2136" t="s">
        <v>2143</v>
      </c>
      <c r="E2136" t="s">
        <v>1542</v>
      </c>
      <c r="F2136" t="s">
        <v>145</v>
      </c>
      <c r="G2136" t="s">
        <v>8219</v>
      </c>
    </row>
    <row r="2137" spans="1:7" ht="44.25" customHeight="1">
      <c r="A2137" t="s">
        <v>1322</v>
      </c>
      <c r="B2137" t="s">
        <v>8220</v>
      </c>
      <c r="C2137" t="s">
        <v>132</v>
      </c>
      <c r="D2137" t="s">
        <v>2143</v>
      </c>
      <c r="E2137" t="s">
        <v>1542</v>
      </c>
      <c r="F2137" t="s">
        <v>145</v>
      </c>
      <c r="G2137" t="s">
        <v>8221</v>
      </c>
    </row>
    <row r="2138" spans="1:7" ht="44.25" customHeight="1">
      <c r="A2138" t="s">
        <v>253</v>
      </c>
      <c r="B2138" t="s">
        <v>8222</v>
      </c>
      <c r="C2138" t="s">
        <v>132</v>
      </c>
      <c r="D2138" t="s">
        <v>2143</v>
      </c>
      <c r="E2138" t="s">
        <v>1542</v>
      </c>
      <c r="F2138" t="s">
        <v>145</v>
      </c>
      <c r="G2138" t="s">
        <v>8223</v>
      </c>
    </row>
    <row r="2139" spans="1:7" ht="44.25" customHeight="1">
      <c r="A2139" t="s">
        <v>8224</v>
      </c>
      <c r="B2139" t="s">
        <v>8225</v>
      </c>
      <c r="C2139" t="s">
        <v>8226</v>
      </c>
      <c r="D2139" t="s">
        <v>2143</v>
      </c>
      <c r="E2139" t="s">
        <v>3048</v>
      </c>
      <c r="F2139" t="s">
        <v>145</v>
      </c>
      <c r="G2139" t="s">
        <v>8227</v>
      </c>
    </row>
    <row r="2140" spans="1:7" ht="44.25" customHeight="1">
      <c r="A2140" t="s">
        <v>8228</v>
      </c>
      <c r="B2140" t="s">
        <v>8229</v>
      </c>
      <c r="C2140" t="s">
        <v>132</v>
      </c>
      <c r="D2140" t="s">
        <v>79</v>
      </c>
      <c r="E2140" t="s">
        <v>3378</v>
      </c>
      <c r="F2140" t="s">
        <v>145</v>
      </c>
      <c r="G2140" t="s">
        <v>8230</v>
      </c>
    </row>
    <row r="2141" spans="1:7" ht="44.25" customHeight="1">
      <c r="A2141" t="s">
        <v>8231</v>
      </c>
      <c r="B2141" t="s">
        <v>8232</v>
      </c>
      <c r="C2141" t="s">
        <v>132</v>
      </c>
      <c r="D2141" t="s">
        <v>2139</v>
      </c>
      <c r="E2141" t="s">
        <v>1367</v>
      </c>
      <c r="F2141" t="s">
        <v>145</v>
      </c>
      <c r="G2141" t="s">
        <v>8233</v>
      </c>
    </row>
    <row r="2142" spans="1:7" ht="44.25" customHeight="1">
      <c r="A2142" t="s">
        <v>8234</v>
      </c>
      <c r="B2142" t="s">
        <v>8235</v>
      </c>
      <c r="C2142" t="s">
        <v>132</v>
      </c>
      <c r="D2142" t="s">
        <v>2139</v>
      </c>
      <c r="E2142" t="s">
        <v>1365</v>
      </c>
      <c r="F2142" t="s">
        <v>145</v>
      </c>
      <c r="G2142" t="s">
        <v>8236</v>
      </c>
    </row>
    <row r="2143" spans="1:7" ht="44.25" customHeight="1">
      <c r="A2143" t="s">
        <v>427</v>
      </c>
      <c r="B2143" t="s">
        <v>8237</v>
      </c>
      <c r="C2143" t="s">
        <v>132</v>
      </c>
      <c r="D2143" t="s">
        <v>2143</v>
      </c>
      <c r="E2143" t="s">
        <v>4481</v>
      </c>
      <c r="F2143" t="s">
        <v>145</v>
      </c>
      <c r="G2143" t="s">
        <v>8238</v>
      </c>
    </row>
    <row r="2144" spans="1:7" ht="44.25" customHeight="1">
      <c r="A2144" t="s">
        <v>822</v>
      </c>
      <c r="B2144" t="s">
        <v>8239</v>
      </c>
      <c r="C2144" t="s">
        <v>132</v>
      </c>
      <c r="D2144" t="s">
        <v>2143</v>
      </c>
      <c r="E2144" t="s">
        <v>4010</v>
      </c>
      <c r="F2144" t="s">
        <v>145</v>
      </c>
      <c r="G2144" t="s">
        <v>8240</v>
      </c>
    </row>
    <row r="2145" spans="1:7" ht="44.25" customHeight="1">
      <c r="A2145" t="s">
        <v>8241</v>
      </c>
      <c r="B2145" t="s">
        <v>8242</v>
      </c>
      <c r="C2145" t="s">
        <v>132</v>
      </c>
      <c r="D2145" t="s">
        <v>79</v>
      </c>
      <c r="E2145" t="s">
        <v>8243</v>
      </c>
      <c r="F2145" t="s">
        <v>145</v>
      </c>
      <c r="G2145" t="s">
        <v>8244</v>
      </c>
    </row>
    <row r="2146" spans="1:7" ht="44.25" customHeight="1">
      <c r="A2146" t="s">
        <v>365</v>
      </c>
      <c r="B2146" t="s">
        <v>8245</v>
      </c>
      <c r="C2146" t="s">
        <v>132</v>
      </c>
      <c r="D2146" t="s">
        <v>79</v>
      </c>
      <c r="E2146" t="s">
        <v>1452</v>
      </c>
      <c r="F2146" t="s">
        <v>145</v>
      </c>
      <c r="G2146" t="s">
        <v>8246</v>
      </c>
    </row>
    <row r="2147" spans="1:7" ht="44.25" customHeight="1">
      <c r="A2147" t="s">
        <v>8247</v>
      </c>
      <c r="B2147" t="s">
        <v>8248</v>
      </c>
      <c r="C2147" t="s">
        <v>132</v>
      </c>
      <c r="D2147" t="s">
        <v>79</v>
      </c>
      <c r="E2147" t="s">
        <v>4876</v>
      </c>
      <c r="F2147" t="s">
        <v>145</v>
      </c>
      <c r="G2147" t="s">
        <v>8249</v>
      </c>
    </row>
    <row r="2148" spans="1:7" ht="44.25" customHeight="1">
      <c r="A2148" t="s">
        <v>8250</v>
      </c>
      <c r="B2148" t="s">
        <v>8251</v>
      </c>
      <c r="C2148" t="s">
        <v>132</v>
      </c>
      <c r="D2148" t="s">
        <v>79</v>
      </c>
      <c r="E2148" t="s">
        <v>8252</v>
      </c>
      <c r="F2148" t="s">
        <v>145</v>
      </c>
      <c r="G2148" t="s">
        <v>8253</v>
      </c>
    </row>
    <row r="2149" spans="1:7" ht="44.25" customHeight="1">
      <c r="A2149" t="s">
        <v>8254</v>
      </c>
      <c r="B2149" t="s">
        <v>8255</v>
      </c>
      <c r="C2149" t="s">
        <v>132</v>
      </c>
      <c r="D2149" t="s">
        <v>79</v>
      </c>
      <c r="E2149" t="s">
        <v>8256</v>
      </c>
      <c r="F2149" t="s">
        <v>145</v>
      </c>
      <c r="G2149" t="s">
        <v>8257</v>
      </c>
    </row>
    <row r="2150" spans="1:7" ht="44.25" customHeight="1">
      <c r="A2150" t="s">
        <v>8258</v>
      </c>
      <c r="B2150" t="s">
        <v>8259</v>
      </c>
      <c r="C2150" t="s">
        <v>132</v>
      </c>
      <c r="D2150" t="s">
        <v>2143</v>
      </c>
      <c r="E2150" t="s">
        <v>1542</v>
      </c>
      <c r="F2150" t="s">
        <v>145</v>
      </c>
      <c r="G2150" t="s">
        <v>8260</v>
      </c>
    </row>
    <row r="2151" spans="1:7" ht="44.25" customHeight="1">
      <c r="A2151" t="s">
        <v>8261</v>
      </c>
      <c r="B2151" t="s">
        <v>8262</v>
      </c>
      <c r="C2151" t="s">
        <v>132</v>
      </c>
      <c r="D2151" t="s">
        <v>2143</v>
      </c>
      <c r="E2151" t="s">
        <v>2285</v>
      </c>
      <c r="F2151" t="s">
        <v>145</v>
      </c>
      <c r="G2151" t="s">
        <v>8263</v>
      </c>
    </row>
    <row r="2152" spans="1:7" ht="44.25" customHeight="1">
      <c r="A2152" t="s">
        <v>7733</v>
      </c>
      <c r="B2152" t="s">
        <v>7734</v>
      </c>
      <c r="C2152" t="s">
        <v>132</v>
      </c>
      <c r="D2152" t="s">
        <v>79</v>
      </c>
      <c r="E2152" t="s">
        <v>6209</v>
      </c>
      <c r="F2152" t="s">
        <v>145</v>
      </c>
      <c r="G2152" t="s">
        <v>8264</v>
      </c>
    </row>
    <row r="2153" spans="1:7" ht="44.25" customHeight="1">
      <c r="A2153" t="s">
        <v>8265</v>
      </c>
      <c r="B2153" t="s">
        <v>8266</v>
      </c>
      <c r="C2153" t="s">
        <v>132</v>
      </c>
      <c r="D2153" t="s">
        <v>79</v>
      </c>
      <c r="E2153" t="s">
        <v>3288</v>
      </c>
      <c r="F2153" t="s">
        <v>145</v>
      </c>
      <c r="G2153" t="s">
        <v>8267</v>
      </c>
    </row>
    <row r="2154" spans="1:7" ht="44.25" customHeight="1">
      <c r="A2154" t="s">
        <v>8265</v>
      </c>
      <c r="B2154" t="s">
        <v>8266</v>
      </c>
      <c r="C2154" t="s">
        <v>132</v>
      </c>
      <c r="D2154" t="s">
        <v>79</v>
      </c>
      <c r="E2154" t="s">
        <v>3288</v>
      </c>
      <c r="F2154" t="s">
        <v>145</v>
      </c>
      <c r="G2154" t="s">
        <v>8267</v>
      </c>
    </row>
    <row r="2155" spans="1:7" ht="44.25" customHeight="1">
      <c r="A2155" t="s">
        <v>8268</v>
      </c>
      <c r="B2155" t="s">
        <v>8269</v>
      </c>
      <c r="C2155" t="s">
        <v>132</v>
      </c>
      <c r="D2155" t="s">
        <v>2139</v>
      </c>
      <c r="E2155" t="s">
        <v>1367</v>
      </c>
      <c r="F2155" t="s">
        <v>145</v>
      </c>
      <c r="G2155" t="s">
        <v>8270</v>
      </c>
    </row>
    <row r="2156" spans="1:7" ht="44.25" customHeight="1">
      <c r="A2156" t="s">
        <v>8271</v>
      </c>
      <c r="B2156" t="s">
        <v>8272</v>
      </c>
      <c r="C2156" t="s">
        <v>132</v>
      </c>
      <c r="D2156" t="s">
        <v>2139</v>
      </c>
      <c r="E2156" t="s">
        <v>1365</v>
      </c>
      <c r="F2156" t="s">
        <v>145</v>
      </c>
      <c r="G2156" t="s">
        <v>8273</v>
      </c>
    </row>
    <row r="2157" spans="1:7" ht="44.25" customHeight="1">
      <c r="A2157" t="s">
        <v>8274</v>
      </c>
      <c r="B2157" t="s">
        <v>8275</v>
      </c>
      <c r="C2157" t="s">
        <v>132</v>
      </c>
      <c r="D2157" t="s">
        <v>2139</v>
      </c>
      <c r="E2157" t="s">
        <v>1367</v>
      </c>
      <c r="F2157" t="s">
        <v>145</v>
      </c>
      <c r="G2157" t="s">
        <v>8276</v>
      </c>
    </row>
    <row r="2158" spans="1:7" ht="44.25" customHeight="1">
      <c r="A2158" t="s">
        <v>8277</v>
      </c>
      <c r="B2158" t="s">
        <v>8278</v>
      </c>
      <c r="C2158" t="s">
        <v>132</v>
      </c>
      <c r="D2158" t="s">
        <v>79</v>
      </c>
      <c r="E2158" t="s">
        <v>3815</v>
      </c>
      <c r="F2158" t="s">
        <v>145</v>
      </c>
      <c r="G2158" t="s">
        <v>8279</v>
      </c>
    </row>
    <row r="2159" spans="1:7" ht="44.25" customHeight="1">
      <c r="A2159" t="s">
        <v>8280</v>
      </c>
      <c r="B2159" t="s">
        <v>8281</v>
      </c>
      <c r="C2159" t="s">
        <v>132</v>
      </c>
      <c r="D2159" t="s">
        <v>79</v>
      </c>
      <c r="E2159" t="s">
        <v>2155</v>
      </c>
      <c r="F2159" t="s">
        <v>145</v>
      </c>
      <c r="G2159" t="s">
        <v>8282</v>
      </c>
    </row>
    <row r="2160" spans="1:7" ht="44.25" customHeight="1">
      <c r="A2160" t="s">
        <v>8283</v>
      </c>
      <c r="B2160" t="s">
        <v>8284</v>
      </c>
      <c r="C2160" t="s">
        <v>132</v>
      </c>
      <c r="D2160" t="s">
        <v>2139</v>
      </c>
      <c r="E2160" t="s">
        <v>1367</v>
      </c>
      <c r="F2160" t="s">
        <v>145</v>
      </c>
      <c r="G2160" t="s">
        <v>8285</v>
      </c>
    </row>
    <row r="2161" spans="1:7" ht="44.25" customHeight="1">
      <c r="A2161" t="s">
        <v>8286</v>
      </c>
      <c r="B2161" t="s">
        <v>8287</v>
      </c>
      <c r="C2161" t="s">
        <v>132</v>
      </c>
      <c r="D2161" t="s">
        <v>2143</v>
      </c>
      <c r="E2161" t="s">
        <v>2162</v>
      </c>
      <c r="F2161" t="s">
        <v>145</v>
      </c>
      <c r="G2161" t="s">
        <v>8288</v>
      </c>
    </row>
    <row r="2162" spans="1:7" ht="44.25" customHeight="1">
      <c r="A2162" t="s">
        <v>8289</v>
      </c>
      <c r="B2162" t="s">
        <v>8290</v>
      </c>
      <c r="C2162" t="s">
        <v>132</v>
      </c>
      <c r="D2162" t="s">
        <v>2139</v>
      </c>
      <c r="E2162" t="s">
        <v>1367</v>
      </c>
      <c r="F2162" t="s">
        <v>145</v>
      </c>
      <c r="G2162" t="s">
        <v>8291</v>
      </c>
    </row>
    <row r="2163" spans="1:7" ht="44.25" customHeight="1">
      <c r="A2163" t="s">
        <v>890</v>
      </c>
      <c r="B2163" t="s">
        <v>8292</v>
      </c>
      <c r="C2163" t="s">
        <v>132</v>
      </c>
      <c r="D2163" t="s">
        <v>79</v>
      </c>
      <c r="E2163" t="s">
        <v>4585</v>
      </c>
      <c r="F2163" t="s">
        <v>145</v>
      </c>
      <c r="G2163" t="s">
        <v>8293</v>
      </c>
    </row>
    <row r="2164" spans="1:7" ht="44.25" customHeight="1">
      <c r="A2164" t="s">
        <v>778</v>
      </c>
      <c r="B2164" t="s">
        <v>8294</v>
      </c>
      <c r="C2164" t="s">
        <v>132</v>
      </c>
      <c r="D2164" t="s">
        <v>79</v>
      </c>
      <c r="E2164" t="s">
        <v>1452</v>
      </c>
      <c r="F2164" t="s">
        <v>145</v>
      </c>
      <c r="G2164" t="s">
        <v>8295</v>
      </c>
    </row>
    <row r="2165" spans="1:7" ht="44.25" customHeight="1">
      <c r="A2165" t="s">
        <v>8296</v>
      </c>
      <c r="B2165" t="s">
        <v>8297</v>
      </c>
      <c r="C2165" t="s">
        <v>132</v>
      </c>
      <c r="D2165" t="s">
        <v>79</v>
      </c>
      <c r="E2165" t="s">
        <v>8298</v>
      </c>
      <c r="F2165" t="s">
        <v>145</v>
      </c>
      <c r="G2165" t="s">
        <v>8299</v>
      </c>
    </row>
    <row r="2166" spans="1:7" ht="44.25" customHeight="1">
      <c r="A2166" t="s">
        <v>8300</v>
      </c>
      <c r="B2166" t="s">
        <v>8301</v>
      </c>
      <c r="C2166" t="s">
        <v>132</v>
      </c>
      <c r="D2166" t="s">
        <v>79</v>
      </c>
      <c r="E2166" t="s">
        <v>8302</v>
      </c>
      <c r="F2166" t="s">
        <v>145</v>
      </c>
      <c r="G2166" t="s">
        <v>8303</v>
      </c>
    </row>
    <row r="2167" spans="1:7" ht="44.25" customHeight="1">
      <c r="A2167" t="s">
        <v>8304</v>
      </c>
      <c r="B2167" t="s">
        <v>8305</v>
      </c>
      <c r="C2167" t="s">
        <v>132</v>
      </c>
      <c r="D2167" t="s">
        <v>79</v>
      </c>
      <c r="E2167" t="s">
        <v>8306</v>
      </c>
      <c r="F2167" t="s">
        <v>145</v>
      </c>
      <c r="G2167" t="s">
        <v>8307</v>
      </c>
    </row>
    <row r="2168" spans="1:7" ht="44.25" customHeight="1">
      <c r="A2168" t="s">
        <v>503</v>
      </c>
      <c r="B2168" t="s">
        <v>8308</v>
      </c>
      <c r="C2168" t="s">
        <v>132</v>
      </c>
      <c r="D2168" t="s">
        <v>79</v>
      </c>
      <c r="E2168" t="s">
        <v>1478</v>
      </c>
      <c r="F2168" t="s">
        <v>145</v>
      </c>
      <c r="G2168" t="s">
        <v>8309</v>
      </c>
    </row>
    <row r="2169" spans="1:7" ht="44.25" customHeight="1">
      <c r="A2169" t="s">
        <v>8310</v>
      </c>
      <c r="B2169" t="s">
        <v>8311</v>
      </c>
      <c r="C2169" t="s">
        <v>132</v>
      </c>
      <c r="D2169" t="s">
        <v>2143</v>
      </c>
      <c r="E2169" t="s">
        <v>1542</v>
      </c>
      <c r="F2169" t="s">
        <v>145</v>
      </c>
      <c r="G2169" t="s">
        <v>8312</v>
      </c>
    </row>
    <row r="2170" spans="1:7" ht="44.25" customHeight="1">
      <c r="A2170" t="s">
        <v>8313</v>
      </c>
      <c r="B2170" t="s">
        <v>8314</v>
      </c>
      <c r="C2170" t="s">
        <v>132</v>
      </c>
      <c r="D2170" t="s">
        <v>2143</v>
      </c>
      <c r="E2170" t="s">
        <v>1542</v>
      </c>
      <c r="F2170" t="s">
        <v>145</v>
      </c>
      <c r="G2170" t="s">
        <v>8315</v>
      </c>
    </row>
    <row r="2171" spans="1:7" ht="44.25" customHeight="1">
      <c r="A2171" t="s">
        <v>8316</v>
      </c>
      <c r="B2171" t="s">
        <v>8317</v>
      </c>
      <c r="C2171" t="s">
        <v>132</v>
      </c>
      <c r="D2171" t="s">
        <v>79</v>
      </c>
      <c r="E2171" t="s">
        <v>8033</v>
      </c>
      <c r="F2171" t="s">
        <v>145</v>
      </c>
      <c r="G2171" t="s">
        <v>8318</v>
      </c>
    </row>
    <row r="2172" spans="1:7" ht="44.25" customHeight="1">
      <c r="A2172" t="s">
        <v>8319</v>
      </c>
      <c r="B2172" t="s">
        <v>8320</v>
      </c>
      <c r="C2172" t="s">
        <v>132</v>
      </c>
      <c r="D2172" t="s">
        <v>2143</v>
      </c>
      <c r="E2172" t="s">
        <v>6209</v>
      </c>
      <c r="F2172" t="s">
        <v>145</v>
      </c>
      <c r="G2172" t="s">
        <v>8321</v>
      </c>
    </row>
    <row r="2173" spans="1:7" ht="44.25" customHeight="1">
      <c r="A2173" t="s">
        <v>8322</v>
      </c>
      <c r="B2173" t="s">
        <v>8323</v>
      </c>
      <c r="C2173" t="s">
        <v>132</v>
      </c>
      <c r="D2173" t="s">
        <v>2139</v>
      </c>
      <c r="E2173" t="s">
        <v>1367</v>
      </c>
      <c r="F2173" t="s">
        <v>145</v>
      </c>
      <c r="G2173" t="s">
        <v>8324</v>
      </c>
    </row>
    <row r="2174" spans="1:7" ht="44.25" customHeight="1">
      <c r="A2174" t="s">
        <v>8325</v>
      </c>
      <c r="B2174" t="s">
        <v>8326</v>
      </c>
      <c r="C2174" t="s">
        <v>132</v>
      </c>
      <c r="D2174" t="s">
        <v>2143</v>
      </c>
      <c r="E2174" t="s">
        <v>2162</v>
      </c>
      <c r="F2174" t="s">
        <v>145</v>
      </c>
      <c r="G2174" t="s">
        <v>8327</v>
      </c>
    </row>
    <row r="2175" spans="1:7" ht="44.25" customHeight="1">
      <c r="A2175" t="s">
        <v>1380</v>
      </c>
      <c r="B2175" t="s">
        <v>8328</v>
      </c>
      <c r="C2175" t="s">
        <v>132</v>
      </c>
      <c r="D2175" t="s">
        <v>2143</v>
      </c>
      <c r="E2175" t="s">
        <v>8329</v>
      </c>
      <c r="F2175" t="s">
        <v>145</v>
      </c>
      <c r="G2175" t="s">
        <v>8330</v>
      </c>
    </row>
    <row r="2176" spans="1:7" ht="44.25" customHeight="1">
      <c r="A2176" t="s">
        <v>8331</v>
      </c>
      <c r="B2176" t="s">
        <v>8332</v>
      </c>
      <c r="C2176" t="s">
        <v>132</v>
      </c>
      <c r="D2176" t="s">
        <v>79</v>
      </c>
      <c r="E2176" t="s">
        <v>4442</v>
      </c>
      <c r="F2176" t="s">
        <v>145</v>
      </c>
      <c r="G2176" t="s">
        <v>8333</v>
      </c>
    </row>
    <row r="2177" spans="1:7" ht="44.25" customHeight="1">
      <c r="A2177" t="s">
        <v>8334</v>
      </c>
      <c r="B2177" t="s">
        <v>8335</v>
      </c>
      <c r="C2177" t="s">
        <v>132</v>
      </c>
      <c r="D2177" t="s">
        <v>79</v>
      </c>
      <c r="E2177" t="s">
        <v>8336</v>
      </c>
      <c r="F2177" t="s">
        <v>145</v>
      </c>
      <c r="G2177" t="s">
        <v>8337</v>
      </c>
    </row>
    <row r="2178" spans="1:7" ht="44.25" customHeight="1">
      <c r="A2178" t="s">
        <v>132</v>
      </c>
      <c r="B2178" t="s">
        <v>8338</v>
      </c>
      <c r="C2178" t="s">
        <v>132</v>
      </c>
      <c r="D2178" t="s">
        <v>2143</v>
      </c>
      <c r="E2178" t="s">
        <v>1542</v>
      </c>
      <c r="F2178" t="s">
        <v>145</v>
      </c>
      <c r="G2178" t="s">
        <v>8339</v>
      </c>
    </row>
    <row r="2179" spans="1:7" ht="44.25" customHeight="1">
      <c r="A2179" t="s">
        <v>8340</v>
      </c>
      <c r="B2179" t="s">
        <v>8341</v>
      </c>
      <c r="C2179" t="s">
        <v>132</v>
      </c>
      <c r="D2179" t="s">
        <v>2143</v>
      </c>
      <c r="E2179" t="s">
        <v>2285</v>
      </c>
      <c r="F2179" t="s">
        <v>145</v>
      </c>
      <c r="G2179" t="s">
        <v>8342</v>
      </c>
    </row>
    <row r="2180" spans="1:7" ht="44.25" customHeight="1">
      <c r="A2180" t="s">
        <v>8343</v>
      </c>
      <c r="B2180" t="s">
        <v>8344</v>
      </c>
      <c r="C2180" t="s">
        <v>132</v>
      </c>
      <c r="D2180" t="s">
        <v>2143</v>
      </c>
      <c r="E2180" t="s">
        <v>1542</v>
      </c>
      <c r="F2180" t="s">
        <v>145</v>
      </c>
      <c r="G2180" t="s">
        <v>8345</v>
      </c>
    </row>
    <row r="2181" spans="1:7" ht="44.25" customHeight="1">
      <c r="A2181" t="s">
        <v>252</v>
      </c>
      <c r="B2181" t="s">
        <v>8346</v>
      </c>
      <c r="C2181" t="s">
        <v>8347</v>
      </c>
      <c r="D2181" t="s">
        <v>2143</v>
      </c>
      <c r="E2181" t="s">
        <v>1542</v>
      </c>
      <c r="F2181" t="s">
        <v>145</v>
      </c>
      <c r="G2181" t="s">
        <v>8348</v>
      </c>
    </row>
    <row r="2182" spans="1:7" ht="44.25" customHeight="1">
      <c r="A2182" t="s">
        <v>8349</v>
      </c>
      <c r="B2182" t="s">
        <v>8350</v>
      </c>
      <c r="C2182" t="s">
        <v>132</v>
      </c>
      <c r="D2182" t="s">
        <v>2143</v>
      </c>
      <c r="E2182" t="s">
        <v>1542</v>
      </c>
      <c r="F2182" t="s">
        <v>145</v>
      </c>
      <c r="G2182" t="s">
        <v>8351</v>
      </c>
    </row>
    <row r="2183" spans="1:7" ht="44.25" customHeight="1">
      <c r="A2183" t="s">
        <v>8352</v>
      </c>
      <c r="B2183" t="s">
        <v>8353</v>
      </c>
      <c r="C2183" t="s">
        <v>132</v>
      </c>
      <c r="D2183" t="s">
        <v>2143</v>
      </c>
      <c r="E2183" t="s">
        <v>1542</v>
      </c>
      <c r="F2183" t="s">
        <v>145</v>
      </c>
      <c r="G2183" t="s">
        <v>8354</v>
      </c>
    </row>
    <row r="2184" spans="1:7" ht="44.25" customHeight="1">
      <c r="A2184" t="s">
        <v>8355</v>
      </c>
      <c r="B2184" t="s">
        <v>8356</v>
      </c>
      <c r="C2184" t="s">
        <v>132</v>
      </c>
      <c r="D2184" t="s">
        <v>2143</v>
      </c>
      <c r="E2184" t="s">
        <v>2768</v>
      </c>
      <c r="F2184" t="s">
        <v>145</v>
      </c>
      <c r="G2184" t="s">
        <v>8357</v>
      </c>
    </row>
    <row r="2185" spans="1:7" ht="44.25" customHeight="1">
      <c r="A2185" t="s">
        <v>8358</v>
      </c>
      <c r="B2185" t="s">
        <v>8359</v>
      </c>
      <c r="C2185" t="s">
        <v>132</v>
      </c>
      <c r="D2185" t="s">
        <v>2143</v>
      </c>
      <c r="E2185" t="s">
        <v>1542</v>
      </c>
      <c r="F2185" t="s">
        <v>145</v>
      </c>
      <c r="G2185" t="s">
        <v>8360</v>
      </c>
    </row>
    <row r="2186" spans="1:7" ht="44.25" customHeight="1">
      <c r="A2186" t="s">
        <v>8361</v>
      </c>
      <c r="B2186" t="s">
        <v>8362</v>
      </c>
      <c r="C2186" t="s">
        <v>132</v>
      </c>
      <c r="D2186" t="s">
        <v>79</v>
      </c>
      <c r="E2186" t="s">
        <v>8363</v>
      </c>
      <c r="F2186" t="s">
        <v>145</v>
      </c>
      <c r="G2186" t="s">
        <v>8364</v>
      </c>
    </row>
    <row r="2187" spans="1:7" ht="44.25" customHeight="1">
      <c r="A2187" t="s">
        <v>8365</v>
      </c>
      <c r="B2187" t="s">
        <v>8366</v>
      </c>
      <c r="C2187" t="s">
        <v>132</v>
      </c>
      <c r="D2187" t="s">
        <v>2143</v>
      </c>
      <c r="E2187" t="s">
        <v>2155</v>
      </c>
      <c r="F2187" t="s">
        <v>145</v>
      </c>
      <c r="G2187" t="s">
        <v>8367</v>
      </c>
    </row>
    <row r="2188" spans="1:7" ht="44.25" customHeight="1">
      <c r="A2188" t="s">
        <v>8368</v>
      </c>
      <c r="B2188" t="s">
        <v>8369</v>
      </c>
      <c r="C2188" t="s">
        <v>132</v>
      </c>
      <c r="D2188" t="s">
        <v>2139</v>
      </c>
      <c r="E2188" t="s">
        <v>1367</v>
      </c>
      <c r="F2188" t="s">
        <v>145</v>
      </c>
      <c r="G2188" t="s">
        <v>8370</v>
      </c>
    </row>
    <row r="2189" spans="1:7" ht="44.25" customHeight="1">
      <c r="A2189" t="s">
        <v>796</v>
      </c>
      <c r="B2189" t="s">
        <v>8371</v>
      </c>
      <c r="C2189" t="s">
        <v>132</v>
      </c>
      <c r="D2189" t="s">
        <v>2143</v>
      </c>
      <c r="E2189" t="s">
        <v>8372</v>
      </c>
      <c r="F2189" t="s">
        <v>145</v>
      </c>
      <c r="G2189" t="s">
        <v>8373</v>
      </c>
    </row>
    <row r="2190" spans="1:7" ht="44.25" customHeight="1">
      <c r="A2190" t="s">
        <v>901</v>
      </c>
      <c r="B2190" t="s">
        <v>8374</v>
      </c>
      <c r="C2190" t="s">
        <v>132</v>
      </c>
      <c r="D2190" t="s">
        <v>2143</v>
      </c>
      <c r="E2190" t="s">
        <v>2162</v>
      </c>
      <c r="F2190" t="s">
        <v>145</v>
      </c>
      <c r="G2190" t="s">
        <v>8375</v>
      </c>
    </row>
    <row r="2191" spans="1:7" ht="44.25" customHeight="1">
      <c r="A2191" t="s">
        <v>8376</v>
      </c>
      <c r="B2191" t="s">
        <v>8377</v>
      </c>
      <c r="C2191" t="s">
        <v>132</v>
      </c>
      <c r="D2191" t="s">
        <v>79</v>
      </c>
      <c r="E2191" t="s">
        <v>8378</v>
      </c>
      <c r="F2191" t="s">
        <v>145</v>
      </c>
      <c r="G2191" t="s">
        <v>8379</v>
      </c>
    </row>
    <row r="2192" spans="1:7" ht="44.25" customHeight="1">
      <c r="A2192" t="s">
        <v>8380</v>
      </c>
      <c r="B2192" t="s">
        <v>8381</v>
      </c>
      <c r="C2192" t="s">
        <v>132</v>
      </c>
      <c r="D2192" t="s">
        <v>79</v>
      </c>
      <c r="E2192" t="s">
        <v>8382</v>
      </c>
      <c r="F2192" t="s">
        <v>145</v>
      </c>
      <c r="G2192" t="s">
        <v>8383</v>
      </c>
    </row>
    <row r="2193" spans="1:7" ht="44.25" customHeight="1">
      <c r="A2193" t="s">
        <v>8384</v>
      </c>
      <c r="B2193" t="s">
        <v>8385</v>
      </c>
      <c r="C2193" t="s">
        <v>132</v>
      </c>
      <c r="D2193" t="s">
        <v>79</v>
      </c>
      <c r="E2193" t="s">
        <v>8386</v>
      </c>
      <c r="F2193" t="s">
        <v>145</v>
      </c>
      <c r="G2193" t="s">
        <v>8387</v>
      </c>
    </row>
    <row r="2194" spans="1:7" ht="44.25" customHeight="1">
      <c r="A2194" t="s">
        <v>8388</v>
      </c>
      <c r="B2194" t="s">
        <v>8389</v>
      </c>
      <c r="C2194" t="s">
        <v>132</v>
      </c>
      <c r="D2194" t="s">
        <v>79</v>
      </c>
      <c r="E2194" t="s">
        <v>8390</v>
      </c>
      <c r="F2194" t="s">
        <v>145</v>
      </c>
      <c r="G2194" t="s">
        <v>8391</v>
      </c>
    </row>
    <row r="2195" spans="1:7" ht="44.25" customHeight="1">
      <c r="A2195" t="s">
        <v>8392</v>
      </c>
      <c r="B2195" t="s">
        <v>8393</v>
      </c>
      <c r="C2195" t="s">
        <v>132</v>
      </c>
      <c r="D2195" t="s">
        <v>2143</v>
      </c>
      <c r="E2195" t="s">
        <v>2581</v>
      </c>
      <c r="F2195" t="s">
        <v>145</v>
      </c>
      <c r="G2195" t="s">
        <v>8394</v>
      </c>
    </row>
    <row r="2196" spans="1:7" ht="44.25" customHeight="1">
      <c r="A2196" t="s">
        <v>8395</v>
      </c>
      <c r="B2196" t="s">
        <v>8396</v>
      </c>
      <c r="C2196" t="s">
        <v>132</v>
      </c>
      <c r="D2196" t="s">
        <v>2143</v>
      </c>
      <c r="E2196" t="s">
        <v>1542</v>
      </c>
      <c r="F2196" t="s">
        <v>145</v>
      </c>
      <c r="G2196" t="s">
        <v>8397</v>
      </c>
    </row>
    <row r="2197" spans="1:7" ht="44.25" customHeight="1">
      <c r="A2197" t="s">
        <v>8398</v>
      </c>
      <c r="B2197" t="s">
        <v>8399</v>
      </c>
      <c r="C2197" t="s">
        <v>8400</v>
      </c>
      <c r="D2197" t="s">
        <v>2143</v>
      </c>
      <c r="E2197" t="s">
        <v>2571</v>
      </c>
      <c r="F2197" t="s">
        <v>145</v>
      </c>
      <c r="G2197" t="s">
        <v>8401</v>
      </c>
    </row>
    <row r="2198" spans="1:7" ht="44.25" customHeight="1">
      <c r="A2198" t="s">
        <v>232</v>
      </c>
      <c r="B2198" t="s">
        <v>8402</v>
      </c>
      <c r="C2198" t="s">
        <v>132</v>
      </c>
      <c r="D2198" t="s">
        <v>2143</v>
      </c>
      <c r="E2198" t="s">
        <v>1542</v>
      </c>
      <c r="F2198" t="s">
        <v>145</v>
      </c>
      <c r="G2198" t="s">
        <v>8403</v>
      </c>
    </row>
    <row r="2199" spans="1:7" ht="44.25" customHeight="1">
      <c r="A2199" t="s">
        <v>8404</v>
      </c>
      <c r="B2199" t="s">
        <v>8405</v>
      </c>
      <c r="C2199" t="s">
        <v>132</v>
      </c>
      <c r="D2199" t="s">
        <v>2143</v>
      </c>
      <c r="E2199" t="s">
        <v>2162</v>
      </c>
      <c r="F2199" t="s">
        <v>145</v>
      </c>
      <c r="G2199" t="s">
        <v>8406</v>
      </c>
    </row>
    <row r="2200" spans="1:7" ht="44.25" customHeight="1">
      <c r="A2200" t="s">
        <v>8407</v>
      </c>
      <c r="B2200" t="s">
        <v>8408</v>
      </c>
      <c r="C2200" t="s">
        <v>132</v>
      </c>
      <c r="D2200" t="s">
        <v>2143</v>
      </c>
      <c r="E2200" t="s">
        <v>2162</v>
      </c>
      <c r="F2200" t="s">
        <v>145</v>
      </c>
      <c r="G2200" t="s">
        <v>8409</v>
      </c>
    </row>
    <row r="2201" spans="1:7" ht="44.25" customHeight="1">
      <c r="A2201" t="s">
        <v>8410</v>
      </c>
      <c r="B2201" t="s">
        <v>8411</v>
      </c>
      <c r="C2201" t="s">
        <v>132</v>
      </c>
      <c r="D2201" t="s">
        <v>2143</v>
      </c>
      <c r="E2201" t="s">
        <v>2162</v>
      </c>
      <c r="F2201" t="s">
        <v>145</v>
      </c>
      <c r="G2201" t="s">
        <v>8412</v>
      </c>
    </row>
    <row r="2202" spans="1:7" ht="44.25" customHeight="1">
      <c r="A2202" t="s">
        <v>8413</v>
      </c>
      <c r="B2202" t="s">
        <v>8414</v>
      </c>
      <c r="C2202" t="s">
        <v>132</v>
      </c>
      <c r="D2202" t="s">
        <v>2143</v>
      </c>
      <c r="E2202" t="s">
        <v>2162</v>
      </c>
      <c r="F2202" t="s">
        <v>145</v>
      </c>
      <c r="G2202" t="s">
        <v>8415</v>
      </c>
    </row>
    <row r="2203" spans="1:7" ht="44.25" customHeight="1">
      <c r="A2203" t="s">
        <v>1273</v>
      </c>
      <c r="B2203" t="s">
        <v>8416</v>
      </c>
      <c r="C2203" t="s">
        <v>132</v>
      </c>
      <c r="D2203" t="s">
        <v>2139</v>
      </c>
      <c r="E2203" t="s">
        <v>1367</v>
      </c>
      <c r="F2203" t="s">
        <v>145</v>
      </c>
      <c r="G2203" t="s">
        <v>8417</v>
      </c>
    </row>
    <row r="2204" spans="1:7" ht="44.25" customHeight="1">
      <c r="A2204" t="s">
        <v>1279</v>
      </c>
      <c r="B2204" t="s">
        <v>8418</v>
      </c>
      <c r="C2204" t="s">
        <v>132</v>
      </c>
      <c r="D2204" t="s">
        <v>2139</v>
      </c>
      <c r="E2204" t="s">
        <v>1367</v>
      </c>
      <c r="F2204" t="s">
        <v>145</v>
      </c>
      <c r="G2204" t="s">
        <v>8419</v>
      </c>
    </row>
    <row r="2205" spans="1:7" ht="44.25" customHeight="1">
      <c r="A2205" t="s">
        <v>725</v>
      </c>
      <c r="B2205" t="s">
        <v>8420</v>
      </c>
      <c r="C2205" t="s">
        <v>132</v>
      </c>
      <c r="D2205" t="s">
        <v>2143</v>
      </c>
      <c r="E2205" t="s">
        <v>4397</v>
      </c>
      <c r="F2205" t="s">
        <v>145</v>
      </c>
      <c r="G2205" t="s">
        <v>8421</v>
      </c>
    </row>
    <row r="2206" spans="1:7" ht="44.25" customHeight="1">
      <c r="A2206" t="s">
        <v>481</v>
      </c>
      <c r="B2206" t="s">
        <v>8422</v>
      </c>
      <c r="C2206" t="s">
        <v>132</v>
      </c>
      <c r="D2206" t="s">
        <v>2143</v>
      </c>
      <c r="E2206" t="s">
        <v>2144</v>
      </c>
      <c r="F2206" t="s">
        <v>145</v>
      </c>
      <c r="G2206" t="s">
        <v>8423</v>
      </c>
    </row>
    <row r="2207" spans="1:7" ht="44.25" customHeight="1">
      <c r="A2207" t="s">
        <v>737</v>
      </c>
      <c r="B2207" t="s">
        <v>8424</v>
      </c>
      <c r="C2207" t="s">
        <v>132</v>
      </c>
      <c r="D2207" t="s">
        <v>2143</v>
      </c>
      <c r="E2207" t="s">
        <v>8425</v>
      </c>
      <c r="F2207" t="s">
        <v>145</v>
      </c>
      <c r="G2207" t="s">
        <v>8426</v>
      </c>
    </row>
    <row r="2208" spans="1:7" ht="44.25" customHeight="1">
      <c r="A2208" t="s">
        <v>505</v>
      </c>
      <c r="B2208" t="s">
        <v>8427</v>
      </c>
      <c r="C2208" t="s">
        <v>132</v>
      </c>
      <c r="D2208" t="s">
        <v>2143</v>
      </c>
      <c r="E2208" t="s">
        <v>6466</v>
      </c>
      <c r="F2208" t="s">
        <v>145</v>
      </c>
      <c r="G2208" t="s">
        <v>8428</v>
      </c>
    </row>
    <row r="2209" spans="1:7" ht="44.25" customHeight="1">
      <c r="A2209" t="s">
        <v>132</v>
      </c>
      <c r="B2209" t="s">
        <v>8429</v>
      </c>
      <c r="C2209" t="s">
        <v>132</v>
      </c>
      <c r="D2209" t="s">
        <v>79</v>
      </c>
      <c r="E2209" t="s">
        <v>1479</v>
      </c>
      <c r="F2209" t="s">
        <v>145</v>
      </c>
      <c r="G2209" t="s">
        <v>8430</v>
      </c>
    </row>
    <row r="2210" spans="1:7" ht="44.25" customHeight="1">
      <c r="A2210" t="s">
        <v>132</v>
      </c>
      <c r="B2210" t="s">
        <v>8431</v>
      </c>
      <c r="C2210" t="s">
        <v>132</v>
      </c>
      <c r="D2210" t="s">
        <v>79</v>
      </c>
      <c r="E2210" t="s">
        <v>8432</v>
      </c>
      <c r="F2210" t="s">
        <v>145</v>
      </c>
      <c r="G2210" t="s">
        <v>8433</v>
      </c>
    </row>
    <row r="2211" spans="1:7" ht="44.25" customHeight="1">
      <c r="A2211" t="s">
        <v>8434</v>
      </c>
      <c r="B2211" t="s">
        <v>8435</v>
      </c>
      <c r="C2211" t="s">
        <v>132</v>
      </c>
      <c r="D2211" t="s">
        <v>79</v>
      </c>
      <c r="E2211" t="s">
        <v>8436</v>
      </c>
      <c r="F2211" t="s">
        <v>145</v>
      </c>
      <c r="G2211" t="s">
        <v>8437</v>
      </c>
    </row>
    <row r="2212" spans="1:7" ht="44.25" customHeight="1">
      <c r="A2212" t="s">
        <v>8438</v>
      </c>
      <c r="B2212" t="s">
        <v>8439</v>
      </c>
      <c r="C2212" t="s">
        <v>132</v>
      </c>
      <c r="D2212" t="s">
        <v>79</v>
      </c>
      <c r="E2212" t="s">
        <v>8440</v>
      </c>
      <c r="F2212" t="s">
        <v>145</v>
      </c>
      <c r="G2212" t="s">
        <v>8441</v>
      </c>
    </row>
    <row r="2213" spans="1:7" ht="44.25" customHeight="1">
      <c r="A2213" t="s">
        <v>8442</v>
      </c>
      <c r="B2213" t="s">
        <v>8443</v>
      </c>
      <c r="C2213" t="s">
        <v>132</v>
      </c>
      <c r="D2213" t="s">
        <v>2284</v>
      </c>
      <c r="E2213" t="s">
        <v>1459</v>
      </c>
      <c r="F2213" t="s">
        <v>145</v>
      </c>
      <c r="G2213" t="s">
        <v>8444</v>
      </c>
    </row>
    <row r="2214" spans="1:7" ht="44.25" customHeight="1">
      <c r="A2214" t="s">
        <v>8442</v>
      </c>
      <c r="B2214" t="s">
        <v>8443</v>
      </c>
      <c r="C2214" t="s">
        <v>132</v>
      </c>
      <c r="D2214" t="s">
        <v>2284</v>
      </c>
      <c r="E2214" t="s">
        <v>1459</v>
      </c>
      <c r="F2214" t="s">
        <v>145</v>
      </c>
      <c r="G2214" t="s">
        <v>8444</v>
      </c>
    </row>
    <row r="2215" spans="1:7" ht="44.25" customHeight="1">
      <c r="A2215" t="s">
        <v>8445</v>
      </c>
      <c r="B2215" t="s">
        <v>8446</v>
      </c>
      <c r="C2215" t="s">
        <v>132</v>
      </c>
      <c r="D2215" t="s">
        <v>79</v>
      </c>
      <c r="E2215" t="s">
        <v>8447</v>
      </c>
      <c r="F2215" t="s">
        <v>145</v>
      </c>
      <c r="G2215" t="s">
        <v>8448</v>
      </c>
    </row>
    <row r="2216" spans="1:7" ht="44.25" customHeight="1">
      <c r="A2216" t="s">
        <v>8449</v>
      </c>
      <c r="B2216" t="s">
        <v>8450</v>
      </c>
      <c r="C2216" t="s">
        <v>132</v>
      </c>
      <c r="D2216" t="s">
        <v>79</v>
      </c>
      <c r="E2216" t="s">
        <v>8451</v>
      </c>
      <c r="F2216" t="s">
        <v>145</v>
      </c>
      <c r="G2216" t="s">
        <v>8452</v>
      </c>
    </row>
    <row r="2217" spans="1:7" ht="44.25" customHeight="1">
      <c r="A2217" t="s">
        <v>8453</v>
      </c>
      <c r="B2217" t="s">
        <v>8454</v>
      </c>
      <c r="C2217" t="s">
        <v>132</v>
      </c>
      <c r="D2217" t="s">
        <v>79</v>
      </c>
      <c r="E2217" t="s">
        <v>8455</v>
      </c>
      <c r="F2217" t="s">
        <v>145</v>
      </c>
      <c r="G2217" t="s">
        <v>8456</v>
      </c>
    </row>
    <row r="2218" spans="1:7" ht="44.25" customHeight="1">
      <c r="A2218" t="s">
        <v>8457</v>
      </c>
      <c r="B2218" t="s">
        <v>8458</v>
      </c>
      <c r="C2218" t="s">
        <v>132</v>
      </c>
      <c r="D2218" t="s">
        <v>2143</v>
      </c>
      <c r="E2218" t="s">
        <v>5570</v>
      </c>
      <c r="F2218" t="s">
        <v>145</v>
      </c>
      <c r="G2218" t="s">
        <v>8459</v>
      </c>
    </row>
    <row r="2219" spans="1:7" ht="44.25" customHeight="1">
      <c r="A2219" t="s">
        <v>443</v>
      </c>
      <c r="B2219" t="s">
        <v>8460</v>
      </c>
      <c r="C2219" t="s">
        <v>132</v>
      </c>
      <c r="D2219" t="s">
        <v>2143</v>
      </c>
      <c r="E2219" t="s">
        <v>1453</v>
      </c>
      <c r="F2219" t="s">
        <v>145</v>
      </c>
      <c r="G2219" t="s">
        <v>8461</v>
      </c>
    </row>
    <row r="2220" spans="1:7" ht="44.25" customHeight="1">
      <c r="A2220" t="s">
        <v>8462</v>
      </c>
      <c r="B2220" t="s">
        <v>8463</v>
      </c>
      <c r="C2220" t="s">
        <v>132</v>
      </c>
      <c r="D2220" t="s">
        <v>79</v>
      </c>
      <c r="E2220" t="s">
        <v>8464</v>
      </c>
      <c r="F2220" t="s">
        <v>145</v>
      </c>
      <c r="G2220" t="s">
        <v>8465</v>
      </c>
    </row>
    <row r="2221" spans="1:7" ht="44.25" customHeight="1">
      <c r="A2221" t="s">
        <v>8466</v>
      </c>
      <c r="B2221" t="s">
        <v>8467</v>
      </c>
      <c r="C2221" t="s">
        <v>132</v>
      </c>
      <c r="D2221" t="s">
        <v>79</v>
      </c>
      <c r="E2221" t="s">
        <v>8468</v>
      </c>
      <c r="F2221" t="s">
        <v>145</v>
      </c>
      <c r="G2221" t="s">
        <v>8469</v>
      </c>
    </row>
    <row r="2222" spans="1:7" ht="44.25" customHeight="1">
      <c r="A2222" t="s">
        <v>8470</v>
      </c>
      <c r="B2222" t="s">
        <v>8471</v>
      </c>
      <c r="C2222" t="s">
        <v>132</v>
      </c>
      <c r="D2222" t="s">
        <v>79</v>
      </c>
      <c r="E2222" t="s">
        <v>8472</v>
      </c>
      <c r="F2222" t="s">
        <v>145</v>
      </c>
      <c r="G2222" t="s">
        <v>8473</v>
      </c>
    </row>
    <row r="2223" spans="1:7" ht="44.25" customHeight="1">
      <c r="A2223" t="s">
        <v>8474</v>
      </c>
      <c r="B2223" t="s">
        <v>8475</v>
      </c>
      <c r="C2223" t="s">
        <v>132</v>
      </c>
      <c r="D2223" t="s">
        <v>79</v>
      </c>
      <c r="E2223" t="s">
        <v>8476</v>
      </c>
      <c r="F2223" t="s">
        <v>145</v>
      </c>
      <c r="G2223" t="s">
        <v>8477</v>
      </c>
    </row>
    <row r="2224" spans="1:7" ht="44.25" customHeight="1">
      <c r="A2224" t="s">
        <v>8478</v>
      </c>
      <c r="B2224" t="s">
        <v>8479</v>
      </c>
      <c r="C2224" t="s">
        <v>132</v>
      </c>
      <c r="D2224" t="s">
        <v>79</v>
      </c>
      <c r="E2224" t="s">
        <v>8480</v>
      </c>
      <c r="F2224" t="s">
        <v>145</v>
      </c>
      <c r="G2224" t="s">
        <v>8481</v>
      </c>
    </row>
    <row r="2225" spans="1:7" ht="44.25" customHeight="1">
      <c r="A2225" t="s">
        <v>8482</v>
      </c>
      <c r="B2225" t="s">
        <v>8483</v>
      </c>
      <c r="C2225" t="s">
        <v>132</v>
      </c>
      <c r="D2225" t="s">
        <v>2143</v>
      </c>
      <c r="E2225" t="s">
        <v>5577</v>
      </c>
      <c r="F2225" t="s">
        <v>145</v>
      </c>
      <c r="G2225" t="s">
        <v>8484</v>
      </c>
    </row>
    <row r="2226" spans="1:7" ht="44.25" customHeight="1">
      <c r="A2226" t="s">
        <v>8485</v>
      </c>
      <c r="B2226" t="s">
        <v>8486</v>
      </c>
      <c r="C2226" t="s">
        <v>132</v>
      </c>
      <c r="D2226" t="s">
        <v>2143</v>
      </c>
      <c r="E2226" t="s">
        <v>5570</v>
      </c>
      <c r="F2226" t="s">
        <v>145</v>
      </c>
      <c r="G2226" t="s">
        <v>8487</v>
      </c>
    </row>
    <row r="2227" spans="1:7" ht="44.25" customHeight="1">
      <c r="A2227" t="s">
        <v>363</v>
      </c>
      <c r="B2227" t="s">
        <v>8488</v>
      </c>
      <c r="C2227" t="s">
        <v>132</v>
      </c>
      <c r="D2227" t="s">
        <v>79</v>
      </c>
      <c r="E2227" t="s">
        <v>1450</v>
      </c>
      <c r="F2227" t="s">
        <v>145</v>
      </c>
      <c r="G2227" t="s">
        <v>8489</v>
      </c>
    </row>
    <row r="2228" spans="1:7" ht="44.25" customHeight="1">
      <c r="A2228" t="s">
        <v>8490</v>
      </c>
      <c r="B2228" t="s">
        <v>8491</v>
      </c>
      <c r="C2228" t="s">
        <v>132</v>
      </c>
      <c r="D2228" t="s">
        <v>2143</v>
      </c>
      <c r="E2228" t="s">
        <v>5777</v>
      </c>
      <c r="F2228" t="s">
        <v>145</v>
      </c>
      <c r="G2228" t="s">
        <v>8492</v>
      </c>
    </row>
    <row r="2229" spans="1:7" ht="44.25" customHeight="1">
      <c r="A2229" t="s">
        <v>8493</v>
      </c>
      <c r="B2229" t="s">
        <v>8494</v>
      </c>
      <c r="C2229" t="s">
        <v>132</v>
      </c>
      <c r="D2229" t="s">
        <v>2143</v>
      </c>
      <c r="E2229" t="s">
        <v>1542</v>
      </c>
      <c r="F2229" t="s">
        <v>145</v>
      </c>
      <c r="G2229" t="s">
        <v>8495</v>
      </c>
    </row>
    <row r="2230" spans="1:7" ht="44.25" customHeight="1">
      <c r="A2230" t="s">
        <v>8496</v>
      </c>
      <c r="B2230" t="s">
        <v>8497</v>
      </c>
      <c r="C2230" t="s">
        <v>132</v>
      </c>
      <c r="D2230" t="s">
        <v>2510</v>
      </c>
      <c r="E2230" t="s">
        <v>2581</v>
      </c>
      <c r="F2230" t="s">
        <v>145</v>
      </c>
      <c r="G2230" t="s">
        <v>8498</v>
      </c>
    </row>
    <row r="2231" spans="1:7" ht="44.25" customHeight="1">
      <c r="A2231" t="s">
        <v>8499</v>
      </c>
      <c r="B2231" t="s">
        <v>8500</v>
      </c>
      <c r="C2231" t="s">
        <v>132</v>
      </c>
      <c r="D2231" t="s">
        <v>2143</v>
      </c>
      <c r="E2231" t="s">
        <v>1542</v>
      </c>
      <c r="F2231" t="s">
        <v>145</v>
      </c>
      <c r="G2231" t="s">
        <v>8501</v>
      </c>
    </row>
    <row r="2232" spans="1:7" ht="44.25" customHeight="1">
      <c r="A2232" t="s">
        <v>993</v>
      </c>
      <c r="B2232" t="s">
        <v>8502</v>
      </c>
      <c r="C2232" t="s">
        <v>132</v>
      </c>
      <c r="D2232" t="s">
        <v>79</v>
      </c>
      <c r="E2232" t="s">
        <v>1557</v>
      </c>
      <c r="F2232" t="s">
        <v>145</v>
      </c>
      <c r="G2232" t="s">
        <v>8503</v>
      </c>
    </row>
    <row r="2233" spans="1:7" ht="44.25" customHeight="1">
      <c r="A2233" t="s">
        <v>413</v>
      </c>
      <c r="B2233" t="s">
        <v>8504</v>
      </c>
      <c r="C2233" t="s">
        <v>132</v>
      </c>
      <c r="D2233" t="s">
        <v>79</v>
      </c>
      <c r="E2233" t="s">
        <v>7056</v>
      </c>
      <c r="F2233" t="s">
        <v>145</v>
      </c>
      <c r="G2233" t="s">
        <v>8505</v>
      </c>
    </row>
    <row r="2234" spans="1:7" ht="44.25" customHeight="1">
      <c r="A2234" t="s">
        <v>8506</v>
      </c>
      <c r="B2234" t="s">
        <v>8507</v>
      </c>
      <c r="C2234" t="s">
        <v>132</v>
      </c>
      <c r="D2234" t="s">
        <v>2139</v>
      </c>
      <c r="E2234" t="s">
        <v>1367</v>
      </c>
      <c r="F2234" t="s">
        <v>145</v>
      </c>
      <c r="G2234" t="s">
        <v>8508</v>
      </c>
    </row>
    <row r="2235" spans="1:7" ht="44.25" customHeight="1">
      <c r="A2235" t="s">
        <v>8509</v>
      </c>
      <c r="B2235" t="s">
        <v>8510</v>
      </c>
      <c r="C2235" t="s">
        <v>132</v>
      </c>
      <c r="D2235" t="s">
        <v>2139</v>
      </c>
      <c r="E2235" t="s">
        <v>2144</v>
      </c>
      <c r="F2235" t="s">
        <v>145</v>
      </c>
      <c r="G2235" t="s">
        <v>8511</v>
      </c>
    </row>
    <row r="2236" spans="1:7" ht="44.25" customHeight="1">
      <c r="A2236" t="s">
        <v>8512</v>
      </c>
      <c r="B2236" t="s">
        <v>8513</v>
      </c>
      <c r="C2236" t="s">
        <v>132</v>
      </c>
      <c r="D2236" t="s">
        <v>2139</v>
      </c>
      <c r="E2236" t="s">
        <v>1365</v>
      </c>
      <c r="F2236" t="s">
        <v>145</v>
      </c>
      <c r="G2236" t="s">
        <v>8514</v>
      </c>
    </row>
    <row r="2237" spans="1:7" ht="44.25" customHeight="1">
      <c r="A2237" t="s">
        <v>8515</v>
      </c>
      <c r="B2237" t="s">
        <v>8516</v>
      </c>
      <c r="C2237" t="s">
        <v>132</v>
      </c>
      <c r="D2237" t="s">
        <v>2143</v>
      </c>
      <c r="E2237" t="s">
        <v>2162</v>
      </c>
      <c r="F2237" t="s">
        <v>145</v>
      </c>
      <c r="G2237" t="s">
        <v>8517</v>
      </c>
    </row>
    <row r="2238" spans="1:7" ht="44.25" customHeight="1">
      <c r="A2238" t="s">
        <v>8518</v>
      </c>
      <c r="B2238" t="s">
        <v>8519</v>
      </c>
      <c r="C2238" t="s">
        <v>132</v>
      </c>
      <c r="D2238" t="s">
        <v>2143</v>
      </c>
      <c r="E2238" t="s">
        <v>2162</v>
      </c>
      <c r="F2238" t="s">
        <v>145</v>
      </c>
      <c r="G2238" t="s">
        <v>8520</v>
      </c>
    </row>
    <row r="2239" spans="1:7" ht="44.25" customHeight="1">
      <c r="A2239" t="s">
        <v>8521</v>
      </c>
      <c r="B2239" t="s">
        <v>8522</v>
      </c>
      <c r="C2239" t="s">
        <v>132</v>
      </c>
      <c r="D2239" t="s">
        <v>2139</v>
      </c>
      <c r="E2239" t="s">
        <v>1367</v>
      </c>
      <c r="F2239" t="s">
        <v>145</v>
      </c>
      <c r="G2239" t="s">
        <v>8523</v>
      </c>
    </row>
    <row r="2240" spans="1:7" ht="44.25" customHeight="1">
      <c r="A2240" t="s">
        <v>8524</v>
      </c>
      <c r="B2240" t="s">
        <v>8525</v>
      </c>
      <c r="C2240" t="s">
        <v>132</v>
      </c>
      <c r="D2240" t="s">
        <v>79</v>
      </c>
      <c r="E2240" t="s">
        <v>6097</v>
      </c>
      <c r="F2240" t="s">
        <v>145</v>
      </c>
      <c r="G2240" t="s">
        <v>8526</v>
      </c>
    </row>
    <row r="2241" spans="1:7" ht="44.25" customHeight="1">
      <c r="A2241" t="s">
        <v>8527</v>
      </c>
      <c r="B2241" t="s">
        <v>8528</v>
      </c>
      <c r="C2241" t="s">
        <v>132</v>
      </c>
      <c r="D2241" t="s">
        <v>79</v>
      </c>
      <c r="E2241" t="s">
        <v>8529</v>
      </c>
      <c r="F2241" t="s">
        <v>145</v>
      </c>
      <c r="G2241" t="s">
        <v>8530</v>
      </c>
    </row>
    <row r="2242" spans="1:7" ht="44.25" customHeight="1">
      <c r="A2242" t="s">
        <v>966</v>
      </c>
      <c r="B2242" t="s">
        <v>8531</v>
      </c>
      <c r="C2242" t="s">
        <v>132</v>
      </c>
      <c r="D2242" t="s">
        <v>2143</v>
      </c>
      <c r="E2242" t="s">
        <v>2162</v>
      </c>
      <c r="F2242" t="s">
        <v>145</v>
      </c>
      <c r="G2242" t="s">
        <v>8532</v>
      </c>
    </row>
    <row r="2243" spans="1:7" ht="44.25" customHeight="1">
      <c r="A2243" t="s">
        <v>912</v>
      </c>
      <c r="B2243" t="s">
        <v>8533</v>
      </c>
      <c r="C2243" t="s">
        <v>132</v>
      </c>
      <c r="D2243" t="s">
        <v>2143</v>
      </c>
      <c r="E2243" t="s">
        <v>2162</v>
      </c>
      <c r="F2243" t="s">
        <v>145</v>
      </c>
      <c r="G2243" t="s">
        <v>8534</v>
      </c>
    </row>
    <row r="2244" spans="1:7" ht="44.25" customHeight="1">
      <c r="A2244" t="s">
        <v>635</v>
      </c>
      <c r="B2244" t="s">
        <v>8535</v>
      </c>
      <c r="C2244" t="s">
        <v>132</v>
      </c>
      <c r="D2244" t="s">
        <v>79</v>
      </c>
      <c r="E2244" t="s">
        <v>4091</v>
      </c>
      <c r="F2244" t="s">
        <v>145</v>
      </c>
      <c r="G2244" t="s">
        <v>8536</v>
      </c>
    </row>
    <row r="2245" spans="1:7" ht="44.25" customHeight="1">
      <c r="A2245" t="s">
        <v>717</v>
      </c>
      <c r="B2245" t="s">
        <v>8537</v>
      </c>
      <c r="C2245" t="s">
        <v>132</v>
      </c>
      <c r="D2245" t="s">
        <v>79</v>
      </c>
      <c r="E2245" t="s">
        <v>4363</v>
      </c>
      <c r="F2245" t="s">
        <v>145</v>
      </c>
      <c r="G2245" t="s">
        <v>8538</v>
      </c>
    </row>
    <row r="2246" spans="1:7" ht="44.25" customHeight="1">
      <c r="A2246" t="s">
        <v>132</v>
      </c>
      <c r="B2246" t="s">
        <v>8539</v>
      </c>
      <c r="C2246" t="s">
        <v>132</v>
      </c>
      <c r="D2246" t="s">
        <v>79</v>
      </c>
      <c r="E2246" t="s">
        <v>3368</v>
      </c>
      <c r="F2246" t="s">
        <v>145</v>
      </c>
      <c r="G2246" t="s">
        <v>8540</v>
      </c>
    </row>
    <row r="2247" spans="1:7" ht="44.25" customHeight="1">
      <c r="A2247" t="s">
        <v>8541</v>
      </c>
      <c r="B2247" t="s">
        <v>8542</v>
      </c>
      <c r="C2247" t="s">
        <v>132</v>
      </c>
      <c r="D2247" t="s">
        <v>79</v>
      </c>
      <c r="E2247" t="s">
        <v>8543</v>
      </c>
      <c r="F2247" t="s">
        <v>145</v>
      </c>
      <c r="G2247" t="s">
        <v>8544</v>
      </c>
    </row>
    <row r="2248" spans="1:7" ht="44.25" customHeight="1">
      <c r="A2248" t="s">
        <v>8545</v>
      </c>
      <c r="B2248" t="s">
        <v>8546</v>
      </c>
      <c r="C2248" t="s">
        <v>132</v>
      </c>
      <c r="D2248" t="s">
        <v>79</v>
      </c>
      <c r="E2248" t="s">
        <v>8547</v>
      </c>
      <c r="F2248" t="s">
        <v>145</v>
      </c>
      <c r="G2248" t="s">
        <v>8548</v>
      </c>
    </row>
    <row r="2249" spans="1:7" ht="44.25" customHeight="1">
      <c r="A2249" t="s">
        <v>8549</v>
      </c>
      <c r="B2249" t="s">
        <v>8550</v>
      </c>
      <c r="C2249" t="s">
        <v>132</v>
      </c>
      <c r="D2249" t="s">
        <v>79</v>
      </c>
      <c r="E2249" t="s">
        <v>8551</v>
      </c>
      <c r="F2249" t="s">
        <v>145</v>
      </c>
      <c r="G2249" t="s">
        <v>8552</v>
      </c>
    </row>
    <row r="2250" spans="1:7" ht="44.25" customHeight="1">
      <c r="A2250" t="s">
        <v>132</v>
      </c>
      <c r="B2250" t="s">
        <v>8553</v>
      </c>
      <c r="C2250" t="s">
        <v>132</v>
      </c>
      <c r="D2250" t="s">
        <v>2143</v>
      </c>
      <c r="E2250" t="s">
        <v>6014</v>
      </c>
      <c r="F2250" t="s">
        <v>145</v>
      </c>
      <c r="G2250" t="s">
        <v>8554</v>
      </c>
    </row>
    <row r="2251" spans="1:7" ht="44.25" customHeight="1">
      <c r="A2251" t="s">
        <v>508</v>
      </c>
      <c r="B2251" t="s">
        <v>8555</v>
      </c>
      <c r="C2251" t="s">
        <v>132</v>
      </c>
      <c r="D2251" t="s">
        <v>79</v>
      </c>
      <c r="E2251" t="s">
        <v>1458</v>
      </c>
      <c r="F2251" t="s">
        <v>145</v>
      </c>
      <c r="G2251" t="s">
        <v>8556</v>
      </c>
    </row>
    <row r="2252" spans="1:7" ht="44.25" customHeight="1">
      <c r="A2252" t="s">
        <v>8557</v>
      </c>
      <c r="B2252" t="s">
        <v>8558</v>
      </c>
      <c r="C2252" t="s">
        <v>132</v>
      </c>
      <c r="D2252" t="s">
        <v>2143</v>
      </c>
      <c r="E2252" t="s">
        <v>1542</v>
      </c>
      <c r="F2252" t="s">
        <v>145</v>
      </c>
      <c r="G2252" t="s">
        <v>8559</v>
      </c>
    </row>
    <row r="2253" spans="1:7" ht="44.25" customHeight="1">
      <c r="A2253" t="s">
        <v>8560</v>
      </c>
      <c r="B2253" t="s">
        <v>8561</v>
      </c>
      <c r="C2253" t="s">
        <v>132</v>
      </c>
      <c r="D2253" t="s">
        <v>2143</v>
      </c>
      <c r="E2253" t="s">
        <v>1519</v>
      </c>
      <c r="F2253" t="s">
        <v>145</v>
      </c>
      <c r="G2253" t="s">
        <v>8562</v>
      </c>
    </row>
    <row r="2254" spans="1:7" ht="44.25" customHeight="1">
      <c r="A2254" t="s">
        <v>8563</v>
      </c>
      <c r="B2254" t="s">
        <v>8564</v>
      </c>
      <c r="C2254" t="s">
        <v>132</v>
      </c>
      <c r="D2254" t="s">
        <v>2139</v>
      </c>
      <c r="E2254" t="s">
        <v>1367</v>
      </c>
      <c r="F2254" t="s">
        <v>145</v>
      </c>
      <c r="G2254" t="s">
        <v>8565</v>
      </c>
    </row>
    <row r="2255" spans="1:7" ht="44.25" customHeight="1">
      <c r="A2255" t="s">
        <v>8566</v>
      </c>
      <c r="B2255" t="s">
        <v>8567</v>
      </c>
      <c r="C2255" t="s">
        <v>132</v>
      </c>
      <c r="D2255" t="s">
        <v>79</v>
      </c>
      <c r="E2255" t="s">
        <v>3796</v>
      </c>
      <c r="F2255" t="s">
        <v>145</v>
      </c>
      <c r="G2255" t="s">
        <v>8568</v>
      </c>
    </row>
    <row r="2256" spans="1:7" ht="44.25" customHeight="1">
      <c r="A2256" t="s">
        <v>8569</v>
      </c>
      <c r="B2256" t="s">
        <v>8570</v>
      </c>
      <c r="C2256" t="s">
        <v>132</v>
      </c>
      <c r="D2256" t="s">
        <v>2143</v>
      </c>
      <c r="E2256" t="s">
        <v>1365</v>
      </c>
      <c r="F2256" t="s">
        <v>145</v>
      </c>
      <c r="G2256" t="s">
        <v>8571</v>
      </c>
    </row>
    <row r="2257" spans="1:7" ht="44.25" customHeight="1">
      <c r="A2257" t="s">
        <v>8572</v>
      </c>
      <c r="B2257" t="s">
        <v>8573</v>
      </c>
      <c r="C2257" t="s">
        <v>132</v>
      </c>
      <c r="D2257" t="s">
        <v>2139</v>
      </c>
      <c r="E2257" t="s">
        <v>1367</v>
      </c>
      <c r="F2257" t="s">
        <v>145</v>
      </c>
      <c r="G2257" t="s">
        <v>8574</v>
      </c>
    </row>
    <row r="2258" spans="1:7" ht="44.25" customHeight="1">
      <c r="A2258" t="s">
        <v>8575</v>
      </c>
      <c r="B2258" t="s">
        <v>8576</v>
      </c>
      <c r="C2258" t="s">
        <v>132</v>
      </c>
      <c r="D2258" t="s">
        <v>2139</v>
      </c>
      <c r="E2258" t="s">
        <v>1367</v>
      </c>
      <c r="F2258" t="s">
        <v>145</v>
      </c>
      <c r="G2258" t="s">
        <v>8577</v>
      </c>
    </row>
    <row r="2259" spans="1:7" ht="44.25" customHeight="1">
      <c r="A2259" t="s">
        <v>764</v>
      </c>
      <c r="B2259" t="s">
        <v>8578</v>
      </c>
      <c r="C2259" t="s">
        <v>132</v>
      </c>
      <c r="D2259" t="s">
        <v>2139</v>
      </c>
      <c r="E2259" t="s">
        <v>1367</v>
      </c>
      <c r="F2259" t="s">
        <v>145</v>
      </c>
      <c r="G2259" t="s">
        <v>8579</v>
      </c>
    </row>
    <row r="2260" spans="1:7" ht="44.25" customHeight="1">
      <c r="A2260" t="s">
        <v>8580</v>
      </c>
      <c r="B2260" t="s">
        <v>8581</v>
      </c>
      <c r="C2260" t="s">
        <v>132</v>
      </c>
      <c r="D2260" t="s">
        <v>79</v>
      </c>
      <c r="E2260" t="s">
        <v>8582</v>
      </c>
      <c r="F2260" t="s">
        <v>145</v>
      </c>
      <c r="G2260" t="s">
        <v>8583</v>
      </c>
    </row>
    <row r="2261" spans="1:7" ht="44.25" customHeight="1">
      <c r="A2261" t="s">
        <v>763</v>
      </c>
      <c r="B2261" t="s">
        <v>8584</v>
      </c>
      <c r="C2261" t="s">
        <v>132</v>
      </c>
      <c r="D2261" t="s">
        <v>2139</v>
      </c>
      <c r="E2261" t="s">
        <v>1367</v>
      </c>
      <c r="F2261" t="s">
        <v>145</v>
      </c>
      <c r="G2261" t="s">
        <v>8585</v>
      </c>
    </row>
    <row r="2262" spans="1:7" ht="44.25" customHeight="1">
      <c r="A2262" t="s">
        <v>428</v>
      </c>
      <c r="B2262" t="s">
        <v>8586</v>
      </c>
      <c r="C2262" t="s">
        <v>132</v>
      </c>
      <c r="D2262" t="s">
        <v>2143</v>
      </c>
      <c r="E2262" t="s">
        <v>4481</v>
      </c>
      <c r="F2262" t="s">
        <v>145</v>
      </c>
      <c r="G2262" t="s">
        <v>8587</v>
      </c>
    </row>
    <row r="2263" spans="1:7" ht="44.25" customHeight="1">
      <c r="A2263" t="s">
        <v>704</v>
      </c>
      <c r="B2263" t="s">
        <v>8588</v>
      </c>
      <c r="C2263" t="s">
        <v>132</v>
      </c>
      <c r="D2263" t="s">
        <v>2143</v>
      </c>
      <c r="E2263" t="s">
        <v>2155</v>
      </c>
      <c r="F2263" t="s">
        <v>145</v>
      </c>
      <c r="G2263" t="s">
        <v>8589</v>
      </c>
    </row>
    <row r="2264" spans="1:7" ht="44.25" customHeight="1">
      <c r="A2264" t="s">
        <v>8590</v>
      </c>
      <c r="B2264" t="s">
        <v>8591</v>
      </c>
      <c r="C2264" t="s">
        <v>132</v>
      </c>
      <c r="D2264" t="s">
        <v>2143</v>
      </c>
      <c r="E2264" t="s">
        <v>4338</v>
      </c>
      <c r="F2264" t="s">
        <v>145</v>
      </c>
      <c r="G2264" t="s">
        <v>8592</v>
      </c>
    </row>
    <row r="2265" spans="1:7" ht="44.25" customHeight="1">
      <c r="A2265" t="s">
        <v>8593</v>
      </c>
      <c r="B2265" t="s">
        <v>8594</v>
      </c>
      <c r="C2265" t="s">
        <v>132</v>
      </c>
      <c r="D2265" t="s">
        <v>2143</v>
      </c>
      <c r="E2265" t="s">
        <v>4751</v>
      </c>
      <c r="F2265" t="s">
        <v>145</v>
      </c>
      <c r="G2265" t="s">
        <v>8595</v>
      </c>
    </row>
    <row r="2266" spans="1:7" ht="44.25" customHeight="1">
      <c r="A2266" t="s">
        <v>8596</v>
      </c>
      <c r="B2266" t="s">
        <v>8597</v>
      </c>
      <c r="C2266" t="s">
        <v>132</v>
      </c>
      <c r="D2266" t="s">
        <v>79</v>
      </c>
      <c r="E2266" t="s">
        <v>8598</v>
      </c>
      <c r="F2266" t="s">
        <v>145</v>
      </c>
      <c r="G2266" t="s">
        <v>8599</v>
      </c>
    </row>
    <row r="2267" spans="1:7" ht="44.25" customHeight="1">
      <c r="A2267" t="s">
        <v>8600</v>
      </c>
      <c r="B2267" t="s">
        <v>8601</v>
      </c>
      <c r="C2267" t="s">
        <v>132</v>
      </c>
      <c r="D2267" t="s">
        <v>79</v>
      </c>
      <c r="E2267" t="s">
        <v>8602</v>
      </c>
      <c r="F2267" t="s">
        <v>145</v>
      </c>
      <c r="G2267" t="s">
        <v>8603</v>
      </c>
    </row>
    <row r="2268" spans="1:7" ht="44.25" customHeight="1">
      <c r="A2268" t="s">
        <v>8604</v>
      </c>
      <c r="B2268" t="s">
        <v>8605</v>
      </c>
      <c r="C2268" t="s">
        <v>132</v>
      </c>
      <c r="D2268" t="s">
        <v>79</v>
      </c>
      <c r="E2268" t="s">
        <v>8606</v>
      </c>
      <c r="F2268" t="s">
        <v>145</v>
      </c>
      <c r="G2268" t="s">
        <v>8607</v>
      </c>
    </row>
    <row r="2269" spans="1:7" ht="44.25" customHeight="1">
      <c r="A2269" t="s">
        <v>8608</v>
      </c>
      <c r="B2269" t="s">
        <v>8609</v>
      </c>
      <c r="C2269" t="s">
        <v>132</v>
      </c>
      <c r="D2269" t="s">
        <v>79</v>
      </c>
      <c r="E2269" t="s">
        <v>8610</v>
      </c>
      <c r="F2269" t="s">
        <v>145</v>
      </c>
      <c r="G2269" t="s">
        <v>8611</v>
      </c>
    </row>
    <row r="2270" spans="1:7" ht="44.25" customHeight="1">
      <c r="A2270" t="s">
        <v>132</v>
      </c>
      <c r="B2270" t="s">
        <v>8612</v>
      </c>
      <c r="C2270" t="s">
        <v>132</v>
      </c>
      <c r="D2270" t="s">
        <v>2143</v>
      </c>
      <c r="E2270" t="s">
        <v>5741</v>
      </c>
      <c r="F2270" t="s">
        <v>145</v>
      </c>
      <c r="G2270" t="s">
        <v>8613</v>
      </c>
    </row>
    <row r="2271" spans="1:7" ht="44.25" customHeight="1">
      <c r="A2271" t="s">
        <v>598</v>
      </c>
      <c r="B2271" t="s">
        <v>8614</v>
      </c>
      <c r="C2271" t="s">
        <v>132</v>
      </c>
      <c r="D2271" t="s">
        <v>8615</v>
      </c>
      <c r="E2271" t="s">
        <v>1455</v>
      </c>
      <c r="F2271" t="s">
        <v>145</v>
      </c>
      <c r="G2271" t="s">
        <v>8616</v>
      </c>
    </row>
    <row r="2272" spans="1:7" ht="44.25" customHeight="1">
      <c r="A2272" t="s">
        <v>8617</v>
      </c>
      <c r="B2272" t="s">
        <v>8618</v>
      </c>
      <c r="C2272" t="s">
        <v>132</v>
      </c>
      <c r="D2272" t="s">
        <v>2143</v>
      </c>
      <c r="E2272" t="s">
        <v>2285</v>
      </c>
      <c r="F2272" t="s">
        <v>145</v>
      </c>
      <c r="G2272" t="s">
        <v>8619</v>
      </c>
    </row>
    <row r="2273" spans="1:7" ht="44.25" customHeight="1">
      <c r="A2273" t="s">
        <v>8620</v>
      </c>
      <c r="B2273" t="s">
        <v>8621</v>
      </c>
      <c r="C2273" t="s">
        <v>132</v>
      </c>
      <c r="D2273" t="s">
        <v>2143</v>
      </c>
      <c r="E2273" t="s">
        <v>2581</v>
      </c>
      <c r="F2273" t="s">
        <v>145</v>
      </c>
      <c r="G2273" t="s">
        <v>8622</v>
      </c>
    </row>
    <row r="2274" spans="1:7" ht="44.25" customHeight="1">
      <c r="A2274" t="s">
        <v>290</v>
      </c>
      <c r="B2274" t="s">
        <v>8623</v>
      </c>
      <c r="C2274" t="s">
        <v>1445</v>
      </c>
      <c r="D2274" t="s">
        <v>2143</v>
      </c>
      <c r="E2274" t="s">
        <v>3048</v>
      </c>
      <c r="F2274" t="s">
        <v>145</v>
      </c>
      <c r="G2274" t="s">
        <v>8624</v>
      </c>
    </row>
    <row r="2275" spans="1:7" ht="44.25" customHeight="1">
      <c r="A2275" t="s">
        <v>6207</v>
      </c>
      <c r="B2275" t="s">
        <v>6208</v>
      </c>
      <c r="C2275" t="s">
        <v>132</v>
      </c>
      <c r="D2275" t="s">
        <v>79</v>
      </c>
      <c r="E2275" t="s">
        <v>6209</v>
      </c>
      <c r="F2275" t="s">
        <v>145</v>
      </c>
      <c r="G2275" t="s">
        <v>8625</v>
      </c>
    </row>
    <row r="2276" spans="1:7" ht="44.25" customHeight="1">
      <c r="A2276" t="s">
        <v>8626</v>
      </c>
      <c r="B2276" t="s">
        <v>8627</v>
      </c>
      <c r="C2276" t="s">
        <v>132</v>
      </c>
      <c r="D2276" t="s">
        <v>79</v>
      </c>
      <c r="E2276" t="s">
        <v>7343</v>
      </c>
      <c r="F2276" t="s">
        <v>145</v>
      </c>
      <c r="G2276" t="s">
        <v>8628</v>
      </c>
    </row>
    <row r="2277" spans="1:7" ht="44.25" customHeight="1">
      <c r="A2277" t="s">
        <v>8629</v>
      </c>
      <c r="B2277" t="s">
        <v>8630</v>
      </c>
      <c r="C2277" t="s">
        <v>132</v>
      </c>
      <c r="D2277" t="s">
        <v>2143</v>
      </c>
      <c r="E2277" t="s">
        <v>2162</v>
      </c>
      <c r="F2277" t="s">
        <v>145</v>
      </c>
      <c r="G2277" t="s">
        <v>8631</v>
      </c>
    </row>
    <row r="2278" spans="1:7" ht="44.25" customHeight="1">
      <c r="A2278" t="s">
        <v>8632</v>
      </c>
      <c r="B2278" t="s">
        <v>8633</v>
      </c>
      <c r="C2278" t="s">
        <v>132</v>
      </c>
      <c r="D2278" t="s">
        <v>2139</v>
      </c>
      <c r="E2278" t="s">
        <v>1365</v>
      </c>
      <c r="F2278" t="s">
        <v>145</v>
      </c>
      <c r="G2278" t="s">
        <v>8634</v>
      </c>
    </row>
    <row r="2279" spans="1:7" ht="44.25" customHeight="1">
      <c r="A2279" t="s">
        <v>8635</v>
      </c>
      <c r="B2279" t="s">
        <v>8636</v>
      </c>
      <c r="C2279" t="s">
        <v>132</v>
      </c>
      <c r="D2279" t="s">
        <v>2143</v>
      </c>
      <c r="E2279" t="s">
        <v>2162</v>
      </c>
      <c r="F2279" t="s">
        <v>145</v>
      </c>
      <c r="G2279" t="s">
        <v>8637</v>
      </c>
    </row>
    <row r="2280" spans="1:7" ht="44.25" customHeight="1">
      <c r="A2280" t="s">
        <v>762</v>
      </c>
      <c r="B2280" t="s">
        <v>8638</v>
      </c>
      <c r="C2280" t="s">
        <v>132</v>
      </c>
      <c r="D2280" t="s">
        <v>2139</v>
      </c>
      <c r="E2280" t="s">
        <v>1367</v>
      </c>
      <c r="F2280" t="s">
        <v>145</v>
      </c>
      <c r="G2280" t="s">
        <v>8639</v>
      </c>
    </row>
    <row r="2281" spans="1:7" ht="44.25" customHeight="1">
      <c r="A2281" t="s">
        <v>8640</v>
      </c>
      <c r="B2281" t="s">
        <v>8641</v>
      </c>
      <c r="C2281" t="s">
        <v>132</v>
      </c>
      <c r="D2281" t="s">
        <v>79</v>
      </c>
      <c r="E2281" t="s">
        <v>4804</v>
      </c>
      <c r="F2281" t="s">
        <v>145</v>
      </c>
      <c r="G2281" t="s">
        <v>8642</v>
      </c>
    </row>
    <row r="2282" spans="1:7" ht="44.25" customHeight="1">
      <c r="A2282" t="s">
        <v>8643</v>
      </c>
      <c r="B2282" t="s">
        <v>8644</v>
      </c>
      <c r="C2282" t="s">
        <v>132</v>
      </c>
      <c r="D2282" t="s">
        <v>2143</v>
      </c>
      <c r="E2282" t="s">
        <v>6014</v>
      </c>
      <c r="F2282" t="s">
        <v>145</v>
      </c>
      <c r="G2282" t="s">
        <v>8645</v>
      </c>
    </row>
    <row r="2283" spans="1:7" ht="44.25" customHeight="1">
      <c r="A2283" t="s">
        <v>132</v>
      </c>
      <c r="B2283" t="s">
        <v>8646</v>
      </c>
      <c r="C2283" t="s">
        <v>132</v>
      </c>
      <c r="D2283" t="s">
        <v>2143</v>
      </c>
      <c r="E2283" t="s">
        <v>2285</v>
      </c>
      <c r="F2283" t="s">
        <v>145</v>
      </c>
      <c r="G2283" t="s">
        <v>8647</v>
      </c>
    </row>
    <row r="2284" spans="1:7" ht="44.25" customHeight="1">
      <c r="A2284" t="s">
        <v>8648</v>
      </c>
      <c r="B2284" t="s">
        <v>8649</v>
      </c>
      <c r="C2284" t="s">
        <v>132</v>
      </c>
      <c r="D2284" t="s">
        <v>79</v>
      </c>
      <c r="E2284" t="s">
        <v>8650</v>
      </c>
      <c r="F2284" t="s">
        <v>145</v>
      </c>
      <c r="G2284" t="s">
        <v>8651</v>
      </c>
    </row>
    <row r="2285" spans="1:7" ht="44.25" customHeight="1">
      <c r="A2285" t="s">
        <v>8652</v>
      </c>
      <c r="B2285" t="s">
        <v>8653</v>
      </c>
      <c r="C2285" t="s">
        <v>132</v>
      </c>
      <c r="D2285" t="s">
        <v>2143</v>
      </c>
      <c r="E2285" t="s">
        <v>2162</v>
      </c>
      <c r="F2285" t="s">
        <v>145</v>
      </c>
      <c r="G2285" t="s">
        <v>8654</v>
      </c>
    </row>
    <row r="2286" spans="1:7" ht="44.25" customHeight="1">
      <c r="A2286" t="s">
        <v>8655</v>
      </c>
      <c r="B2286" t="s">
        <v>8656</v>
      </c>
      <c r="C2286" t="s">
        <v>132</v>
      </c>
      <c r="D2286" t="s">
        <v>2143</v>
      </c>
      <c r="E2286" t="s">
        <v>8329</v>
      </c>
      <c r="F2286" t="s">
        <v>145</v>
      </c>
      <c r="G2286" t="s">
        <v>8657</v>
      </c>
    </row>
    <row r="2287" spans="1:7" ht="44.25" customHeight="1">
      <c r="A2287" t="s">
        <v>8658</v>
      </c>
      <c r="B2287" t="s">
        <v>8659</v>
      </c>
      <c r="C2287" t="s">
        <v>132</v>
      </c>
      <c r="D2287" t="s">
        <v>2139</v>
      </c>
      <c r="E2287" t="s">
        <v>1365</v>
      </c>
      <c r="F2287" t="s">
        <v>145</v>
      </c>
      <c r="G2287" t="s">
        <v>8660</v>
      </c>
    </row>
    <row r="2288" spans="1:7" ht="44.25" customHeight="1">
      <c r="A2288" t="s">
        <v>8661</v>
      </c>
      <c r="B2288" t="s">
        <v>8662</v>
      </c>
      <c r="C2288" t="s">
        <v>132</v>
      </c>
      <c r="D2288" t="s">
        <v>2143</v>
      </c>
      <c r="E2288" t="s">
        <v>1365</v>
      </c>
      <c r="F2288" t="s">
        <v>145</v>
      </c>
      <c r="G2288" t="s">
        <v>8663</v>
      </c>
    </row>
    <row r="2289" spans="1:7" ht="44.25" customHeight="1">
      <c r="A2289" t="s">
        <v>924</v>
      </c>
      <c r="B2289" t="s">
        <v>8664</v>
      </c>
      <c r="C2289" t="s">
        <v>132</v>
      </c>
      <c r="D2289" t="s">
        <v>2143</v>
      </c>
      <c r="E2289" t="s">
        <v>2162</v>
      </c>
      <c r="F2289" t="s">
        <v>145</v>
      </c>
      <c r="G2289" t="s">
        <v>8665</v>
      </c>
    </row>
    <row r="2290" spans="1:7" ht="44.25" customHeight="1">
      <c r="A2290" t="s">
        <v>833</v>
      </c>
      <c r="B2290" t="s">
        <v>8666</v>
      </c>
      <c r="C2290" t="s">
        <v>132</v>
      </c>
      <c r="D2290" t="s">
        <v>2143</v>
      </c>
      <c r="E2290" t="s">
        <v>4010</v>
      </c>
      <c r="F2290" t="s">
        <v>145</v>
      </c>
      <c r="G2290" t="s">
        <v>8667</v>
      </c>
    </row>
    <row r="2291" spans="1:7" ht="44.25" customHeight="1">
      <c r="A2291" t="s">
        <v>8668</v>
      </c>
      <c r="B2291" t="s">
        <v>8669</v>
      </c>
      <c r="C2291" t="s">
        <v>132</v>
      </c>
      <c r="D2291" t="s">
        <v>79</v>
      </c>
      <c r="E2291" t="s">
        <v>8670</v>
      </c>
      <c r="F2291" t="s">
        <v>145</v>
      </c>
      <c r="G2291" t="s">
        <v>8671</v>
      </c>
    </row>
    <row r="2292" spans="1:7" ht="44.25" customHeight="1">
      <c r="A2292" t="s">
        <v>660</v>
      </c>
      <c r="B2292" t="s">
        <v>8672</v>
      </c>
      <c r="C2292" t="s">
        <v>132</v>
      </c>
      <c r="D2292" t="s">
        <v>2143</v>
      </c>
      <c r="E2292" t="s">
        <v>1519</v>
      </c>
      <c r="F2292" t="s">
        <v>145</v>
      </c>
      <c r="G2292" t="s">
        <v>8673</v>
      </c>
    </row>
    <row r="2293" spans="1:7" ht="44.25" customHeight="1">
      <c r="A2293" t="s">
        <v>8674</v>
      </c>
      <c r="B2293" t="s">
        <v>8675</v>
      </c>
      <c r="C2293" t="s">
        <v>132</v>
      </c>
      <c r="D2293" t="s">
        <v>79</v>
      </c>
      <c r="E2293" t="s">
        <v>8676</v>
      </c>
      <c r="F2293" t="s">
        <v>145</v>
      </c>
      <c r="G2293" t="s">
        <v>8677</v>
      </c>
    </row>
    <row r="2294" spans="1:7" ht="44.25" customHeight="1">
      <c r="A2294" t="s">
        <v>8678</v>
      </c>
      <c r="B2294" t="s">
        <v>8679</v>
      </c>
      <c r="C2294" t="s">
        <v>132</v>
      </c>
      <c r="D2294" t="s">
        <v>79</v>
      </c>
      <c r="E2294" t="s">
        <v>8680</v>
      </c>
      <c r="F2294" t="s">
        <v>145</v>
      </c>
      <c r="G2294" t="s">
        <v>8681</v>
      </c>
    </row>
    <row r="2295" spans="1:7" ht="44.25" customHeight="1">
      <c r="A2295" t="s">
        <v>8682</v>
      </c>
      <c r="B2295" t="s">
        <v>8683</v>
      </c>
      <c r="C2295" t="s">
        <v>132</v>
      </c>
      <c r="D2295" t="s">
        <v>79</v>
      </c>
      <c r="E2295" t="s">
        <v>8684</v>
      </c>
      <c r="F2295" t="s">
        <v>145</v>
      </c>
      <c r="G2295" t="s">
        <v>8685</v>
      </c>
    </row>
    <row r="2296" spans="1:7" ht="44.25" customHeight="1">
      <c r="A2296" t="s">
        <v>8686</v>
      </c>
      <c r="B2296" t="s">
        <v>8687</v>
      </c>
      <c r="C2296" t="s">
        <v>132</v>
      </c>
      <c r="D2296" t="s">
        <v>79</v>
      </c>
      <c r="E2296" t="s">
        <v>8688</v>
      </c>
      <c r="F2296" t="s">
        <v>145</v>
      </c>
      <c r="G2296" t="s">
        <v>8689</v>
      </c>
    </row>
    <row r="2297" spans="1:7" ht="44.25" customHeight="1">
      <c r="A2297" t="s">
        <v>8690</v>
      </c>
      <c r="B2297" t="s">
        <v>8691</v>
      </c>
      <c r="C2297" t="s">
        <v>132</v>
      </c>
      <c r="D2297" t="s">
        <v>79</v>
      </c>
      <c r="E2297" t="s">
        <v>8692</v>
      </c>
      <c r="F2297" t="s">
        <v>145</v>
      </c>
      <c r="G2297" t="s">
        <v>8693</v>
      </c>
    </row>
    <row r="2298" spans="1:7" ht="44.25" customHeight="1">
      <c r="A2298" t="s">
        <v>8694</v>
      </c>
      <c r="B2298" t="s">
        <v>8695</v>
      </c>
      <c r="C2298" t="s">
        <v>132</v>
      </c>
      <c r="D2298" t="s">
        <v>79</v>
      </c>
      <c r="E2298" t="s">
        <v>8696</v>
      </c>
      <c r="F2298" t="s">
        <v>145</v>
      </c>
      <c r="G2298" t="s">
        <v>8697</v>
      </c>
    </row>
    <row r="2299" spans="1:7" ht="44.25" customHeight="1">
      <c r="A2299" t="s">
        <v>8698</v>
      </c>
      <c r="B2299" t="s">
        <v>8699</v>
      </c>
      <c r="C2299" t="s">
        <v>132</v>
      </c>
      <c r="D2299" t="s">
        <v>79</v>
      </c>
      <c r="E2299" t="s">
        <v>8700</v>
      </c>
      <c r="F2299" t="s">
        <v>145</v>
      </c>
      <c r="G2299" t="s">
        <v>8701</v>
      </c>
    </row>
    <row r="2300" spans="1:7" ht="44.25" customHeight="1">
      <c r="A2300" t="s">
        <v>132</v>
      </c>
      <c r="B2300" t="s">
        <v>8702</v>
      </c>
      <c r="C2300" t="s">
        <v>132</v>
      </c>
      <c r="D2300" t="s">
        <v>2143</v>
      </c>
      <c r="E2300" t="s">
        <v>6932</v>
      </c>
      <c r="F2300" t="s">
        <v>145</v>
      </c>
      <c r="G2300" t="s">
        <v>8703</v>
      </c>
    </row>
    <row r="2301" spans="1:7" ht="44.25" customHeight="1">
      <c r="A2301" t="s">
        <v>8704</v>
      </c>
      <c r="B2301" t="s">
        <v>8705</v>
      </c>
      <c r="C2301" t="s">
        <v>132</v>
      </c>
      <c r="D2301" t="s">
        <v>8706</v>
      </c>
      <c r="E2301" t="s">
        <v>5777</v>
      </c>
      <c r="F2301" t="s">
        <v>145</v>
      </c>
      <c r="G2301" t="s">
        <v>8707</v>
      </c>
    </row>
    <row r="2302" spans="1:7" ht="44.25" customHeight="1">
      <c r="A2302" t="s">
        <v>784</v>
      </c>
      <c r="B2302" t="s">
        <v>8708</v>
      </c>
      <c r="C2302" t="s">
        <v>132</v>
      </c>
      <c r="D2302" t="s">
        <v>79</v>
      </c>
      <c r="E2302" t="s">
        <v>8709</v>
      </c>
      <c r="F2302" t="s">
        <v>145</v>
      </c>
      <c r="G2302" t="s">
        <v>8710</v>
      </c>
    </row>
    <row r="2303" spans="1:7" ht="44.25" customHeight="1">
      <c r="A2303" t="s">
        <v>8711</v>
      </c>
      <c r="B2303" t="s">
        <v>8712</v>
      </c>
      <c r="C2303" t="s">
        <v>132</v>
      </c>
      <c r="D2303" t="s">
        <v>2143</v>
      </c>
      <c r="E2303" t="s">
        <v>1542</v>
      </c>
      <c r="F2303" t="s">
        <v>145</v>
      </c>
      <c r="G2303" t="s">
        <v>8713</v>
      </c>
    </row>
    <row r="2304" spans="1:7" ht="44.25" customHeight="1">
      <c r="A2304" t="s">
        <v>8714</v>
      </c>
      <c r="B2304" t="s">
        <v>8715</v>
      </c>
      <c r="C2304" t="s">
        <v>132</v>
      </c>
      <c r="D2304" t="s">
        <v>2143</v>
      </c>
      <c r="E2304" t="s">
        <v>1542</v>
      </c>
      <c r="F2304" t="s">
        <v>145</v>
      </c>
      <c r="G2304" t="s">
        <v>8716</v>
      </c>
    </row>
    <row r="2305" spans="1:7" ht="44.25" customHeight="1">
      <c r="A2305" t="s">
        <v>8717</v>
      </c>
      <c r="B2305" t="s">
        <v>8718</v>
      </c>
      <c r="C2305" t="s">
        <v>8719</v>
      </c>
      <c r="D2305" t="s">
        <v>2143</v>
      </c>
      <c r="E2305" t="s">
        <v>1439</v>
      </c>
      <c r="F2305" t="s">
        <v>145</v>
      </c>
      <c r="G2305" t="s">
        <v>8720</v>
      </c>
    </row>
    <row r="2306" spans="1:7" ht="44.25" customHeight="1">
      <c r="A2306" t="s">
        <v>8721</v>
      </c>
      <c r="B2306" t="s">
        <v>8722</v>
      </c>
      <c r="C2306" t="s">
        <v>132</v>
      </c>
      <c r="D2306" t="s">
        <v>2143</v>
      </c>
      <c r="E2306" t="s">
        <v>1365</v>
      </c>
      <c r="F2306" t="s">
        <v>145</v>
      </c>
      <c r="G2306" t="s">
        <v>8723</v>
      </c>
    </row>
    <row r="2307" spans="1:7" ht="44.25" customHeight="1">
      <c r="A2307" t="s">
        <v>6617</v>
      </c>
      <c r="B2307" t="s">
        <v>6618</v>
      </c>
      <c r="C2307" t="s">
        <v>132</v>
      </c>
      <c r="D2307" t="s">
        <v>79</v>
      </c>
      <c r="E2307" t="s">
        <v>6619</v>
      </c>
      <c r="F2307" t="s">
        <v>145</v>
      </c>
      <c r="G2307" t="s">
        <v>8724</v>
      </c>
    </row>
    <row r="2308" spans="1:7" ht="44.25" customHeight="1">
      <c r="A2308" t="s">
        <v>8725</v>
      </c>
      <c r="B2308" t="s">
        <v>8726</v>
      </c>
      <c r="C2308" t="s">
        <v>132</v>
      </c>
      <c r="D2308" t="s">
        <v>2143</v>
      </c>
      <c r="E2308" t="s">
        <v>2162</v>
      </c>
      <c r="F2308" t="s">
        <v>145</v>
      </c>
      <c r="G2308" t="s">
        <v>8727</v>
      </c>
    </row>
    <row r="2309" spans="1:7" ht="44.25" customHeight="1">
      <c r="A2309" t="s">
        <v>8728</v>
      </c>
      <c r="B2309" t="s">
        <v>8729</v>
      </c>
      <c r="C2309" t="s">
        <v>132</v>
      </c>
      <c r="D2309" t="s">
        <v>2139</v>
      </c>
      <c r="E2309" t="s">
        <v>1367</v>
      </c>
      <c r="F2309" t="s">
        <v>145</v>
      </c>
      <c r="G2309" t="s">
        <v>8730</v>
      </c>
    </row>
    <row r="2310" spans="1:7" ht="44.25" customHeight="1">
      <c r="A2310" t="s">
        <v>1298</v>
      </c>
      <c r="B2310" t="s">
        <v>8731</v>
      </c>
      <c r="C2310" t="s">
        <v>132</v>
      </c>
      <c r="D2310" t="s">
        <v>2143</v>
      </c>
      <c r="E2310" t="s">
        <v>1365</v>
      </c>
      <c r="F2310" t="s">
        <v>145</v>
      </c>
      <c r="G2310" t="s">
        <v>8732</v>
      </c>
    </row>
    <row r="2311" spans="1:7" ht="44.25" customHeight="1">
      <c r="A2311" t="s">
        <v>311</v>
      </c>
      <c r="B2311" t="s">
        <v>8733</v>
      </c>
      <c r="C2311" t="s">
        <v>132</v>
      </c>
      <c r="D2311" t="s">
        <v>2143</v>
      </c>
      <c r="E2311" t="s">
        <v>1367</v>
      </c>
      <c r="F2311" t="s">
        <v>145</v>
      </c>
      <c r="G2311" t="s">
        <v>8734</v>
      </c>
    </row>
    <row r="2312" spans="1:7" ht="44.25" customHeight="1">
      <c r="A2312" t="s">
        <v>853</v>
      </c>
      <c r="B2312" t="s">
        <v>8735</v>
      </c>
      <c r="C2312" t="s">
        <v>132</v>
      </c>
      <c r="D2312" t="s">
        <v>2143</v>
      </c>
      <c r="E2312" t="s">
        <v>4522</v>
      </c>
      <c r="F2312" t="s">
        <v>145</v>
      </c>
      <c r="G2312" t="s">
        <v>8736</v>
      </c>
    </row>
    <row r="2313" spans="1:7" ht="44.25" customHeight="1">
      <c r="A2313" t="s">
        <v>656</v>
      </c>
      <c r="B2313" t="s">
        <v>8737</v>
      </c>
      <c r="C2313" t="s">
        <v>132</v>
      </c>
      <c r="D2313" t="s">
        <v>2143</v>
      </c>
      <c r="E2313" t="s">
        <v>1519</v>
      </c>
      <c r="F2313" t="s">
        <v>145</v>
      </c>
      <c r="G2313" t="s">
        <v>8738</v>
      </c>
    </row>
    <row r="2314" spans="1:7" ht="44.25" customHeight="1">
      <c r="A2314" t="s">
        <v>8739</v>
      </c>
      <c r="B2314" t="s">
        <v>8740</v>
      </c>
      <c r="C2314" t="s">
        <v>132</v>
      </c>
      <c r="D2314" t="s">
        <v>79</v>
      </c>
      <c r="E2314" t="s">
        <v>2511</v>
      </c>
      <c r="F2314" t="s">
        <v>145</v>
      </c>
      <c r="G2314" t="s">
        <v>8741</v>
      </c>
    </row>
    <row r="2315" spans="1:7" ht="44.25" customHeight="1">
      <c r="A2315" t="s">
        <v>8739</v>
      </c>
      <c r="B2315" t="s">
        <v>8740</v>
      </c>
      <c r="C2315" t="s">
        <v>132</v>
      </c>
      <c r="D2315" t="s">
        <v>79</v>
      </c>
      <c r="E2315" t="s">
        <v>2511</v>
      </c>
      <c r="F2315" t="s">
        <v>145</v>
      </c>
      <c r="G2315" t="s">
        <v>8741</v>
      </c>
    </row>
    <row r="2316" spans="1:7" ht="44.25" customHeight="1">
      <c r="A2316" t="s">
        <v>8742</v>
      </c>
      <c r="B2316" t="s">
        <v>8743</v>
      </c>
      <c r="C2316" t="s">
        <v>132</v>
      </c>
      <c r="D2316" t="s">
        <v>79</v>
      </c>
      <c r="E2316" t="s">
        <v>8744</v>
      </c>
      <c r="F2316" t="s">
        <v>145</v>
      </c>
      <c r="G2316" t="s">
        <v>8745</v>
      </c>
    </row>
    <row r="2317" spans="1:7" ht="44.25" customHeight="1">
      <c r="A2317" t="s">
        <v>8746</v>
      </c>
      <c r="B2317" t="s">
        <v>8747</v>
      </c>
      <c r="C2317" t="s">
        <v>132</v>
      </c>
      <c r="D2317" t="s">
        <v>79</v>
      </c>
      <c r="E2317" t="s">
        <v>8748</v>
      </c>
      <c r="F2317" t="s">
        <v>145</v>
      </c>
      <c r="G2317" t="s">
        <v>8749</v>
      </c>
    </row>
    <row r="2318" spans="1:7" ht="44.25" customHeight="1">
      <c r="A2318" t="s">
        <v>8750</v>
      </c>
      <c r="B2318" t="s">
        <v>8751</v>
      </c>
      <c r="C2318" t="s">
        <v>132</v>
      </c>
      <c r="D2318" t="s">
        <v>79</v>
      </c>
      <c r="E2318" t="s">
        <v>8752</v>
      </c>
      <c r="F2318" t="s">
        <v>145</v>
      </c>
      <c r="G2318" t="s">
        <v>8753</v>
      </c>
    </row>
    <row r="2319" spans="1:7" ht="44.25" customHeight="1">
      <c r="A2319" t="s">
        <v>8754</v>
      </c>
      <c r="B2319" t="s">
        <v>8755</v>
      </c>
      <c r="C2319" t="s">
        <v>132</v>
      </c>
      <c r="D2319" t="s">
        <v>79</v>
      </c>
      <c r="E2319" t="s">
        <v>8756</v>
      </c>
      <c r="F2319" t="s">
        <v>145</v>
      </c>
      <c r="G2319" t="s">
        <v>8757</v>
      </c>
    </row>
    <row r="2320" spans="1:7" ht="44.25" customHeight="1">
      <c r="A2320" t="s">
        <v>8758</v>
      </c>
      <c r="B2320" t="s">
        <v>8759</v>
      </c>
      <c r="C2320" t="s">
        <v>132</v>
      </c>
      <c r="D2320" t="s">
        <v>2143</v>
      </c>
      <c r="E2320" t="s">
        <v>1542</v>
      </c>
      <c r="F2320" t="s">
        <v>145</v>
      </c>
      <c r="G2320" t="s">
        <v>8760</v>
      </c>
    </row>
    <row r="2321" spans="1:7" ht="44.25" customHeight="1">
      <c r="A2321" t="s">
        <v>8761</v>
      </c>
      <c r="B2321" t="s">
        <v>8762</v>
      </c>
      <c r="C2321" t="s">
        <v>132</v>
      </c>
      <c r="D2321" t="s">
        <v>2143</v>
      </c>
      <c r="E2321" t="s">
        <v>1542</v>
      </c>
      <c r="F2321" t="s">
        <v>145</v>
      </c>
      <c r="G2321" t="s">
        <v>8763</v>
      </c>
    </row>
    <row r="2322" spans="1:7" ht="44.25" customHeight="1">
      <c r="A2322" t="s">
        <v>8764</v>
      </c>
      <c r="B2322" t="s">
        <v>8765</v>
      </c>
      <c r="C2322" t="s">
        <v>132</v>
      </c>
      <c r="D2322" t="s">
        <v>2143</v>
      </c>
      <c r="E2322" t="s">
        <v>1542</v>
      </c>
      <c r="F2322" t="s">
        <v>145</v>
      </c>
      <c r="G2322" t="s">
        <v>8766</v>
      </c>
    </row>
    <row r="2323" spans="1:7" ht="44.25" customHeight="1">
      <c r="A2323" t="s">
        <v>8767</v>
      </c>
      <c r="B2323" t="s">
        <v>8768</v>
      </c>
      <c r="C2323" t="s">
        <v>132</v>
      </c>
      <c r="D2323" t="s">
        <v>2143</v>
      </c>
      <c r="E2323" t="s">
        <v>2285</v>
      </c>
      <c r="F2323" t="s">
        <v>145</v>
      </c>
      <c r="G2323" t="s">
        <v>8769</v>
      </c>
    </row>
    <row r="2324" spans="1:7" ht="44.25" customHeight="1">
      <c r="A2324" t="s">
        <v>8770</v>
      </c>
      <c r="B2324" t="s">
        <v>8771</v>
      </c>
      <c r="C2324" t="s">
        <v>132</v>
      </c>
      <c r="D2324" t="s">
        <v>2143</v>
      </c>
      <c r="E2324" t="s">
        <v>3048</v>
      </c>
      <c r="F2324" t="s">
        <v>145</v>
      </c>
      <c r="G2324" t="s">
        <v>8772</v>
      </c>
    </row>
    <row r="2325" spans="1:7" ht="44.25" customHeight="1">
      <c r="A2325" t="s">
        <v>8773</v>
      </c>
      <c r="B2325" t="s">
        <v>8774</v>
      </c>
      <c r="C2325" t="s">
        <v>132</v>
      </c>
      <c r="D2325" t="s">
        <v>2139</v>
      </c>
      <c r="E2325" t="s">
        <v>1367</v>
      </c>
      <c r="F2325" t="s">
        <v>145</v>
      </c>
      <c r="G2325" t="s">
        <v>8775</v>
      </c>
    </row>
    <row r="2326" spans="1:7" ht="44.25" customHeight="1">
      <c r="A2326" t="s">
        <v>8776</v>
      </c>
      <c r="B2326" t="s">
        <v>8777</v>
      </c>
      <c r="C2326" t="s">
        <v>132</v>
      </c>
      <c r="D2326" t="s">
        <v>2143</v>
      </c>
      <c r="E2326" t="s">
        <v>2162</v>
      </c>
      <c r="F2326" t="s">
        <v>145</v>
      </c>
      <c r="G2326" t="s">
        <v>8778</v>
      </c>
    </row>
    <row r="2327" spans="1:7" ht="44.25" customHeight="1">
      <c r="A2327" t="s">
        <v>8779</v>
      </c>
      <c r="B2327" t="s">
        <v>8780</v>
      </c>
      <c r="C2327" t="s">
        <v>132</v>
      </c>
      <c r="D2327" t="s">
        <v>2139</v>
      </c>
      <c r="E2327" t="s">
        <v>1367</v>
      </c>
      <c r="F2327" t="s">
        <v>145</v>
      </c>
      <c r="G2327" t="s">
        <v>8781</v>
      </c>
    </row>
    <row r="2328" spans="1:7" ht="44.25" customHeight="1">
      <c r="A2328" t="s">
        <v>276</v>
      </c>
      <c r="B2328" t="s">
        <v>8782</v>
      </c>
      <c r="C2328" t="s">
        <v>132</v>
      </c>
      <c r="D2328" t="s">
        <v>2143</v>
      </c>
      <c r="E2328" t="s">
        <v>2144</v>
      </c>
      <c r="F2328" t="s">
        <v>145</v>
      </c>
      <c r="G2328" t="s">
        <v>8783</v>
      </c>
    </row>
    <row r="2329" spans="1:7" ht="44.25" customHeight="1">
      <c r="A2329" t="s">
        <v>622</v>
      </c>
      <c r="B2329" t="s">
        <v>8784</v>
      </c>
      <c r="C2329" t="s">
        <v>132</v>
      </c>
      <c r="D2329" t="s">
        <v>2143</v>
      </c>
      <c r="E2329" t="s">
        <v>2151</v>
      </c>
      <c r="F2329" t="s">
        <v>145</v>
      </c>
      <c r="G2329" t="s">
        <v>8785</v>
      </c>
    </row>
    <row r="2330" spans="1:7" ht="44.25" customHeight="1">
      <c r="A2330" t="s">
        <v>8786</v>
      </c>
      <c r="B2330" t="s">
        <v>8787</v>
      </c>
      <c r="C2330" t="s">
        <v>132</v>
      </c>
      <c r="D2330" t="s">
        <v>79</v>
      </c>
      <c r="E2330" t="s">
        <v>8788</v>
      </c>
      <c r="F2330" t="s">
        <v>145</v>
      </c>
      <c r="G2330" t="s">
        <v>8789</v>
      </c>
    </row>
    <row r="2331" spans="1:7" ht="44.25" customHeight="1">
      <c r="A2331" t="s">
        <v>8790</v>
      </c>
      <c r="B2331" t="s">
        <v>8791</v>
      </c>
      <c r="C2331" t="s">
        <v>132</v>
      </c>
      <c r="D2331" t="s">
        <v>79</v>
      </c>
      <c r="E2331" t="s">
        <v>8792</v>
      </c>
      <c r="F2331" t="s">
        <v>145</v>
      </c>
      <c r="G2331" t="s">
        <v>8793</v>
      </c>
    </row>
    <row r="2332" spans="1:7" ht="44.25" customHeight="1">
      <c r="A2332" t="s">
        <v>8794</v>
      </c>
      <c r="B2332" t="s">
        <v>8795</v>
      </c>
      <c r="C2332" t="s">
        <v>132</v>
      </c>
      <c r="D2332" t="s">
        <v>79</v>
      </c>
      <c r="E2332" t="s">
        <v>8796</v>
      </c>
      <c r="F2332" t="s">
        <v>145</v>
      </c>
      <c r="G2332" t="s">
        <v>8797</v>
      </c>
    </row>
    <row r="2333" spans="1:7" ht="44.25" customHeight="1">
      <c r="A2333" t="s">
        <v>8798</v>
      </c>
      <c r="B2333" t="s">
        <v>8799</v>
      </c>
      <c r="C2333" t="s">
        <v>132</v>
      </c>
      <c r="D2333" t="s">
        <v>2143</v>
      </c>
      <c r="E2333" t="s">
        <v>1542</v>
      </c>
      <c r="F2333" t="s">
        <v>145</v>
      </c>
      <c r="G2333" t="s">
        <v>8800</v>
      </c>
    </row>
    <row r="2334" spans="1:7" ht="44.25" customHeight="1">
      <c r="A2334" t="s">
        <v>8801</v>
      </c>
      <c r="B2334" t="s">
        <v>8802</v>
      </c>
      <c r="C2334" t="s">
        <v>132</v>
      </c>
      <c r="D2334" t="s">
        <v>2143</v>
      </c>
      <c r="E2334" t="s">
        <v>1542</v>
      </c>
      <c r="F2334" t="s">
        <v>145</v>
      </c>
      <c r="G2334" t="s">
        <v>8803</v>
      </c>
    </row>
    <row r="2335" spans="1:7" ht="44.25" customHeight="1">
      <c r="A2335" t="s">
        <v>8804</v>
      </c>
      <c r="B2335" t="s">
        <v>8805</v>
      </c>
      <c r="C2335" t="s">
        <v>132</v>
      </c>
      <c r="D2335" t="s">
        <v>2143</v>
      </c>
      <c r="E2335" t="s">
        <v>1542</v>
      </c>
      <c r="F2335" t="s">
        <v>145</v>
      </c>
      <c r="G2335" t="s">
        <v>8806</v>
      </c>
    </row>
    <row r="2336" spans="1:7" ht="44.25" customHeight="1">
      <c r="A2336" t="s">
        <v>1437</v>
      </c>
      <c r="B2336" t="s">
        <v>8807</v>
      </c>
      <c r="C2336" t="s">
        <v>132</v>
      </c>
      <c r="D2336" t="s">
        <v>2143</v>
      </c>
      <c r="E2336" t="s">
        <v>1438</v>
      </c>
      <c r="F2336" t="s">
        <v>145</v>
      </c>
      <c r="G2336" t="s">
        <v>8808</v>
      </c>
    </row>
    <row r="2337" spans="1:7" ht="44.25" customHeight="1">
      <c r="A2337" t="s">
        <v>282</v>
      </c>
      <c r="B2337" t="s">
        <v>8809</v>
      </c>
      <c r="C2337" t="s">
        <v>132</v>
      </c>
      <c r="D2337" t="s">
        <v>2143</v>
      </c>
      <c r="E2337" t="s">
        <v>3048</v>
      </c>
      <c r="F2337" t="s">
        <v>145</v>
      </c>
      <c r="G2337" t="s">
        <v>8810</v>
      </c>
    </row>
    <row r="2338" spans="1:7" ht="44.25" customHeight="1">
      <c r="A2338" t="s">
        <v>8811</v>
      </c>
      <c r="B2338" t="s">
        <v>8812</v>
      </c>
      <c r="C2338" t="s">
        <v>132</v>
      </c>
      <c r="D2338" t="s">
        <v>2143</v>
      </c>
      <c r="E2338" t="s">
        <v>2162</v>
      </c>
      <c r="F2338" t="s">
        <v>145</v>
      </c>
      <c r="G2338" t="s">
        <v>8813</v>
      </c>
    </row>
    <row r="2339" spans="1:7" ht="44.25" customHeight="1">
      <c r="A2339" t="s">
        <v>1312</v>
      </c>
      <c r="B2339" t="s">
        <v>8814</v>
      </c>
      <c r="C2339" t="s">
        <v>132</v>
      </c>
      <c r="D2339" t="s">
        <v>2139</v>
      </c>
      <c r="E2339" t="s">
        <v>1367</v>
      </c>
      <c r="F2339" t="s">
        <v>145</v>
      </c>
      <c r="G2339" t="s">
        <v>8815</v>
      </c>
    </row>
    <row r="2340" spans="1:7" ht="44.25" customHeight="1">
      <c r="A2340" t="s">
        <v>702</v>
      </c>
      <c r="B2340" t="s">
        <v>8816</v>
      </c>
      <c r="C2340" t="s">
        <v>132</v>
      </c>
      <c r="D2340" t="s">
        <v>2143</v>
      </c>
      <c r="E2340" t="s">
        <v>2155</v>
      </c>
      <c r="F2340" t="s">
        <v>145</v>
      </c>
      <c r="G2340" t="s">
        <v>8817</v>
      </c>
    </row>
    <row r="2341" spans="1:7" ht="44.25" customHeight="1">
      <c r="A2341" t="s">
        <v>1032</v>
      </c>
      <c r="B2341" t="s">
        <v>8818</v>
      </c>
      <c r="C2341" t="s">
        <v>132</v>
      </c>
      <c r="D2341" t="s">
        <v>2143</v>
      </c>
      <c r="E2341" t="s">
        <v>8132</v>
      </c>
      <c r="F2341" t="s">
        <v>145</v>
      </c>
      <c r="G2341" t="s">
        <v>8819</v>
      </c>
    </row>
    <row r="2342" spans="1:7" ht="44.25" customHeight="1">
      <c r="A2342" t="s">
        <v>8820</v>
      </c>
      <c r="B2342" t="s">
        <v>8821</v>
      </c>
      <c r="C2342" t="s">
        <v>132</v>
      </c>
      <c r="D2342" t="s">
        <v>79</v>
      </c>
      <c r="E2342" t="s">
        <v>8822</v>
      </c>
      <c r="F2342" t="s">
        <v>145</v>
      </c>
      <c r="G2342" t="s">
        <v>8823</v>
      </c>
    </row>
    <row r="2343" spans="1:7" ht="44.25" customHeight="1">
      <c r="A2343" t="s">
        <v>8824</v>
      </c>
      <c r="B2343" t="s">
        <v>8825</v>
      </c>
      <c r="C2343" t="s">
        <v>132</v>
      </c>
      <c r="D2343" t="s">
        <v>79</v>
      </c>
      <c r="E2343" t="s">
        <v>8826</v>
      </c>
      <c r="F2343" t="s">
        <v>145</v>
      </c>
      <c r="G2343" t="s">
        <v>8827</v>
      </c>
    </row>
    <row r="2344" spans="1:7" ht="44.25" customHeight="1">
      <c r="A2344" t="s">
        <v>8824</v>
      </c>
      <c r="B2344" t="s">
        <v>8825</v>
      </c>
      <c r="C2344" t="s">
        <v>132</v>
      </c>
      <c r="D2344" t="s">
        <v>79</v>
      </c>
      <c r="E2344" t="s">
        <v>8826</v>
      </c>
      <c r="F2344" t="s">
        <v>145</v>
      </c>
      <c r="G2344" t="s">
        <v>8827</v>
      </c>
    </row>
    <row r="2345" spans="1:7" ht="44.25" customHeight="1">
      <c r="A2345" t="s">
        <v>8828</v>
      </c>
      <c r="B2345" t="s">
        <v>8829</v>
      </c>
      <c r="C2345" t="s">
        <v>132</v>
      </c>
      <c r="D2345" t="s">
        <v>8706</v>
      </c>
      <c r="E2345" t="s">
        <v>5777</v>
      </c>
      <c r="F2345" t="s">
        <v>145</v>
      </c>
      <c r="G2345" t="s">
        <v>8830</v>
      </c>
    </row>
    <row r="2346" spans="1:7" ht="44.25" customHeight="1">
      <c r="A2346" t="s">
        <v>132</v>
      </c>
      <c r="B2346" t="s">
        <v>8831</v>
      </c>
      <c r="C2346" t="s">
        <v>132</v>
      </c>
      <c r="D2346" t="s">
        <v>2143</v>
      </c>
      <c r="E2346" t="s">
        <v>2581</v>
      </c>
      <c r="F2346" t="s">
        <v>145</v>
      </c>
      <c r="G2346" t="s">
        <v>8832</v>
      </c>
    </row>
    <row r="2347" spans="1:7" ht="44.25" customHeight="1">
      <c r="A2347" t="s">
        <v>8833</v>
      </c>
      <c r="B2347" t="s">
        <v>8834</v>
      </c>
      <c r="C2347" t="s">
        <v>132</v>
      </c>
      <c r="D2347" t="s">
        <v>79</v>
      </c>
      <c r="E2347" t="s">
        <v>8835</v>
      </c>
      <c r="F2347" t="s">
        <v>145</v>
      </c>
      <c r="G2347" t="s">
        <v>8836</v>
      </c>
    </row>
    <row r="2348" spans="1:7" ht="44.25" customHeight="1">
      <c r="A2348" t="s">
        <v>499</v>
      </c>
      <c r="B2348" t="s">
        <v>8837</v>
      </c>
      <c r="C2348" t="s">
        <v>132</v>
      </c>
      <c r="D2348" t="s">
        <v>2143</v>
      </c>
      <c r="E2348" t="s">
        <v>2151</v>
      </c>
      <c r="F2348" t="s">
        <v>145</v>
      </c>
      <c r="G2348" t="s">
        <v>8838</v>
      </c>
    </row>
    <row r="2349" spans="1:7" ht="44.25" customHeight="1">
      <c r="A2349" t="s">
        <v>851</v>
      </c>
      <c r="B2349" t="s">
        <v>8839</v>
      </c>
      <c r="C2349" t="s">
        <v>132</v>
      </c>
      <c r="D2349" t="s">
        <v>2143</v>
      </c>
      <c r="E2349" t="s">
        <v>4522</v>
      </c>
      <c r="F2349" t="s">
        <v>145</v>
      </c>
      <c r="G2349" t="s">
        <v>8840</v>
      </c>
    </row>
    <row r="2350" spans="1:7" ht="44.25" customHeight="1">
      <c r="A2350" t="s">
        <v>697</v>
      </c>
      <c r="B2350" t="s">
        <v>8841</v>
      </c>
      <c r="C2350" t="s">
        <v>132</v>
      </c>
      <c r="D2350" t="s">
        <v>2143</v>
      </c>
      <c r="E2350" t="s">
        <v>2155</v>
      </c>
      <c r="F2350" t="s">
        <v>145</v>
      </c>
      <c r="G2350" t="s">
        <v>8842</v>
      </c>
    </row>
    <row r="2351" spans="1:7" ht="44.25" customHeight="1">
      <c r="A2351" t="s">
        <v>8843</v>
      </c>
      <c r="B2351" t="s">
        <v>8844</v>
      </c>
      <c r="C2351" t="s">
        <v>132</v>
      </c>
      <c r="D2351" t="s">
        <v>79</v>
      </c>
      <c r="E2351" t="s">
        <v>8845</v>
      </c>
      <c r="F2351" t="s">
        <v>145</v>
      </c>
      <c r="G2351" t="s">
        <v>8846</v>
      </c>
    </row>
    <row r="2352" spans="1:7" ht="44.25" customHeight="1">
      <c r="A2352" t="s">
        <v>8847</v>
      </c>
      <c r="B2352" t="s">
        <v>8848</v>
      </c>
      <c r="C2352" t="s">
        <v>132</v>
      </c>
      <c r="D2352" t="s">
        <v>79</v>
      </c>
      <c r="E2352" t="s">
        <v>8849</v>
      </c>
      <c r="F2352" t="s">
        <v>145</v>
      </c>
      <c r="G2352" t="s">
        <v>8850</v>
      </c>
    </row>
    <row r="2353" spans="1:7" ht="44.25" customHeight="1">
      <c r="A2353" t="s">
        <v>8847</v>
      </c>
      <c r="B2353" t="s">
        <v>8848</v>
      </c>
      <c r="C2353" t="s">
        <v>132</v>
      </c>
      <c r="D2353" t="s">
        <v>79</v>
      </c>
      <c r="E2353" t="s">
        <v>8849</v>
      </c>
      <c r="F2353" t="s">
        <v>145</v>
      </c>
      <c r="G2353" t="s">
        <v>8850</v>
      </c>
    </row>
    <row r="2354" spans="1:7" ht="44.25" customHeight="1">
      <c r="A2354" t="s">
        <v>8851</v>
      </c>
      <c r="B2354" t="s">
        <v>8852</v>
      </c>
      <c r="C2354" t="s">
        <v>132</v>
      </c>
      <c r="D2354" t="s">
        <v>2139</v>
      </c>
      <c r="E2354" t="s">
        <v>1365</v>
      </c>
      <c r="F2354" t="s">
        <v>145</v>
      </c>
      <c r="G2354" t="s">
        <v>8853</v>
      </c>
    </row>
    <row r="2355" spans="1:7" ht="44.25" customHeight="1">
      <c r="A2355" t="s">
        <v>8854</v>
      </c>
      <c r="B2355" t="s">
        <v>8855</v>
      </c>
      <c r="C2355" t="s">
        <v>132</v>
      </c>
      <c r="D2355" t="s">
        <v>2143</v>
      </c>
      <c r="E2355" t="s">
        <v>2162</v>
      </c>
      <c r="F2355" t="s">
        <v>145</v>
      </c>
      <c r="G2355" t="s">
        <v>8856</v>
      </c>
    </row>
    <row r="2356" spans="1:7" ht="44.25" customHeight="1">
      <c r="A2356" t="s">
        <v>1383</v>
      </c>
      <c r="B2356" t="s">
        <v>8857</v>
      </c>
      <c r="C2356" t="s">
        <v>132</v>
      </c>
      <c r="D2356" t="s">
        <v>2143</v>
      </c>
      <c r="E2356" t="s">
        <v>2162</v>
      </c>
      <c r="F2356" t="s">
        <v>145</v>
      </c>
      <c r="G2356" t="s">
        <v>8858</v>
      </c>
    </row>
    <row r="2357" spans="1:7" ht="44.25" customHeight="1">
      <c r="A2357" t="s">
        <v>1386</v>
      </c>
      <c r="B2357" t="s">
        <v>8859</v>
      </c>
      <c r="C2357" t="s">
        <v>132</v>
      </c>
      <c r="D2357" t="s">
        <v>2143</v>
      </c>
      <c r="E2357" t="s">
        <v>2162</v>
      </c>
      <c r="F2357" t="s">
        <v>145</v>
      </c>
      <c r="G2357" t="s">
        <v>8860</v>
      </c>
    </row>
    <row r="2358" spans="1:7" ht="44.25" customHeight="1">
      <c r="A2358" t="s">
        <v>1428</v>
      </c>
      <c r="B2358" t="s">
        <v>8861</v>
      </c>
      <c r="C2358" t="s">
        <v>132</v>
      </c>
      <c r="D2358" t="s">
        <v>2143</v>
      </c>
      <c r="E2358" t="s">
        <v>2162</v>
      </c>
      <c r="F2358" t="s">
        <v>145</v>
      </c>
      <c r="G2358" t="s">
        <v>8862</v>
      </c>
    </row>
    <row r="2359" spans="1:7" ht="44.25" customHeight="1">
      <c r="A2359" t="s">
        <v>1005</v>
      </c>
      <c r="B2359" t="s">
        <v>8863</v>
      </c>
      <c r="C2359" t="s">
        <v>132</v>
      </c>
      <c r="D2359" t="s">
        <v>2143</v>
      </c>
      <c r="E2359" t="s">
        <v>1365</v>
      </c>
      <c r="F2359" t="s">
        <v>145</v>
      </c>
      <c r="G2359" t="s">
        <v>8864</v>
      </c>
    </row>
    <row r="2360" spans="1:7" ht="44.25" customHeight="1">
      <c r="A2360" t="s">
        <v>908</v>
      </c>
      <c r="B2360" t="s">
        <v>8865</v>
      </c>
      <c r="C2360" t="s">
        <v>132</v>
      </c>
      <c r="D2360" t="s">
        <v>2143</v>
      </c>
      <c r="E2360" t="s">
        <v>2162</v>
      </c>
      <c r="F2360" t="s">
        <v>145</v>
      </c>
      <c r="G2360" t="s">
        <v>8866</v>
      </c>
    </row>
    <row r="2361" spans="1:7" ht="44.25" customHeight="1">
      <c r="A2361" t="s">
        <v>8867</v>
      </c>
      <c r="B2361" t="s">
        <v>8868</v>
      </c>
      <c r="C2361" t="s">
        <v>132</v>
      </c>
      <c r="D2361" t="s">
        <v>2143</v>
      </c>
      <c r="E2361" t="s">
        <v>8869</v>
      </c>
      <c r="F2361" t="s">
        <v>145</v>
      </c>
      <c r="G2361" t="s">
        <v>8870</v>
      </c>
    </row>
    <row r="2362" spans="1:7" ht="44.25" customHeight="1">
      <c r="A2362" t="s">
        <v>903</v>
      </c>
      <c r="B2362" t="s">
        <v>8871</v>
      </c>
      <c r="C2362" t="s">
        <v>132</v>
      </c>
      <c r="D2362" t="s">
        <v>2143</v>
      </c>
      <c r="E2362" t="s">
        <v>2162</v>
      </c>
      <c r="F2362" t="s">
        <v>145</v>
      </c>
      <c r="G2362" t="s">
        <v>8872</v>
      </c>
    </row>
    <row r="2363" spans="1:7" ht="44.25" customHeight="1">
      <c r="A2363" t="s">
        <v>837</v>
      </c>
      <c r="B2363" t="s">
        <v>8873</v>
      </c>
      <c r="C2363" t="s">
        <v>132</v>
      </c>
      <c r="D2363" t="s">
        <v>79</v>
      </c>
      <c r="E2363" t="s">
        <v>4091</v>
      </c>
      <c r="F2363" t="s">
        <v>145</v>
      </c>
      <c r="G2363" t="s">
        <v>8874</v>
      </c>
    </row>
    <row r="2364" spans="1:7" ht="44.25" customHeight="1">
      <c r="A2364" t="s">
        <v>8875</v>
      </c>
      <c r="B2364" t="s">
        <v>8876</v>
      </c>
      <c r="C2364" t="s">
        <v>132</v>
      </c>
      <c r="D2364" t="s">
        <v>79</v>
      </c>
      <c r="E2364" t="s">
        <v>8877</v>
      </c>
      <c r="F2364" t="s">
        <v>145</v>
      </c>
      <c r="G2364" t="s">
        <v>8878</v>
      </c>
    </row>
    <row r="2365" spans="1:7" ht="44.25" customHeight="1">
      <c r="A2365" t="s">
        <v>8879</v>
      </c>
      <c r="B2365" t="s">
        <v>8880</v>
      </c>
      <c r="C2365" t="s">
        <v>132</v>
      </c>
      <c r="D2365" t="s">
        <v>79</v>
      </c>
      <c r="E2365" t="s">
        <v>8881</v>
      </c>
      <c r="F2365" t="s">
        <v>145</v>
      </c>
      <c r="G2365" t="s">
        <v>8882</v>
      </c>
    </row>
    <row r="2366" spans="1:7" ht="44.25" customHeight="1">
      <c r="A2366" t="s">
        <v>8879</v>
      </c>
      <c r="B2366" t="s">
        <v>8880</v>
      </c>
      <c r="C2366" t="s">
        <v>132</v>
      </c>
      <c r="D2366" t="s">
        <v>79</v>
      </c>
      <c r="E2366" t="s">
        <v>8881</v>
      </c>
      <c r="F2366" t="s">
        <v>145</v>
      </c>
      <c r="G2366" t="s">
        <v>8882</v>
      </c>
    </row>
    <row r="2367" spans="1:7" ht="44.25" customHeight="1">
      <c r="A2367" t="s">
        <v>8879</v>
      </c>
      <c r="B2367" t="s">
        <v>8880</v>
      </c>
      <c r="C2367" t="s">
        <v>132</v>
      </c>
      <c r="D2367" t="s">
        <v>79</v>
      </c>
      <c r="E2367" t="s">
        <v>8881</v>
      </c>
      <c r="F2367" t="s">
        <v>145</v>
      </c>
      <c r="G2367" t="s">
        <v>8882</v>
      </c>
    </row>
    <row r="2368" spans="1:7" ht="44.25" customHeight="1">
      <c r="A2368" t="s">
        <v>132</v>
      </c>
      <c r="B2368" t="s">
        <v>8883</v>
      </c>
      <c r="C2368" t="s">
        <v>132</v>
      </c>
      <c r="D2368" t="s">
        <v>2143</v>
      </c>
      <c r="E2368" t="s">
        <v>5577</v>
      </c>
      <c r="F2368" t="s">
        <v>145</v>
      </c>
      <c r="G2368" t="s">
        <v>8884</v>
      </c>
    </row>
    <row r="2369" spans="1:7" ht="44.25" customHeight="1">
      <c r="A2369" t="s">
        <v>8885</v>
      </c>
      <c r="B2369" t="s">
        <v>8886</v>
      </c>
      <c r="C2369" t="s">
        <v>132</v>
      </c>
      <c r="D2369" t="s">
        <v>79</v>
      </c>
      <c r="E2369" t="s">
        <v>8887</v>
      </c>
      <c r="F2369" t="s">
        <v>145</v>
      </c>
      <c r="G2369" t="s">
        <v>8888</v>
      </c>
    </row>
    <row r="2370" spans="1:7" ht="44.25" customHeight="1">
      <c r="A2370" t="s">
        <v>8889</v>
      </c>
      <c r="B2370" t="s">
        <v>8890</v>
      </c>
      <c r="C2370" t="s">
        <v>132</v>
      </c>
      <c r="D2370" t="s">
        <v>2143</v>
      </c>
      <c r="E2370" t="s">
        <v>1542</v>
      </c>
      <c r="F2370" t="s">
        <v>145</v>
      </c>
      <c r="G2370" t="s">
        <v>8891</v>
      </c>
    </row>
    <row r="2371" spans="1:7" ht="44.25" customHeight="1">
      <c r="A2371" t="s">
        <v>8892</v>
      </c>
      <c r="B2371" t="s">
        <v>8893</v>
      </c>
      <c r="C2371" t="s">
        <v>132</v>
      </c>
      <c r="D2371" t="s">
        <v>2143</v>
      </c>
      <c r="E2371" t="s">
        <v>1542</v>
      </c>
      <c r="F2371" t="s">
        <v>145</v>
      </c>
      <c r="G2371" t="s">
        <v>8894</v>
      </c>
    </row>
    <row r="2372" spans="1:7" ht="44.25" customHeight="1">
      <c r="A2372" t="s">
        <v>1358</v>
      </c>
      <c r="B2372" t="s">
        <v>8895</v>
      </c>
      <c r="C2372" t="s">
        <v>132</v>
      </c>
      <c r="D2372" t="s">
        <v>2143</v>
      </c>
      <c r="E2372" t="s">
        <v>1542</v>
      </c>
      <c r="F2372" t="s">
        <v>145</v>
      </c>
      <c r="G2372" t="s">
        <v>8896</v>
      </c>
    </row>
    <row r="2373" spans="1:7" ht="44.25" customHeight="1">
      <c r="A2373" t="s">
        <v>8897</v>
      </c>
      <c r="B2373" t="s">
        <v>8898</v>
      </c>
      <c r="C2373" t="s">
        <v>132</v>
      </c>
      <c r="D2373" t="s">
        <v>2139</v>
      </c>
      <c r="E2373" t="s">
        <v>1367</v>
      </c>
      <c r="F2373" t="s">
        <v>145</v>
      </c>
      <c r="G2373" t="s">
        <v>8899</v>
      </c>
    </row>
    <row r="2374" spans="1:7" ht="44.25" customHeight="1">
      <c r="A2374" t="s">
        <v>1381</v>
      </c>
      <c r="B2374" t="s">
        <v>8900</v>
      </c>
      <c r="C2374" t="s">
        <v>132</v>
      </c>
      <c r="D2374" t="s">
        <v>2143</v>
      </c>
      <c r="E2374" t="s">
        <v>2162</v>
      </c>
      <c r="F2374" t="s">
        <v>145</v>
      </c>
      <c r="G2374" t="s">
        <v>8901</v>
      </c>
    </row>
    <row r="2375" spans="1:7" ht="44.25" customHeight="1">
      <c r="A2375" t="s">
        <v>823</v>
      </c>
      <c r="B2375" t="s">
        <v>8902</v>
      </c>
      <c r="C2375" t="s">
        <v>132</v>
      </c>
      <c r="D2375" t="s">
        <v>2143</v>
      </c>
      <c r="E2375" t="s">
        <v>4010</v>
      </c>
      <c r="F2375" t="s">
        <v>145</v>
      </c>
      <c r="G2375" t="s">
        <v>8903</v>
      </c>
    </row>
    <row r="2376" spans="1:7" ht="44.25" customHeight="1">
      <c r="A2376" t="s">
        <v>7982</v>
      </c>
      <c r="B2376" t="s">
        <v>7983</v>
      </c>
      <c r="C2376" t="s">
        <v>132</v>
      </c>
      <c r="D2376" t="s">
        <v>79</v>
      </c>
      <c r="E2376" t="s">
        <v>3368</v>
      </c>
      <c r="F2376" t="s">
        <v>145</v>
      </c>
      <c r="G2376" t="s">
        <v>8904</v>
      </c>
    </row>
    <row r="2377" spans="1:7" ht="44.25" customHeight="1">
      <c r="A2377" t="s">
        <v>8905</v>
      </c>
      <c r="B2377" t="s">
        <v>8906</v>
      </c>
      <c r="C2377" t="s">
        <v>132</v>
      </c>
      <c r="D2377" t="s">
        <v>79</v>
      </c>
      <c r="E2377" t="s">
        <v>8907</v>
      </c>
      <c r="F2377" t="s">
        <v>145</v>
      </c>
      <c r="G2377" t="s">
        <v>8908</v>
      </c>
    </row>
    <row r="2378" spans="1:7" ht="44.25" customHeight="1">
      <c r="A2378" t="s">
        <v>8909</v>
      </c>
      <c r="B2378" t="s">
        <v>8910</v>
      </c>
      <c r="C2378" t="s">
        <v>132</v>
      </c>
      <c r="D2378" t="s">
        <v>79</v>
      </c>
      <c r="E2378" t="s">
        <v>4363</v>
      </c>
      <c r="F2378" t="s">
        <v>145</v>
      </c>
      <c r="G2378" t="s">
        <v>8911</v>
      </c>
    </row>
    <row r="2379" spans="1:7" ht="44.25" customHeight="1">
      <c r="A2379" t="s">
        <v>8912</v>
      </c>
      <c r="B2379" t="s">
        <v>8913</v>
      </c>
      <c r="C2379" t="s">
        <v>132</v>
      </c>
      <c r="D2379" t="s">
        <v>79</v>
      </c>
      <c r="E2379" t="s">
        <v>4997</v>
      </c>
      <c r="F2379" t="s">
        <v>145</v>
      </c>
      <c r="G2379" t="s">
        <v>8914</v>
      </c>
    </row>
    <row r="2380" spans="1:7" ht="44.25" customHeight="1">
      <c r="A2380" t="s">
        <v>8915</v>
      </c>
      <c r="B2380" t="s">
        <v>8916</v>
      </c>
      <c r="C2380" t="s">
        <v>132</v>
      </c>
      <c r="D2380" t="s">
        <v>79</v>
      </c>
      <c r="E2380" t="s">
        <v>8917</v>
      </c>
      <c r="F2380" t="s">
        <v>145</v>
      </c>
      <c r="G2380" t="s">
        <v>8918</v>
      </c>
    </row>
    <row r="2381" spans="1:7" ht="44.25" customHeight="1">
      <c r="A2381" t="s">
        <v>8919</v>
      </c>
      <c r="B2381" t="s">
        <v>8920</v>
      </c>
      <c r="C2381" t="s">
        <v>132</v>
      </c>
      <c r="D2381" t="s">
        <v>79</v>
      </c>
      <c r="E2381" t="s">
        <v>8921</v>
      </c>
      <c r="F2381" t="s">
        <v>145</v>
      </c>
      <c r="G2381" t="s">
        <v>8922</v>
      </c>
    </row>
    <row r="2382" spans="1:7" ht="44.25" customHeight="1">
      <c r="A2382" t="s">
        <v>8923</v>
      </c>
      <c r="B2382" t="s">
        <v>8924</v>
      </c>
      <c r="C2382" t="s">
        <v>132</v>
      </c>
      <c r="D2382" t="s">
        <v>2143</v>
      </c>
      <c r="E2382" t="s">
        <v>5577</v>
      </c>
      <c r="F2382" t="s">
        <v>145</v>
      </c>
      <c r="G2382" t="s">
        <v>8925</v>
      </c>
    </row>
    <row r="2383" spans="1:7" ht="44.25" customHeight="1">
      <c r="A2383" t="s">
        <v>132</v>
      </c>
      <c r="B2383" t="s">
        <v>8926</v>
      </c>
      <c r="C2383" t="s">
        <v>132</v>
      </c>
      <c r="D2383" t="s">
        <v>2143</v>
      </c>
      <c r="E2383" t="s">
        <v>1542</v>
      </c>
      <c r="F2383" t="s">
        <v>145</v>
      </c>
      <c r="G2383" t="s">
        <v>8927</v>
      </c>
    </row>
    <row r="2384" spans="1:7" ht="44.25" customHeight="1">
      <c r="A2384" t="s">
        <v>8928</v>
      </c>
      <c r="B2384" t="s">
        <v>8929</v>
      </c>
      <c r="C2384" t="s">
        <v>132</v>
      </c>
      <c r="D2384" t="s">
        <v>2143</v>
      </c>
      <c r="E2384" t="s">
        <v>1542</v>
      </c>
      <c r="F2384" t="s">
        <v>145</v>
      </c>
      <c r="G2384" t="s">
        <v>8930</v>
      </c>
    </row>
    <row r="2385" spans="1:7" ht="44.25" customHeight="1">
      <c r="A2385" t="s">
        <v>8931</v>
      </c>
      <c r="B2385" t="s">
        <v>8932</v>
      </c>
      <c r="C2385" t="s">
        <v>132</v>
      </c>
      <c r="D2385" t="s">
        <v>2143</v>
      </c>
      <c r="E2385" t="s">
        <v>2285</v>
      </c>
      <c r="F2385" t="s">
        <v>145</v>
      </c>
      <c r="G2385" t="s">
        <v>8933</v>
      </c>
    </row>
    <row r="2386" spans="1:7" ht="44.25" customHeight="1">
      <c r="A2386" t="s">
        <v>8934</v>
      </c>
      <c r="B2386" t="s">
        <v>8935</v>
      </c>
      <c r="C2386" t="s">
        <v>132</v>
      </c>
      <c r="D2386" t="s">
        <v>2143</v>
      </c>
      <c r="E2386" t="s">
        <v>2285</v>
      </c>
      <c r="F2386" t="s">
        <v>145</v>
      </c>
      <c r="G2386" t="s">
        <v>8936</v>
      </c>
    </row>
    <row r="2387" spans="1:7" ht="44.25" customHeight="1">
      <c r="A2387" t="s">
        <v>8937</v>
      </c>
      <c r="B2387" t="s">
        <v>8938</v>
      </c>
      <c r="C2387" t="s">
        <v>132</v>
      </c>
      <c r="D2387" t="s">
        <v>2143</v>
      </c>
      <c r="E2387" t="s">
        <v>1542</v>
      </c>
      <c r="F2387" t="s">
        <v>145</v>
      </c>
      <c r="G2387" t="s">
        <v>8939</v>
      </c>
    </row>
    <row r="2388" spans="1:7" ht="44.25" customHeight="1">
      <c r="A2388" t="s">
        <v>8940</v>
      </c>
      <c r="B2388" t="s">
        <v>8941</v>
      </c>
      <c r="C2388" t="s">
        <v>132</v>
      </c>
      <c r="D2388" t="s">
        <v>2143</v>
      </c>
      <c r="E2388" t="s">
        <v>1542</v>
      </c>
      <c r="F2388" t="s">
        <v>145</v>
      </c>
      <c r="G2388" t="s">
        <v>8942</v>
      </c>
    </row>
    <row r="2389" spans="1:7" ht="44.25" customHeight="1">
      <c r="A2389" t="s">
        <v>8943</v>
      </c>
      <c r="B2389" t="s">
        <v>8944</v>
      </c>
      <c r="C2389" t="s">
        <v>132</v>
      </c>
      <c r="D2389" t="s">
        <v>79</v>
      </c>
      <c r="E2389" t="s">
        <v>8945</v>
      </c>
      <c r="F2389" t="s">
        <v>145</v>
      </c>
      <c r="G2389" t="s">
        <v>8946</v>
      </c>
    </row>
    <row r="2390" spans="1:7" ht="44.25" customHeight="1">
      <c r="A2390" t="s">
        <v>8947</v>
      </c>
      <c r="B2390" t="s">
        <v>8948</v>
      </c>
      <c r="C2390" t="s">
        <v>132</v>
      </c>
      <c r="D2390" t="s">
        <v>79</v>
      </c>
      <c r="E2390" t="s">
        <v>3402</v>
      </c>
      <c r="F2390" t="s">
        <v>145</v>
      </c>
      <c r="G2390" t="s">
        <v>8949</v>
      </c>
    </row>
    <row r="2391" spans="1:7" ht="44.25" customHeight="1">
      <c r="A2391" t="s">
        <v>8950</v>
      </c>
      <c r="B2391" t="s">
        <v>8951</v>
      </c>
      <c r="C2391" t="s">
        <v>132</v>
      </c>
      <c r="D2391" t="s">
        <v>2143</v>
      </c>
      <c r="E2391" t="s">
        <v>7350</v>
      </c>
      <c r="F2391" t="s">
        <v>145</v>
      </c>
      <c r="G2391" t="s">
        <v>8952</v>
      </c>
    </row>
    <row r="2392" spans="1:7" ht="44.25" customHeight="1">
      <c r="A2392" t="s">
        <v>8953</v>
      </c>
      <c r="B2392" t="s">
        <v>8954</v>
      </c>
      <c r="C2392" t="s">
        <v>132</v>
      </c>
      <c r="D2392" t="s">
        <v>79</v>
      </c>
      <c r="E2392" t="s">
        <v>8955</v>
      </c>
      <c r="F2392" t="s">
        <v>145</v>
      </c>
      <c r="G2392" t="s">
        <v>8956</v>
      </c>
    </row>
    <row r="2393" spans="1:7" ht="44.25" customHeight="1">
      <c r="A2393" t="s">
        <v>8957</v>
      </c>
      <c r="B2393" t="s">
        <v>8958</v>
      </c>
      <c r="C2393" t="s">
        <v>132</v>
      </c>
      <c r="D2393" t="s">
        <v>79</v>
      </c>
      <c r="E2393" t="s">
        <v>8959</v>
      </c>
      <c r="F2393" t="s">
        <v>145</v>
      </c>
      <c r="G2393" t="s">
        <v>8960</v>
      </c>
    </row>
    <row r="2394" spans="1:7" ht="44.25" customHeight="1">
      <c r="A2394" t="s">
        <v>8961</v>
      </c>
      <c r="B2394" t="s">
        <v>8962</v>
      </c>
      <c r="C2394" t="s">
        <v>132</v>
      </c>
      <c r="D2394" t="s">
        <v>79</v>
      </c>
      <c r="E2394" t="s">
        <v>8963</v>
      </c>
      <c r="F2394" t="s">
        <v>145</v>
      </c>
      <c r="G2394" t="s">
        <v>8964</v>
      </c>
    </row>
    <row r="2395" spans="1:7" ht="44.25" customHeight="1">
      <c r="A2395" t="s">
        <v>8965</v>
      </c>
      <c r="B2395" t="s">
        <v>8966</v>
      </c>
      <c r="C2395" t="s">
        <v>132</v>
      </c>
      <c r="D2395" t="s">
        <v>79</v>
      </c>
      <c r="E2395" t="s">
        <v>8967</v>
      </c>
      <c r="F2395" t="s">
        <v>145</v>
      </c>
      <c r="G2395" t="s">
        <v>8968</v>
      </c>
    </row>
    <row r="2396" spans="1:7" ht="44.25" customHeight="1">
      <c r="A2396" t="s">
        <v>8969</v>
      </c>
      <c r="B2396" t="s">
        <v>8970</v>
      </c>
      <c r="C2396" t="s">
        <v>132</v>
      </c>
      <c r="D2396" t="s">
        <v>79</v>
      </c>
      <c r="E2396" t="s">
        <v>8971</v>
      </c>
      <c r="F2396" t="s">
        <v>145</v>
      </c>
      <c r="G2396" t="s">
        <v>8972</v>
      </c>
    </row>
    <row r="2397" spans="1:7" ht="44.25" customHeight="1">
      <c r="A2397" t="s">
        <v>8973</v>
      </c>
      <c r="B2397" t="s">
        <v>8974</v>
      </c>
      <c r="C2397" t="s">
        <v>132</v>
      </c>
      <c r="D2397" t="s">
        <v>79</v>
      </c>
      <c r="E2397" t="s">
        <v>8975</v>
      </c>
      <c r="F2397" t="s">
        <v>145</v>
      </c>
      <c r="G2397" t="s">
        <v>8976</v>
      </c>
    </row>
    <row r="2398" spans="1:7" ht="44.25" customHeight="1">
      <c r="A2398" t="s">
        <v>8977</v>
      </c>
      <c r="B2398" t="s">
        <v>8978</v>
      </c>
      <c r="C2398" t="s">
        <v>132</v>
      </c>
      <c r="D2398" t="s">
        <v>79</v>
      </c>
      <c r="E2398" t="s">
        <v>8979</v>
      </c>
      <c r="F2398" t="s">
        <v>145</v>
      </c>
      <c r="G2398" t="s">
        <v>8980</v>
      </c>
    </row>
    <row r="2399" spans="1:7" ht="44.25" customHeight="1">
      <c r="A2399" t="s">
        <v>517</v>
      </c>
      <c r="B2399" t="s">
        <v>8981</v>
      </c>
      <c r="C2399" t="s">
        <v>132</v>
      </c>
      <c r="D2399" t="s">
        <v>79</v>
      </c>
      <c r="E2399" t="s">
        <v>1482</v>
      </c>
      <c r="F2399" t="s">
        <v>145</v>
      </c>
      <c r="G2399" t="s">
        <v>8982</v>
      </c>
    </row>
    <row r="2400" spans="1:7" ht="44.25" customHeight="1">
      <c r="A2400" t="s">
        <v>132</v>
      </c>
      <c r="B2400" t="s">
        <v>8983</v>
      </c>
      <c r="C2400" t="s">
        <v>132</v>
      </c>
      <c r="D2400" t="s">
        <v>2143</v>
      </c>
      <c r="E2400" t="s">
        <v>5624</v>
      </c>
      <c r="F2400" t="s">
        <v>145</v>
      </c>
      <c r="G2400" t="s">
        <v>8984</v>
      </c>
    </row>
    <row r="2401" spans="1:7" ht="44.25" customHeight="1">
      <c r="A2401" t="s">
        <v>8985</v>
      </c>
      <c r="B2401" t="s">
        <v>8986</v>
      </c>
      <c r="C2401" t="s">
        <v>132</v>
      </c>
      <c r="D2401" t="s">
        <v>2143</v>
      </c>
      <c r="E2401" t="s">
        <v>2285</v>
      </c>
      <c r="F2401" t="s">
        <v>145</v>
      </c>
      <c r="G2401" t="s">
        <v>8987</v>
      </c>
    </row>
    <row r="2402" spans="1:7" ht="44.25" customHeight="1">
      <c r="A2402" t="s">
        <v>8988</v>
      </c>
      <c r="B2402" t="s">
        <v>8989</v>
      </c>
      <c r="C2402" t="s">
        <v>132</v>
      </c>
      <c r="D2402" t="s">
        <v>2143</v>
      </c>
      <c r="E2402" t="s">
        <v>1542</v>
      </c>
      <c r="F2402" t="s">
        <v>145</v>
      </c>
      <c r="G2402" t="s">
        <v>8990</v>
      </c>
    </row>
    <row r="2403" spans="1:7" ht="44.25" customHeight="1">
      <c r="A2403" t="s">
        <v>8991</v>
      </c>
      <c r="B2403" t="s">
        <v>8992</v>
      </c>
      <c r="C2403" t="s">
        <v>132</v>
      </c>
      <c r="D2403" t="s">
        <v>79</v>
      </c>
      <c r="E2403" t="s">
        <v>8993</v>
      </c>
      <c r="F2403" t="s">
        <v>145</v>
      </c>
      <c r="G2403" t="s">
        <v>8994</v>
      </c>
    </row>
    <row r="2404" spans="1:7" ht="44.25" customHeight="1">
      <c r="A2404" t="s">
        <v>8995</v>
      </c>
      <c r="B2404" t="s">
        <v>8996</v>
      </c>
      <c r="C2404" t="s">
        <v>132</v>
      </c>
      <c r="D2404" t="s">
        <v>2143</v>
      </c>
      <c r="E2404" t="s">
        <v>1527</v>
      </c>
      <c r="F2404" t="s">
        <v>145</v>
      </c>
      <c r="G2404" t="s">
        <v>8997</v>
      </c>
    </row>
    <row r="2405" spans="1:7" ht="44.25" customHeight="1">
      <c r="A2405" t="s">
        <v>460</v>
      </c>
      <c r="B2405" t="s">
        <v>8998</v>
      </c>
      <c r="C2405" t="s">
        <v>132</v>
      </c>
      <c r="D2405" t="s">
        <v>79</v>
      </c>
      <c r="E2405" t="s">
        <v>8372</v>
      </c>
      <c r="F2405" t="s">
        <v>145</v>
      </c>
      <c r="G2405" t="s">
        <v>8999</v>
      </c>
    </row>
    <row r="2406" spans="1:7" ht="44.25" customHeight="1">
      <c r="A2406" t="s">
        <v>9000</v>
      </c>
      <c r="B2406" t="s">
        <v>9001</v>
      </c>
      <c r="C2406" t="s">
        <v>132</v>
      </c>
      <c r="D2406" t="s">
        <v>2143</v>
      </c>
      <c r="E2406" t="s">
        <v>8869</v>
      </c>
      <c r="F2406" t="s">
        <v>145</v>
      </c>
      <c r="G2406" t="s">
        <v>9002</v>
      </c>
    </row>
    <row r="2407" spans="1:7" ht="44.25" customHeight="1">
      <c r="A2407" t="s">
        <v>390</v>
      </c>
      <c r="B2407" t="s">
        <v>9003</v>
      </c>
      <c r="C2407" t="s">
        <v>132</v>
      </c>
      <c r="D2407" t="s">
        <v>2143</v>
      </c>
      <c r="E2407" t="s">
        <v>9004</v>
      </c>
      <c r="F2407" t="s">
        <v>145</v>
      </c>
      <c r="G2407" t="s">
        <v>9005</v>
      </c>
    </row>
    <row r="2408" spans="1:7" ht="44.25" customHeight="1">
      <c r="A2408" t="s">
        <v>404</v>
      </c>
      <c r="B2408" t="s">
        <v>9006</v>
      </c>
      <c r="C2408" t="s">
        <v>132</v>
      </c>
      <c r="D2408" t="s">
        <v>79</v>
      </c>
      <c r="E2408" t="s">
        <v>9007</v>
      </c>
      <c r="F2408" t="s">
        <v>145</v>
      </c>
      <c r="G2408" t="s">
        <v>9008</v>
      </c>
    </row>
    <row r="2409" spans="1:7" ht="44.25" customHeight="1">
      <c r="A2409" t="s">
        <v>9009</v>
      </c>
      <c r="B2409" t="s">
        <v>9010</v>
      </c>
      <c r="C2409" t="s">
        <v>132</v>
      </c>
      <c r="D2409" t="s">
        <v>79</v>
      </c>
      <c r="E2409" t="s">
        <v>9011</v>
      </c>
      <c r="F2409" t="s">
        <v>145</v>
      </c>
      <c r="G2409" t="s">
        <v>9012</v>
      </c>
    </row>
    <row r="2410" spans="1:7" ht="44.25" customHeight="1">
      <c r="A2410" t="s">
        <v>384</v>
      </c>
      <c r="B2410" t="s">
        <v>9013</v>
      </c>
      <c r="C2410" t="s">
        <v>9014</v>
      </c>
      <c r="D2410" t="s">
        <v>2143</v>
      </c>
      <c r="E2410" t="s">
        <v>1457</v>
      </c>
      <c r="F2410" t="s">
        <v>145</v>
      </c>
      <c r="G2410" t="s">
        <v>9015</v>
      </c>
    </row>
    <row r="2411" spans="1:7" ht="44.25" customHeight="1">
      <c r="A2411" t="s">
        <v>9016</v>
      </c>
      <c r="B2411" t="s">
        <v>9017</v>
      </c>
      <c r="C2411" t="s">
        <v>132</v>
      </c>
      <c r="D2411" t="s">
        <v>79</v>
      </c>
      <c r="E2411" t="s">
        <v>9018</v>
      </c>
      <c r="F2411" t="s">
        <v>145</v>
      </c>
      <c r="G2411" t="s">
        <v>9019</v>
      </c>
    </row>
    <row r="2412" spans="1:7" ht="44.25" customHeight="1">
      <c r="A2412" t="s">
        <v>1261</v>
      </c>
      <c r="B2412" t="s">
        <v>9020</v>
      </c>
      <c r="C2412" t="s">
        <v>132</v>
      </c>
      <c r="D2412" t="s">
        <v>2139</v>
      </c>
      <c r="E2412" t="s">
        <v>1367</v>
      </c>
      <c r="F2412" t="s">
        <v>145</v>
      </c>
      <c r="G2412" t="s">
        <v>9021</v>
      </c>
    </row>
    <row r="2413" spans="1:7" ht="44.25" customHeight="1">
      <c r="A2413" t="s">
        <v>9022</v>
      </c>
      <c r="B2413" t="s">
        <v>9023</v>
      </c>
      <c r="C2413" t="s">
        <v>132</v>
      </c>
      <c r="D2413" t="s">
        <v>79</v>
      </c>
      <c r="E2413" t="s">
        <v>9024</v>
      </c>
      <c r="F2413" t="s">
        <v>145</v>
      </c>
      <c r="G2413" t="s">
        <v>9025</v>
      </c>
    </row>
    <row r="2414" spans="1:7" ht="44.25" customHeight="1">
      <c r="A2414" t="s">
        <v>1023</v>
      </c>
      <c r="B2414" t="s">
        <v>9026</v>
      </c>
      <c r="C2414" t="s">
        <v>132</v>
      </c>
      <c r="D2414" t="s">
        <v>79</v>
      </c>
      <c r="E2414" t="s">
        <v>8243</v>
      </c>
      <c r="F2414" t="s">
        <v>145</v>
      </c>
      <c r="G2414" t="s">
        <v>9027</v>
      </c>
    </row>
    <row r="2415" spans="1:7" ht="44.25" customHeight="1">
      <c r="A2415" t="s">
        <v>459</v>
      </c>
      <c r="B2415" t="s">
        <v>9028</v>
      </c>
      <c r="C2415" t="s">
        <v>132</v>
      </c>
      <c r="D2415" t="s">
        <v>2143</v>
      </c>
      <c r="E2415" t="s">
        <v>8372</v>
      </c>
      <c r="F2415" t="s">
        <v>145</v>
      </c>
      <c r="G2415" t="s">
        <v>9029</v>
      </c>
    </row>
    <row r="2416" spans="1:7" ht="44.25" customHeight="1">
      <c r="A2416" t="s">
        <v>9030</v>
      </c>
      <c r="B2416" t="s">
        <v>9031</v>
      </c>
      <c r="C2416" t="s">
        <v>132</v>
      </c>
      <c r="D2416" t="s">
        <v>79</v>
      </c>
      <c r="E2416" t="s">
        <v>9032</v>
      </c>
      <c r="F2416" t="s">
        <v>145</v>
      </c>
      <c r="G2416" t="s">
        <v>9033</v>
      </c>
    </row>
    <row r="2417" spans="1:7" ht="44.25" customHeight="1">
      <c r="A2417" t="s">
        <v>813</v>
      </c>
      <c r="B2417" t="s">
        <v>9034</v>
      </c>
      <c r="C2417" t="s">
        <v>132</v>
      </c>
      <c r="D2417" t="s">
        <v>79</v>
      </c>
      <c r="E2417" t="s">
        <v>1533</v>
      </c>
      <c r="F2417" t="s">
        <v>145</v>
      </c>
      <c r="G2417" t="s">
        <v>9035</v>
      </c>
    </row>
    <row r="2418" spans="1:7" ht="44.25" customHeight="1">
      <c r="A2418" t="s">
        <v>813</v>
      </c>
      <c r="B2418" t="s">
        <v>9034</v>
      </c>
      <c r="C2418" t="s">
        <v>132</v>
      </c>
      <c r="D2418" t="s">
        <v>79</v>
      </c>
      <c r="E2418" t="s">
        <v>1533</v>
      </c>
      <c r="F2418" t="s">
        <v>145</v>
      </c>
      <c r="G2418" t="s">
        <v>9035</v>
      </c>
    </row>
    <row r="2419" spans="1:7" ht="44.25" customHeight="1">
      <c r="A2419" t="s">
        <v>813</v>
      </c>
      <c r="B2419" t="s">
        <v>9034</v>
      </c>
      <c r="C2419" t="s">
        <v>132</v>
      </c>
      <c r="D2419" t="s">
        <v>79</v>
      </c>
      <c r="E2419" t="s">
        <v>1533</v>
      </c>
      <c r="F2419" t="s">
        <v>145</v>
      </c>
      <c r="G2419" t="s">
        <v>9035</v>
      </c>
    </row>
    <row r="2420" spans="1:7" ht="44.25" customHeight="1">
      <c r="A2420" t="s">
        <v>132</v>
      </c>
      <c r="B2420" t="s">
        <v>9036</v>
      </c>
      <c r="C2420" t="s">
        <v>132</v>
      </c>
      <c r="D2420" t="s">
        <v>2143</v>
      </c>
      <c r="E2420" t="s">
        <v>5577</v>
      </c>
      <c r="F2420" t="s">
        <v>145</v>
      </c>
      <c r="G2420" t="s">
        <v>9037</v>
      </c>
    </row>
    <row r="2421" spans="1:7" ht="44.25" customHeight="1">
      <c r="A2421" t="s">
        <v>1039</v>
      </c>
      <c r="B2421" t="s">
        <v>9038</v>
      </c>
      <c r="C2421" t="s">
        <v>132</v>
      </c>
      <c r="D2421" t="s">
        <v>79</v>
      </c>
      <c r="E2421" t="s">
        <v>9039</v>
      </c>
      <c r="F2421" t="s">
        <v>145</v>
      </c>
      <c r="G2421" t="s">
        <v>9040</v>
      </c>
    </row>
    <row r="2422" spans="1:7" ht="44.25" customHeight="1">
      <c r="A2422" t="s">
        <v>783</v>
      </c>
      <c r="B2422" t="s">
        <v>9041</v>
      </c>
      <c r="C2422" t="s">
        <v>132</v>
      </c>
      <c r="D2422" t="s">
        <v>79</v>
      </c>
      <c r="E2422" t="s">
        <v>9018</v>
      </c>
      <c r="F2422" t="s">
        <v>145</v>
      </c>
      <c r="G2422" t="s">
        <v>9042</v>
      </c>
    </row>
    <row r="2423" spans="1:7" ht="44.25" customHeight="1">
      <c r="A2423" t="s">
        <v>9043</v>
      </c>
      <c r="B2423" t="s">
        <v>9044</v>
      </c>
      <c r="C2423" t="s">
        <v>132</v>
      </c>
      <c r="D2423" t="s">
        <v>2143</v>
      </c>
      <c r="E2423" t="s">
        <v>2285</v>
      </c>
      <c r="F2423" t="s">
        <v>145</v>
      </c>
      <c r="G2423" t="s">
        <v>9045</v>
      </c>
    </row>
    <row r="2424" spans="1:7" ht="44.25" customHeight="1">
      <c r="A2424" t="s">
        <v>9046</v>
      </c>
      <c r="B2424" t="s">
        <v>9047</v>
      </c>
      <c r="C2424" t="s">
        <v>132</v>
      </c>
      <c r="D2424" t="s">
        <v>2143</v>
      </c>
      <c r="E2424" t="s">
        <v>1542</v>
      </c>
      <c r="F2424" t="s">
        <v>145</v>
      </c>
      <c r="G2424" t="s">
        <v>9048</v>
      </c>
    </row>
    <row r="2425" spans="1:7" ht="44.25" customHeight="1">
      <c r="A2425" t="s">
        <v>221</v>
      </c>
      <c r="B2425" t="s">
        <v>9049</v>
      </c>
      <c r="C2425" t="s">
        <v>1432</v>
      </c>
      <c r="D2425" t="s">
        <v>2143</v>
      </c>
      <c r="E2425" t="s">
        <v>1431</v>
      </c>
      <c r="F2425" t="s">
        <v>145</v>
      </c>
      <c r="G2425" t="s">
        <v>9050</v>
      </c>
    </row>
    <row r="2426" spans="1:7" ht="44.25" customHeight="1">
      <c r="A2426" t="s">
        <v>132</v>
      </c>
      <c r="B2426" t="s">
        <v>9051</v>
      </c>
      <c r="C2426" t="s">
        <v>132</v>
      </c>
      <c r="D2426" t="s">
        <v>2143</v>
      </c>
      <c r="E2426" t="s">
        <v>1542</v>
      </c>
      <c r="F2426" t="s">
        <v>145</v>
      </c>
      <c r="G2426" t="s">
        <v>9052</v>
      </c>
    </row>
    <row r="2427" spans="1:7" ht="44.25" customHeight="1">
      <c r="A2427" t="s">
        <v>1034</v>
      </c>
      <c r="B2427" t="s">
        <v>9053</v>
      </c>
      <c r="C2427" t="s">
        <v>132</v>
      </c>
      <c r="D2427" t="s">
        <v>79</v>
      </c>
      <c r="E2427" t="s">
        <v>9054</v>
      </c>
      <c r="F2427" t="s">
        <v>145</v>
      </c>
      <c r="G2427" t="s">
        <v>9055</v>
      </c>
    </row>
    <row r="2428" spans="1:7" ht="44.25" customHeight="1">
      <c r="A2428" t="s">
        <v>9056</v>
      </c>
      <c r="B2428" t="s">
        <v>9057</v>
      </c>
      <c r="C2428" t="s">
        <v>132</v>
      </c>
      <c r="D2428" t="s">
        <v>2143</v>
      </c>
      <c r="E2428" t="s">
        <v>2162</v>
      </c>
      <c r="F2428" t="s">
        <v>145</v>
      </c>
      <c r="G2428" t="s">
        <v>9058</v>
      </c>
    </row>
    <row r="2429" spans="1:7" ht="44.25" customHeight="1">
      <c r="A2429" t="s">
        <v>9059</v>
      </c>
      <c r="B2429" t="s">
        <v>9060</v>
      </c>
      <c r="C2429" t="s">
        <v>132</v>
      </c>
      <c r="D2429" t="s">
        <v>79</v>
      </c>
      <c r="E2429" t="s">
        <v>6128</v>
      </c>
      <c r="F2429" t="s">
        <v>145</v>
      </c>
      <c r="G2429" t="s">
        <v>9061</v>
      </c>
    </row>
    <row r="2430" spans="1:7" ht="44.25" customHeight="1">
      <c r="A2430" t="s">
        <v>490</v>
      </c>
      <c r="B2430" t="s">
        <v>9062</v>
      </c>
      <c r="C2430" t="s">
        <v>132</v>
      </c>
      <c r="D2430" t="s">
        <v>79</v>
      </c>
      <c r="E2430" t="s">
        <v>7798</v>
      </c>
      <c r="F2430" t="s">
        <v>145</v>
      </c>
      <c r="G2430" t="s">
        <v>9063</v>
      </c>
    </row>
    <row r="2431" spans="1:7" ht="44.25" customHeight="1">
      <c r="A2431" t="s">
        <v>805</v>
      </c>
      <c r="B2431" t="s">
        <v>9064</v>
      </c>
      <c r="C2431" t="s">
        <v>132</v>
      </c>
      <c r="D2431" t="s">
        <v>2143</v>
      </c>
      <c r="E2431" t="s">
        <v>9065</v>
      </c>
      <c r="F2431" t="s">
        <v>145</v>
      </c>
      <c r="G2431" t="s">
        <v>9066</v>
      </c>
    </row>
    <row r="2432" spans="1:7" ht="44.25" customHeight="1">
      <c r="A2432" t="s">
        <v>9067</v>
      </c>
      <c r="B2432" t="s">
        <v>9068</v>
      </c>
      <c r="C2432" t="s">
        <v>132</v>
      </c>
      <c r="D2432" t="s">
        <v>79</v>
      </c>
      <c r="E2432" t="s">
        <v>9069</v>
      </c>
      <c r="F2432" t="s">
        <v>145</v>
      </c>
      <c r="G2432" t="s">
        <v>9070</v>
      </c>
    </row>
    <row r="2433" spans="1:7" ht="44.25" customHeight="1">
      <c r="A2433" t="s">
        <v>9071</v>
      </c>
      <c r="B2433" t="s">
        <v>9072</v>
      </c>
      <c r="C2433" t="s">
        <v>132</v>
      </c>
      <c r="D2433" t="s">
        <v>79</v>
      </c>
      <c r="E2433" t="s">
        <v>9073</v>
      </c>
      <c r="F2433" t="s">
        <v>145</v>
      </c>
      <c r="G2433" t="s">
        <v>9074</v>
      </c>
    </row>
    <row r="2434" spans="1:7" ht="44.25" customHeight="1">
      <c r="A2434" t="s">
        <v>9071</v>
      </c>
      <c r="B2434" t="s">
        <v>9072</v>
      </c>
      <c r="C2434" t="s">
        <v>132</v>
      </c>
      <c r="D2434" t="s">
        <v>79</v>
      </c>
      <c r="E2434" t="s">
        <v>9073</v>
      </c>
      <c r="F2434" t="s">
        <v>145</v>
      </c>
      <c r="G2434" t="s">
        <v>9074</v>
      </c>
    </row>
    <row r="2435" spans="1:7" ht="44.25" customHeight="1">
      <c r="A2435" t="s">
        <v>9075</v>
      </c>
      <c r="B2435" t="s">
        <v>9076</v>
      </c>
      <c r="C2435" t="s">
        <v>132</v>
      </c>
      <c r="D2435" t="s">
        <v>79</v>
      </c>
      <c r="E2435" t="s">
        <v>9077</v>
      </c>
      <c r="F2435" t="s">
        <v>145</v>
      </c>
      <c r="G2435" t="s">
        <v>9078</v>
      </c>
    </row>
    <row r="2436" spans="1:7" ht="44.25" customHeight="1">
      <c r="A2436" t="s">
        <v>132</v>
      </c>
      <c r="B2436" t="s">
        <v>9079</v>
      </c>
      <c r="C2436" t="s">
        <v>132</v>
      </c>
      <c r="D2436" t="s">
        <v>2143</v>
      </c>
      <c r="E2436" t="s">
        <v>5699</v>
      </c>
      <c r="F2436" t="s">
        <v>145</v>
      </c>
      <c r="G2436" t="s">
        <v>9080</v>
      </c>
    </row>
    <row r="2437" spans="1:7" ht="44.25" customHeight="1">
      <c r="A2437" t="s">
        <v>132</v>
      </c>
      <c r="B2437" t="s">
        <v>9081</v>
      </c>
      <c r="C2437" t="s">
        <v>132</v>
      </c>
      <c r="D2437" t="s">
        <v>2143</v>
      </c>
      <c r="E2437" t="s">
        <v>5577</v>
      </c>
      <c r="F2437" t="s">
        <v>145</v>
      </c>
      <c r="G2437" t="s">
        <v>9082</v>
      </c>
    </row>
    <row r="2438" spans="1:7" ht="44.25" customHeight="1">
      <c r="A2438" t="s">
        <v>9083</v>
      </c>
      <c r="B2438" t="s">
        <v>9084</v>
      </c>
      <c r="C2438" t="s">
        <v>132</v>
      </c>
      <c r="D2438" t="s">
        <v>2143</v>
      </c>
      <c r="E2438" t="s">
        <v>1542</v>
      </c>
      <c r="F2438" t="s">
        <v>145</v>
      </c>
      <c r="G2438" t="s">
        <v>9085</v>
      </c>
    </row>
    <row r="2439" spans="1:7" ht="44.25" customHeight="1">
      <c r="A2439" t="s">
        <v>9086</v>
      </c>
      <c r="B2439" t="s">
        <v>9087</v>
      </c>
      <c r="C2439" t="s">
        <v>132</v>
      </c>
      <c r="D2439" t="s">
        <v>2143</v>
      </c>
      <c r="E2439" t="s">
        <v>1542</v>
      </c>
      <c r="F2439" t="s">
        <v>145</v>
      </c>
      <c r="G2439" t="s">
        <v>9088</v>
      </c>
    </row>
    <row r="2440" spans="1:7" ht="44.25" customHeight="1">
      <c r="A2440" t="s">
        <v>9089</v>
      </c>
      <c r="B2440" t="s">
        <v>9090</v>
      </c>
      <c r="C2440" t="s">
        <v>132</v>
      </c>
      <c r="D2440" t="s">
        <v>2143</v>
      </c>
      <c r="E2440" t="s">
        <v>1542</v>
      </c>
      <c r="F2440" t="s">
        <v>145</v>
      </c>
      <c r="G2440" t="s">
        <v>9091</v>
      </c>
    </row>
    <row r="2441" spans="1:7" ht="44.25" customHeight="1">
      <c r="A2441" t="s">
        <v>9092</v>
      </c>
      <c r="B2441" t="s">
        <v>9093</v>
      </c>
      <c r="C2441" t="s">
        <v>132</v>
      </c>
      <c r="D2441" t="s">
        <v>2143</v>
      </c>
      <c r="E2441" t="s">
        <v>1542</v>
      </c>
      <c r="F2441" t="s">
        <v>145</v>
      </c>
      <c r="G2441" t="s">
        <v>9094</v>
      </c>
    </row>
    <row r="2442" spans="1:7" ht="44.25" customHeight="1">
      <c r="A2442" t="s">
        <v>288</v>
      </c>
      <c r="B2442" t="s">
        <v>9095</v>
      </c>
      <c r="C2442" t="s">
        <v>132</v>
      </c>
      <c r="D2442" t="s">
        <v>2143</v>
      </c>
      <c r="E2442" t="s">
        <v>3048</v>
      </c>
      <c r="F2442" t="s">
        <v>145</v>
      </c>
      <c r="G2442" t="s">
        <v>9096</v>
      </c>
    </row>
    <row r="2443" spans="1:7" ht="44.25" customHeight="1">
      <c r="A2443" t="s">
        <v>9097</v>
      </c>
      <c r="B2443" t="s">
        <v>9098</v>
      </c>
      <c r="C2443" t="s">
        <v>132</v>
      </c>
      <c r="D2443" t="s">
        <v>2143</v>
      </c>
      <c r="E2443" t="s">
        <v>2285</v>
      </c>
      <c r="F2443" t="s">
        <v>145</v>
      </c>
      <c r="G2443" t="s">
        <v>9099</v>
      </c>
    </row>
    <row r="2444" spans="1:7" ht="44.25" customHeight="1">
      <c r="A2444" t="s">
        <v>9100</v>
      </c>
      <c r="B2444" t="s">
        <v>9101</v>
      </c>
      <c r="C2444" t="s">
        <v>132</v>
      </c>
      <c r="D2444" t="s">
        <v>2143</v>
      </c>
      <c r="E2444" t="s">
        <v>2581</v>
      </c>
      <c r="F2444" t="s">
        <v>145</v>
      </c>
      <c r="G2444" t="s">
        <v>9102</v>
      </c>
    </row>
    <row r="2445" spans="1:7" ht="44.25" customHeight="1">
      <c r="A2445" t="s">
        <v>9103</v>
      </c>
      <c r="B2445" t="s">
        <v>9104</v>
      </c>
      <c r="C2445" t="s">
        <v>132</v>
      </c>
      <c r="D2445" t="s">
        <v>2139</v>
      </c>
      <c r="E2445" t="s">
        <v>1367</v>
      </c>
      <c r="F2445" t="s">
        <v>145</v>
      </c>
      <c r="G2445" t="s">
        <v>9105</v>
      </c>
    </row>
    <row r="2446" spans="1:7" ht="44.25" customHeight="1">
      <c r="A2446" t="s">
        <v>9106</v>
      </c>
      <c r="B2446" t="s">
        <v>9107</v>
      </c>
      <c r="C2446" t="s">
        <v>132</v>
      </c>
      <c r="D2446" t="s">
        <v>2139</v>
      </c>
      <c r="E2446" t="s">
        <v>1367</v>
      </c>
      <c r="F2446" t="s">
        <v>145</v>
      </c>
      <c r="G2446" t="s">
        <v>9108</v>
      </c>
    </row>
    <row r="2447" spans="1:7" ht="44.25" customHeight="1">
      <c r="A2447" t="s">
        <v>9109</v>
      </c>
      <c r="B2447" t="s">
        <v>9110</v>
      </c>
      <c r="C2447" t="s">
        <v>132</v>
      </c>
      <c r="D2447" t="s">
        <v>2139</v>
      </c>
      <c r="E2447" t="s">
        <v>1367</v>
      </c>
      <c r="F2447" t="s">
        <v>145</v>
      </c>
      <c r="G2447" t="s">
        <v>9111</v>
      </c>
    </row>
    <row r="2448" spans="1:7" ht="44.25" customHeight="1">
      <c r="A2448" t="s">
        <v>1265</v>
      </c>
      <c r="B2448" t="s">
        <v>9112</v>
      </c>
      <c r="C2448" t="s">
        <v>132</v>
      </c>
      <c r="D2448" t="s">
        <v>2139</v>
      </c>
      <c r="E2448" t="s">
        <v>1367</v>
      </c>
      <c r="F2448" t="s">
        <v>145</v>
      </c>
      <c r="G2448" t="s">
        <v>9113</v>
      </c>
    </row>
    <row r="2449" spans="1:7" ht="44.25" customHeight="1">
      <c r="A2449" t="s">
        <v>1308</v>
      </c>
      <c r="B2449" t="s">
        <v>9114</v>
      </c>
      <c r="C2449" t="s">
        <v>132</v>
      </c>
      <c r="D2449" t="s">
        <v>2139</v>
      </c>
      <c r="E2449" t="s">
        <v>1367</v>
      </c>
      <c r="F2449" t="s">
        <v>145</v>
      </c>
      <c r="G2449" t="s">
        <v>9115</v>
      </c>
    </row>
    <row r="2450" spans="1:7" ht="44.25" customHeight="1">
      <c r="A2450" t="s">
        <v>394</v>
      </c>
      <c r="B2450" t="s">
        <v>9116</v>
      </c>
      <c r="C2450" t="s">
        <v>132</v>
      </c>
      <c r="D2450" t="s">
        <v>79</v>
      </c>
      <c r="E2450" t="s">
        <v>6463</v>
      </c>
      <c r="F2450" t="s">
        <v>145</v>
      </c>
      <c r="G2450" t="s">
        <v>9117</v>
      </c>
    </row>
    <row r="2451" spans="1:7" ht="44.25" customHeight="1">
      <c r="A2451" t="s">
        <v>944</v>
      </c>
      <c r="B2451" t="s">
        <v>9118</v>
      </c>
      <c r="C2451" t="s">
        <v>132</v>
      </c>
      <c r="D2451" t="s">
        <v>2143</v>
      </c>
      <c r="E2451" t="s">
        <v>2162</v>
      </c>
      <c r="F2451" t="s">
        <v>145</v>
      </c>
      <c r="G2451" t="s">
        <v>9119</v>
      </c>
    </row>
    <row r="2452" spans="1:7" ht="44.25" customHeight="1">
      <c r="A2452" t="s">
        <v>936</v>
      </c>
      <c r="B2452" t="s">
        <v>9120</v>
      </c>
      <c r="C2452" t="s">
        <v>132</v>
      </c>
      <c r="D2452" t="s">
        <v>2143</v>
      </c>
      <c r="E2452" t="s">
        <v>2162</v>
      </c>
      <c r="F2452" t="s">
        <v>145</v>
      </c>
      <c r="G2452" t="s">
        <v>9121</v>
      </c>
    </row>
    <row r="2453" spans="1:7" ht="44.25" customHeight="1">
      <c r="A2453" t="s">
        <v>132</v>
      </c>
      <c r="B2453" t="s">
        <v>9122</v>
      </c>
      <c r="C2453" t="s">
        <v>132</v>
      </c>
      <c r="D2453" t="s">
        <v>2143</v>
      </c>
      <c r="E2453" t="s">
        <v>2581</v>
      </c>
      <c r="F2453" t="s">
        <v>145</v>
      </c>
      <c r="G2453" t="s">
        <v>9123</v>
      </c>
    </row>
    <row r="2454" spans="1:7" ht="44.25" customHeight="1">
      <c r="A2454" t="s">
        <v>9124</v>
      </c>
      <c r="B2454" t="s">
        <v>9125</v>
      </c>
      <c r="C2454" t="s">
        <v>132</v>
      </c>
      <c r="D2454" t="s">
        <v>79</v>
      </c>
      <c r="E2454" t="s">
        <v>9126</v>
      </c>
      <c r="F2454" t="s">
        <v>145</v>
      </c>
      <c r="G2454" t="s">
        <v>9127</v>
      </c>
    </row>
    <row r="2455" spans="1:7" ht="44.25" customHeight="1">
      <c r="A2455" t="s">
        <v>9128</v>
      </c>
      <c r="B2455" t="s">
        <v>9129</v>
      </c>
      <c r="C2455" t="s">
        <v>132</v>
      </c>
      <c r="D2455" t="s">
        <v>2143</v>
      </c>
      <c r="E2455" t="s">
        <v>1542</v>
      </c>
      <c r="F2455" t="s">
        <v>145</v>
      </c>
      <c r="G2455" t="s">
        <v>9130</v>
      </c>
    </row>
    <row r="2456" spans="1:7" ht="44.25" customHeight="1">
      <c r="A2456" t="s">
        <v>9131</v>
      </c>
      <c r="B2456" t="s">
        <v>9132</v>
      </c>
      <c r="C2456" t="s">
        <v>132</v>
      </c>
      <c r="D2456" t="s">
        <v>2143</v>
      </c>
      <c r="E2456" t="s">
        <v>1542</v>
      </c>
      <c r="F2456" t="s">
        <v>145</v>
      </c>
      <c r="G2456" t="s">
        <v>9133</v>
      </c>
    </row>
    <row r="2457" spans="1:7" ht="44.25" customHeight="1">
      <c r="A2457" t="s">
        <v>9134</v>
      </c>
      <c r="B2457" t="s">
        <v>9135</v>
      </c>
      <c r="C2457" t="s">
        <v>132</v>
      </c>
      <c r="D2457" t="s">
        <v>2143</v>
      </c>
      <c r="E2457" t="s">
        <v>1542</v>
      </c>
      <c r="F2457" t="s">
        <v>145</v>
      </c>
      <c r="G2457" t="s">
        <v>9136</v>
      </c>
    </row>
    <row r="2458" spans="1:7" ht="44.25" customHeight="1">
      <c r="A2458" t="s">
        <v>9137</v>
      </c>
      <c r="B2458" t="s">
        <v>9138</v>
      </c>
      <c r="C2458" t="s">
        <v>132</v>
      </c>
      <c r="D2458" t="s">
        <v>79</v>
      </c>
      <c r="E2458" t="s">
        <v>7240</v>
      </c>
      <c r="F2458" t="s">
        <v>145</v>
      </c>
      <c r="G2458" t="s">
        <v>9139</v>
      </c>
    </row>
    <row r="2459" spans="1:7" ht="44.25" customHeight="1">
      <c r="A2459" t="s">
        <v>9140</v>
      </c>
      <c r="B2459" t="s">
        <v>9141</v>
      </c>
      <c r="C2459" t="s">
        <v>132</v>
      </c>
      <c r="D2459" t="s">
        <v>2139</v>
      </c>
      <c r="E2459" t="s">
        <v>1367</v>
      </c>
      <c r="F2459" t="s">
        <v>145</v>
      </c>
      <c r="G2459" t="s">
        <v>9142</v>
      </c>
    </row>
    <row r="2460" spans="1:7" ht="44.25" customHeight="1">
      <c r="A2460" t="s">
        <v>9143</v>
      </c>
      <c r="B2460" t="s">
        <v>9144</v>
      </c>
      <c r="C2460" t="s">
        <v>132</v>
      </c>
      <c r="D2460" t="s">
        <v>2139</v>
      </c>
      <c r="E2460" t="s">
        <v>1367</v>
      </c>
      <c r="F2460" t="s">
        <v>145</v>
      </c>
      <c r="G2460" t="s">
        <v>9145</v>
      </c>
    </row>
    <row r="2461" spans="1:7" ht="44.25" customHeight="1">
      <c r="A2461" t="s">
        <v>9146</v>
      </c>
      <c r="B2461" t="s">
        <v>9147</v>
      </c>
      <c r="C2461" t="s">
        <v>132</v>
      </c>
      <c r="D2461" t="s">
        <v>79</v>
      </c>
      <c r="E2461" t="s">
        <v>9148</v>
      </c>
      <c r="F2461" t="s">
        <v>145</v>
      </c>
      <c r="G2461" t="s">
        <v>9149</v>
      </c>
    </row>
    <row r="2462" spans="1:7" ht="44.25" customHeight="1">
      <c r="A2462" t="s">
        <v>412</v>
      </c>
      <c r="B2462" t="s">
        <v>7055</v>
      </c>
      <c r="C2462" t="s">
        <v>132</v>
      </c>
      <c r="D2462" t="s">
        <v>79</v>
      </c>
      <c r="E2462" t="s">
        <v>7056</v>
      </c>
      <c r="F2462" t="s">
        <v>145</v>
      </c>
      <c r="G2462" t="s">
        <v>9150</v>
      </c>
    </row>
    <row r="2463" spans="1:7" ht="44.25" customHeight="1">
      <c r="A2463" t="s">
        <v>132</v>
      </c>
      <c r="B2463" t="s">
        <v>9151</v>
      </c>
      <c r="C2463" t="s">
        <v>132</v>
      </c>
      <c r="D2463" t="s">
        <v>79</v>
      </c>
      <c r="E2463" t="s">
        <v>1479</v>
      </c>
      <c r="F2463" t="s">
        <v>145</v>
      </c>
      <c r="G2463" t="s">
        <v>9152</v>
      </c>
    </row>
    <row r="2464" spans="1:7" ht="44.25" customHeight="1">
      <c r="A2464" t="s">
        <v>9153</v>
      </c>
      <c r="B2464" t="s">
        <v>9154</v>
      </c>
      <c r="C2464" t="s">
        <v>132</v>
      </c>
      <c r="D2464" t="s">
        <v>79</v>
      </c>
      <c r="E2464" t="s">
        <v>9155</v>
      </c>
      <c r="F2464" t="s">
        <v>145</v>
      </c>
      <c r="G2464" t="s">
        <v>9156</v>
      </c>
    </row>
    <row r="2465" spans="1:7" ht="44.25" customHeight="1">
      <c r="A2465" t="s">
        <v>9157</v>
      </c>
      <c r="B2465" t="s">
        <v>9158</v>
      </c>
      <c r="C2465" t="s">
        <v>132</v>
      </c>
      <c r="D2465" t="s">
        <v>79</v>
      </c>
      <c r="E2465" t="s">
        <v>9159</v>
      </c>
      <c r="F2465" t="s">
        <v>145</v>
      </c>
      <c r="G2465" t="s">
        <v>9160</v>
      </c>
    </row>
    <row r="2466" spans="1:7" ht="44.25" customHeight="1">
      <c r="A2466" t="s">
        <v>9161</v>
      </c>
      <c r="B2466" t="s">
        <v>9162</v>
      </c>
      <c r="C2466" t="s">
        <v>132</v>
      </c>
      <c r="D2466" t="s">
        <v>79</v>
      </c>
      <c r="E2466" t="s">
        <v>9163</v>
      </c>
      <c r="F2466" t="s">
        <v>145</v>
      </c>
      <c r="G2466" t="s">
        <v>9164</v>
      </c>
    </row>
    <row r="2467" spans="1:7" ht="44.25" customHeight="1">
      <c r="A2467" t="s">
        <v>9165</v>
      </c>
      <c r="B2467" t="s">
        <v>9166</v>
      </c>
      <c r="C2467" t="s">
        <v>132</v>
      </c>
      <c r="D2467" t="s">
        <v>79</v>
      </c>
      <c r="E2467" t="s">
        <v>9167</v>
      </c>
      <c r="F2467" t="s">
        <v>145</v>
      </c>
      <c r="G2467" t="s">
        <v>9168</v>
      </c>
    </row>
    <row r="2468" spans="1:7" ht="44.25" customHeight="1">
      <c r="A2468" t="s">
        <v>9169</v>
      </c>
      <c r="B2468" t="s">
        <v>9170</v>
      </c>
      <c r="C2468" t="s">
        <v>132</v>
      </c>
      <c r="D2468" t="s">
        <v>2143</v>
      </c>
      <c r="E2468" t="s">
        <v>5699</v>
      </c>
      <c r="F2468" t="s">
        <v>145</v>
      </c>
      <c r="G2468" t="s">
        <v>9171</v>
      </c>
    </row>
    <row r="2469" spans="1:7" ht="44.25" customHeight="1">
      <c r="A2469" t="s">
        <v>9172</v>
      </c>
      <c r="B2469" t="s">
        <v>9173</v>
      </c>
      <c r="C2469" t="s">
        <v>132</v>
      </c>
      <c r="D2469" t="s">
        <v>2143</v>
      </c>
      <c r="E2469" t="s">
        <v>1542</v>
      </c>
      <c r="F2469" t="s">
        <v>145</v>
      </c>
      <c r="G2469" t="s">
        <v>9174</v>
      </c>
    </row>
    <row r="2470" spans="1:7" ht="44.25" customHeight="1">
      <c r="A2470" t="s">
        <v>9175</v>
      </c>
      <c r="B2470" t="s">
        <v>9176</v>
      </c>
      <c r="C2470" t="s">
        <v>132</v>
      </c>
      <c r="D2470" t="s">
        <v>2143</v>
      </c>
      <c r="E2470" t="s">
        <v>1542</v>
      </c>
      <c r="F2470" t="s">
        <v>145</v>
      </c>
      <c r="G2470" t="s">
        <v>9177</v>
      </c>
    </row>
    <row r="2471" spans="1:7" ht="44.25" customHeight="1">
      <c r="A2471" t="s">
        <v>132</v>
      </c>
      <c r="B2471" t="s">
        <v>9178</v>
      </c>
      <c r="C2471" t="s">
        <v>132</v>
      </c>
      <c r="D2471" t="s">
        <v>2143</v>
      </c>
      <c r="E2471" t="s">
        <v>1438</v>
      </c>
      <c r="F2471" t="s">
        <v>145</v>
      </c>
      <c r="G2471" t="s">
        <v>9179</v>
      </c>
    </row>
    <row r="2472" spans="1:7" ht="44.25" customHeight="1">
      <c r="A2472" t="s">
        <v>9180</v>
      </c>
      <c r="B2472" t="s">
        <v>9181</v>
      </c>
      <c r="C2472" t="s">
        <v>132</v>
      </c>
      <c r="D2472" t="s">
        <v>2143</v>
      </c>
      <c r="E2472" t="s">
        <v>1542</v>
      </c>
      <c r="F2472" t="s">
        <v>145</v>
      </c>
      <c r="G2472" t="s">
        <v>9182</v>
      </c>
    </row>
    <row r="2473" spans="1:7" ht="44.25" customHeight="1">
      <c r="A2473" t="s">
        <v>9183</v>
      </c>
      <c r="B2473" t="s">
        <v>9184</v>
      </c>
      <c r="C2473" t="s">
        <v>132</v>
      </c>
      <c r="D2473" t="s">
        <v>2143</v>
      </c>
      <c r="E2473" t="s">
        <v>2162</v>
      </c>
      <c r="F2473" t="s">
        <v>145</v>
      </c>
      <c r="G2473" t="s">
        <v>9185</v>
      </c>
    </row>
    <row r="2474" spans="1:7" ht="44.25" customHeight="1">
      <c r="A2474" t="s">
        <v>9186</v>
      </c>
      <c r="B2474" t="s">
        <v>9187</v>
      </c>
      <c r="C2474" t="s">
        <v>132</v>
      </c>
      <c r="D2474" t="s">
        <v>2139</v>
      </c>
      <c r="E2474" t="s">
        <v>1367</v>
      </c>
      <c r="F2474" t="s">
        <v>145</v>
      </c>
      <c r="G2474" t="s">
        <v>9188</v>
      </c>
    </row>
    <row r="2475" spans="1:7" ht="44.25" customHeight="1">
      <c r="A2475" t="s">
        <v>9189</v>
      </c>
      <c r="B2475" t="s">
        <v>9190</v>
      </c>
      <c r="C2475" t="s">
        <v>132</v>
      </c>
      <c r="D2475" t="s">
        <v>2143</v>
      </c>
      <c r="E2475" t="s">
        <v>2162</v>
      </c>
      <c r="F2475" t="s">
        <v>145</v>
      </c>
      <c r="G2475" t="s">
        <v>9191</v>
      </c>
    </row>
    <row r="2476" spans="1:7" ht="44.25" customHeight="1">
      <c r="A2476" t="s">
        <v>9192</v>
      </c>
      <c r="B2476" t="s">
        <v>9193</v>
      </c>
      <c r="C2476" t="s">
        <v>132</v>
      </c>
      <c r="D2476" t="s">
        <v>2143</v>
      </c>
      <c r="E2476" t="s">
        <v>2162</v>
      </c>
      <c r="F2476" t="s">
        <v>145</v>
      </c>
      <c r="G2476" t="s">
        <v>9194</v>
      </c>
    </row>
    <row r="2477" spans="1:7" ht="44.25" customHeight="1">
      <c r="A2477" t="s">
        <v>9195</v>
      </c>
      <c r="B2477" t="s">
        <v>9196</v>
      </c>
      <c r="C2477" t="s">
        <v>132</v>
      </c>
      <c r="D2477" t="s">
        <v>79</v>
      </c>
      <c r="E2477" t="s">
        <v>9197</v>
      </c>
      <c r="F2477" t="s">
        <v>145</v>
      </c>
      <c r="G2477" t="s">
        <v>9198</v>
      </c>
    </row>
    <row r="2478" spans="1:7" ht="44.25" customHeight="1">
      <c r="A2478" t="s">
        <v>132</v>
      </c>
      <c r="B2478" t="s">
        <v>9199</v>
      </c>
      <c r="C2478" t="s">
        <v>132</v>
      </c>
      <c r="D2478" t="s">
        <v>2143</v>
      </c>
      <c r="E2478" t="s">
        <v>5577</v>
      </c>
      <c r="F2478" t="s">
        <v>145</v>
      </c>
      <c r="G2478" t="s">
        <v>9200</v>
      </c>
    </row>
    <row r="2479" spans="1:7" ht="44.25" customHeight="1">
      <c r="A2479" t="s">
        <v>132</v>
      </c>
      <c r="B2479" t="s">
        <v>9201</v>
      </c>
      <c r="C2479" t="s">
        <v>132</v>
      </c>
      <c r="D2479" t="s">
        <v>2143</v>
      </c>
      <c r="E2479" t="s">
        <v>5577</v>
      </c>
      <c r="F2479" t="s">
        <v>145</v>
      </c>
      <c r="G2479" t="s">
        <v>9202</v>
      </c>
    </row>
    <row r="2480" spans="1:7" ht="44.25" customHeight="1">
      <c r="A2480" t="s">
        <v>9203</v>
      </c>
      <c r="B2480" t="s">
        <v>9204</v>
      </c>
      <c r="C2480" t="s">
        <v>132</v>
      </c>
      <c r="D2480" t="s">
        <v>2143</v>
      </c>
      <c r="E2480" t="s">
        <v>1542</v>
      </c>
      <c r="F2480" t="s">
        <v>145</v>
      </c>
      <c r="G2480" t="s">
        <v>9205</v>
      </c>
    </row>
    <row r="2481" spans="1:7" ht="44.25" customHeight="1">
      <c r="A2481" t="s">
        <v>9206</v>
      </c>
      <c r="B2481" t="s">
        <v>9207</v>
      </c>
      <c r="C2481" t="s">
        <v>132</v>
      </c>
      <c r="D2481" t="s">
        <v>2143</v>
      </c>
      <c r="E2481" t="s">
        <v>3048</v>
      </c>
      <c r="F2481" t="s">
        <v>145</v>
      </c>
      <c r="G2481" t="s">
        <v>9208</v>
      </c>
    </row>
    <row r="2482" spans="1:7" ht="44.25" customHeight="1">
      <c r="A2482" t="s">
        <v>9209</v>
      </c>
      <c r="B2482" t="s">
        <v>9210</v>
      </c>
      <c r="C2482" t="s">
        <v>132</v>
      </c>
      <c r="D2482" t="s">
        <v>2139</v>
      </c>
      <c r="E2482" t="s">
        <v>1367</v>
      </c>
      <c r="F2482" t="s">
        <v>145</v>
      </c>
      <c r="G2482" t="s">
        <v>9211</v>
      </c>
    </row>
    <row r="2483" spans="1:7" ht="44.25" customHeight="1">
      <c r="A2483" t="s">
        <v>9212</v>
      </c>
      <c r="B2483" t="s">
        <v>9213</v>
      </c>
      <c r="C2483" t="s">
        <v>132</v>
      </c>
      <c r="D2483" t="s">
        <v>2139</v>
      </c>
      <c r="E2483" t="s">
        <v>1367</v>
      </c>
      <c r="F2483" t="s">
        <v>145</v>
      </c>
      <c r="G2483" t="s">
        <v>9214</v>
      </c>
    </row>
    <row r="2484" spans="1:7" ht="44.25" customHeight="1">
      <c r="A2484" t="s">
        <v>9215</v>
      </c>
      <c r="B2484" t="s">
        <v>9216</v>
      </c>
      <c r="C2484" t="s">
        <v>132</v>
      </c>
      <c r="D2484" t="s">
        <v>2139</v>
      </c>
      <c r="E2484" t="s">
        <v>1367</v>
      </c>
      <c r="F2484" t="s">
        <v>145</v>
      </c>
      <c r="G2484" t="s">
        <v>9217</v>
      </c>
    </row>
    <row r="2485" spans="1:7" ht="44.25" customHeight="1">
      <c r="A2485" t="s">
        <v>9218</v>
      </c>
      <c r="B2485" t="s">
        <v>9219</v>
      </c>
      <c r="C2485" t="s">
        <v>132</v>
      </c>
      <c r="D2485" t="s">
        <v>79</v>
      </c>
      <c r="E2485" t="s">
        <v>9220</v>
      </c>
      <c r="F2485" t="s">
        <v>145</v>
      </c>
      <c r="G2485" t="s">
        <v>9221</v>
      </c>
    </row>
    <row r="2486" spans="1:7" ht="44.25" customHeight="1">
      <c r="A2486" t="s">
        <v>9222</v>
      </c>
      <c r="B2486" t="s">
        <v>9223</v>
      </c>
      <c r="C2486" t="s">
        <v>132</v>
      </c>
      <c r="D2486" t="s">
        <v>79</v>
      </c>
      <c r="E2486" t="s">
        <v>9224</v>
      </c>
      <c r="F2486" t="s">
        <v>145</v>
      </c>
      <c r="G2486" t="s">
        <v>9225</v>
      </c>
    </row>
    <row r="2487" spans="1:7" ht="44.25" customHeight="1">
      <c r="A2487" t="s">
        <v>9226</v>
      </c>
      <c r="B2487" t="s">
        <v>9227</v>
      </c>
      <c r="C2487" t="s">
        <v>132</v>
      </c>
      <c r="D2487" t="s">
        <v>79</v>
      </c>
      <c r="E2487" t="s">
        <v>9228</v>
      </c>
      <c r="F2487" t="s">
        <v>145</v>
      </c>
      <c r="G2487" t="s">
        <v>9229</v>
      </c>
    </row>
    <row r="2488" spans="1:7" ht="44.25" customHeight="1">
      <c r="A2488" t="s">
        <v>132</v>
      </c>
      <c r="B2488" t="s">
        <v>9230</v>
      </c>
      <c r="C2488" t="s">
        <v>132</v>
      </c>
      <c r="D2488" t="s">
        <v>2143</v>
      </c>
      <c r="E2488" t="s">
        <v>5577</v>
      </c>
      <c r="F2488" t="s">
        <v>145</v>
      </c>
      <c r="G2488" t="s">
        <v>9231</v>
      </c>
    </row>
    <row r="2489" spans="1:7" ht="44.25" customHeight="1">
      <c r="A2489" t="s">
        <v>9232</v>
      </c>
      <c r="B2489" t="s">
        <v>9233</v>
      </c>
      <c r="C2489" t="s">
        <v>9234</v>
      </c>
      <c r="D2489" t="s">
        <v>79</v>
      </c>
      <c r="E2489" t="s">
        <v>5807</v>
      </c>
      <c r="F2489" t="s">
        <v>145</v>
      </c>
      <c r="G2489" t="s">
        <v>9235</v>
      </c>
    </row>
    <row r="2490" spans="1:7" ht="44.25" customHeight="1">
      <c r="A2490" t="s">
        <v>552</v>
      </c>
      <c r="B2490" t="s">
        <v>9236</v>
      </c>
      <c r="C2490" t="s">
        <v>132</v>
      </c>
      <c r="D2490" t="s">
        <v>79</v>
      </c>
      <c r="E2490" t="s">
        <v>7636</v>
      </c>
      <c r="F2490" t="s">
        <v>145</v>
      </c>
      <c r="G2490" t="s">
        <v>9237</v>
      </c>
    </row>
    <row r="2491" spans="1:7" ht="44.25" customHeight="1">
      <c r="A2491" t="s">
        <v>9238</v>
      </c>
      <c r="B2491" t="s">
        <v>9239</v>
      </c>
      <c r="C2491" t="s">
        <v>132</v>
      </c>
      <c r="D2491" t="s">
        <v>2143</v>
      </c>
      <c r="E2491" t="s">
        <v>1542</v>
      </c>
      <c r="F2491" t="s">
        <v>145</v>
      </c>
      <c r="G2491" t="s">
        <v>9240</v>
      </c>
    </row>
    <row r="2492" spans="1:7" ht="44.25" customHeight="1">
      <c r="A2492" t="s">
        <v>9241</v>
      </c>
      <c r="B2492" t="s">
        <v>9242</v>
      </c>
      <c r="C2492" t="s">
        <v>132</v>
      </c>
      <c r="D2492" t="s">
        <v>2143</v>
      </c>
      <c r="E2492" t="s">
        <v>1542</v>
      </c>
      <c r="F2492" t="s">
        <v>145</v>
      </c>
      <c r="G2492" t="s">
        <v>9243</v>
      </c>
    </row>
    <row r="2493" spans="1:7" ht="44.25" customHeight="1">
      <c r="A2493" t="s">
        <v>1351</v>
      </c>
      <c r="B2493" t="s">
        <v>9244</v>
      </c>
      <c r="C2493" t="s">
        <v>132</v>
      </c>
      <c r="D2493" t="s">
        <v>2143</v>
      </c>
      <c r="E2493" t="s">
        <v>1542</v>
      </c>
      <c r="F2493" t="s">
        <v>145</v>
      </c>
      <c r="G2493" t="s">
        <v>9245</v>
      </c>
    </row>
    <row r="2494" spans="1:7" ht="44.25" customHeight="1">
      <c r="A2494" t="s">
        <v>9246</v>
      </c>
      <c r="B2494" t="s">
        <v>9247</v>
      </c>
      <c r="C2494" t="s">
        <v>132</v>
      </c>
      <c r="D2494" t="s">
        <v>79</v>
      </c>
      <c r="E2494" t="s">
        <v>3383</v>
      </c>
      <c r="F2494" t="s">
        <v>145</v>
      </c>
      <c r="G2494" t="s">
        <v>9248</v>
      </c>
    </row>
    <row r="2495" spans="1:7" ht="44.25" customHeight="1">
      <c r="A2495" t="s">
        <v>9249</v>
      </c>
      <c r="B2495" t="s">
        <v>9250</v>
      </c>
      <c r="C2495" t="s">
        <v>132</v>
      </c>
      <c r="D2495" t="s">
        <v>2143</v>
      </c>
      <c r="E2495" t="s">
        <v>2162</v>
      </c>
      <c r="F2495" t="s">
        <v>145</v>
      </c>
      <c r="G2495" t="s">
        <v>9251</v>
      </c>
    </row>
    <row r="2496" spans="1:7" ht="44.25" customHeight="1">
      <c r="A2496" t="s">
        <v>721</v>
      </c>
      <c r="B2496" t="s">
        <v>9252</v>
      </c>
      <c r="C2496" t="s">
        <v>132</v>
      </c>
      <c r="D2496" t="s">
        <v>79</v>
      </c>
      <c r="E2496" t="s">
        <v>4397</v>
      </c>
      <c r="F2496" t="s">
        <v>145</v>
      </c>
      <c r="G2496" t="s">
        <v>9253</v>
      </c>
    </row>
    <row r="2497" spans="1:7" ht="44.25" customHeight="1">
      <c r="A2497" t="s">
        <v>9254</v>
      </c>
      <c r="B2497" t="s">
        <v>9255</v>
      </c>
      <c r="C2497" t="s">
        <v>132</v>
      </c>
      <c r="D2497" t="s">
        <v>79</v>
      </c>
      <c r="E2497" t="s">
        <v>9256</v>
      </c>
      <c r="F2497" t="s">
        <v>145</v>
      </c>
      <c r="G2497" t="s">
        <v>9257</v>
      </c>
    </row>
    <row r="2498" spans="1:7" ht="44.25" customHeight="1">
      <c r="A2498" t="s">
        <v>9258</v>
      </c>
      <c r="B2498" t="s">
        <v>9259</v>
      </c>
      <c r="C2498" t="s">
        <v>132</v>
      </c>
      <c r="D2498" t="s">
        <v>79</v>
      </c>
      <c r="E2498" t="s">
        <v>9260</v>
      </c>
      <c r="F2498" t="s">
        <v>145</v>
      </c>
      <c r="G2498" t="s">
        <v>9261</v>
      </c>
    </row>
    <row r="2499" spans="1:7" ht="44.25" customHeight="1">
      <c r="A2499" t="s">
        <v>9262</v>
      </c>
      <c r="B2499" t="s">
        <v>9263</v>
      </c>
      <c r="C2499" t="s">
        <v>132</v>
      </c>
      <c r="D2499" t="s">
        <v>79</v>
      </c>
      <c r="E2499" t="s">
        <v>9264</v>
      </c>
      <c r="F2499" t="s">
        <v>145</v>
      </c>
      <c r="G2499" t="s">
        <v>9265</v>
      </c>
    </row>
    <row r="2500" spans="1:7" ht="44.25" customHeight="1">
      <c r="A2500" t="s">
        <v>9266</v>
      </c>
      <c r="B2500" t="s">
        <v>9267</v>
      </c>
      <c r="C2500" t="s">
        <v>132</v>
      </c>
      <c r="D2500" t="s">
        <v>79</v>
      </c>
      <c r="E2500" t="s">
        <v>9268</v>
      </c>
      <c r="F2500" t="s">
        <v>145</v>
      </c>
      <c r="G2500" t="s">
        <v>9269</v>
      </c>
    </row>
    <row r="2501" spans="1:7" ht="44.25" customHeight="1">
      <c r="A2501" t="s">
        <v>9270</v>
      </c>
      <c r="B2501" t="s">
        <v>9271</v>
      </c>
      <c r="C2501" t="s">
        <v>132</v>
      </c>
      <c r="D2501" t="s">
        <v>79</v>
      </c>
      <c r="E2501" t="s">
        <v>9272</v>
      </c>
      <c r="F2501" t="s">
        <v>145</v>
      </c>
      <c r="G2501" t="s">
        <v>9273</v>
      </c>
    </row>
    <row r="2502" spans="1:7" ht="44.25" customHeight="1">
      <c r="A2502" t="s">
        <v>9274</v>
      </c>
      <c r="B2502" t="s">
        <v>9275</v>
      </c>
      <c r="C2502" t="s">
        <v>132</v>
      </c>
      <c r="D2502" t="s">
        <v>2143</v>
      </c>
      <c r="E2502" t="s">
        <v>1542</v>
      </c>
      <c r="F2502" t="s">
        <v>145</v>
      </c>
      <c r="G2502" t="s">
        <v>9276</v>
      </c>
    </row>
    <row r="2503" spans="1:7" ht="44.25" customHeight="1">
      <c r="A2503" t="s">
        <v>9277</v>
      </c>
      <c r="B2503" t="s">
        <v>9278</v>
      </c>
      <c r="C2503" t="s">
        <v>132</v>
      </c>
      <c r="D2503" t="s">
        <v>2143</v>
      </c>
      <c r="E2503" t="s">
        <v>2285</v>
      </c>
      <c r="F2503" t="s">
        <v>145</v>
      </c>
      <c r="G2503" t="s">
        <v>9279</v>
      </c>
    </row>
    <row r="2504" spans="1:7" ht="44.25" customHeight="1">
      <c r="A2504" t="s">
        <v>9280</v>
      </c>
      <c r="B2504" t="s">
        <v>9281</v>
      </c>
      <c r="C2504" t="s">
        <v>132</v>
      </c>
      <c r="D2504" t="s">
        <v>2143</v>
      </c>
      <c r="E2504" t="s">
        <v>1542</v>
      </c>
      <c r="F2504" t="s">
        <v>145</v>
      </c>
      <c r="G2504" t="s">
        <v>9282</v>
      </c>
    </row>
    <row r="2505" spans="1:7" ht="44.25" customHeight="1">
      <c r="A2505" t="s">
        <v>9283</v>
      </c>
      <c r="B2505" t="s">
        <v>9284</v>
      </c>
      <c r="C2505" t="s">
        <v>132</v>
      </c>
      <c r="D2505" t="s">
        <v>2143</v>
      </c>
      <c r="E2505" t="s">
        <v>1542</v>
      </c>
      <c r="F2505" t="s">
        <v>145</v>
      </c>
      <c r="G2505" t="s">
        <v>9285</v>
      </c>
    </row>
    <row r="2506" spans="1:7" ht="44.25" customHeight="1">
      <c r="A2506" t="s">
        <v>1329</v>
      </c>
      <c r="B2506" t="s">
        <v>9286</v>
      </c>
      <c r="C2506" t="s">
        <v>132</v>
      </c>
      <c r="D2506" t="s">
        <v>2143</v>
      </c>
      <c r="E2506" t="s">
        <v>1542</v>
      </c>
      <c r="F2506" t="s">
        <v>145</v>
      </c>
      <c r="G2506" t="s">
        <v>9287</v>
      </c>
    </row>
    <row r="2507" spans="1:7" ht="44.25" customHeight="1">
      <c r="A2507" t="s">
        <v>1350</v>
      </c>
      <c r="B2507" t="s">
        <v>9288</v>
      </c>
      <c r="C2507" t="s">
        <v>132</v>
      </c>
      <c r="D2507" t="s">
        <v>2143</v>
      </c>
      <c r="E2507" t="s">
        <v>1542</v>
      </c>
      <c r="F2507" t="s">
        <v>145</v>
      </c>
      <c r="G2507" t="s">
        <v>9289</v>
      </c>
    </row>
    <row r="2508" spans="1:7" ht="44.25" customHeight="1">
      <c r="A2508" t="s">
        <v>240</v>
      </c>
      <c r="B2508" t="s">
        <v>9290</v>
      </c>
      <c r="C2508" t="s">
        <v>132</v>
      </c>
      <c r="D2508" t="s">
        <v>2143</v>
      </c>
      <c r="E2508" t="s">
        <v>1542</v>
      </c>
      <c r="F2508" t="s">
        <v>145</v>
      </c>
      <c r="G2508" t="s">
        <v>9291</v>
      </c>
    </row>
    <row r="2509" spans="1:7" ht="44.25" customHeight="1">
      <c r="A2509" t="s">
        <v>266</v>
      </c>
      <c r="B2509" t="s">
        <v>9292</v>
      </c>
      <c r="C2509" t="s">
        <v>1443</v>
      </c>
      <c r="D2509" t="s">
        <v>2143</v>
      </c>
      <c r="E2509" t="s">
        <v>3048</v>
      </c>
      <c r="F2509" t="s">
        <v>145</v>
      </c>
      <c r="G2509" t="s">
        <v>9293</v>
      </c>
    </row>
    <row r="2510" spans="1:7" ht="44.25" customHeight="1">
      <c r="A2510" t="s">
        <v>9294</v>
      </c>
      <c r="B2510" t="s">
        <v>9295</v>
      </c>
      <c r="C2510" t="s">
        <v>132</v>
      </c>
      <c r="D2510" t="s">
        <v>2143</v>
      </c>
      <c r="E2510" t="s">
        <v>1542</v>
      </c>
      <c r="F2510" t="s">
        <v>145</v>
      </c>
      <c r="G2510" t="s">
        <v>9296</v>
      </c>
    </row>
    <row r="2511" spans="1:7" ht="44.25" customHeight="1">
      <c r="A2511" t="s">
        <v>9297</v>
      </c>
      <c r="B2511" t="s">
        <v>9298</v>
      </c>
      <c r="C2511" t="s">
        <v>132</v>
      </c>
      <c r="D2511" t="s">
        <v>2143</v>
      </c>
      <c r="E2511" t="s">
        <v>2155</v>
      </c>
      <c r="F2511" t="s">
        <v>145</v>
      </c>
      <c r="G2511" t="s">
        <v>9299</v>
      </c>
    </row>
    <row r="2512" spans="1:7" ht="44.25" customHeight="1">
      <c r="A2512" t="s">
        <v>9300</v>
      </c>
      <c r="B2512" t="s">
        <v>9301</v>
      </c>
      <c r="C2512" t="s">
        <v>132</v>
      </c>
      <c r="D2512" t="s">
        <v>2139</v>
      </c>
      <c r="E2512" t="s">
        <v>1367</v>
      </c>
      <c r="F2512" t="s">
        <v>145</v>
      </c>
      <c r="G2512" t="s">
        <v>9302</v>
      </c>
    </row>
    <row r="2513" spans="1:7" ht="44.25" customHeight="1">
      <c r="A2513" t="s">
        <v>484</v>
      </c>
      <c r="B2513" t="s">
        <v>9303</v>
      </c>
      <c r="C2513" t="s">
        <v>132</v>
      </c>
      <c r="D2513" t="s">
        <v>2143</v>
      </c>
      <c r="E2513" t="s">
        <v>2144</v>
      </c>
      <c r="F2513" t="s">
        <v>145</v>
      </c>
      <c r="G2513" t="s">
        <v>9304</v>
      </c>
    </row>
    <row r="2514" spans="1:7" ht="44.25" customHeight="1">
      <c r="A2514" t="s">
        <v>740</v>
      </c>
      <c r="B2514" t="s">
        <v>9305</v>
      </c>
      <c r="C2514" t="s">
        <v>132</v>
      </c>
      <c r="D2514" t="s">
        <v>2143</v>
      </c>
      <c r="E2514" t="s">
        <v>1367</v>
      </c>
      <c r="F2514" t="s">
        <v>145</v>
      </c>
      <c r="G2514" t="s">
        <v>9306</v>
      </c>
    </row>
    <row r="2515" spans="1:7" ht="44.25" customHeight="1">
      <c r="A2515" t="s">
        <v>592</v>
      </c>
      <c r="B2515" t="s">
        <v>9307</v>
      </c>
      <c r="C2515" t="s">
        <v>132</v>
      </c>
      <c r="D2515" t="s">
        <v>2143</v>
      </c>
      <c r="E2515" t="s">
        <v>4741</v>
      </c>
      <c r="F2515" t="s">
        <v>145</v>
      </c>
      <c r="G2515" t="s">
        <v>9308</v>
      </c>
    </row>
    <row r="2516" spans="1:7" ht="44.25" customHeight="1">
      <c r="A2516" t="s">
        <v>9309</v>
      </c>
      <c r="B2516" t="s">
        <v>9310</v>
      </c>
      <c r="C2516" t="s">
        <v>132</v>
      </c>
      <c r="D2516" t="s">
        <v>79</v>
      </c>
      <c r="E2516" t="s">
        <v>9311</v>
      </c>
      <c r="F2516" t="s">
        <v>145</v>
      </c>
      <c r="G2516" t="s">
        <v>9312</v>
      </c>
    </row>
    <row r="2517" spans="1:7" ht="44.25" customHeight="1">
      <c r="A2517" t="s">
        <v>9313</v>
      </c>
      <c r="B2517" t="s">
        <v>9314</v>
      </c>
      <c r="C2517" t="s">
        <v>132</v>
      </c>
      <c r="D2517" t="s">
        <v>79</v>
      </c>
      <c r="E2517" t="s">
        <v>9315</v>
      </c>
      <c r="F2517" t="s">
        <v>145</v>
      </c>
      <c r="G2517" t="s">
        <v>9316</v>
      </c>
    </row>
    <row r="2518" spans="1:7" ht="44.25" customHeight="1">
      <c r="A2518" t="s">
        <v>9317</v>
      </c>
      <c r="B2518" t="s">
        <v>9318</v>
      </c>
      <c r="C2518" t="s">
        <v>132</v>
      </c>
      <c r="D2518" t="s">
        <v>79</v>
      </c>
      <c r="E2518" t="s">
        <v>9319</v>
      </c>
      <c r="F2518" t="s">
        <v>145</v>
      </c>
      <c r="G2518" t="s">
        <v>9320</v>
      </c>
    </row>
    <row r="2519" spans="1:7" ht="44.25" customHeight="1">
      <c r="A2519" t="s">
        <v>9321</v>
      </c>
      <c r="B2519" t="s">
        <v>9322</v>
      </c>
      <c r="C2519" t="s">
        <v>132</v>
      </c>
      <c r="D2519" t="s">
        <v>2143</v>
      </c>
      <c r="E2519" t="s">
        <v>9323</v>
      </c>
      <c r="F2519" t="s">
        <v>145</v>
      </c>
      <c r="G2519" t="s">
        <v>9324</v>
      </c>
    </row>
    <row r="2520" spans="1:7" ht="44.25" customHeight="1">
      <c r="A2520" t="s">
        <v>9321</v>
      </c>
      <c r="B2520" t="s">
        <v>9322</v>
      </c>
      <c r="C2520" t="s">
        <v>132</v>
      </c>
      <c r="D2520" t="s">
        <v>2143</v>
      </c>
      <c r="E2520" t="s">
        <v>9323</v>
      </c>
      <c r="F2520" t="s">
        <v>145</v>
      </c>
      <c r="G2520" t="s">
        <v>9324</v>
      </c>
    </row>
    <row r="2521" spans="1:7" ht="44.25" customHeight="1">
      <c r="A2521" t="s">
        <v>9325</v>
      </c>
      <c r="B2521" t="s">
        <v>9326</v>
      </c>
      <c r="C2521" t="s">
        <v>132</v>
      </c>
      <c r="D2521" t="s">
        <v>2143</v>
      </c>
      <c r="E2521" t="s">
        <v>5859</v>
      </c>
      <c r="F2521" t="s">
        <v>145</v>
      </c>
      <c r="G2521" t="s">
        <v>9327</v>
      </c>
    </row>
    <row r="2522" spans="1:7" ht="44.25" customHeight="1">
      <c r="A2522" t="s">
        <v>9328</v>
      </c>
      <c r="B2522" t="s">
        <v>9329</v>
      </c>
      <c r="C2522" t="s">
        <v>132</v>
      </c>
      <c r="D2522" t="s">
        <v>2143</v>
      </c>
      <c r="E2522" t="s">
        <v>1542</v>
      </c>
      <c r="F2522" t="s">
        <v>145</v>
      </c>
      <c r="G2522" t="s">
        <v>9330</v>
      </c>
    </row>
    <row r="2523" spans="1:7" ht="44.25" customHeight="1">
      <c r="A2523" t="s">
        <v>9331</v>
      </c>
      <c r="B2523" t="s">
        <v>9332</v>
      </c>
      <c r="C2523" t="s">
        <v>132</v>
      </c>
      <c r="D2523" t="s">
        <v>2143</v>
      </c>
      <c r="E2523" t="s">
        <v>1542</v>
      </c>
      <c r="F2523" t="s">
        <v>145</v>
      </c>
      <c r="G2523" t="s">
        <v>9333</v>
      </c>
    </row>
    <row r="2524" spans="1:7" ht="44.25" customHeight="1">
      <c r="A2524" t="s">
        <v>9334</v>
      </c>
      <c r="B2524" t="s">
        <v>9335</v>
      </c>
      <c r="C2524" t="s">
        <v>132</v>
      </c>
      <c r="D2524" t="s">
        <v>2143</v>
      </c>
      <c r="E2524" t="s">
        <v>3291</v>
      </c>
      <c r="F2524" t="s">
        <v>145</v>
      </c>
      <c r="G2524" t="s">
        <v>9336</v>
      </c>
    </row>
    <row r="2525" spans="1:7" ht="44.25" customHeight="1">
      <c r="A2525" t="s">
        <v>9337</v>
      </c>
      <c r="B2525" t="s">
        <v>9338</v>
      </c>
      <c r="C2525" t="s">
        <v>132</v>
      </c>
      <c r="D2525" t="s">
        <v>79</v>
      </c>
      <c r="E2525" t="s">
        <v>9339</v>
      </c>
      <c r="F2525" t="s">
        <v>145</v>
      </c>
      <c r="G2525" t="s">
        <v>9340</v>
      </c>
    </row>
    <row r="2526" spans="1:7" ht="44.25" customHeight="1">
      <c r="A2526" t="s">
        <v>9341</v>
      </c>
      <c r="B2526" t="s">
        <v>9342</v>
      </c>
      <c r="C2526" t="s">
        <v>132</v>
      </c>
      <c r="D2526" t="s">
        <v>2139</v>
      </c>
      <c r="E2526" t="s">
        <v>1367</v>
      </c>
      <c r="F2526" t="s">
        <v>145</v>
      </c>
      <c r="G2526" t="s">
        <v>9343</v>
      </c>
    </row>
    <row r="2527" spans="1:7" ht="44.25" customHeight="1">
      <c r="A2527" t="s">
        <v>9344</v>
      </c>
      <c r="B2527" t="s">
        <v>9345</v>
      </c>
      <c r="C2527" t="s">
        <v>132</v>
      </c>
      <c r="D2527" t="s">
        <v>2143</v>
      </c>
      <c r="E2527" t="s">
        <v>2162</v>
      </c>
      <c r="F2527" t="s">
        <v>145</v>
      </c>
      <c r="G2527" t="s">
        <v>9346</v>
      </c>
    </row>
    <row r="2528" spans="1:7" ht="44.25" customHeight="1">
      <c r="A2528" t="s">
        <v>9347</v>
      </c>
      <c r="B2528" t="s">
        <v>9348</v>
      </c>
      <c r="C2528" t="s">
        <v>132</v>
      </c>
      <c r="D2528" t="s">
        <v>2139</v>
      </c>
      <c r="E2528" t="s">
        <v>1365</v>
      </c>
      <c r="F2528" t="s">
        <v>145</v>
      </c>
      <c r="G2528" t="s">
        <v>9349</v>
      </c>
    </row>
    <row r="2529" spans="1:7" ht="44.25" customHeight="1">
      <c r="A2529" t="s">
        <v>9350</v>
      </c>
      <c r="B2529" t="s">
        <v>9351</v>
      </c>
      <c r="C2529" t="s">
        <v>132</v>
      </c>
      <c r="D2529" t="s">
        <v>2139</v>
      </c>
      <c r="E2529" t="s">
        <v>1367</v>
      </c>
      <c r="F2529" t="s">
        <v>145</v>
      </c>
      <c r="G2529" t="s">
        <v>9352</v>
      </c>
    </row>
    <row r="2530" spans="1:7" ht="44.25" customHeight="1">
      <c r="A2530" t="s">
        <v>9353</v>
      </c>
      <c r="B2530" t="s">
        <v>9354</v>
      </c>
      <c r="C2530" t="s">
        <v>132</v>
      </c>
      <c r="D2530" t="s">
        <v>2143</v>
      </c>
      <c r="E2530" t="s">
        <v>6746</v>
      </c>
      <c r="F2530" t="s">
        <v>145</v>
      </c>
      <c r="G2530" t="s">
        <v>9355</v>
      </c>
    </row>
    <row r="2531" spans="1:7" ht="44.25" customHeight="1">
      <c r="A2531" t="s">
        <v>759</v>
      </c>
      <c r="B2531" t="s">
        <v>9356</v>
      </c>
      <c r="C2531" t="s">
        <v>132</v>
      </c>
      <c r="D2531" t="s">
        <v>2139</v>
      </c>
      <c r="E2531" t="s">
        <v>1367</v>
      </c>
      <c r="F2531" t="s">
        <v>145</v>
      </c>
      <c r="G2531" t="s">
        <v>9357</v>
      </c>
    </row>
    <row r="2532" spans="1:7" ht="44.25" customHeight="1">
      <c r="A2532" t="s">
        <v>9358</v>
      </c>
      <c r="B2532" t="s">
        <v>9359</v>
      </c>
      <c r="C2532" t="s">
        <v>132</v>
      </c>
      <c r="D2532" t="s">
        <v>2143</v>
      </c>
      <c r="E2532" t="s">
        <v>2162</v>
      </c>
      <c r="F2532" t="s">
        <v>145</v>
      </c>
      <c r="G2532" t="s">
        <v>9360</v>
      </c>
    </row>
    <row r="2533" spans="1:7" ht="44.25" customHeight="1">
      <c r="A2533" t="s">
        <v>9361</v>
      </c>
      <c r="B2533" t="s">
        <v>9362</v>
      </c>
      <c r="C2533" t="s">
        <v>132</v>
      </c>
      <c r="D2533" t="s">
        <v>2139</v>
      </c>
      <c r="E2533" t="s">
        <v>1367</v>
      </c>
      <c r="F2533" t="s">
        <v>145</v>
      </c>
      <c r="G2533" t="s">
        <v>9363</v>
      </c>
    </row>
    <row r="2534" spans="1:7" ht="44.25" customHeight="1">
      <c r="A2534" t="s">
        <v>9364</v>
      </c>
      <c r="B2534" t="s">
        <v>9365</v>
      </c>
      <c r="C2534" t="s">
        <v>132</v>
      </c>
      <c r="D2534" t="s">
        <v>2139</v>
      </c>
      <c r="E2534" t="s">
        <v>1367</v>
      </c>
      <c r="F2534" t="s">
        <v>145</v>
      </c>
      <c r="G2534" t="s">
        <v>9366</v>
      </c>
    </row>
    <row r="2535" spans="1:7" ht="44.25" customHeight="1">
      <c r="A2535" t="s">
        <v>9367</v>
      </c>
      <c r="B2535" t="s">
        <v>9368</v>
      </c>
      <c r="C2535" t="s">
        <v>132</v>
      </c>
      <c r="D2535" t="s">
        <v>2143</v>
      </c>
      <c r="E2535" t="s">
        <v>2162</v>
      </c>
      <c r="F2535" t="s">
        <v>145</v>
      </c>
      <c r="G2535" t="s">
        <v>9369</v>
      </c>
    </row>
    <row r="2536" spans="1:7" ht="44.25" customHeight="1">
      <c r="A2536" t="s">
        <v>9370</v>
      </c>
      <c r="B2536" t="s">
        <v>9371</v>
      </c>
      <c r="C2536" t="s">
        <v>132</v>
      </c>
      <c r="D2536" t="s">
        <v>2139</v>
      </c>
      <c r="E2536" t="s">
        <v>1367</v>
      </c>
      <c r="F2536" t="s">
        <v>145</v>
      </c>
      <c r="G2536" t="s">
        <v>9372</v>
      </c>
    </row>
    <row r="2537" spans="1:7" ht="44.25" customHeight="1">
      <c r="A2537" t="s">
        <v>755</v>
      </c>
      <c r="B2537" t="s">
        <v>9373</v>
      </c>
      <c r="C2537" t="s">
        <v>132</v>
      </c>
      <c r="D2537" t="s">
        <v>2143</v>
      </c>
      <c r="E2537" t="s">
        <v>1367</v>
      </c>
      <c r="F2537" t="s">
        <v>145</v>
      </c>
      <c r="G2537" t="s">
        <v>9374</v>
      </c>
    </row>
    <row r="2538" spans="1:7" ht="44.25" customHeight="1">
      <c r="A2538" t="s">
        <v>9375</v>
      </c>
      <c r="B2538" t="s">
        <v>9376</v>
      </c>
      <c r="C2538" t="s">
        <v>132</v>
      </c>
      <c r="D2538" t="s">
        <v>79</v>
      </c>
      <c r="E2538" t="s">
        <v>9377</v>
      </c>
      <c r="F2538" t="s">
        <v>145</v>
      </c>
      <c r="G2538" t="s">
        <v>9378</v>
      </c>
    </row>
    <row r="2539" spans="1:7" ht="44.25" customHeight="1">
      <c r="A2539" t="s">
        <v>9379</v>
      </c>
      <c r="B2539" t="s">
        <v>9380</v>
      </c>
      <c r="C2539" t="s">
        <v>132</v>
      </c>
      <c r="D2539" t="s">
        <v>79</v>
      </c>
      <c r="E2539" t="s">
        <v>9381</v>
      </c>
      <c r="F2539" t="s">
        <v>145</v>
      </c>
      <c r="G2539" t="s">
        <v>9382</v>
      </c>
    </row>
    <row r="2540" spans="1:7" ht="44.25" customHeight="1">
      <c r="A2540" t="s">
        <v>9383</v>
      </c>
      <c r="B2540" t="s">
        <v>9384</v>
      </c>
      <c r="C2540" t="s">
        <v>132</v>
      </c>
      <c r="D2540" t="s">
        <v>2143</v>
      </c>
      <c r="E2540" t="s">
        <v>5777</v>
      </c>
      <c r="F2540" t="s">
        <v>145</v>
      </c>
      <c r="G2540" t="s">
        <v>9385</v>
      </c>
    </row>
    <row r="2541" spans="1:7" ht="44.25" customHeight="1">
      <c r="A2541" t="s">
        <v>9386</v>
      </c>
      <c r="B2541" t="s">
        <v>9387</v>
      </c>
      <c r="C2541" t="s">
        <v>132</v>
      </c>
      <c r="D2541" t="s">
        <v>2284</v>
      </c>
      <c r="E2541" t="s">
        <v>5777</v>
      </c>
      <c r="F2541" t="s">
        <v>145</v>
      </c>
      <c r="G2541" t="s">
        <v>9388</v>
      </c>
    </row>
    <row r="2542" spans="1:7" ht="44.25" customHeight="1">
      <c r="A2542" t="s">
        <v>9389</v>
      </c>
      <c r="B2542" t="s">
        <v>9390</v>
      </c>
      <c r="C2542" t="s">
        <v>132</v>
      </c>
      <c r="D2542" t="s">
        <v>2143</v>
      </c>
      <c r="E2542" t="s">
        <v>2285</v>
      </c>
      <c r="F2542" t="s">
        <v>145</v>
      </c>
      <c r="G2542" t="s">
        <v>9391</v>
      </c>
    </row>
    <row r="2543" spans="1:7" ht="44.25" customHeight="1">
      <c r="A2543" t="s">
        <v>1324</v>
      </c>
      <c r="B2543" t="s">
        <v>9392</v>
      </c>
      <c r="C2543" t="s">
        <v>132</v>
      </c>
      <c r="D2543" t="s">
        <v>2143</v>
      </c>
      <c r="E2543" t="s">
        <v>1542</v>
      </c>
      <c r="F2543" t="s">
        <v>145</v>
      </c>
      <c r="G2543" t="s">
        <v>9393</v>
      </c>
    </row>
    <row r="2544" spans="1:7" ht="44.25" customHeight="1">
      <c r="A2544" t="s">
        <v>9394</v>
      </c>
      <c r="B2544" t="s">
        <v>9395</v>
      </c>
      <c r="C2544" t="s">
        <v>132</v>
      </c>
      <c r="D2544" t="s">
        <v>79</v>
      </c>
      <c r="E2544" t="s">
        <v>9396</v>
      </c>
      <c r="F2544" t="s">
        <v>145</v>
      </c>
      <c r="G2544" t="s">
        <v>9397</v>
      </c>
    </row>
    <row r="2545" spans="1:7" ht="44.25" customHeight="1">
      <c r="A2545" t="s">
        <v>9398</v>
      </c>
      <c r="B2545" t="s">
        <v>9399</v>
      </c>
      <c r="C2545" t="s">
        <v>132</v>
      </c>
      <c r="D2545" t="s">
        <v>2139</v>
      </c>
      <c r="E2545" t="s">
        <v>1367</v>
      </c>
      <c r="F2545" t="s">
        <v>145</v>
      </c>
      <c r="G2545" t="s">
        <v>9400</v>
      </c>
    </row>
    <row r="2546" spans="1:7" ht="44.25" customHeight="1">
      <c r="A2546" t="s">
        <v>9401</v>
      </c>
      <c r="B2546" t="s">
        <v>9402</v>
      </c>
      <c r="C2546" t="s">
        <v>132</v>
      </c>
      <c r="D2546" t="s">
        <v>2139</v>
      </c>
      <c r="E2546" t="s">
        <v>1367</v>
      </c>
      <c r="F2546" t="s">
        <v>145</v>
      </c>
      <c r="G2546" t="s">
        <v>9403</v>
      </c>
    </row>
    <row r="2547" spans="1:7" ht="44.25" customHeight="1">
      <c r="A2547" t="s">
        <v>1373</v>
      </c>
      <c r="B2547" t="s">
        <v>9404</v>
      </c>
      <c r="C2547" t="s">
        <v>132</v>
      </c>
      <c r="D2547" t="s">
        <v>2143</v>
      </c>
      <c r="E2547" t="s">
        <v>1519</v>
      </c>
      <c r="F2547" t="s">
        <v>145</v>
      </c>
      <c r="G2547" t="s">
        <v>9405</v>
      </c>
    </row>
    <row r="2548" spans="1:7" ht="44.25" customHeight="1">
      <c r="A2548" t="s">
        <v>932</v>
      </c>
      <c r="B2548" t="s">
        <v>9406</v>
      </c>
      <c r="C2548" t="s">
        <v>132</v>
      </c>
      <c r="D2548" t="s">
        <v>2143</v>
      </c>
      <c r="E2548" t="s">
        <v>2162</v>
      </c>
      <c r="F2548" t="s">
        <v>145</v>
      </c>
      <c r="G2548" t="s">
        <v>9407</v>
      </c>
    </row>
    <row r="2549" spans="1:7" ht="44.25" customHeight="1">
      <c r="A2549" t="s">
        <v>905</v>
      </c>
      <c r="B2549" t="s">
        <v>9408</v>
      </c>
      <c r="C2549" t="s">
        <v>132</v>
      </c>
      <c r="D2549" t="s">
        <v>2143</v>
      </c>
      <c r="E2549" t="s">
        <v>2162</v>
      </c>
      <c r="F2549" t="s">
        <v>145</v>
      </c>
      <c r="G2549" t="s">
        <v>9409</v>
      </c>
    </row>
    <row r="2550" spans="1:7" ht="44.25" customHeight="1">
      <c r="A2550" t="s">
        <v>9410</v>
      </c>
      <c r="B2550" t="s">
        <v>9411</v>
      </c>
      <c r="C2550" t="s">
        <v>132</v>
      </c>
      <c r="D2550" t="s">
        <v>2143</v>
      </c>
      <c r="E2550" t="s">
        <v>4185</v>
      </c>
      <c r="F2550" t="s">
        <v>145</v>
      </c>
      <c r="G2550" t="s">
        <v>9412</v>
      </c>
    </row>
    <row r="2551" spans="1:7" ht="44.25" customHeight="1">
      <c r="A2551" t="s">
        <v>9413</v>
      </c>
      <c r="B2551" t="s">
        <v>9414</v>
      </c>
      <c r="C2551" t="s">
        <v>132</v>
      </c>
      <c r="D2551" t="s">
        <v>79</v>
      </c>
      <c r="E2551" t="s">
        <v>9415</v>
      </c>
      <c r="F2551" t="s">
        <v>145</v>
      </c>
      <c r="G2551" t="s">
        <v>9416</v>
      </c>
    </row>
    <row r="2552" spans="1:7" ht="44.25" customHeight="1">
      <c r="A2552" t="s">
        <v>9417</v>
      </c>
      <c r="B2552" t="s">
        <v>9418</v>
      </c>
      <c r="C2552" t="s">
        <v>132</v>
      </c>
      <c r="D2552" t="s">
        <v>2143</v>
      </c>
      <c r="E2552" t="s">
        <v>6014</v>
      </c>
      <c r="F2552" t="s">
        <v>145</v>
      </c>
      <c r="G2552" t="s">
        <v>9419</v>
      </c>
    </row>
    <row r="2553" spans="1:7" ht="44.25" customHeight="1">
      <c r="A2553" t="s">
        <v>629</v>
      </c>
      <c r="B2553" t="s">
        <v>9420</v>
      </c>
      <c r="C2553" t="s">
        <v>132</v>
      </c>
      <c r="D2553" t="s">
        <v>79</v>
      </c>
      <c r="E2553" t="s">
        <v>9421</v>
      </c>
      <c r="F2553" t="s">
        <v>145</v>
      </c>
      <c r="G2553" t="s">
        <v>9422</v>
      </c>
    </row>
    <row r="2554" spans="1:7" ht="44.25" customHeight="1">
      <c r="A2554" t="s">
        <v>9423</v>
      </c>
      <c r="B2554" t="s">
        <v>9424</v>
      </c>
      <c r="C2554" t="s">
        <v>132</v>
      </c>
      <c r="D2554" t="s">
        <v>2143</v>
      </c>
      <c r="E2554" t="s">
        <v>1542</v>
      </c>
      <c r="F2554" t="s">
        <v>145</v>
      </c>
      <c r="G2554" t="s">
        <v>9425</v>
      </c>
    </row>
    <row r="2555" spans="1:7" ht="44.25" customHeight="1">
      <c r="A2555" t="s">
        <v>9426</v>
      </c>
      <c r="B2555" t="s">
        <v>9427</v>
      </c>
      <c r="C2555" t="s">
        <v>132</v>
      </c>
      <c r="D2555" t="s">
        <v>2143</v>
      </c>
      <c r="E2555" t="s">
        <v>1542</v>
      </c>
      <c r="F2555" t="s">
        <v>145</v>
      </c>
      <c r="G2555" t="s">
        <v>9428</v>
      </c>
    </row>
    <row r="2556" spans="1:7" ht="44.25" customHeight="1">
      <c r="A2556" t="s">
        <v>9429</v>
      </c>
      <c r="B2556" t="s">
        <v>9430</v>
      </c>
      <c r="C2556" t="s">
        <v>132</v>
      </c>
      <c r="D2556" t="s">
        <v>2143</v>
      </c>
      <c r="E2556" t="s">
        <v>2285</v>
      </c>
      <c r="F2556" t="s">
        <v>145</v>
      </c>
      <c r="G2556" t="s">
        <v>9431</v>
      </c>
    </row>
    <row r="2557" spans="1:7" ht="44.25" customHeight="1">
      <c r="A2557" t="s">
        <v>9432</v>
      </c>
      <c r="B2557" t="s">
        <v>9433</v>
      </c>
      <c r="C2557" t="s">
        <v>132</v>
      </c>
      <c r="D2557" t="s">
        <v>2143</v>
      </c>
      <c r="E2557" t="s">
        <v>2285</v>
      </c>
      <c r="F2557" t="s">
        <v>145</v>
      </c>
      <c r="G2557" t="s">
        <v>9434</v>
      </c>
    </row>
    <row r="2558" spans="1:7" ht="44.25" customHeight="1">
      <c r="A2558" t="s">
        <v>9435</v>
      </c>
      <c r="B2558" t="s">
        <v>9436</v>
      </c>
      <c r="C2558" t="s">
        <v>9437</v>
      </c>
      <c r="D2558" t="s">
        <v>2143</v>
      </c>
      <c r="E2558" t="s">
        <v>1542</v>
      </c>
      <c r="F2558" t="s">
        <v>145</v>
      </c>
      <c r="G2558" t="s">
        <v>9438</v>
      </c>
    </row>
    <row r="2559" spans="1:7" ht="44.25" customHeight="1">
      <c r="A2559" t="s">
        <v>9439</v>
      </c>
      <c r="B2559" t="s">
        <v>9440</v>
      </c>
      <c r="C2559" t="s">
        <v>132</v>
      </c>
      <c r="D2559" t="s">
        <v>79</v>
      </c>
      <c r="E2559" t="s">
        <v>9441</v>
      </c>
      <c r="F2559" t="s">
        <v>145</v>
      </c>
      <c r="G2559" t="s">
        <v>9442</v>
      </c>
    </row>
    <row r="2560" spans="1:7" ht="44.25" customHeight="1">
      <c r="A2560" t="s">
        <v>9443</v>
      </c>
      <c r="B2560" t="s">
        <v>9444</v>
      </c>
      <c r="C2560" t="s">
        <v>132</v>
      </c>
      <c r="D2560" t="s">
        <v>79</v>
      </c>
      <c r="E2560" t="s">
        <v>4686</v>
      </c>
      <c r="F2560" t="s">
        <v>145</v>
      </c>
      <c r="G2560" t="s">
        <v>9445</v>
      </c>
    </row>
    <row r="2561" spans="1:7" ht="44.25" customHeight="1">
      <c r="A2561" t="s">
        <v>9446</v>
      </c>
      <c r="B2561" t="s">
        <v>9447</v>
      </c>
      <c r="C2561" t="s">
        <v>132</v>
      </c>
      <c r="D2561" t="s">
        <v>79</v>
      </c>
      <c r="E2561" t="s">
        <v>3589</v>
      </c>
      <c r="F2561" t="s">
        <v>145</v>
      </c>
      <c r="G2561" t="s">
        <v>9448</v>
      </c>
    </row>
    <row r="2562" spans="1:7" ht="44.25" customHeight="1">
      <c r="A2562" t="s">
        <v>982</v>
      </c>
      <c r="B2562" t="s">
        <v>9449</v>
      </c>
      <c r="C2562" t="s">
        <v>132</v>
      </c>
      <c r="D2562" t="s">
        <v>2143</v>
      </c>
      <c r="E2562" t="s">
        <v>2162</v>
      </c>
      <c r="F2562" t="s">
        <v>145</v>
      </c>
      <c r="G2562" t="s">
        <v>9450</v>
      </c>
    </row>
    <row r="2563" spans="1:7" ht="44.25" customHeight="1">
      <c r="A2563" t="s">
        <v>954</v>
      </c>
      <c r="B2563" t="s">
        <v>9451</v>
      </c>
      <c r="C2563" t="s">
        <v>132</v>
      </c>
      <c r="D2563" t="s">
        <v>2143</v>
      </c>
      <c r="E2563" t="s">
        <v>2162</v>
      </c>
      <c r="F2563" t="s">
        <v>145</v>
      </c>
      <c r="G2563" t="s">
        <v>9452</v>
      </c>
    </row>
    <row r="2564" spans="1:7" ht="44.25" customHeight="1">
      <c r="A2564" t="s">
        <v>846</v>
      </c>
      <c r="B2564" t="s">
        <v>9453</v>
      </c>
      <c r="C2564" t="s">
        <v>132</v>
      </c>
      <c r="D2564" t="s">
        <v>79</v>
      </c>
      <c r="E2564" t="s">
        <v>4738</v>
      </c>
      <c r="F2564" t="s">
        <v>145</v>
      </c>
      <c r="G2564" t="s">
        <v>9454</v>
      </c>
    </row>
    <row r="2565" spans="1:7" ht="44.25" customHeight="1">
      <c r="A2565" t="s">
        <v>810</v>
      </c>
      <c r="B2565" t="s">
        <v>9455</v>
      </c>
      <c r="C2565" t="s">
        <v>132</v>
      </c>
      <c r="D2565" t="s">
        <v>79</v>
      </c>
      <c r="E2565" t="s">
        <v>9456</v>
      </c>
      <c r="F2565" t="s">
        <v>145</v>
      </c>
      <c r="G2565" t="s">
        <v>9457</v>
      </c>
    </row>
    <row r="2566" spans="1:7" ht="44.25" customHeight="1">
      <c r="A2566" t="s">
        <v>9458</v>
      </c>
      <c r="B2566" t="s">
        <v>9459</v>
      </c>
      <c r="C2566" t="s">
        <v>132</v>
      </c>
      <c r="D2566" t="s">
        <v>79</v>
      </c>
      <c r="E2566" t="s">
        <v>9460</v>
      </c>
      <c r="F2566" t="s">
        <v>145</v>
      </c>
      <c r="G2566" t="s">
        <v>9461</v>
      </c>
    </row>
    <row r="2567" spans="1:7" ht="44.25" customHeight="1">
      <c r="A2567" t="s">
        <v>9462</v>
      </c>
      <c r="B2567" t="s">
        <v>9463</v>
      </c>
      <c r="C2567" t="s">
        <v>132</v>
      </c>
      <c r="D2567" t="s">
        <v>79</v>
      </c>
      <c r="E2567" t="s">
        <v>9464</v>
      </c>
      <c r="F2567" t="s">
        <v>145</v>
      </c>
      <c r="G2567" t="s">
        <v>9465</v>
      </c>
    </row>
    <row r="2568" spans="1:7" ht="44.25" customHeight="1">
      <c r="A2568" t="s">
        <v>9462</v>
      </c>
      <c r="B2568" t="s">
        <v>9463</v>
      </c>
      <c r="C2568" t="s">
        <v>132</v>
      </c>
      <c r="D2568" t="s">
        <v>79</v>
      </c>
      <c r="E2568" t="s">
        <v>9464</v>
      </c>
      <c r="F2568" t="s">
        <v>145</v>
      </c>
      <c r="G2568" t="s">
        <v>9465</v>
      </c>
    </row>
    <row r="2569" spans="1:7" ht="44.25" customHeight="1">
      <c r="A2569" t="s">
        <v>9466</v>
      </c>
      <c r="B2569" t="s">
        <v>9467</v>
      </c>
      <c r="C2569" t="s">
        <v>132</v>
      </c>
      <c r="D2569" t="s">
        <v>79</v>
      </c>
      <c r="E2569" t="s">
        <v>9468</v>
      </c>
      <c r="F2569" t="s">
        <v>145</v>
      </c>
      <c r="G2569" t="s">
        <v>9469</v>
      </c>
    </row>
    <row r="2570" spans="1:7" ht="44.25" customHeight="1">
      <c r="A2570" t="s">
        <v>9470</v>
      </c>
      <c r="B2570" t="s">
        <v>9471</v>
      </c>
      <c r="C2570" t="s">
        <v>132</v>
      </c>
      <c r="D2570" t="s">
        <v>79</v>
      </c>
      <c r="E2570" t="s">
        <v>9472</v>
      </c>
      <c r="F2570" t="s">
        <v>145</v>
      </c>
      <c r="G2570" t="s">
        <v>9473</v>
      </c>
    </row>
    <row r="2571" spans="1:7" ht="44.25" customHeight="1">
      <c r="A2571" t="s">
        <v>9474</v>
      </c>
      <c r="B2571" t="s">
        <v>9475</v>
      </c>
      <c r="C2571" t="s">
        <v>132</v>
      </c>
      <c r="D2571" t="s">
        <v>79</v>
      </c>
      <c r="E2571" t="s">
        <v>9476</v>
      </c>
      <c r="F2571" t="s">
        <v>145</v>
      </c>
      <c r="G2571" t="s">
        <v>9477</v>
      </c>
    </row>
    <row r="2572" spans="1:7" ht="44.25" customHeight="1">
      <c r="A2572" t="s">
        <v>132</v>
      </c>
      <c r="B2572" t="s">
        <v>9478</v>
      </c>
      <c r="C2572" t="s">
        <v>132</v>
      </c>
      <c r="D2572" t="s">
        <v>2143</v>
      </c>
      <c r="E2572" t="s">
        <v>5624</v>
      </c>
      <c r="F2572" t="s">
        <v>145</v>
      </c>
      <c r="G2572" t="s">
        <v>9479</v>
      </c>
    </row>
    <row r="2573" spans="1:7" ht="44.25" customHeight="1">
      <c r="A2573" t="s">
        <v>9480</v>
      </c>
      <c r="B2573" t="s">
        <v>9481</v>
      </c>
      <c r="C2573" t="s">
        <v>132</v>
      </c>
      <c r="D2573" t="s">
        <v>2284</v>
      </c>
      <c r="E2573" t="s">
        <v>5777</v>
      </c>
      <c r="F2573" t="s">
        <v>145</v>
      </c>
      <c r="G2573" t="s">
        <v>9482</v>
      </c>
    </row>
    <row r="2574" spans="1:7" ht="44.25" customHeight="1">
      <c r="A2574" t="s">
        <v>9483</v>
      </c>
      <c r="B2574" t="s">
        <v>9484</v>
      </c>
      <c r="C2574" t="s">
        <v>132</v>
      </c>
      <c r="D2574" t="s">
        <v>2143</v>
      </c>
      <c r="E2574" t="s">
        <v>1542</v>
      </c>
      <c r="F2574" t="s">
        <v>145</v>
      </c>
      <c r="G2574" t="s">
        <v>9485</v>
      </c>
    </row>
    <row r="2575" spans="1:7" ht="44.25" customHeight="1">
      <c r="A2575" t="s">
        <v>9486</v>
      </c>
      <c r="B2575" t="s">
        <v>9487</v>
      </c>
      <c r="C2575" t="s">
        <v>132</v>
      </c>
      <c r="D2575" t="s">
        <v>2143</v>
      </c>
      <c r="E2575" t="s">
        <v>1542</v>
      </c>
      <c r="F2575" t="s">
        <v>145</v>
      </c>
      <c r="G2575" t="s">
        <v>9488</v>
      </c>
    </row>
    <row r="2576" spans="1:7" ht="44.25" customHeight="1">
      <c r="A2576" t="s">
        <v>9489</v>
      </c>
      <c r="B2576" t="s">
        <v>9490</v>
      </c>
      <c r="C2576" t="s">
        <v>132</v>
      </c>
      <c r="D2576" t="s">
        <v>2143</v>
      </c>
      <c r="E2576" t="s">
        <v>2285</v>
      </c>
      <c r="F2576" t="s">
        <v>145</v>
      </c>
      <c r="G2576" t="s">
        <v>9491</v>
      </c>
    </row>
    <row r="2577" spans="1:7" ht="44.25" customHeight="1">
      <c r="A2577" t="s">
        <v>9492</v>
      </c>
      <c r="B2577" t="s">
        <v>9493</v>
      </c>
      <c r="C2577" t="s">
        <v>132</v>
      </c>
      <c r="D2577" t="s">
        <v>2143</v>
      </c>
      <c r="E2577" t="s">
        <v>1542</v>
      </c>
      <c r="F2577" t="s">
        <v>145</v>
      </c>
      <c r="G2577" t="s">
        <v>9494</v>
      </c>
    </row>
    <row r="2578" spans="1:7" ht="44.25" customHeight="1">
      <c r="A2578" t="s">
        <v>9495</v>
      </c>
      <c r="B2578" t="s">
        <v>9496</v>
      </c>
      <c r="C2578" t="s">
        <v>132</v>
      </c>
      <c r="D2578" t="s">
        <v>2143</v>
      </c>
      <c r="E2578" t="s">
        <v>2581</v>
      </c>
      <c r="F2578" t="s">
        <v>145</v>
      </c>
      <c r="G2578" t="s">
        <v>9497</v>
      </c>
    </row>
    <row r="2579" spans="1:7" ht="44.25" customHeight="1">
      <c r="A2579" t="s">
        <v>9498</v>
      </c>
      <c r="B2579" t="s">
        <v>9499</v>
      </c>
      <c r="C2579" t="s">
        <v>132</v>
      </c>
      <c r="D2579" t="s">
        <v>2143</v>
      </c>
      <c r="E2579" t="s">
        <v>1542</v>
      </c>
      <c r="F2579" t="s">
        <v>145</v>
      </c>
      <c r="G2579" t="s">
        <v>9500</v>
      </c>
    </row>
    <row r="2580" spans="1:7" ht="44.25" customHeight="1">
      <c r="A2580" t="s">
        <v>9501</v>
      </c>
      <c r="B2580" t="s">
        <v>9502</v>
      </c>
      <c r="C2580" t="s">
        <v>132</v>
      </c>
      <c r="D2580" t="s">
        <v>2139</v>
      </c>
      <c r="E2580" t="s">
        <v>1367</v>
      </c>
      <c r="F2580" t="s">
        <v>145</v>
      </c>
      <c r="G2580" t="s">
        <v>9503</v>
      </c>
    </row>
    <row r="2581" spans="1:7" ht="44.25" customHeight="1">
      <c r="A2581" t="s">
        <v>9504</v>
      </c>
      <c r="B2581" t="s">
        <v>9505</v>
      </c>
      <c r="C2581" t="s">
        <v>132</v>
      </c>
      <c r="D2581" t="s">
        <v>2143</v>
      </c>
      <c r="E2581" t="s">
        <v>1519</v>
      </c>
      <c r="F2581" t="s">
        <v>145</v>
      </c>
      <c r="G2581" t="s">
        <v>9506</v>
      </c>
    </row>
    <row r="2582" spans="1:7" ht="44.25" customHeight="1">
      <c r="A2582" t="s">
        <v>9507</v>
      </c>
      <c r="B2582" t="s">
        <v>9508</v>
      </c>
      <c r="C2582" t="s">
        <v>132</v>
      </c>
      <c r="D2582" t="s">
        <v>2143</v>
      </c>
      <c r="E2582" t="s">
        <v>6703</v>
      </c>
      <c r="F2582" t="s">
        <v>145</v>
      </c>
      <c r="G2582" t="s">
        <v>9509</v>
      </c>
    </row>
    <row r="2583" spans="1:7" ht="44.25" customHeight="1">
      <c r="A2583" t="s">
        <v>9510</v>
      </c>
      <c r="B2583" t="s">
        <v>9511</v>
      </c>
      <c r="C2583" t="s">
        <v>132</v>
      </c>
      <c r="D2583" t="s">
        <v>79</v>
      </c>
      <c r="E2583" t="s">
        <v>9512</v>
      </c>
      <c r="F2583" t="s">
        <v>145</v>
      </c>
      <c r="G2583" t="s">
        <v>9513</v>
      </c>
    </row>
    <row r="2584" spans="1:7" ht="44.25" customHeight="1">
      <c r="A2584" t="s">
        <v>132</v>
      </c>
      <c r="B2584" t="s">
        <v>9514</v>
      </c>
      <c r="C2584" t="s">
        <v>132</v>
      </c>
      <c r="D2584" t="s">
        <v>79</v>
      </c>
      <c r="E2584" t="s">
        <v>9515</v>
      </c>
      <c r="F2584" t="s">
        <v>145</v>
      </c>
      <c r="G2584" t="s">
        <v>9516</v>
      </c>
    </row>
    <row r="2585" spans="1:7" ht="44.25" customHeight="1">
      <c r="A2585" t="s">
        <v>9517</v>
      </c>
      <c r="B2585" t="s">
        <v>9518</v>
      </c>
      <c r="C2585" t="s">
        <v>132</v>
      </c>
      <c r="D2585" t="s">
        <v>79</v>
      </c>
      <c r="E2585" t="s">
        <v>9519</v>
      </c>
      <c r="F2585" t="s">
        <v>145</v>
      </c>
      <c r="G2585" t="s">
        <v>9520</v>
      </c>
    </row>
    <row r="2586" spans="1:7" ht="44.25" customHeight="1">
      <c r="A2586" t="s">
        <v>9521</v>
      </c>
      <c r="B2586" t="s">
        <v>9522</v>
      </c>
      <c r="C2586" t="s">
        <v>132</v>
      </c>
      <c r="D2586" t="s">
        <v>2143</v>
      </c>
      <c r="E2586" t="s">
        <v>5577</v>
      </c>
      <c r="F2586" t="s">
        <v>145</v>
      </c>
      <c r="G2586" t="s">
        <v>9523</v>
      </c>
    </row>
    <row r="2587" spans="1:7" ht="44.25" customHeight="1">
      <c r="A2587" t="s">
        <v>1330</v>
      </c>
      <c r="B2587" t="s">
        <v>9524</v>
      </c>
      <c r="C2587" t="s">
        <v>132</v>
      </c>
      <c r="D2587" t="s">
        <v>2143</v>
      </c>
      <c r="E2587" t="s">
        <v>1542</v>
      </c>
      <c r="F2587" t="s">
        <v>145</v>
      </c>
      <c r="G2587" t="s">
        <v>9525</v>
      </c>
    </row>
    <row r="2588" spans="1:7" ht="44.25" customHeight="1">
      <c r="A2588" t="s">
        <v>1335</v>
      </c>
      <c r="B2588" t="s">
        <v>9526</v>
      </c>
      <c r="C2588" t="s">
        <v>132</v>
      </c>
      <c r="D2588" t="s">
        <v>2143</v>
      </c>
      <c r="E2588" t="s">
        <v>1542</v>
      </c>
      <c r="F2588" t="s">
        <v>145</v>
      </c>
      <c r="G2588" t="s">
        <v>9527</v>
      </c>
    </row>
    <row r="2589" spans="1:7" ht="44.25" customHeight="1">
      <c r="A2589" t="s">
        <v>9528</v>
      </c>
      <c r="B2589" t="s">
        <v>9529</v>
      </c>
      <c r="C2589" t="s">
        <v>132</v>
      </c>
      <c r="D2589" t="s">
        <v>2139</v>
      </c>
      <c r="E2589" t="s">
        <v>1367</v>
      </c>
      <c r="F2589" t="s">
        <v>145</v>
      </c>
      <c r="G2589" t="s">
        <v>9530</v>
      </c>
    </row>
    <row r="2590" spans="1:7" ht="44.25" customHeight="1">
      <c r="A2590" t="s">
        <v>9531</v>
      </c>
      <c r="B2590" t="s">
        <v>9532</v>
      </c>
      <c r="C2590" t="s">
        <v>132</v>
      </c>
      <c r="D2590" t="s">
        <v>2139</v>
      </c>
      <c r="E2590" t="s">
        <v>1367</v>
      </c>
      <c r="F2590" t="s">
        <v>145</v>
      </c>
      <c r="G2590" t="s">
        <v>9533</v>
      </c>
    </row>
    <row r="2591" spans="1:7" ht="44.25" customHeight="1">
      <c r="A2591" t="s">
        <v>662</v>
      </c>
      <c r="B2591" t="s">
        <v>9534</v>
      </c>
      <c r="C2591" t="s">
        <v>132</v>
      </c>
      <c r="D2591" t="s">
        <v>2143</v>
      </c>
      <c r="E2591" t="s">
        <v>1519</v>
      </c>
      <c r="F2591" t="s">
        <v>145</v>
      </c>
      <c r="G2591" t="s">
        <v>9535</v>
      </c>
    </row>
    <row r="2592" spans="1:7" ht="44.25" customHeight="1">
      <c r="A2592" t="s">
        <v>923</v>
      </c>
      <c r="B2592" t="s">
        <v>9536</v>
      </c>
      <c r="C2592" t="s">
        <v>132</v>
      </c>
      <c r="D2592" t="s">
        <v>2143</v>
      </c>
      <c r="E2592" t="s">
        <v>2162</v>
      </c>
      <c r="F2592" t="s">
        <v>145</v>
      </c>
      <c r="G2592" t="s">
        <v>9537</v>
      </c>
    </row>
    <row r="2593" spans="1:7" ht="44.25" customHeight="1">
      <c r="A2593" t="s">
        <v>922</v>
      </c>
      <c r="B2593" t="s">
        <v>9538</v>
      </c>
      <c r="C2593" t="s">
        <v>132</v>
      </c>
      <c r="D2593" t="s">
        <v>2143</v>
      </c>
      <c r="E2593" t="s">
        <v>2162</v>
      </c>
      <c r="F2593" t="s">
        <v>145</v>
      </c>
      <c r="G2593" t="s">
        <v>9539</v>
      </c>
    </row>
    <row r="2594" spans="1:7" ht="44.25" customHeight="1">
      <c r="A2594" t="s">
        <v>921</v>
      </c>
      <c r="B2594" t="s">
        <v>9540</v>
      </c>
      <c r="C2594" t="s">
        <v>132</v>
      </c>
      <c r="D2594" t="s">
        <v>2143</v>
      </c>
      <c r="E2594" t="s">
        <v>2162</v>
      </c>
      <c r="F2594" t="s">
        <v>145</v>
      </c>
      <c r="G2594" t="s">
        <v>9541</v>
      </c>
    </row>
    <row r="2595" spans="1:7" ht="44.25" customHeight="1">
      <c r="A2595" t="s">
        <v>9542</v>
      </c>
      <c r="B2595" t="s">
        <v>9543</v>
      </c>
      <c r="C2595" t="s">
        <v>132</v>
      </c>
      <c r="D2595" t="s">
        <v>79</v>
      </c>
      <c r="E2595" t="s">
        <v>9544</v>
      </c>
      <c r="F2595" t="s">
        <v>145</v>
      </c>
      <c r="G2595" t="s">
        <v>9545</v>
      </c>
    </row>
    <row r="2596" spans="1:7" ht="44.25" customHeight="1">
      <c r="A2596" t="s">
        <v>9546</v>
      </c>
      <c r="B2596" t="s">
        <v>9547</v>
      </c>
      <c r="C2596" t="s">
        <v>132</v>
      </c>
      <c r="D2596" t="s">
        <v>79</v>
      </c>
      <c r="E2596" t="s">
        <v>9548</v>
      </c>
      <c r="F2596" t="s">
        <v>145</v>
      </c>
      <c r="G2596" t="s">
        <v>9549</v>
      </c>
    </row>
    <row r="2597" spans="1:7" ht="44.25" customHeight="1">
      <c r="A2597" t="s">
        <v>9550</v>
      </c>
      <c r="B2597" t="s">
        <v>9551</v>
      </c>
      <c r="C2597" t="s">
        <v>132</v>
      </c>
      <c r="D2597" t="s">
        <v>79</v>
      </c>
      <c r="E2597" t="s">
        <v>9552</v>
      </c>
      <c r="F2597" t="s">
        <v>145</v>
      </c>
      <c r="G2597" t="s">
        <v>9553</v>
      </c>
    </row>
    <row r="2598" spans="1:7" ht="44.25" customHeight="1">
      <c r="A2598" t="s">
        <v>9554</v>
      </c>
      <c r="B2598" t="s">
        <v>9555</v>
      </c>
      <c r="C2598" t="s">
        <v>132</v>
      </c>
      <c r="D2598" t="s">
        <v>2143</v>
      </c>
      <c r="E2598" t="s">
        <v>5577</v>
      </c>
      <c r="F2598" t="s">
        <v>145</v>
      </c>
      <c r="G2598" t="s">
        <v>9556</v>
      </c>
    </row>
    <row r="2599" spans="1:7" ht="44.25" customHeight="1">
      <c r="A2599" t="s">
        <v>132</v>
      </c>
      <c r="B2599" t="s">
        <v>9557</v>
      </c>
      <c r="C2599" t="s">
        <v>132</v>
      </c>
      <c r="D2599" t="s">
        <v>2143</v>
      </c>
      <c r="E2599" t="s">
        <v>5699</v>
      </c>
      <c r="F2599" t="s">
        <v>145</v>
      </c>
      <c r="G2599" t="s">
        <v>9558</v>
      </c>
    </row>
    <row r="2600" spans="1:7" ht="44.25" customHeight="1">
      <c r="A2600" t="s">
        <v>132</v>
      </c>
      <c r="B2600" t="s">
        <v>9559</v>
      </c>
      <c r="C2600" t="s">
        <v>132</v>
      </c>
      <c r="D2600" t="s">
        <v>2143</v>
      </c>
      <c r="E2600" t="s">
        <v>6932</v>
      </c>
      <c r="F2600" t="s">
        <v>145</v>
      </c>
      <c r="G2600" t="s">
        <v>9560</v>
      </c>
    </row>
    <row r="2601" spans="1:7" ht="44.25" customHeight="1">
      <c r="A2601" t="s">
        <v>132</v>
      </c>
      <c r="B2601" t="s">
        <v>9561</v>
      </c>
      <c r="C2601" t="s">
        <v>132</v>
      </c>
      <c r="D2601" t="s">
        <v>79</v>
      </c>
      <c r="E2601" t="s">
        <v>2891</v>
      </c>
      <c r="F2601" t="s">
        <v>145</v>
      </c>
      <c r="G2601" t="s">
        <v>9562</v>
      </c>
    </row>
    <row r="2602" spans="1:7" ht="44.25" customHeight="1">
      <c r="A2602" t="s">
        <v>1342</v>
      </c>
      <c r="B2602" t="s">
        <v>9563</v>
      </c>
      <c r="C2602" t="s">
        <v>132</v>
      </c>
      <c r="D2602" t="s">
        <v>2143</v>
      </c>
      <c r="E2602" t="s">
        <v>1542</v>
      </c>
      <c r="F2602" t="s">
        <v>145</v>
      </c>
      <c r="G2602" t="s">
        <v>9564</v>
      </c>
    </row>
    <row r="2603" spans="1:7" ht="44.25" customHeight="1">
      <c r="A2603" t="s">
        <v>132</v>
      </c>
      <c r="B2603" t="s">
        <v>9565</v>
      </c>
      <c r="C2603" t="s">
        <v>132</v>
      </c>
      <c r="D2603" t="s">
        <v>2143</v>
      </c>
      <c r="E2603" t="s">
        <v>2285</v>
      </c>
      <c r="F2603" t="s">
        <v>145</v>
      </c>
      <c r="G2603" t="s">
        <v>9566</v>
      </c>
    </row>
    <row r="2604" spans="1:7" ht="44.25" customHeight="1">
      <c r="A2604" t="s">
        <v>9567</v>
      </c>
      <c r="B2604" t="s">
        <v>9568</v>
      </c>
      <c r="C2604" t="s">
        <v>132</v>
      </c>
      <c r="D2604" t="s">
        <v>79</v>
      </c>
      <c r="E2604" t="s">
        <v>9569</v>
      </c>
      <c r="F2604" t="s">
        <v>145</v>
      </c>
      <c r="G2604" t="s">
        <v>9570</v>
      </c>
    </row>
    <row r="2605" spans="1:7" ht="44.25" customHeight="1">
      <c r="A2605" t="s">
        <v>544</v>
      </c>
      <c r="B2605" t="s">
        <v>9571</v>
      </c>
      <c r="C2605" t="s">
        <v>132</v>
      </c>
      <c r="D2605" t="s">
        <v>79</v>
      </c>
      <c r="E2605" t="s">
        <v>7173</v>
      </c>
      <c r="F2605" t="s">
        <v>145</v>
      </c>
      <c r="G2605" t="s">
        <v>9572</v>
      </c>
    </row>
    <row r="2606" spans="1:7" ht="44.25" customHeight="1">
      <c r="A2606" t="s">
        <v>9573</v>
      </c>
      <c r="B2606" t="s">
        <v>9574</v>
      </c>
      <c r="C2606" t="s">
        <v>132</v>
      </c>
      <c r="D2606" t="s">
        <v>2139</v>
      </c>
      <c r="E2606" t="s">
        <v>3623</v>
      </c>
      <c r="F2606" t="s">
        <v>145</v>
      </c>
      <c r="G2606" t="s">
        <v>9575</v>
      </c>
    </row>
    <row r="2607" spans="1:7" ht="44.25" customHeight="1">
      <c r="A2607" t="s">
        <v>9576</v>
      </c>
      <c r="B2607" t="s">
        <v>9577</v>
      </c>
      <c r="C2607" t="s">
        <v>132</v>
      </c>
      <c r="D2607" t="s">
        <v>2139</v>
      </c>
      <c r="E2607" t="s">
        <v>1367</v>
      </c>
      <c r="F2607" t="s">
        <v>145</v>
      </c>
      <c r="G2607" t="s">
        <v>9578</v>
      </c>
    </row>
    <row r="2608" spans="1:7" ht="44.25" customHeight="1">
      <c r="A2608" t="s">
        <v>749</v>
      </c>
      <c r="B2608" t="s">
        <v>9579</v>
      </c>
      <c r="C2608" t="s">
        <v>132</v>
      </c>
      <c r="D2608" t="s">
        <v>2139</v>
      </c>
      <c r="E2608" t="s">
        <v>1367</v>
      </c>
      <c r="F2608" t="s">
        <v>145</v>
      </c>
      <c r="G2608" t="s">
        <v>9580</v>
      </c>
    </row>
    <row r="2609" spans="1:7" ht="44.25" customHeight="1">
      <c r="A2609" t="s">
        <v>644</v>
      </c>
      <c r="B2609" t="s">
        <v>9581</v>
      </c>
      <c r="C2609" t="s">
        <v>132</v>
      </c>
      <c r="D2609" t="s">
        <v>79</v>
      </c>
      <c r="E2609" t="s">
        <v>6128</v>
      </c>
      <c r="F2609" t="s">
        <v>145</v>
      </c>
      <c r="G2609" t="s">
        <v>9582</v>
      </c>
    </row>
    <row r="2610" spans="1:7" ht="44.25" customHeight="1">
      <c r="A2610" t="s">
        <v>9137</v>
      </c>
      <c r="B2610" t="s">
        <v>9138</v>
      </c>
      <c r="C2610" t="s">
        <v>132</v>
      </c>
      <c r="D2610" t="s">
        <v>79</v>
      </c>
      <c r="E2610" t="s">
        <v>7240</v>
      </c>
      <c r="F2610" t="s">
        <v>145</v>
      </c>
      <c r="G2610" t="s">
        <v>9583</v>
      </c>
    </row>
    <row r="2611" spans="1:7" ht="44.25" customHeight="1">
      <c r="A2611" t="s">
        <v>520</v>
      </c>
      <c r="B2611" t="s">
        <v>9584</v>
      </c>
      <c r="C2611" t="s">
        <v>132</v>
      </c>
      <c r="D2611" t="s">
        <v>79</v>
      </c>
      <c r="E2611" t="s">
        <v>3589</v>
      </c>
      <c r="F2611" t="s">
        <v>145</v>
      </c>
      <c r="G2611" t="s">
        <v>9585</v>
      </c>
    </row>
    <row r="2612" spans="1:7" ht="44.25" customHeight="1">
      <c r="A2612" t="s">
        <v>678</v>
      </c>
      <c r="B2612" t="s">
        <v>9586</v>
      </c>
      <c r="C2612" t="s">
        <v>132</v>
      </c>
      <c r="D2612" t="s">
        <v>2143</v>
      </c>
      <c r="E2612" t="s">
        <v>1519</v>
      </c>
      <c r="F2612" t="s">
        <v>145</v>
      </c>
      <c r="G2612" t="s">
        <v>9587</v>
      </c>
    </row>
    <row r="2613" spans="1:7" ht="44.25" customHeight="1">
      <c r="A2613" t="s">
        <v>418</v>
      </c>
      <c r="B2613" t="s">
        <v>9588</v>
      </c>
      <c r="C2613" t="s">
        <v>132</v>
      </c>
      <c r="D2613" t="s">
        <v>79</v>
      </c>
      <c r="E2613" t="s">
        <v>4713</v>
      </c>
      <c r="F2613" t="s">
        <v>145</v>
      </c>
      <c r="G2613" t="s">
        <v>9589</v>
      </c>
    </row>
    <row r="2614" spans="1:7" ht="44.25" customHeight="1">
      <c r="A2614" t="s">
        <v>9590</v>
      </c>
      <c r="B2614" t="s">
        <v>9591</v>
      </c>
      <c r="C2614" t="s">
        <v>132</v>
      </c>
      <c r="D2614" t="s">
        <v>79</v>
      </c>
      <c r="E2614" t="s">
        <v>9592</v>
      </c>
      <c r="F2614" t="s">
        <v>145</v>
      </c>
      <c r="G2614" t="s">
        <v>9593</v>
      </c>
    </row>
    <row r="2615" spans="1:7" ht="44.25" customHeight="1">
      <c r="A2615" t="s">
        <v>9590</v>
      </c>
      <c r="B2615" t="s">
        <v>9591</v>
      </c>
      <c r="C2615" t="s">
        <v>132</v>
      </c>
      <c r="D2615" t="s">
        <v>79</v>
      </c>
      <c r="E2615" t="s">
        <v>9592</v>
      </c>
      <c r="F2615" t="s">
        <v>145</v>
      </c>
      <c r="G2615" t="s">
        <v>9593</v>
      </c>
    </row>
    <row r="2616" spans="1:7" ht="44.25" customHeight="1">
      <c r="A2616" t="s">
        <v>9594</v>
      </c>
      <c r="B2616" t="s">
        <v>9595</v>
      </c>
      <c r="C2616" t="s">
        <v>132</v>
      </c>
      <c r="D2616" t="s">
        <v>79</v>
      </c>
      <c r="E2616" t="s">
        <v>9596</v>
      </c>
      <c r="F2616" t="s">
        <v>145</v>
      </c>
      <c r="G2616" t="s">
        <v>9597</v>
      </c>
    </row>
    <row r="2617" spans="1:7" ht="44.25" customHeight="1">
      <c r="A2617" t="s">
        <v>9598</v>
      </c>
      <c r="B2617" t="s">
        <v>9599</v>
      </c>
      <c r="C2617" t="s">
        <v>132</v>
      </c>
      <c r="D2617" t="s">
        <v>79</v>
      </c>
      <c r="E2617" t="s">
        <v>9600</v>
      </c>
      <c r="F2617" t="s">
        <v>145</v>
      </c>
      <c r="G2617" t="s">
        <v>9601</v>
      </c>
    </row>
    <row r="2618" spans="1:7" ht="44.25" customHeight="1">
      <c r="A2618" t="s">
        <v>9602</v>
      </c>
      <c r="B2618" t="s">
        <v>9603</v>
      </c>
      <c r="C2618" t="s">
        <v>132</v>
      </c>
      <c r="D2618" t="s">
        <v>2143</v>
      </c>
      <c r="E2618" t="s">
        <v>9604</v>
      </c>
      <c r="F2618" t="s">
        <v>145</v>
      </c>
      <c r="G2618" t="s">
        <v>9605</v>
      </c>
    </row>
    <row r="2619" spans="1:7" ht="44.25" customHeight="1">
      <c r="A2619" t="s">
        <v>9606</v>
      </c>
      <c r="B2619" t="s">
        <v>9607</v>
      </c>
      <c r="C2619" t="s">
        <v>132</v>
      </c>
      <c r="D2619" t="s">
        <v>79</v>
      </c>
      <c r="E2619" t="s">
        <v>9608</v>
      </c>
      <c r="F2619" t="s">
        <v>145</v>
      </c>
      <c r="G2619" t="s">
        <v>9609</v>
      </c>
    </row>
    <row r="2620" spans="1:7" ht="44.25" customHeight="1">
      <c r="A2620" t="s">
        <v>132</v>
      </c>
      <c r="B2620" t="s">
        <v>9610</v>
      </c>
      <c r="C2620" t="s">
        <v>132</v>
      </c>
      <c r="D2620" t="s">
        <v>2143</v>
      </c>
      <c r="E2620" t="s">
        <v>1542</v>
      </c>
      <c r="F2620" t="s">
        <v>145</v>
      </c>
      <c r="G2620" t="s">
        <v>9611</v>
      </c>
    </row>
    <row r="2621" spans="1:7" ht="44.25" customHeight="1">
      <c r="A2621" t="s">
        <v>9612</v>
      </c>
      <c r="B2621" t="s">
        <v>9613</v>
      </c>
      <c r="C2621" t="s">
        <v>132</v>
      </c>
      <c r="D2621" t="s">
        <v>2143</v>
      </c>
      <c r="E2621" t="s">
        <v>1542</v>
      </c>
      <c r="F2621" t="s">
        <v>145</v>
      </c>
      <c r="G2621" t="s">
        <v>9614</v>
      </c>
    </row>
    <row r="2622" spans="1:7" ht="44.25" customHeight="1">
      <c r="A2622" t="s">
        <v>9615</v>
      </c>
      <c r="B2622" t="s">
        <v>9616</v>
      </c>
      <c r="C2622" t="s">
        <v>132</v>
      </c>
      <c r="D2622" t="s">
        <v>2143</v>
      </c>
      <c r="E2622" t="s">
        <v>1542</v>
      </c>
      <c r="F2622" t="s">
        <v>145</v>
      </c>
      <c r="G2622" t="s">
        <v>9617</v>
      </c>
    </row>
    <row r="2623" spans="1:7" ht="44.25" customHeight="1">
      <c r="A2623" t="s">
        <v>223</v>
      </c>
      <c r="B2623" t="s">
        <v>9618</v>
      </c>
      <c r="C2623" t="s">
        <v>132</v>
      </c>
      <c r="D2623" t="s">
        <v>2143</v>
      </c>
      <c r="E2623" t="s">
        <v>1542</v>
      </c>
      <c r="F2623" t="s">
        <v>145</v>
      </c>
      <c r="G2623" t="s">
        <v>9619</v>
      </c>
    </row>
    <row r="2624" spans="1:7" ht="44.25" customHeight="1">
      <c r="A2624" t="s">
        <v>1056</v>
      </c>
      <c r="B2624" t="s">
        <v>9620</v>
      </c>
      <c r="C2624" t="s">
        <v>132</v>
      </c>
      <c r="D2624" t="s">
        <v>79</v>
      </c>
      <c r="E2624" t="s">
        <v>8363</v>
      </c>
      <c r="F2624" t="s">
        <v>145</v>
      </c>
      <c r="G2624" t="s">
        <v>9621</v>
      </c>
    </row>
    <row r="2625" spans="1:7" ht="44.25" customHeight="1">
      <c r="A2625" t="s">
        <v>9622</v>
      </c>
      <c r="B2625" t="s">
        <v>9623</v>
      </c>
      <c r="C2625" t="s">
        <v>132</v>
      </c>
      <c r="D2625" t="s">
        <v>2139</v>
      </c>
      <c r="E2625" t="s">
        <v>1367</v>
      </c>
      <c r="F2625" t="s">
        <v>145</v>
      </c>
      <c r="G2625" t="s">
        <v>9624</v>
      </c>
    </row>
    <row r="2626" spans="1:7" ht="44.25" customHeight="1">
      <c r="A2626" t="s">
        <v>9625</v>
      </c>
      <c r="B2626" t="s">
        <v>9626</v>
      </c>
      <c r="C2626" t="s">
        <v>132</v>
      </c>
      <c r="D2626" t="s">
        <v>2143</v>
      </c>
      <c r="E2626" t="s">
        <v>2162</v>
      </c>
      <c r="F2626" t="s">
        <v>145</v>
      </c>
      <c r="G2626" t="s">
        <v>9627</v>
      </c>
    </row>
    <row r="2627" spans="1:7" ht="44.25" customHeight="1">
      <c r="A2627" t="s">
        <v>9628</v>
      </c>
      <c r="B2627" t="s">
        <v>9629</v>
      </c>
      <c r="C2627" t="s">
        <v>132</v>
      </c>
      <c r="D2627" t="s">
        <v>2139</v>
      </c>
      <c r="E2627" t="s">
        <v>2144</v>
      </c>
      <c r="F2627" t="s">
        <v>145</v>
      </c>
      <c r="G2627" t="s">
        <v>9630</v>
      </c>
    </row>
    <row r="2628" spans="1:7" ht="44.25" customHeight="1">
      <c r="A2628" t="s">
        <v>9631</v>
      </c>
      <c r="B2628" t="s">
        <v>9632</v>
      </c>
      <c r="C2628" t="s">
        <v>132</v>
      </c>
      <c r="D2628" t="s">
        <v>2143</v>
      </c>
      <c r="E2628" t="s">
        <v>1367</v>
      </c>
      <c r="F2628" t="s">
        <v>145</v>
      </c>
      <c r="G2628" t="s">
        <v>9633</v>
      </c>
    </row>
    <row r="2629" spans="1:7" ht="44.25" customHeight="1">
      <c r="A2629" t="s">
        <v>829</v>
      </c>
      <c r="B2629" t="s">
        <v>9634</v>
      </c>
      <c r="C2629" t="s">
        <v>132</v>
      </c>
      <c r="D2629" t="s">
        <v>2143</v>
      </c>
      <c r="E2629" t="s">
        <v>4010</v>
      </c>
      <c r="F2629" t="s">
        <v>145</v>
      </c>
      <c r="G2629" t="s">
        <v>9635</v>
      </c>
    </row>
    <row r="2630" spans="1:7" ht="44.25" customHeight="1">
      <c r="A2630" t="s">
        <v>421</v>
      </c>
      <c r="B2630" t="s">
        <v>9636</v>
      </c>
      <c r="C2630" t="s">
        <v>132</v>
      </c>
      <c r="D2630" t="s">
        <v>2143</v>
      </c>
      <c r="E2630" t="s">
        <v>1365</v>
      </c>
      <c r="F2630" t="s">
        <v>145</v>
      </c>
      <c r="G2630" t="s">
        <v>9637</v>
      </c>
    </row>
    <row r="2631" spans="1:7" ht="44.25" customHeight="1">
      <c r="A2631" t="s">
        <v>9638</v>
      </c>
      <c r="B2631" t="s">
        <v>9639</v>
      </c>
      <c r="C2631" t="s">
        <v>132</v>
      </c>
      <c r="D2631" t="s">
        <v>79</v>
      </c>
      <c r="E2631" t="s">
        <v>9640</v>
      </c>
      <c r="F2631" t="s">
        <v>145</v>
      </c>
      <c r="G2631" t="s">
        <v>9641</v>
      </c>
    </row>
    <row r="2632" spans="1:7" ht="44.25" customHeight="1">
      <c r="A2632" t="s">
        <v>9642</v>
      </c>
      <c r="B2632" t="s">
        <v>9643</v>
      </c>
      <c r="C2632" t="s">
        <v>132</v>
      </c>
      <c r="D2632" t="s">
        <v>79</v>
      </c>
      <c r="E2632" t="s">
        <v>9644</v>
      </c>
      <c r="F2632" t="s">
        <v>145</v>
      </c>
      <c r="G2632" t="s">
        <v>9645</v>
      </c>
    </row>
    <row r="2633" spans="1:7" ht="44.25" customHeight="1">
      <c r="A2633" t="s">
        <v>9646</v>
      </c>
      <c r="B2633" t="s">
        <v>9647</v>
      </c>
      <c r="C2633" t="s">
        <v>132</v>
      </c>
      <c r="D2633" t="s">
        <v>79</v>
      </c>
      <c r="E2633" t="s">
        <v>9648</v>
      </c>
      <c r="F2633" t="s">
        <v>145</v>
      </c>
      <c r="G2633" t="s">
        <v>9649</v>
      </c>
    </row>
    <row r="2634" spans="1:7" ht="44.25" customHeight="1">
      <c r="A2634" t="s">
        <v>9650</v>
      </c>
      <c r="B2634" t="s">
        <v>9651</v>
      </c>
      <c r="C2634" t="s">
        <v>132</v>
      </c>
      <c r="D2634" t="s">
        <v>79</v>
      </c>
      <c r="E2634" t="s">
        <v>9652</v>
      </c>
      <c r="F2634" t="s">
        <v>145</v>
      </c>
      <c r="G2634" t="s">
        <v>9653</v>
      </c>
    </row>
    <row r="2635" spans="1:7" ht="44.25" customHeight="1">
      <c r="A2635" t="s">
        <v>9654</v>
      </c>
      <c r="B2635" t="s">
        <v>9655</v>
      </c>
      <c r="C2635" t="s">
        <v>132</v>
      </c>
      <c r="D2635" t="s">
        <v>79</v>
      </c>
      <c r="E2635" t="s">
        <v>9656</v>
      </c>
      <c r="F2635" t="s">
        <v>145</v>
      </c>
      <c r="G2635" t="s">
        <v>9657</v>
      </c>
    </row>
    <row r="2636" spans="1:7" ht="44.25" customHeight="1">
      <c r="A2636" t="s">
        <v>9658</v>
      </c>
      <c r="B2636" t="s">
        <v>9659</v>
      </c>
      <c r="C2636" t="s">
        <v>132</v>
      </c>
      <c r="D2636" t="s">
        <v>2143</v>
      </c>
      <c r="E2636" t="s">
        <v>5577</v>
      </c>
      <c r="F2636" t="s">
        <v>145</v>
      </c>
      <c r="G2636" t="s">
        <v>9660</v>
      </c>
    </row>
    <row r="2637" spans="1:7" ht="44.25" customHeight="1">
      <c r="A2637" t="s">
        <v>9661</v>
      </c>
      <c r="B2637" t="s">
        <v>9662</v>
      </c>
      <c r="C2637" t="s">
        <v>132</v>
      </c>
      <c r="D2637" t="s">
        <v>2143</v>
      </c>
      <c r="E2637" t="s">
        <v>6489</v>
      </c>
      <c r="F2637" t="s">
        <v>145</v>
      </c>
      <c r="G2637" t="s">
        <v>9663</v>
      </c>
    </row>
    <row r="2638" spans="1:7" ht="44.25" customHeight="1">
      <c r="A2638" t="s">
        <v>453</v>
      </c>
      <c r="B2638" t="s">
        <v>9664</v>
      </c>
      <c r="C2638" t="s">
        <v>132</v>
      </c>
      <c r="D2638" t="s">
        <v>79</v>
      </c>
      <c r="E2638" t="s">
        <v>5764</v>
      </c>
      <c r="F2638" t="s">
        <v>145</v>
      </c>
      <c r="G2638" t="s">
        <v>9665</v>
      </c>
    </row>
    <row r="2639" spans="1:7" ht="44.25" customHeight="1">
      <c r="A2639" t="s">
        <v>9666</v>
      </c>
      <c r="B2639" t="s">
        <v>9667</v>
      </c>
      <c r="C2639" t="s">
        <v>132</v>
      </c>
      <c r="D2639" t="s">
        <v>2143</v>
      </c>
      <c r="E2639" t="s">
        <v>1542</v>
      </c>
      <c r="F2639" t="s">
        <v>145</v>
      </c>
      <c r="G2639" t="s">
        <v>9668</v>
      </c>
    </row>
    <row r="2640" spans="1:7" ht="44.25" customHeight="1">
      <c r="A2640" t="s">
        <v>9669</v>
      </c>
      <c r="B2640" t="s">
        <v>9670</v>
      </c>
      <c r="C2640" t="s">
        <v>132</v>
      </c>
      <c r="D2640" t="s">
        <v>79</v>
      </c>
      <c r="E2640" t="s">
        <v>9671</v>
      </c>
      <c r="F2640" t="s">
        <v>145</v>
      </c>
      <c r="G2640" t="s">
        <v>9672</v>
      </c>
    </row>
    <row r="2641" spans="1:7" ht="44.25" customHeight="1">
      <c r="A2641" t="s">
        <v>9673</v>
      </c>
      <c r="B2641" t="s">
        <v>9674</v>
      </c>
      <c r="C2641" t="s">
        <v>132</v>
      </c>
      <c r="D2641" t="s">
        <v>2139</v>
      </c>
      <c r="E2641" t="s">
        <v>1367</v>
      </c>
      <c r="F2641" t="s">
        <v>145</v>
      </c>
      <c r="G2641" t="s">
        <v>9675</v>
      </c>
    </row>
    <row r="2642" spans="1:7" ht="44.25" customHeight="1">
      <c r="A2642" t="s">
        <v>9676</v>
      </c>
      <c r="B2642" t="s">
        <v>9677</v>
      </c>
      <c r="C2642" t="s">
        <v>132</v>
      </c>
      <c r="D2642" t="s">
        <v>79</v>
      </c>
      <c r="E2642" t="s">
        <v>2581</v>
      </c>
      <c r="F2642" t="s">
        <v>145</v>
      </c>
      <c r="G2642" t="s">
        <v>9678</v>
      </c>
    </row>
    <row r="2643" spans="1:7" ht="44.25" customHeight="1">
      <c r="A2643" t="s">
        <v>9679</v>
      </c>
      <c r="B2643" t="s">
        <v>9680</v>
      </c>
      <c r="C2643" t="s">
        <v>132</v>
      </c>
      <c r="D2643" t="s">
        <v>2143</v>
      </c>
      <c r="E2643" t="s">
        <v>2285</v>
      </c>
      <c r="F2643" t="s">
        <v>145</v>
      </c>
      <c r="G2643" t="s">
        <v>9681</v>
      </c>
    </row>
    <row r="2644" spans="1:7" ht="44.25" customHeight="1">
      <c r="A2644" t="s">
        <v>9682</v>
      </c>
      <c r="B2644" t="s">
        <v>9683</v>
      </c>
      <c r="C2644" t="s">
        <v>132</v>
      </c>
      <c r="D2644" t="s">
        <v>2143</v>
      </c>
      <c r="E2644" t="s">
        <v>1542</v>
      </c>
      <c r="F2644" t="s">
        <v>145</v>
      </c>
      <c r="G2644" t="s">
        <v>9684</v>
      </c>
    </row>
    <row r="2645" spans="1:7" ht="44.25" customHeight="1">
      <c r="A2645" t="s">
        <v>132</v>
      </c>
      <c r="B2645" t="s">
        <v>9685</v>
      </c>
      <c r="C2645" t="s">
        <v>132</v>
      </c>
      <c r="D2645" t="s">
        <v>2510</v>
      </c>
      <c r="E2645" t="s">
        <v>7371</v>
      </c>
      <c r="F2645" t="s">
        <v>145</v>
      </c>
      <c r="G2645" t="s">
        <v>9686</v>
      </c>
    </row>
    <row r="2646" spans="1:7" ht="44.25" customHeight="1">
      <c r="A2646" t="s">
        <v>9687</v>
      </c>
      <c r="B2646" t="s">
        <v>9688</v>
      </c>
      <c r="C2646" t="s">
        <v>132</v>
      </c>
      <c r="D2646" t="s">
        <v>2143</v>
      </c>
      <c r="E2646" t="s">
        <v>2581</v>
      </c>
      <c r="F2646" t="s">
        <v>145</v>
      </c>
      <c r="G2646" t="s">
        <v>9689</v>
      </c>
    </row>
    <row r="2647" spans="1:7" ht="44.25" customHeight="1">
      <c r="A2647" t="s">
        <v>9690</v>
      </c>
      <c r="B2647" t="s">
        <v>9691</v>
      </c>
      <c r="C2647" t="s">
        <v>132</v>
      </c>
      <c r="D2647" t="s">
        <v>2143</v>
      </c>
      <c r="E2647" t="s">
        <v>1542</v>
      </c>
      <c r="F2647" t="s">
        <v>145</v>
      </c>
      <c r="G2647" t="s">
        <v>9692</v>
      </c>
    </row>
    <row r="2648" spans="1:7" ht="44.25" customHeight="1">
      <c r="A2648" t="s">
        <v>250</v>
      </c>
      <c r="B2648" t="s">
        <v>9693</v>
      </c>
      <c r="C2648" t="s">
        <v>132</v>
      </c>
      <c r="D2648" t="s">
        <v>2143</v>
      </c>
      <c r="E2648" t="s">
        <v>1542</v>
      </c>
      <c r="F2648" t="s">
        <v>145</v>
      </c>
      <c r="G2648" t="s">
        <v>9694</v>
      </c>
    </row>
    <row r="2649" spans="1:7" ht="44.25" customHeight="1">
      <c r="A2649" t="s">
        <v>9695</v>
      </c>
      <c r="B2649" t="s">
        <v>9696</v>
      </c>
      <c r="C2649" t="s">
        <v>132</v>
      </c>
      <c r="D2649" t="s">
        <v>2143</v>
      </c>
      <c r="E2649" t="s">
        <v>1542</v>
      </c>
      <c r="F2649" t="s">
        <v>145</v>
      </c>
      <c r="G2649" t="s">
        <v>9697</v>
      </c>
    </row>
    <row r="2650" spans="1:7" ht="44.25" customHeight="1">
      <c r="A2650" t="s">
        <v>279</v>
      </c>
      <c r="B2650" t="s">
        <v>9698</v>
      </c>
      <c r="C2650" t="s">
        <v>1442</v>
      </c>
      <c r="D2650" t="s">
        <v>2143</v>
      </c>
      <c r="E2650" t="s">
        <v>3048</v>
      </c>
      <c r="F2650" t="s">
        <v>145</v>
      </c>
      <c r="G2650" t="s">
        <v>9699</v>
      </c>
    </row>
    <row r="2651" spans="1:7" ht="44.25" customHeight="1">
      <c r="A2651" t="s">
        <v>9700</v>
      </c>
      <c r="B2651" t="s">
        <v>9701</v>
      </c>
      <c r="C2651" t="s">
        <v>132</v>
      </c>
      <c r="D2651" t="s">
        <v>79</v>
      </c>
      <c r="E2651" t="s">
        <v>6040</v>
      </c>
      <c r="F2651" t="s">
        <v>145</v>
      </c>
      <c r="G2651" t="s">
        <v>9702</v>
      </c>
    </row>
    <row r="2652" spans="1:7" ht="44.25" customHeight="1">
      <c r="A2652" t="s">
        <v>9703</v>
      </c>
      <c r="B2652" t="s">
        <v>9704</v>
      </c>
      <c r="C2652" t="s">
        <v>132</v>
      </c>
      <c r="D2652" t="s">
        <v>79</v>
      </c>
      <c r="E2652" t="s">
        <v>6619</v>
      </c>
      <c r="F2652" t="s">
        <v>145</v>
      </c>
      <c r="G2652" t="s">
        <v>9705</v>
      </c>
    </row>
    <row r="2653" spans="1:7" ht="44.25" customHeight="1">
      <c r="A2653" t="s">
        <v>1318</v>
      </c>
      <c r="B2653" t="s">
        <v>9706</v>
      </c>
      <c r="C2653" t="s">
        <v>132</v>
      </c>
      <c r="D2653" t="s">
        <v>2139</v>
      </c>
      <c r="E2653" t="s">
        <v>1367</v>
      </c>
      <c r="F2653" t="s">
        <v>145</v>
      </c>
      <c r="G2653" t="s">
        <v>9707</v>
      </c>
    </row>
    <row r="2654" spans="1:7" ht="44.25" customHeight="1">
      <c r="A2654" t="s">
        <v>920</v>
      </c>
      <c r="B2654" t="s">
        <v>9708</v>
      </c>
      <c r="C2654" t="s">
        <v>132</v>
      </c>
      <c r="D2654" t="s">
        <v>2143</v>
      </c>
      <c r="E2654" t="s">
        <v>2162</v>
      </c>
      <c r="F2654" t="s">
        <v>145</v>
      </c>
      <c r="G2654" t="s">
        <v>9709</v>
      </c>
    </row>
    <row r="2655" spans="1:7" ht="44.25" customHeight="1">
      <c r="A2655" t="s">
        <v>494</v>
      </c>
      <c r="B2655" t="s">
        <v>9710</v>
      </c>
      <c r="C2655" t="s">
        <v>132</v>
      </c>
      <c r="D2655" t="s">
        <v>2143</v>
      </c>
      <c r="E2655" t="s">
        <v>2151</v>
      </c>
      <c r="F2655" t="s">
        <v>145</v>
      </c>
      <c r="G2655" t="s">
        <v>9711</v>
      </c>
    </row>
    <row r="2656" spans="1:7" ht="44.25" customHeight="1">
      <c r="A2656" t="s">
        <v>9712</v>
      </c>
      <c r="B2656" t="s">
        <v>9713</v>
      </c>
      <c r="C2656" t="s">
        <v>132</v>
      </c>
      <c r="D2656" t="s">
        <v>79</v>
      </c>
      <c r="E2656" t="s">
        <v>9714</v>
      </c>
      <c r="F2656" t="s">
        <v>145</v>
      </c>
      <c r="G2656" t="s">
        <v>9715</v>
      </c>
    </row>
    <row r="2657" spans="1:7" ht="44.25" customHeight="1">
      <c r="A2657" t="s">
        <v>9712</v>
      </c>
      <c r="B2657" t="s">
        <v>9713</v>
      </c>
      <c r="C2657" t="s">
        <v>132</v>
      </c>
      <c r="D2657" t="s">
        <v>79</v>
      </c>
      <c r="E2657" t="s">
        <v>9714</v>
      </c>
      <c r="F2657" t="s">
        <v>145</v>
      </c>
      <c r="G2657" t="s">
        <v>9715</v>
      </c>
    </row>
    <row r="2658" spans="1:7" ht="44.25" customHeight="1">
      <c r="A2658" t="s">
        <v>9712</v>
      </c>
      <c r="B2658" t="s">
        <v>9713</v>
      </c>
      <c r="C2658" t="s">
        <v>132</v>
      </c>
      <c r="D2658" t="s">
        <v>79</v>
      </c>
      <c r="E2658" t="s">
        <v>9714</v>
      </c>
      <c r="F2658" t="s">
        <v>145</v>
      </c>
      <c r="G2658" t="s">
        <v>9715</v>
      </c>
    </row>
    <row r="2659" spans="1:7" ht="44.25" customHeight="1">
      <c r="A2659" t="s">
        <v>9716</v>
      </c>
      <c r="B2659" t="s">
        <v>9717</v>
      </c>
      <c r="C2659" t="s">
        <v>132</v>
      </c>
      <c r="D2659" t="s">
        <v>79</v>
      </c>
      <c r="E2659" t="s">
        <v>9718</v>
      </c>
      <c r="F2659" t="s">
        <v>145</v>
      </c>
      <c r="G2659" t="s">
        <v>9719</v>
      </c>
    </row>
    <row r="2660" spans="1:7" ht="44.25" customHeight="1">
      <c r="A2660" t="s">
        <v>9720</v>
      </c>
      <c r="B2660" t="s">
        <v>9721</v>
      </c>
      <c r="C2660" t="s">
        <v>132</v>
      </c>
      <c r="D2660" t="s">
        <v>79</v>
      </c>
      <c r="E2660" t="s">
        <v>9722</v>
      </c>
      <c r="F2660" t="s">
        <v>145</v>
      </c>
      <c r="G2660" t="s">
        <v>9723</v>
      </c>
    </row>
    <row r="2661" spans="1:7" ht="44.25" customHeight="1">
      <c r="A2661" t="s">
        <v>132</v>
      </c>
      <c r="B2661" t="s">
        <v>9724</v>
      </c>
      <c r="C2661" t="s">
        <v>132</v>
      </c>
      <c r="D2661" t="s">
        <v>2143</v>
      </c>
      <c r="E2661" t="s">
        <v>9725</v>
      </c>
      <c r="F2661" t="s">
        <v>145</v>
      </c>
      <c r="G2661" t="s">
        <v>9726</v>
      </c>
    </row>
    <row r="2662" spans="1:7" ht="44.25" customHeight="1">
      <c r="A2662" t="s">
        <v>9727</v>
      </c>
      <c r="B2662" t="s">
        <v>9728</v>
      </c>
      <c r="C2662" t="s">
        <v>132</v>
      </c>
      <c r="D2662" t="s">
        <v>2143</v>
      </c>
      <c r="E2662" t="s">
        <v>1542</v>
      </c>
      <c r="F2662" t="s">
        <v>145</v>
      </c>
      <c r="G2662" t="s">
        <v>9729</v>
      </c>
    </row>
    <row r="2663" spans="1:7" ht="44.25" customHeight="1">
      <c r="A2663" t="s">
        <v>9730</v>
      </c>
      <c r="B2663" t="s">
        <v>9731</v>
      </c>
      <c r="C2663" t="s">
        <v>9732</v>
      </c>
      <c r="D2663" t="s">
        <v>2143</v>
      </c>
      <c r="E2663" t="s">
        <v>2571</v>
      </c>
      <c r="F2663" t="s">
        <v>145</v>
      </c>
      <c r="G2663" t="s">
        <v>9733</v>
      </c>
    </row>
    <row r="2664" spans="1:7" ht="44.25" customHeight="1">
      <c r="A2664" t="s">
        <v>9734</v>
      </c>
      <c r="B2664" t="s">
        <v>9735</v>
      </c>
      <c r="C2664" t="s">
        <v>132</v>
      </c>
      <c r="D2664" t="s">
        <v>2143</v>
      </c>
      <c r="E2664" t="s">
        <v>1542</v>
      </c>
      <c r="F2664" t="s">
        <v>145</v>
      </c>
      <c r="G2664" t="s">
        <v>9736</v>
      </c>
    </row>
    <row r="2665" spans="1:7" ht="44.25" customHeight="1">
      <c r="A2665" t="s">
        <v>9737</v>
      </c>
      <c r="B2665" t="s">
        <v>9738</v>
      </c>
      <c r="C2665" t="s">
        <v>132</v>
      </c>
      <c r="D2665" t="s">
        <v>79</v>
      </c>
      <c r="E2665" t="s">
        <v>3451</v>
      </c>
      <c r="F2665" t="s">
        <v>145</v>
      </c>
      <c r="G2665" t="s">
        <v>9739</v>
      </c>
    </row>
    <row r="2666" spans="1:7" ht="44.25" customHeight="1">
      <c r="A2666" t="s">
        <v>9740</v>
      </c>
      <c r="B2666" t="s">
        <v>9741</v>
      </c>
      <c r="C2666" t="s">
        <v>132</v>
      </c>
      <c r="D2666" t="s">
        <v>2139</v>
      </c>
      <c r="E2666" t="s">
        <v>1365</v>
      </c>
      <c r="F2666" t="s">
        <v>145</v>
      </c>
      <c r="G2666" t="s">
        <v>9742</v>
      </c>
    </row>
    <row r="2667" spans="1:7" ht="44.25" customHeight="1">
      <c r="A2667" t="s">
        <v>9743</v>
      </c>
      <c r="B2667" t="s">
        <v>9744</v>
      </c>
      <c r="C2667" t="s">
        <v>132</v>
      </c>
      <c r="D2667" t="s">
        <v>2139</v>
      </c>
      <c r="E2667" t="s">
        <v>1367</v>
      </c>
      <c r="F2667" t="s">
        <v>145</v>
      </c>
      <c r="G2667" t="s">
        <v>9745</v>
      </c>
    </row>
    <row r="2668" spans="1:7" ht="44.25" customHeight="1">
      <c r="A2668" t="s">
        <v>9746</v>
      </c>
      <c r="B2668" t="s">
        <v>9747</v>
      </c>
      <c r="C2668" t="s">
        <v>132</v>
      </c>
      <c r="D2668" t="s">
        <v>2139</v>
      </c>
      <c r="E2668" t="s">
        <v>1367</v>
      </c>
      <c r="F2668" t="s">
        <v>145</v>
      </c>
      <c r="G2668" t="s">
        <v>9748</v>
      </c>
    </row>
    <row r="2669" spans="1:7" ht="44.25" customHeight="1">
      <c r="A2669" t="s">
        <v>1004</v>
      </c>
      <c r="B2669" t="s">
        <v>9749</v>
      </c>
      <c r="C2669" t="s">
        <v>132</v>
      </c>
      <c r="D2669" t="s">
        <v>2143</v>
      </c>
      <c r="E2669" t="s">
        <v>1365</v>
      </c>
      <c r="F2669" t="s">
        <v>145</v>
      </c>
      <c r="G2669" t="s">
        <v>9750</v>
      </c>
    </row>
    <row r="2670" spans="1:7" ht="44.25" customHeight="1">
      <c r="A2670" t="s">
        <v>604</v>
      </c>
      <c r="B2670" t="s">
        <v>9751</v>
      </c>
      <c r="C2670" t="s">
        <v>132</v>
      </c>
      <c r="D2670" t="s">
        <v>79</v>
      </c>
      <c r="E2670" t="s">
        <v>9752</v>
      </c>
      <c r="F2670" t="s">
        <v>145</v>
      </c>
      <c r="G2670" t="s">
        <v>9753</v>
      </c>
    </row>
    <row r="2671" spans="1:7" ht="44.25" customHeight="1">
      <c r="A2671" t="s">
        <v>9754</v>
      </c>
      <c r="B2671" t="s">
        <v>9755</v>
      </c>
      <c r="C2671" t="s">
        <v>132</v>
      </c>
      <c r="D2671" t="s">
        <v>79</v>
      </c>
      <c r="E2671" t="s">
        <v>9756</v>
      </c>
      <c r="F2671" t="s">
        <v>145</v>
      </c>
      <c r="G2671" t="s">
        <v>9757</v>
      </c>
    </row>
    <row r="2672" spans="1:7" ht="44.25" customHeight="1">
      <c r="A2672" t="s">
        <v>9758</v>
      </c>
      <c r="B2672" t="s">
        <v>9759</v>
      </c>
      <c r="C2672" t="s">
        <v>132</v>
      </c>
      <c r="D2672" t="s">
        <v>79</v>
      </c>
      <c r="E2672" t="s">
        <v>9760</v>
      </c>
      <c r="F2672" t="s">
        <v>145</v>
      </c>
      <c r="G2672" t="s">
        <v>9761</v>
      </c>
    </row>
    <row r="2673" spans="1:7" ht="44.25" customHeight="1">
      <c r="A2673" t="s">
        <v>9762</v>
      </c>
      <c r="B2673" t="s">
        <v>9763</v>
      </c>
      <c r="C2673" t="s">
        <v>132</v>
      </c>
      <c r="D2673" t="s">
        <v>2143</v>
      </c>
      <c r="E2673" t="s">
        <v>1542</v>
      </c>
      <c r="F2673" t="s">
        <v>145</v>
      </c>
      <c r="G2673" t="s">
        <v>9764</v>
      </c>
    </row>
    <row r="2674" spans="1:7" ht="44.25" customHeight="1">
      <c r="A2674" t="s">
        <v>9765</v>
      </c>
      <c r="B2674" t="s">
        <v>9766</v>
      </c>
      <c r="C2674" t="s">
        <v>132</v>
      </c>
      <c r="D2674" t="s">
        <v>79</v>
      </c>
      <c r="E2674" t="s">
        <v>4796</v>
      </c>
      <c r="F2674" t="s">
        <v>145</v>
      </c>
      <c r="G2674" t="s">
        <v>9767</v>
      </c>
    </row>
    <row r="2675" spans="1:7" ht="44.25" customHeight="1">
      <c r="A2675" t="s">
        <v>9768</v>
      </c>
      <c r="B2675" t="s">
        <v>9769</v>
      </c>
      <c r="C2675" t="s">
        <v>132</v>
      </c>
      <c r="D2675" t="s">
        <v>79</v>
      </c>
      <c r="E2675" t="s">
        <v>9770</v>
      </c>
      <c r="F2675" t="s">
        <v>145</v>
      </c>
      <c r="G2675" t="s">
        <v>9771</v>
      </c>
    </row>
    <row r="2676" spans="1:7" ht="44.25" customHeight="1">
      <c r="A2676" t="s">
        <v>9772</v>
      </c>
      <c r="B2676" t="s">
        <v>9773</v>
      </c>
      <c r="C2676" t="s">
        <v>132</v>
      </c>
      <c r="D2676" t="s">
        <v>79</v>
      </c>
      <c r="E2676" t="s">
        <v>9774</v>
      </c>
      <c r="F2676" t="s">
        <v>145</v>
      </c>
      <c r="G2676" t="s">
        <v>9775</v>
      </c>
    </row>
    <row r="2677" spans="1:7" ht="44.25" customHeight="1">
      <c r="A2677" t="s">
        <v>9776</v>
      </c>
      <c r="B2677" t="s">
        <v>9777</v>
      </c>
      <c r="C2677" t="s">
        <v>132</v>
      </c>
      <c r="D2677" t="s">
        <v>79</v>
      </c>
      <c r="E2677" t="s">
        <v>9778</v>
      </c>
      <c r="F2677" t="s">
        <v>145</v>
      </c>
      <c r="G2677" t="s">
        <v>9779</v>
      </c>
    </row>
    <row r="2678" spans="1:7" ht="44.25" customHeight="1">
      <c r="A2678" t="s">
        <v>9780</v>
      </c>
      <c r="B2678" t="s">
        <v>9781</v>
      </c>
      <c r="C2678" t="s">
        <v>132</v>
      </c>
      <c r="D2678" t="s">
        <v>79</v>
      </c>
      <c r="E2678" t="s">
        <v>9782</v>
      </c>
      <c r="F2678" t="s">
        <v>145</v>
      </c>
      <c r="G2678" t="s">
        <v>9783</v>
      </c>
    </row>
    <row r="2679" spans="1:7" ht="44.25" customHeight="1">
      <c r="A2679" t="s">
        <v>9784</v>
      </c>
      <c r="B2679" t="s">
        <v>9785</v>
      </c>
      <c r="C2679" t="s">
        <v>132</v>
      </c>
      <c r="D2679" t="s">
        <v>79</v>
      </c>
      <c r="E2679" t="s">
        <v>9786</v>
      </c>
      <c r="F2679" t="s">
        <v>145</v>
      </c>
      <c r="G2679" t="s">
        <v>9787</v>
      </c>
    </row>
    <row r="2680" spans="1:7" ht="44.25" customHeight="1">
      <c r="A2680" t="s">
        <v>9788</v>
      </c>
      <c r="B2680" t="s">
        <v>9789</v>
      </c>
      <c r="C2680" t="s">
        <v>132</v>
      </c>
      <c r="D2680" t="s">
        <v>2143</v>
      </c>
      <c r="E2680" t="s">
        <v>5577</v>
      </c>
      <c r="F2680" t="s">
        <v>145</v>
      </c>
      <c r="G2680" t="s">
        <v>9790</v>
      </c>
    </row>
    <row r="2681" spans="1:7" ht="44.25" customHeight="1">
      <c r="A2681" t="s">
        <v>9791</v>
      </c>
      <c r="B2681" t="s">
        <v>9792</v>
      </c>
      <c r="C2681" t="s">
        <v>132</v>
      </c>
      <c r="D2681" t="s">
        <v>79</v>
      </c>
      <c r="E2681" t="s">
        <v>6489</v>
      </c>
      <c r="F2681" t="s">
        <v>145</v>
      </c>
      <c r="G2681" t="s">
        <v>9793</v>
      </c>
    </row>
    <row r="2682" spans="1:7" ht="44.25" customHeight="1">
      <c r="A2682" t="s">
        <v>387</v>
      </c>
      <c r="B2682" t="s">
        <v>9794</v>
      </c>
      <c r="C2682" t="s">
        <v>132</v>
      </c>
      <c r="D2682" t="s">
        <v>79</v>
      </c>
      <c r="E2682" t="s">
        <v>1458</v>
      </c>
      <c r="F2682" t="s">
        <v>145</v>
      </c>
      <c r="G2682" t="s">
        <v>9795</v>
      </c>
    </row>
    <row r="2683" spans="1:7" ht="44.25" customHeight="1">
      <c r="A2683" t="s">
        <v>9796</v>
      </c>
      <c r="B2683" t="s">
        <v>9797</v>
      </c>
      <c r="C2683" t="s">
        <v>132</v>
      </c>
      <c r="D2683" t="s">
        <v>2143</v>
      </c>
      <c r="E2683" t="s">
        <v>2581</v>
      </c>
      <c r="F2683" t="s">
        <v>145</v>
      </c>
      <c r="G2683" t="s">
        <v>9798</v>
      </c>
    </row>
    <row r="2684" spans="1:7" ht="44.25" customHeight="1">
      <c r="A2684" t="s">
        <v>132</v>
      </c>
      <c r="B2684" t="s">
        <v>9799</v>
      </c>
      <c r="C2684" t="s">
        <v>132</v>
      </c>
      <c r="D2684" t="s">
        <v>2143</v>
      </c>
      <c r="E2684" t="s">
        <v>5577</v>
      </c>
      <c r="F2684" t="s">
        <v>145</v>
      </c>
      <c r="G2684" t="s">
        <v>9800</v>
      </c>
    </row>
    <row r="2685" spans="1:7" ht="44.25" customHeight="1">
      <c r="A2685" t="s">
        <v>451</v>
      </c>
      <c r="B2685" t="s">
        <v>9801</v>
      </c>
      <c r="C2685" t="s">
        <v>132</v>
      </c>
      <c r="D2685" t="s">
        <v>79</v>
      </c>
      <c r="E2685" t="s">
        <v>9802</v>
      </c>
      <c r="F2685" t="s">
        <v>145</v>
      </c>
      <c r="G2685" t="s">
        <v>9803</v>
      </c>
    </row>
    <row r="2686" spans="1:7" ht="44.25" customHeight="1">
      <c r="A2686" t="s">
        <v>9804</v>
      </c>
      <c r="B2686" t="s">
        <v>9805</v>
      </c>
      <c r="C2686" t="s">
        <v>9806</v>
      </c>
      <c r="D2686" t="s">
        <v>2143</v>
      </c>
      <c r="E2686" t="s">
        <v>2571</v>
      </c>
      <c r="F2686" t="s">
        <v>145</v>
      </c>
      <c r="G2686" t="s">
        <v>9807</v>
      </c>
    </row>
    <row r="2687" spans="1:7" ht="44.25" customHeight="1">
      <c r="A2687" t="s">
        <v>9808</v>
      </c>
      <c r="B2687" t="s">
        <v>9809</v>
      </c>
      <c r="C2687" t="s">
        <v>132</v>
      </c>
      <c r="D2687" t="s">
        <v>2139</v>
      </c>
      <c r="E2687" t="s">
        <v>1367</v>
      </c>
      <c r="F2687" t="s">
        <v>145</v>
      </c>
      <c r="G2687" t="s">
        <v>9810</v>
      </c>
    </row>
    <row r="2688" spans="1:7" ht="44.25" customHeight="1">
      <c r="A2688" t="s">
        <v>9811</v>
      </c>
      <c r="B2688" t="s">
        <v>9812</v>
      </c>
      <c r="C2688" t="s">
        <v>132</v>
      </c>
      <c r="D2688" t="s">
        <v>2139</v>
      </c>
      <c r="E2688" t="s">
        <v>1367</v>
      </c>
      <c r="F2688" t="s">
        <v>145</v>
      </c>
      <c r="G2688" t="s">
        <v>9813</v>
      </c>
    </row>
    <row r="2689" spans="1:7" ht="44.25" customHeight="1">
      <c r="A2689" t="s">
        <v>9814</v>
      </c>
      <c r="B2689" t="s">
        <v>9815</v>
      </c>
      <c r="C2689" t="s">
        <v>132</v>
      </c>
      <c r="D2689" t="s">
        <v>79</v>
      </c>
      <c r="E2689" t="s">
        <v>9816</v>
      </c>
      <c r="F2689" t="s">
        <v>145</v>
      </c>
      <c r="G2689" t="s">
        <v>9817</v>
      </c>
    </row>
    <row r="2690" spans="1:7" ht="44.25" customHeight="1">
      <c r="A2690" t="s">
        <v>9818</v>
      </c>
      <c r="B2690" t="s">
        <v>9819</v>
      </c>
      <c r="C2690" t="s">
        <v>132</v>
      </c>
      <c r="D2690" t="s">
        <v>79</v>
      </c>
      <c r="E2690" t="s">
        <v>9820</v>
      </c>
      <c r="F2690" t="s">
        <v>145</v>
      </c>
      <c r="G2690" t="s">
        <v>9821</v>
      </c>
    </row>
    <row r="2691" spans="1:7" ht="44.25" customHeight="1">
      <c r="A2691" t="s">
        <v>9822</v>
      </c>
      <c r="B2691" t="s">
        <v>9823</v>
      </c>
      <c r="C2691" t="s">
        <v>132</v>
      </c>
      <c r="D2691" t="s">
        <v>2143</v>
      </c>
      <c r="E2691" t="s">
        <v>2162</v>
      </c>
      <c r="F2691" t="s">
        <v>145</v>
      </c>
      <c r="G2691" t="s">
        <v>9824</v>
      </c>
    </row>
    <row r="2692" spans="1:7" ht="44.25" customHeight="1">
      <c r="A2692" t="s">
        <v>9825</v>
      </c>
      <c r="B2692" t="s">
        <v>9826</v>
      </c>
      <c r="C2692" t="s">
        <v>132</v>
      </c>
      <c r="D2692" t="s">
        <v>2143</v>
      </c>
      <c r="E2692" t="s">
        <v>2162</v>
      </c>
      <c r="F2692" t="s">
        <v>145</v>
      </c>
      <c r="G2692" t="s">
        <v>9827</v>
      </c>
    </row>
    <row r="2693" spans="1:7" ht="44.25" customHeight="1">
      <c r="A2693" t="s">
        <v>9828</v>
      </c>
      <c r="B2693" t="s">
        <v>9829</v>
      </c>
      <c r="C2693" t="s">
        <v>132</v>
      </c>
      <c r="D2693" t="s">
        <v>2139</v>
      </c>
      <c r="E2693" t="s">
        <v>1367</v>
      </c>
      <c r="F2693" t="s">
        <v>145</v>
      </c>
      <c r="G2693" t="s">
        <v>9830</v>
      </c>
    </row>
    <row r="2694" spans="1:7" ht="44.25" customHeight="1">
      <c r="A2694" t="s">
        <v>1294</v>
      </c>
      <c r="B2694" t="s">
        <v>9831</v>
      </c>
      <c r="C2694" t="s">
        <v>132</v>
      </c>
      <c r="D2694" t="s">
        <v>2139</v>
      </c>
      <c r="E2694" t="s">
        <v>1367</v>
      </c>
      <c r="F2694" t="s">
        <v>145</v>
      </c>
      <c r="G2694" t="s">
        <v>9832</v>
      </c>
    </row>
    <row r="2695" spans="1:7" ht="44.25" customHeight="1">
      <c r="A2695" t="s">
        <v>291</v>
      </c>
      <c r="B2695" t="s">
        <v>9833</v>
      </c>
      <c r="C2695" t="s">
        <v>132</v>
      </c>
      <c r="D2695" t="s">
        <v>2139</v>
      </c>
      <c r="E2695" t="s">
        <v>2144</v>
      </c>
      <c r="F2695" t="s">
        <v>145</v>
      </c>
      <c r="G2695" t="s">
        <v>9834</v>
      </c>
    </row>
    <row r="2696" spans="1:7" ht="44.25" customHeight="1">
      <c r="A2696" t="s">
        <v>334</v>
      </c>
      <c r="B2696" t="s">
        <v>9835</v>
      </c>
      <c r="C2696" t="s">
        <v>132</v>
      </c>
      <c r="D2696" t="s">
        <v>79</v>
      </c>
      <c r="E2696" t="s">
        <v>4223</v>
      </c>
      <c r="F2696" t="s">
        <v>145</v>
      </c>
      <c r="G2696" t="s">
        <v>9836</v>
      </c>
    </row>
    <row r="2697" spans="1:7" ht="44.25" customHeight="1">
      <c r="A2697" t="s">
        <v>534</v>
      </c>
      <c r="B2697" t="s">
        <v>9837</v>
      </c>
      <c r="C2697" t="s">
        <v>132</v>
      </c>
      <c r="D2697" t="s">
        <v>79</v>
      </c>
      <c r="E2697" t="s">
        <v>4547</v>
      </c>
      <c r="F2697" t="s">
        <v>145</v>
      </c>
      <c r="G2697" t="s">
        <v>9838</v>
      </c>
    </row>
    <row r="2698" spans="1:7" ht="44.25" customHeight="1">
      <c r="A2698" t="s">
        <v>685</v>
      </c>
      <c r="B2698" t="s">
        <v>9839</v>
      </c>
      <c r="C2698" t="s">
        <v>132</v>
      </c>
      <c r="D2698" t="s">
        <v>2143</v>
      </c>
      <c r="E2698" t="s">
        <v>1519</v>
      </c>
      <c r="F2698" t="s">
        <v>145</v>
      </c>
      <c r="G2698" t="s">
        <v>9840</v>
      </c>
    </row>
    <row r="2699" spans="1:7" ht="44.25" customHeight="1">
      <c r="A2699" t="s">
        <v>585</v>
      </c>
      <c r="B2699" t="s">
        <v>9841</v>
      </c>
      <c r="C2699" t="s">
        <v>132</v>
      </c>
      <c r="D2699" t="s">
        <v>79</v>
      </c>
      <c r="E2699" t="s">
        <v>9842</v>
      </c>
      <c r="F2699" t="s">
        <v>145</v>
      </c>
      <c r="G2699" t="s">
        <v>9843</v>
      </c>
    </row>
    <row r="2700" spans="1:7" ht="44.25" customHeight="1">
      <c r="A2700" t="s">
        <v>9844</v>
      </c>
      <c r="B2700" t="s">
        <v>9845</v>
      </c>
      <c r="C2700" t="s">
        <v>132</v>
      </c>
      <c r="D2700" t="s">
        <v>2143</v>
      </c>
      <c r="E2700" t="s">
        <v>1542</v>
      </c>
      <c r="F2700" t="s">
        <v>145</v>
      </c>
      <c r="G2700" t="s">
        <v>9846</v>
      </c>
    </row>
    <row r="2701" spans="1:7" ht="44.25" customHeight="1">
      <c r="A2701" t="s">
        <v>9847</v>
      </c>
      <c r="B2701" t="s">
        <v>9848</v>
      </c>
      <c r="C2701" t="s">
        <v>132</v>
      </c>
      <c r="D2701" t="s">
        <v>2143</v>
      </c>
      <c r="E2701" t="s">
        <v>1542</v>
      </c>
      <c r="F2701" t="s">
        <v>145</v>
      </c>
      <c r="G2701" t="s">
        <v>9849</v>
      </c>
    </row>
    <row r="2702" spans="1:7" ht="44.25" customHeight="1">
      <c r="A2702" t="s">
        <v>9850</v>
      </c>
      <c r="B2702" t="s">
        <v>9851</v>
      </c>
      <c r="C2702" t="s">
        <v>132</v>
      </c>
      <c r="D2702" t="s">
        <v>2143</v>
      </c>
      <c r="E2702" t="s">
        <v>1542</v>
      </c>
      <c r="F2702" t="s">
        <v>145</v>
      </c>
      <c r="G2702" t="s">
        <v>9852</v>
      </c>
    </row>
    <row r="2703" spans="1:7" ht="44.25" customHeight="1">
      <c r="A2703" t="s">
        <v>9853</v>
      </c>
      <c r="B2703" t="s">
        <v>9854</v>
      </c>
      <c r="C2703" t="s">
        <v>132</v>
      </c>
      <c r="D2703" t="s">
        <v>2143</v>
      </c>
      <c r="E2703" t="s">
        <v>2571</v>
      </c>
      <c r="F2703" t="s">
        <v>145</v>
      </c>
      <c r="G2703" t="s">
        <v>9855</v>
      </c>
    </row>
    <row r="2704" spans="1:7" ht="44.25" customHeight="1">
      <c r="A2704" t="s">
        <v>354</v>
      </c>
      <c r="B2704" t="s">
        <v>9856</v>
      </c>
      <c r="C2704" t="s">
        <v>132</v>
      </c>
      <c r="D2704" t="s">
        <v>79</v>
      </c>
      <c r="E2704" t="s">
        <v>3402</v>
      </c>
      <c r="F2704" t="s">
        <v>145</v>
      </c>
      <c r="G2704" t="s">
        <v>9857</v>
      </c>
    </row>
    <row r="2705" spans="1:7" ht="44.25" customHeight="1">
      <c r="A2705" t="s">
        <v>653</v>
      </c>
      <c r="B2705" t="s">
        <v>9858</v>
      </c>
      <c r="C2705" t="s">
        <v>132</v>
      </c>
      <c r="D2705" t="s">
        <v>79</v>
      </c>
      <c r="E2705" t="s">
        <v>9859</v>
      </c>
      <c r="F2705" t="s">
        <v>145</v>
      </c>
      <c r="G2705" t="s">
        <v>9860</v>
      </c>
    </row>
    <row r="2706" spans="1:7" ht="44.25" customHeight="1">
      <c r="A2706" t="s">
        <v>9861</v>
      </c>
      <c r="B2706" t="s">
        <v>9862</v>
      </c>
      <c r="C2706" t="s">
        <v>132</v>
      </c>
      <c r="D2706" t="s">
        <v>2143</v>
      </c>
      <c r="E2706" t="s">
        <v>2162</v>
      </c>
      <c r="F2706" t="s">
        <v>145</v>
      </c>
      <c r="G2706" t="s">
        <v>9863</v>
      </c>
    </row>
    <row r="2707" spans="1:7" ht="44.25" customHeight="1">
      <c r="A2707" t="s">
        <v>9864</v>
      </c>
      <c r="B2707" t="s">
        <v>9865</v>
      </c>
      <c r="C2707" t="s">
        <v>132</v>
      </c>
      <c r="D2707" t="s">
        <v>2139</v>
      </c>
      <c r="E2707" t="s">
        <v>1367</v>
      </c>
      <c r="F2707" t="s">
        <v>145</v>
      </c>
      <c r="G2707" t="s">
        <v>9866</v>
      </c>
    </row>
    <row r="2708" spans="1:7" ht="44.25" customHeight="1">
      <c r="A2708" t="s">
        <v>1284</v>
      </c>
      <c r="B2708" t="s">
        <v>9867</v>
      </c>
      <c r="C2708" t="s">
        <v>132</v>
      </c>
      <c r="D2708" t="s">
        <v>2143</v>
      </c>
      <c r="E2708" t="s">
        <v>2162</v>
      </c>
      <c r="F2708" t="s">
        <v>145</v>
      </c>
      <c r="G2708" t="s">
        <v>9868</v>
      </c>
    </row>
    <row r="2709" spans="1:7" ht="44.25" customHeight="1">
      <c r="A2709" t="s">
        <v>1313</v>
      </c>
      <c r="B2709" t="s">
        <v>9869</v>
      </c>
      <c r="C2709" t="s">
        <v>132</v>
      </c>
      <c r="D2709" t="s">
        <v>2143</v>
      </c>
      <c r="E2709" t="s">
        <v>2144</v>
      </c>
      <c r="F2709" t="s">
        <v>145</v>
      </c>
      <c r="G2709" t="s">
        <v>9870</v>
      </c>
    </row>
    <row r="2710" spans="1:7" ht="44.25" customHeight="1">
      <c r="A2710" t="s">
        <v>300</v>
      </c>
      <c r="B2710" t="s">
        <v>9871</v>
      </c>
      <c r="C2710" t="s">
        <v>132</v>
      </c>
      <c r="D2710" t="s">
        <v>2143</v>
      </c>
      <c r="E2710" t="s">
        <v>2144</v>
      </c>
      <c r="F2710" t="s">
        <v>145</v>
      </c>
      <c r="G2710" t="s">
        <v>9872</v>
      </c>
    </row>
    <row r="2711" spans="1:7" ht="44.25" customHeight="1">
      <c r="A2711" t="s">
        <v>9873</v>
      </c>
      <c r="B2711" t="s">
        <v>9874</v>
      </c>
      <c r="C2711" t="s">
        <v>132</v>
      </c>
      <c r="D2711" t="s">
        <v>79</v>
      </c>
      <c r="E2711" t="s">
        <v>4501</v>
      </c>
      <c r="F2711" t="s">
        <v>145</v>
      </c>
      <c r="G2711" t="s">
        <v>9875</v>
      </c>
    </row>
    <row r="2712" spans="1:7" ht="44.25" customHeight="1">
      <c r="A2712" t="s">
        <v>432</v>
      </c>
      <c r="B2712" t="s">
        <v>9876</v>
      </c>
      <c r="C2712" t="s">
        <v>132</v>
      </c>
      <c r="D2712" t="s">
        <v>79</v>
      </c>
      <c r="E2712" t="s">
        <v>9877</v>
      </c>
      <c r="F2712" t="s">
        <v>145</v>
      </c>
      <c r="G2712" t="s">
        <v>9878</v>
      </c>
    </row>
    <row r="2713" spans="1:7" ht="44.25" customHeight="1">
      <c r="A2713" t="s">
        <v>741</v>
      </c>
      <c r="B2713" t="s">
        <v>9879</v>
      </c>
      <c r="C2713" t="s">
        <v>132</v>
      </c>
      <c r="D2713" t="s">
        <v>2143</v>
      </c>
      <c r="E2713" t="s">
        <v>1367</v>
      </c>
      <c r="F2713" t="s">
        <v>145</v>
      </c>
      <c r="G2713" t="s">
        <v>9880</v>
      </c>
    </row>
    <row r="2714" spans="1:7" ht="44.25" customHeight="1">
      <c r="A2714" t="s">
        <v>1015</v>
      </c>
      <c r="B2714" t="s">
        <v>9881</v>
      </c>
      <c r="C2714" t="s">
        <v>132</v>
      </c>
      <c r="D2714" t="s">
        <v>2143</v>
      </c>
      <c r="E2714" t="s">
        <v>1559</v>
      </c>
      <c r="F2714" t="s">
        <v>145</v>
      </c>
      <c r="G2714" t="s">
        <v>9882</v>
      </c>
    </row>
    <row r="2715" spans="1:7" ht="44.25" customHeight="1">
      <c r="A2715" t="s">
        <v>9883</v>
      </c>
      <c r="B2715" t="s">
        <v>9884</v>
      </c>
      <c r="C2715" t="s">
        <v>132</v>
      </c>
      <c r="D2715" t="s">
        <v>79</v>
      </c>
      <c r="E2715" t="s">
        <v>9885</v>
      </c>
      <c r="F2715" t="s">
        <v>145</v>
      </c>
      <c r="G2715" t="s">
        <v>9886</v>
      </c>
    </row>
    <row r="2716" spans="1:7" ht="44.25" customHeight="1">
      <c r="A2716" t="s">
        <v>9887</v>
      </c>
      <c r="B2716" t="s">
        <v>9888</v>
      </c>
      <c r="C2716" t="s">
        <v>132</v>
      </c>
      <c r="D2716" t="s">
        <v>79</v>
      </c>
      <c r="E2716" t="s">
        <v>9889</v>
      </c>
      <c r="F2716" t="s">
        <v>145</v>
      </c>
      <c r="G2716" t="s">
        <v>9890</v>
      </c>
    </row>
    <row r="2717" spans="1:7" ht="44.25" customHeight="1">
      <c r="A2717" t="s">
        <v>9891</v>
      </c>
      <c r="B2717" t="s">
        <v>9892</v>
      </c>
      <c r="C2717" t="s">
        <v>132</v>
      </c>
      <c r="D2717" t="s">
        <v>2143</v>
      </c>
      <c r="E2717" t="s">
        <v>1542</v>
      </c>
      <c r="F2717" t="s">
        <v>145</v>
      </c>
      <c r="G2717" t="s">
        <v>9893</v>
      </c>
    </row>
    <row r="2718" spans="1:7" ht="44.25" customHeight="1">
      <c r="A2718" t="s">
        <v>9894</v>
      </c>
      <c r="B2718" t="s">
        <v>9895</v>
      </c>
      <c r="C2718" t="s">
        <v>132</v>
      </c>
      <c r="D2718" t="s">
        <v>2143</v>
      </c>
      <c r="E2718" t="s">
        <v>1542</v>
      </c>
      <c r="F2718" t="s">
        <v>145</v>
      </c>
      <c r="G2718" t="s">
        <v>9896</v>
      </c>
    </row>
    <row r="2719" spans="1:7" ht="44.25" customHeight="1">
      <c r="A2719" t="s">
        <v>374</v>
      </c>
      <c r="B2719" t="s">
        <v>9897</v>
      </c>
      <c r="C2719" t="s">
        <v>132</v>
      </c>
      <c r="D2719" t="s">
        <v>79</v>
      </c>
      <c r="E2719" t="s">
        <v>3054</v>
      </c>
      <c r="F2719" t="s">
        <v>145</v>
      </c>
      <c r="G2719" t="s">
        <v>9898</v>
      </c>
    </row>
    <row r="2720" spans="1:7" ht="44.25" customHeight="1">
      <c r="A2720" t="s">
        <v>9899</v>
      </c>
      <c r="B2720" t="s">
        <v>9900</v>
      </c>
      <c r="C2720" t="s">
        <v>132</v>
      </c>
      <c r="D2720" t="s">
        <v>79</v>
      </c>
      <c r="E2720" t="s">
        <v>9901</v>
      </c>
      <c r="F2720" t="s">
        <v>145</v>
      </c>
      <c r="G2720" t="s">
        <v>9902</v>
      </c>
    </row>
    <row r="2721" spans="1:7" ht="44.25" customHeight="1">
      <c r="A2721" t="s">
        <v>9903</v>
      </c>
      <c r="B2721" t="s">
        <v>9904</v>
      </c>
      <c r="C2721" t="s">
        <v>132</v>
      </c>
      <c r="D2721" t="s">
        <v>79</v>
      </c>
      <c r="E2721" t="s">
        <v>9905</v>
      </c>
      <c r="F2721" t="s">
        <v>145</v>
      </c>
      <c r="G2721" t="s">
        <v>9906</v>
      </c>
    </row>
    <row r="2722" spans="1:7" ht="44.25" customHeight="1">
      <c r="A2722" t="s">
        <v>9907</v>
      </c>
      <c r="B2722" t="s">
        <v>9908</v>
      </c>
      <c r="C2722" t="s">
        <v>132</v>
      </c>
      <c r="D2722" t="s">
        <v>2143</v>
      </c>
      <c r="E2722" t="s">
        <v>2162</v>
      </c>
      <c r="F2722" t="s">
        <v>145</v>
      </c>
      <c r="G2722" t="s">
        <v>9909</v>
      </c>
    </row>
    <row r="2723" spans="1:7" ht="44.25" customHeight="1">
      <c r="A2723" t="s">
        <v>9910</v>
      </c>
      <c r="B2723" t="s">
        <v>9911</v>
      </c>
      <c r="C2723" t="s">
        <v>132</v>
      </c>
      <c r="D2723" t="s">
        <v>2143</v>
      </c>
      <c r="E2723" t="s">
        <v>2144</v>
      </c>
      <c r="F2723" t="s">
        <v>145</v>
      </c>
      <c r="G2723" t="s">
        <v>9912</v>
      </c>
    </row>
    <row r="2724" spans="1:7" ht="44.25" customHeight="1">
      <c r="A2724" t="s">
        <v>1314</v>
      </c>
      <c r="B2724" t="s">
        <v>9913</v>
      </c>
      <c r="C2724" t="s">
        <v>132</v>
      </c>
      <c r="D2724" t="s">
        <v>2143</v>
      </c>
      <c r="E2724" t="s">
        <v>1365</v>
      </c>
      <c r="F2724" t="s">
        <v>145</v>
      </c>
      <c r="G2724" t="s">
        <v>9914</v>
      </c>
    </row>
    <row r="2725" spans="1:7" ht="44.25" customHeight="1">
      <c r="A2725" t="s">
        <v>639</v>
      </c>
      <c r="B2725" t="s">
        <v>9915</v>
      </c>
      <c r="C2725" t="s">
        <v>132</v>
      </c>
      <c r="D2725" t="s">
        <v>79</v>
      </c>
      <c r="E2725" t="s">
        <v>9916</v>
      </c>
      <c r="F2725" t="s">
        <v>145</v>
      </c>
      <c r="G2725" t="s">
        <v>9917</v>
      </c>
    </row>
    <row r="2726" spans="1:7" ht="44.25" customHeight="1">
      <c r="A2726" t="s">
        <v>9918</v>
      </c>
      <c r="B2726" t="s">
        <v>9919</v>
      </c>
      <c r="C2726" t="s">
        <v>132</v>
      </c>
      <c r="D2726" t="s">
        <v>2143</v>
      </c>
      <c r="E2726" t="s">
        <v>9323</v>
      </c>
      <c r="F2726" t="s">
        <v>145</v>
      </c>
      <c r="G2726" t="s">
        <v>9920</v>
      </c>
    </row>
    <row r="2727" spans="1:7" ht="44.25" customHeight="1">
      <c r="A2727" t="s">
        <v>9918</v>
      </c>
      <c r="B2727" t="s">
        <v>9919</v>
      </c>
      <c r="C2727" t="s">
        <v>132</v>
      </c>
      <c r="D2727" t="s">
        <v>2143</v>
      </c>
      <c r="E2727" t="s">
        <v>9323</v>
      </c>
      <c r="F2727" t="s">
        <v>145</v>
      </c>
      <c r="G2727" t="s">
        <v>9920</v>
      </c>
    </row>
    <row r="2728" spans="1:7" ht="44.25" customHeight="1">
      <c r="A2728" t="s">
        <v>9921</v>
      </c>
      <c r="B2728" t="s">
        <v>9922</v>
      </c>
      <c r="C2728" t="s">
        <v>132</v>
      </c>
      <c r="D2728" t="s">
        <v>79</v>
      </c>
      <c r="E2728" t="s">
        <v>9923</v>
      </c>
      <c r="F2728" t="s">
        <v>145</v>
      </c>
      <c r="G2728" t="s">
        <v>9924</v>
      </c>
    </row>
    <row r="2729" spans="1:7" ht="44.25" customHeight="1">
      <c r="A2729" t="s">
        <v>9925</v>
      </c>
      <c r="B2729" t="s">
        <v>9926</v>
      </c>
      <c r="C2729" t="s">
        <v>132</v>
      </c>
      <c r="D2729" t="s">
        <v>79</v>
      </c>
      <c r="E2729" t="s">
        <v>9927</v>
      </c>
      <c r="F2729" t="s">
        <v>145</v>
      </c>
      <c r="G2729" t="s">
        <v>9928</v>
      </c>
    </row>
    <row r="2730" spans="1:7" ht="44.25" customHeight="1">
      <c r="A2730" t="s">
        <v>9929</v>
      </c>
      <c r="B2730" t="s">
        <v>9930</v>
      </c>
      <c r="C2730" t="s">
        <v>132</v>
      </c>
      <c r="D2730" t="s">
        <v>79</v>
      </c>
      <c r="E2730" t="s">
        <v>9931</v>
      </c>
      <c r="F2730" t="s">
        <v>145</v>
      </c>
      <c r="G2730" t="s">
        <v>9932</v>
      </c>
    </row>
    <row r="2731" spans="1:7" ht="44.25" customHeight="1">
      <c r="A2731" t="s">
        <v>9933</v>
      </c>
      <c r="B2731" t="s">
        <v>9934</v>
      </c>
      <c r="C2731" t="s">
        <v>132</v>
      </c>
      <c r="D2731" t="s">
        <v>79</v>
      </c>
      <c r="E2731" t="s">
        <v>9935</v>
      </c>
      <c r="F2731" t="s">
        <v>145</v>
      </c>
      <c r="G2731" t="s">
        <v>9936</v>
      </c>
    </row>
    <row r="2732" spans="1:7" ht="44.25" customHeight="1">
      <c r="A2732" t="s">
        <v>9937</v>
      </c>
      <c r="B2732" t="s">
        <v>9938</v>
      </c>
      <c r="C2732" t="s">
        <v>132</v>
      </c>
      <c r="D2732" t="s">
        <v>79</v>
      </c>
      <c r="E2732" t="s">
        <v>9939</v>
      </c>
      <c r="F2732" t="s">
        <v>145</v>
      </c>
      <c r="G2732" t="s">
        <v>9940</v>
      </c>
    </row>
    <row r="2733" spans="1:7" ht="44.25" customHeight="1">
      <c r="A2733" t="s">
        <v>9941</v>
      </c>
      <c r="B2733" t="s">
        <v>9942</v>
      </c>
      <c r="C2733" t="s">
        <v>132</v>
      </c>
      <c r="D2733" t="s">
        <v>2143</v>
      </c>
      <c r="E2733" t="s">
        <v>5570</v>
      </c>
      <c r="F2733" t="s">
        <v>145</v>
      </c>
      <c r="G2733" t="s">
        <v>9943</v>
      </c>
    </row>
    <row r="2734" spans="1:7" ht="44.25" customHeight="1">
      <c r="A2734" t="s">
        <v>264</v>
      </c>
      <c r="B2734" t="s">
        <v>9944</v>
      </c>
      <c r="C2734" t="s">
        <v>132</v>
      </c>
      <c r="D2734" t="s">
        <v>2143</v>
      </c>
      <c r="E2734" t="s">
        <v>1542</v>
      </c>
      <c r="F2734" t="s">
        <v>145</v>
      </c>
      <c r="G2734" t="s">
        <v>9945</v>
      </c>
    </row>
    <row r="2735" spans="1:7" ht="44.25" customHeight="1">
      <c r="A2735" t="s">
        <v>9946</v>
      </c>
      <c r="B2735" t="s">
        <v>9947</v>
      </c>
      <c r="C2735" t="s">
        <v>9948</v>
      </c>
      <c r="D2735" t="s">
        <v>2143</v>
      </c>
      <c r="E2735" t="s">
        <v>3048</v>
      </c>
      <c r="F2735" t="s">
        <v>145</v>
      </c>
      <c r="G2735" t="s">
        <v>9949</v>
      </c>
    </row>
    <row r="2736" spans="1:7" ht="44.25" customHeight="1">
      <c r="A2736" t="s">
        <v>792</v>
      </c>
      <c r="B2736" t="s">
        <v>9950</v>
      </c>
      <c r="C2736" t="s">
        <v>132</v>
      </c>
      <c r="D2736" t="s">
        <v>79</v>
      </c>
      <c r="E2736" t="s">
        <v>9951</v>
      </c>
      <c r="F2736" t="s">
        <v>145</v>
      </c>
      <c r="G2736" t="s">
        <v>9952</v>
      </c>
    </row>
    <row r="2737" spans="1:7" ht="44.25" customHeight="1">
      <c r="A2737" t="s">
        <v>791</v>
      </c>
      <c r="B2737" t="s">
        <v>9953</v>
      </c>
      <c r="C2737" t="s">
        <v>132</v>
      </c>
      <c r="D2737" t="s">
        <v>2143</v>
      </c>
      <c r="E2737" t="s">
        <v>3309</v>
      </c>
      <c r="F2737" t="s">
        <v>145</v>
      </c>
      <c r="G2737" t="s">
        <v>9954</v>
      </c>
    </row>
    <row r="2738" spans="1:7" ht="44.25" customHeight="1">
      <c r="A2738" t="s">
        <v>9955</v>
      </c>
      <c r="B2738" t="s">
        <v>9956</v>
      </c>
      <c r="C2738" t="s">
        <v>132</v>
      </c>
      <c r="D2738" t="s">
        <v>79</v>
      </c>
      <c r="E2738" t="s">
        <v>9957</v>
      </c>
      <c r="F2738" t="s">
        <v>145</v>
      </c>
      <c r="G2738" t="s">
        <v>9958</v>
      </c>
    </row>
    <row r="2739" spans="1:7" ht="44.25" customHeight="1">
      <c r="A2739" t="s">
        <v>9959</v>
      </c>
      <c r="B2739" t="s">
        <v>9960</v>
      </c>
      <c r="C2739" t="s">
        <v>132</v>
      </c>
      <c r="D2739" t="s">
        <v>79</v>
      </c>
      <c r="E2739" t="s">
        <v>9961</v>
      </c>
      <c r="F2739" t="s">
        <v>145</v>
      </c>
      <c r="G2739" t="s">
        <v>9962</v>
      </c>
    </row>
    <row r="2740" spans="1:7" ht="44.25" customHeight="1">
      <c r="A2740" t="s">
        <v>9963</v>
      </c>
      <c r="B2740" t="s">
        <v>9964</v>
      </c>
      <c r="C2740" t="s">
        <v>132</v>
      </c>
      <c r="D2740" t="s">
        <v>2139</v>
      </c>
      <c r="E2740" t="s">
        <v>1365</v>
      </c>
      <c r="F2740" t="s">
        <v>145</v>
      </c>
      <c r="G2740" t="s">
        <v>9965</v>
      </c>
    </row>
    <row r="2741" spans="1:7" ht="44.25" customHeight="1">
      <c r="A2741" t="s">
        <v>1043</v>
      </c>
      <c r="B2741" t="s">
        <v>9966</v>
      </c>
      <c r="C2741" t="s">
        <v>132</v>
      </c>
      <c r="D2741" t="s">
        <v>2143</v>
      </c>
      <c r="E2741" t="s">
        <v>3645</v>
      </c>
      <c r="F2741" t="s">
        <v>145</v>
      </c>
      <c r="G2741" t="s">
        <v>9967</v>
      </c>
    </row>
    <row r="2742" spans="1:7" ht="44.25" customHeight="1">
      <c r="A2742" t="s">
        <v>9968</v>
      </c>
      <c r="B2742" t="s">
        <v>9969</v>
      </c>
      <c r="C2742" t="s">
        <v>132</v>
      </c>
      <c r="D2742" t="s">
        <v>79</v>
      </c>
      <c r="E2742" t="s">
        <v>5450</v>
      </c>
      <c r="F2742" t="s">
        <v>145</v>
      </c>
      <c r="G2742" t="s">
        <v>9970</v>
      </c>
    </row>
    <row r="2743" spans="1:7" ht="44.25" customHeight="1">
      <c r="A2743" t="s">
        <v>9971</v>
      </c>
      <c r="B2743" t="s">
        <v>9972</v>
      </c>
      <c r="C2743" t="s">
        <v>132</v>
      </c>
      <c r="D2743" t="s">
        <v>79</v>
      </c>
      <c r="E2743" t="s">
        <v>9973</v>
      </c>
      <c r="F2743" t="s">
        <v>145</v>
      </c>
      <c r="G2743" t="s">
        <v>9974</v>
      </c>
    </row>
    <row r="2744" spans="1:7" ht="44.25" customHeight="1">
      <c r="A2744" t="s">
        <v>9975</v>
      </c>
      <c r="B2744" t="s">
        <v>9976</v>
      </c>
      <c r="C2744" t="s">
        <v>132</v>
      </c>
      <c r="D2744" t="s">
        <v>79</v>
      </c>
      <c r="E2744" t="s">
        <v>9977</v>
      </c>
      <c r="F2744" t="s">
        <v>145</v>
      </c>
      <c r="G2744" t="s">
        <v>9978</v>
      </c>
    </row>
    <row r="2745" spans="1:7" ht="44.25" customHeight="1">
      <c r="A2745" t="s">
        <v>9979</v>
      </c>
      <c r="B2745" t="s">
        <v>9980</v>
      </c>
      <c r="C2745" t="s">
        <v>132</v>
      </c>
      <c r="D2745" t="s">
        <v>79</v>
      </c>
      <c r="E2745" t="s">
        <v>9981</v>
      </c>
      <c r="F2745" t="s">
        <v>145</v>
      </c>
      <c r="G2745" t="s">
        <v>9982</v>
      </c>
    </row>
    <row r="2746" spans="1:7" ht="44.25" customHeight="1">
      <c r="A2746" t="s">
        <v>9983</v>
      </c>
      <c r="B2746" t="s">
        <v>9984</v>
      </c>
      <c r="C2746" t="s">
        <v>132</v>
      </c>
      <c r="D2746" t="s">
        <v>79</v>
      </c>
      <c r="E2746" t="s">
        <v>9985</v>
      </c>
      <c r="F2746" t="s">
        <v>145</v>
      </c>
      <c r="G2746" t="s">
        <v>9986</v>
      </c>
    </row>
    <row r="2747" spans="1:7" ht="44.25" customHeight="1">
      <c r="A2747" t="s">
        <v>9987</v>
      </c>
      <c r="B2747" t="s">
        <v>9988</v>
      </c>
      <c r="C2747" t="s">
        <v>132</v>
      </c>
      <c r="D2747" t="s">
        <v>79</v>
      </c>
      <c r="E2747" t="s">
        <v>9989</v>
      </c>
      <c r="F2747" t="s">
        <v>145</v>
      </c>
      <c r="G2747" t="s">
        <v>9990</v>
      </c>
    </row>
    <row r="2748" spans="1:7" ht="44.25" customHeight="1">
      <c r="A2748" t="s">
        <v>9991</v>
      </c>
      <c r="B2748" t="s">
        <v>9992</v>
      </c>
      <c r="C2748" t="s">
        <v>132</v>
      </c>
      <c r="D2748" t="s">
        <v>79</v>
      </c>
      <c r="E2748" t="s">
        <v>9993</v>
      </c>
      <c r="F2748" t="s">
        <v>145</v>
      </c>
      <c r="G2748" t="s">
        <v>9994</v>
      </c>
    </row>
    <row r="2749" spans="1:7" ht="44.25" customHeight="1">
      <c r="A2749" t="s">
        <v>9995</v>
      </c>
      <c r="B2749" t="s">
        <v>9996</v>
      </c>
      <c r="C2749" t="s">
        <v>132</v>
      </c>
      <c r="D2749" t="s">
        <v>79</v>
      </c>
      <c r="E2749" t="s">
        <v>9997</v>
      </c>
      <c r="F2749" t="s">
        <v>145</v>
      </c>
      <c r="G2749" t="s">
        <v>9998</v>
      </c>
    </row>
    <row r="2750" spans="1:7" ht="44.25" customHeight="1">
      <c r="A2750" t="s">
        <v>9999</v>
      </c>
      <c r="B2750" t="s">
        <v>10000</v>
      </c>
      <c r="C2750" t="s">
        <v>132</v>
      </c>
      <c r="D2750" t="s">
        <v>79</v>
      </c>
      <c r="E2750" t="s">
        <v>10001</v>
      </c>
      <c r="F2750" t="s">
        <v>145</v>
      </c>
      <c r="G2750" t="s">
        <v>10002</v>
      </c>
    </row>
    <row r="2751" spans="1:7" ht="44.25" customHeight="1">
      <c r="A2751" t="s">
        <v>10003</v>
      </c>
      <c r="B2751" t="s">
        <v>10004</v>
      </c>
      <c r="C2751" t="s">
        <v>132</v>
      </c>
      <c r="D2751" t="s">
        <v>2143</v>
      </c>
      <c r="E2751" t="s">
        <v>5577</v>
      </c>
      <c r="F2751" t="s">
        <v>145</v>
      </c>
      <c r="G2751" t="s">
        <v>10005</v>
      </c>
    </row>
    <row r="2752" spans="1:7" ht="44.25" customHeight="1">
      <c r="A2752" t="s">
        <v>10006</v>
      </c>
      <c r="B2752" t="s">
        <v>10007</v>
      </c>
      <c r="C2752" t="s">
        <v>132</v>
      </c>
      <c r="D2752" t="s">
        <v>79</v>
      </c>
      <c r="E2752" t="s">
        <v>10008</v>
      </c>
      <c r="F2752" t="s">
        <v>145</v>
      </c>
      <c r="G2752" t="s">
        <v>10009</v>
      </c>
    </row>
    <row r="2753" spans="1:7" ht="44.25" customHeight="1">
      <c r="A2753" t="s">
        <v>10010</v>
      </c>
      <c r="B2753" t="s">
        <v>10011</v>
      </c>
      <c r="C2753" t="s">
        <v>132</v>
      </c>
      <c r="D2753" t="s">
        <v>2143</v>
      </c>
      <c r="E2753" t="s">
        <v>1542</v>
      </c>
      <c r="F2753" t="s">
        <v>145</v>
      </c>
      <c r="G2753" t="s">
        <v>10012</v>
      </c>
    </row>
    <row r="2754" spans="1:7" ht="44.25" customHeight="1">
      <c r="A2754" t="s">
        <v>10013</v>
      </c>
      <c r="B2754" t="s">
        <v>10014</v>
      </c>
      <c r="C2754" t="s">
        <v>132</v>
      </c>
      <c r="D2754" t="s">
        <v>2143</v>
      </c>
      <c r="E2754" t="s">
        <v>1542</v>
      </c>
      <c r="F2754" t="s">
        <v>145</v>
      </c>
      <c r="G2754" t="s">
        <v>10015</v>
      </c>
    </row>
    <row r="2755" spans="1:7" ht="44.25" customHeight="1">
      <c r="A2755" t="s">
        <v>132</v>
      </c>
      <c r="B2755" t="s">
        <v>10016</v>
      </c>
      <c r="C2755" t="s">
        <v>132</v>
      </c>
      <c r="D2755" t="s">
        <v>2143</v>
      </c>
      <c r="E2755" t="s">
        <v>1542</v>
      </c>
      <c r="F2755" t="s">
        <v>145</v>
      </c>
      <c r="G2755" t="s">
        <v>10017</v>
      </c>
    </row>
    <row r="2756" spans="1:7" ht="44.25" customHeight="1">
      <c r="A2756" t="s">
        <v>10018</v>
      </c>
      <c r="B2756" t="s">
        <v>10019</v>
      </c>
      <c r="C2756" t="s">
        <v>132</v>
      </c>
      <c r="D2756" t="s">
        <v>2143</v>
      </c>
      <c r="E2756" t="s">
        <v>1542</v>
      </c>
      <c r="F2756" t="s">
        <v>145</v>
      </c>
      <c r="G2756" t="s">
        <v>10020</v>
      </c>
    </row>
    <row r="2757" spans="1:7" ht="44.25" customHeight="1">
      <c r="A2757" t="s">
        <v>1341</v>
      </c>
      <c r="B2757" t="s">
        <v>10021</v>
      </c>
      <c r="C2757" t="s">
        <v>132</v>
      </c>
      <c r="D2757" t="s">
        <v>2143</v>
      </c>
      <c r="E2757" t="s">
        <v>1542</v>
      </c>
      <c r="F2757" t="s">
        <v>145</v>
      </c>
      <c r="G2757" t="s">
        <v>10022</v>
      </c>
    </row>
    <row r="2758" spans="1:7" ht="44.25" customHeight="1">
      <c r="A2758" t="s">
        <v>731</v>
      </c>
      <c r="B2758" t="s">
        <v>10023</v>
      </c>
      <c r="C2758" t="s">
        <v>132</v>
      </c>
      <c r="D2758" t="s">
        <v>79</v>
      </c>
      <c r="E2758" t="s">
        <v>3420</v>
      </c>
      <c r="F2758" t="s">
        <v>145</v>
      </c>
      <c r="G2758" t="s">
        <v>10024</v>
      </c>
    </row>
    <row r="2759" spans="1:7" ht="44.25" customHeight="1">
      <c r="A2759" t="s">
        <v>860</v>
      </c>
      <c r="B2759" t="s">
        <v>10025</v>
      </c>
      <c r="C2759" t="s">
        <v>132</v>
      </c>
      <c r="D2759" t="s">
        <v>2143</v>
      </c>
      <c r="E2759" t="s">
        <v>3466</v>
      </c>
      <c r="F2759" t="s">
        <v>145</v>
      </c>
      <c r="G2759" t="s">
        <v>10026</v>
      </c>
    </row>
    <row r="2760" spans="1:7" ht="44.25" customHeight="1">
      <c r="A2760" t="s">
        <v>10027</v>
      </c>
      <c r="B2760" t="s">
        <v>10028</v>
      </c>
      <c r="C2760" t="s">
        <v>132</v>
      </c>
      <c r="D2760" t="s">
        <v>79</v>
      </c>
      <c r="E2760" t="s">
        <v>3368</v>
      </c>
      <c r="F2760" t="s">
        <v>145</v>
      </c>
      <c r="G2760" t="s">
        <v>10029</v>
      </c>
    </row>
    <row r="2761" spans="1:7" ht="44.25" customHeight="1">
      <c r="A2761" t="s">
        <v>10030</v>
      </c>
      <c r="B2761" t="s">
        <v>10031</v>
      </c>
      <c r="C2761" t="s">
        <v>132</v>
      </c>
      <c r="D2761" t="s">
        <v>2139</v>
      </c>
      <c r="E2761" t="s">
        <v>1367</v>
      </c>
      <c r="F2761" t="s">
        <v>145</v>
      </c>
      <c r="G2761" t="s">
        <v>10032</v>
      </c>
    </row>
    <row r="2762" spans="1:7" ht="44.25" customHeight="1">
      <c r="A2762" t="s">
        <v>10033</v>
      </c>
      <c r="B2762" t="s">
        <v>10034</v>
      </c>
      <c r="C2762" t="s">
        <v>132</v>
      </c>
      <c r="D2762" t="s">
        <v>2143</v>
      </c>
      <c r="E2762" t="s">
        <v>2162</v>
      </c>
      <c r="F2762" t="s">
        <v>145</v>
      </c>
      <c r="G2762" t="s">
        <v>10035</v>
      </c>
    </row>
    <row r="2763" spans="1:7" ht="44.25" customHeight="1">
      <c r="A2763" t="s">
        <v>10036</v>
      </c>
      <c r="B2763" t="s">
        <v>10037</v>
      </c>
      <c r="C2763" t="s">
        <v>132</v>
      </c>
      <c r="D2763" t="s">
        <v>2143</v>
      </c>
      <c r="E2763" t="s">
        <v>2162</v>
      </c>
      <c r="F2763" t="s">
        <v>145</v>
      </c>
      <c r="G2763" t="s">
        <v>10038</v>
      </c>
    </row>
    <row r="2764" spans="1:7" ht="44.25" customHeight="1">
      <c r="A2764" t="s">
        <v>1402</v>
      </c>
      <c r="B2764" t="s">
        <v>10039</v>
      </c>
      <c r="C2764" t="s">
        <v>132</v>
      </c>
      <c r="D2764" t="s">
        <v>2139</v>
      </c>
      <c r="E2764" t="s">
        <v>1367</v>
      </c>
      <c r="F2764" t="s">
        <v>145</v>
      </c>
      <c r="G2764" t="s">
        <v>10040</v>
      </c>
    </row>
    <row r="2765" spans="1:7" ht="44.25" customHeight="1">
      <c r="A2765" t="s">
        <v>953</v>
      </c>
      <c r="B2765" t="s">
        <v>10041</v>
      </c>
      <c r="C2765" t="s">
        <v>132</v>
      </c>
      <c r="D2765" t="s">
        <v>2143</v>
      </c>
      <c r="E2765" t="s">
        <v>2162</v>
      </c>
      <c r="F2765" t="s">
        <v>145</v>
      </c>
      <c r="G2765" t="s">
        <v>10042</v>
      </c>
    </row>
    <row r="2766" spans="1:7" ht="44.25" customHeight="1">
      <c r="A2766" t="s">
        <v>431</v>
      </c>
      <c r="B2766" t="s">
        <v>10043</v>
      </c>
      <c r="C2766" t="s">
        <v>132</v>
      </c>
      <c r="D2766" t="s">
        <v>2143</v>
      </c>
      <c r="E2766" t="s">
        <v>4481</v>
      </c>
      <c r="F2766" t="s">
        <v>145</v>
      </c>
      <c r="G2766" t="s">
        <v>10044</v>
      </c>
    </row>
    <row r="2767" spans="1:7" ht="44.25" customHeight="1">
      <c r="A2767" t="s">
        <v>511</v>
      </c>
      <c r="B2767" t="s">
        <v>10045</v>
      </c>
      <c r="C2767" t="s">
        <v>132</v>
      </c>
      <c r="D2767" t="s">
        <v>2143</v>
      </c>
      <c r="E2767" t="s">
        <v>4223</v>
      </c>
      <c r="F2767" t="s">
        <v>145</v>
      </c>
      <c r="G2767" t="s">
        <v>10046</v>
      </c>
    </row>
    <row r="2768" spans="1:7" ht="44.25" customHeight="1">
      <c r="A2768" t="s">
        <v>863</v>
      </c>
      <c r="B2768" t="s">
        <v>10047</v>
      </c>
      <c r="C2768" t="s">
        <v>132</v>
      </c>
      <c r="D2768" t="s">
        <v>79</v>
      </c>
      <c r="E2768" t="s">
        <v>4585</v>
      </c>
      <c r="F2768" t="s">
        <v>145</v>
      </c>
      <c r="G2768" t="s">
        <v>10048</v>
      </c>
    </row>
    <row r="2769" spans="1:7" ht="44.25" customHeight="1">
      <c r="A2769" t="s">
        <v>10049</v>
      </c>
      <c r="B2769" t="s">
        <v>10050</v>
      </c>
      <c r="C2769" t="s">
        <v>132</v>
      </c>
      <c r="D2769" t="s">
        <v>79</v>
      </c>
      <c r="E2769" t="s">
        <v>10051</v>
      </c>
      <c r="F2769" t="s">
        <v>145</v>
      </c>
      <c r="G2769" t="s">
        <v>10052</v>
      </c>
    </row>
    <row r="2770" spans="1:7" ht="44.25" customHeight="1">
      <c r="A2770" t="s">
        <v>10053</v>
      </c>
      <c r="B2770" t="s">
        <v>10054</v>
      </c>
      <c r="C2770" t="s">
        <v>132</v>
      </c>
      <c r="D2770" t="s">
        <v>79</v>
      </c>
      <c r="E2770" t="s">
        <v>10055</v>
      </c>
      <c r="F2770" t="s">
        <v>145</v>
      </c>
      <c r="G2770" t="s">
        <v>10056</v>
      </c>
    </row>
    <row r="2771" spans="1:7" ht="44.25" customHeight="1">
      <c r="A2771" t="s">
        <v>132</v>
      </c>
      <c r="B2771" t="s">
        <v>10057</v>
      </c>
      <c r="C2771" t="s">
        <v>132</v>
      </c>
      <c r="D2771" t="s">
        <v>2143</v>
      </c>
      <c r="E2771" t="s">
        <v>5577</v>
      </c>
      <c r="F2771" t="s">
        <v>145</v>
      </c>
      <c r="G2771" t="s">
        <v>10058</v>
      </c>
    </row>
    <row r="2772" spans="1:7" ht="44.25" customHeight="1">
      <c r="A2772" t="s">
        <v>132</v>
      </c>
      <c r="B2772" t="s">
        <v>10059</v>
      </c>
      <c r="C2772" t="s">
        <v>132</v>
      </c>
      <c r="D2772" t="s">
        <v>2143</v>
      </c>
      <c r="E2772" t="s">
        <v>5577</v>
      </c>
      <c r="F2772" t="s">
        <v>145</v>
      </c>
      <c r="G2772" t="s">
        <v>10060</v>
      </c>
    </row>
    <row r="2773" spans="1:7" ht="44.25" customHeight="1">
      <c r="A2773" t="s">
        <v>402</v>
      </c>
      <c r="B2773" t="s">
        <v>10061</v>
      </c>
      <c r="C2773" t="s">
        <v>132</v>
      </c>
      <c r="D2773" t="s">
        <v>79</v>
      </c>
      <c r="E2773" t="s">
        <v>1462</v>
      </c>
      <c r="F2773" t="s">
        <v>145</v>
      </c>
      <c r="G2773" t="s">
        <v>10062</v>
      </c>
    </row>
    <row r="2774" spans="1:7" ht="44.25" customHeight="1">
      <c r="A2774" t="s">
        <v>132</v>
      </c>
      <c r="B2774" t="s">
        <v>10063</v>
      </c>
      <c r="C2774" t="s">
        <v>132</v>
      </c>
      <c r="D2774" t="s">
        <v>79</v>
      </c>
      <c r="E2774" t="s">
        <v>10064</v>
      </c>
      <c r="F2774" t="s">
        <v>145</v>
      </c>
      <c r="G2774" t="s">
        <v>10065</v>
      </c>
    </row>
    <row r="2775" spans="1:7" ht="44.25" customHeight="1">
      <c r="A2775" t="s">
        <v>10066</v>
      </c>
      <c r="B2775" t="s">
        <v>10067</v>
      </c>
      <c r="C2775" t="s">
        <v>132</v>
      </c>
      <c r="D2775" t="s">
        <v>2143</v>
      </c>
      <c r="E2775" t="s">
        <v>2571</v>
      </c>
      <c r="F2775" t="s">
        <v>145</v>
      </c>
      <c r="G2775" t="s">
        <v>10068</v>
      </c>
    </row>
    <row r="2776" spans="1:7" ht="44.25" customHeight="1">
      <c r="A2776" t="s">
        <v>10069</v>
      </c>
      <c r="B2776" t="s">
        <v>10070</v>
      </c>
      <c r="C2776" t="s">
        <v>132</v>
      </c>
      <c r="D2776" t="s">
        <v>2143</v>
      </c>
      <c r="E2776" t="s">
        <v>1542</v>
      </c>
      <c r="F2776" t="s">
        <v>145</v>
      </c>
      <c r="G2776" t="s">
        <v>10071</v>
      </c>
    </row>
    <row r="2777" spans="1:7" ht="44.25" customHeight="1">
      <c r="A2777" t="s">
        <v>285</v>
      </c>
      <c r="B2777" t="s">
        <v>10072</v>
      </c>
      <c r="C2777" t="s">
        <v>132</v>
      </c>
      <c r="D2777" t="s">
        <v>2143</v>
      </c>
      <c r="E2777" t="s">
        <v>3048</v>
      </c>
      <c r="F2777" t="s">
        <v>145</v>
      </c>
      <c r="G2777" t="s">
        <v>10073</v>
      </c>
    </row>
    <row r="2778" spans="1:7" ht="44.25" customHeight="1">
      <c r="A2778" t="s">
        <v>10074</v>
      </c>
      <c r="B2778" t="s">
        <v>10075</v>
      </c>
      <c r="C2778" t="s">
        <v>132</v>
      </c>
      <c r="D2778" t="s">
        <v>2139</v>
      </c>
      <c r="E2778" t="s">
        <v>3048</v>
      </c>
      <c r="F2778" t="s">
        <v>145</v>
      </c>
      <c r="G2778" t="s">
        <v>10076</v>
      </c>
    </row>
    <row r="2779" spans="1:7" ht="44.25" customHeight="1">
      <c r="A2779" t="s">
        <v>280</v>
      </c>
      <c r="B2779" t="s">
        <v>10077</v>
      </c>
      <c r="C2779" t="s">
        <v>132</v>
      </c>
      <c r="D2779" t="s">
        <v>2143</v>
      </c>
      <c r="E2779" t="s">
        <v>3048</v>
      </c>
      <c r="F2779" t="s">
        <v>145</v>
      </c>
      <c r="G2779" t="s">
        <v>10078</v>
      </c>
    </row>
    <row r="2780" spans="1:7" ht="44.25" customHeight="1">
      <c r="A2780" t="s">
        <v>10079</v>
      </c>
      <c r="B2780" t="s">
        <v>10080</v>
      </c>
      <c r="C2780" t="s">
        <v>10081</v>
      </c>
      <c r="D2780" t="s">
        <v>2143</v>
      </c>
      <c r="E2780" t="s">
        <v>2571</v>
      </c>
      <c r="F2780" t="s">
        <v>145</v>
      </c>
      <c r="G2780" t="s">
        <v>10082</v>
      </c>
    </row>
    <row r="2781" spans="1:7" ht="44.25" customHeight="1">
      <c r="A2781" t="s">
        <v>10083</v>
      </c>
      <c r="B2781" t="s">
        <v>10084</v>
      </c>
      <c r="C2781" t="s">
        <v>132</v>
      </c>
      <c r="D2781" t="s">
        <v>79</v>
      </c>
      <c r="E2781" t="s">
        <v>10085</v>
      </c>
      <c r="F2781" t="s">
        <v>145</v>
      </c>
      <c r="G2781" t="s">
        <v>10086</v>
      </c>
    </row>
    <row r="2782" spans="1:7" ht="44.25" customHeight="1">
      <c r="A2782" t="s">
        <v>10087</v>
      </c>
      <c r="B2782" t="s">
        <v>10088</v>
      </c>
      <c r="C2782" t="s">
        <v>132</v>
      </c>
      <c r="D2782" t="s">
        <v>79</v>
      </c>
      <c r="E2782" t="s">
        <v>10089</v>
      </c>
      <c r="F2782" t="s">
        <v>145</v>
      </c>
      <c r="G2782" t="s">
        <v>10090</v>
      </c>
    </row>
    <row r="2783" spans="1:7" ht="44.25" customHeight="1">
      <c r="A2783" t="s">
        <v>10091</v>
      </c>
      <c r="B2783" t="s">
        <v>10092</v>
      </c>
      <c r="C2783" t="s">
        <v>132</v>
      </c>
      <c r="D2783" t="s">
        <v>79</v>
      </c>
      <c r="E2783" t="s">
        <v>10093</v>
      </c>
      <c r="F2783" t="s">
        <v>145</v>
      </c>
      <c r="G2783" t="s">
        <v>10094</v>
      </c>
    </row>
    <row r="2784" spans="1:7" ht="44.25" customHeight="1">
      <c r="A2784" t="s">
        <v>10095</v>
      </c>
      <c r="B2784" t="s">
        <v>10096</v>
      </c>
      <c r="C2784" t="s">
        <v>132</v>
      </c>
      <c r="D2784" t="s">
        <v>79</v>
      </c>
      <c r="E2784" t="s">
        <v>10097</v>
      </c>
      <c r="F2784" t="s">
        <v>145</v>
      </c>
      <c r="G2784" t="s">
        <v>10098</v>
      </c>
    </row>
    <row r="2785" spans="1:7" ht="44.25" customHeight="1">
      <c r="A2785" t="s">
        <v>10099</v>
      </c>
      <c r="B2785" t="s">
        <v>10100</v>
      </c>
      <c r="C2785" t="s">
        <v>132</v>
      </c>
      <c r="D2785" t="s">
        <v>2143</v>
      </c>
      <c r="E2785" t="s">
        <v>5577</v>
      </c>
      <c r="F2785" t="s">
        <v>145</v>
      </c>
      <c r="G2785" t="s">
        <v>10101</v>
      </c>
    </row>
    <row r="2786" spans="1:7" ht="44.25" customHeight="1">
      <c r="A2786" t="s">
        <v>132</v>
      </c>
      <c r="B2786" t="s">
        <v>10102</v>
      </c>
      <c r="C2786" t="s">
        <v>132</v>
      </c>
      <c r="D2786" t="s">
        <v>2143</v>
      </c>
      <c r="E2786" t="s">
        <v>10103</v>
      </c>
      <c r="F2786" t="s">
        <v>145</v>
      </c>
      <c r="G2786" t="s">
        <v>10104</v>
      </c>
    </row>
    <row r="2787" spans="1:7" ht="44.25" customHeight="1">
      <c r="A2787" t="s">
        <v>549</v>
      </c>
      <c r="B2787" t="s">
        <v>10105</v>
      </c>
      <c r="C2787" t="s">
        <v>132</v>
      </c>
      <c r="D2787" t="s">
        <v>79</v>
      </c>
      <c r="E2787" t="s">
        <v>10106</v>
      </c>
      <c r="F2787" t="s">
        <v>145</v>
      </c>
      <c r="G2787" t="s">
        <v>10107</v>
      </c>
    </row>
    <row r="2788" spans="1:7" ht="44.25" customHeight="1">
      <c r="A2788" t="s">
        <v>620</v>
      </c>
      <c r="B2788" t="s">
        <v>10108</v>
      </c>
      <c r="C2788" t="s">
        <v>132</v>
      </c>
      <c r="D2788" t="s">
        <v>79</v>
      </c>
      <c r="E2788" t="s">
        <v>10109</v>
      </c>
      <c r="F2788" t="s">
        <v>145</v>
      </c>
      <c r="G2788" t="s">
        <v>10110</v>
      </c>
    </row>
    <row r="2789" spans="1:7" ht="44.25" customHeight="1">
      <c r="A2789" t="s">
        <v>10111</v>
      </c>
      <c r="B2789" t="s">
        <v>10112</v>
      </c>
      <c r="C2789" t="s">
        <v>132</v>
      </c>
      <c r="D2789" t="s">
        <v>2143</v>
      </c>
      <c r="E2789" t="s">
        <v>1542</v>
      </c>
      <c r="F2789" t="s">
        <v>145</v>
      </c>
      <c r="G2789" t="s">
        <v>10113</v>
      </c>
    </row>
    <row r="2790" spans="1:7" ht="44.25" customHeight="1">
      <c r="A2790" t="s">
        <v>10114</v>
      </c>
      <c r="B2790" t="s">
        <v>10115</v>
      </c>
      <c r="C2790" t="s">
        <v>132</v>
      </c>
      <c r="D2790" t="s">
        <v>2143</v>
      </c>
      <c r="E2790" t="s">
        <v>1542</v>
      </c>
      <c r="F2790" t="s">
        <v>145</v>
      </c>
      <c r="G2790" t="s">
        <v>10116</v>
      </c>
    </row>
    <row r="2791" spans="1:7" ht="44.25" customHeight="1">
      <c r="A2791" t="s">
        <v>10117</v>
      </c>
      <c r="B2791" t="s">
        <v>10118</v>
      </c>
      <c r="C2791" t="s">
        <v>132</v>
      </c>
      <c r="D2791" t="s">
        <v>2143</v>
      </c>
      <c r="E2791" t="s">
        <v>2581</v>
      </c>
      <c r="F2791" t="s">
        <v>145</v>
      </c>
      <c r="G2791" t="s">
        <v>10119</v>
      </c>
    </row>
    <row r="2792" spans="1:7" ht="44.25" customHeight="1">
      <c r="A2792" t="s">
        <v>10120</v>
      </c>
      <c r="B2792" t="s">
        <v>10121</v>
      </c>
      <c r="C2792" t="s">
        <v>132</v>
      </c>
      <c r="D2792" t="s">
        <v>2143</v>
      </c>
      <c r="E2792" t="s">
        <v>1542</v>
      </c>
      <c r="F2792" t="s">
        <v>145</v>
      </c>
      <c r="G2792" t="s">
        <v>10122</v>
      </c>
    </row>
    <row r="2793" spans="1:7" ht="44.25" customHeight="1">
      <c r="A2793" t="s">
        <v>10123</v>
      </c>
      <c r="B2793" t="s">
        <v>10124</v>
      </c>
      <c r="C2793" t="s">
        <v>132</v>
      </c>
      <c r="D2793" t="s">
        <v>2143</v>
      </c>
      <c r="E2793" t="s">
        <v>1542</v>
      </c>
      <c r="F2793" t="s">
        <v>145</v>
      </c>
      <c r="G2793" t="s">
        <v>10125</v>
      </c>
    </row>
    <row r="2794" spans="1:7" ht="44.25" customHeight="1">
      <c r="A2794" t="s">
        <v>10126</v>
      </c>
      <c r="B2794" t="s">
        <v>10127</v>
      </c>
      <c r="C2794" t="s">
        <v>132</v>
      </c>
      <c r="D2794" t="s">
        <v>79</v>
      </c>
      <c r="E2794" t="s">
        <v>6895</v>
      </c>
      <c r="F2794" t="s">
        <v>145</v>
      </c>
      <c r="G2794" t="s">
        <v>10128</v>
      </c>
    </row>
    <row r="2795" spans="1:7" ht="44.25" customHeight="1">
      <c r="A2795" t="s">
        <v>10129</v>
      </c>
      <c r="B2795" t="s">
        <v>10130</v>
      </c>
      <c r="C2795" t="s">
        <v>132</v>
      </c>
      <c r="D2795" t="s">
        <v>2139</v>
      </c>
      <c r="E2795" t="s">
        <v>1367</v>
      </c>
      <c r="F2795" t="s">
        <v>145</v>
      </c>
      <c r="G2795" t="s">
        <v>10131</v>
      </c>
    </row>
    <row r="2796" spans="1:7" ht="44.25" customHeight="1">
      <c r="A2796" t="s">
        <v>1300</v>
      </c>
      <c r="B2796" t="s">
        <v>10132</v>
      </c>
      <c r="C2796" t="s">
        <v>132</v>
      </c>
      <c r="D2796" t="s">
        <v>2143</v>
      </c>
      <c r="E2796" t="s">
        <v>2162</v>
      </c>
      <c r="F2796" t="s">
        <v>145</v>
      </c>
      <c r="G2796" t="s">
        <v>10133</v>
      </c>
    </row>
    <row r="2797" spans="1:7" ht="44.25" customHeight="1">
      <c r="A2797" t="s">
        <v>1397</v>
      </c>
      <c r="B2797" t="s">
        <v>10134</v>
      </c>
      <c r="C2797" t="s">
        <v>132</v>
      </c>
      <c r="D2797" t="s">
        <v>2139</v>
      </c>
      <c r="E2797" t="s">
        <v>1367</v>
      </c>
      <c r="F2797" t="s">
        <v>145</v>
      </c>
      <c r="G2797" t="s">
        <v>10135</v>
      </c>
    </row>
    <row r="2798" spans="1:7" ht="44.25" customHeight="1">
      <c r="A2798" t="s">
        <v>501</v>
      </c>
      <c r="B2798" t="s">
        <v>10136</v>
      </c>
      <c r="C2798" t="s">
        <v>132</v>
      </c>
      <c r="D2798" t="s">
        <v>2143</v>
      </c>
      <c r="E2798" t="s">
        <v>2151</v>
      </c>
      <c r="F2798" t="s">
        <v>145</v>
      </c>
      <c r="G2798" t="s">
        <v>10137</v>
      </c>
    </row>
    <row r="2799" spans="1:7" ht="44.25" customHeight="1">
      <c r="A2799" t="s">
        <v>10138</v>
      </c>
      <c r="B2799" t="s">
        <v>10139</v>
      </c>
      <c r="C2799" t="s">
        <v>132</v>
      </c>
      <c r="D2799" t="s">
        <v>2143</v>
      </c>
      <c r="E2799" t="s">
        <v>4481</v>
      </c>
      <c r="F2799" t="s">
        <v>145</v>
      </c>
      <c r="G2799" t="s">
        <v>10140</v>
      </c>
    </row>
    <row r="2800" spans="1:7" ht="44.25" customHeight="1">
      <c r="A2800" t="s">
        <v>10141</v>
      </c>
      <c r="B2800" t="s">
        <v>10142</v>
      </c>
      <c r="C2800" t="s">
        <v>132</v>
      </c>
      <c r="D2800" t="s">
        <v>79</v>
      </c>
      <c r="E2800" t="s">
        <v>10143</v>
      </c>
      <c r="F2800" t="s">
        <v>145</v>
      </c>
      <c r="G2800" t="s">
        <v>10144</v>
      </c>
    </row>
    <row r="2801" spans="1:7" ht="44.25" customHeight="1">
      <c r="A2801" t="s">
        <v>10141</v>
      </c>
      <c r="B2801" t="s">
        <v>10142</v>
      </c>
      <c r="C2801" t="s">
        <v>132</v>
      </c>
      <c r="D2801" t="s">
        <v>79</v>
      </c>
      <c r="E2801" t="s">
        <v>10143</v>
      </c>
      <c r="F2801" t="s">
        <v>145</v>
      </c>
      <c r="G2801" t="s">
        <v>10144</v>
      </c>
    </row>
    <row r="2802" spans="1:7" ht="44.25" customHeight="1">
      <c r="A2802" t="s">
        <v>462</v>
      </c>
      <c r="B2802" t="s">
        <v>10145</v>
      </c>
      <c r="C2802" t="s">
        <v>132</v>
      </c>
      <c r="D2802" t="s">
        <v>79</v>
      </c>
      <c r="E2802" t="s">
        <v>10146</v>
      </c>
      <c r="F2802" t="s">
        <v>145</v>
      </c>
      <c r="G2802" t="s">
        <v>10147</v>
      </c>
    </row>
    <row r="2803" spans="1:7" ht="44.25" customHeight="1">
      <c r="A2803" t="s">
        <v>10148</v>
      </c>
      <c r="B2803" t="s">
        <v>10149</v>
      </c>
      <c r="C2803" t="s">
        <v>132</v>
      </c>
      <c r="D2803" t="s">
        <v>79</v>
      </c>
      <c r="E2803" t="s">
        <v>10150</v>
      </c>
      <c r="F2803" t="s">
        <v>145</v>
      </c>
      <c r="G2803" t="s">
        <v>10151</v>
      </c>
    </row>
    <row r="2804" spans="1:7" ht="44.25" customHeight="1">
      <c r="A2804" t="s">
        <v>132</v>
      </c>
      <c r="B2804" t="s">
        <v>10152</v>
      </c>
      <c r="C2804" t="s">
        <v>132</v>
      </c>
      <c r="D2804" t="s">
        <v>2143</v>
      </c>
      <c r="E2804" t="s">
        <v>5577</v>
      </c>
      <c r="F2804" t="s">
        <v>145</v>
      </c>
      <c r="G2804" t="s">
        <v>10153</v>
      </c>
    </row>
    <row r="2805" spans="1:7" ht="44.25" customHeight="1">
      <c r="A2805" t="s">
        <v>10154</v>
      </c>
      <c r="B2805" t="s">
        <v>10155</v>
      </c>
      <c r="C2805" t="s">
        <v>132</v>
      </c>
      <c r="D2805" t="s">
        <v>79</v>
      </c>
      <c r="E2805" t="s">
        <v>10156</v>
      </c>
      <c r="F2805" t="s">
        <v>145</v>
      </c>
      <c r="G2805" t="s">
        <v>10157</v>
      </c>
    </row>
    <row r="2806" spans="1:7" ht="44.25" customHeight="1">
      <c r="A2806" t="s">
        <v>615</v>
      </c>
      <c r="B2806" t="s">
        <v>10158</v>
      </c>
      <c r="C2806" t="s">
        <v>132</v>
      </c>
      <c r="D2806" t="s">
        <v>79</v>
      </c>
      <c r="E2806" t="s">
        <v>10159</v>
      </c>
      <c r="F2806" t="s">
        <v>145</v>
      </c>
      <c r="G2806" t="s">
        <v>10160</v>
      </c>
    </row>
    <row r="2807" spans="1:7" ht="44.25" customHeight="1">
      <c r="A2807" t="s">
        <v>10161</v>
      </c>
      <c r="B2807" t="s">
        <v>10162</v>
      </c>
      <c r="C2807" t="s">
        <v>132</v>
      </c>
      <c r="D2807" t="s">
        <v>2143</v>
      </c>
      <c r="E2807" t="s">
        <v>1542</v>
      </c>
      <c r="F2807" t="s">
        <v>145</v>
      </c>
      <c r="G2807" t="s">
        <v>10163</v>
      </c>
    </row>
    <row r="2808" spans="1:7" ht="44.25" customHeight="1">
      <c r="A2808" t="s">
        <v>1336</v>
      </c>
      <c r="B2808" t="s">
        <v>10164</v>
      </c>
      <c r="C2808" t="s">
        <v>132</v>
      </c>
      <c r="D2808" t="s">
        <v>2143</v>
      </c>
      <c r="E2808" t="s">
        <v>1542</v>
      </c>
      <c r="F2808" t="s">
        <v>145</v>
      </c>
      <c r="G2808" t="s">
        <v>10165</v>
      </c>
    </row>
    <row r="2809" spans="1:7" ht="44.25" customHeight="1">
      <c r="A2809" t="s">
        <v>438</v>
      </c>
      <c r="B2809" t="s">
        <v>10166</v>
      </c>
      <c r="C2809" t="s">
        <v>132</v>
      </c>
      <c r="D2809" t="s">
        <v>79</v>
      </c>
      <c r="E2809" t="s">
        <v>3575</v>
      </c>
      <c r="F2809" t="s">
        <v>145</v>
      </c>
      <c r="G2809" t="s">
        <v>10167</v>
      </c>
    </row>
    <row r="2810" spans="1:7" ht="44.25" customHeight="1">
      <c r="A2810" t="s">
        <v>10168</v>
      </c>
      <c r="B2810" t="s">
        <v>10169</v>
      </c>
      <c r="C2810" t="s">
        <v>132</v>
      </c>
      <c r="D2810" t="s">
        <v>2139</v>
      </c>
      <c r="E2810" t="s">
        <v>1367</v>
      </c>
      <c r="F2810" t="s">
        <v>145</v>
      </c>
      <c r="G2810" t="s">
        <v>10170</v>
      </c>
    </row>
    <row r="2811" spans="1:7" ht="44.25" customHeight="1">
      <c r="A2811" t="s">
        <v>10171</v>
      </c>
      <c r="B2811" t="s">
        <v>10172</v>
      </c>
      <c r="C2811" t="s">
        <v>132</v>
      </c>
      <c r="D2811" t="s">
        <v>2143</v>
      </c>
      <c r="E2811" t="s">
        <v>2162</v>
      </c>
      <c r="F2811" t="s">
        <v>145</v>
      </c>
      <c r="G2811" t="s">
        <v>10173</v>
      </c>
    </row>
    <row r="2812" spans="1:7" ht="44.25" customHeight="1">
      <c r="A2812" t="s">
        <v>10174</v>
      </c>
      <c r="B2812" t="s">
        <v>10175</v>
      </c>
      <c r="C2812" t="s">
        <v>132</v>
      </c>
      <c r="D2812" t="s">
        <v>2143</v>
      </c>
      <c r="E2812" t="s">
        <v>2162</v>
      </c>
      <c r="F2812" t="s">
        <v>145</v>
      </c>
      <c r="G2812" t="s">
        <v>10176</v>
      </c>
    </row>
    <row r="2813" spans="1:7" ht="44.25" customHeight="1">
      <c r="A2813" t="s">
        <v>819</v>
      </c>
      <c r="B2813" t="s">
        <v>10177</v>
      </c>
      <c r="C2813" t="s">
        <v>132</v>
      </c>
      <c r="D2813" t="s">
        <v>2143</v>
      </c>
      <c r="E2813" t="s">
        <v>4010</v>
      </c>
      <c r="F2813" t="s">
        <v>145</v>
      </c>
      <c r="G2813" t="s">
        <v>10178</v>
      </c>
    </row>
    <row r="2814" spans="1:7" ht="44.25" customHeight="1">
      <c r="A2814" t="s">
        <v>10179</v>
      </c>
      <c r="B2814" t="s">
        <v>10180</v>
      </c>
      <c r="C2814" t="s">
        <v>132</v>
      </c>
      <c r="D2814" t="s">
        <v>2143</v>
      </c>
      <c r="E2814" t="s">
        <v>3479</v>
      </c>
      <c r="F2814" t="s">
        <v>145</v>
      </c>
      <c r="G2814" t="s">
        <v>10181</v>
      </c>
    </row>
    <row r="2815" spans="1:7" ht="44.25" customHeight="1">
      <c r="A2815" t="s">
        <v>10179</v>
      </c>
      <c r="B2815" t="s">
        <v>10180</v>
      </c>
      <c r="C2815" t="s">
        <v>132</v>
      </c>
      <c r="D2815" t="s">
        <v>2143</v>
      </c>
      <c r="E2815" t="s">
        <v>3479</v>
      </c>
      <c r="F2815" t="s">
        <v>145</v>
      </c>
      <c r="G2815" t="s">
        <v>10181</v>
      </c>
    </row>
    <row r="2816" spans="1:7" ht="44.25" customHeight="1">
      <c r="A2816" t="s">
        <v>10182</v>
      </c>
      <c r="B2816" t="s">
        <v>10183</v>
      </c>
      <c r="C2816" t="s">
        <v>132</v>
      </c>
      <c r="D2816" t="s">
        <v>79</v>
      </c>
      <c r="E2816" t="s">
        <v>10184</v>
      </c>
      <c r="F2816" t="s">
        <v>145</v>
      </c>
      <c r="G2816" t="s">
        <v>10185</v>
      </c>
    </row>
    <row r="2817" spans="1:7" ht="44.25" customHeight="1">
      <c r="A2817" t="s">
        <v>132</v>
      </c>
      <c r="B2817" t="s">
        <v>10186</v>
      </c>
      <c r="C2817" t="s">
        <v>132</v>
      </c>
      <c r="D2817" t="s">
        <v>2143</v>
      </c>
      <c r="E2817" t="s">
        <v>5741</v>
      </c>
      <c r="F2817" t="s">
        <v>145</v>
      </c>
      <c r="G2817" t="s">
        <v>10187</v>
      </c>
    </row>
    <row r="2818" spans="1:7" ht="44.25" customHeight="1">
      <c r="A2818" t="s">
        <v>776</v>
      </c>
      <c r="B2818" t="s">
        <v>10188</v>
      </c>
      <c r="C2818" t="s">
        <v>132</v>
      </c>
      <c r="D2818" t="s">
        <v>79</v>
      </c>
      <c r="E2818" t="s">
        <v>5789</v>
      </c>
      <c r="F2818" t="s">
        <v>145</v>
      </c>
      <c r="G2818" t="s">
        <v>10189</v>
      </c>
    </row>
    <row r="2819" spans="1:7" ht="44.25" customHeight="1">
      <c r="A2819" t="s">
        <v>132</v>
      </c>
      <c r="B2819" t="s">
        <v>10190</v>
      </c>
      <c r="C2819" t="s">
        <v>132</v>
      </c>
      <c r="D2819" t="s">
        <v>2143</v>
      </c>
      <c r="E2819" t="s">
        <v>1542</v>
      </c>
      <c r="F2819" t="s">
        <v>145</v>
      </c>
      <c r="G2819" t="s">
        <v>10191</v>
      </c>
    </row>
    <row r="2820" spans="1:7" ht="44.25" customHeight="1">
      <c r="A2820" t="s">
        <v>10192</v>
      </c>
      <c r="B2820" t="s">
        <v>10193</v>
      </c>
      <c r="C2820" t="s">
        <v>132</v>
      </c>
      <c r="D2820" t="s">
        <v>2143</v>
      </c>
      <c r="E2820" t="s">
        <v>1542</v>
      </c>
      <c r="F2820" t="s">
        <v>145</v>
      </c>
      <c r="G2820" t="s">
        <v>10194</v>
      </c>
    </row>
    <row r="2821" spans="1:7" ht="44.25" customHeight="1">
      <c r="A2821" t="s">
        <v>132</v>
      </c>
      <c r="B2821" t="s">
        <v>10195</v>
      </c>
      <c r="C2821" t="s">
        <v>132</v>
      </c>
      <c r="D2821" t="s">
        <v>2143</v>
      </c>
      <c r="E2821" t="s">
        <v>2285</v>
      </c>
      <c r="F2821" t="s">
        <v>145</v>
      </c>
      <c r="G2821" t="s">
        <v>10196</v>
      </c>
    </row>
    <row r="2822" spans="1:7" ht="44.25" customHeight="1">
      <c r="A2822" t="s">
        <v>10197</v>
      </c>
      <c r="B2822" t="s">
        <v>10198</v>
      </c>
      <c r="C2822" t="s">
        <v>132</v>
      </c>
      <c r="D2822" t="s">
        <v>2143</v>
      </c>
      <c r="E2822" t="s">
        <v>1542</v>
      </c>
      <c r="F2822" t="s">
        <v>145</v>
      </c>
      <c r="G2822" t="s">
        <v>10199</v>
      </c>
    </row>
    <row r="2823" spans="1:7" ht="44.25" customHeight="1">
      <c r="A2823" t="s">
        <v>10200</v>
      </c>
      <c r="B2823" t="s">
        <v>10201</v>
      </c>
      <c r="C2823" t="s">
        <v>132</v>
      </c>
      <c r="D2823" t="s">
        <v>2143</v>
      </c>
      <c r="E2823" t="s">
        <v>3291</v>
      </c>
      <c r="F2823" t="s">
        <v>145</v>
      </c>
      <c r="G2823" t="s">
        <v>10202</v>
      </c>
    </row>
    <row r="2824" spans="1:7" ht="44.25" customHeight="1">
      <c r="A2824" t="s">
        <v>10203</v>
      </c>
      <c r="B2824" t="s">
        <v>10204</v>
      </c>
      <c r="C2824" t="s">
        <v>132</v>
      </c>
      <c r="D2824" t="s">
        <v>2139</v>
      </c>
      <c r="E2824" t="s">
        <v>1367</v>
      </c>
      <c r="F2824" t="s">
        <v>145</v>
      </c>
      <c r="G2824" t="s">
        <v>10205</v>
      </c>
    </row>
    <row r="2825" spans="1:7" ht="44.25" customHeight="1">
      <c r="A2825" t="s">
        <v>10206</v>
      </c>
      <c r="B2825" t="s">
        <v>10207</v>
      </c>
      <c r="C2825" t="s">
        <v>132</v>
      </c>
      <c r="D2825" t="s">
        <v>2143</v>
      </c>
      <c r="E2825" t="s">
        <v>2162</v>
      </c>
      <c r="F2825" t="s">
        <v>145</v>
      </c>
      <c r="G2825" t="s">
        <v>10208</v>
      </c>
    </row>
    <row r="2826" spans="1:7" ht="44.25" customHeight="1">
      <c r="A2826" t="s">
        <v>10209</v>
      </c>
      <c r="B2826" t="s">
        <v>10210</v>
      </c>
      <c r="C2826" t="s">
        <v>132</v>
      </c>
      <c r="D2826" t="s">
        <v>2139</v>
      </c>
      <c r="E2826" t="s">
        <v>1365</v>
      </c>
      <c r="F2826" t="s">
        <v>145</v>
      </c>
      <c r="G2826" t="s">
        <v>10211</v>
      </c>
    </row>
    <row r="2827" spans="1:7" ht="44.25" customHeight="1">
      <c r="A2827" t="s">
        <v>330</v>
      </c>
      <c r="B2827" t="s">
        <v>10212</v>
      </c>
      <c r="C2827" t="s">
        <v>132</v>
      </c>
      <c r="D2827" t="s">
        <v>2143</v>
      </c>
      <c r="E2827" t="s">
        <v>2162</v>
      </c>
      <c r="F2827" t="s">
        <v>145</v>
      </c>
      <c r="G2827" t="s">
        <v>10213</v>
      </c>
    </row>
    <row r="2828" spans="1:7" ht="44.25" customHeight="1">
      <c r="A2828" t="s">
        <v>976</v>
      </c>
      <c r="B2828" t="s">
        <v>10214</v>
      </c>
      <c r="C2828" t="s">
        <v>132</v>
      </c>
      <c r="D2828" t="s">
        <v>2143</v>
      </c>
      <c r="E2828" t="s">
        <v>2162</v>
      </c>
      <c r="F2828" t="s">
        <v>145</v>
      </c>
      <c r="G2828" t="s">
        <v>10215</v>
      </c>
    </row>
    <row r="2829" spans="1:7" ht="44.25" customHeight="1">
      <c r="A2829" t="s">
        <v>502</v>
      </c>
      <c r="B2829" t="s">
        <v>10216</v>
      </c>
      <c r="C2829" t="s">
        <v>132</v>
      </c>
      <c r="D2829" t="s">
        <v>79</v>
      </c>
      <c r="E2829" t="s">
        <v>4721</v>
      </c>
      <c r="F2829" t="s">
        <v>145</v>
      </c>
      <c r="G2829" t="s">
        <v>10217</v>
      </c>
    </row>
    <row r="2830" spans="1:7" ht="44.25" customHeight="1">
      <c r="A2830" t="s">
        <v>392</v>
      </c>
      <c r="B2830" t="s">
        <v>10218</v>
      </c>
      <c r="C2830" t="s">
        <v>132</v>
      </c>
      <c r="D2830" t="s">
        <v>79</v>
      </c>
      <c r="E2830" t="s">
        <v>10219</v>
      </c>
      <c r="F2830" t="s">
        <v>145</v>
      </c>
      <c r="G2830" t="s">
        <v>10220</v>
      </c>
    </row>
    <row r="2831" spans="1:7" ht="44.25" customHeight="1">
      <c r="A2831" t="s">
        <v>10221</v>
      </c>
      <c r="B2831" t="s">
        <v>10222</v>
      </c>
      <c r="C2831" t="s">
        <v>132</v>
      </c>
      <c r="D2831" t="s">
        <v>2143</v>
      </c>
      <c r="E2831" t="s">
        <v>4481</v>
      </c>
      <c r="F2831" t="s">
        <v>145</v>
      </c>
      <c r="G2831" t="s">
        <v>10223</v>
      </c>
    </row>
    <row r="2832" spans="1:7" ht="44.25" customHeight="1">
      <c r="A2832" t="s">
        <v>10224</v>
      </c>
      <c r="B2832" t="s">
        <v>10225</v>
      </c>
      <c r="C2832" t="s">
        <v>132</v>
      </c>
      <c r="D2832" t="s">
        <v>79</v>
      </c>
      <c r="E2832" t="s">
        <v>10226</v>
      </c>
      <c r="F2832" t="s">
        <v>145</v>
      </c>
      <c r="G2832" t="s">
        <v>10227</v>
      </c>
    </row>
    <row r="2833" spans="1:7" ht="44.25" customHeight="1">
      <c r="A2833" t="s">
        <v>10224</v>
      </c>
      <c r="B2833" t="s">
        <v>10225</v>
      </c>
      <c r="C2833" t="s">
        <v>132</v>
      </c>
      <c r="D2833" t="s">
        <v>79</v>
      </c>
      <c r="E2833" t="s">
        <v>10226</v>
      </c>
      <c r="F2833" t="s">
        <v>145</v>
      </c>
      <c r="G2833" t="s">
        <v>10227</v>
      </c>
    </row>
    <row r="2834" spans="1:7" ht="44.25" customHeight="1">
      <c r="A2834" t="s">
        <v>10228</v>
      </c>
      <c r="B2834" t="s">
        <v>10229</v>
      </c>
      <c r="C2834" t="s">
        <v>132</v>
      </c>
      <c r="D2834" t="s">
        <v>79</v>
      </c>
      <c r="E2834" t="s">
        <v>10230</v>
      </c>
      <c r="F2834" t="s">
        <v>145</v>
      </c>
      <c r="G2834" t="s">
        <v>10231</v>
      </c>
    </row>
    <row r="2835" spans="1:7" ht="44.25" customHeight="1">
      <c r="A2835" t="s">
        <v>10232</v>
      </c>
      <c r="B2835" t="s">
        <v>10233</v>
      </c>
      <c r="C2835" t="s">
        <v>132</v>
      </c>
      <c r="D2835" t="s">
        <v>2143</v>
      </c>
      <c r="E2835" t="s">
        <v>6014</v>
      </c>
      <c r="F2835" t="s">
        <v>145</v>
      </c>
      <c r="G2835" t="s">
        <v>10234</v>
      </c>
    </row>
    <row r="2836" spans="1:7" ht="44.25" customHeight="1">
      <c r="A2836" t="s">
        <v>10235</v>
      </c>
      <c r="B2836" t="s">
        <v>10236</v>
      </c>
      <c r="C2836" t="s">
        <v>132</v>
      </c>
      <c r="D2836" t="s">
        <v>2143</v>
      </c>
      <c r="E2836" t="s">
        <v>2571</v>
      </c>
      <c r="F2836" t="s">
        <v>145</v>
      </c>
      <c r="G2836" t="s">
        <v>10237</v>
      </c>
    </row>
    <row r="2837" spans="1:7" ht="44.25" customHeight="1">
      <c r="A2837" t="s">
        <v>1361</v>
      </c>
      <c r="B2837" t="s">
        <v>10238</v>
      </c>
      <c r="C2837" t="s">
        <v>132</v>
      </c>
      <c r="D2837" t="s">
        <v>2143</v>
      </c>
      <c r="E2837" t="s">
        <v>1542</v>
      </c>
      <c r="F2837" t="s">
        <v>145</v>
      </c>
      <c r="G2837" t="s">
        <v>10239</v>
      </c>
    </row>
    <row r="2838" spans="1:7" ht="44.25" customHeight="1">
      <c r="A2838" t="s">
        <v>394</v>
      </c>
      <c r="B2838" t="s">
        <v>9116</v>
      </c>
      <c r="C2838" t="s">
        <v>132</v>
      </c>
      <c r="D2838" t="s">
        <v>79</v>
      </c>
      <c r="E2838" t="s">
        <v>6463</v>
      </c>
      <c r="F2838" t="s">
        <v>145</v>
      </c>
      <c r="G2838" t="s">
        <v>10240</v>
      </c>
    </row>
    <row r="2839" spans="1:7" ht="44.25" customHeight="1">
      <c r="A2839" t="s">
        <v>395</v>
      </c>
      <c r="B2839" t="s">
        <v>6462</v>
      </c>
      <c r="C2839" t="s">
        <v>132</v>
      </c>
      <c r="D2839" t="s">
        <v>79</v>
      </c>
      <c r="E2839" t="s">
        <v>6463</v>
      </c>
      <c r="F2839" t="s">
        <v>145</v>
      </c>
      <c r="G2839" t="s">
        <v>10241</v>
      </c>
    </row>
    <row r="2840" spans="1:7" ht="44.25" customHeight="1">
      <c r="A2840" t="s">
        <v>10242</v>
      </c>
      <c r="B2840" t="s">
        <v>10243</v>
      </c>
      <c r="C2840" t="s">
        <v>132</v>
      </c>
      <c r="D2840" t="s">
        <v>2139</v>
      </c>
      <c r="E2840" t="s">
        <v>1367</v>
      </c>
      <c r="F2840" t="s">
        <v>145</v>
      </c>
      <c r="G2840" t="s">
        <v>10244</v>
      </c>
    </row>
    <row r="2841" spans="1:7" ht="44.25" customHeight="1">
      <c r="A2841" t="s">
        <v>10245</v>
      </c>
      <c r="B2841" t="s">
        <v>10246</v>
      </c>
      <c r="C2841" t="s">
        <v>132</v>
      </c>
      <c r="D2841" t="s">
        <v>2143</v>
      </c>
      <c r="E2841" t="s">
        <v>2162</v>
      </c>
      <c r="F2841" t="s">
        <v>145</v>
      </c>
      <c r="G2841" t="s">
        <v>10247</v>
      </c>
    </row>
    <row r="2842" spans="1:7" ht="44.25" customHeight="1">
      <c r="A2842" t="s">
        <v>10248</v>
      </c>
      <c r="B2842" t="s">
        <v>10249</v>
      </c>
      <c r="C2842" t="s">
        <v>132</v>
      </c>
      <c r="D2842" t="s">
        <v>79</v>
      </c>
      <c r="E2842" t="s">
        <v>10250</v>
      </c>
      <c r="F2842" t="s">
        <v>145</v>
      </c>
      <c r="G2842" t="s">
        <v>10251</v>
      </c>
    </row>
    <row r="2843" spans="1:7" ht="44.25" customHeight="1">
      <c r="A2843" t="s">
        <v>10252</v>
      </c>
      <c r="B2843" t="s">
        <v>10253</v>
      </c>
      <c r="C2843" t="s">
        <v>132</v>
      </c>
      <c r="D2843" t="s">
        <v>79</v>
      </c>
      <c r="E2843" t="s">
        <v>10254</v>
      </c>
      <c r="F2843" t="s">
        <v>145</v>
      </c>
      <c r="G2843" t="s">
        <v>10255</v>
      </c>
    </row>
    <row r="2844" spans="1:7" ht="44.25" customHeight="1">
      <c r="A2844" t="s">
        <v>10256</v>
      </c>
      <c r="B2844" t="s">
        <v>10257</v>
      </c>
      <c r="C2844" t="s">
        <v>132</v>
      </c>
      <c r="D2844" t="s">
        <v>79</v>
      </c>
      <c r="E2844" t="s">
        <v>10258</v>
      </c>
      <c r="F2844" t="s">
        <v>145</v>
      </c>
      <c r="G2844" t="s">
        <v>10259</v>
      </c>
    </row>
    <row r="2845" spans="1:7" ht="44.25" customHeight="1">
      <c r="A2845" t="s">
        <v>10260</v>
      </c>
      <c r="B2845" t="s">
        <v>10261</v>
      </c>
      <c r="C2845" t="s">
        <v>132</v>
      </c>
      <c r="D2845" t="s">
        <v>79</v>
      </c>
      <c r="E2845" t="s">
        <v>10262</v>
      </c>
      <c r="F2845" t="s">
        <v>145</v>
      </c>
      <c r="G2845" t="s">
        <v>10263</v>
      </c>
    </row>
    <row r="2846" spans="1:7" ht="44.25" customHeight="1">
      <c r="A2846" t="s">
        <v>10264</v>
      </c>
      <c r="B2846" t="s">
        <v>10265</v>
      </c>
      <c r="C2846" t="s">
        <v>132</v>
      </c>
      <c r="D2846" t="s">
        <v>2143</v>
      </c>
      <c r="E2846" t="s">
        <v>7804</v>
      </c>
      <c r="F2846" t="s">
        <v>145</v>
      </c>
      <c r="G2846" t="s">
        <v>10266</v>
      </c>
    </row>
    <row r="2847" spans="1:7" ht="44.25" customHeight="1">
      <c r="A2847" t="s">
        <v>10267</v>
      </c>
      <c r="B2847" t="s">
        <v>10268</v>
      </c>
      <c r="C2847" t="s">
        <v>10269</v>
      </c>
      <c r="D2847" t="s">
        <v>2143</v>
      </c>
      <c r="E2847" t="s">
        <v>2571</v>
      </c>
      <c r="F2847" t="s">
        <v>145</v>
      </c>
      <c r="G2847" t="s">
        <v>10270</v>
      </c>
    </row>
    <row r="2848" spans="1:7" ht="44.25" customHeight="1">
      <c r="A2848" t="s">
        <v>10271</v>
      </c>
      <c r="B2848" t="s">
        <v>10272</v>
      </c>
      <c r="C2848" t="s">
        <v>10273</v>
      </c>
      <c r="D2848" t="s">
        <v>2143</v>
      </c>
      <c r="E2848" t="s">
        <v>2571</v>
      </c>
      <c r="F2848" t="s">
        <v>145</v>
      </c>
      <c r="G2848" t="s">
        <v>10274</v>
      </c>
    </row>
    <row r="2849" spans="1:7" ht="44.25" customHeight="1">
      <c r="A2849" t="s">
        <v>10275</v>
      </c>
      <c r="B2849" t="s">
        <v>10276</v>
      </c>
      <c r="C2849" t="s">
        <v>10277</v>
      </c>
      <c r="D2849" t="s">
        <v>2143</v>
      </c>
      <c r="E2849" t="s">
        <v>1542</v>
      </c>
      <c r="F2849" t="s">
        <v>145</v>
      </c>
      <c r="G2849" t="s">
        <v>10278</v>
      </c>
    </row>
    <row r="2850" spans="1:7" ht="44.25" customHeight="1">
      <c r="A2850" t="s">
        <v>9703</v>
      </c>
      <c r="B2850" t="s">
        <v>9704</v>
      </c>
      <c r="C2850" t="s">
        <v>132</v>
      </c>
      <c r="D2850" t="s">
        <v>79</v>
      </c>
      <c r="E2850" t="s">
        <v>6619</v>
      </c>
      <c r="F2850" t="s">
        <v>145</v>
      </c>
      <c r="G2850" t="s">
        <v>10279</v>
      </c>
    </row>
    <row r="2851" spans="1:7" ht="44.25" customHeight="1">
      <c r="A2851" t="s">
        <v>10280</v>
      </c>
      <c r="B2851" t="s">
        <v>10281</v>
      </c>
      <c r="C2851" t="s">
        <v>132</v>
      </c>
      <c r="D2851" t="s">
        <v>2139</v>
      </c>
      <c r="E2851" t="s">
        <v>1367</v>
      </c>
      <c r="F2851" t="s">
        <v>145</v>
      </c>
      <c r="G2851" t="s">
        <v>10282</v>
      </c>
    </row>
    <row r="2852" spans="1:7" ht="44.25" customHeight="1">
      <c r="A2852" t="s">
        <v>10283</v>
      </c>
      <c r="B2852" t="s">
        <v>10284</v>
      </c>
      <c r="C2852" t="s">
        <v>132</v>
      </c>
      <c r="D2852" t="s">
        <v>2139</v>
      </c>
      <c r="E2852" t="s">
        <v>1367</v>
      </c>
      <c r="F2852" t="s">
        <v>145</v>
      </c>
      <c r="G2852" t="s">
        <v>10285</v>
      </c>
    </row>
    <row r="2853" spans="1:7" ht="44.25" customHeight="1">
      <c r="A2853" t="s">
        <v>10286</v>
      </c>
      <c r="B2853" t="s">
        <v>10287</v>
      </c>
      <c r="C2853" t="s">
        <v>132</v>
      </c>
      <c r="D2853" t="s">
        <v>2143</v>
      </c>
      <c r="E2853" t="s">
        <v>2162</v>
      </c>
      <c r="F2853" t="s">
        <v>145</v>
      </c>
      <c r="G2853" t="s">
        <v>10288</v>
      </c>
    </row>
    <row r="2854" spans="1:7" ht="44.25" customHeight="1">
      <c r="A2854" t="s">
        <v>324</v>
      </c>
      <c r="B2854" t="s">
        <v>10289</v>
      </c>
      <c r="C2854" t="s">
        <v>132</v>
      </c>
      <c r="D2854" t="s">
        <v>2143</v>
      </c>
      <c r="E2854" t="s">
        <v>2162</v>
      </c>
      <c r="F2854" t="s">
        <v>145</v>
      </c>
      <c r="G2854" t="s">
        <v>10290</v>
      </c>
    </row>
    <row r="2855" spans="1:7" ht="44.25" customHeight="1">
      <c r="A2855" t="s">
        <v>971</v>
      </c>
      <c r="B2855" t="s">
        <v>10291</v>
      </c>
      <c r="C2855" t="s">
        <v>132</v>
      </c>
      <c r="D2855" t="s">
        <v>2143</v>
      </c>
      <c r="E2855" t="s">
        <v>2162</v>
      </c>
      <c r="F2855" t="s">
        <v>145</v>
      </c>
      <c r="G2855" t="s">
        <v>10292</v>
      </c>
    </row>
    <row r="2856" spans="1:7" ht="44.25" customHeight="1">
      <c r="A2856" t="s">
        <v>646</v>
      </c>
      <c r="B2856" t="s">
        <v>10293</v>
      </c>
      <c r="C2856" t="s">
        <v>132</v>
      </c>
      <c r="D2856" t="s">
        <v>2143</v>
      </c>
      <c r="E2856" t="s">
        <v>2200</v>
      </c>
      <c r="F2856" t="s">
        <v>145</v>
      </c>
      <c r="G2856" t="s">
        <v>10294</v>
      </c>
    </row>
    <row r="2857" spans="1:7" ht="44.25" customHeight="1">
      <c r="A2857" t="s">
        <v>498</v>
      </c>
      <c r="B2857" t="s">
        <v>10295</v>
      </c>
      <c r="C2857" t="s">
        <v>132</v>
      </c>
      <c r="D2857" t="s">
        <v>2143</v>
      </c>
      <c r="E2857" t="s">
        <v>2151</v>
      </c>
      <c r="F2857" t="s">
        <v>145</v>
      </c>
      <c r="G2857" t="s">
        <v>10296</v>
      </c>
    </row>
    <row r="2858" spans="1:7" ht="44.25" customHeight="1">
      <c r="A2858" t="s">
        <v>479</v>
      </c>
      <c r="B2858" t="s">
        <v>10297</v>
      </c>
      <c r="C2858" t="s">
        <v>132</v>
      </c>
      <c r="D2858" t="s">
        <v>79</v>
      </c>
      <c r="E2858" t="s">
        <v>2144</v>
      </c>
      <c r="F2858" t="s">
        <v>145</v>
      </c>
      <c r="G2858" t="s">
        <v>10298</v>
      </c>
    </row>
    <row r="2859" spans="1:7" ht="44.25" customHeight="1">
      <c r="A2859" t="s">
        <v>370</v>
      </c>
      <c r="B2859" t="s">
        <v>10299</v>
      </c>
      <c r="C2859" t="s">
        <v>132</v>
      </c>
      <c r="D2859" t="s">
        <v>2139</v>
      </c>
      <c r="E2859" t="s">
        <v>2144</v>
      </c>
      <c r="F2859" t="s">
        <v>145</v>
      </c>
      <c r="G2859" t="s">
        <v>10300</v>
      </c>
    </row>
    <row r="2860" spans="1:7" ht="44.25" customHeight="1">
      <c r="A2860" t="s">
        <v>728</v>
      </c>
      <c r="B2860" t="s">
        <v>10301</v>
      </c>
      <c r="C2860" t="s">
        <v>132</v>
      </c>
      <c r="D2860" t="s">
        <v>2143</v>
      </c>
      <c r="E2860" t="s">
        <v>2155</v>
      </c>
      <c r="F2860" t="s">
        <v>145</v>
      </c>
      <c r="G2860" t="s">
        <v>10302</v>
      </c>
    </row>
    <row r="2861" spans="1:7" ht="44.25" customHeight="1">
      <c r="A2861" t="s">
        <v>417</v>
      </c>
      <c r="B2861" t="s">
        <v>10303</v>
      </c>
      <c r="C2861" t="s">
        <v>132</v>
      </c>
      <c r="D2861" t="s">
        <v>2143</v>
      </c>
      <c r="E2861" t="s">
        <v>4713</v>
      </c>
      <c r="F2861" t="s">
        <v>145</v>
      </c>
      <c r="G2861" t="s">
        <v>10304</v>
      </c>
    </row>
    <row r="2862" spans="1:7" ht="44.25" customHeight="1">
      <c r="A2862" t="s">
        <v>10305</v>
      </c>
      <c r="B2862" t="s">
        <v>10306</v>
      </c>
      <c r="C2862" t="s">
        <v>132</v>
      </c>
      <c r="D2862" t="s">
        <v>79</v>
      </c>
      <c r="E2862" t="s">
        <v>10307</v>
      </c>
      <c r="F2862" t="s">
        <v>145</v>
      </c>
      <c r="G2862" t="s">
        <v>10308</v>
      </c>
    </row>
    <row r="2863" spans="1:7" ht="44.25" customHeight="1">
      <c r="A2863" t="s">
        <v>10309</v>
      </c>
      <c r="B2863" t="s">
        <v>10310</v>
      </c>
      <c r="C2863" t="s">
        <v>132</v>
      </c>
      <c r="D2863" t="s">
        <v>79</v>
      </c>
      <c r="E2863" t="s">
        <v>10311</v>
      </c>
      <c r="F2863" t="s">
        <v>145</v>
      </c>
      <c r="G2863" t="s">
        <v>10312</v>
      </c>
    </row>
    <row r="2864" spans="1:7" ht="44.25" customHeight="1">
      <c r="A2864" t="s">
        <v>10313</v>
      </c>
      <c r="B2864" t="s">
        <v>10314</v>
      </c>
      <c r="C2864" t="s">
        <v>132</v>
      </c>
      <c r="D2864" t="s">
        <v>79</v>
      </c>
      <c r="E2864" t="s">
        <v>10315</v>
      </c>
      <c r="F2864" t="s">
        <v>145</v>
      </c>
      <c r="G2864" t="s">
        <v>10316</v>
      </c>
    </row>
    <row r="2865" spans="1:7" ht="44.25" customHeight="1">
      <c r="A2865" t="s">
        <v>10317</v>
      </c>
      <c r="B2865" t="s">
        <v>10318</v>
      </c>
      <c r="C2865" t="s">
        <v>132</v>
      </c>
      <c r="D2865" t="s">
        <v>79</v>
      </c>
      <c r="E2865" t="s">
        <v>10319</v>
      </c>
      <c r="F2865" t="s">
        <v>145</v>
      </c>
      <c r="G2865" t="s">
        <v>10320</v>
      </c>
    </row>
    <row r="2866" spans="1:7" ht="44.25" customHeight="1">
      <c r="A2866" t="s">
        <v>10321</v>
      </c>
      <c r="B2866" t="s">
        <v>10322</v>
      </c>
      <c r="C2866" t="s">
        <v>132</v>
      </c>
      <c r="D2866" t="s">
        <v>79</v>
      </c>
      <c r="E2866" t="s">
        <v>10323</v>
      </c>
      <c r="F2866" t="s">
        <v>145</v>
      </c>
      <c r="G2866" t="s">
        <v>10324</v>
      </c>
    </row>
    <row r="2867" spans="1:7" ht="44.25" customHeight="1">
      <c r="A2867" t="s">
        <v>10325</v>
      </c>
      <c r="B2867" t="s">
        <v>10326</v>
      </c>
      <c r="C2867" t="s">
        <v>132</v>
      </c>
      <c r="D2867" t="s">
        <v>2143</v>
      </c>
      <c r="E2867" t="s">
        <v>2162</v>
      </c>
      <c r="F2867" t="s">
        <v>145</v>
      </c>
      <c r="G2867" t="s">
        <v>10327</v>
      </c>
    </row>
    <row r="2868" spans="1:7" ht="44.25" customHeight="1">
      <c r="A2868" t="s">
        <v>545</v>
      </c>
      <c r="B2868" t="s">
        <v>10328</v>
      </c>
      <c r="C2868" t="s">
        <v>132</v>
      </c>
      <c r="D2868" t="s">
        <v>79</v>
      </c>
      <c r="E2868" t="s">
        <v>8529</v>
      </c>
      <c r="F2868" t="s">
        <v>145</v>
      </c>
      <c r="G2868" t="s">
        <v>10329</v>
      </c>
    </row>
    <row r="2869" spans="1:7" ht="44.25" customHeight="1">
      <c r="A2869" t="s">
        <v>10330</v>
      </c>
      <c r="B2869" t="s">
        <v>10331</v>
      </c>
      <c r="C2869" t="s">
        <v>132</v>
      </c>
      <c r="D2869" t="s">
        <v>79</v>
      </c>
      <c r="E2869" t="s">
        <v>10332</v>
      </c>
      <c r="F2869" t="s">
        <v>145</v>
      </c>
      <c r="G2869" t="s">
        <v>10333</v>
      </c>
    </row>
    <row r="2870" spans="1:7" ht="44.25" customHeight="1">
      <c r="A2870" t="s">
        <v>10334</v>
      </c>
      <c r="B2870" t="s">
        <v>10335</v>
      </c>
      <c r="C2870" t="s">
        <v>132</v>
      </c>
      <c r="D2870" t="s">
        <v>79</v>
      </c>
      <c r="E2870" t="s">
        <v>10336</v>
      </c>
      <c r="F2870" t="s">
        <v>145</v>
      </c>
      <c r="G2870" t="s">
        <v>10337</v>
      </c>
    </row>
    <row r="2871" spans="1:7" ht="44.25" customHeight="1">
      <c r="A2871" t="s">
        <v>10338</v>
      </c>
      <c r="B2871" t="s">
        <v>10339</v>
      </c>
      <c r="C2871" t="s">
        <v>132</v>
      </c>
      <c r="D2871" t="s">
        <v>79</v>
      </c>
      <c r="E2871" t="s">
        <v>10340</v>
      </c>
      <c r="F2871" t="s">
        <v>145</v>
      </c>
      <c r="G2871" t="s">
        <v>10341</v>
      </c>
    </row>
    <row r="2872" spans="1:7" ht="44.25" customHeight="1">
      <c r="A2872" t="s">
        <v>10342</v>
      </c>
      <c r="B2872" t="s">
        <v>10343</v>
      </c>
      <c r="C2872" t="s">
        <v>132</v>
      </c>
      <c r="D2872" t="s">
        <v>79</v>
      </c>
      <c r="E2872" t="s">
        <v>8692</v>
      </c>
      <c r="F2872" t="s">
        <v>145</v>
      </c>
      <c r="G2872" t="s">
        <v>10344</v>
      </c>
    </row>
    <row r="2873" spans="1:7" ht="44.25" customHeight="1">
      <c r="A2873" t="s">
        <v>10345</v>
      </c>
      <c r="B2873" t="s">
        <v>10346</v>
      </c>
      <c r="C2873" t="s">
        <v>132</v>
      </c>
      <c r="D2873" t="s">
        <v>79</v>
      </c>
      <c r="E2873" t="s">
        <v>10347</v>
      </c>
      <c r="F2873" t="s">
        <v>145</v>
      </c>
      <c r="G2873" t="s">
        <v>10348</v>
      </c>
    </row>
    <row r="2874" spans="1:7" ht="44.25" customHeight="1">
      <c r="A2874" t="s">
        <v>10349</v>
      </c>
      <c r="B2874" t="s">
        <v>10350</v>
      </c>
      <c r="C2874" t="s">
        <v>132</v>
      </c>
      <c r="D2874" t="s">
        <v>79</v>
      </c>
      <c r="E2874" t="s">
        <v>10351</v>
      </c>
      <c r="F2874" t="s">
        <v>145</v>
      </c>
      <c r="G2874" t="s">
        <v>10352</v>
      </c>
    </row>
    <row r="2875" spans="1:7" ht="44.25" customHeight="1">
      <c r="A2875" t="s">
        <v>10353</v>
      </c>
      <c r="B2875" t="s">
        <v>10354</v>
      </c>
      <c r="C2875" t="s">
        <v>132</v>
      </c>
      <c r="D2875" t="s">
        <v>79</v>
      </c>
      <c r="E2875" t="s">
        <v>10355</v>
      </c>
      <c r="F2875" t="s">
        <v>145</v>
      </c>
      <c r="G2875" t="s">
        <v>10356</v>
      </c>
    </row>
    <row r="2876" spans="1:7" ht="44.25" customHeight="1">
      <c r="A2876" t="s">
        <v>10357</v>
      </c>
      <c r="B2876" t="s">
        <v>10358</v>
      </c>
      <c r="C2876" t="s">
        <v>132</v>
      </c>
      <c r="D2876" t="s">
        <v>79</v>
      </c>
      <c r="E2876" t="s">
        <v>10359</v>
      </c>
      <c r="F2876" t="s">
        <v>145</v>
      </c>
      <c r="G2876" t="s">
        <v>10360</v>
      </c>
    </row>
    <row r="2877" spans="1:7" ht="44.25" customHeight="1">
      <c r="A2877" t="s">
        <v>10361</v>
      </c>
      <c r="B2877" t="s">
        <v>10362</v>
      </c>
      <c r="C2877" t="s">
        <v>132</v>
      </c>
      <c r="D2877" t="s">
        <v>79</v>
      </c>
      <c r="E2877" t="s">
        <v>10363</v>
      </c>
      <c r="F2877" t="s">
        <v>145</v>
      </c>
      <c r="G2877" t="s">
        <v>10364</v>
      </c>
    </row>
    <row r="2878" spans="1:7" ht="44.25" customHeight="1">
      <c r="A2878" t="s">
        <v>10365</v>
      </c>
      <c r="B2878" t="s">
        <v>10366</v>
      </c>
      <c r="C2878" t="s">
        <v>132</v>
      </c>
      <c r="D2878" t="s">
        <v>79</v>
      </c>
      <c r="E2878" t="s">
        <v>10367</v>
      </c>
      <c r="F2878" t="s">
        <v>145</v>
      </c>
      <c r="G2878" t="s">
        <v>10368</v>
      </c>
    </row>
    <row r="2879" spans="1:7" ht="44.25" customHeight="1">
      <c r="A2879" t="s">
        <v>10369</v>
      </c>
      <c r="B2879" t="s">
        <v>10370</v>
      </c>
      <c r="C2879" t="s">
        <v>132</v>
      </c>
      <c r="D2879" t="s">
        <v>79</v>
      </c>
      <c r="E2879" t="s">
        <v>10371</v>
      </c>
      <c r="F2879" t="s">
        <v>145</v>
      </c>
      <c r="G2879" t="s">
        <v>10372</v>
      </c>
    </row>
    <row r="2880" spans="1:7" ht="44.25" customHeight="1">
      <c r="A2880" t="s">
        <v>10373</v>
      </c>
      <c r="B2880" t="s">
        <v>10374</v>
      </c>
      <c r="C2880" t="s">
        <v>132</v>
      </c>
      <c r="D2880" t="s">
        <v>79</v>
      </c>
      <c r="E2880" t="s">
        <v>10375</v>
      </c>
      <c r="F2880" t="s">
        <v>145</v>
      </c>
      <c r="G2880" t="s">
        <v>10376</v>
      </c>
    </row>
    <row r="2881" spans="1:7" ht="44.25" customHeight="1">
      <c r="A2881" t="s">
        <v>10377</v>
      </c>
      <c r="B2881" t="s">
        <v>10378</v>
      </c>
      <c r="C2881" t="s">
        <v>132</v>
      </c>
      <c r="D2881" t="s">
        <v>79</v>
      </c>
      <c r="E2881" t="s">
        <v>10379</v>
      </c>
      <c r="F2881" t="s">
        <v>145</v>
      </c>
      <c r="G2881" t="s">
        <v>10380</v>
      </c>
    </row>
    <row r="2882" spans="1:7" ht="44.25" customHeight="1">
      <c r="A2882" t="s">
        <v>10381</v>
      </c>
      <c r="B2882" t="s">
        <v>10382</v>
      </c>
      <c r="C2882" t="s">
        <v>132</v>
      </c>
      <c r="D2882" t="s">
        <v>2143</v>
      </c>
      <c r="E2882" t="s">
        <v>5577</v>
      </c>
      <c r="F2882" t="s">
        <v>145</v>
      </c>
      <c r="G2882" t="s">
        <v>10383</v>
      </c>
    </row>
    <row r="2883" spans="1:7" ht="44.25" customHeight="1">
      <c r="A2883" t="s">
        <v>132</v>
      </c>
      <c r="B2883" t="s">
        <v>10384</v>
      </c>
      <c r="C2883" t="s">
        <v>132</v>
      </c>
      <c r="D2883" t="s">
        <v>2143</v>
      </c>
      <c r="E2883" t="s">
        <v>10103</v>
      </c>
      <c r="F2883" t="s">
        <v>145</v>
      </c>
      <c r="G2883" t="s">
        <v>10385</v>
      </c>
    </row>
    <row r="2884" spans="1:7" ht="44.25" customHeight="1">
      <c r="A2884" t="s">
        <v>10386</v>
      </c>
      <c r="B2884" t="s">
        <v>10387</v>
      </c>
      <c r="C2884" t="s">
        <v>132</v>
      </c>
      <c r="D2884" t="s">
        <v>79</v>
      </c>
      <c r="E2884" t="s">
        <v>7046</v>
      </c>
      <c r="F2884" t="s">
        <v>145</v>
      </c>
      <c r="G2884" t="s">
        <v>10388</v>
      </c>
    </row>
    <row r="2885" spans="1:7" ht="44.25" customHeight="1">
      <c r="A2885" t="s">
        <v>10389</v>
      </c>
      <c r="B2885" t="s">
        <v>10390</v>
      </c>
      <c r="C2885" t="s">
        <v>132</v>
      </c>
      <c r="D2885" t="s">
        <v>2143</v>
      </c>
      <c r="E2885" t="s">
        <v>1542</v>
      </c>
      <c r="F2885" t="s">
        <v>145</v>
      </c>
      <c r="G2885" t="s">
        <v>10391</v>
      </c>
    </row>
    <row r="2886" spans="1:7" ht="44.25" customHeight="1">
      <c r="A2886" t="s">
        <v>10392</v>
      </c>
      <c r="B2886" t="s">
        <v>10393</v>
      </c>
      <c r="C2886" t="s">
        <v>132</v>
      </c>
      <c r="D2886" t="s">
        <v>2143</v>
      </c>
      <c r="E2886" t="s">
        <v>1542</v>
      </c>
      <c r="F2886" t="s">
        <v>145</v>
      </c>
      <c r="G2886" t="s">
        <v>10394</v>
      </c>
    </row>
    <row r="2887" spans="1:7" ht="44.25" customHeight="1">
      <c r="A2887" t="s">
        <v>10395</v>
      </c>
      <c r="B2887" t="s">
        <v>10396</v>
      </c>
      <c r="C2887" t="s">
        <v>10397</v>
      </c>
      <c r="D2887" t="s">
        <v>2143</v>
      </c>
      <c r="E2887" t="s">
        <v>2571</v>
      </c>
      <c r="F2887" t="s">
        <v>145</v>
      </c>
      <c r="G2887" t="s">
        <v>10398</v>
      </c>
    </row>
    <row r="2888" spans="1:7" ht="44.25" customHeight="1">
      <c r="A2888" t="s">
        <v>10399</v>
      </c>
      <c r="B2888" t="s">
        <v>10400</v>
      </c>
      <c r="C2888" t="s">
        <v>132</v>
      </c>
      <c r="D2888" t="s">
        <v>2139</v>
      </c>
      <c r="E2888" t="s">
        <v>1367</v>
      </c>
      <c r="F2888" t="s">
        <v>145</v>
      </c>
      <c r="G2888" t="s">
        <v>10401</v>
      </c>
    </row>
    <row r="2889" spans="1:7" ht="44.25" customHeight="1">
      <c r="A2889" t="s">
        <v>10402</v>
      </c>
      <c r="B2889" t="s">
        <v>10403</v>
      </c>
      <c r="C2889" t="s">
        <v>132</v>
      </c>
      <c r="D2889" t="s">
        <v>2143</v>
      </c>
      <c r="E2889" t="s">
        <v>1365</v>
      </c>
      <c r="F2889" t="s">
        <v>145</v>
      </c>
      <c r="G2889" t="s">
        <v>10404</v>
      </c>
    </row>
    <row r="2890" spans="1:7" ht="44.25" customHeight="1">
      <c r="A2890" t="s">
        <v>273</v>
      </c>
      <c r="B2890" t="s">
        <v>10405</v>
      </c>
      <c r="C2890" t="s">
        <v>132</v>
      </c>
      <c r="D2890" t="s">
        <v>2143</v>
      </c>
      <c r="E2890" t="s">
        <v>2162</v>
      </c>
      <c r="F2890" t="s">
        <v>145</v>
      </c>
      <c r="G2890" t="s">
        <v>10406</v>
      </c>
    </row>
    <row r="2891" spans="1:7" ht="44.25" customHeight="1">
      <c r="A2891" t="s">
        <v>1556</v>
      </c>
      <c r="B2891" t="s">
        <v>10407</v>
      </c>
      <c r="C2891" t="s">
        <v>132</v>
      </c>
      <c r="D2891" t="s">
        <v>2143</v>
      </c>
      <c r="E2891" t="s">
        <v>2162</v>
      </c>
      <c r="F2891" t="s">
        <v>145</v>
      </c>
      <c r="G2891" t="s">
        <v>10408</v>
      </c>
    </row>
    <row r="2892" spans="1:7" ht="44.25" customHeight="1">
      <c r="A2892" t="s">
        <v>715</v>
      </c>
      <c r="B2892" t="s">
        <v>10409</v>
      </c>
      <c r="C2892" t="s">
        <v>132</v>
      </c>
      <c r="D2892" t="s">
        <v>79</v>
      </c>
      <c r="E2892" t="s">
        <v>2155</v>
      </c>
      <c r="F2892" t="s">
        <v>145</v>
      </c>
      <c r="G2892" t="s">
        <v>10410</v>
      </c>
    </row>
    <row r="2893" spans="1:7" ht="44.25" customHeight="1">
      <c r="A2893" t="s">
        <v>1011</v>
      </c>
      <c r="B2893" t="s">
        <v>10411</v>
      </c>
      <c r="C2893" t="s">
        <v>132</v>
      </c>
      <c r="D2893" t="s">
        <v>2143</v>
      </c>
      <c r="E2893" t="s">
        <v>4585</v>
      </c>
      <c r="F2893" t="s">
        <v>145</v>
      </c>
      <c r="G2893" t="s">
        <v>10412</v>
      </c>
    </row>
    <row r="2894" spans="1:7" ht="44.25" customHeight="1">
      <c r="A2894" t="s">
        <v>858</v>
      </c>
      <c r="B2894" t="s">
        <v>10413</v>
      </c>
      <c r="C2894" t="s">
        <v>132</v>
      </c>
      <c r="D2894" t="s">
        <v>2143</v>
      </c>
      <c r="E2894" t="s">
        <v>3466</v>
      </c>
      <c r="F2894" t="s">
        <v>145</v>
      </c>
      <c r="G2894" t="s">
        <v>10414</v>
      </c>
    </row>
    <row r="2895" spans="1:7" ht="44.25" customHeight="1">
      <c r="A2895" t="s">
        <v>10415</v>
      </c>
      <c r="B2895" t="s">
        <v>10416</v>
      </c>
      <c r="C2895" t="s">
        <v>132</v>
      </c>
      <c r="D2895" t="s">
        <v>79</v>
      </c>
      <c r="E2895" t="s">
        <v>10417</v>
      </c>
      <c r="F2895" t="s">
        <v>145</v>
      </c>
      <c r="G2895" t="s">
        <v>10418</v>
      </c>
    </row>
    <row r="2896" spans="1:7" ht="44.25" customHeight="1">
      <c r="A2896" t="s">
        <v>10419</v>
      </c>
      <c r="B2896" t="s">
        <v>10420</v>
      </c>
      <c r="C2896" t="s">
        <v>132</v>
      </c>
      <c r="D2896" t="s">
        <v>79</v>
      </c>
      <c r="E2896" t="s">
        <v>10421</v>
      </c>
      <c r="F2896" t="s">
        <v>145</v>
      </c>
      <c r="G2896" t="s">
        <v>10422</v>
      </c>
    </row>
    <row r="2897" spans="1:7" ht="44.25" customHeight="1">
      <c r="A2897" t="s">
        <v>10423</v>
      </c>
      <c r="B2897" t="s">
        <v>10424</v>
      </c>
      <c r="C2897" t="s">
        <v>132</v>
      </c>
      <c r="D2897" t="s">
        <v>79</v>
      </c>
      <c r="E2897" t="s">
        <v>10425</v>
      </c>
      <c r="F2897" t="s">
        <v>145</v>
      </c>
      <c r="G2897" t="s">
        <v>10426</v>
      </c>
    </row>
    <row r="2898" spans="1:7" ht="44.25" customHeight="1">
      <c r="A2898" t="s">
        <v>10427</v>
      </c>
      <c r="B2898" t="s">
        <v>10428</v>
      </c>
      <c r="C2898" t="s">
        <v>132</v>
      </c>
      <c r="D2898" t="s">
        <v>79</v>
      </c>
      <c r="E2898" t="s">
        <v>10429</v>
      </c>
      <c r="F2898" t="s">
        <v>145</v>
      </c>
      <c r="G2898" t="s">
        <v>10430</v>
      </c>
    </row>
    <row r="2899" spans="1:7" ht="44.25" customHeight="1">
      <c r="A2899" t="s">
        <v>10431</v>
      </c>
      <c r="B2899" t="s">
        <v>10432</v>
      </c>
      <c r="C2899" t="s">
        <v>132</v>
      </c>
      <c r="D2899" t="s">
        <v>79</v>
      </c>
      <c r="E2899" t="s">
        <v>10433</v>
      </c>
      <c r="F2899" t="s">
        <v>145</v>
      </c>
      <c r="G2899" t="s">
        <v>10434</v>
      </c>
    </row>
    <row r="2900" spans="1:7" ht="44.25" customHeight="1">
      <c r="A2900" t="s">
        <v>10435</v>
      </c>
      <c r="B2900" t="s">
        <v>10436</v>
      </c>
      <c r="C2900" t="s">
        <v>132</v>
      </c>
      <c r="D2900" t="s">
        <v>79</v>
      </c>
      <c r="E2900" t="s">
        <v>10437</v>
      </c>
      <c r="F2900" t="s">
        <v>145</v>
      </c>
      <c r="G2900" t="s">
        <v>10438</v>
      </c>
    </row>
    <row r="2901" spans="1:7" ht="44.25" customHeight="1">
      <c r="A2901" t="s">
        <v>10439</v>
      </c>
      <c r="B2901" t="s">
        <v>10440</v>
      </c>
      <c r="C2901" t="s">
        <v>132</v>
      </c>
      <c r="D2901" t="s">
        <v>2143</v>
      </c>
      <c r="E2901" t="s">
        <v>5570</v>
      </c>
      <c r="F2901" t="s">
        <v>145</v>
      </c>
      <c r="G2901" t="s">
        <v>10441</v>
      </c>
    </row>
    <row r="2902" spans="1:7" ht="44.25" customHeight="1">
      <c r="A2902" t="s">
        <v>10442</v>
      </c>
      <c r="B2902" t="s">
        <v>10443</v>
      </c>
      <c r="C2902" t="s">
        <v>132</v>
      </c>
      <c r="D2902" t="s">
        <v>2143</v>
      </c>
      <c r="E2902" t="s">
        <v>1542</v>
      </c>
      <c r="F2902" t="s">
        <v>145</v>
      </c>
      <c r="G2902" t="s">
        <v>10444</v>
      </c>
    </row>
    <row r="2903" spans="1:7" ht="44.25" customHeight="1">
      <c r="A2903" t="s">
        <v>10445</v>
      </c>
      <c r="B2903" t="s">
        <v>10446</v>
      </c>
      <c r="C2903" t="s">
        <v>10447</v>
      </c>
      <c r="D2903" t="s">
        <v>2143</v>
      </c>
      <c r="E2903" t="s">
        <v>1438</v>
      </c>
      <c r="F2903" t="s">
        <v>145</v>
      </c>
      <c r="G2903" t="s">
        <v>10448</v>
      </c>
    </row>
    <row r="2904" spans="1:7" ht="44.25" customHeight="1">
      <c r="A2904" t="s">
        <v>1355</v>
      </c>
      <c r="B2904" t="s">
        <v>10449</v>
      </c>
      <c r="C2904" t="s">
        <v>132</v>
      </c>
      <c r="D2904" t="s">
        <v>2143</v>
      </c>
      <c r="E2904" t="s">
        <v>1542</v>
      </c>
      <c r="F2904" t="s">
        <v>145</v>
      </c>
      <c r="G2904" t="s">
        <v>10450</v>
      </c>
    </row>
    <row r="2905" spans="1:7" ht="44.25" customHeight="1">
      <c r="A2905" t="s">
        <v>10451</v>
      </c>
      <c r="B2905" t="s">
        <v>10452</v>
      </c>
      <c r="C2905" t="s">
        <v>132</v>
      </c>
      <c r="D2905" t="s">
        <v>79</v>
      </c>
      <c r="E2905" t="s">
        <v>4063</v>
      </c>
      <c r="F2905" t="s">
        <v>145</v>
      </c>
      <c r="G2905" t="s">
        <v>10453</v>
      </c>
    </row>
    <row r="2906" spans="1:7" ht="44.25" customHeight="1">
      <c r="A2906" t="s">
        <v>10454</v>
      </c>
      <c r="B2906" t="s">
        <v>10455</v>
      </c>
      <c r="C2906" t="s">
        <v>132</v>
      </c>
      <c r="D2906" t="s">
        <v>2139</v>
      </c>
      <c r="E2906" t="s">
        <v>1365</v>
      </c>
      <c r="F2906" t="s">
        <v>145</v>
      </c>
      <c r="G2906" t="s">
        <v>10456</v>
      </c>
    </row>
    <row r="2907" spans="1:7" ht="44.25" customHeight="1">
      <c r="A2907" t="s">
        <v>10457</v>
      </c>
      <c r="B2907" t="s">
        <v>10458</v>
      </c>
      <c r="C2907" t="s">
        <v>132</v>
      </c>
      <c r="D2907" t="s">
        <v>2139</v>
      </c>
      <c r="E2907" t="s">
        <v>1367</v>
      </c>
      <c r="F2907" t="s">
        <v>145</v>
      </c>
      <c r="G2907" t="s">
        <v>10459</v>
      </c>
    </row>
    <row r="2908" spans="1:7" ht="44.25" customHeight="1">
      <c r="A2908" t="s">
        <v>891</v>
      </c>
      <c r="B2908" t="s">
        <v>10460</v>
      </c>
      <c r="C2908" t="s">
        <v>132</v>
      </c>
      <c r="D2908" t="s">
        <v>79</v>
      </c>
      <c r="E2908" t="s">
        <v>10461</v>
      </c>
      <c r="F2908" t="s">
        <v>145</v>
      </c>
      <c r="G2908" t="s">
        <v>10462</v>
      </c>
    </row>
    <row r="2909" spans="1:7" ht="44.25" customHeight="1">
      <c r="A2909" t="s">
        <v>10463</v>
      </c>
      <c r="B2909" t="s">
        <v>10464</v>
      </c>
      <c r="C2909" t="s">
        <v>132</v>
      </c>
      <c r="D2909" t="s">
        <v>79</v>
      </c>
      <c r="E2909" t="s">
        <v>10465</v>
      </c>
      <c r="F2909" t="s">
        <v>145</v>
      </c>
      <c r="G2909" t="s">
        <v>10466</v>
      </c>
    </row>
    <row r="2910" spans="1:7" ht="44.25" customHeight="1">
      <c r="A2910" t="s">
        <v>571</v>
      </c>
      <c r="B2910" t="s">
        <v>10467</v>
      </c>
      <c r="C2910" t="s">
        <v>132</v>
      </c>
      <c r="D2910" t="s">
        <v>79</v>
      </c>
      <c r="E2910" t="s">
        <v>10468</v>
      </c>
      <c r="F2910" t="s">
        <v>145</v>
      </c>
      <c r="G2910" t="s">
        <v>10469</v>
      </c>
    </row>
    <row r="2911" spans="1:7" ht="44.25" customHeight="1">
      <c r="A2911" t="s">
        <v>10470</v>
      </c>
      <c r="B2911" t="s">
        <v>10471</v>
      </c>
      <c r="C2911" t="s">
        <v>132</v>
      </c>
      <c r="D2911" t="s">
        <v>79</v>
      </c>
      <c r="E2911" t="s">
        <v>10472</v>
      </c>
      <c r="F2911" t="s">
        <v>145</v>
      </c>
      <c r="G2911" t="s">
        <v>10473</v>
      </c>
    </row>
    <row r="2912" spans="1:7" ht="44.25" customHeight="1">
      <c r="A2912" t="s">
        <v>10474</v>
      </c>
      <c r="B2912" t="s">
        <v>10475</v>
      </c>
      <c r="C2912" t="s">
        <v>132</v>
      </c>
      <c r="D2912" t="s">
        <v>79</v>
      </c>
      <c r="E2912" t="s">
        <v>10476</v>
      </c>
      <c r="F2912" t="s">
        <v>145</v>
      </c>
      <c r="G2912" t="s">
        <v>10477</v>
      </c>
    </row>
    <row r="2913" spans="1:7" ht="44.25" customHeight="1">
      <c r="A2913" t="s">
        <v>10478</v>
      </c>
      <c r="B2913" t="s">
        <v>10479</v>
      </c>
      <c r="C2913" t="s">
        <v>132</v>
      </c>
      <c r="D2913" t="s">
        <v>2143</v>
      </c>
      <c r="E2913" t="s">
        <v>1542</v>
      </c>
      <c r="F2913" t="s">
        <v>145</v>
      </c>
      <c r="G2913" t="s">
        <v>10480</v>
      </c>
    </row>
    <row r="2914" spans="1:7" ht="44.25" customHeight="1">
      <c r="A2914" t="s">
        <v>10481</v>
      </c>
      <c r="B2914" t="s">
        <v>10482</v>
      </c>
      <c r="C2914" t="s">
        <v>132</v>
      </c>
      <c r="D2914" t="s">
        <v>2143</v>
      </c>
      <c r="E2914" t="s">
        <v>1542</v>
      </c>
      <c r="F2914" t="s">
        <v>145</v>
      </c>
      <c r="G2914" t="s">
        <v>10483</v>
      </c>
    </row>
    <row r="2915" spans="1:7" ht="44.25" customHeight="1">
      <c r="A2915" t="s">
        <v>650</v>
      </c>
      <c r="B2915" t="s">
        <v>10484</v>
      </c>
      <c r="C2915" t="s">
        <v>132</v>
      </c>
      <c r="D2915" t="s">
        <v>79</v>
      </c>
      <c r="E2915" t="s">
        <v>3313</v>
      </c>
      <c r="F2915" t="s">
        <v>145</v>
      </c>
      <c r="G2915" t="s">
        <v>10485</v>
      </c>
    </row>
    <row r="2916" spans="1:7" ht="44.25" customHeight="1">
      <c r="A2916" t="s">
        <v>10486</v>
      </c>
      <c r="B2916" t="s">
        <v>10487</v>
      </c>
      <c r="C2916" t="s">
        <v>132</v>
      </c>
      <c r="D2916" t="s">
        <v>79</v>
      </c>
      <c r="E2916" t="s">
        <v>3364</v>
      </c>
      <c r="F2916" t="s">
        <v>145</v>
      </c>
      <c r="G2916" t="s">
        <v>10488</v>
      </c>
    </row>
    <row r="2917" spans="1:7" ht="44.25" customHeight="1">
      <c r="A2917" t="s">
        <v>10489</v>
      </c>
      <c r="B2917" t="s">
        <v>10490</v>
      </c>
      <c r="C2917" t="s">
        <v>132</v>
      </c>
      <c r="D2917" t="s">
        <v>79</v>
      </c>
      <c r="E2917" t="s">
        <v>1527</v>
      </c>
      <c r="F2917" t="s">
        <v>145</v>
      </c>
      <c r="G2917" t="s">
        <v>10491</v>
      </c>
    </row>
    <row r="2918" spans="1:7" ht="44.25" customHeight="1">
      <c r="A2918" t="s">
        <v>10492</v>
      </c>
      <c r="B2918" t="s">
        <v>10493</v>
      </c>
      <c r="C2918" t="s">
        <v>132</v>
      </c>
      <c r="D2918" t="s">
        <v>79</v>
      </c>
      <c r="E2918" t="s">
        <v>4639</v>
      </c>
      <c r="F2918" t="s">
        <v>145</v>
      </c>
      <c r="G2918" t="s">
        <v>10494</v>
      </c>
    </row>
    <row r="2919" spans="1:7" ht="44.25" customHeight="1">
      <c r="A2919" t="s">
        <v>10495</v>
      </c>
      <c r="B2919" t="s">
        <v>10496</v>
      </c>
      <c r="C2919" t="s">
        <v>132</v>
      </c>
      <c r="D2919" t="s">
        <v>2139</v>
      </c>
      <c r="E2919" t="s">
        <v>1367</v>
      </c>
      <c r="F2919" t="s">
        <v>145</v>
      </c>
      <c r="G2919" t="s">
        <v>10497</v>
      </c>
    </row>
    <row r="2920" spans="1:7" ht="44.25" customHeight="1">
      <c r="A2920" t="s">
        <v>10498</v>
      </c>
      <c r="B2920" t="s">
        <v>10499</v>
      </c>
      <c r="C2920" t="s">
        <v>10500</v>
      </c>
      <c r="D2920" t="s">
        <v>79</v>
      </c>
      <c r="E2920" t="s">
        <v>4397</v>
      </c>
      <c r="F2920" t="s">
        <v>145</v>
      </c>
      <c r="G2920" t="s">
        <v>10501</v>
      </c>
    </row>
    <row r="2921" spans="1:7" ht="44.25" customHeight="1">
      <c r="A2921" t="s">
        <v>10502</v>
      </c>
      <c r="B2921" t="s">
        <v>10503</v>
      </c>
      <c r="C2921" t="s">
        <v>132</v>
      </c>
      <c r="D2921" t="s">
        <v>79</v>
      </c>
      <c r="E2921" t="s">
        <v>10504</v>
      </c>
      <c r="F2921" t="s">
        <v>145</v>
      </c>
      <c r="G2921" t="s">
        <v>10505</v>
      </c>
    </row>
    <row r="2922" spans="1:7" ht="44.25" customHeight="1">
      <c r="A2922" t="s">
        <v>10506</v>
      </c>
      <c r="B2922" t="s">
        <v>10507</v>
      </c>
      <c r="C2922" t="s">
        <v>132</v>
      </c>
      <c r="D2922" t="s">
        <v>79</v>
      </c>
      <c r="E2922" t="s">
        <v>10508</v>
      </c>
      <c r="F2922" t="s">
        <v>145</v>
      </c>
      <c r="G2922" t="s">
        <v>10509</v>
      </c>
    </row>
    <row r="2923" spans="1:7" ht="44.25" customHeight="1">
      <c r="A2923" t="s">
        <v>10510</v>
      </c>
      <c r="B2923" t="s">
        <v>10511</v>
      </c>
      <c r="C2923" t="s">
        <v>132</v>
      </c>
      <c r="D2923" t="s">
        <v>79</v>
      </c>
      <c r="E2923" t="s">
        <v>10512</v>
      </c>
      <c r="F2923" t="s">
        <v>145</v>
      </c>
      <c r="G2923" t="s">
        <v>10513</v>
      </c>
    </row>
    <row r="2924" spans="1:7" ht="44.25" customHeight="1">
      <c r="A2924" t="s">
        <v>10510</v>
      </c>
      <c r="B2924" t="s">
        <v>10511</v>
      </c>
      <c r="C2924" t="s">
        <v>132</v>
      </c>
      <c r="D2924" t="s">
        <v>79</v>
      </c>
      <c r="E2924" t="s">
        <v>10512</v>
      </c>
      <c r="F2924" t="s">
        <v>145</v>
      </c>
      <c r="G2924" t="s">
        <v>10513</v>
      </c>
    </row>
    <row r="2925" spans="1:7" ht="44.25" customHeight="1">
      <c r="A2925" t="s">
        <v>10514</v>
      </c>
      <c r="B2925" t="s">
        <v>10515</v>
      </c>
      <c r="C2925" t="s">
        <v>132</v>
      </c>
      <c r="D2925" t="s">
        <v>79</v>
      </c>
      <c r="E2925" t="s">
        <v>10516</v>
      </c>
      <c r="F2925" t="s">
        <v>145</v>
      </c>
      <c r="G2925" t="s">
        <v>10517</v>
      </c>
    </row>
    <row r="2926" spans="1:7" ht="44.25" customHeight="1">
      <c r="A2926" t="s">
        <v>10518</v>
      </c>
      <c r="B2926" t="s">
        <v>10519</v>
      </c>
      <c r="C2926" t="s">
        <v>132</v>
      </c>
      <c r="D2926" t="s">
        <v>2143</v>
      </c>
      <c r="E2926" t="s">
        <v>5570</v>
      </c>
      <c r="F2926" t="s">
        <v>145</v>
      </c>
      <c r="G2926" t="s">
        <v>10520</v>
      </c>
    </row>
    <row r="2927" spans="1:7" ht="44.25" customHeight="1">
      <c r="A2927" t="s">
        <v>10521</v>
      </c>
      <c r="B2927" t="s">
        <v>10522</v>
      </c>
      <c r="C2927" t="s">
        <v>132</v>
      </c>
      <c r="D2927" t="s">
        <v>2143</v>
      </c>
      <c r="E2927" t="s">
        <v>6014</v>
      </c>
      <c r="F2927" t="s">
        <v>145</v>
      </c>
      <c r="G2927" t="s">
        <v>10523</v>
      </c>
    </row>
    <row r="2928" spans="1:7" ht="44.25" customHeight="1">
      <c r="A2928" t="s">
        <v>132</v>
      </c>
      <c r="B2928" t="s">
        <v>10524</v>
      </c>
      <c r="C2928" t="s">
        <v>132</v>
      </c>
      <c r="D2928" t="s">
        <v>2143</v>
      </c>
      <c r="E2928" t="s">
        <v>1542</v>
      </c>
      <c r="F2928" t="s">
        <v>145</v>
      </c>
      <c r="G2928" t="s">
        <v>10525</v>
      </c>
    </row>
    <row r="2929" spans="1:7" ht="44.25" customHeight="1">
      <c r="A2929" t="s">
        <v>10526</v>
      </c>
      <c r="B2929" t="s">
        <v>10527</v>
      </c>
      <c r="C2929" t="s">
        <v>132</v>
      </c>
      <c r="D2929" t="s">
        <v>2143</v>
      </c>
      <c r="E2929" t="s">
        <v>2285</v>
      </c>
      <c r="F2929" t="s">
        <v>145</v>
      </c>
      <c r="G2929" t="s">
        <v>10528</v>
      </c>
    </row>
    <row r="2930" spans="1:7" ht="44.25" customHeight="1">
      <c r="A2930" t="s">
        <v>10529</v>
      </c>
      <c r="B2930" t="s">
        <v>10530</v>
      </c>
      <c r="C2930" t="s">
        <v>132</v>
      </c>
      <c r="D2930" t="s">
        <v>2143</v>
      </c>
      <c r="E2930" t="s">
        <v>1542</v>
      </c>
      <c r="F2930" t="s">
        <v>145</v>
      </c>
      <c r="G2930" t="s">
        <v>10531</v>
      </c>
    </row>
    <row r="2931" spans="1:7" ht="44.25" customHeight="1">
      <c r="A2931" t="s">
        <v>1346</v>
      </c>
      <c r="B2931" t="s">
        <v>10532</v>
      </c>
      <c r="C2931" t="s">
        <v>132</v>
      </c>
      <c r="D2931" t="s">
        <v>2143</v>
      </c>
      <c r="E2931" t="s">
        <v>1542</v>
      </c>
      <c r="F2931" t="s">
        <v>145</v>
      </c>
      <c r="G2931" t="s">
        <v>10533</v>
      </c>
    </row>
    <row r="2932" spans="1:7" ht="44.25" customHeight="1">
      <c r="A2932" t="s">
        <v>277</v>
      </c>
      <c r="B2932" t="s">
        <v>10534</v>
      </c>
      <c r="C2932" t="s">
        <v>132</v>
      </c>
      <c r="D2932" t="s">
        <v>2143</v>
      </c>
      <c r="E2932" t="s">
        <v>3048</v>
      </c>
      <c r="F2932" t="s">
        <v>145</v>
      </c>
      <c r="G2932" t="s">
        <v>10535</v>
      </c>
    </row>
    <row r="2933" spans="1:7" ht="44.25" customHeight="1">
      <c r="A2933" t="s">
        <v>10536</v>
      </c>
      <c r="B2933" t="s">
        <v>10537</v>
      </c>
      <c r="C2933" t="s">
        <v>132</v>
      </c>
      <c r="D2933" t="s">
        <v>2139</v>
      </c>
      <c r="E2933" t="s">
        <v>1365</v>
      </c>
      <c r="F2933" t="s">
        <v>145</v>
      </c>
      <c r="G2933" t="s">
        <v>10538</v>
      </c>
    </row>
    <row r="2934" spans="1:7" ht="44.25" customHeight="1">
      <c r="A2934" t="s">
        <v>10539</v>
      </c>
      <c r="B2934" t="s">
        <v>10540</v>
      </c>
      <c r="C2934" t="s">
        <v>132</v>
      </c>
      <c r="D2934" t="s">
        <v>2143</v>
      </c>
      <c r="E2934" t="s">
        <v>2162</v>
      </c>
      <c r="F2934" t="s">
        <v>145</v>
      </c>
      <c r="G2934" t="s">
        <v>10541</v>
      </c>
    </row>
    <row r="2935" spans="1:7" ht="44.25" customHeight="1">
      <c r="A2935" t="s">
        <v>780</v>
      </c>
      <c r="B2935" t="s">
        <v>10542</v>
      </c>
      <c r="C2935" t="s">
        <v>132</v>
      </c>
      <c r="D2935" t="s">
        <v>2143</v>
      </c>
      <c r="E2935" t="s">
        <v>2162</v>
      </c>
      <c r="F2935" t="s">
        <v>145</v>
      </c>
      <c r="G2935" t="s">
        <v>10543</v>
      </c>
    </row>
    <row r="2936" spans="1:7" ht="44.25" customHeight="1">
      <c r="A2936" t="s">
        <v>10544</v>
      </c>
      <c r="B2936" t="s">
        <v>10545</v>
      </c>
      <c r="C2936" t="s">
        <v>132</v>
      </c>
      <c r="D2936" t="s">
        <v>79</v>
      </c>
      <c r="E2936" t="s">
        <v>4422</v>
      </c>
      <c r="F2936" t="s">
        <v>145</v>
      </c>
      <c r="G2936" t="s">
        <v>10546</v>
      </c>
    </row>
    <row r="2937" spans="1:7" ht="44.25" customHeight="1">
      <c r="A2937" t="s">
        <v>654</v>
      </c>
      <c r="B2937" t="s">
        <v>10547</v>
      </c>
      <c r="C2937" t="s">
        <v>132</v>
      </c>
      <c r="D2937" t="s">
        <v>79</v>
      </c>
      <c r="E2937" t="s">
        <v>10548</v>
      </c>
      <c r="F2937" t="s">
        <v>145</v>
      </c>
      <c r="G2937" t="s">
        <v>10549</v>
      </c>
    </row>
    <row r="2938" spans="1:7" ht="44.25" customHeight="1">
      <c r="A2938" t="s">
        <v>472</v>
      </c>
      <c r="B2938" t="s">
        <v>10550</v>
      </c>
      <c r="C2938" t="s">
        <v>132</v>
      </c>
      <c r="D2938" t="s">
        <v>79</v>
      </c>
      <c r="E2938" t="s">
        <v>10551</v>
      </c>
      <c r="F2938" t="s">
        <v>145</v>
      </c>
      <c r="G2938" t="s">
        <v>10552</v>
      </c>
    </row>
    <row r="2939" spans="1:7" ht="44.25" customHeight="1">
      <c r="A2939" t="s">
        <v>10553</v>
      </c>
      <c r="B2939" t="s">
        <v>10554</v>
      </c>
      <c r="C2939" t="s">
        <v>132</v>
      </c>
      <c r="D2939" t="s">
        <v>2143</v>
      </c>
      <c r="E2939" t="s">
        <v>4481</v>
      </c>
      <c r="F2939" t="s">
        <v>145</v>
      </c>
      <c r="G2939" t="s">
        <v>10555</v>
      </c>
    </row>
    <row r="2940" spans="1:7" ht="44.25" customHeight="1">
      <c r="A2940" t="s">
        <v>10556</v>
      </c>
      <c r="B2940" t="s">
        <v>10557</v>
      </c>
      <c r="C2940" t="s">
        <v>132</v>
      </c>
      <c r="D2940" t="s">
        <v>79</v>
      </c>
      <c r="E2940" t="s">
        <v>10558</v>
      </c>
      <c r="F2940" t="s">
        <v>145</v>
      </c>
      <c r="G2940" t="s">
        <v>10559</v>
      </c>
    </row>
    <row r="2941" spans="1:7" ht="44.25" customHeight="1">
      <c r="A2941" t="s">
        <v>10560</v>
      </c>
      <c r="B2941" t="s">
        <v>10561</v>
      </c>
      <c r="C2941" t="s">
        <v>132</v>
      </c>
      <c r="D2941" t="s">
        <v>79</v>
      </c>
      <c r="E2941" t="s">
        <v>10562</v>
      </c>
      <c r="F2941" t="s">
        <v>145</v>
      </c>
      <c r="G2941" t="s">
        <v>10563</v>
      </c>
    </row>
    <row r="2942" spans="1:7" ht="44.25" customHeight="1">
      <c r="A2942" t="s">
        <v>10564</v>
      </c>
      <c r="B2942" t="s">
        <v>10565</v>
      </c>
      <c r="C2942" t="s">
        <v>132</v>
      </c>
      <c r="D2942" t="s">
        <v>2143</v>
      </c>
      <c r="E2942" t="s">
        <v>5570</v>
      </c>
      <c r="F2942" t="s">
        <v>145</v>
      </c>
      <c r="G2942" t="s">
        <v>10566</v>
      </c>
    </row>
    <row r="2943" spans="1:7" ht="44.25" customHeight="1">
      <c r="A2943" t="s">
        <v>132</v>
      </c>
      <c r="B2943" t="s">
        <v>10567</v>
      </c>
      <c r="C2943" t="s">
        <v>132</v>
      </c>
      <c r="D2943" t="s">
        <v>2143</v>
      </c>
      <c r="E2943" t="s">
        <v>6691</v>
      </c>
      <c r="F2943" t="s">
        <v>145</v>
      </c>
      <c r="G2943" t="s">
        <v>10568</v>
      </c>
    </row>
    <row r="2944" spans="1:7" ht="44.25" customHeight="1">
      <c r="A2944" t="s">
        <v>626</v>
      </c>
      <c r="B2944" t="s">
        <v>10569</v>
      </c>
      <c r="C2944" t="s">
        <v>132</v>
      </c>
      <c r="D2944" t="s">
        <v>79</v>
      </c>
      <c r="E2944" t="s">
        <v>5836</v>
      </c>
      <c r="F2944" t="s">
        <v>145</v>
      </c>
      <c r="G2944" t="s">
        <v>10570</v>
      </c>
    </row>
    <row r="2945" spans="1:7" ht="44.25" customHeight="1">
      <c r="A2945" t="s">
        <v>10571</v>
      </c>
      <c r="B2945" t="s">
        <v>10572</v>
      </c>
      <c r="C2945" t="s">
        <v>132</v>
      </c>
      <c r="D2945" t="s">
        <v>2143</v>
      </c>
      <c r="E2945" t="s">
        <v>1542</v>
      </c>
      <c r="F2945" t="s">
        <v>145</v>
      </c>
      <c r="G2945" t="s">
        <v>10573</v>
      </c>
    </row>
    <row r="2946" spans="1:7" ht="44.25" customHeight="1">
      <c r="A2946" t="s">
        <v>10574</v>
      </c>
      <c r="B2946" t="s">
        <v>10575</v>
      </c>
      <c r="C2946" t="s">
        <v>132</v>
      </c>
      <c r="D2946" t="s">
        <v>2143</v>
      </c>
      <c r="E2946" t="s">
        <v>1542</v>
      </c>
      <c r="F2946" t="s">
        <v>145</v>
      </c>
      <c r="G2946" t="s">
        <v>10576</v>
      </c>
    </row>
    <row r="2947" spans="1:7" ht="44.25" customHeight="1">
      <c r="A2947" t="s">
        <v>10577</v>
      </c>
      <c r="B2947" t="s">
        <v>10578</v>
      </c>
      <c r="C2947" t="s">
        <v>10579</v>
      </c>
      <c r="D2947" t="s">
        <v>79</v>
      </c>
      <c r="E2947" t="s">
        <v>8033</v>
      </c>
      <c r="F2947" t="s">
        <v>145</v>
      </c>
      <c r="G2947" t="s">
        <v>10580</v>
      </c>
    </row>
    <row r="2948" spans="1:7" ht="44.25" customHeight="1">
      <c r="A2948" t="s">
        <v>10581</v>
      </c>
      <c r="B2948" t="s">
        <v>10582</v>
      </c>
      <c r="C2948" t="s">
        <v>132</v>
      </c>
      <c r="D2948" t="s">
        <v>2143</v>
      </c>
      <c r="E2948" t="s">
        <v>1542</v>
      </c>
      <c r="F2948" t="s">
        <v>145</v>
      </c>
      <c r="G2948" t="s">
        <v>10583</v>
      </c>
    </row>
    <row r="2949" spans="1:7" ht="44.25" customHeight="1">
      <c r="A2949" t="s">
        <v>729</v>
      </c>
      <c r="B2949" t="s">
        <v>10584</v>
      </c>
      <c r="C2949" t="s">
        <v>132</v>
      </c>
      <c r="D2949" t="s">
        <v>79</v>
      </c>
      <c r="E2949" t="s">
        <v>3288</v>
      </c>
      <c r="F2949" t="s">
        <v>145</v>
      </c>
      <c r="G2949" t="s">
        <v>10585</v>
      </c>
    </row>
    <row r="2950" spans="1:7" ht="44.25" customHeight="1">
      <c r="A2950" t="s">
        <v>729</v>
      </c>
      <c r="B2950" t="s">
        <v>10584</v>
      </c>
      <c r="C2950" t="s">
        <v>132</v>
      </c>
      <c r="D2950" t="s">
        <v>79</v>
      </c>
      <c r="E2950" t="s">
        <v>3288</v>
      </c>
      <c r="F2950" t="s">
        <v>145</v>
      </c>
      <c r="G2950" t="s">
        <v>10585</v>
      </c>
    </row>
    <row r="2951" spans="1:7" ht="44.25" customHeight="1">
      <c r="A2951" t="s">
        <v>10586</v>
      </c>
      <c r="B2951" t="s">
        <v>10587</v>
      </c>
      <c r="C2951" t="s">
        <v>132</v>
      </c>
      <c r="D2951" t="s">
        <v>2143</v>
      </c>
      <c r="E2951" t="s">
        <v>2155</v>
      </c>
      <c r="F2951" t="s">
        <v>145</v>
      </c>
      <c r="G2951" t="s">
        <v>10588</v>
      </c>
    </row>
    <row r="2952" spans="1:7" ht="44.25" customHeight="1">
      <c r="A2952" t="s">
        <v>10589</v>
      </c>
      <c r="B2952" t="s">
        <v>10590</v>
      </c>
      <c r="C2952" t="s">
        <v>132</v>
      </c>
      <c r="D2952" t="s">
        <v>2143</v>
      </c>
      <c r="E2952" t="s">
        <v>2162</v>
      </c>
      <c r="F2952" t="s">
        <v>145</v>
      </c>
      <c r="G2952" t="s">
        <v>10591</v>
      </c>
    </row>
    <row r="2953" spans="1:7" ht="44.25" customHeight="1">
      <c r="A2953" t="s">
        <v>10592</v>
      </c>
      <c r="B2953" t="s">
        <v>10593</v>
      </c>
      <c r="C2953" t="s">
        <v>132</v>
      </c>
      <c r="D2953" t="s">
        <v>2139</v>
      </c>
      <c r="E2953" t="s">
        <v>1367</v>
      </c>
      <c r="F2953" t="s">
        <v>145</v>
      </c>
      <c r="G2953" t="s">
        <v>10594</v>
      </c>
    </row>
    <row r="2954" spans="1:7" ht="44.25" customHeight="1">
      <c r="A2954" t="s">
        <v>1281</v>
      </c>
      <c r="B2954" t="s">
        <v>10595</v>
      </c>
      <c r="C2954" t="s">
        <v>132</v>
      </c>
      <c r="D2954" t="s">
        <v>2143</v>
      </c>
      <c r="E2954" t="s">
        <v>2162</v>
      </c>
      <c r="F2954" t="s">
        <v>145</v>
      </c>
      <c r="G2954" t="s">
        <v>10596</v>
      </c>
    </row>
    <row r="2955" spans="1:7" ht="44.25" customHeight="1">
      <c r="A2955" t="s">
        <v>1319</v>
      </c>
      <c r="B2955" t="s">
        <v>10597</v>
      </c>
      <c r="C2955" t="s">
        <v>132</v>
      </c>
      <c r="D2955" t="s">
        <v>2139</v>
      </c>
      <c r="E2955" t="s">
        <v>1367</v>
      </c>
      <c r="F2955" t="s">
        <v>145</v>
      </c>
      <c r="G2955" t="s">
        <v>10598</v>
      </c>
    </row>
    <row r="2956" spans="1:7" ht="44.25" customHeight="1">
      <c r="A2956" t="s">
        <v>930</v>
      </c>
      <c r="B2956" t="s">
        <v>10599</v>
      </c>
      <c r="C2956" t="s">
        <v>132</v>
      </c>
      <c r="D2956" t="s">
        <v>2143</v>
      </c>
      <c r="E2956" t="s">
        <v>2162</v>
      </c>
      <c r="F2956" t="s">
        <v>145</v>
      </c>
      <c r="G2956" t="s">
        <v>10600</v>
      </c>
    </row>
    <row r="2957" spans="1:7" ht="44.25" customHeight="1">
      <c r="A2957" t="s">
        <v>572</v>
      </c>
      <c r="B2957" t="s">
        <v>10601</v>
      </c>
      <c r="C2957" t="s">
        <v>132</v>
      </c>
      <c r="D2957" t="s">
        <v>79</v>
      </c>
      <c r="E2957" t="s">
        <v>7299</v>
      </c>
      <c r="F2957" t="s">
        <v>145</v>
      </c>
      <c r="G2957" t="s">
        <v>10602</v>
      </c>
    </row>
    <row r="2958" spans="1:7" ht="44.25" customHeight="1">
      <c r="A2958" t="s">
        <v>10603</v>
      </c>
      <c r="B2958" t="s">
        <v>10604</v>
      </c>
      <c r="C2958" t="s">
        <v>10605</v>
      </c>
      <c r="D2958" t="s">
        <v>79</v>
      </c>
      <c r="E2958" t="s">
        <v>3589</v>
      </c>
      <c r="F2958" t="s">
        <v>145</v>
      </c>
      <c r="G2958" t="s">
        <v>10606</v>
      </c>
    </row>
    <row r="2959" spans="1:7" ht="44.25" customHeight="1">
      <c r="A2959" t="s">
        <v>10607</v>
      </c>
      <c r="B2959" t="s">
        <v>10608</v>
      </c>
      <c r="C2959" t="s">
        <v>132</v>
      </c>
      <c r="D2959" t="s">
        <v>79</v>
      </c>
      <c r="E2959" t="s">
        <v>10609</v>
      </c>
      <c r="F2959" t="s">
        <v>145</v>
      </c>
      <c r="G2959" t="s">
        <v>10610</v>
      </c>
    </row>
    <row r="2960" spans="1:7" ht="44.25" customHeight="1">
      <c r="A2960" t="s">
        <v>10611</v>
      </c>
      <c r="B2960" t="s">
        <v>10612</v>
      </c>
      <c r="C2960" t="s">
        <v>132</v>
      </c>
      <c r="D2960" t="s">
        <v>79</v>
      </c>
      <c r="E2960" t="s">
        <v>9770</v>
      </c>
      <c r="F2960" t="s">
        <v>145</v>
      </c>
      <c r="G2960" t="s">
        <v>10613</v>
      </c>
    </row>
    <row r="2961" spans="1:7" ht="44.25" customHeight="1">
      <c r="A2961" t="s">
        <v>10614</v>
      </c>
      <c r="B2961" t="s">
        <v>10615</v>
      </c>
      <c r="C2961" t="s">
        <v>132</v>
      </c>
      <c r="D2961" t="s">
        <v>79</v>
      </c>
      <c r="E2961" t="s">
        <v>10616</v>
      </c>
      <c r="F2961" t="s">
        <v>145</v>
      </c>
      <c r="G2961" t="s">
        <v>10617</v>
      </c>
    </row>
    <row r="2962" spans="1:7" ht="44.25" customHeight="1">
      <c r="A2962" t="s">
        <v>10618</v>
      </c>
      <c r="B2962" t="s">
        <v>10619</v>
      </c>
      <c r="C2962" t="s">
        <v>132</v>
      </c>
      <c r="D2962" t="s">
        <v>79</v>
      </c>
      <c r="E2962" t="s">
        <v>10620</v>
      </c>
      <c r="F2962" t="s">
        <v>145</v>
      </c>
      <c r="G2962" t="s">
        <v>10621</v>
      </c>
    </row>
    <row r="2963" spans="1:7" ht="44.25" customHeight="1">
      <c r="A2963" t="s">
        <v>518</v>
      </c>
      <c r="B2963" t="s">
        <v>10622</v>
      </c>
      <c r="C2963" t="s">
        <v>132</v>
      </c>
      <c r="D2963" t="s">
        <v>79</v>
      </c>
      <c r="E2963" t="s">
        <v>10623</v>
      </c>
      <c r="F2963" t="s">
        <v>145</v>
      </c>
      <c r="G2963" t="s">
        <v>10624</v>
      </c>
    </row>
    <row r="2964" spans="1:7" ht="44.25" customHeight="1">
      <c r="A2964" t="s">
        <v>132</v>
      </c>
      <c r="B2964" t="s">
        <v>10625</v>
      </c>
      <c r="C2964" t="s">
        <v>132</v>
      </c>
      <c r="D2964" t="s">
        <v>2143</v>
      </c>
      <c r="E2964" t="s">
        <v>7262</v>
      </c>
      <c r="F2964" t="s">
        <v>145</v>
      </c>
      <c r="G2964" t="s">
        <v>10626</v>
      </c>
    </row>
    <row r="2965" spans="1:7" ht="44.25" customHeight="1">
      <c r="A2965" t="s">
        <v>10627</v>
      </c>
      <c r="B2965" t="s">
        <v>10628</v>
      </c>
      <c r="C2965" t="s">
        <v>132</v>
      </c>
      <c r="D2965" t="s">
        <v>2143</v>
      </c>
      <c r="E2965" t="s">
        <v>7804</v>
      </c>
      <c r="F2965" t="s">
        <v>145</v>
      </c>
      <c r="G2965" t="s">
        <v>10629</v>
      </c>
    </row>
    <row r="2966" spans="1:7" ht="44.25" customHeight="1">
      <c r="A2966" t="s">
        <v>132</v>
      </c>
      <c r="B2966" t="s">
        <v>10630</v>
      </c>
      <c r="C2966" t="s">
        <v>132</v>
      </c>
      <c r="D2966" t="s">
        <v>79</v>
      </c>
      <c r="E2966" t="s">
        <v>10631</v>
      </c>
      <c r="F2966" t="s">
        <v>145</v>
      </c>
      <c r="G2966" t="s">
        <v>10632</v>
      </c>
    </row>
    <row r="2967" spans="1:7" ht="44.25" customHeight="1">
      <c r="A2967" t="s">
        <v>10633</v>
      </c>
      <c r="B2967" t="s">
        <v>10634</v>
      </c>
      <c r="C2967" t="s">
        <v>132</v>
      </c>
      <c r="D2967" t="s">
        <v>2143</v>
      </c>
      <c r="E2967" t="s">
        <v>1542</v>
      </c>
      <c r="F2967" t="s">
        <v>145</v>
      </c>
      <c r="G2967" t="s">
        <v>10635</v>
      </c>
    </row>
    <row r="2968" spans="1:7" ht="44.25" customHeight="1">
      <c r="A2968" t="s">
        <v>10636</v>
      </c>
      <c r="B2968" t="s">
        <v>10637</v>
      </c>
      <c r="C2968" t="s">
        <v>132</v>
      </c>
      <c r="D2968" t="s">
        <v>2139</v>
      </c>
      <c r="E2968" t="s">
        <v>1367</v>
      </c>
      <c r="F2968" t="s">
        <v>145</v>
      </c>
      <c r="G2968" t="s">
        <v>10638</v>
      </c>
    </row>
    <row r="2969" spans="1:7" ht="44.25" customHeight="1">
      <c r="A2969" t="s">
        <v>10639</v>
      </c>
      <c r="B2969" t="s">
        <v>10640</v>
      </c>
      <c r="C2969" t="s">
        <v>132</v>
      </c>
      <c r="D2969" t="s">
        <v>2143</v>
      </c>
      <c r="E2969" t="s">
        <v>1542</v>
      </c>
      <c r="F2969" t="s">
        <v>145</v>
      </c>
      <c r="G2969" t="s">
        <v>10641</v>
      </c>
    </row>
    <row r="2970" spans="1:7" ht="44.25" customHeight="1">
      <c r="A2970" t="s">
        <v>10642</v>
      </c>
      <c r="B2970" t="s">
        <v>10643</v>
      </c>
      <c r="C2970" t="s">
        <v>132</v>
      </c>
      <c r="D2970" t="s">
        <v>79</v>
      </c>
      <c r="E2970" t="s">
        <v>8945</v>
      </c>
      <c r="F2970" t="s">
        <v>145</v>
      </c>
      <c r="G2970" t="s">
        <v>10644</v>
      </c>
    </row>
    <row r="2971" spans="1:7" ht="44.25" customHeight="1">
      <c r="A2971" t="s">
        <v>10645</v>
      </c>
      <c r="B2971" t="s">
        <v>10646</v>
      </c>
      <c r="C2971" t="s">
        <v>132</v>
      </c>
      <c r="D2971" t="s">
        <v>2143</v>
      </c>
      <c r="E2971" t="s">
        <v>1542</v>
      </c>
      <c r="F2971" t="s">
        <v>145</v>
      </c>
      <c r="G2971" t="s">
        <v>10647</v>
      </c>
    </row>
    <row r="2972" spans="1:7" ht="44.25" customHeight="1">
      <c r="A2972" t="s">
        <v>10648</v>
      </c>
      <c r="B2972" t="s">
        <v>10649</v>
      </c>
      <c r="C2972" t="s">
        <v>132</v>
      </c>
      <c r="D2972" t="s">
        <v>2143</v>
      </c>
      <c r="E2972" t="s">
        <v>1542</v>
      </c>
      <c r="F2972" t="s">
        <v>145</v>
      </c>
      <c r="G2972" t="s">
        <v>10650</v>
      </c>
    </row>
    <row r="2973" spans="1:7" ht="44.25" customHeight="1">
      <c r="A2973" t="s">
        <v>132</v>
      </c>
      <c r="B2973" t="s">
        <v>10651</v>
      </c>
      <c r="C2973" t="s">
        <v>132</v>
      </c>
      <c r="D2973" t="s">
        <v>2143</v>
      </c>
      <c r="E2973" t="s">
        <v>1542</v>
      </c>
      <c r="F2973" t="s">
        <v>145</v>
      </c>
      <c r="G2973" t="s">
        <v>10652</v>
      </c>
    </row>
    <row r="2974" spans="1:7" ht="44.25" customHeight="1">
      <c r="A2974" t="s">
        <v>10653</v>
      </c>
      <c r="B2974" t="s">
        <v>10654</v>
      </c>
      <c r="C2974" t="s">
        <v>132</v>
      </c>
      <c r="D2974" t="s">
        <v>2143</v>
      </c>
      <c r="E2974" t="s">
        <v>2285</v>
      </c>
      <c r="F2974" t="s">
        <v>145</v>
      </c>
      <c r="G2974" t="s">
        <v>10655</v>
      </c>
    </row>
    <row r="2975" spans="1:7" ht="44.25" customHeight="1">
      <c r="A2975" t="s">
        <v>10656</v>
      </c>
      <c r="B2975" t="s">
        <v>10657</v>
      </c>
      <c r="C2975" t="s">
        <v>132</v>
      </c>
      <c r="D2975" t="s">
        <v>2139</v>
      </c>
      <c r="E2975" t="s">
        <v>1365</v>
      </c>
      <c r="F2975" t="s">
        <v>145</v>
      </c>
      <c r="G2975" t="s">
        <v>10658</v>
      </c>
    </row>
    <row r="2976" spans="1:7" ht="44.25" customHeight="1">
      <c r="A2976" t="s">
        <v>1276</v>
      </c>
      <c r="B2976" t="s">
        <v>10659</v>
      </c>
      <c r="C2976" t="s">
        <v>132</v>
      </c>
      <c r="D2976" t="s">
        <v>2143</v>
      </c>
      <c r="E2976" t="s">
        <v>1365</v>
      </c>
      <c r="F2976" t="s">
        <v>145</v>
      </c>
      <c r="G2976" t="s">
        <v>10660</v>
      </c>
    </row>
    <row r="2977" spans="1:7" ht="44.25" customHeight="1">
      <c r="A2977" t="s">
        <v>1311</v>
      </c>
      <c r="B2977" t="s">
        <v>10661</v>
      </c>
      <c r="C2977" t="s">
        <v>132</v>
      </c>
      <c r="D2977" t="s">
        <v>2139</v>
      </c>
      <c r="E2977" t="s">
        <v>1367</v>
      </c>
      <c r="F2977" t="s">
        <v>145</v>
      </c>
      <c r="G2977" t="s">
        <v>10662</v>
      </c>
    </row>
    <row r="2978" spans="1:7" ht="44.25" customHeight="1">
      <c r="A2978" t="s">
        <v>10663</v>
      </c>
      <c r="B2978" t="s">
        <v>10664</v>
      </c>
      <c r="C2978" t="s">
        <v>132</v>
      </c>
      <c r="D2978" t="s">
        <v>79</v>
      </c>
      <c r="E2978" t="s">
        <v>2196</v>
      </c>
      <c r="F2978" t="s">
        <v>145</v>
      </c>
      <c r="G2978" t="s">
        <v>10665</v>
      </c>
    </row>
    <row r="2979" spans="1:7" ht="44.25" customHeight="1">
      <c r="A2979" t="s">
        <v>369</v>
      </c>
      <c r="B2979" t="s">
        <v>10666</v>
      </c>
      <c r="C2979" t="s">
        <v>132</v>
      </c>
      <c r="D2979" t="s">
        <v>2139</v>
      </c>
      <c r="E2979" t="s">
        <v>1367</v>
      </c>
      <c r="F2979" t="s">
        <v>145</v>
      </c>
      <c r="G2979" t="s">
        <v>10667</v>
      </c>
    </row>
    <row r="2980" spans="1:7" ht="44.25" customHeight="1">
      <c r="A2980" t="s">
        <v>866</v>
      </c>
      <c r="B2980" t="s">
        <v>10668</v>
      </c>
      <c r="C2980" t="s">
        <v>132</v>
      </c>
      <c r="D2980" t="s">
        <v>2143</v>
      </c>
      <c r="E2980" t="s">
        <v>4585</v>
      </c>
      <c r="F2980" t="s">
        <v>145</v>
      </c>
      <c r="G2980" t="s">
        <v>10669</v>
      </c>
    </row>
    <row r="2981" spans="1:7" ht="44.25" customHeight="1">
      <c r="A2981" t="s">
        <v>10670</v>
      </c>
      <c r="B2981" t="s">
        <v>10671</v>
      </c>
      <c r="C2981" t="s">
        <v>132</v>
      </c>
      <c r="D2981" t="s">
        <v>79</v>
      </c>
      <c r="E2981" t="s">
        <v>4425</v>
      </c>
      <c r="F2981" t="s">
        <v>145</v>
      </c>
      <c r="G2981" t="s">
        <v>10672</v>
      </c>
    </row>
    <row r="2982" spans="1:7" ht="44.25" customHeight="1">
      <c r="A2982" t="s">
        <v>10673</v>
      </c>
      <c r="B2982" t="s">
        <v>10674</v>
      </c>
      <c r="C2982" t="s">
        <v>132</v>
      </c>
      <c r="D2982" t="s">
        <v>79</v>
      </c>
      <c r="E2982" t="s">
        <v>10675</v>
      </c>
      <c r="F2982" t="s">
        <v>145</v>
      </c>
      <c r="G2982" t="s">
        <v>10676</v>
      </c>
    </row>
    <row r="2983" spans="1:7" ht="44.25" customHeight="1">
      <c r="A2983" t="s">
        <v>10677</v>
      </c>
      <c r="B2983" t="s">
        <v>10678</v>
      </c>
      <c r="C2983" t="s">
        <v>132</v>
      </c>
      <c r="D2983" t="s">
        <v>79</v>
      </c>
      <c r="E2983" t="s">
        <v>10679</v>
      </c>
      <c r="F2983" t="s">
        <v>145</v>
      </c>
      <c r="G2983" t="s">
        <v>10680</v>
      </c>
    </row>
    <row r="2984" spans="1:7" ht="44.25" customHeight="1">
      <c r="A2984" t="s">
        <v>10681</v>
      </c>
      <c r="B2984" t="s">
        <v>10682</v>
      </c>
      <c r="C2984" t="s">
        <v>132</v>
      </c>
      <c r="D2984" t="s">
        <v>79</v>
      </c>
      <c r="E2984" t="s">
        <v>10683</v>
      </c>
      <c r="F2984" t="s">
        <v>145</v>
      </c>
      <c r="G2984" t="s">
        <v>10684</v>
      </c>
    </row>
    <row r="2985" spans="1:7" ht="44.25" customHeight="1">
      <c r="A2985" t="s">
        <v>10685</v>
      </c>
      <c r="B2985" t="s">
        <v>10686</v>
      </c>
      <c r="C2985" t="s">
        <v>132</v>
      </c>
      <c r="D2985" t="s">
        <v>79</v>
      </c>
      <c r="E2985" t="s">
        <v>10687</v>
      </c>
      <c r="F2985" t="s">
        <v>145</v>
      </c>
      <c r="G2985" t="s">
        <v>10688</v>
      </c>
    </row>
    <row r="2986" spans="1:7" ht="44.25" customHeight="1">
      <c r="A2986" t="s">
        <v>415</v>
      </c>
      <c r="B2986" t="s">
        <v>10689</v>
      </c>
      <c r="C2986" t="s">
        <v>132</v>
      </c>
      <c r="D2986" t="s">
        <v>79</v>
      </c>
      <c r="E2986" t="s">
        <v>10690</v>
      </c>
      <c r="F2986" t="s">
        <v>145</v>
      </c>
      <c r="G2986" t="s">
        <v>10691</v>
      </c>
    </row>
    <row r="2987" spans="1:7" ht="44.25" customHeight="1">
      <c r="A2987" t="s">
        <v>415</v>
      </c>
      <c r="B2987" t="s">
        <v>10689</v>
      </c>
      <c r="C2987" t="s">
        <v>132</v>
      </c>
      <c r="D2987" t="s">
        <v>79</v>
      </c>
      <c r="E2987" t="s">
        <v>10690</v>
      </c>
      <c r="F2987" t="s">
        <v>145</v>
      </c>
      <c r="G2987" t="s">
        <v>10691</v>
      </c>
    </row>
    <row r="2988" spans="1:7" ht="44.25" customHeight="1">
      <c r="A2988" t="s">
        <v>10692</v>
      </c>
      <c r="B2988" t="s">
        <v>10693</v>
      </c>
      <c r="C2988" t="s">
        <v>132</v>
      </c>
      <c r="D2988" t="s">
        <v>2143</v>
      </c>
      <c r="E2988" t="s">
        <v>5570</v>
      </c>
      <c r="F2988" t="s">
        <v>145</v>
      </c>
      <c r="G2988" t="s">
        <v>10694</v>
      </c>
    </row>
    <row r="2989" spans="1:7" ht="44.25" customHeight="1">
      <c r="A2989" t="s">
        <v>10695</v>
      </c>
      <c r="B2989" t="s">
        <v>10696</v>
      </c>
      <c r="C2989" t="s">
        <v>132</v>
      </c>
      <c r="D2989" t="s">
        <v>79</v>
      </c>
      <c r="E2989" t="s">
        <v>10697</v>
      </c>
      <c r="F2989" t="s">
        <v>145</v>
      </c>
      <c r="G2989" t="s">
        <v>10698</v>
      </c>
    </row>
    <row r="2990" spans="1:7" ht="44.25" customHeight="1">
      <c r="A2990" t="s">
        <v>616</v>
      </c>
      <c r="B2990" t="s">
        <v>10699</v>
      </c>
      <c r="C2990" t="s">
        <v>132</v>
      </c>
      <c r="D2990" t="s">
        <v>79</v>
      </c>
      <c r="E2990" t="s">
        <v>7632</v>
      </c>
      <c r="F2990" t="s">
        <v>145</v>
      </c>
      <c r="G2990" t="s">
        <v>10700</v>
      </c>
    </row>
    <row r="2991" spans="1:7" ht="44.25" customHeight="1">
      <c r="A2991" t="s">
        <v>10701</v>
      </c>
      <c r="B2991" t="s">
        <v>10702</v>
      </c>
      <c r="C2991" t="s">
        <v>132</v>
      </c>
      <c r="D2991" t="s">
        <v>79</v>
      </c>
      <c r="E2991" t="s">
        <v>2511</v>
      </c>
      <c r="F2991" t="s">
        <v>145</v>
      </c>
      <c r="G2991" t="s">
        <v>10703</v>
      </c>
    </row>
    <row r="2992" spans="1:7" ht="44.25" customHeight="1">
      <c r="A2992" t="s">
        <v>10701</v>
      </c>
      <c r="B2992" t="s">
        <v>10702</v>
      </c>
      <c r="C2992" t="s">
        <v>132</v>
      </c>
      <c r="D2992" t="s">
        <v>79</v>
      </c>
      <c r="E2992" t="s">
        <v>2511</v>
      </c>
      <c r="F2992" t="s">
        <v>145</v>
      </c>
      <c r="G2992" t="s">
        <v>10703</v>
      </c>
    </row>
    <row r="2993" spans="1:7" ht="44.25" customHeight="1">
      <c r="A2993" t="s">
        <v>1326</v>
      </c>
      <c r="B2993" t="s">
        <v>10704</v>
      </c>
      <c r="C2993" t="s">
        <v>132</v>
      </c>
      <c r="D2993" t="s">
        <v>2143</v>
      </c>
      <c r="E2993" t="s">
        <v>1542</v>
      </c>
      <c r="F2993" t="s">
        <v>145</v>
      </c>
      <c r="G2993" t="s">
        <v>10705</v>
      </c>
    </row>
    <row r="2994" spans="1:7" ht="44.25" customHeight="1">
      <c r="A2994" t="s">
        <v>10706</v>
      </c>
      <c r="B2994" t="s">
        <v>10707</v>
      </c>
      <c r="C2994" t="s">
        <v>132</v>
      </c>
      <c r="D2994" t="s">
        <v>79</v>
      </c>
      <c r="E2994" t="s">
        <v>10708</v>
      </c>
      <c r="F2994" t="s">
        <v>145</v>
      </c>
      <c r="G2994" t="s">
        <v>10709</v>
      </c>
    </row>
    <row r="2995" spans="1:7" ht="44.25" customHeight="1">
      <c r="A2995" t="s">
        <v>132</v>
      </c>
      <c r="B2995" t="s">
        <v>10710</v>
      </c>
      <c r="C2995" t="s">
        <v>132</v>
      </c>
      <c r="D2995" t="s">
        <v>79</v>
      </c>
      <c r="E2995" t="s">
        <v>10711</v>
      </c>
      <c r="F2995" t="s">
        <v>145</v>
      </c>
      <c r="G2995" t="s">
        <v>10712</v>
      </c>
    </row>
    <row r="2996" spans="1:7" ht="44.25" customHeight="1">
      <c r="A2996" t="s">
        <v>10713</v>
      </c>
      <c r="B2996" t="s">
        <v>10714</v>
      </c>
      <c r="C2996" t="s">
        <v>132</v>
      </c>
      <c r="D2996" t="s">
        <v>79</v>
      </c>
      <c r="E2996" t="s">
        <v>10715</v>
      </c>
      <c r="F2996" t="s">
        <v>145</v>
      </c>
      <c r="G2996" t="s">
        <v>10716</v>
      </c>
    </row>
    <row r="2997" spans="1:7" ht="44.25" customHeight="1">
      <c r="A2997" t="s">
        <v>10717</v>
      </c>
      <c r="B2997" t="s">
        <v>10718</v>
      </c>
      <c r="C2997" t="s">
        <v>132</v>
      </c>
      <c r="D2997" t="s">
        <v>2139</v>
      </c>
      <c r="E2997" t="s">
        <v>1365</v>
      </c>
      <c r="F2997" t="s">
        <v>145</v>
      </c>
      <c r="G2997" t="s">
        <v>10719</v>
      </c>
    </row>
    <row r="2998" spans="1:7" ht="44.25" customHeight="1">
      <c r="A2998" t="s">
        <v>10720</v>
      </c>
      <c r="B2998" t="s">
        <v>10721</v>
      </c>
      <c r="C2998" t="s">
        <v>132</v>
      </c>
      <c r="D2998" t="s">
        <v>2143</v>
      </c>
      <c r="E2998" t="s">
        <v>2162</v>
      </c>
      <c r="F2998" t="s">
        <v>145</v>
      </c>
      <c r="G2998" t="s">
        <v>10722</v>
      </c>
    </row>
    <row r="2999" spans="1:7" ht="44.25" customHeight="1">
      <c r="A2999" t="s">
        <v>10723</v>
      </c>
      <c r="B2999" t="s">
        <v>10724</v>
      </c>
      <c r="C2999" t="s">
        <v>132</v>
      </c>
      <c r="D2999" t="s">
        <v>2139</v>
      </c>
      <c r="E2999" t="s">
        <v>10725</v>
      </c>
      <c r="F2999" t="s">
        <v>145</v>
      </c>
      <c r="G2999" t="s">
        <v>10726</v>
      </c>
    </row>
    <row r="3000" spans="1:7" ht="44.25" customHeight="1">
      <c r="A3000" t="s">
        <v>10727</v>
      </c>
      <c r="B3000" t="s">
        <v>10728</v>
      </c>
      <c r="C3000" t="s">
        <v>132</v>
      </c>
      <c r="D3000" t="s">
        <v>2139</v>
      </c>
      <c r="E3000" t="s">
        <v>1367</v>
      </c>
      <c r="F3000" t="s">
        <v>145</v>
      </c>
      <c r="G3000" t="s">
        <v>10729</v>
      </c>
    </row>
    <row r="3001" spans="1:7" ht="44.25" customHeight="1">
      <c r="A3001" t="s">
        <v>943</v>
      </c>
      <c r="B3001" t="s">
        <v>10730</v>
      </c>
      <c r="C3001" t="s">
        <v>132</v>
      </c>
      <c r="D3001" t="s">
        <v>2143</v>
      </c>
      <c r="E3001" t="s">
        <v>2162</v>
      </c>
      <c r="F3001" t="s">
        <v>145</v>
      </c>
      <c r="G3001" t="s">
        <v>10731</v>
      </c>
    </row>
    <row r="3002" spans="1:7" ht="44.25" customHeight="1">
      <c r="A3002" t="s">
        <v>554</v>
      </c>
      <c r="B3002" t="s">
        <v>10732</v>
      </c>
      <c r="C3002" t="s">
        <v>132</v>
      </c>
      <c r="D3002" t="s">
        <v>79</v>
      </c>
      <c r="E3002" t="s">
        <v>4639</v>
      </c>
      <c r="F3002" t="s">
        <v>145</v>
      </c>
      <c r="G3002" t="s">
        <v>10733</v>
      </c>
    </row>
    <row r="3003" spans="1:7" ht="44.25" customHeight="1">
      <c r="A3003" t="s">
        <v>831</v>
      </c>
      <c r="B3003" t="s">
        <v>10734</v>
      </c>
      <c r="C3003" t="s">
        <v>132</v>
      </c>
      <c r="D3003" t="s">
        <v>2143</v>
      </c>
      <c r="E3003" t="s">
        <v>4010</v>
      </c>
      <c r="F3003" t="s">
        <v>145</v>
      </c>
      <c r="G3003" t="s">
        <v>10735</v>
      </c>
    </row>
    <row r="3004" spans="1:7" ht="44.25" customHeight="1">
      <c r="A3004" t="s">
        <v>132</v>
      </c>
      <c r="B3004" t="s">
        <v>10736</v>
      </c>
      <c r="C3004" t="s">
        <v>132</v>
      </c>
      <c r="D3004" t="s">
        <v>2143</v>
      </c>
      <c r="E3004" t="s">
        <v>5577</v>
      </c>
      <c r="F3004" t="s">
        <v>145</v>
      </c>
      <c r="G3004" t="s">
        <v>10737</v>
      </c>
    </row>
    <row r="3005" spans="1:7" ht="44.25" customHeight="1">
      <c r="A3005" t="s">
        <v>1025</v>
      </c>
      <c r="B3005" t="s">
        <v>10738</v>
      </c>
      <c r="C3005" t="s">
        <v>132</v>
      </c>
      <c r="D3005" t="s">
        <v>79</v>
      </c>
      <c r="E3005" t="s">
        <v>1560</v>
      </c>
      <c r="F3005" t="s">
        <v>145</v>
      </c>
      <c r="G3005" t="s">
        <v>10739</v>
      </c>
    </row>
    <row r="3006" spans="1:7" ht="44.25" customHeight="1">
      <c r="A3006" t="s">
        <v>1025</v>
      </c>
      <c r="B3006" t="s">
        <v>10738</v>
      </c>
      <c r="C3006" t="s">
        <v>132</v>
      </c>
      <c r="D3006" t="s">
        <v>79</v>
      </c>
      <c r="E3006" t="s">
        <v>1560</v>
      </c>
      <c r="F3006" t="s">
        <v>145</v>
      </c>
      <c r="G3006" t="s">
        <v>10739</v>
      </c>
    </row>
    <row r="3007" spans="1:7" ht="44.25" customHeight="1">
      <c r="A3007" t="s">
        <v>10740</v>
      </c>
      <c r="B3007" t="s">
        <v>10741</v>
      </c>
      <c r="C3007" t="s">
        <v>10742</v>
      </c>
      <c r="D3007" t="s">
        <v>79</v>
      </c>
      <c r="E3007" t="s">
        <v>2581</v>
      </c>
      <c r="F3007" t="s">
        <v>145</v>
      </c>
      <c r="G3007" t="s">
        <v>10743</v>
      </c>
    </row>
    <row r="3008" spans="1:7" ht="44.25" customHeight="1">
      <c r="A3008" t="s">
        <v>10744</v>
      </c>
      <c r="B3008" t="s">
        <v>10745</v>
      </c>
      <c r="C3008" t="s">
        <v>132</v>
      </c>
      <c r="D3008" t="s">
        <v>2143</v>
      </c>
      <c r="E3008" t="s">
        <v>1542</v>
      </c>
      <c r="F3008" t="s">
        <v>145</v>
      </c>
      <c r="G3008" t="s">
        <v>10746</v>
      </c>
    </row>
    <row r="3009" spans="1:7" ht="44.25" customHeight="1">
      <c r="A3009" t="s">
        <v>10747</v>
      </c>
      <c r="B3009" t="s">
        <v>10748</v>
      </c>
      <c r="C3009" t="s">
        <v>132</v>
      </c>
      <c r="D3009" t="s">
        <v>2143</v>
      </c>
      <c r="E3009" t="s">
        <v>1542</v>
      </c>
      <c r="F3009" t="s">
        <v>145</v>
      </c>
      <c r="G3009" t="s">
        <v>10749</v>
      </c>
    </row>
    <row r="3010" spans="1:7" ht="44.25" customHeight="1">
      <c r="A3010" t="s">
        <v>10750</v>
      </c>
      <c r="B3010" t="s">
        <v>10751</v>
      </c>
      <c r="C3010" t="s">
        <v>132</v>
      </c>
      <c r="D3010" t="s">
        <v>79</v>
      </c>
      <c r="E3010" t="s">
        <v>7177</v>
      </c>
      <c r="F3010" t="s">
        <v>145</v>
      </c>
      <c r="G3010" t="s">
        <v>10752</v>
      </c>
    </row>
    <row r="3011" spans="1:7" ht="44.25" customHeight="1">
      <c r="A3011" t="s">
        <v>10750</v>
      </c>
      <c r="B3011" t="s">
        <v>10751</v>
      </c>
      <c r="C3011" t="s">
        <v>132</v>
      </c>
      <c r="D3011" t="s">
        <v>79</v>
      </c>
      <c r="E3011" t="s">
        <v>7177</v>
      </c>
      <c r="F3011" t="s">
        <v>145</v>
      </c>
      <c r="G3011" t="s">
        <v>10752</v>
      </c>
    </row>
    <row r="3012" spans="1:7" ht="44.25" customHeight="1">
      <c r="A3012" t="s">
        <v>10753</v>
      </c>
      <c r="B3012" t="s">
        <v>10754</v>
      </c>
      <c r="C3012" t="s">
        <v>132</v>
      </c>
      <c r="D3012" t="s">
        <v>2284</v>
      </c>
      <c r="E3012" t="s">
        <v>10755</v>
      </c>
      <c r="F3012" t="s">
        <v>145</v>
      </c>
      <c r="G3012" t="s">
        <v>10756</v>
      </c>
    </row>
    <row r="3013" spans="1:7" ht="44.25" customHeight="1">
      <c r="A3013" t="s">
        <v>643</v>
      </c>
      <c r="B3013" t="s">
        <v>10757</v>
      </c>
      <c r="C3013" t="s">
        <v>132</v>
      </c>
      <c r="D3013" t="s">
        <v>79</v>
      </c>
      <c r="E3013" t="s">
        <v>7989</v>
      </c>
      <c r="F3013" t="s">
        <v>145</v>
      </c>
      <c r="G3013" t="s">
        <v>10758</v>
      </c>
    </row>
    <row r="3014" spans="1:7" ht="44.25" customHeight="1">
      <c r="A3014" t="s">
        <v>10759</v>
      </c>
      <c r="B3014" t="s">
        <v>10760</v>
      </c>
      <c r="C3014" t="s">
        <v>132</v>
      </c>
      <c r="D3014" t="s">
        <v>2139</v>
      </c>
      <c r="E3014" t="s">
        <v>1367</v>
      </c>
      <c r="F3014" t="s">
        <v>145</v>
      </c>
      <c r="G3014" t="s">
        <v>10761</v>
      </c>
    </row>
    <row r="3015" spans="1:7" ht="44.25" customHeight="1">
      <c r="A3015" t="s">
        <v>10762</v>
      </c>
      <c r="B3015" t="s">
        <v>10763</v>
      </c>
      <c r="C3015" t="s">
        <v>132</v>
      </c>
      <c r="D3015" t="s">
        <v>2139</v>
      </c>
      <c r="E3015" t="s">
        <v>1367</v>
      </c>
      <c r="F3015" t="s">
        <v>145</v>
      </c>
      <c r="G3015" t="s">
        <v>10764</v>
      </c>
    </row>
    <row r="3016" spans="1:7" ht="44.25" customHeight="1">
      <c r="A3016" t="s">
        <v>10765</v>
      </c>
      <c r="B3016" t="s">
        <v>10766</v>
      </c>
      <c r="C3016" t="s">
        <v>132</v>
      </c>
      <c r="D3016" t="s">
        <v>79</v>
      </c>
      <c r="E3016" t="s">
        <v>10767</v>
      </c>
      <c r="F3016" t="s">
        <v>145</v>
      </c>
      <c r="G3016" t="s">
        <v>10768</v>
      </c>
    </row>
    <row r="3017" spans="1:7" ht="44.25" customHeight="1">
      <c r="A3017" t="s">
        <v>1384</v>
      </c>
      <c r="B3017" t="s">
        <v>10769</v>
      </c>
      <c r="C3017" t="s">
        <v>132</v>
      </c>
      <c r="D3017" t="s">
        <v>2143</v>
      </c>
      <c r="E3017" t="s">
        <v>2162</v>
      </c>
      <c r="F3017" t="s">
        <v>145</v>
      </c>
      <c r="G3017" t="s">
        <v>10770</v>
      </c>
    </row>
    <row r="3018" spans="1:7" ht="44.25" customHeight="1">
      <c r="A3018" t="s">
        <v>1403</v>
      </c>
      <c r="B3018" t="s">
        <v>10771</v>
      </c>
      <c r="C3018" t="s">
        <v>132</v>
      </c>
      <c r="D3018" t="s">
        <v>2139</v>
      </c>
      <c r="E3018" t="s">
        <v>2144</v>
      </c>
      <c r="F3018" t="s">
        <v>145</v>
      </c>
      <c r="G3018" t="s">
        <v>10772</v>
      </c>
    </row>
    <row r="3019" spans="1:7" ht="44.25" customHeight="1">
      <c r="A3019" t="s">
        <v>1369</v>
      </c>
      <c r="B3019" t="s">
        <v>10773</v>
      </c>
      <c r="C3019" t="s">
        <v>132</v>
      </c>
      <c r="D3019" t="s">
        <v>2139</v>
      </c>
      <c r="E3019" t="s">
        <v>1365</v>
      </c>
      <c r="F3019" t="s">
        <v>145</v>
      </c>
      <c r="G3019" t="s">
        <v>10774</v>
      </c>
    </row>
    <row r="3020" spans="1:7" ht="44.25" customHeight="1">
      <c r="A3020" t="s">
        <v>470</v>
      </c>
      <c r="B3020" t="s">
        <v>10775</v>
      </c>
      <c r="C3020" t="s">
        <v>132</v>
      </c>
      <c r="D3020" t="s">
        <v>2143</v>
      </c>
      <c r="E3020" t="s">
        <v>2144</v>
      </c>
      <c r="F3020" t="s">
        <v>145</v>
      </c>
      <c r="G3020" t="s">
        <v>10776</v>
      </c>
    </row>
    <row r="3021" spans="1:7" ht="44.25" customHeight="1">
      <c r="A3021" t="s">
        <v>422</v>
      </c>
      <c r="B3021" t="s">
        <v>10777</v>
      </c>
      <c r="C3021" t="s">
        <v>132</v>
      </c>
      <c r="D3021" t="s">
        <v>79</v>
      </c>
      <c r="E3021" t="s">
        <v>4418</v>
      </c>
      <c r="F3021" t="s">
        <v>145</v>
      </c>
      <c r="G3021" t="s">
        <v>10778</v>
      </c>
    </row>
    <row r="3022" spans="1:7" ht="44.25" customHeight="1">
      <c r="A3022" t="s">
        <v>10779</v>
      </c>
      <c r="B3022" t="s">
        <v>10780</v>
      </c>
      <c r="C3022" t="s">
        <v>132</v>
      </c>
      <c r="D3022" t="s">
        <v>79</v>
      </c>
      <c r="E3022" t="s">
        <v>10781</v>
      </c>
      <c r="F3022" t="s">
        <v>145</v>
      </c>
      <c r="G3022" t="s">
        <v>10782</v>
      </c>
    </row>
    <row r="3023" spans="1:7" ht="44.25" customHeight="1">
      <c r="A3023" t="s">
        <v>132</v>
      </c>
      <c r="B3023" t="s">
        <v>10783</v>
      </c>
      <c r="C3023" t="s">
        <v>132</v>
      </c>
      <c r="D3023" t="s">
        <v>2143</v>
      </c>
      <c r="E3023" t="s">
        <v>5699</v>
      </c>
      <c r="F3023" t="s">
        <v>145</v>
      </c>
      <c r="G3023" t="s">
        <v>10784</v>
      </c>
    </row>
    <row r="3024" spans="1:7" ht="44.25" customHeight="1">
      <c r="A3024" t="s">
        <v>10785</v>
      </c>
      <c r="B3024" t="s">
        <v>10786</v>
      </c>
      <c r="C3024" t="s">
        <v>132</v>
      </c>
      <c r="D3024" t="s">
        <v>2143</v>
      </c>
      <c r="E3024" t="s">
        <v>2581</v>
      </c>
      <c r="F3024" t="s">
        <v>145</v>
      </c>
      <c r="G3024" t="s">
        <v>10787</v>
      </c>
    </row>
    <row r="3025" spans="1:7" ht="44.25" customHeight="1">
      <c r="A3025" t="s">
        <v>10788</v>
      </c>
      <c r="B3025" t="s">
        <v>10789</v>
      </c>
      <c r="C3025" t="s">
        <v>132</v>
      </c>
      <c r="D3025" t="s">
        <v>2143</v>
      </c>
      <c r="E3025" t="s">
        <v>2581</v>
      </c>
      <c r="F3025" t="s">
        <v>145</v>
      </c>
      <c r="G3025" t="s">
        <v>10790</v>
      </c>
    </row>
    <row r="3026" spans="1:7" ht="44.25" customHeight="1">
      <c r="A3026" t="s">
        <v>10791</v>
      </c>
      <c r="B3026" t="s">
        <v>10792</v>
      </c>
      <c r="C3026" t="s">
        <v>132</v>
      </c>
      <c r="D3026" t="s">
        <v>79</v>
      </c>
      <c r="E3026" t="s">
        <v>10793</v>
      </c>
      <c r="F3026" t="s">
        <v>145</v>
      </c>
      <c r="G3026" t="s">
        <v>10794</v>
      </c>
    </row>
    <row r="3027" spans="1:7" ht="44.25" customHeight="1">
      <c r="A3027" t="s">
        <v>10795</v>
      </c>
      <c r="B3027" t="s">
        <v>10796</v>
      </c>
      <c r="C3027" t="s">
        <v>132</v>
      </c>
      <c r="D3027" t="s">
        <v>79</v>
      </c>
      <c r="E3027" t="s">
        <v>10797</v>
      </c>
      <c r="F3027" t="s">
        <v>145</v>
      </c>
      <c r="G3027" t="s">
        <v>10798</v>
      </c>
    </row>
    <row r="3028" spans="1:7" ht="44.25" customHeight="1">
      <c r="A3028" t="s">
        <v>10799</v>
      </c>
      <c r="B3028" t="s">
        <v>10800</v>
      </c>
      <c r="C3028" t="s">
        <v>132</v>
      </c>
      <c r="D3028" t="s">
        <v>79</v>
      </c>
      <c r="E3028" t="s">
        <v>10801</v>
      </c>
      <c r="F3028" t="s">
        <v>145</v>
      </c>
      <c r="G3028" t="s">
        <v>10802</v>
      </c>
    </row>
    <row r="3029" spans="1:7" ht="44.25" customHeight="1">
      <c r="A3029" t="s">
        <v>10803</v>
      </c>
      <c r="B3029" t="s">
        <v>10804</v>
      </c>
      <c r="C3029" t="s">
        <v>132</v>
      </c>
      <c r="D3029" t="s">
        <v>2143</v>
      </c>
      <c r="E3029" t="s">
        <v>10805</v>
      </c>
      <c r="F3029" t="s">
        <v>145</v>
      </c>
      <c r="G3029" t="s">
        <v>10806</v>
      </c>
    </row>
    <row r="3030" spans="1:7" ht="44.25" customHeight="1">
      <c r="A3030" t="s">
        <v>586</v>
      </c>
      <c r="B3030" t="s">
        <v>10807</v>
      </c>
      <c r="C3030" t="s">
        <v>132</v>
      </c>
      <c r="D3030" t="s">
        <v>79</v>
      </c>
      <c r="E3030" t="s">
        <v>7106</v>
      </c>
      <c r="F3030" t="s">
        <v>145</v>
      </c>
      <c r="G3030" t="s">
        <v>10808</v>
      </c>
    </row>
    <row r="3031" spans="1:7" ht="44.25" customHeight="1">
      <c r="A3031" t="s">
        <v>672</v>
      </c>
      <c r="B3031" t="s">
        <v>10809</v>
      </c>
      <c r="C3031" t="s">
        <v>132</v>
      </c>
      <c r="D3031" t="s">
        <v>2143</v>
      </c>
      <c r="E3031" t="s">
        <v>1519</v>
      </c>
      <c r="F3031" t="s">
        <v>145</v>
      </c>
      <c r="G3031" t="s">
        <v>10810</v>
      </c>
    </row>
    <row r="3032" spans="1:7" ht="44.25" customHeight="1">
      <c r="A3032" t="s">
        <v>10811</v>
      </c>
      <c r="B3032" t="s">
        <v>10812</v>
      </c>
      <c r="C3032" t="s">
        <v>132</v>
      </c>
      <c r="D3032" t="s">
        <v>2143</v>
      </c>
      <c r="E3032" t="s">
        <v>1542</v>
      </c>
      <c r="F3032" t="s">
        <v>145</v>
      </c>
      <c r="G3032" t="s">
        <v>10813</v>
      </c>
    </row>
    <row r="3033" spans="1:7" ht="44.25" customHeight="1">
      <c r="A3033" t="s">
        <v>10814</v>
      </c>
      <c r="B3033" t="s">
        <v>10815</v>
      </c>
      <c r="C3033" t="s">
        <v>132</v>
      </c>
      <c r="D3033" t="s">
        <v>2143</v>
      </c>
      <c r="E3033" t="s">
        <v>2162</v>
      </c>
      <c r="F3033" t="s">
        <v>145</v>
      </c>
      <c r="G3033" t="s">
        <v>10816</v>
      </c>
    </row>
    <row r="3034" spans="1:7" ht="44.25" customHeight="1">
      <c r="A3034" t="s">
        <v>10817</v>
      </c>
      <c r="B3034" t="s">
        <v>10818</v>
      </c>
      <c r="C3034" t="s">
        <v>132</v>
      </c>
      <c r="D3034" t="s">
        <v>79</v>
      </c>
      <c r="E3034" t="s">
        <v>10819</v>
      </c>
      <c r="F3034" t="s">
        <v>145</v>
      </c>
      <c r="G3034" t="s">
        <v>10820</v>
      </c>
    </row>
    <row r="3035" spans="1:7" ht="44.25" customHeight="1">
      <c r="A3035" t="s">
        <v>10821</v>
      </c>
      <c r="B3035" t="s">
        <v>10822</v>
      </c>
      <c r="C3035" t="s">
        <v>132</v>
      </c>
      <c r="D3035" t="s">
        <v>79</v>
      </c>
      <c r="E3035" t="s">
        <v>10823</v>
      </c>
      <c r="F3035" t="s">
        <v>145</v>
      </c>
      <c r="G3035" t="s">
        <v>10824</v>
      </c>
    </row>
    <row r="3036" spans="1:7" ht="44.25" customHeight="1">
      <c r="A3036" t="s">
        <v>10825</v>
      </c>
      <c r="B3036" t="s">
        <v>10826</v>
      </c>
      <c r="C3036" t="s">
        <v>132</v>
      </c>
      <c r="D3036" t="s">
        <v>2143</v>
      </c>
      <c r="E3036" t="s">
        <v>10827</v>
      </c>
      <c r="F3036" t="s">
        <v>145</v>
      </c>
      <c r="G3036" t="s">
        <v>10828</v>
      </c>
    </row>
    <row r="3037" spans="1:7" ht="44.25" customHeight="1">
      <c r="A3037" t="s">
        <v>10825</v>
      </c>
      <c r="B3037" t="s">
        <v>10826</v>
      </c>
      <c r="C3037" t="s">
        <v>132</v>
      </c>
      <c r="D3037" t="s">
        <v>2143</v>
      </c>
      <c r="E3037" t="s">
        <v>10827</v>
      </c>
      <c r="F3037" t="s">
        <v>145</v>
      </c>
      <c r="G3037" t="s">
        <v>10828</v>
      </c>
    </row>
    <row r="3038" spans="1:7" ht="44.25" customHeight="1">
      <c r="A3038" t="s">
        <v>10829</v>
      </c>
      <c r="B3038" t="s">
        <v>10830</v>
      </c>
      <c r="C3038" t="s">
        <v>132</v>
      </c>
      <c r="D3038" t="s">
        <v>79</v>
      </c>
      <c r="E3038" t="s">
        <v>10831</v>
      </c>
      <c r="F3038" t="s">
        <v>145</v>
      </c>
      <c r="G3038" t="s">
        <v>10832</v>
      </c>
    </row>
    <row r="3039" spans="1:7" ht="44.25" customHeight="1">
      <c r="A3039" t="s">
        <v>10833</v>
      </c>
      <c r="B3039" t="s">
        <v>10834</v>
      </c>
      <c r="C3039" t="s">
        <v>132</v>
      </c>
      <c r="D3039" t="s">
        <v>79</v>
      </c>
      <c r="E3039" t="s">
        <v>10835</v>
      </c>
      <c r="F3039" t="s">
        <v>145</v>
      </c>
      <c r="G3039" t="s">
        <v>10836</v>
      </c>
    </row>
    <row r="3040" spans="1:7" ht="44.25" customHeight="1">
      <c r="A3040" t="s">
        <v>10837</v>
      </c>
      <c r="B3040" t="s">
        <v>10838</v>
      </c>
      <c r="C3040" t="s">
        <v>132</v>
      </c>
      <c r="D3040" t="s">
        <v>79</v>
      </c>
      <c r="E3040" t="s">
        <v>10839</v>
      </c>
      <c r="F3040" t="s">
        <v>145</v>
      </c>
      <c r="G3040" t="s">
        <v>10840</v>
      </c>
    </row>
    <row r="3041" spans="1:7" ht="44.25" customHeight="1">
      <c r="A3041" t="s">
        <v>10841</v>
      </c>
      <c r="B3041" t="s">
        <v>10842</v>
      </c>
      <c r="C3041" t="s">
        <v>132</v>
      </c>
      <c r="D3041" t="s">
        <v>2143</v>
      </c>
      <c r="E3041" t="s">
        <v>1542</v>
      </c>
      <c r="F3041" t="s">
        <v>145</v>
      </c>
      <c r="G3041" t="s">
        <v>10843</v>
      </c>
    </row>
    <row r="3042" spans="1:7" ht="44.25" customHeight="1">
      <c r="A3042" t="s">
        <v>10844</v>
      </c>
      <c r="B3042" t="s">
        <v>10845</v>
      </c>
      <c r="C3042" t="s">
        <v>10846</v>
      </c>
      <c r="D3042" t="s">
        <v>2143</v>
      </c>
      <c r="E3042" t="s">
        <v>1438</v>
      </c>
      <c r="F3042" t="s">
        <v>145</v>
      </c>
      <c r="G3042" t="s">
        <v>10847</v>
      </c>
    </row>
    <row r="3043" spans="1:7" ht="44.25" customHeight="1">
      <c r="A3043" t="s">
        <v>10848</v>
      </c>
      <c r="B3043" t="s">
        <v>10849</v>
      </c>
      <c r="C3043" t="s">
        <v>132</v>
      </c>
      <c r="D3043" t="s">
        <v>2143</v>
      </c>
      <c r="E3043" t="s">
        <v>2285</v>
      </c>
      <c r="F3043" t="s">
        <v>145</v>
      </c>
      <c r="G3043" t="s">
        <v>10850</v>
      </c>
    </row>
    <row r="3044" spans="1:7" ht="44.25" customHeight="1">
      <c r="A3044" t="s">
        <v>255</v>
      </c>
      <c r="B3044" t="s">
        <v>10851</v>
      </c>
      <c r="C3044" t="s">
        <v>132</v>
      </c>
      <c r="D3044" t="s">
        <v>2143</v>
      </c>
      <c r="E3044" t="s">
        <v>1542</v>
      </c>
      <c r="F3044" t="s">
        <v>145</v>
      </c>
      <c r="G3044" t="s">
        <v>10852</v>
      </c>
    </row>
    <row r="3045" spans="1:7" ht="44.25" customHeight="1">
      <c r="A3045" t="s">
        <v>10853</v>
      </c>
      <c r="B3045" t="s">
        <v>10854</v>
      </c>
      <c r="C3045" t="s">
        <v>132</v>
      </c>
      <c r="D3045" t="s">
        <v>2143</v>
      </c>
      <c r="E3045" t="s">
        <v>1542</v>
      </c>
      <c r="F3045" t="s">
        <v>145</v>
      </c>
      <c r="G3045" t="s">
        <v>10855</v>
      </c>
    </row>
    <row r="3046" spans="1:7" ht="44.25" customHeight="1">
      <c r="A3046" t="s">
        <v>807</v>
      </c>
      <c r="B3046" t="s">
        <v>10856</v>
      </c>
      <c r="C3046" t="s">
        <v>132</v>
      </c>
      <c r="D3046" t="s">
        <v>2143</v>
      </c>
      <c r="E3046" t="s">
        <v>3309</v>
      </c>
      <c r="F3046" t="s">
        <v>145</v>
      </c>
      <c r="G3046" t="s">
        <v>10857</v>
      </c>
    </row>
    <row r="3047" spans="1:7" ht="44.25" customHeight="1">
      <c r="A3047" t="s">
        <v>536</v>
      </c>
      <c r="B3047" t="s">
        <v>10858</v>
      </c>
      <c r="C3047" t="s">
        <v>132</v>
      </c>
      <c r="D3047" t="s">
        <v>79</v>
      </c>
      <c r="E3047" t="s">
        <v>3302</v>
      </c>
      <c r="F3047" t="s">
        <v>145</v>
      </c>
      <c r="G3047" t="s">
        <v>10859</v>
      </c>
    </row>
    <row r="3048" spans="1:7" ht="44.25" customHeight="1">
      <c r="A3048" t="s">
        <v>536</v>
      </c>
      <c r="B3048" t="s">
        <v>10858</v>
      </c>
      <c r="C3048" t="s">
        <v>132</v>
      </c>
      <c r="D3048" t="s">
        <v>79</v>
      </c>
      <c r="E3048" t="s">
        <v>3302</v>
      </c>
      <c r="F3048" t="s">
        <v>145</v>
      </c>
      <c r="G3048" t="s">
        <v>10859</v>
      </c>
    </row>
    <row r="3049" spans="1:7" ht="44.25" customHeight="1">
      <c r="A3049" t="s">
        <v>10860</v>
      </c>
      <c r="B3049" t="s">
        <v>10861</v>
      </c>
      <c r="C3049" t="s">
        <v>132</v>
      </c>
      <c r="D3049" t="s">
        <v>2143</v>
      </c>
      <c r="E3049" t="s">
        <v>8372</v>
      </c>
      <c r="F3049" t="s">
        <v>145</v>
      </c>
      <c r="G3049" t="s">
        <v>10862</v>
      </c>
    </row>
    <row r="3050" spans="1:7" ht="44.25" customHeight="1">
      <c r="A3050" t="s">
        <v>10863</v>
      </c>
      <c r="B3050" t="s">
        <v>10864</v>
      </c>
      <c r="C3050" t="s">
        <v>132</v>
      </c>
      <c r="D3050" t="s">
        <v>2139</v>
      </c>
      <c r="E3050" t="s">
        <v>1367</v>
      </c>
      <c r="F3050" t="s">
        <v>145</v>
      </c>
      <c r="G3050" t="s">
        <v>10865</v>
      </c>
    </row>
    <row r="3051" spans="1:7" ht="44.25" customHeight="1">
      <c r="A3051" t="s">
        <v>10866</v>
      </c>
      <c r="B3051" t="s">
        <v>10867</v>
      </c>
      <c r="C3051" t="s">
        <v>132</v>
      </c>
      <c r="D3051" t="s">
        <v>2139</v>
      </c>
      <c r="E3051" t="s">
        <v>1367</v>
      </c>
      <c r="F3051" t="s">
        <v>145</v>
      </c>
      <c r="G3051" t="s">
        <v>10868</v>
      </c>
    </row>
    <row r="3052" spans="1:7" ht="44.25" customHeight="1">
      <c r="A3052" t="s">
        <v>10869</v>
      </c>
      <c r="B3052" t="s">
        <v>10870</v>
      </c>
      <c r="C3052" t="s">
        <v>132</v>
      </c>
      <c r="D3052" t="s">
        <v>2143</v>
      </c>
      <c r="E3052" t="s">
        <v>2162</v>
      </c>
      <c r="F3052" t="s">
        <v>145</v>
      </c>
      <c r="G3052" t="s">
        <v>10871</v>
      </c>
    </row>
    <row r="3053" spans="1:7" ht="44.25" customHeight="1">
      <c r="A3053" t="s">
        <v>325</v>
      </c>
      <c r="B3053" t="s">
        <v>10872</v>
      </c>
      <c r="C3053" t="s">
        <v>132</v>
      </c>
      <c r="D3053" t="s">
        <v>2143</v>
      </c>
      <c r="E3053" t="s">
        <v>2162</v>
      </c>
      <c r="F3053" t="s">
        <v>145</v>
      </c>
      <c r="G3053" t="s">
        <v>10873</v>
      </c>
    </row>
    <row r="3054" spans="1:7" ht="44.25" customHeight="1">
      <c r="A3054" t="s">
        <v>366</v>
      </c>
      <c r="B3054" t="s">
        <v>10874</v>
      </c>
      <c r="C3054" t="s">
        <v>132</v>
      </c>
      <c r="D3054" t="s">
        <v>2143</v>
      </c>
      <c r="E3054" t="s">
        <v>2162</v>
      </c>
      <c r="F3054" t="s">
        <v>145</v>
      </c>
      <c r="G3054" t="s">
        <v>10875</v>
      </c>
    </row>
    <row r="3055" spans="1:7" ht="44.25" customHeight="1">
      <c r="A3055" t="s">
        <v>713</v>
      </c>
      <c r="B3055" t="s">
        <v>10876</v>
      </c>
      <c r="C3055" t="s">
        <v>132</v>
      </c>
      <c r="D3055" t="s">
        <v>2143</v>
      </c>
      <c r="E3055" t="s">
        <v>2155</v>
      </c>
      <c r="F3055" t="s">
        <v>145</v>
      </c>
      <c r="G3055" t="s">
        <v>10877</v>
      </c>
    </row>
    <row r="3056" spans="1:7" ht="44.25" customHeight="1">
      <c r="A3056" t="s">
        <v>927</v>
      </c>
      <c r="B3056" t="s">
        <v>10878</v>
      </c>
      <c r="C3056" t="s">
        <v>132</v>
      </c>
      <c r="D3056" t="s">
        <v>2143</v>
      </c>
      <c r="E3056" t="s">
        <v>2162</v>
      </c>
      <c r="F3056" t="s">
        <v>145</v>
      </c>
      <c r="G3056" t="s">
        <v>10879</v>
      </c>
    </row>
    <row r="3057" spans="1:7" ht="44.25" customHeight="1">
      <c r="A3057" t="s">
        <v>703</v>
      </c>
      <c r="B3057" t="s">
        <v>10880</v>
      </c>
      <c r="C3057" t="s">
        <v>132</v>
      </c>
      <c r="D3057" t="s">
        <v>2143</v>
      </c>
      <c r="E3057" t="s">
        <v>2155</v>
      </c>
      <c r="F3057" t="s">
        <v>145</v>
      </c>
      <c r="G3057" t="s">
        <v>10881</v>
      </c>
    </row>
    <row r="3058" spans="1:7" ht="44.25" customHeight="1">
      <c r="A3058" t="s">
        <v>10882</v>
      </c>
      <c r="B3058" t="s">
        <v>10883</v>
      </c>
      <c r="C3058" t="s">
        <v>132</v>
      </c>
      <c r="D3058" t="s">
        <v>2143</v>
      </c>
      <c r="E3058" t="s">
        <v>3313</v>
      </c>
      <c r="F3058" t="s">
        <v>145</v>
      </c>
      <c r="G3058" t="s">
        <v>10884</v>
      </c>
    </row>
    <row r="3059" spans="1:7" ht="44.25" customHeight="1">
      <c r="A3059" t="s">
        <v>132</v>
      </c>
      <c r="B3059" t="s">
        <v>8539</v>
      </c>
      <c r="C3059" t="s">
        <v>132</v>
      </c>
      <c r="D3059" t="s">
        <v>79</v>
      </c>
      <c r="E3059" t="s">
        <v>3368</v>
      </c>
      <c r="F3059" t="s">
        <v>145</v>
      </c>
      <c r="G3059" t="s">
        <v>10885</v>
      </c>
    </row>
    <row r="3060" spans="1:7" ht="44.25" customHeight="1">
      <c r="A3060" t="s">
        <v>10886</v>
      </c>
      <c r="B3060" t="s">
        <v>10887</v>
      </c>
      <c r="C3060" t="s">
        <v>132</v>
      </c>
      <c r="D3060" t="s">
        <v>79</v>
      </c>
      <c r="E3060" t="s">
        <v>10888</v>
      </c>
      <c r="F3060" t="s">
        <v>145</v>
      </c>
      <c r="G3060" t="s">
        <v>10889</v>
      </c>
    </row>
    <row r="3061" spans="1:7" ht="44.25" customHeight="1">
      <c r="A3061" t="s">
        <v>10890</v>
      </c>
      <c r="B3061" t="s">
        <v>10891</v>
      </c>
      <c r="C3061" t="s">
        <v>132</v>
      </c>
      <c r="D3061" t="s">
        <v>2143</v>
      </c>
      <c r="E3061" t="s">
        <v>1367</v>
      </c>
      <c r="F3061" t="s">
        <v>145</v>
      </c>
      <c r="G3061" t="s">
        <v>10892</v>
      </c>
    </row>
    <row r="3062" spans="1:7" ht="44.25" customHeight="1">
      <c r="A3062" t="s">
        <v>10893</v>
      </c>
      <c r="B3062" t="s">
        <v>10894</v>
      </c>
      <c r="C3062" t="s">
        <v>132</v>
      </c>
      <c r="D3062" t="s">
        <v>2143</v>
      </c>
      <c r="E3062" t="s">
        <v>2162</v>
      </c>
      <c r="F3062" t="s">
        <v>145</v>
      </c>
      <c r="G3062" t="s">
        <v>10895</v>
      </c>
    </row>
    <row r="3063" spans="1:7" ht="44.25" customHeight="1">
      <c r="A3063" t="s">
        <v>931</v>
      </c>
      <c r="B3063" t="s">
        <v>10896</v>
      </c>
      <c r="C3063" t="s">
        <v>132</v>
      </c>
      <c r="D3063" t="s">
        <v>2143</v>
      </c>
      <c r="E3063" t="s">
        <v>2162</v>
      </c>
      <c r="F3063" t="s">
        <v>145</v>
      </c>
      <c r="G3063" t="s">
        <v>10897</v>
      </c>
    </row>
    <row r="3064" spans="1:7" ht="44.25" customHeight="1">
      <c r="A3064" t="s">
        <v>870</v>
      </c>
      <c r="B3064" t="s">
        <v>10898</v>
      </c>
      <c r="C3064" t="s">
        <v>132</v>
      </c>
      <c r="D3064" t="s">
        <v>79</v>
      </c>
      <c r="E3064" t="s">
        <v>4585</v>
      </c>
      <c r="F3064" t="s">
        <v>145</v>
      </c>
      <c r="G3064" t="s">
        <v>10899</v>
      </c>
    </row>
    <row r="3065" spans="1:7" ht="44.25" customHeight="1">
      <c r="A3065" t="s">
        <v>561</v>
      </c>
      <c r="B3065" t="s">
        <v>10900</v>
      </c>
      <c r="C3065" t="s">
        <v>132</v>
      </c>
      <c r="D3065" t="s">
        <v>2143</v>
      </c>
      <c r="E3065" t="s">
        <v>4660</v>
      </c>
      <c r="F3065" t="s">
        <v>145</v>
      </c>
      <c r="G3065" t="s">
        <v>10901</v>
      </c>
    </row>
    <row r="3066" spans="1:7" ht="44.25" customHeight="1">
      <c r="A3066" t="s">
        <v>10902</v>
      </c>
      <c r="B3066" t="s">
        <v>10903</v>
      </c>
      <c r="C3066" t="s">
        <v>132</v>
      </c>
      <c r="D3066" t="s">
        <v>79</v>
      </c>
      <c r="E3066" t="s">
        <v>10904</v>
      </c>
      <c r="F3066" t="s">
        <v>145</v>
      </c>
      <c r="G3066" t="s">
        <v>10905</v>
      </c>
    </row>
    <row r="3067" spans="1:7" ht="44.25" customHeight="1">
      <c r="A3067" t="s">
        <v>10906</v>
      </c>
      <c r="B3067" t="s">
        <v>10907</v>
      </c>
      <c r="C3067" t="s">
        <v>132</v>
      </c>
      <c r="D3067" t="s">
        <v>79</v>
      </c>
      <c r="E3067" t="s">
        <v>10908</v>
      </c>
      <c r="F3067" t="s">
        <v>145</v>
      </c>
      <c r="G3067" t="s">
        <v>10909</v>
      </c>
    </row>
    <row r="3068" spans="1:7" ht="44.25" customHeight="1">
      <c r="A3068" t="s">
        <v>10910</v>
      </c>
      <c r="B3068" t="s">
        <v>10911</v>
      </c>
      <c r="C3068" t="s">
        <v>132</v>
      </c>
      <c r="D3068" t="s">
        <v>2284</v>
      </c>
      <c r="E3068" t="s">
        <v>2285</v>
      </c>
      <c r="F3068" t="s">
        <v>145</v>
      </c>
      <c r="G3068" t="s">
        <v>10912</v>
      </c>
    </row>
    <row r="3069" spans="1:7" ht="44.25" customHeight="1">
      <c r="A3069" t="s">
        <v>10913</v>
      </c>
      <c r="B3069" t="s">
        <v>10914</v>
      </c>
      <c r="C3069" t="s">
        <v>132</v>
      </c>
      <c r="D3069" t="s">
        <v>2143</v>
      </c>
      <c r="E3069" t="s">
        <v>2285</v>
      </c>
      <c r="F3069" t="s">
        <v>145</v>
      </c>
      <c r="G3069" t="s">
        <v>10915</v>
      </c>
    </row>
    <row r="3070" spans="1:7" ht="44.25" customHeight="1">
      <c r="A3070" t="s">
        <v>10916</v>
      </c>
      <c r="B3070" t="s">
        <v>10917</v>
      </c>
      <c r="C3070" t="s">
        <v>132</v>
      </c>
      <c r="D3070" t="s">
        <v>2143</v>
      </c>
      <c r="E3070" t="s">
        <v>2581</v>
      </c>
      <c r="F3070" t="s">
        <v>145</v>
      </c>
      <c r="G3070" t="s">
        <v>10918</v>
      </c>
    </row>
    <row r="3071" spans="1:7" ht="44.25" customHeight="1">
      <c r="A3071" t="s">
        <v>242</v>
      </c>
      <c r="B3071" t="s">
        <v>10919</v>
      </c>
      <c r="C3071" t="s">
        <v>132</v>
      </c>
      <c r="D3071" t="s">
        <v>2143</v>
      </c>
      <c r="E3071" t="s">
        <v>1542</v>
      </c>
      <c r="F3071" t="s">
        <v>145</v>
      </c>
      <c r="G3071" t="s">
        <v>10920</v>
      </c>
    </row>
    <row r="3072" spans="1:7" ht="44.25" customHeight="1">
      <c r="A3072" t="s">
        <v>10921</v>
      </c>
      <c r="B3072" t="s">
        <v>10922</v>
      </c>
      <c r="C3072" t="s">
        <v>132</v>
      </c>
      <c r="D3072" t="s">
        <v>2143</v>
      </c>
      <c r="E3072" t="s">
        <v>2285</v>
      </c>
      <c r="F3072" t="s">
        <v>145</v>
      </c>
      <c r="G3072" t="s">
        <v>10923</v>
      </c>
    </row>
    <row r="3073" spans="1:7" ht="44.25" customHeight="1">
      <c r="A3073" t="s">
        <v>10924</v>
      </c>
      <c r="B3073" t="s">
        <v>10925</v>
      </c>
      <c r="C3073" t="s">
        <v>132</v>
      </c>
      <c r="D3073" t="s">
        <v>79</v>
      </c>
      <c r="E3073" t="s">
        <v>3451</v>
      </c>
      <c r="F3073" t="s">
        <v>145</v>
      </c>
      <c r="G3073" t="s">
        <v>10926</v>
      </c>
    </row>
    <row r="3074" spans="1:7" ht="44.25" customHeight="1">
      <c r="A3074" t="s">
        <v>793</v>
      </c>
      <c r="B3074" t="s">
        <v>10927</v>
      </c>
      <c r="C3074" t="s">
        <v>132</v>
      </c>
      <c r="D3074" t="s">
        <v>2143</v>
      </c>
      <c r="E3074" t="s">
        <v>9951</v>
      </c>
      <c r="F3074" t="s">
        <v>145</v>
      </c>
      <c r="G3074" t="s">
        <v>10928</v>
      </c>
    </row>
    <row r="3075" spans="1:7" ht="44.25" customHeight="1">
      <c r="A3075" t="s">
        <v>10929</v>
      </c>
      <c r="B3075" t="s">
        <v>10930</v>
      </c>
      <c r="C3075" t="s">
        <v>132</v>
      </c>
      <c r="D3075" t="s">
        <v>79</v>
      </c>
      <c r="E3075" t="s">
        <v>7933</v>
      </c>
      <c r="F3075" t="s">
        <v>145</v>
      </c>
      <c r="G3075" t="s">
        <v>10931</v>
      </c>
    </row>
    <row r="3076" spans="1:7" ht="44.25" customHeight="1">
      <c r="A3076" t="s">
        <v>10932</v>
      </c>
      <c r="B3076" t="s">
        <v>10933</v>
      </c>
      <c r="C3076" t="s">
        <v>132</v>
      </c>
      <c r="D3076" t="s">
        <v>79</v>
      </c>
      <c r="E3076" t="s">
        <v>10934</v>
      </c>
      <c r="F3076" t="s">
        <v>145</v>
      </c>
      <c r="G3076" t="s">
        <v>10935</v>
      </c>
    </row>
    <row r="3077" spans="1:7" ht="44.25" customHeight="1">
      <c r="A3077" t="s">
        <v>10936</v>
      </c>
      <c r="B3077" t="s">
        <v>10937</v>
      </c>
      <c r="C3077" t="s">
        <v>132</v>
      </c>
      <c r="D3077" t="s">
        <v>79</v>
      </c>
      <c r="E3077" t="s">
        <v>10938</v>
      </c>
      <c r="F3077" t="s">
        <v>145</v>
      </c>
      <c r="G3077" t="s">
        <v>10939</v>
      </c>
    </row>
    <row r="3078" spans="1:7" ht="44.25" customHeight="1">
      <c r="A3078" t="s">
        <v>10940</v>
      </c>
      <c r="B3078" t="s">
        <v>10941</v>
      </c>
      <c r="C3078" t="s">
        <v>132</v>
      </c>
      <c r="D3078" t="s">
        <v>2143</v>
      </c>
      <c r="E3078" t="s">
        <v>2155</v>
      </c>
      <c r="F3078" t="s">
        <v>145</v>
      </c>
      <c r="G3078" t="s">
        <v>10942</v>
      </c>
    </row>
    <row r="3079" spans="1:7" ht="44.25" customHeight="1">
      <c r="A3079" t="s">
        <v>10943</v>
      </c>
      <c r="B3079" t="s">
        <v>10944</v>
      </c>
      <c r="C3079" t="s">
        <v>132</v>
      </c>
      <c r="D3079" t="s">
        <v>2143</v>
      </c>
      <c r="E3079" t="s">
        <v>2162</v>
      </c>
      <c r="F3079" t="s">
        <v>145</v>
      </c>
      <c r="G3079" t="s">
        <v>10945</v>
      </c>
    </row>
    <row r="3080" spans="1:7" ht="44.25" customHeight="1">
      <c r="A3080" t="s">
        <v>990</v>
      </c>
      <c r="B3080" t="s">
        <v>10946</v>
      </c>
      <c r="C3080" t="s">
        <v>132</v>
      </c>
      <c r="D3080" t="s">
        <v>2143</v>
      </c>
      <c r="E3080" t="s">
        <v>2162</v>
      </c>
      <c r="F3080" t="s">
        <v>145</v>
      </c>
      <c r="G3080" t="s">
        <v>10947</v>
      </c>
    </row>
    <row r="3081" spans="1:7" ht="44.25" customHeight="1">
      <c r="A3081" t="s">
        <v>1014</v>
      </c>
      <c r="B3081" t="s">
        <v>10948</v>
      </c>
      <c r="C3081" t="s">
        <v>132</v>
      </c>
      <c r="D3081" t="s">
        <v>2143</v>
      </c>
      <c r="E3081" t="s">
        <v>4585</v>
      </c>
      <c r="F3081" t="s">
        <v>145</v>
      </c>
      <c r="G3081" t="s">
        <v>10949</v>
      </c>
    </row>
    <row r="3082" spans="1:7" ht="44.25" customHeight="1">
      <c r="A3082" t="s">
        <v>10950</v>
      </c>
      <c r="B3082" t="s">
        <v>10951</v>
      </c>
      <c r="C3082" t="s">
        <v>132</v>
      </c>
      <c r="D3082" t="s">
        <v>79</v>
      </c>
      <c r="E3082" t="s">
        <v>8436</v>
      </c>
      <c r="F3082" t="s">
        <v>145</v>
      </c>
      <c r="G3082" t="s">
        <v>10952</v>
      </c>
    </row>
    <row r="3083" spans="1:7" ht="44.25" customHeight="1">
      <c r="A3083" t="s">
        <v>10953</v>
      </c>
      <c r="B3083" t="s">
        <v>10954</v>
      </c>
      <c r="C3083" t="s">
        <v>132</v>
      </c>
      <c r="D3083" t="s">
        <v>79</v>
      </c>
      <c r="E3083" t="s">
        <v>10955</v>
      </c>
      <c r="F3083" t="s">
        <v>145</v>
      </c>
      <c r="G3083" t="s">
        <v>10956</v>
      </c>
    </row>
    <row r="3084" spans="1:7" ht="44.25" customHeight="1">
      <c r="A3084" t="s">
        <v>10957</v>
      </c>
      <c r="B3084" t="s">
        <v>10958</v>
      </c>
      <c r="C3084" t="s">
        <v>132</v>
      </c>
      <c r="D3084" t="s">
        <v>79</v>
      </c>
      <c r="E3084" t="s">
        <v>10959</v>
      </c>
      <c r="F3084" t="s">
        <v>145</v>
      </c>
      <c r="G3084" t="s">
        <v>10960</v>
      </c>
    </row>
    <row r="3085" spans="1:7" ht="44.25" customHeight="1">
      <c r="A3085" t="s">
        <v>10961</v>
      </c>
      <c r="B3085" t="s">
        <v>10962</v>
      </c>
      <c r="C3085" t="s">
        <v>132</v>
      </c>
      <c r="D3085" t="s">
        <v>79</v>
      </c>
      <c r="E3085" t="s">
        <v>10963</v>
      </c>
      <c r="F3085" t="s">
        <v>145</v>
      </c>
      <c r="G3085" t="s">
        <v>10964</v>
      </c>
    </row>
    <row r="3086" spans="1:7" ht="44.25" customHeight="1">
      <c r="A3086" t="s">
        <v>10965</v>
      </c>
      <c r="B3086" t="s">
        <v>10966</v>
      </c>
      <c r="C3086" t="s">
        <v>132</v>
      </c>
      <c r="D3086" t="s">
        <v>79</v>
      </c>
      <c r="E3086" t="s">
        <v>8033</v>
      </c>
      <c r="F3086" t="s">
        <v>145</v>
      </c>
      <c r="G3086" t="s">
        <v>10967</v>
      </c>
    </row>
    <row r="3087" spans="1:7" ht="44.25" customHeight="1">
      <c r="A3087" t="s">
        <v>10968</v>
      </c>
      <c r="B3087" t="s">
        <v>10969</v>
      </c>
      <c r="C3087" t="s">
        <v>132</v>
      </c>
      <c r="D3087" t="s">
        <v>2143</v>
      </c>
      <c r="E3087" t="s">
        <v>1542</v>
      </c>
      <c r="F3087" t="s">
        <v>145</v>
      </c>
      <c r="G3087" t="s">
        <v>10970</v>
      </c>
    </row>
    <row r="3088" spans="1:7" ht="44.25" customHeight="1">
      <c r="A3088" t="s">
        <v>10971</v>
      </c>
      <c r="B3088" t="s">
        <v>10972</v>
      </c>
      <c r="C3088" t="s">
        <v>132</v>
      </c>
      <c r="D3088" t="s">
        <v>2143</v>
      </c>
      <c r="E3088" t="s">
        <v>1542</v>
      </c>
      <c r="F3088" t="s">
        <v>145</v>
      </c>
      <c r="G3088" t="s">
        <v>10973</v>
      </c>
    </row>
    <row r="3089" spans="1:7" ht="44.25" customHeight="1">
      <c r="A3089" t="s">
        <v>10974</v>
      </c>
      <c r="B3089" t="s">
        <v>10975</v>
      </c>
      <c r="C3089" t="s">
        <v>132</v>
      </c>
      <c r="D3089" t="s">
        <v>2143</v>
      </c>
      <c r="E3089" t="s">
        <v>1542</v>
      </c>
      <c r="F3089" t="s">
        <v>145</v>
      </c>
      <c r="G3089" t="s">
        <v>10976</v>
      </c>
    </row>
    <row r="3090" spans="1:7" ht="44.25" customHeight="1">
      <c r="A3090" t="s">
        <v>578</v>
      </c>
      <c r="B3090" t="s">
        <v>10977</v>
      </c>
      <c r="C3090" t="s">
        <v>132</v>
      </c>
      <c r="D3090" t="s">
        <v>2143</v>
      </c>
      <c r="E3090" t="s">
        <v>3316</v>
      </c>
      <c r="F3090" t="s">
        <v>145</v>
      </c>
      <c r="G3090" t="s">
        <v>10978</v>
      </c>
    </row>
    <row r="3091" spans="1:7" ht="44.25" customHeight="1">
      <c r="A3091" t="s">
        <v>578</v>
      </c>
      <c r="B3091" t="s">
        <v>10977</v>
      </c>
      <c r="C3091" t="s">
        <v>132</v>
      </c>
      <c r="D3091" t="s">
        <v>2143</v>
      </c>
      <c r="E3091" t="s">
        <v>3316</v>
      </c>
      <c r="F3091" t="s">
        <v>145</v>
      </c>
      <c r="G3091" t="s">
        <v>10978</v>
      </c>
    </row>
    <row r="3092" spans="1:7" ht="44.25" customHeight="1">
      <c r="A3092" t="s">
        <v>10979</v>
      </c>
      <c r="B3092" t="s">
        <v>10980</v>
      </c>
      <c r="C3092" t="s">
        <v>132</v>
      </c>
      <c r="D3092" t="s">
        <v>79</v>
      </c>
      <c r="E3092" t="s">
        <v>1536</v>
      </c>
      <c r="F3092" t="s">
        <v>145</v>
      </c>
      <c r="G3092" t="s">
        <v>10981</v>
      </c>
    </row>
    <row r="3093" spans="1:7" ht="44.25" customHeight="1">
      <c r="A3093" t="s">
        <v>10982</v>
      </c>
      <c r="B3093" t="s">
        <v>10983</v>
      </c>
      <c r="C3093" t="s">
        <v>132</v>
      </c>
      <c r="D3093" t="s">
        <v>2143</v>
      </c>
      <c r="E3093" t="s">
        <v>1367</v>
      </c>
      <c r="F3093" t="s">
        <v>145</v>
      </c>
      <c r="G3093" t="s">
        <v>10984</v>
      </c>
    </row>
    <row r="3094" spans="1:7" ht="44.25" customHeight="1">
      <c r="A3094" t="s">
        <v>10985</v>
      </c>
      <c r="B3094" t="s">
        <v>10986</v>
      </c>
      <c r="C3094" t="s">
        <v>132</v>
      </c>
      <c r="D3094" t="s">
        <v>79</v>
      </c>
      <c r="E3094" t="s">
        <v>3796</v>
      </c>
      <c r="F3094" t="s">
        <v>145</v>
      </c>
      <c r="G3094" t="s">
        <v>10987</v>
      </c>
    </row>
    <row r="3095" spans="1:7" ht="44.25" customHeight="1">
      <c r="A3095" t="s">
        <v>10988</v>
      </c>
      <c r="B3095" t="s">
        <v>10989</v>
      </c>
      <c r="C3095" t="s">
        <v>132</v>
      </c>
      <c r="D3095" t="s">
        <v>2139</v>
      </c>
      <c r="E3095" t="s">
        <v>1367</v>
      </c>
      <c r="F3095" t="s">
        <v>145</v>
      </c>
      <c r="G3095" t="s">
        <v>10990</v>
      </c>
    </row>
    <row r="3096" spans="1:7" ht="44.25" customHeight="1">
      <c r="A3096" t="s">
        <v>10991</v>
      </c>
      <c r="B3096" t="s">
        <v>10992</v>
      </c>
      <c r="C3096" t="s">
        <v>132</v>
      </c>
      <c r="D3096" t="s">
        <v>2139</v>
      </c>
      <c r="E3096" t="s">
        <v>1367</v>
      </c>
      <c r="F3096" t="s">
        <v>145</v>
      </c>
      <c r="G3096" t="s">
        <v>10993</v>
      </c>
    </row>
    <row r="3097" spans="1:7" ht="44.25" customHeight="1">
      <c r="A3097" t="s">
        <v>1411</v>
      </c>
      <c r="B3097" t="s">
        <v>10994</v>
      </c>
      <c r="C3097" t="s">
        <v>132</v>
      </c>
      <c r="D3097" t="s">
        <v>2139</v>
      </c>
      <c r="E3097" t="s">
        <v>1367</v>
      </c>
      <c r="F3097" t="s">
        <v>145</v>
      </c>
      <c r="G3097" t="s">
        <v>10995</v>
      </c>
    </row>
    <row r="3098" spans="1:7" ht="44.25" customHeight="1">
      <c r="A3098" t="s">
        <v>10996</v>
      </c>
      <c r="B3098" t="s">
        <v>10997</v>
      </c>
      <c r="C3098" t="s">
        <v>132</v>
      </c>
      <c r="D3098" t="s">
        <v>2143</v>
      </c>
      <c r="E3098" t="s">
        <v>1542</v>
      </c>
      <c r="F3098" t="s">
        <v>145</v>
      </c>
      <c r="G3098" t="s">
        <v>10998</v>
      </c>
    </row>
    <row r="3099" spans="1:7" ht="44.25" customHeight="1">
      <c r="A3099" t="s">
        <v>10999</v>
      </c>
      <c r="B3099" t="s">
        <v>11000</v>
      </c>
      <c r="C3099" t="s">
        <v>132</v>
      </c>
      <c r="D3099" t="s">
        <v>2143</v>
      </c>
      <c r="E3099" t="s">
        <v>1542</v>
      </c>
      <c r="F3099" t="s">
        <v>145</v>
      </c>
      <c r="G3099" t="s">
        <v>11001</v>
      </c>
    </row>
    <row r="3100" spans="1:7" ht="44.25" customHeight="1">
      <c r="A3100" t="s">
        <v>11002</v>
      </c>
      <c r="B3100" t="s">
        <v>11003</v>
      </c>
      <c r="C3100" t="s">
        <v>132</v>
      </c>
      <c r="D3100" t="s">
        <v>2143</v>
      </c>
      <c r="E3100" t="s">
        <v>1542</v>
      </c>
      <c r="F3100" t="s">
        <v>145</v>
      </c>
      <c r="G3100" t="s">
        <v>11004</v>
      </c>
    </row>
    <row r="3101" spans="1:7" ht="44.25" customHeight="1">
      <c r="A3101" t="s">
        <v>11005</v>
      </c>
      <c r="B3101" t="s">
        <v>11006</v>
      </c>
      <c r="C3101" t="s">
        <v>132</v>
      </c>
      <c r="D3101" t="s">
        <v>2143</v>
      </c>
      <c r="E3101" t="s">
        <v>2285</v>
      </c>
      <c r="F3101" t="s">
        <v>145</v>
      </c>
      <c r="G3101" t="s">
        <v>11007</v>
      </c>
    </row>
    <row r="3102" spans="1:7" ht="44.25" customHeight="1">
      <c r="A3102" t="s">
        <v>11008</v>
      </c>
      <c r="B3102" t="s">
        <v>11009</v>
      </c>
      <c r="C3102" t="s">
        <v>132</v>
      </c>
      <c r="D3102" t="s">
        <v>79</v>
      </c>
      <c r="E3102" t="s">
        <v>11010</v>
      </c>
      <c r="F3102" t="s">
        <v>145</v>
      </c>
      <c r="G3102" t="s">
        <v>11011</v>
      </c>
    </row>
    <row r="3103" spans="1:7" ht="44.25" customHeight="1">
      <c r="A3103" t="s">
        <v>11012</v>
      </c>
      <c r="B3103" t="s">
        <v>11013</v>
      </c>
      <c r="C3103" t="s">
        <v>132</v>
      </c>
      <c r="D3103" t="s">
        <v>2143</v>
      </c>
      <c r="E3103" t="s">
        <v>2162</v>
      </c>
      <c r="F3103" t="s">
        <v>145</v>
      </c>
      <c r="G3103" t="s">
        <v>11014</v>
      </c>
    </row>
    <row r="3104" spans="1:7" ht="44.25" customHeight="1">
      <c r="A3104" t="s">
        <v>11015</v>
      </c>
      <c r="B3104" t="s">
        <v>11016</v>
      </c>
      <c r="C3104" t="s">
        <v>132</v>
      </c>
      <c r="D3104" t="s">
        <v>2139</v>
      </c>
      <c r="E3104" t="s">
        <v>1367</v>
      </c>
      <c r="F3104" t="s">
        <v>145</v>
      </c>
      <c r="G3104" t="s">
        <v>11017</v>
      </c>
    </row>
    <row r="3105" spans="1:7" ht="44.25" customHeight="1">
      <c r="A3105" t="s">
        <v>1258</v>
      </c>
      <c r="B3105" t="s">
        <v>11018</v>
      </c>
      <c r="C3105" t="s">
        <v>132</v>
      </c>
      <c r="D3105" t="s">
        <v>2143</v>
      </c>
      <c r="E3105" t="s">
        <v>2162</v>
      </c>
      <c r="F3105" t="s">
        <v>145</v>
      </c>
      <c r="G3105" t="s">
        <v>11019</v>
      </c>
    </row>
    <row r="3106" spans="1:7" ht="44.25" customHeight="1">
      <c r="A3106" t="s">
        <v>1407</v>
      </c>
      <c r="B3106" t="s">
        <v>11020</v>
      </c>
      <c r="C3106" t="s">
        <v>132</v>
      </c>
      <c r="D3106" t="s">
        <v>2139</v>
      </c>
      <c r="E3106" t="s">
        <v>1367</v>
      </c>
      <c r="F3106" t="s">
        <v>145</v>
      </c>
      <c r="G3106" t="s">
        <v>11021</v>
      </c>
    </row>
    <row r="3107" spans="1:7" ht="44.25" customHeight="1">
      <c r="A3107" t="s">
        <v>11022</v>
      </c>
      <c r="B3107" t="s">
        <v>11023</v>
      </c>
      <c r="C3107" t="s">
        <v>132</v>
      </c>
      <c r="D3107" t="s">
        <v>79</v>
      </c>
      <c r="E3107" t="s">
        <v>11024</v>
      </c>
      <c r="F3107" t="s">
        <v>145</v>
      </c>
      <c r="G3107" t="s">
        <v>11025</v>
      </c>
    </row>
    <row r="3108" spans="1:7" ht="44.25" customHeight="1">
      <c r="A3108" t="s">
        <v>132</v>
      </c>
      <c r="B3108" t="s">
        <v>11026</v>
      </c>
      <c r="C3108" t="s">
        <v>132</v>
      </c>
      <c r="D3108" t="s">
        <v>2143</v>
      </c>
      <c r="E3108" t="s">
        <v>5577</v>
      </c>
      <c r="F3108" t="s">
        <v>145</v>
      </c>
      <c r="G3108" t="s">
        <v>11027</v>
      </c>
    </row>
    <row r="3109" spans="1:7" ht="44.25" customHeight="1">
      <c r="A3109" t="s">
        <v>632</v>
      </c>
      <c r="B3109" t="s">
        <v>11028</v>
      </c>
      <c r="C3109" t="s">
        <v>132</v>
      </c>
      <c r="D3109" t="s">
        <v>79</v>
      </c>
      <c r="E3109" t="s">
        <v>11029</v>
      </c>
      <c r="F3109" t="s">
        <v>145</v>
      </c>
      <c r="G3109" t="s">
        <v>11030</v>
      </c>
    </row>
    <row r="3110" spans="1:7" ht="44.25" customHeight="1">
      <c r="A3110" t="s">
        <v>781</v>
      </c>
      <c r="B3110" t="s">
        <v>11031</v>
      </c>
      <c r="C3110" t="s">
        <v>132</v>
      </c>
      <c r="D3110" t="s">
        <v>79</v>
      </c>
      <c r="E3110" t="s">
        <v>11032</v>
      </c>
      <c r="F3110" t="s">
        <v>145</v>
      </c>
      <c r="G3110" t="s">
        <v>11033</v>
      </c>
    </row>
    <row r="3111" spans="1:7" ht="44.25" customHeight="1">
      <c r="A3111" t="s">
        <v>11034</v>
      </c>
      <c r="B3111" t="s">
        <v>11035</v>
      </c>
      <c r="C3111" t="s">
        <v>132</v>
      </c>
      <c r="D3111" t="s">
        <v>79</v>
      </c>
      <c r="E3111" t="s">
        <v>8033</v>
      </c>
      <c r="F3111" t="s">
        <v>145</v>
      </c>
      <c r="G3111" t="s">
        <v>11036</v>
      </c>
    </row>
    <row r="3112" spans="1:7" ht="44.25" customHeight="1">
      <c r="A3112" t="s">
        <v>11037</v>
      </c>
      <c r="B3112" t="s">
        <v>11038</v>
      </c>
      <c r="C3112" t="s">
        <v>132</v>
      </c>
      <c r="D3112" t="s">
        <v>2143</v>
      </c>
      <c r="E3112" t="s">
        <v>1542</v>
      </c>
      <c r="F3112" t="s">
        <v>145</v>
      </c>
      <c r="G3112" t="s">
        <v>11039</v>
      </c>
    </row>
    <row r="3113" spans="1:7" ht="44.25" customHeight="1">
      <c r="A3113" t="s">
        <v>11040</v>
      </c>
      <c r="B3113" t="s">
        <v>11041</v>
      </c>
      <c r="C3113" t="s">
        <v>132</v>
      </c>
      <c r="D3113" t="s">
        <v>2143</v>
      </c>
      <c r="E3113" t="s">
        <v>2571</v>
      </c>
      <c r="F3113" t="s">
        <v>145</v>
      </c>
      <c r="G3113" t="s">
        <v>11042</v>
      </c>
    </row>
    <row r="3114" spans="1:7" ht="44.25" customHeight="1">
      <c r="A3114" t="s">
        <v>11043</v>
      </c>
      <c r="B3114" t="s">
        <v>11044</v>
      </c>
      <c r="C3114" t="s">
        <v>132</v>
      </c>
      <c r="D3114" t="s">
        <v>2143</v>
      </c>
      <c r="E3114" t="s">
        <v>7098</v>
      </c>
      <c r="F3114" t="s">
        <v>145</v>
      </c>
      <c r="G3114" t="s">
        <v>11045</v>
      </c>
    </row>
    <row r="3115" spans="1:7" ht="44.25" customHeight="1">
      <c r="A3115" t="s">
        <v>11046</v>
      </c>
      <c r="B3115" t="s">
        <v>11047</v>
      </c>
      <c r="C3115" t="s">
        <v>132</v>
      </c>
      <c r="D3115" t="s">
        <v>2143</v>
      </c>
      <c r="E3115" t="s">
        <v>1542</v>
      </c>
      <c r="F3115" t="s">
        <v>145</v>
      </c>
      <c r="G3115" t="s">
        <v>11048</v>
      </c>
    </row>
    <row r="3116" spans="1:7" ht="44.25" customHeight="1">
      <c r="A3116" t="s">
        <v>11049</v>
      </c>
      <c r="B3116" t="s">
        <v>11050</v>
      </c>
      <c r="C3116" t="s">
        <v>132</v>
      </c>
      <c r="D3116" t="s">
        <v>2143</v>
      </c>
      <c r="E3116" t="s">
        <v>1542</v>
      </c>
      <c r="F3116" t="s">
        <v>145</v>
      </c>
      <c r="G3116" t="s">
        <v>11051</v>
      </c>
    </row>
    <row r="3117" spans="1:7" ht="44.25" customHeight="1">
      <c r="A3117" t="s">
        <v>6353</v>
      </c>
      <c r="B3117" t="s">
        <v>6354</v>
      </c>
      <c r="C3117" t="s">
        <v>132</v>
      </c>
      <c r="D3117" t="s">
        <v>79</v>
      </c>
      <c r="E3117" t="s">
        <v>3368</v>
      </c>
      <c r="F3117" t="s">
        <v>145</v>
      </c>
      <c r="G3117" t="s">
        <v>11052</v>
      </c>
    </row>
    <row r="3118" spans="1:7" ht="44.25" customHeight="1">
      <c r="A3118" t="s">
        <v>11053</v>
      </c>
      <c r="B3118" t="s">
        <v>11054</v>
      </c>
      <c r="C3118" t="s">
        <v>132</v>
      </c>
      <c r="D3118" t="s">
        <v>79</v>
      </c>
      <c r="E3118" t="s">
        <v>8529</v>
      </c>
      <c r="F3118" t="s">
        <v>145</v>
      </c>
      <c r="G3118" t="s">
        <v>11055</v>
      </c>
    </row>
    <row r="3119" spans="1:7" ht="44.25" customHeight="1">
      <c r="A3119" t="s">
        <v>11056</v>
      </c>
      <c r="B3119" t="s">
        <v>11057</v>
      </c>
      <c r="C3119" t="s">
        <v>132</v>
      </c>
      <c r="D3119" t="s">
        <v>2139</v>
      </c>
      <c r="E3119" t="s">
        <v>1367</v>
      </c>
      <c r="F3119" t="s">
        <v>145</v>
      </c>
      <c r="G3119" t="s">
        <v>11058</v>
      </c>
    </row>
    <row r="3120" spans="1:7" ht="44.25" customHeight="1">
      <c r="A3120" t="s">
        <v>1418</v>
      </c>
      <c r="B3120" t="s">
        <v>11059</v>
      </c>
      <c r="C3120" t="s">
        <v>132</v>
      </c>
      <c r="D3120" t="s">
        <v>2143</v>
      </c>
      <c r="E3120" t="s">
        <v>2162</v>
      </c>
      <c r="F3120" t="s">
        <v>145</v>
      </c>
      <c r="G3120" t="s">
        <v>11060</v>
      </c>
    </row>
    <row r="3121" spans="1:7" ht="44.25" customHeight="1">
      <c r="A3121" t="s">
        <v>770</v>
      </c>
      <c r="B3121" t="s">
        <v>11061</v>
      </c>
      <c r="C3121" t="s">
        <v>132</v>
      </c>
      <c r="D3121" t="s">
        <v>79</v>
      </c>
      <c r="E3121" t="s">
        <v>11062</v>
      </c>
      <c r="F3121" t="s">
        <v>145</v>
      </c>
      <c r="G3121" t="s">
        <v>11063</v>
      </c>
    </row>
    <row r="3122" spans="1:7" ht="44.25" customHeight="1">
      <c r="A3122" t="s">
        <v>11064</v>
      </c>
      <c r="B3122" t="s">
        <v>11065</v>
      </c>
      <c r="C3122" t="s">
        <v>132</v>
      </c>
      <c r="D3122" t="s">
        <v>79</v>
      </c>
      <c r="E3122" t="s">
        <v>4434</v>
      </c>
      <c r="F3122" t="s">
        <v>145</v>
      </c>
      <c r="G3122" t="s">
        <v>11066</v>
      </c>
    </row>
    <row r="3123" spans="1:7" ht="44.25" customHeight="1">
      <c r="A3123" t="s">
        <v>471</v>
      </c>
      <c r="B3123" t="s">
        <v>11067</v>
      </c>
      <c r="C3123" t="s">
        <v>132</v>
      </c>
      <c r="D3123" t="s">
        <v>79</v>
      </c>
      <c r="E3123" t="s">
        <v>2144</v>
      </c>
      <c r="F3123" t="s">
        <v>145</v>
      </c>
      <c r="G3123" t="s">
        <v>11068</v>
      </c>
    </row>
    <row r="3124" spans="1:7" ht="44.25" customHeight="1">
      <c r="A3124" t="s">
        <v>11069</v>
      </c>
      <c r="B3124" t="s">
        <v>11070</v>
      </c>
      <c r="C3124" t="s">
        <v>132</v>
      </c>
      <c r="D3124" t="s">
        <v>2143</v>
      </c>
      <c r="E3124" t="s">
        <v>9024</v>
      </c>
      <c r="F3124" t="s">
        <v>145</v>
      </c>
      <c r="G3124" t="s">
        <v>11071</v>
      </c>
    </row>
    <row r="3125" spans="1:7" ht="44.25" customHeight="1">
      <c r="A3125" t="s">
        <v>1415</v>
      </c>
      <c r="B3125" t="s">
        <v>11072</v>
      </c>
      <c r="C3125" t="s">
        <v>132</v>
      </c>
      <c r="D3125" t="s">
        <v>2139</v>
      </c>
      <c r="E3125" t="s">
        <v>1367</v>
      </c>
      <c r="F3125" t="s">
        <v>145</v>
      </c>
      <c r="G3125" t="s">
        <v>11073</v>
      </c>
    </row>
    <row r="3126" spans="1:7" ht="44.25" customHeight="1">
      <c r="A3126" t="s">
        <v>298</v>
      </c>
      <c r="B3126" t="s">
        <v>11074</v>
      </c>
      <c r="C3126" t="s">
        <v>132</v>
      </c>
      <c r="D3126" t="s">
        <v>2139</v>
      </c>
      <c r="E3126" t="s">
        <v>1367</v>
      </c>
      <c r="F3126" t="s">
        <v>145</v>
      </c>
      <c r="G3126" t="s">
        <v>11075</v>
      </c>
    </row>
    <row r="3127" spans="1:7" ht="44.25" customHeight="1">
      <c r="A3127" t="s">
        <v>1048</v>
      </c>
      <c r="B3127" t="s">
        <v>11076</v>
      </c>
      <c r="C3127" t="s">
        <v>132</v>
      </c>
      <c r="D3127" t="s">
        <v>2143</v>
      </c>
      <c r="E3127" t="s">
        <v>2151</v>
      </c>
      <c r="F3127" t="s">
        <v>145</v>
      </c>
      <c r="G3127" t="s">
        <v>11077</v>
      </c>
    </row>
    <row r="3128" spans="1:7" ht="44.25" customHeight="1">
      <c r="A3128" t="s">
        <v>742</v>
      </c>
      <c r="B3128" t="s">
        <v>11078</v>
      </c>
      <c r="C3128" t="s">
        <v>132</v>
      </c>
      <c r="D3128" t="s">
        <v>2143</v>
      </c>
      <c r="E3128" t="s">
        <v>1367</v>
      </c>
      <c r="F3128" t="s">
        <v>145</v>
      </c>
      <c r="G3128" t="s">
        <v>11079</v>
      </c>
    </row>
    <row r="3129" spans="1:7" ht="44.25" customHeight="1">
      <c r="A3129" t="s">
        <v>11080</v>
      </c>
      <c r="B3129" t="s">
        <v>11081</v>
      </c>
      <c r="C3129" t="s">
        <v>132</v>
      </c>
      <c r="D3129" t="s">
        <v>79</v>
      </c>
      <c r="E3129" t="s">
        <v>6097</v>
      </c>
      <c r="F3129" t="s">
        <v>145</v>
      </c>
      <c r="G3129" t="s">
        <v>11082</v>
      </c>
    </row>
    <row r="3130" spans="1:7" ht="44.25" customHeight="1">
      <c r="A3130" t="s">
        <v>11083</v>
      </c>
      <c r="B3130" t="s">
        <v>11084</v>
      </c>
      <c r="C3130" t="s">
        <v>132</v>
      </c>
      <c r="D3130" t="s">
        <v>79</v>
      </c>
      <c r="E3130" t="s">
        <v>11085</v>
      </c>
      <c r="F3130" t="s">
        <v>145</v>
      </c>
      <c r="G3130" t="s">
        <v>11086</v>
      </c>
    </row>
    <row r="3131" spans="1:7" ht="44.25" customHeight="1">
      <c r="A3131" t="s">
        <v>11087</v>
      </c>
      <c r="B3131" t="s">
        <v>11088</v>
      </c>
      <c r="C3131" t="s">
        <v>132</v>
      </c>
      <c r="D3131" t="s">
        <v>79</v>
      </c>
      <c r="E3131" t="s">
        <v>11089</v>
      </c>
      <c r="F3131" t="s">
        <v>145</v>
      </c>
      <c r="G3131" t="s">
        <v>11090</v>
      </c>
    </row>
    <row r="3132" spans="1:7" ht="44.25" customHeight="1">
      <c r="A3132" t="s">
        <v>11091</v>
      </c>
      <c r="B3132" t="s">
        <v>11092</v>
      </c>
      <c r="C3132" t="s">
        <v>132</v>
      </c>
      <c r="D3132" t="s">
        <v>2143</v>
      </c>
      <c r="E3132" t="s">
        <v>5570</v>
      </c>
      <c r="F3132" t="s">
        <v>145</v>
      </c>
      <c r="G3132" t="s">
        <v>11093</v>
      </c>
    </row>
    <row r="3133" spans="1:7" ht="44.25" customHeight="1">
      <c r="A3133" t="s">
        <v>11094</v>
      </c>
      <c r="B3133" t="s">
        <v>11095</v>
      </c>
      <c r="C3133" t="s">
        <v>132</v>
      </c>
      <c r="D3133" t="s">
        <v>2143</v>
      </c>
      <c r="E3133" t="s">
        <v>1542</v>
      </c>
      <c r="F3133" t="s">
        <v>145</v>
      </c>
      <c r="G3133" t="s">
        <v>11096</v>
      </c>
    </row>
    <row r="3134" spans="1:7" ht="44.25" customHeight="1">
      <c r="A3134" t="s">
        <v>11097</v>
      </c>
      <c r="B3134" t="s">
        <v>11098</v>
      </c>
      <c r="C3134" t="s">
        <v>132</v>
      </c>
      <c r="D3134" t="s">
        <v>2143</v>
      </c>
      <c r="E3134" t="s">
        <v>3313</v>
      </c>
      <c r="F3134" t="s">
        <v>145</v>
      </c>
      <c r="G3134" t="s">
        <v>11099</v>
      </c>
    </row>
    <row r="3135" spans="1:7" ht="44.25" customHeight="1">
      <c r="A3135" t="s">
        <v>560</v>
      </c>
      <c r="B3135" t="s">
        <v>11100</v>
      </c>
      <c r="C3135" t="s">
        <v>132</v>
      </c>
      <c r="D3135" t="s">
        <v>79</v>
      </c>
      <c r="E3135" t="s">
        <v>11101</v>
      </c>
      <c r="F3135" t="s">
        <v>145</v>
      </c>
      <c r="G3135" t="s">
        <v>11102</v>
      </c>
    </row>
    <row r="3136" spans="1:7" ht="44.25" customHeight="1">
      <c r="A3136" t="s">
        <v>836</v>
      </c>
      <c r="B3136" t="s">
        <v>11103</v>
      </c>
      <c r="C3136" t="s">
        <v>132</v>
      </c>
      <c r="D3136" t="s">
        <v>79</v>
      </c>
      <c r="E3136" t="s">
        <v>3572</v>
      </c>
      <c r="F3136" t="s">
        <v>145</v>
      </c>
      <c r="G3136" t="s">
        <v>11104</v>
      </c>
    </row>
    <row r="3137" spans="1:7" ht="44.25" customHeight="1">
      <c r="A3137" t="s">
        <v>11105</v>
      </c>
      <c r="B3137" t="s">
        <v>11106</v>
      </c>
      <c r="C3137" t="s">
        <v>132</v>
      </c>
      <c r="D3137" t="s">
        <v>2143</v>
      </c>
      <c r="E3137" t="s">
        <v>2162</v>
      </c>
      <c r="F3137" t="s">
        <v>145</v>
      </c>
      <c r="G3137" t="s">
        <v>11107</v>
      </c>
    </row>
    <row r="3138" spans="1:7" ht="44.25" customHeight="1">
      <c r="A3138" t="s">
        <v>962</v>
      </c>
      <c r="B3138" t="s">
        <v>11108</v>
      </c>
      <c r="C3138" t="s">
        <v>132</v>
      </c>
      <c r="D3138" t="s">
        <v>2143</v>
      </c>
      <c r="E3138" t="s">
        <v>2162</v>
      </c>
      <c r="F3138" t="s">
        <v>145</v>
      </c>
      <c r="G3138" t="s">
        <v>11109</v>
      </c>
    </row>
    <row r="3139" spans="1:7" ht="44.25" customHeight="1">
      <c r="A3139" t="s">
        <v>959</v>
      </c>
      <c r="B3139" t="s">
        <v>11110</v>
      </c>
      <c r="C3139" t="s">
        <v>132</v>
      </c>
      <c r="D3139" t="s">
        <v>2143</v>
      </c>
      <c r="E3139" t="s">
        <v>2162</v>
      </c>
      <c r="F3139" t="s">
        <v>145</v>
      </c>
      <c r="G3139" t="s">
        <v>11111</v>
      </c>
    </row>
    <row r="3140" spans="1:7" ht="44.25" customHeight="1">
      <c r="A3140" t="s">
        <v>926</v>
      </c>
      <c r="B3140" t="s">
        <v>11112</v>
      </c>
      <c r="C3140" t="s">
        <v>132</v>
      </c>
      <c r="D3140" t="s">
        <v>2143</v>
      </c>
      <c r="E3140" t="s">
        <v>2162</v>
      </c>
      <c r="F3140" t="s">
        <v>145</v>
      </c>
      <c r="G3140" t="s">
        <v>11113</v>
      </c>
    </row>
    <row r="3141" spans="1:7" ht="44.25" customHeight="1">
      <c r="A3141" t="s">
        <v>391</v>
      </c>
      <c r="B3141" t="s">
        <v>11114</v>
      </c>
      <c r="C3141" t="s">
        <v>132</v>
      </c>
      <c r="D3141" t="s">
        <v>79</v>
      </c>
      <c r="E3141" t="s">
        <v>11115</v>
      </c>
      <c r="F3141" t="s">
        <v>145</v>
      </c>
      <c r="G3141" t="s">
        <v>11116</v>
      </c>
    </row>
    <row r="3142" spans="1:7" ht="44.25" customHeight="1">
      <c r="A3142" t="s">
        <v>825</v>
      </c>
      <c r="B3142" t="s">
        <v>11117</v>
      </c>
      <c r="C3142" t="s">
        <v>132</v>
      </c>
      <c r="D3142" t="s">
        <v>2143</v>
      </c>
      <c r="E3142" t="s">
        <v>4010</v>
      </c>
      <c r="F3142" t="s">
        <v>145</v>
      </c>
      <c r="G3142" t="s">
        <v>11118</v>
      </c>
    </row>
    <row r="3143" spans="1:7" ht="44.25" customHeight="1">
      <c r="A3143" t="s">
        <v>695</v>
      </c>
      <c r="B3143" t="s">
        <v>11119</v>
      </c>
      <c r="C3143" t="s">
        <v>132</v>
      </c>
      <c r="D3143" t="s">
        <v>2143</v>
      </c>
      <c r="E3143" t="s">
        <v>2155</v>
      </c>
      <c r="F3143" t="s">
        <v>145</v>
      </c>
      <c r="G3143" t="s">
        <v>11120</v>
      </c>
    </row>
    <row r="3144" spans="1:7" ht="44.25" customHeight="1">
      <c r="A3144" t="s">
        <v>609</v>
      </c>
      <c r="B3144" t="s">
        <v>11121</v>
      </c>
      <c r="C3144" t="s">
        <v>132</v>
      </c>
      <c r="D3144" t="s">
        <v>79</v>
      </c>
      <c r="E3144" t="s">
        <v>7579</v>
      </c>
      <c r="F3144" t="s">
        <v>145</v>
      </c>
      <c r="G3144" t="s">
        <v>11122</v>
      </c>
    </row>
    <row r="3145" spans="1:7" ht="44.25" customHeight="1">
      <c r="A3145" t="s">
        <v>11123</v>
      </c>
      <c r="B3145" t="s">
        <v>11124</v>
      </c>
      <c r="C3145" t="s">
        <v>132</v>
      </c>
      <c r="D3145" t="s">
        <v>79</v>
      </c>
      <c r="E3145" t="s">
        <v>11125</v>
      </c>
      <c r="F3145" t="s">
        <v>145</v>
      </c>
      <c r="G3145" t="s">
        <v>11126</v>
      </c>
    </row>
    <row r="3146" spans="1:7" ht="44.25" customHeight="1">
      <c r="A3146" t="s">
        <v>11127</v>
      </c>
      <c r="B3146" t="s">
        <v>11128</v>
      </c>
      <c r="C3146" t="s">
        <v>132</v>
      </c>
      <c r="D3146" t="s">
        <v>79</v>
      </c>
      <c r="E3146" t="s">
        <v>11129</v>
      </c>
      <c r="F3146" t="s">
        <v>145</v>
      </c>
      <c r="G3146" t="s">
        <v>11130</v>
      </c>
    </row>
    <row r="3147" spans="1:7" ht="44.25" customHeight="1">
      <c r="A3147" t="s">
        <v>11131</v>
      </c>
      <c r="B3147" t="s">
        <v>11132</v>
      </c>
      <c r="C3147" t="s">
        <v>132</v>
      </c>
      <c r="D3147" t="s">
        <v>79</v>
      </c>
      <c r="E3147" t="s">
        <v>11133</v>
      </c>
      <c r="F3147" t="s">
        <v>145</v>
      </c>
      <c r="G3147" t="s">
        <v>11134</v>
      </c>
    </row>
    <row r="3148" spans="1:7" ht="44.25" customHeight="1">
      <c r="A3148" t="s">
        <v>11135</v>
      </c>
      <c r="B3148" t="s">
        <v>11136</v>
      </c>
      <c r="C3148" t="s">
        <v>132</v>
      </c>
      <c r="D3148" t="s">
        <v>79</v>
      </c>
      <c r="E3148" t="s">
        <v>11137</v>
      </c>
      <c r="F3148" t="s">
        <v>145</v>
      </c>
      <c r="G3148" t="s">
        <v>11138</v>
      </c>
    </row>
    <row r="3149" spans="1:7" ht="44.25" customHeight="1">
      <c r="A3149" t="s">
        <v>11139</v>
      </c>
      <c r="B3149" t="s">
        <v>11140</v>
      </c>
      <c r="C3149" t="s">
        <v>132</v>
      </c>
      <c r="D3149" t="s">
        <v>2143</v>
      </c>
      <c r="E3149" t="s">
        <v>6489</v>
      </c>
      <c r="F3149" t="s">
        <v>145</v>
      </c>
      <c r="G3149" t="s">
        <v>11141</v>
      </c>
    </row>
    <row r="3150" spans="1:7" ht="44.25" customHeight="1">
      <c r="A3150" t="s">
        <v>11142</v>
      </c>
      <c r="B3150" t="s">
        <v>11143</v>
      </c>
      <c r="C3150" t="s">
        <v>132</v>
      </c>
      <c r="D3150" t="s">
        <v>79</v>
      </c>
      <c r="E3150" t="s">
        <v>11144</v>
      </c>
      <c r="F3150" t="s">
        <v>145</v>
      </c>
      <c r="G3150" t="s">
        <v>11145</v>
      </c>
    </row>
    <row r="3151" spans="1:7" ht="44.25" customHeight="1">
      <c r="A3151" t="s">
        <v>11146</v>
      </c>
      <c r="B3151" t="s">
        <v>11147</v>
      </c>
      <c r="C3151" t="s">
        <v>132</v>
      </c>
      <c r="D3151" t="s">
        <v>2143</v>
      </c>
      <c r="E3151" t="s">
        <v>1542</v>
      </c>
      <c r="F3151" t="s">
        <v>145</v>
      </c>
      <c r="G3151" t="s">
        <v>11148</v>
      </c>
    </row>
    <row r="3152" spans="1:7" ht="44.25" customHeight="1">
      <c r="A3152" t="s">
        <v>11149</v>
      </c>
      <c r="B3152" t="s">
        <v>11150</v>
      </c>
      <c r="C3152" t="s">
        <v>132</v>
      </c>
      <c r="D3152" t="s">
        <v>2143</v>
      </c>
      <c r="E3152" t="s">
        <v>1542</v>
      </c>
      <c r="F3152" t="s">
        <v>145</v>
      </c>
      <c r="G3152" t="s">
        <v>11151</v>
      </c>
    </row>
    <row r="3153" spans="1:7" ht="44.25" customHeight="1">
      <c r="A3153" t="s">
        <v>11152</v>
      </c>
      <c r="B3153" t="s">
        <v>11153</v>
      </c>
      <c r="C3153" t="s">
        <v>132</v>
      </c>
      <c r="D3153" t="s">
        <v>79</v>
      </c>
      <c r="E3153" t="s">
        <v>3462</v>
      </c>
      <c r="F3153" t="s">
        <v>145</v>
      </c>
      <c r="G3153" t="s">
        <v>11154</v>
      </c>
    </row>
    <row r="3154" spans="1:7" ht="44.25" customHeight="1">
      <c r="A3154" t="s">
        <v>11155</v>
      </c>
      <c r="B3154" t="s">
        <v>11156</v>
      </c>
      <c r="C3154" t="s">
        <v>132</v>
      </c>
      <c r="D3154" t="s">
        <v>79</v>
      </c>
      <c r="E3154" t="s">
        <v>3288</v>
      </c>
      <c r="F3154" t="s">
        <v>145</v>
      </c>
      <c r="G3154" t="s">
        <v>11157</v>
      </c>
    </row>
    <row r="3155" spans="1:7" ht="44.25" customHeight="1">
      <c r="A3155" t="s">
        <v>11155</v>
      </c>
      <c r="B3155" t="s">
        <v>11156</v>
      </c>
      <c r="C3155" t="s">
        <v>132</v>
      </c>
      <c r="D3155" t="s">
        <v>79</v>
      </c>
      <c r="E3155" t="s">
        <v>3288</v>
      </c>
      <c r="F3155" t="s">
        <v>145</v>
      </c>
      <c r="G3155" t="s">
        <v>11157</v>
      </c>
    </row>
    <row r="3156" spans="1:7" ht="44.25" customHeight="1">
      <c r="A3156" t="s">
        <v>11158</v>
      </c>
      <c r="B3156" t="s">
        <v>11159</v>
      </c>
      <c r="C3156" t="s">
        <v>132</v>
      </c>
      <c r="D3156" t="s">
        <v>2139</v>
      </c>
      <c r="E3156" t="s">
        <v>1367</v>
      </c>
      <c r="F3156" t="s">
        <v>145</v>
      </c>
      <c r="G3156" t="s">
        <v>11160</v>
      </c>
    </row>
    <row r="3157" spans="1:7" ht="44.25" customHeight="1">
      <c r="A3157" t="s">
        <v>11161</v>
      </c>
      <c r="B3157" t="s">
        <v>11162</v>
      </c>
      <c r="C3157" t="s">
        <v>132</v>
      </c>
      <c r="D3157" t="s">
        <v>2139</v>
      </c>
      <c r="E3157" t="s">
        <v>1367</v>
      </c>
      <c r="F3157" t="s">
        <v>145</v>
      </c>
      <c r="G3157" t="s">
        <v>11163</v>
      </c>
    </row>
    <row r="3158" spans="1:7" ht="44.25" customHeight="1">
      <c r="A3158" t="s">
        <v>1317</v>
      </c>
      <c r="B3158" t="s">
        <v>11164</v>
      </c>
      <c r="C3158" t="s">
        <v>132</v>
      </c>
      <c r="D3158" t="s">
        <v>2139</v>
      </c>
      <c r="E3158" t="s">
        <v>2144</v>
      </c>
      <c r="F3158" t="s">
        <v>145</v>
      </c>
      <c r="G3158" t="s">
        <v>11165</v>
      </c>
    </row>
    <row r="3159" spans="1:7" ht="44.25" customHeight="1">
      <c r="A3159" t="s">
        <v>1378</v>
      </c>
      <c r="B3159" t="s">
        <v>11166</v>
      </c>
      <c r="C3159" t="s">
        <v>132</v>
      </c>
      <c r="D3159" t="s">
        <v>2143</v>
      </c>
      <c r="E3159" t="s">
        <v>2144</v>
      </c>
      <c r="F3159" t="s">
        <v>145</v>
      </c>
      <c r="G3159" t="s">
        <v>11167</v>
      </c>
    </row>
    <row r="3160" spans="1:7" ht="44.25" customHeight="1">
      <c r="A3160" t="s">
        <v>306</v>
      </c>
      <c r="B3160" t="s">
        <v>11168</v>
      </c>
      <c r="C3160" t="s">
        <v>132</v>
      </c>
      <c r="D3160" t="s">
        <v>2143</v>
      </c>
      <c r="E3160" t="s">
        <v>1365</v>
      </c>
      <c r="F3160" t="s">
        <v>145</v>
      </c>
      <c r="G3160" t="s">
        <v>11169</v>
      </c>
    </row>
    <row r="3161" spans="1:7" ht="44.25" customHeight="1">
      <c r="A3161" t="s">
        <v>712</v>
      </c>
      <c r="B3161" t="s">
        <v>11170</v>
      </c>
      <c r="C3161" t="s">
        <v>132</v>
      </c>
      <c r="D3161" t="s">
        <v>2143</v>
      </c>
      <c r="E3161" t="s">
        <v>2155</v>
      </c>
      <c r="F3161" t="s">
        <v>145</v>
      </c>
      <c r="G3161" t="s">
        <v>11171</v>
      </c>
    </row>
    <row r="3162" spans="1:7" ht="44.25" customHeight="1">
      <c r="A3162" t="s">
        <v>11172</v>
      </c>
      <c r="B3162" t="s">
        <v>11173</v>
      </c>
      <c r="C3162" t="s">
        <v>132</v>
      </c>
      <c r="D3162" t="s">
        <v>79</v>
      </c>
      <c r="E3162" t="s">
        <v>9024</v>
      </c>
      <c r="F3162" t="s">
        <v>145</v>
      </c>
      <c r="G3162" t="s">
        <v>11174</v>
      </c>
    </row>
    <row r="3163" spans="1:7" ht="44.25" customHeight="1">
      <c r="A3163" t="s">
        <v>708</v>
      </c>
      <c r="B3163" t="s">
        <v>11175</v>
      </c>
      <c r="C3163" t="s">
        <v>132</v>
      </c>
      <c r="D3163" t="s">
        <v>2143</v>
      </c>
      <c r="E3163" t="s">
        <v>2155</v>
      </c>
      <c r="F3163" t="s">
        <v>145</v>
      </c>
      <c r="G3163" t="s">
        <v>11176</v>
      </c>
    </row>
    <row r="3164" spans="1:7" ht="44.25" customHeight="1">
      <c r="A3164" t="s">
        <v>11177</v>
      </c>
      <c r="B3164" t="s">
        <v>11178</v>
      </c>
      <c r="C3164" t="s">
        <v>132</v>
      </c>
      <c r="D3164" t="s">
        <v>79</v>
      </c>
      <c r="E3164" t="s">
        <v>4091</v>
      </c>
      <c r="F3164" t="s">
        <v>145</v>
      </c>
      <c r="G3164" t="s">
        <v>11179</v>
      </c>
    </row>
    <row r="3165" spans="1:7" ht="44.25" customHeight="1">
      <c r="A3165" t="s">
        <v>11180</v>
      </c>
      <c r="B3165" t="s">
        <v>11181</v>
      </c>
      <c r="C3165" t="s">
        <v>132</v>
      </c>
      <c r="D3165" t="s">
        <v>79</v>
      </c>
      <c r="E3165" t="s">
        <v>11182</v>
      </c>
      <c r="F3165" t="s">
        <v>145</v>
      </c>
      <c r="G3165" t="s">
        <v>11183</v>
      </c>
    </row>
    <row r="3166" spans="1:7" ht="44.25" customHeight="1">
      <c r="A3166" t="s">
        <v>11184</v>
      </c>
      <c r="B3166" t="s">
        <v>11185</v>
      </c>
      <c r="C3166" t="s">
        <v>132</v>
      </c>
      <c r="D3166" t="s">
        <v>2143</v>
      </c>
      <c r="E3166" t="s">
        <v>5570</v>
      </c>
      <c r="F3166" t="s">
        <v>145</v>
      </c>
      <c r="G3166" t="s">
        <v>11186</v>
      </c>
    </row>
    <row r="3167" spans="1:7" ht="44.25" customHeight="1">
      <c r="A3167" t="s">
        <v>132</v>
      </c>
      <c r="B3167" t="s">
        <v>11187</v>
      </c>
      <c r="C3167" t="s">
        <v>132</v>
      </c>
      <c r="D3167" t="s">
        <v>2143</v>
      </c>
      <c r="E3167" t="s">
        <v>5577</v>
      </c>
      <c r="F3167" t="s">
        <v>145</v>
      </c>
      <c r="G3167" t="s">
        <v>11188</v>
      </c>
    </row>
    <row r="3168" spans="1:7" ht="44.25" customHeight="1">
      <c r="A3168" t="s">
        <v>132</v>
      </c>
      <c r="B3168" t="s">
        <v>11189</v>
      </c>
      <c r="C3168" t="s">
        <v>132</v>
      </c>
      <c r="D3168" t="s">
        <v>2143</v>
      </c>
      <c r="E3168" t="s">
        <v>2285</v>
      </c>
      <c r="F3168" t="s">
        <v>145</v>
      </c>
      <c r="G3168" t="s">
        <v>11190</v>
      </c>
    </row>
    <row r="3169" spans="1:7" ht="44.25" customHeight="1">
      <c r="A3169" t="s">
        <v>11191</v>
      </c>
      <c r="B3169" t="s">
        <v>11192</v>
      </c>
      <c r="C3169" t="s">
        <v>132</v>
      </c>
      <c r="D3169" t="s">
        <v>2143</v>
      </c>
      <c r="E3169" t="s">
        <v>1542</v>
      </c>
      <c r="F3169" t="s">
        <v>145</v>
      </c>
      <c r="G3169" t="s">
        <v>11193</v>
      </c>
    </row>
    <row r="3170" spans="1:7" ht="44.25" customHeight="1">
      <c r="A3170" t="s">
        <v>11194</v>
      </c>
      <c r="B3170" t="s">
        <v>11195</v>
      </c>
      <c r="C3170" t="s">
        <v>132</v>
      </c>
      <c r="D3170" t="s">
        <v>2143</v>
      </c>
      <c r="E3170" t="s">
        <v>1542</v>
      </c>
      <c r="F3170" t="s">
        <v>145</v>
      </c>
      <c r="G3170" t="s">
        <v>11196</v>
      </c>
    </row>
    <row r="3171" spans="1:7" ht="44.25" customHeight="1">
      <c r="A3171" t="s">
        <v>11197</v>
      </c>
      <c r="B3171" t="s">
        <v>11198</v>
      </c>
      <c r="C3171" t="s">
        <v>132</v>
      </c>
      <c r="D3171" t="s">
        <v>2143</v>
      </c>
      <c r="E3171" t="s">
        <v>1542</v>
      </c>
      <c r="F3171" t="s">
        <v>145</v>
      </c>
      <c r="G3171" t="s">
        <v>11199</v>
      </c>
    </row>
    <row r="3172" spans="1:7" ht="44.25" customHeight="1">
      <c r="A3172" t="s">
        <v>11200</v>
      </c>
      <c r="B3172" t="s">
        <v>11201</v>
      </c>
      <c r="C3172" t="s">
        <v>132</v>
      </c>
      <c r="D3172" t="s">
        <v>2143</v>
      </c>
      <c r="E3172" t="s">
        <v>1542</v>
      </c>
      <c r="F3172" t="s">
        <v>145</v>
      </c>
      <c r="G3172" t="s">
        <v>11202</v>
      </c>
    </row>
    <row r="3173" spans="1:7" ht="44.25" customHeight="1">
      <c r="A3173" t="s">
        <v>11203</v>
      </c>
      <c r="B3173" t="s">
        <v>11204</v>
      </c>
      <c r="C3173" t="s">
        <v>132</v>
      </c>
      <c r="D3173" t="s">
        <v>79</v>
      </c>
      <c r="E3173" t="s">
        <v>11205</v>
      </c>
      <c r="F3173" t="s">
        <v>145</v>
      </c>
      <c r="G3173" t="s">
        <v>11206</v>
      </c>
    </row>
    <row r="3174" spans="1:7" ht="44.25" customHeight="1">
      <c r="A3174" t="s">
        <v>11207</v>
      </c>
      <c r="B3174" t="s">
        <v>11208</v>
      </c>
      <c r="C3174" t="s">
        <v>132</v>
      </c>
      <c r="D3174" t="s">
        <v>2139</v>
      </c>
      <c r="E3174" t="s">
        <v>1367</v>
      </c>
      <c r="F3174" t="s">
        <v>145</v>
      </c>
      <c r="G3174" t="s">
        <v>11209</v>
      </c>
    </row>
    <row r="3175" spans="1:7" ht="44.25" customHeight="1">
      <c r="A3175" t="s">
        <v>11210</v>
      </c>
      <c r="B3175" t="s">
        <v>11211</v>
      </c>
      <c r="C3175" t="s">
        <v>132</v>
      </c>
      <c r="D3175" t="s">
        <v>2139</v>
      </c>
      <c r="E3175" t="s">
        <v>1365</v>
      </c>
      <c r="F3175" t="s">
        <v>145</v>
      </c>
      <c r="G3175" t="s">
        <v>11212</v>
      </c>
    </row>
    <row r="3176" spans="1:7" ht="44.25" customHeight="1">
      <c r="A3176" t="s">
        <v>11213</v>
      </c>
      <c r="B3176" t="s">
        <v>11214</v>
      </c>
      <c r="C3176" t="s">
        <v>132</v>
      </c>
      <c r="D3176" t="s">
        <v>2139</v>
      </c>
      <c r="E3176" t="s">
        <v>1367</v>
      </c>
      <c r="F3176" t="s">
        <v>145</v>
      </c>
      <c r="G3176" t="s">
        <v>11215</v>
      </c>
    </row>
    <row r="3177" spans="1:7" ht="44.25" customHeight="1">
      <c r="A3177" t="s">
        <v>11216</v>
      </c>
      <c r="B3177" t="s">
        <v>11217</v>
      </c>
      <c r="C3177" t="s">
        <v>132</v>
      </c>
      <c r="D3177" t="s">
        <v>79</v>
      </c>
      <c r="E3177" t="s">
        <v>9820</v>
      </c>
      <c r="F3177" t="s">
        <v>145</v>
      </c>
      <c r="G3177" t="s">
        <v>11218</v>
      </c>
    </row>
    <row r="3178" spans="1:7" ht="44.25" customHeight="1">
      <c r="A3178" t="s">
        <v>11219</v>
      </c>
      <c r="B3178" t="s">
        <v>11220</v>
      </c>
      <c r="C3178" t="s">
        <v>132</v>
      </c>
      <c r="D3178" t="s">
        <v>2143</v>
      </c>
      <c r="E3178" t="s">
        <v>1365</v>
      </c>
      <c r="F3178" t="s">
        <v>145</v>
      </c>
      <c r="G3178" t="s">
        <v>11221</v>
      </c>
    </row>
    <row r="3179" spans="1:7" ht="44.25" customHeight="1">
      <c r="A3179" t="s">
        <v>11222</v>
      </c>
      <c r="B3179" t="s">
        <v>11223</v>
      </c>
      <c r="C3179" t="s">
        <v>132</v>
      </c>
      <c r="D3179" t="s">
        <v>2139</v>
      </c>
      <c r="E3179" t="s">
        <v>1367</v>
      </c>
      <c r="F3179" t="s">
        <v>145</v>
      </c>
      <c r="G3179" t="s">
        <v>11224</v>
      </c>
    </row>
    <row r="3180" spans="1:7" ht="44.25" customHeight="1">
      <c r="A3180" t="s">
        <v>294</v>
      </c>
      <c r="B3180" t="s">
        <v>11225</v>
      </c>
      <c r="C3180" t="s">
        <v>132</v>
      </c>
      <c r="D3180" t="s">
        <v>2139</v>
      </c>
      <c r="E3180" t="s">
        <v>1367</v>
      </c>
      <c r="F3180" t="s">
        <v>145</v>
      </c>
      <c r="G3180" t="s">
        <v>11226</v>
      </c>
    </row>
    <row r="3181" spans="1:7" ht="44.25" customHeight="1">
      <c r="A3181" t="s">
        <v>7104</v>
      </c>
      <c r="B3181" t="s">
        <v>7105</v>
      </c>
      <c r="C3181" t="s">
        <v>132</v>
      </c>
      <c r="D3181" t="s">
        <v>79</v>
      </c>
      <c r="E3181" t="s">
        <v>7106</v>
      </c>
      <c r="F3181" t="s">
        <v>145</v>
      </c>
      <c r="G3181" t="s">
        <v>11227</v>
      </c>
    </row>
    <row r="3182" spans="1:7" ht="44.25" customHeight="1">
      <c r="A3182" t="s">
        <v>524</v>
      </c>
      <c r="B3182" t="s">
        <v>11228</v>
      </c>
      <c r="C3182" t="s">
        <v>132</v>
      </c>
      <c r="D3182" t="s">
        <v>2143</v>
      </c>
      <c r="E3182" t="s">
        <v>11229</v>
      </c>
      <c r="F3182" t="s">
        <v>145</v>
      </c>
      <c r="G3182" t="s">
        <v>11230</v>
      </c>
    </row>
    <row r="3183" spans="1:7" ht="44.25" customHeight="1">
      <c r="A3183" t="s">
        <v>11231</v>
      </c>
      <c r="B3183" t="s">
        <v>11232</v>
      </c>
      <c r="C3183" t="s">
        <v>132</v>
      </c>
      <c r="D3183" t="s">
        <v>79</v>
      </c>
      <c r="E3183" t="s">
        <v>11233</v>
      </c>
      <c r="F3183" t="s">
        <v>145</v>
      </c>
      <c r="G3183" t="s">
        <v>11234</v>
      </c>
    </row>
    <row r="3184" spans="1:7" ht="44.25" customHeight="1">
      <c r="A3184" t="s">
        <v>11235</v>
      </c>
      <c r="B3184" t="s">
        <v>11236</v>
      </c>
      <c r="C3184" t="s">
        <v>132</v>
      </c>
      <c r="D3184" t="s">
        <v>79</v>
      </c>
      <c r="E3184" t="s">
        <v>11237</v>
      </c>
      <c r="F3184" t="s">
        <v>145</v>
      </c>
      <c r="G3184" t="s">
        <v>11238</v>
      </c>
    </row>
    <row r="3185" spans="1:7" ht="44.25" customHeight="1">
      <c r="A3185" t="s">
        <v>11239</v>
      </c>
      <c r="B3185" t="s">
        <v>11240</v>
      </c>
      <c r="C3185" t="s">
        <v>132</v>
      </c>
      <c r="D3185" t="s">
        <v>79</v>
      </c>
      <c r="E3185" t="s">
        <v>11241</v>
      </c>
      <c r="F3185" t="s">
        <v>145</v>
      </c>
      <c r="G3185" t="s">
        <v>11242</v>
      </c>
    </row>
    <row r="3186" spans="1:7" ht="44.25" customHeight="1">
      <c r="A3186" t="s">
        <v>11243</v>
      </c>
      <c r="B3186" t="s">
        <v>11244</v>
      </c>
      <c r="C3186" t="s">
        <v>132</v>
      </c>
      <c r="D3186" t="s">
        <v>79</v>
      </c>
      <c r="E3186" t="s">
        <v>11245</v>
      </c>
      <c r="F3186" t="s">
        <v>145</v>
      </c>
      <c r="G3186" t="s">
        <v>11246</v>
      </c>
    </row>
    <row r="3187" spans="1:7" ht="44.25" customHeight="1">
      <c r="A3187" t="s">
        <v>11247</v>
      </c>
      <c r="B3187" t="s">
        <v>11248</v>
      </c>
      <c r="C3187" t="s">
        <v>132</v>
      </c>
      <c r="D3187" t="s">
        <v>2143</v>
      </c>
      <c r="E3187" t="s">
        <v>1457</v>
      </c>
      <c r="F3187" t="s">
        <v>145</v>
      </c>
      <c r="G3187" t="s">
        <v>11249</v>
      </c>
    </row>
    <row r="3188" spans="1:7" ht="44.25" customHeight="1">
      <c r="A3188" t="s">
        <v>11250</v>
      </c>
      <c r="B3188" t="s">
        <v>11251</v>
      </c>
      <c r="C3188" t="s">
        <v>132</v>
      </c>
      <c r="D3188" t="s">
        <v>2139</v>
      </c>
      <c r="E3188" t="s">
        <v>1367</v>
      </c>
      <c r="F3188" t="s">
        <v>145</v>
      </c>
      <c r="G3188" t="s">
        <v>11252</v>
      </c>
    </row>
    <row r="3189" spans="1:7" ht="44.25" customHeight="1">
      <c r="A3189" t="s">
        <v>11253</v>
      </c>
      <c r="B3189" t="s">
        <v>11254</v>
      </c>
      <c r="C3189" t="s">
        <v>132</v>
      </c>
      <c r="D3189" t="s">
        <v>2143</v>
      </c>
      <c r="E3189" t="s">
        <v>2162</v>
      </c>
      <c r="F3189" t="s">
        <v>145</v>
      </c>
      <c r="G3189" t="s">
        <v>11255</v>
      </c>
    </row>
    <row r="3190" spans="1:7" ht="44.25" customHeight="1">
      <c r="A3190" t="s">
        <v>336</v>
      </c>
      <c r="B3190" t="s">
        <v>11256</v>
      </c>
      <c r="C3190" t="s">
        <v>132</v>
      </c>
      <c r="D3190" t="s">
        <v>2143</v>
      </c>
      <c r="E3190" t="s">
        <v>2162</v>
      </c>
      <c r="F3190" t="s">
        <v>145</v>
      </c>
      <c r="G3190" t="s">
        <v>11257</v>
      </c>
    </row>
    <row r="3191" spans="1:7" ht="44.25" customHeight="1">
      <c r="A3191" t="s">
        <v>727</v>
      </c>
      <c r="B3191" t="s">
        <v>11258</v>
      </c>
      <c r="C3191" t="s">
        <v>132</v>
      </c>
      <c r="D3191" t="s">
        <v>79</v>
      </c>
      <c r="E3191" t="s">
        <v>4397</v>
      </c>
      <c r="F3191" t="s">
        <v>145</v>
      </c>
      <c r="G3191" t="s">
        <v>11259</v>
      </c>
    </row>
    <row r="3192" spans="1:7" ht="44.25" customHeight="1">
      <c r="A3192" t="s">
        <v>724</v>
      </c>
      <c r="B3192" t="s">
        <v>11260</v>
      </c>
      <c r="C3192" t="s">
        <v>132</v>
      </c>
      <c r="D3192" t="s">
        <v>79</v>
      </c>
      <c r="E3192" t="s">
        <v>4397</v>
      </c>
      <c r="F3192" t="s">
        <v>145</v>
      </c>
      <c r="G3192" t="s">
        <v>11261</v>
      </c>
    </row>
    <row r="3193" spans="1:7" ht="44.25" customHeight="1">
      <c r="A3193" t="s">
        <v>132</v>
      </c>
      <c r="B3193" t="s">
        <v>11262</v>
      </c>
      <c r="C3193" t="s">
        <v>132</v>
      </c>
      <c r="D3193" t="s">
        <v>79</v>
      </c>
      <c r="E3193" t="s">
        <v>1465</v>
      </c>
      <c r="F3193" t="s">
        <v>145</v>
      </c>
      <c r="G3193" t="s">
        <v>11263</v>
      </c>
    </row>
    <row r="3194" spans="1:7" ht="44.25" customHeight="1">
      <c r="A3194" t="s">
        <v>11264</v>
      </c>
      <c r="B3194" t="s">
        <v>11265</v>
      </c>
      <c r="C3194" t="s">
        <v>132</v>
      </c>
      <c r="D3194" t="s">
        <v>79</v>
      </c>
      <c r="E3194" t="s">
        <v>11266</v>
      </c>
      <c r="F3194" t="s">
        <v>145</v>
      </c>
      <c r="G3194" t="s">
        <v>11267</v>
      </c>
    </row>
    <row r="3195" spans="1:7" ht="44.25" customHeight="1">
      <c r="A3195" t="s">
        <v>11268</v>
      </c>
      <c r="B3195" t="s">
        <v>11269</v>
      </c>
      <c r="C3195" t="s">
        <v>132</v>
      </c>
      <c r="D3195" t="s">
        <v>79</v>
      </c>
      <c r="E3195" t="s">
        <v>11270</v>
      </c>
      <c r="F3195" t="s">
        <v>145</v>
      </c>
      <c r="G3195" t="s">
        <v>11271</v>
      </c>
    </row>
    <row r="3196" spans="1:7" ht="44.25" customHeight="1">
      <c r="A3196" t="s">
        <v>11272</v>
      </c>
      <c r="B3196" t="s">
        <v>11273</v>
      </c>
      <c r="C3196" t="s">
        <v>132</v>
      </c>
      <c r="D3196" t="s">
        <v>79</v>
      </c>
      <c r="E3196" t="s">
        <v>11274</v>
      </c>
      <c r="F3196" t="s">
        <v>145</v>
      </c>
      <c r="G3196" t="s">
        <v>11275</v>
      </c>
    </row>
    <row r="3197" spans="1:7" ht="44.25" customHeight="1">
      <c r="A3197" t="s">
        <v>11276</v>
      </c>
      <c r="B3197" t="s">
        <v>11277</v>
      </c>
      <c r="C3197" t="s">
        <v>132</v>
      </c>
      <c r="D3197" t="s">
        <v>2143</v>
      </c>
      <c r="E3197" t="s">
        <v>1542</v>
      </c>
      <c r="F3197" t="s">
        <v>145</v>
      </c>
      <c r="G3197" t="s">
        <v>11278</v>
      </c>
    </row>
    <row r="3198" spans="1:7" ht="44.25" customHeight="1">
      <c r="A3198" t="s">
        <v>11279</v>
      </c>
      <c r="B3198" t="s">
        <v>11280</v>
      </c>
      <c r="C3198" t="s">
        <v>132</v>
      </c>
      <c r="D3198" t="s">
        <v>2143</v>
      </c>
      <c r="E3198" t="s">
        <v>1542</v>
      </c>
      <c r="F3198" t="s">
        <v>145</v>
      </c>
      <c r="G3198" t="s">
        <v>11281</v>
      </c>
    </row>
    <row r="3199" spans="1:7" ht="44.25" customHeight="1">
      <c r="A3199" t="s">
        <v>132</v>
      </c>
      <c r="B3199" t="s">
        <v>11282</v>
      </c>
      <c r="C3199" t="s">
        <v>11283</v>
      </c>
      <c r="D3199" t="s">
        <v>2143</v>
      </c>
      <c r="E3199" t="s">
        <v>1542</v>
      </c>
      <c r="F3199" t="s">
        <v>145</v>
      </c>
      <c r="G3199" t="s">
        <v>11284</v>
      </c>
    </row>
    <row r="3200" spans="1:7" ht="44.25" customHeight="1">
      <c r="A3200" t="s">
        <v>11285</v>
      </c>
      <c r="B3200" t="s">
        <v>11286</v>
      </c>
      <c r="C3200" t="s">
        <v>132</v>
      </c>
      <c r="D3200" t="s">
        <v>2143</v>
      </c>
      <c r="E3200" t="s">
        <v>1542</v>
      </c>
      <c r="F3200" t="s">
        <v>145</v>
      </c>
      <c r="G3200" t="s">
        <v>11287</v>
      </c>
    </row>
    <row r="3201" spans="1:7" ht="44.25" customHeight="1">
      <c r="A3201" t="s">
        <v>11288</v>
      </c>
      <c r="B3201" t="s">
        <v>11289</v>
      </c>
      <c r="C3201" t="s">
        <v>132</v>
      </c>
      <c r="D3201" t="s">
        <v>79</v>
      </c>
      <c r="E3201" t="s">
        <v>11290</v>
      </c>
      <c r="F3201" t="s">
        <v>145</v>
      </c>
      <c r="G3201" t="s">
        <v>11291</v>
      </c>
    </row>
    <row r="3202" spans="1:7" ht="44.25" customHeight="1">
      <c r="A3202" t="s">
        <v>11292</v>
      </c>
      <c r="B3202" t="s">
        <v>11293</v>
      </c>
      <c r="C3202" t="s">
        <v>132</v>
      </c>
      <c r="D3202" t="s">
        <v>2139</v>
      </c>
      <c r="E3202" t="s">
        <v>1365</v>
      </c>
      <c r="F3202" t="s">
        <v>145</v>
      </c>
      <c r="G3202" t="s">
        <v>11294</v>
      </c>
    </row>
    <row r="3203" spans="1:7" ht="44.25" customHeight="1">
      <c r="A3203" t="s">
        <v>11295</v>
      </c>
      <c r="B3203" t="s">
        <v>11296</v>
      </c>
      <c r="C3203" t="s">
        <v>132</v>
      </c>
      <c r="D3203" t="s">
        <v>2139</v>
      </c>
      <c r="E3203" t="s">
        <v>1367</v>
      </c>
      <c r="F3203" t="s">
        <v>145</v>
      </c>
      <c r="G3203" t="s">
        <v>11297</v>
      </c>
    </row>
    <row r="3204" spans="1:7" ht="44.25" customHeight="1">
      <c r="A3204" t="s">
        <v>407</v>
      </c>
      <c r="B3204" t="s">
        <v>11298</v>
      </c>
      <c r="C3204" t="s">
        <v>132</v>
      </c>
      <c r="D3204" t="s">
        <v>79</v>
      </c>
      <c r="E3204" t="s">
        <v>4167</v>
      </c>
      <c r="F3204" t="s">
        <v>145</v>
      </c>
      <c r="G3204" t="s">
        <v>11299</v>
      </c>
    </row>
    <row r="3205" spans="1:7" ht="44.25" customHeight="1">
      <c r="A3205" t="s">
        <v>11300</v>
      </c>
      <c r="B3205" t="s">
        <v>11301</v>
      </c>
      <c r="C3205" t="s">
        <v>132</v>
      </c>
      <c r="D3205" t="s">
        <v>79</v>
      </c>
      <c r="E3205" t="s">
        <v>11302</v>
      </c>
      <c r="F3205" t="s">
        <v>145</v>
      </c>
      <c r="G3205" t="s">
        <v>11303</v>
      </c>
    </row>
    <row r="3206" spans="1:7" ht="44.25" customHeight="1">
      <c r="A3206" t="s">
        <v>11304</v>
      </c>
      <c r="B3206" t="s">
        <v>11305</v>
      </c>
      <c r="C3206" t="s">
        <v>132</v>
      </c>
      <c r="D3206" t="s">
        <v>79</v>
      </c>
      <c r="E3206" t="s">
        <v>11306</v>
      </c>
      <c r="F3206" t="s">
        <v>145</v>
      </c>
      <c r="G3206" t="s">
        <v>11307</v>
      </c>
    </row>
    <row r="3207" spans="1:7" ht="44.25" customHeight="1">
      <c r="A3207" t="s">
        <v>11308</v>
      </c>
      <c r="B3207" t="s">
        <v>11309</v>
      </c>
      <c r="C3207" t="s">
        <v>132</v>
      </c>
      <c r="D3207" t="s">
        <v>79</v>
      </c>
      <c r="E3207" t="s">
        <v>11310</v>
      </c>
      <c r="F3207" t="s">
        <v>145</v>
      </c>
      <c r="G3207" t="s">
        <v>11311</v>
      </c>
    </row>
    <row r="3208" spans="1:7" ht="44.25" customHeight="1">
      <c r="A3208" t="s">
        <v>11312</v>
      </c>
      <c r="B3208" t="s">
        <v>11313</v>
      </c>
      <c r="C3208" t="s">
        <v>132</v>
      </c>
      <c r="D3208" t="s">
        <v>79</v>
      </c>
      <c r="E3208" t="s">
        <v>11314</v>
      </c>
      <c r="F3208" t="s">
        <v>145</v>
      </c>
      <c r="G3208" t="s">
        <v>11315</v>
      </c>
    </row>
    <row r="3209" spans="1:7" ht="44.25" customHeight="1">
      <c r="A3209" t="s">
        <v>11316</v>
      </c>
      <c r="B3209" t="s">
        <v>11317</v>
      </c>
      <c r="C3209" t="s">
        <v>132</v>
      </c>
      <c r="D3209" t="s">
        <v>79</v>
      </c>
      <c r="E3209" t="s">
        <v>4792</v>
      </c>
      <c r="F3209" t="s">
        <v>145</v>
      </c>
      <c r="G3209" t="s">
        <v>11318</v>
      </c>
    </row>
    <row r="3210" spans="1:7" ht="44.25" customHeight="1">
      <c r="A3210" t="s">
        <v>132</v>
      </c>
      <c r="B3210" t="s">
        <v>11319</v>
      </c>
      <c r="C3210" t="s">
        <v>132</v>
      </c>
      <c r="D3210" t="s">
        <v>2143</v>
      </c>
      <c r="E3210" t="s">
        <v>6691</v>
      </c>
      <c r="F3210" t="s">
        <v>145</v>
      </c>
      <c r="G3210" t="s">
        <v>11320</v>
      </c>
    </row>
    <row r="3211" spans="1:7" ht="44.25" customHeight="1">
      <c r="A3211" t="s">
        <v>816</v>
      </c>
      <c r="B3211" t="s">
        <v>11321</v>
      </c>
      <c r="C3211" t="s">
        <v>132</v>
      </c>
      <c r="D3211" t="s">
        <v>79</v>
      </c>
      <c r="E3211" t="s">
        <v>1534</v>
      </c>
      <c r="F3211" t="s">
        <v>145</v>
      </c>
      <c r="G3211" t="s">
        <v>11322</v>
      </c>
    </row>
    <row r="3212" spans="1:7" ht="44.25" customHeight="1">
      <c r="A3212" t="s">
        <v>11323</v>
      </c>
      <c r="B3212" t="s">
        <v>11324</v>
      </c>
      <c r="C3212" t="s">
        <v>132</v>
      </c>
      <c r="D3212" t="s">
        <v>2143</v>
      </c>
      <c r="E3212" t="s">
        <v>1542</v>
      </c>
      <c r="F3212" t="s">
        <v>145</v>
      </c>
      <c r="G3212" t="s">
        <v>11325</v>
      </c>
    </row>
    <row r="3213" spans="1:7" ht="44.25" customHeight="1">
      <c r="A3213" t="s">
        <v>11326</v>
      </c>
      <c r="B3213" t="s">
        <v>11327</v>
      </c>
      <c r="C3213" t="s">
        <v>132</v>
      </c>
      <c r="D3213" t="s">
        <v>2143</v>
      </c>
      <c r="E3213" t="s">
        <v>2285</v>
      </c>
      <c r="F3213" t="s">
        <v>145</v>
      </c>
      <c r="G3213" t="s">
        <v>11328</v>
      </c>
    </row>
    <row r="3214" spans="1:7" ht="44.25" customHeight="1">
      <c r="A3214" t="s">
        <v>11329</v>
      </c>
      <c r="B3214" t="s">
        <v>11330</v>
      </c>
      <c r="C3214" t="s">
        <v>132</v>
      </c>
      <c r="D3214" t="s">
        <v>2143</v>
      </c>
      <c r="E3214" t="s">
        <v>2285</v>
      </c>
      <c r="F3214" t="s">
        <v>145</v>
      </c>
      <c r="G3214" t="s">
        <v>11331</v>
      </c>
    </row>
    <row r="3215" spans="1:7" ht="44.25" customHeight="1">
      <c r="A3215" t="s">
        <v>243</v>
      </c>
      <c r="B3215" t="s">
        <v>11332</v>
      </c>
      <c r="C3215" t="s">
        <v>132</v>
      </c>
      <c r="D3215" t="s">
        <v>2143</v>
      </c>
      <c r="E3215" t="s">
        <v>1542</v>
      </c>
      <c r="F3215" t="s">
        <v>145</v>
      </c>
      <c r="G3215" t="s">
        <v>11333</v>
      </c>
    </row>
    <row r="3216" spans="1:7" ht="44.25" customHeight="1">
      <c r="A3216" t="s">
        <v>11334</v>
      </c>
      <c r="B3216" t="s">
        <v>11335</v>
      </c>
      <c r="C3216" t="s">
        <v>132</v>
      </c>
      <c r="D3216" t="s">
        <v>2143</v>
      </c>
      <c r="E3216" t="s">
        <v>2285</v>
      </c>
      <c r="F3216" t="s">
        <v>145</v>
      </c>
      <c r="G3216" t="s">
        <v>11336</v>
      </c>
    </row>
    <row r="3217" spans="1:7" ht="44.25" customHeight="1">
      <c r="A3217" t="s">
        <v>11337</v>
      </c>
      <c r="B3217" t="s">
        <v>11338</v>
      </c>
      <c r="C3217" t="s">
        <v>132</v>
      </c>
      <c r="D3217" t="s">
        <v>79</v>
      </c>
      <c r="E3217" t="s">
        <v>8993</v>
      </c>
      <c r="F3217" t="s">
        <v>145</v>
      </c>
      <c r="G3217" t="s">
        <v>11339</v>
      </c>
    </row>
    <row r="3218" spans="1:7" ht="44.25" customHeight="1">
      <c r="A3218" t="s">
        <v>11340</v>
      </c>
      <c r="B3218" t="s">
        <v>11341</v>
      </c>
      <c r="C3218" t="s">
        <v>132</v>
      </c>
      <c r="D3218" t="s">
        <v>79</v>
      </c>
      <c r="E3218" t="s">
        <v>7933</v>
      </c>
      <c r="F3218" t="s">
        <v>145</v>
      </c>
      <c r="G3218" t="s">
        <v>11342</v>
      </c>
    </row>
    <row r="3219" spans="1:7" ht="44.25" customHeight="1">
      <c r="A3219" t="s">
        <v>11343</v>
      </c>
      <c r="B3219" t="s">
        <v>11344</v>
      </c>
      <c r="C3219" t="s">
        <v>132</v>
      </c>
      <c r="D3219" t="s">
        <v>2139</v>
      </c>
      <c r="E3219" t="s">
        <v>1365</v>
      </c>
      <c r="F3219" t="s">
        <v>145</v>
      </c>
      <c r="G3219" t="s">
        <v>11345</v>
      </c>
    </row>
    <row r="3220" spans="1:7" ht="44.25" customHeight="1">
      <c r="A3220" t="s">
        <v>11346</v>
      </c>
      <c r="B3220" t="s">
        <v>11347</v>
      </c>
      <c r="C3220" t="s">
        <v>132</v>
      </c>
      <c r="D3220" t="s">
        <v>2139</v>
      </c>
      <c r="E3220" t="s">
        <v>1365</v>
      </c>
      <c r="F3220" t="s">
        <v>145</v>
      </c>
      <c r="G3220" t="s">
        <v>11348</v>
      </c>
    </row>
    <row r="3221" spans="1:7" ht="44.25" customHeight="1">
      <c r="A3221" t="s">
        <v>11349</v>
      </c>
      <c r="B3221" t="s">
        <v>11350</v>
      </c>
      <c r="C3221" t="s">
        <v>132</v>
      </c>
      <c r="D3221" t="s">
        <v>2143</v>
      </c>
      <c r="E3221" t="s">
        <v>8372</v>
      </c>
      <c r="F3221" t="s">
        <v>145</v>
      </c>
      <c r="G3221" t="s">
        <v>11351</v>
      </c>
    </row>
    <row r="3222" spans="1:7" ht="44.25" customHeight="1">
      <c r="A3222" t="s">
        <v>933</v>
      </c>
      <c r="B3222" t="s">
        <v>11352</v>
      </c>
      <c r="C3222" t="s">
        <v>132</v>
      </c>
      <c r="D3222" t="s">
        <v>2143</v>
      </c>
      <c r="E3222" t="s">
        <v>2162</v>
      </c>
      <c r="F3222" t="s">
        <v>145</v>
      </c>
      <c r="G3222" t="s">
        <v>11353</v>
      </c>
    </row>
    <row r="3223" spans="1:7" ht="44.25" customHeight="1">
      <c r="A3223" t="s">
        <v>689</v>
      </c>
      <c r="B3223" t="s">
        <v>11354</v>
      </c>
      <c r="C3223" t="s">
        <v>132</v>
      </c>
      <c r="D3223" t="s">
        <v>2143</v>
      </c>
      <c r="E3223" t="s">
        <v>1519</v>
      </c>
      <c r="F3223" t="s">
        <v>145</v>
      </c>
      <c r="G3223" t="s">
        <v>11355</v>
      </c>
    </row>
    <row r="3224" spans="1:7" ht="44.25" customHeight="1">
      <c r="A3224" t="s">
        <v>11356</v>
      </c>
      <c r="B3224" t="s">
        <v>11357</v>
      </c>
      <c r="C3224" t="s">
        <v>132</v>
      </c>
      <c r="D3224" t="s">
        <v>79</v>
      </c>
      <c r="E3224" t="s">
        <v>11358</v>
      </c>
      <c r="F3224" t="s">
        <v>145</v>
      </c>
      <c r="G3224" t="s">
        <v>11359</v>
      </c>
    </row>
    <row r="3225" spans="1:7" ht="44.25" customHeight="1">
      <c r="A3225" t="s">
        <v>11360</v>
      </c>
      <c r="B3225" t="s">
        <v>11361</v>
      </c>
      <c r="C3225" t="s">
        <v>132</v>
      </c>
      <c r="D3225" t="s">
        <v>79</v>
      </c>
      <c r="E3225" t="s">
        <v>11362</v>
      </c>
      <c r="F3225" t="s">
        <v>145</v>
      </c>
      <c r="G3225" t="s">
        <v>11363</v>
      </c>
    </row>
    <row r="3226" spans="1:7" ht="44.25" customHeight="1">
      <c r="A3226" t="s">
        <v>11364</v>
      </c>
      <c r="B3226" t="s">
        <v>11365</v>
      </c>
      <c r="C3226" t="s">
        <v>132</v>
      </c>
      <c r="D3226" t="s">
        <v>79</v>
      </c>
      <c r="E3226" t="s">
        <v>11366</v>
      </c>
      <c r="F3226" t="s">
        <v>145</v>
      </c>
      <c r="G3226" t="s">
        <v>11367</v>
      </c>
    </row>
    <row r="3227" spans="1:7" ht="44.25" customHeight="1">
      <c r="A3227" t="s">
        <v>11368</v>
      </c>
      <c r="B3227" t="s">
        <v>11369</v>
      </c>
      <c r="C3227" t="s">
        <v>132</v>
      </c>
      <c r="D3227" t="s">
        <v>79</v>
      </c>
      <c r="E3227" t="s">
        <v>11370</v>
      </c>
      <c r="F3227" t="s">
        <v>145</v>
      </c>
      <c r="G3227" t="s">
        <v>11371</v>
      </c>
    </row>
    <row r="3228" spans="1:7" ht="44.25" customHeight="1">
      <c r="A3228" t="s">
        <v>11368</v>
      </c>
      <c r="B3228" t="s">
        <v>11369</v>
      </c>
      <c r="C3228" t="s">
        <v>132</v>
      </c>
      <c r="D3228" t="s">
        <v>79</v>
      </c>
      <c r="E3228" t="s">
        <v>11370</v>
      </c>
      <c r="F3228" t="s">
        <v>145</v>
      </c>
      <c r="G3228" t="s">
        <v>11371</v>
      </c>
    </row>
    <row r="3229" spans="1:7" ht="44.25" customHeight="1">
      <c r="A3229" t="s">
        <v>11372</v>
      </c>
      <c r="B3229" t="s">
        <v>11373</v>
      </c>
      <c r="C3229" t="s">
        <v>132</v>
      </c>
      <c r="D3229" t="s">
        <v>2143</v>
      </c>
      <c r="E3229" t="s">
        <v>5577</v>
      </c>
      <c r="F3229" t="s">
        <v>145</v>
      </c>
      <c r="G3229" t="s">
        <v>11374</v>
      </c>
    </row>
    <row r="3230" spans="1:7" ht="44.25" customHeight="1">
      <c r="A3230" t="s">
        <v>132</v>
      </c>
      <c r="B3230" t="s">
        <v>11375</v>
      </c>
      <c r="C3230" t="s">
        <v>132</v>
      </c>
      <c r="D3230" t="s">
        <v>2143</v>
      </c>
      <c r="E3230" t="s">
        <v>5624</v>
      </c>
      <c r="F3230" t="s">
        <v>145</v>
      </c>
      <c r="G3230" t="s">
        <v>11376</v>
      </c>
    </row>
    <row r="3231" spans="1:7" ht="44.25" customHeight="1">
      <c r="A3231" t="s">
        <v>132</v>
      </c>
      <c r="B3231" t="s">
        <v>11377</v>
      </c>
      <c r="C3231" t="s">
        <v>132</v>
      </c>
      <c r="D3231" t="s">
        <v>2143</v>
      </c>
      <c r="E3231" t="s">
        <v>5577</v>
      </c>
      <c r="F3231" t="s">
        <v>145</v>
      </c>
      <c r="G3231" t="s">
        <v>11378</v>
      </c>
    </row>
    <row r="3232" spans="1:7" ht="44.25" customHeight="1">
      <c r="A3232" t="s">
        <v>11379</v>
      </c>
      <c r="B3232" t="s">
        <v>11380</v>
      </c>
      <c r="C3232" t="s">
        <v>11381</v>
      </c>
      <c r="D3232" t="s">
        <v>79</v>
      </c>
      <c r="E3232" t="s">
        <v>11382</v>
      </c>
      <c r="F3232" t="s">
        <v>145</v>
      </c>
      <c r="G3232" t="s">
        <v>11383</v>
      </c>
    </row>
    <row r="3233" spans="1:7" ht="44.25" customHeight="1">
      <c r="A3233" t="s">
        <v>591</v>
      </c>
      <c r="B3233" t="s">
        <v>11384</v>
      </c>
      <c r="C3233" t="s">
        <v>132</v>
      </c>
      <c r="D3233" t="s">
        <v>2143</v>
      </c>
      <c r="E3233" t="s">
        <v>4741</v>
      </c>
      <c r="F3233" t="s">
        <v>145</v>
      </c>
      <c r="G3233" t="s">
        <v>11385</v>
      </c>
    </row>
    <row r="3234" spans="1:7" ht="44.25" customHeight="1">
      <c r="A3234" t="s">
        <v>11386</v>
      </c>
      <c r="B3234" t="s">
        <v>11387</v>
      </c>
      <c r="C3234" t="s">
        <v>132</v>
      </c>
      <c r="D3234" t="s">
        <v>79</v>
      </c>
      <c r="E3234" t="s">
        <v>11388</v>
      </c>
      <c r="F3234" t="s">
        <v>145</v>
      </c>
      <c r="G3234" t="s">
        <v>11389</v>
      </c>
    </row>
    <row r="3235" spans="1:7" ht="44.25" customHeight="1">
      <c r="A3235" t="s">
        <v>6023</v>
      </c>
      <c r="B3235" t="s">
        <v>6024</v>
      </c>
      <c r="C3235" t="s">
        <v>132</v>
      </c>
      <c r="D3235" t="s">
        <v>79</v>
      </c>
      <c r="E3235" t="s">
        <v>6025</v>
      </c>
      <c r="F3235" t="s">
        <v>145</v>
      </c>
      <c r="G3235" t="s">
        <v>11390</v>
      </c>
    </row>
    <row r="3236" spans="1:7" ht="44.25" customHeight="1">
      <c r="A3236" t="s">
        <v>11391</v>
      </c>
      <c r="B3236" t="s">
        <v>11392</v>
      </c>
      <c r="C3236" t="s">
        <v>132</v>
      </c>
      <c r="D3236" t="s">
        <v>79</v>
      </c>
      <c r="E3236" t="s">
        <v>11393</v>
      </c>
      <c r="F3236" t="s">
        <v>145</v>
      </c>
      <c r="G3236" t="s">
        <v>11394</v>
      </c>
    </row>
    <row r="3237" spans="1:7" ht="44.25" customHeight="1">
      <c r="A3237" t="s">
        <v>11395</v>
      </c>
      <c r="B3237" t="s">
        <v>11396</v>
      </c>
      <c r="C3237" t="s">
        <v>132</v>
      </c>
      <c r="D3237" t="s">
        <v>2143</v>
      </c>
      <c r="E3237" t="s">
        <v>5570</v>
      </c>
      <c r="F3237" t="s">
        <v>145</v>
      </c>
      <c r="G3237" t="s">
        <v>11397</v>
      </c>
    </row>
    <row r="3238" spans="1:7" ht="44.25" customHeight="1">
      <c r="A3238" t="s">
        <v>11398</v>
      </c>
      <c r="B3238" t="s">
        <v>11399</v>
      </c>
      <c r="C3238" t="s">
        <v>132</v>
      </c>
      <c r="D3238" t="s">
        <v>2143</v>
      </c>
      <c r="E3238" t="s">
        <v>6932</v>
      </c>
      <c r="F3238" t="s">
        <v>145</v>
      </c>
      <c r="G3238" t="s">
        <v>11400</v>
      </c>
    </row>
    <row r="3239" spans="1:7" ht="44.25" customHeight="1">
      <c r="A3239" t="s">
        <v>11401</v>
      </c>
      <c r="B3239" t="s">
        <v>11402</v>
      </c>
      <c r="C3239" t="s">
        <v>132</v>
      </c>
      <c r="D3239" t="s">
        <v>79</v>
      </c>
      <c r="E3239" t="s">
        <v>10697</v>
      </c>
      <c r="F3239" t="s">
        <v>145</v>
      </c>
      <c r="G3239" t="s">
        <v>11403</v>
      </c>
    </row>
    <row r="3240" spans="1:7" ht="44.25" customHeight="1">
      <c r="A3240" t="s">
        <v>269</v>
      </c>
      <c r="B3240" t="s">
        <v>11404</v>
      </c>
      <c r="C3240" t="s">
        <v>1440</v>
      </c>
      <c r="D3240" t="s">
        <v>2143</v>
      </c>
      <c r="E3240" t="s">
        <v>1439</v>
      </c>
      <c r="F3240" t="s">
        <v>145</v>
      </c>
      <c r="G3240" t="s">
        <v>11405</v>
      </c>
    </row>
    <row r="3241" spans="1:7" ht="44.25" customHeight="1">
      <c r="A3241" t="s">
        <v>1293</v>
      </c>
      <c r="B3241" t="s">
        <v>11406</v>
      </c>
      <c r="C3241" t="s">
        <v>132</v>
      </c>
      <c r="D3241" t="s">
        <v>2143</v>
      </c>
      <c r="E3241" t="s">
        <v>2144</v>
      </c>
      <c r="F3241" t="s">
        <v>145</v>
      </c>
      <c r="G3241" t="s">
        <v>11407</v>
      </c>
    </row>
    <row r="3242" spans="1:7" ht="44.25" customHeight="1">
      <c r="A3242" t="s">
        <v>303</v>
      </c>
      <c r="B3242" t="s">
        <v>11408</v>
      </c>
      <c r="C3242" t="s">
        <v>132</v>
      </c>
      <c r="D3242" t="s">
        <v>2139</v>
      </c>
      <c r="E3242" t="s">
        <v>1367</v>
      </c>
      <c r="F3242" t="s">
        <v>145</v>
      </c>
      <c r="G3242" t="s">
        <v>11409</v>
      </c>
    </row>
    <row r="3243" spans="1:7" ht="44.25" customHeight="1">
      <c r="A3243" t="s">
        <v>301</v>
      </c>
      <c r="B3243" t="s">
        <v>11410</v>
      </c>
      <c r="C3243" t="s">
        <v>132</v>
      </c>
      <c r="D3243" t="s">
        <v>79</v>
      </c>
      <c r="E3243" t="s">
        <v>2155</v>
      </c>
      <c r="F3243" t="s">
        <v>145</v>
      </c>
      <c r="G3243" t="s">
        <v>11411</v>
      </c>
    </row>
    <row r="3244" spans="1:7" ht="44.25" customHeight="1">
      <c r="A3244" t="s">
        <v>341</v>
      </c>
      <c r="B3244" t="s">
        <v>11412</v>
      </c>
      <c r="C3244" t="s">
        <v>132</v>
      </c>
      <c r="D3244" t="s">
        <v>2139</v>
      </c>
      <c r="E3244" t="s">
        <v>1367</v>
      </c>
      <c r="F3244" t="s">
        <v>145</v>
      </c>
      <c r="G3244" t="s">
        <v>11413</v>
      </c>
    </row>
    <row r="3245" spans="1:7" ht="44.25" customHeight="1">
      <c r="A3245" t="s">
        <v>718</v>
      </c>
      <c r="B3245" t="s">
        <v>11414</v>
      </c>
      <c r="C3245" t="s">
        <v>132</v>
      </c>
      <c r="D3245" t="s">
        <v>79</v>
      </c>
      <c r="E3245" t="s">
        <v>8670</v>
      </c>
      <c r="F3245" t="s">
        <v>145</v>
      </c>
      <c r="G3245" t="s">
        <v>11415</v>
      </c>
    </row>
    <row r="3246" spans="1:7" ht="44.25" customHeight="1">
      <c r="A3246" t="s">
        <v>423</v>
      </c>
      <c r="B3246" t="s">
        <v>11416</v>
      </c>
      <c r="C3246" t="s">
        <v>132</v>
      </c>
      <c r="D3246" t="s">
        <v>79</v>
      </c>
      <c r="E3246" t="s">
        <v>4418</v>
      </c>
      <c r="F3246" t="s">
        <v>145</v>
      </c>
      <c r="G3246" t="s">
        <v>11417</v>
      </c>
    </row>
    <row r="3247" spans="1:7" ht="44.25" customHeight="1">
      <c r="A3247" t="s">
        <v>132</v>
      </c>
      <c r="B3247" t="s">
        <v>11418</v>
      </c>
      <c r="C3247" t="s">
        <v>132</v>
      </c>
      <c r="D3247" t="s">
        <v>79</v>
      </c>
      <c r="E3247" t="s">
        <v>1521</v>
      </c>
      <c r="F3247" t="s">
        <v>145</v>
      </c>
      <c r="G3247" t="s">
        <v>11419</v>
      </c>
    </row>
    <row r="3248" spans="1:7" ht="44.25" customHeight="1">
      <c r="A3248" t="s">
        <v>11420</v>
      </c>
      <c r="B3248" t="s">
        <v>11421</v>
      </c>
      <c r="C3248" t="s">
        <v>132</v>
      </c>
      <c r="D3248" t="s">
        <v>79</v>
      </c>
      <c r="E3248" t="s">
        <v>9923</v>
      </c>
      <c r="F3248" t="s">
        <v>145</v>
      </c>
      <c r="G3248" t="s">
        <v>11422</v>
      </c>
    </row>
    <row r="3249" spans="1:7" ht="44.25" customHeight="1">
      <c r="A3249" t="s">
        <v>11423</v>
      </c>
      <c r="B3249" t="s">
        <v>11424</v>
      </c>
      <c r="C3249" t="s">
        <v>132</v>
      </c>
      <c r="D3249" t="s">
        <v>79</v>
      </c>
      <c r="E3249" t="s">
        <v>6523</v>
      </c>
      <c r="F3249" t="s">
        <v>145</v>
      </c>
      <c r="G3249" t="s">
        <v>11425</v>
      </c>
    </row>
    <row r="3250" spans="1:7" ht="44.25" customHeight="1">
      <c r="A3250" t="s">
        <v>11426</v>
      </c>
      <c r="B3250" t="s">
        <v>11427</v>
      </c>
      <c r="C3250" t="s">
        <v>132</v>
      </c>
      <c r="D3250" t="s">
        <v>79</v>
      </c>
      <c r="E3250" t="s">
        <v>11428</v>
      </c>
      <c r="F3250" t="s">
        <v>145</v>
      </c>
      <c r="G3250" t="s">
        <v>11429</v>
      </c>
    </row>
    <row r="3251" spans="1:7" ht="44.25" customHeight="1">
      <c r="A3251" t="s">
        <v>11430</v>
      </c>
      <c r="B3251" t="s">
        <v>11431</v>
      </c>
      <c r="C3251" t="s">
        <v>132</v>
      </c>
      <c r="D3251" t="s">
        <v>79</v>
      </c>
      <c r="E3251" t="s">
        <v>11432</v>
      </c>
      <c r="F3251" t="s">
        <v>145</v>
      </c>
      <c r="G3251" t="s">
        <v>11433</v>
      </c>
    </row>
    <row r="3252" spans="1:7" ht="44.25" customHeight="1">
      <c r="A3252" t="s">
        <v>11434</v>
      </c>
      <c r="B3252" t="s">
        <v>11435</v>
      </c>
      <c r="C3252" t="s">
        <v>132</v>
      </c>
      <c r="D3252" t="s">
        <v>79</v>
      </c>
      <c r="E3252" t="s">
        <v>11436</v>
      </c>
      <c r="F3252" t="s">
        <v>145</v>
      </c>
      <c r="G3252" t="s">
        <v>11437</v>
      </c>
    </row>
    <row r="3253" spans="1:7" ht="44.25" customHeight="1">
      <c r="A3253" t="s">
        <v>11438</v>
      </c>
      <c r="B3253" t="s">
        <v>11439</v>
      </c>
      <c r="C3253" t="s">
        <v>132</v>
      </c>
      <c r="D3253" t="s">
        <v>79</v>
      </c>
      <c r="E3253" t="s">
        <v>11440</v>
      </c>
      <c r="F3253" t="s">
        <v>145</v>
      </c>
      <c r="G3253" t="s">
        <v>11441</v>
      </c>
    </row>
    <row r="3254" spans="1:7" ht="44.25" customHeight="1">
      <c r="A3254" t="s">
        <v>1037</v>
      </c>
      <c r="B3254" t="s">
        <v>11442</v>
      </c>
      <c r="C3254" t="s">
        <v>132</v>
      </c>
      <c r="D3254" t="s">
        <v>79</v>
      </c>
      <c r="E3254" t="s">
        <v>11443</v>
      </c>
      <c r="F3254" t="s">
        <v>145</v>
      </c>
      <c r="G3254" t="s">
        <v>11444</v>
      </c>
    </row>
    <row r="3255" spans="1:7" ht="44.25" customHeight="1">
      <c r="A3255" t="s">
        <v>11445</v>
      </c>
      <c r="B3255" t="s">
        <v>11446</v>
      </c>
      <c r="C3255" t="s">
        <v>132</v>
      </c>
      <c r="D3255" t="s">
        <v>2143</v>
      </c>
      <c r="E3255" t="s">
        <v>1542</v>
      </c>
      <c r="F3255" t="s">
        <v>145</v>
      </c>
      <c r="G3255" t="s">
        <v>11447</v>
      </c>
    </row>
    <row r="3256" spans="1:7" ht="44.25" customHeight="1">
      <c r="A3256" t="s">
        <v>246</v>
      </c>
      <c r="B3256" t="s">
        <v>11448</v>
      </c>
      <c r="C3256" t="s">
        <v>132</v>
      </c>
      <c r="D3256" t="s">
        <v>2510</v>
      </c>
      <c r="E3256" t="s">
        <v>1542</v>
      </c>
      <c r="F3256" t="s">
        <v>145</v>
      </c>
      <c r="G3256" t="s">
        <v>11449</v>
      </c>
    </row>
    <row r="3257" spans="1:7" ht="44.25" customHeight="1">
      <c r="A3257" t="s">
        <v>11450</v>
      </c>
      <c r="B3257" t="s">
        <v>11451</v>
      </c>
      <c r="C3257" t="s">
        <v>132</v>
      </c>
      <c r="D3257" t="s">
        <v>2143</v>
      </c>
      <c r="E3257" t="s">
        <v>1542</v>
      </c>
      <c r="F3257" t="s">
        <v>145</v>
      </c>
      <c r="G3257" t="s">
        <v>11452</v>
      </c>
    </row>
    <row r="3258" spans="1:7" ht="44.25" customHeight="1">
      <c r="A3258" t="s">
        <v>11453</v>
      </c>
      <c r="B3258" t="s">
        <v>11454</v>
      </c>
      <c r="C3258" t="s">
        <v>132</v>
      </c>
      <c r="D3258" t="s">
        <v>2143</v>
      </c>
      <c r="E3258" t="s">
        <v>2162</v>
      </c>
      <c r="F3258" t="s">
        <v>145</v>
      </c>
      <c r="G3258" t="s">
        <v>11455</v>
      </c>
    </row>
    <row r="3259" spans="1:7" ht="44.25" customHeight="1">
      <c r="A3259" t="s">
        <v>11456</v>
      </c>
      <c r="B3259" t="s">
        <v>11457</v>
      </c>
      <c r="C3259" t="s">
        <v>132</v>
      </c>
      <c r="D3259" t="s">
        <v>2139</v>
      </c>
      <c r="E3259" t="s">
        <v>1367</v>
      </c>
      <c r="F3259" t="s">
        <v>145</v>
      </c>
      <c r="G3259" t="s">
        <v>11458</v>
      </c>
    </row>
    <row r="3260" spans="1:7" ht="44.25" customHeight="1">
      <c r="A3260" t="s">
        <v>11459</v>
      </c>
      <c r="B3260" t="s">
        <v>11460</v>
      </c>
      <c r="C3260" t="s">
        <v>132</v>
      </c>
      <c r="D3260" t="s">
        <v>2143</v>
      </c>
      <c r="E3260" t="s">
        <v>2162</v>
      </c>
      <c r="F3260" t="s">
        <v>145</v>
      </c>
      <c r="G3260" t="s">
        <v>11461</v>
      </c>
    </row>
    <row r="3261" spans="1:7" ht="44.25" customHeight="1">
      <c r="A3261" t="s">
        <v>11462</v>
      </c>
      <c r="B3261" t="s">
        <v>11463</v>
      </c>
      <c r="C3261" t="s">
        <v>132</v>
      </c>
      <c r="D3261" t="s">
        <v>2139</v>
      </c>
      <c r="E3261" t="s">
        <v>1367</v>
      </c>
      <c r="F3261" t="s">
        <v>145</v>
      </c>
      <c r="G3261" t="s">
        <v>11464</v>
      </c>
    </row>
    <row r="3262" spans="1:7" ht="44.25" customHeight="1">
      <c r="A3262" t="s">
        <v>1379</v>
      </c>
      <c r="B3262" t="s">
        <v>11465</v>
      </c>
      <c r="C3262" t="s">
        <v>132</v>
      </c>
      <c r="D3262" t="s">
        <v>2139</v>
      </c>
      <c r="E3262" t="s">
        <v>1367</v>
      </c>
      <c r="F3262" t="s">
        <v>145</v>
      </c>
      <c r="G3262" t="s">
        <v>11466</v>
      </c>
    </row>
    <row r="3263" spans="1:7" ht="44.25" customHeight="1">
      <c r="A3263" t="s">
        <v>1393</v>
      </c>
      <c r="B3263" t="s">
        <v>11467</v>
      </c>
      <c r="C3263" t="s">
        <v>132</v>
      </c>
      <c r="D3263" t="s">
        <v>2139</v>
      </c>
      <c r="E3263" t="s">
        <v>1367</v>
      </c>
      <c r="F3263" t="s">
        <v>145</v>
      </c>
      <c r="G3263" t="s">
        <v>11468</v>
      </c>
    </row>
    <row r="3264" spans="1:7" ht="44.25" customHeight="1">
      <c r="A3264" t="s">
        <v>357</v>
      </c>
      <c r="B3264" t="s">
        <v>11469</v>
      </c>
      <c r="C3264" t="s">
        <v>132</v>
      </c>
      <c r="D3264" t="s">
        <v>79</v>
      </c>
      <c r="E3264" t="s">
        <v>3645</v>
      </c>
      <c r="F3264" t="s">
        <v>145</v>
      </c>
      <c r="G3264" t="s">
        <v>11470</v>
      </c>
    </row>
    <row r="3265" spans="1:7" ht="44.25" customHeight="1">
      <c r="A3265" t="s">
        <v>538</v>
      </c>
      <c r="B3265" t="s">
        <v>7544</v>
      </c>
      <c r="C3265" t="s">
        <v>132</v>
      </c>
      <c r="D3265" t="s">
        <v>2143</v>
      </c>
      <c r="E3265" t="s">
        <v>7545</v>
      </c>
      <c r="F3265" t="s">
        <v>145</v>
      </c>
      <c r="G3265" t="s">
        <v>11471</v>
      </c>
    </row>
    <row r="3266" spans="1:7" ht="44.25" customHeight="1">
      <c r="A3266" t="s">
        <v>674</v>
      </c>
      <c r="B3266" t="s">
        <v>11472</v>
      </c>
      <c r="C3266" t="s">
        <v>132</v>
      </c>
      <c r="D3266" t="s">
        <v>2143</v>
      </c>
      <c r="E3266" t="s">
        <v>1519</v>
      </c>
      <c r="F3266" t="s">
        <v>145</v>
      </c>
      <c r="G3266" t="s">
        <v>11473</v>
      </c>
    </row>
    <row r="3267" spans="1:7" ht="44.25" customHeight="1">
      <c r="A3267" t="s">
        <v>11474</v>
      </c>
      <c r="B3267" t="s">
        <v>11475</v>
      </c>
      <c r="C3267" t="s">
        <v>132</v>
      </c>
      <c r="D3267" t="s">
        <v>79</v>
      </c>
      <c r="E3267" t="s">
        <v>11476</v>
      </c>
      <c r="F3267" t="s">
        <v>145</v>
      </c>
      <c r="G3267" t="s">
        <v>11477</v>
      </c>
    </row>
    <row r="3268" spans="1:7" ht="44.25" customHeight="1">
      <c r="A3268" t="s">
        <v>11478</v>
      </c>
      <c r="B3268" t="s">
        <v>11479</v>
      </c>
      <c r="C3268" t="s">
        <v>132</v>
      </c>
      <c r="D3268" t="s">
        <v>79</v>
      </c>
      <c r="E3268" t="s">
        <v>11480</v>
      </c>
      <c r="F3268" t="s">
        <v>145</v>
      </c>
      <c r="G3268" t="s">
        <v>11481</v>
      </c>
    </row>
    <row r="3269" spans="1:7" ht="44.25" customHeight="1">
      <c r="A3269" t="s">
        <v>11482</v>
      </c>
      <c r="B3269" t="s">
        <v>11483</v>
      </c>
      <c r="C3269" t="s">
        <v>132</v>
      </c>
      <c r="D3269" t="s">
        <v>79</v>
      </c>
      <c r="E3269" t="s">
        <v>11484</v>
      </c>
      <c r="F3269" t="s">
        <v>145</v>
      </c>
      <c r="G3269" t="s">
        <v>11485</v>
      </c>
    </row>
    <row r="3270" spans="1:7" ht="44.25" customHeight="1">
      <c r="A3270" t="s">
        <v>11486</v>
      </c>
      <c r="B3270" t="s">
        <v>11487</v>
      </c>
      <c r="C3270" t="s">
        <v>132</v>
      </c>
      <c r="D3270" t="s">
        <v>2143</v>
      </c>
      <c r="E3270" t="s">
        <v>5570</v>
      </c>
      <c r="F3270" t="s">
        <v>145</v>
      </c>
      <c r="G3270" t="s">
        <v>11488</v>
      </c>
    </row>
    <row r="3271" spans="1:7" ht="44.25" customHeight="1">
      <c r="A3271" t="s">
        <v>11489</v>
      </c>
      <c r="B3271" t="s">
        <v>11490</v>
      </c>
      <c r="C3271" t="s">
        <v>132</v>
      </c>
      <c r="D3271" t="s">
        <v>2143</v>
      </c>
      <c r="E3271" t="s">
        <v>5777</v>
      </c>
      <c r="F3271" t="s">
        <v>145</v>
      </c>
      <c r="G3271" t="s">
        <v>11491</v>
      </c>
    </row>
    <row r="3272" spans="1:7" ht="44.25" customHeight="1">
      <c r="A3272" t="s">
        <v>11492</v>
      </c>
      <c r="B3272" t="s">
        <v>11493</v>
      </c>
      <c r="C3272" t="s">
        <v>132</v>
      </c>
      <c r="D3272" t="s">
        <v>79</v>
      </c>
      <c r="E3272" t="s">
        <v>11494</v>
      </c>
      <c r="F3272" t="s">
        <v>145</v>
      </c>
      <c r="G3272" t="s">
        <v>11495</v>
      </c>
    </row>
    <row r="3273" spans="1:7" ht="44.25" customHeight="1">
      <c r="A3273" t="s">
        <v>548</v>
      </c>
      <c r="B3273" t="s">
        <v>11496</v>
      </c>
      <c r="C3273" t="s">
        <v>132</v>
      </c>
      <c r="D3273" t="s">
        <v>79</v>
      </c>
      <c r="E3273" t="s">
        <v>5872</v>
      </c>
      <c r="F3273" t="s">
        <v>145</v>
      </c>
      <c r="G3273" t="s">
        <v>11497</v>
      </c>
    </row>
    <row r="3274" spans="1:7" ht="44.25" customHeight="1">
      <c r="A3274" t="s">
        <v>11498</v>
      </c>
      <c r="B3274" t="s">
        <v>11499</v>
      </c>
      <c r="C3274" t="s">
        <v>132</v>
      </c>
      <c r="D3274" t="s">
        <v>2143</v>
      </c>
      <c r="E3274" t="s">
        <v>1542</v>
      </c>
      <c r="F3274" t="s">
        <v>145</v>
      </c>
      <c r="G3274" t="s">
        <v>11500</v>
      </c>
    </row>
    <row r="3275" spans="1:7" ht="44.25" customHeight="1">
      <c r="A3275" t="s">
        <v>132</v>
      </c>
      <c r="B3275" t="s">
        <v>11501</v>
      </c>
      <c r="C3275" t="s">
        <v>132</v>
      </c>
      <c r="D3275" t="s">
        <v>2143</v>
      </c>
      <c r="E3275" t="s">
        <v>2581</v>
      </c>
      <c r="F3275" t="s">
        <v>145</v>
      </c>
      <c r="G3275" t="s">
        <v>11502</v>
      </c>
    </row>
    <row r="3276" spans="1:7" ht="44.25" customHeight="1">
      <c r="A3276" t="s">
        <v>11503</v>
      </c>
      <c r="B3276" t="s">
        <v>11504</v>
      </c>
      <c r="C3276" t="s">
        <v>132</v>
      </c>
      <c r="D3276" t="s">
        <v>2143</v>
      </c>
      <c r="E3276" t="s">
        <v>1542</v>
      </c>
      <c r="F3276" t="s">
        <v>145</v>
      </c>
      <c r="G3276" t="s">
        <v>11505</v>
      </c>
    </row>
    <row r="3277" spans="1:7" ht="44.25" customHeight="1">
      <c r="A3277" t="s">
        <v>238</v>
      </c>
      <c r="B3277" t="s">
        <v>11506</v>
      </c>
      <c r="C3277" t="s">
        <v>132</v>
      </c>
      <c r="D3277" t="s">
        <v>2143</v>
      </c>
      <c r="E3277" t="s">
        <v>1542</v>
      </c>
      <c r="F3277" t="s">
        <v>145</v>
      </c>
      <c r="G3277" t="s">
        <v>11507</v>
      </c>
    </row>
    <row r="3278" spans="1:7" ht="44.25" customHeight="1">
      <c r="A3278" t="s">
        <v>879</v>
      </c>
      <c r="B3278" t="s">
        <v>11508</v>
      </c>
      <c r="C3278" t="s">
        <v>132</v>
      </c>
      <c r="D3278" t="s">
        <v>2143</v>
      </c>
      <c r="E3278" t="s">
        <v>11509</v>
      </c>
      <c r="F3278" t="s">
        <v>145</v>
      </c>
      <c r="G3278" t="s">
        <v>11510</v>
      </c>
    </row>
    <row r="3279" spans="1:7" ht="44.25" customHeight="1">
      <c r="A3279" t="s">
        <v>11511</v>
      </c>
      <c r="B3279" t="s">
        <v>11512</v>
      </c>
      <c r="C3279" t="s">
        <v>132</v>
      </c>
      <c r="D3279" t="s">
        <v>2139</v>
      </c>
      <c r="E3279" t="s">
        <v>1367</v>
      </c>
      <c r="F3279" t="s">
        <v>145</v>
      </c>
      <c r="G3279" t="s">
        <v>11513</v>
      </c>
    </row>
    <row r="3280" spans="1:7" ht="44.25" customHeight="1">
      <c r="A3280" t="s">
        <v>11514</v>
      </c>
      <c r="B3280" t="s">
        <v>11515</v>
      </c>
      <c r="C3280" t="s">
        <v>132</v>
      </c>
      <c r="D3280" t="s">
        <v>79</v>
      </c>
      <c r="E3280" t="s">
        <v>11516</v>
      </c>
      <c r="F3280" t="s">
        <v>145</v>
      </c>
      <c r="G3280" t="s">
        <v>11517</v>
      </c>
    </row>
    <row r="3281" spans="1:7" ht="44.25" customHeight="1">
      <c r="A3281" t="s">
        <v>11518</v>
      </c>
      <c r="B3281" t="s">
        <v>11519</v>
      </c>
      <c r="C3281" t="s">
        <v>132</v>
      </c>
      <c r="D3281" t="s">
        <v>79</v>
      </c>
      <c r="E3281" t="s">
        <v>11520</v>
      </c>
      <c r="F3281" t="s">
        <v>145</v>
      </c>
      <c r="G3281" t="s">
        <v>11521</v>
      </c>
    </row>
    <row r="3282" spans="1:7" ht="44.25" customHeight="1">
      <c r="A3282" t="s">
        <v>11522</v>
      </c>
      <c r="B3282" t="s">
        <v>11523</v>
      </c>
      <c r="C3282" t="s">
        <v>132</v>
      </c>
      <c r="D3282" t="s">
        <v>79</v>
      </c>
      <c r="E3282" t="s">
        <v>11524</v>
      </c>
      <c r="F3282" t="s">
        <v>145</v>
      </c>
      <c r="G3282" t="s">
        <v>11525</v>
      </c>
    </row>
    <row r="3283" spans="1:7" ht="44.25" customHeight="1">
      <c r="A3283" t="s">
        <v>11526</v>
      </c>
      <c r="B3283" t="s">
        <v>11527</v>
      </c>
      <c r="C3283" t="s">
        <v>132</v>
      </c>
      <c r="D3283" t="s">
        <v>79</v>
      </c>
      <c r="E3283" t="s">
        <v>11528</v>
      </c>
      <c r="F3283" t="s">
        <v>145</v>
      </c>
      <c r="G3283" t="s">
        <v>11529</v>
      </c>
    </row>
    <row r="3284" spans="1:7" ht="44.25" customHeight="1">
      <c r="A3284" t="s">
        <v>11530</v>
      </c>
      <c r="B3284" t="s">
        <v>11531</v>
      </c>
      <c r="C3284" t="s">
        <v>132</v>
      </c>
      <c r="D3284" t="s">
        <v>79</v>
      </c>
      <c r="E3284" t="s">
        <v>11532</v>
      </c>
      <c r="F3284" t="s">
        <v>145</v>
      </c>
      <c r="G3284" t="s">
        <v>11533</v>
      </c>
    </row>
    <row r="3285" spans="1:7" ht="44.25" customHeight="1">
      <c r="A3285" t="s">
        <v>11534</v>
      </c>
      <c r="B3285" t="s">
        <v>11535</v>
      </c>
      <c r="C3285" t="s">
        <v>132</v>
      </c>
      <c r="D3285" t="s">
        <v>2143</v>
      </c>
      <c r="E3285" t="s">
        <v>1542</v>
      </c>
      <c r="F3285" t="s">
        <v>145</v>
      </c>
      <c r="G3285" t="s">
        <v>11536</v>
      </c>
    </row>
    <row r="3286" spans="1:7" ht="44.25" customHeight="1">
      <c r="A3286" t="s">
        <v>132</v>
      </c>
      <c r="B3286" t="s">
        <v>11537</v>
      </c>
      <c r="C3286" t="s">
        <v>132</v>
      </c>
      <c r="D3286" t="s">
        <v>2143</v>
      </c>
      <c r="E3286" t="s">
        <v>1542</v>
      </c>
      <c r="F3286" t="s">
        <v>145</v>
      </c>
      <c r="G3286" t="s">
        <v>11538</v>
      </c>
    </row>
    <row r="3287" spans="1:7" ht="44.25" customHeight="1">
      <c r="A3287" t="s">
        <v>11539</v>
      </c>
      <c r="B3287" t="s">
        <v>11540</v>
      </c>
      <c r="C3287" t="s">
        <v>132</v>
      </c>
      <c r="D3287" t="s">
        <v>2139</v>
      </c>
      <c r="E3287" t="s">
        <v>1367</v>
      </c>
      <c r="F3287" t="s">
        <v>145</v>
      </c>
      <c r="G3287" t="s">
        <v>11541</v>
      </c>
    </row>
    <row r="3288" spans="1:7" ht="44.25" customHeight="1">
      <c r="A3288" t="s">
        <v>1392</v>
      </c>
      <c r="B3288" t="s">
        <v>11542</v>
      </c>
      <c r="C3288" t="s">
        <v>132</v>
      </c>
      <c r="D3288" t="s">
        <v>2139</v>
      </c>
      <c r="E3288" t="s">
        <v>1367</v>
      </c>
      <c r="F3288" t="s">
        <v>145</v>
      </c>
      <c r="G3288" t="s">
        <v>11543</v>
      </c>
    </row>
    <row r="3289" spans="1:7" ht="44.25" customHeight="1">
      <c r="A3289" t="s">
        <v>347</v>
      </c>
      <c r="B3289" t="s">
        <v>11544</v>
      </c>
      <c r="C3289" t="s">
        <v>132</v>
      </c>
      <c r="D3289" t="s">
        <v>2139</v>
      </c>
      <c r="E3289" t="s">
        <v>1367</v>
      </c>
      <c r="F3289" t="s">
        <v>145</v>
      </c>
      <c r="G3289" t="s">
        <v>11545</v>
      </c>
    </row>
    <row r="3290" spans="1:7" ht="44.25" customHeight="1">
      <c r="A3290" t="s">
        <v>11546</v>
      </c>
      <c r="B3290" t="s">
        <v>11547</v>
      </c>
      <c r="C3290" t="s">
        <v>132</v>
      </c>
      <c r="D3290" t="s">
        <v>79</v>
      </c>
      <c r="E3290" t="s">
        <v>6967</v>
      </c>
      <c r="F3290" t="s">
        <v>145</v>
      </c>
      <c r="G3290" t="s">
        <v>11548</v>
      </c>
    </row>
    <row r="3291" spans="1:7" ht="44.25" customHeight="1">
      <c r="A3291" t="s">
        <v>686</v>
      </c>
      <c r="B3291" t="s">
        <v>11549</v>
      </c>
      <c r="C3291" t="s">
        <v>132</v>
      </c>
      <c r="D3291" t="s">
        <v>2143</v>
      </c>
      <c r="E3291" t="s">
        <v>1519</v>
      </c>
      <c r="F3291" t="s">
        <v>145</v>
      </c>
      <c r="G3291" t="s">
        <v>11550</v>
      </c>
    </row>
    <row r="3292" spans="1:7" ht="44.25" customHeight="1">
      <c r="A3292" t="s">
        <v>675</v>
      </c>
      <c r="B3292" t="s">
        <v>11551</v>
      </c>
      <c r="C3292" t="s">
        <v>132</v>
      </c>
      <c r="D3292" t="s">
        <v>2143</v>
      </c>
      <c r="E3292" t="s">
        <v>1519</v>
      </c>
      <c r="F3292" t="s">
        <v>145</v>
      </c>
      <c r="G3292" t="s">
        <v>11552</v>
      </c>
    </row>
    <row r="3293" spans="1:7" ht="44.25" customHeight="1">
      <c r="A3293" t="s">
        <v>11553</v>
      </c>
      <c r="B3293" t="s">
        <v>11554</v>
      </c>
      <c r="C3293" t="s">
        <v>132</v>
      </c>
      <c r="D3293" t="s">
        <v>79</v>
      </c>
      <c r="E3293" t="s">
        <v>11555</v>
      </c>
      <c r="F3293" t="s">
        <v>145</v>
      </c>
      <c r="G3293" t="s">
        <v>11556</v>
      </c>
    </row>
    <row r="3294" spans="1:7" ht="44.25" customHeight="1">
      <c r="A3294" t="s">
        <v>11557</v>
      </c>
      <c r="B3294" t="s">
        <v>11558</v>
      </c>
      <c r="C3294" t="s">
        <v>132</v>
      </c>
      <c r="D3294" t="s">
        <v>79</v>
      </c>
      <c r="E3294" t="s">
        <v>11559</v>
      </c>
      <c r="F3294" t="s">
        <v>145</v>
      </c>
      <c r="G3294" t="s">
        <v>11560</v>
      </c>
    </row>
    <row r="3295" spans="1:7" ht="44.25" customHeight="1">
      <c r="A3295" t="s">
        <v>11561</v>
      </c>
      <c r="B3295" t="s">
        <v>11562</v>
      </c>
      <c r="C3295" t="s">
        <v>132</v>
      </c>
      <c r="D3295" t="s">
        <v>79</v>
      </c>
      <c r="E3295" t="s">
        <v>11563</v>
      </c>
      <c r="F3295" t="s">
        <v>145</v>
      </c>
      <c r="G3295" t="s">
        <v>11564</v>
      </c>
    </row>
    <row r="3296" spans="1:7" ht="44.25" customHeight="1">
      <c r="A3296" t="s">
        <v>809</v>
      </c>
      <c r="B3296" t="s">
        <v>11565</v>
      </c>
      <c r="C3296" t="s">
        <v>132</v>
      </c>
      <c r="D3296" t="s">
        <v>79</v>
      </c>
      <c r="E3296" t="s">
        <v>11566</v>
      </c>
      <c r="F3296" t="s">
        <v>145</v>
      </c>
      <c r="G3296" t="s">
        <v>11567</v>
      </c>
    </row>
    <row r="3297" spans="1:7" ht="44.25" customHeight="1">
      <c r="A3297" t="s">
        <v>11568</v>
      </c>
      <c r="B3297" t="s">
        <v>11569</v>
      </c>
      <c r="C3297" t="s">
        <v>132</v>
      </c>
      <c r="D3297" t="s">
        <v>2143</v>
      </c>
      <c r="E3297" t="s">
        <v>1542</v>
      </c>
      <c r="F3297" t="s">
        <v>145</v>
      </c>
      <c r="G3297" t="s">
        <v>11570</v>
      </c>
    </row>
    <row r="3298" spans="1:7" ht="44.25" customHeight="1">
      <c r="A3298" t="s">
        <v>251</v>
      </c>
      <c r="B3298" t="s">
        <v>11571</v>
      </c>
      <c r="C3298" t="s">
        <v>1435</v>
      </c>
      <c r="D3298" t="s">
        <v>2143</v>
      </c>
      <c r="E3298" t="s">
        <v>1542</v>
      </c>
      <c r="F3298" t="s">
        <v>145</v>
      </c>
      <c r="G3298" t="s">
        <v>11572</v>
      </c>
    </row>
    <row r="3299" spans="1:7" ht="44.25" customHeight="1">
      <c r="A3299" t="s">
        <v>11573</v>
      </c>
      <c r="B3299" t="s">
        <v>11574</v>
      </c>
      <c r="C3299" t="s">
        <v>132</v>
      </c>
      <c r="D3299" t="s">
        <v>2143</v>
      </c>
      <c r="E3299" t="s">
        <v>1542</v>
      </c>
      <c r="F3299" t="s">
        <v>145</v>
      </c>
      <c r="G3299" t="s">
        <v>11575</v>
      </c>
    </row>
    <row r="3300" spans="1:7" ht="44.25" customHeight="1">
      <c r="A3300" t="s">
        <v>11576</v>
      </c>
      <c r="B3300" t="s">
        <v>11577</v>
      </c>
      <c r="C3300" t="s">
        <v>132</v>
      </c>
      <c r="D3300" t="s">
        <v>2143</v>
      </c>
      <c r="E3300" t="s">
        <v>2285</v>
      </c>
      <c r="F3300" t="s">
        <v>145</v>
      </c>
      <c r="G3300" t="s">
        <v>11578</v>
      </c>
    </row>
    <row r="3301" spans="1:7" ht="44.25" customHeight="1">
      <c r="A3301" t="s">
        <v>11579</v>
      </c>
      <c r="B3301" t="s">
        <v>11580</v>
      </c>
      <c r="C3301" t="s">
        <v>132</v>
      </c>
      <c r="D3301" t="s">
        <v>2143</v>
      </c>
      <c r="E3301" t="s">
        <v>1542</v>
      </c>
      <c r="F3301" t="s">
        <v>145</v>
      </c>
      <c r="G3301" t="s">
        <v>11581</v>
      </c>
    </row>
    <row r="3302" spans="1:7" ht="44.25" customHeight="1">
      <c r="A3302" t="s">
        <v>875</v>
      </c>
      <c r="B3302" t="s">
        <v>11582</v>
      </c>
      <c r="C3302" t="s">
        <v>132</v>
      </c>
      <c r="D3302" t="s">
        <v>2143</v>
      </c>
      <c r="E3302" t="s">
        <v>3247</v>
      </c>
      <c r="F3302" t="s">
        <v>145</v>
      </c>
      <c r="G3302" t="s">
        <v>11583</v>
      </c>
    </row>
    <row r="3303" spans="1:7" ht="44.25" customHeight="1">
      <c r="A3303" t="s">
        <v>7238</v>
      </c>
      <c r="B3303" t="s">
        <v>7239</v>
      </c>
      <c r="C3303" t="s">
        <v>132</v>
      </c>
      <c r="D3303" t="s">
        <v>79</v>
      </c>
      <c r="E3303" t="s">
        <v>7240</v>
      </c>
      <c r="F3303" t="s">
        <v>145</v>
      </c>
      <c r="G3303" t="s">
        <v>11584</v>
      </c>
    </row>
    <row r="3304" spans="1:7" ht="44.25" customHeight="1">
      <c r="A3304" t="s">
        <v>6975</v>
      </c>
      <c r="B3304" t="s">
        <v>6976</v>
      </c>
      <c r="C3304" t="s">
        <v>132</v>
      </c>
      <c r="D3304" t="s">
        <v>2143</v>
      </c>
      <c r="E3304" t="s">
        <v>6209</v>
      </c>
      <c r="F3304" t="s">
        <v>145</v>
      </c>
      <c r="G3304" t="s">
        <v>11585</v>
      </c>
    </row>
    <row r="3305" spans="1:7" ht="44.25" customHeight="1">
      <c r="A3305" t="s">
        <v>11586</v>
      </c>
      <c r="B3305" t="s">
        <v>11587</v>
      </c>
      <c r="C3305" t="s">
        <v>132</v>
      </c>
      <c r="D3305" t="s">
        <v>2139</v>
      </c>
      <c r="E3305" t="s">
        <v>1365</v>
      </c>
      <c r="F3305" t="s">
        <v>145</v>
      </c>
      <c r="G3305" t="s">
        <v>11588</v>
      </c>
    </row>
    <row r="3306" spans="1:7" ht="44.25" customHeight="1">
      <c r="A3306" t="s">
        <v>883</v>
      </c>
      <c r="B3306" t="s">
        <v>11589</v>
      </c>
      <c r="C3306" t="s">
        <v>132</v>
      </c>
      <c r="D3306" t="s">
        <v>2143</v>
      </c>
      <c r="E3306" t="s">
        <v>11590</v>
      </c>
      <c r="F3306" t="s">
        <v>145</v>
      </c>
      <c r="G3306" t="s">
        <v>11591</v>
      </c>
    </row>
    <row r="3307" spans="1:7" ht="44.25" customHeight="1">
      <c r="A3307" t="s">
        <v>992</v>
      </c>
      <c r="B3307" t="s">
        <v>11592</v>
      </c>
      <c r="C3307" t="s">
        <v>132</v>
      </c>
      <c r="D3307" t="s">
        <v>79</v>
      </c>
      <c r="E3307" t="s">
        <v>11593</v>
      </c>
      <c r="F3307" t="s">
        <v>145</v>
      </c>
      <c r="G3307" t="s">
        <v>11594</v>
      </c>
    </row>
    <row r="3308" spans="1:7" ht="44.25" customHeight="1">
      <c r="A3308" t="s">
        <v>11595</v>
      </c>
      <c r="B3308" t="s">
        <v>11596</v>
      </c>
      <c r="C3308" t="s">
        <v>132</v>
      </c>
      <c r="D3308" t="s">
        <v>79</v>
      </c>
      <c r="E3308" t="s">
        <v>11597</v>
      </c>
      <c r="F3308" t="s">
        <v>145</v>
      </c>
      <c r="G3308" t="s">
        <v>11598</v>
      </c>
    </row>
    <row r="3309" spans="1:7" ht="44.25" customHeight="1">
      <c r="A3309" t="s">
        <v>11599</v>
      </c>
      <c r="B3309" t="s">
        <v>11600</v>
      </c>
      <c r="C3309" t="s">
        <v>132</v>
      </c>
      <c r="D3309" t="s">
        <v>2139</v>
      </c>
      <c r="E3309" t="s">
        <v>1365</v>
      </c>
      <c r="F3309" t="s">
        <v>145</v>
      </c>
      <c r="G3309" t="s">
        <v>11601</v>
      </c>
    </row>
    <row r="3310" spans="1:7" ht="44.25" customHeight="1">
      <c r="A3310" t="s">
        <v>313</v>
      </c>
      <c r="B3310" t="s">
        <v>11602</v>
      </c>
      <c r="C3310" t="s">
        <v>132</v>
      </c>
      <c r="D3310" t="s">
        <v>2139</v>
      </c>
      <c r="E3310" t="s">
        <v>2144</v>
      </c>
      <c r="F3310" t="s">
        <v>145</v>
      </c>
      <c r="G3310" t="s">
        <v>11603</v>
      </c>
    </row>
    <row r="3311" spans="1:7" ht="44.25" customHeight="1">
      <c r="A3311" t="s">
        <v>934</v>
      </c>
      <c r="B3311" t="s">
        <v>11604</v>
      </c>
      <c r="C3311" t="s">
        <v>132</v>
      </c>
      <c r="D3311" t="s">
        <v>2143</v>
      </c>
      <c r="E3311" t="s">
        <v>2162</v>
      </c>
      <c r="F3311" t="s">
        <v>145</v>
      </c>
      <c r="G3311" t="s">
        <v>11605</v>
      </c>
    </row>
    <row r="3312" spans="1:7" ht="44.25" customHeight="1">
      <c r="A3312" t="s">
        <v>698</v>
      </c>
      <c r="B3312" t="s">
        <v>11606</v>
      </c>
      <c r="C3312" t="s">
        <v>132</v>
      </c>
      <c r="D3312" t="s">
        <v>2143</v>
      </c>
      <c r="E3312" t="s">
        <v>2155</v>
      </c>
      <c r="F3312" t="s">
        <v>145</v>
      </c>
      <c r="G3312" t="s">
        <v>11607</v>
      </c>
    </row>
    <row r="3313" spans="1:7" ht="44.25" customHeight="1">
      <c r="A3313" t="s">
        <v>433</v>
      </c>
      <c r="B3313" t="s">
        <v>11608</v>
      </c>
      <c r="C3313" t="s">
        <v>132</v>
      </c>
      <c r="D3313" t="s">
        <v>79</v>
      </c>
      <c r="E3313" t="s">
        <v>4425</v>
      </c>
      <c r="F3313" t="s">
        <v>145</v>
      </c>
      <c r="G3313" t="s">
        <v>11609</v>
      </c>
    </row>
    <row r="3314" spans="1:7" ht="44.25" customHeight="1">
      <c r="A3314" t="s">
        <v>11610</v>
      </c>
      <c r="B3314" t="s">
        <v>11611</v>
      </c>
      <c r="C3314" t="s">
        <v>132</v>
      </c>
      <c r="D3314" t="s">
        <v>79</v>
      </c>
      <c r="E3314" t="s">
        <v>11612</v>
      </c>
      <c r="F3314" t="s">
        <v>145</v>
      </c>
      <c r="G3314" t="s">
        <v>11613</v>
      </c>
    </row>
    <row r="3315" spans="1:7" ht="44.25" customHeight="1">
      <c r="A3315" t="s">
        <v>11610</v>
      </c>
      <c r="B3315" t="s">
        <v>11611</v>
      </c>
      <c r="C3315" t="s">
        <v>132</v>
      </c>
      <c r="D3315" t="s">
        <v>79</v>
      </c>
      <c r="E3315" t="s">
        <v>11612</v>
      </c>
      <c r="F3315" t="s">
        <v>145</v>
      </c>
      <c r="G3315" t="s">
        <v>11613</v>
      </c>
    </row>
    <row r="3316" spans="1:7" ht="44.25" customHeight="1">
      <c r="A3316" t="s">
        <v>11614</v>
      </c>
      <c r="B3316" t="s">
        <v>11615</v>
      </c>
      <c r="C3316" t="s">
        <v>132</v>
      </c>
      <c r="D3316" t="s">
        <v>79</v>
      </c>
      <c r="E3316" t="s">
        <v>11616</v>
      </c>
      <c r="F3316" t="s">
        <v>145</v>
      </c>
      <c r="G3316" t="s">
        <v>11617</v>
      </c>
    </row>
    <row r="3317" spans="1:7" ht="44.25" customHeight="1">
      <c r="A3317" t="s">
        <v>11618</v>
      </c>
      <c r="B3317" t="s">
        <v>11619</v>
      </c>
      <c r="C3317" t="s">
        <v>132</v>
      </c>
      <c r="D3317" t="s">
        <v>79</v>
      </c>
      <c r="E3317" t="s">
        <v>10609</v>
      </c>
      <c r="F3317" t="s">
        <v>145</v>
      </c>
      <c r="G3317" t="s">
        <v>11620</v>
      </c>
    </row>
    <row r="3318" spans="1:7" ht="44.25" customHeight="1">
      <c r="A3318" t="s">
        <v>11621</v>
      </c>
      <c r="B3318" t="s">
        <v>11622</v>
      </c>
      <c r="C3318" t="s">
        <v>132</v>
      </c>
      <c r="D3318" t="s">
        <v>79</v>
      </c>
      <c r="E3318" t="s">
        <v>11623</v>
      </c>
      <c r="F3318" t="s">
        <v>145</v>
      </c>
      <c r="G3318" t="s">
        <v>11624</v>
      </c>
    </row>
    <row r="3319" spans="1:7" ht="44.25" customHeight="1">
      <c r="A3319" t="s">
        <v>260</v>
      </c>
      <c r="B3319" t="s">
        <v>11625</v>
      </c>
      <c r="C3319" t="s">
        <v>132</v>
      </c>
      <c r="D3319" t="s">
        <v>2143</v>
      </c>
      <c r="E3319" t="s">
        <v>1542</v>
      </c>
      <c r="F3319" t="s">
        <v>145</v>
      </c>
      <c r="G3319" t="s">
        <v>11626</v>
      </c>
    </row>
    <row r="3320" spans="1:7" ht="44.25" customHeight="1">
      <c r="A3320" t="s">
        <v>11627</v>
      </c>
      <c r="B3320" t="s">
        <v>11628</v>
      </c>
      <c r="C3320" t="s">
        <v>132</v>
      </c>
      <c r="D3320" t="s">
        <v>2143</v>
      </c>
      <c r="E3320" t="s">
        <v>1542</v>
      </c>
      <c r="F3320" t="s">
        <v>145</v>
      </c>
      <c r="G3320" t="s">
        <v>11629</v>
      </c>
    </row>
    <row r="3321" spans="1:7" ht="44.25" customHeight="1">
      <c r="A3321" t="s">
        <v>11630</v>
      </c>
      <c r="B3321" t="s">
        <v>11631</v>
      </c>
      <c r="C3321" t="s">
        <v>132</v>
      </c>
      <c r="D3321" t="s">
        <v>2143</v>
      </c>
      <c r="E3321" t="s">
        <v>1542</v>
      </c>
      <c r="F3321" t="s">
        <v>145</v>
      </c>
      <c r="G3321" t="s">
        <v>11632</v>
      </c>
    </row>
    <row r="3322" spans="1:7" ht="44.25" customHeight="1">
      <c r="A3322" t="s">
        <v>11633</v>
      </c>
      <c r="B3322" t="s">
        <v>11634</v>
      </c>
      <c r="C3322" t="s">
        <v>11635</v>
      </c>
      <c r="D3322" t="s">
        <v>2143</v>
      </c>
      <c r="E3322" t="s">
        <v>1542</v>
      </c>
      <c r="F3322" t="s">
        <v>145</v>
      </c>
      <c r="G3322" t="s">
        <v>11636</v>
      </c>
    </row>
    <row r="3323" spans="1:7" ht="44.25" customHeight="1">
      <c r="A3323" t="s">
        <v>11637</v>
      </c>
      <c r="B3323" t="s">
        <v>11638</v>
      </c>
      <c r="C3323" t="s">
        <v>132</v>
      </c>
      <c r="D3323" t="s">
        <v>2143</v>
      </c>
      <c r="E3323" t="s">
        <v>11639</v>
      </c>
      <c r="F3323" t="s">
        <v>145</v>
      </c>
      <c r="G3323" t="s">
        <v>11640</v>
      </c>
    </row>
    <row r="3324" spans="1:7" ht="44.25" customHeight="1">
      <c r="A3324" t="s">
        <v>1422</v>
      </c>
      <c r="B3324" t="s">
        <v>11641</v>
      </c>
      <c r="C3324" t="s">
        <v>132</v>
      </c>
      <c r="D3324" t="s">
        <v>2143</v>
      </c>
      <c r="E3324" t="s">
        <v>2162</v>
      </c>
      <c r="F3324" t="s">
        <v>145</v>
      </c>
      <c r="G3324" t="s">
        <v>11642</v>
      </c>
    </row>
    <row r="3325" spans="1:7" ht="44.25" customHeight="1">
      <c r="A3325" t="s">
        <v>274</v>
      </c>
      <c r="B3325" t="s">
        <v>11643</v>
      </c>
      <c r="C3325" t="s">
        <v>132</v>
      </c>
      <c r="D3325" t="s">
        <v>2143</v>
      </c>
      <c r="E3325" t="s">
        <v>2162</v>
      </c>
      <c r="F3325" t="s">
        <v>145</v>
      </c>
      <c r="G3325" t="s">
        <v>11644</v>
      </c>
    </row>
    <row r="3326" spans="1:7" ht="44.25" customHeight="1">
      <c r="A3326" t="s">
        <v>991</v>
      </c>
      <c r="B3326" t="s">
        <v>11645</v>
      </c>
      <c r="C3326" t="s">
        <v>132</v>
      </c>
      <c r="D3326" t="s">
        <v>2143</v>
      </c>
      <c r="E3326" t="s">
        <v>2162</v>
      </c>
      <c r="F3326" t="s">
        <v>145</v>
      </c>
      <c r="G3326" t="s">
        <v>11646</v>
      </c>
    </row>
    <row r="3327" spans="1:7" ht="44.25" customHeight="1">
      <c r="A3327" t="s">
        <v>681</v>
      </c>
      <c r="B3327" t="s">
        <v>11647</v>
      </c>
      <c r="C3327" t="s">
        <v>132</v>
      </c>
      <c r="D3327" t="s">
        <v>2143</v>
      </c>
      <c r="E3327" t="s">
        <v>1519</v>
      </c>
      <c r="F3327" t="s">
        <v>145</v>
      </c>
      <c r="G3327" t="s">
        <v>11648</v>
      </c>
    </row>
    <row r="3328" spans="1:7" ht="44.25" customHeight="1">
      <c r="A3328" t="s">
        <v>11649</v>
      </c>
      <c r="B3328" t="s">
        <v>11650</v>
      </c>
      <c r="C3328" t="s">
        <v>132</v>
      </c>
      <c r="D3328" t="s">
        <v>79</v>
      </c>
      <c r="E3328" t="s">
        <v>4422</v>
      </c>
      <c r="F3328" t="s">
        <v>145</v>
      </c>
      <c r="G3328" t="s">
        <v>11651</v>
      </c>
    </row>
    <row r="3329" spans="1:7" ht="44.25" customHeight="1">
      <c r="A3329" t="s">
        <v>11652</v>
      </c>
      <c r="B3329" t="s">
        <v>11653</v>
      </c>
      <c r="C3329" t="s">
        <v>132</v>
      </c>
      <c r="D3329" t="s">
        <v>2143</v>
      </c>
      <c r="E3329" t="s">
        <v>11654</v>
      </c>
      <c r="F3329" t="s">
        <v>145</v>
      </c>
      <c r="G3329" t="s">
        <v>11655</v>
      </c>
    </row>
    <row r="3330" spans="1:7" ht="44.25" customHeight="1">
      <c r="A3330" t="s">
        <v>11656</v>
      </c>
      <c r="B3330" t="s">
        <v>11657</v>
      </c>
      <c r="C3330" t="s">
        <v>132</v>
      </c>
      <c r="D3330" t="s">
        <v>79</v>
      </c>
      <c r="E3330" t="s">
        <v>11658</v>
      </c>
      <c r="F3330" t="s">
        <v>145</v>
      </c>
      <c r="G3330" t="s">
        <v>11659</v>
      </c>
    </row>
    <row r="3331" spans="1:7" ht="44.25" customHeight="1">
      <c r="A3331" t="s">
        <v>11660</v>
      </c>
      <c r="B3331" t="s">
        <v>11661</v>
      </c>
      <c r="C3331" t="s">
        <v>132</v>
      </c>
      <c r="D3331" t="s">
        <v>79</v>
      </c>
      <c r="E3331" t="s">
        <v>11662</v>
      </c>
      <c r="F3331" t="s">
        <v>145</v>
      </c>
      <c r="G3331" t="s">
        <v>11663</v>
      </c>
    </row>
    <row r="3332" spans="1:7" ht="44.25" customHeight="1">
      <c r="A3332" t="s">
        <v>11664</v>
      </c>
      <c r="B3332" t="s">
        <v>11665</v>
      </c>
      <c r="C3332" t="s">
        <v>132</v>
      </c>
      <c r="D3332" t="s">
        <v>2143</v>
      </c>
      <c r="E3332" t="s">
        <v>2571</v>
      </c>
      <c r="F3332" t="s">
        <v>145</v>
      </c>
      <c r="G3332" t="s">
        <v>11666</v>
      </c>
    </row>
    <row r="3333" spans="1:7" ht="44.25" customHeight="1">
      <c r="A3333" t="s">
        <v>11667</v>
      </c>
      <c r="B3333" t="s">
        <v>11668</v>
      </c>
      <c r="C3333" t="s">
        <v>132</v>
      </c>
      <c r="D3333" t="s">
        <v>2143</v>
      </c>
      <c r="E3333" t="s">
        <v>2285</v>
      </c>
      <c r="F3333" t="s">
        <v>145</v>
      </c>
      <c r="G3333" t="s">
        <v>11669</v>
      </c>
    </row>
    <row r="3334" spans="1:7" ht="44.25" customHeight="1">
      <c r="A3334" t="s">
        <v>11670</v>
      </c>
      <c r="B3334" t="s">
        <v>11671</v>
      </c>
      <c r="C3334" t="s">
        <v>132</v>
      </c>
      <c r="D3334" t="s">
        <v>79</v>
      </c>
      <c r="E3334" t="s">
        <v>3420</v>
      </c>
      <c r="F3334" t="s">
        <v>145</v>
      </c>
      <c r="G3334" t="s">
        <v>11672</v>
      </c>
    </row>
    <row r="3335" spans="1:7" ht="44.25" customHeight="1">
      <c r="A3335" t="s">
        <v>11673</v>
      </c>
      <c r="B3335" t="s">
        <v>11674</v>
      </c>
      <c r="C3335" t="s">
        <v>132</v>
      </c>
      <c r="D3335" t="s">
        <v>2139</v>
      </c>
      <c r="E3335" t="s">
        <v>1367</v>
      </c>
      <c r="F3335" t="s">
        <v>145</v>
      </c>
      <c r="G3335" t="s">
        <v>11675</v>
      </c>
    </row>
    <row r="3336" spans="1:7" ht="44.25" customHeight="1">
      <c r="A3336" t="s">
        <v>11676</v>
      </c>
      <c r="B3336" t="s">
        <v>11677</v>
      </c>
      <c r="C3336" t="s">
        <v>132</v>
      </c>
      <c r="D3336" t="s">
        <v>2139</v>
      </c>
      <c r="E3336" t="s">
        <v>3623</v>
      </c>
      <c r="F3336" t="s">
        <v>145</v>
      </c>
      <c r="G3336" t="s">
        <v>11678</v>
      </c>
    </row>
    <row r="3337" spans="1:7" ht="44.25" customHeight="1">
      <c r="A3337" t="s">
        <v>11679</v>
      </c>
      <c r="B3337" t="s">
        <v>11680</v>
      </c>
      <c r="C3337" t="s">
        <v>132</v>
      </c>
      <c r="D3337" t="s">
        <v>2139</v>
      </c>
      <c r="E3337" t="s">
        <v>1367</v>
      </c>
      <c r="F3337" t="s">
        <v>145</v>
      </c>
      <c r="G3337" t="s">
        <v>11681</v>
      </c>
    </row>
    <row r="3338" spans="1:7" ht="44.25" customHeight="1">
      <c r="A3338" t="s">
        <v>746</v>
      </c>
      <c r="B3338" t="s">
        <v>11682</v>
      </c>
      <c r="C3338" t="s">
        <v>132</v>
      </c>
      <c r="D3338" t="s">
        <v>2143</v>
      </c>
      <c r="E3338" t="s">
        <v>1367</v>
      </c>
      <c r="F3338" t="s">
        <v>145</v>
      </c>
      <c r="G3338" t="s">
        <v>11683</v>
      </c>
    </row>
    <row r="3339" spans="1:7" ht="44.25" customHeight="1">
      <c r="A3339" t="s">
        <v>613</v>
      </c>
      <c r="B3339" t="s">
        <v>11684</v>
      </c>
      <c r="C3339" t="s">
        <v>132</v>
      </c>
      <c r="D3339" t="s">
        <v>79</v>
      </c>
      <c r="E3339" t="s">
        <v>11685</v>
      </c>
      <c r="F3339" t="s">
        <v>145</v>
      </c>
      <c r="G3339" t="s">
        <v>11686</v>
      </c>
    </row>
    <row r="3340" spans="1:7" ht="44.25" customHeight="1">
      <c r="A3340" t="s">
        <v>855</v>
      </c>
      <c r="B3340" t="s">
        <v>11687</v>
      </c>
      <c r="C3340" t="s">
        <v>132</v>
      </c>
      <c r="D3340" t="s">
        <v>79</v>
      </c>
      <c r="E3340" t="s">
        <v>4565</v>
      </c>
      <c r="F3340" t="s">
        <v>145</v>
      </c>
      <c r="G3340" t="s">
        <v>11688</v>
      </c>
    </row>
    <row r="3341" spans="1:7" ht="44.25" customHeight="1">
      <c r="A3341" t="s">
        <v>11689</v>
      </c>
      <c r="B3341" t="s">
        <v>11690</v>
      </c>
      <c r="C3341" t="s">
        <v>132</v>
      </c>
      <c r="D3341" t="s">
        <v>2143</v>
      </c>
      <c r="E3341" t="s">
        <v>4185</v>
      </c>
      <c r="F3341" t="s">
        <v>145</v>
      </c>
      <c r="G3341" t="s">
        <v>11691</v>
      </c>
    </row>
    <row r="3342" spans="1:7" ht="44.25" customHeight="1">
      <c r="A3342" t="s">
        <v>11692</v>
      </c>
      <c r="B3342" t="s">
        <v>11693</v>
      </c>
      <c r="C3342" t="s">
        <v>132</v>
      </c>
      <c r="D3342" t="s">
        <v>2143</v>
      </c>
      <c r="E3342" t="s">
        <v>5577</v>
      </c>
      <c r="F3342" t="s">
        <v>145</v>
      </c>
      <c r="G3342" t="s">
        <v>11694</v>
      </c>
    </row>
    <row r="3343" spans="1:7" ht="44.25" customHeight="1">
      <c r="A3343" t="s">
        <v>132</v>
      </c>
      <c r="B3343" t="s">
        <v>11695</v>
      </c>
      <c r="C3343" t="s">
        <v>132</v>
      </c>
      <c r="D3343" t="s">
        <v>2143</v>
      </c>
      <c r="E3343" t="s">
        <v>2581</v>
      </c>
      <c r="F3343" t="s">
        <v>145</v>
      </c>
      <c r="G3343" t="s">
        <v>11696</v>
      </c>
    </row>
    <row r="3344" spans="1:7" ht="44.25" customHeight="1">
      <c r="A3344" t="s">
        <v>11697</v>
      </c>
      <c r="B3344" t="s">
        <v>11698</v>
      </c>
      <c r="C3344" t="s">
        <v>132</v>
      </c>
      <c r="D3344" t="s">
        <v>2143</v>
      </c>
      <c r="E3344" t="s">
        <v>1542</v>
      </c>
      <c r="F3344" t="s">
        <v>145</v>
      </c>
      <c r="G3344" t="s">
        <v>11699</v>
      </c>
    </row>
    <row r="3345" spans="1:7" ht="44.25" customHeight="1">
      <c r="A3345" t="s">
        <v>11700</v>
      </c>
      <c r="B3345" t="s">
        <v>11701</v>
      </c>
      <c r="C3345" t="s">
        <v>132</v>
      </c>
      <c r="D3345" t="s">
        <v>2143</v>
      </c>
      <c r="E3345" t="s">
        <v>1542</v>
      </c>
      <c r="F3345" t="s">
        <v>145</v>
      </c>
      <c r="G3345" t="s">
        <v>11702</v>
      </c>
    </row>
    <row r="3346" spans="1:7" ht="44.25" customHeight="1">
      <c r="A3346" t="s">
        <v>11703</v>
      </c>
      <c r="B3346" t="s">
        <v>11704</v>
      </c>
      <c r="C3346" t="s">
        <v>132</v>
      </c>
      <c r="D3346" t="s">
        <v>2143</v>
      </c>
      <c r="E3346" t="s">
        <v>3247</v>
      </c>
      <c r="F3346" t="s">
        <v>145</v>
      </c>
      <c r="G3346" t="s">
        <v>11705</v>
      </c>
    </row>
    <row r="3347" spans="1:7" ht="44.25" customHeight="1">
      <c r="A3347" t="s">
        <v>11706</v>
      </c>
      <c r="B3347" t="s">
        <v>11707</v>
      </c>
      <c r="C3347" t="s">
        <v>132</v>
      </c>
      <c r="D3347" t="s">
        <v>2143</v>
      </c>
      <c r="E3347" t="s">
        <v>8329</v>
      </c>
      <c r="F3347" t="s">
        <v>145</v>
      </c>
      <c r="G3347" t="s">
        <v>11708</v>
      </c>
    </row>
    <row r="3348" spans="1:7" ht="44.25" customHeight="1">
      <c r="A3348" t="s">
        <v>11709</v>
      </c>
      <c r="B3348" t="s">
        <v>11710</v>
      </c>
      <c r="C3348" t="s">
        <v>132</v>
      </c>
      <c r="D3348" t="s">
        <v>2143</v>
      </c>
      <c r="E3348" t="s">
        <v>2144</v>
      </c>
      <c r="F3348" t="s">
        <v>145</v>
      </c>
      <c r="G3348" t="s">
        <v>11711</v>
      </c>
    </row>
    <row r="3349" spans="1:7" ht="44.25" customHeight="1">
      <c r="A3349" t="s">
        <v>11712</v>
      </c>
      <c r="B3349" t="s">
        <v>11713</v>
      </c>
      <c r="C3349" t="s">
        <v>132</v>
      </c>
      <c r="D3349" t="s">
        <v>2143</v>
      </c>
      <c r="E3349" t="s">
        <v>1542</v>
      </c>
      <c r="F3349" t="s">
        <v>145</v>
      </c>
      <c r="G3349" t="s">
        <v>11714</v>
      </c>
    </row>
    <row r="3350" spans="1:7" ht="44.25" customHeight="1">
      <c r="A3350" t="s">
        <v>11715</v>
      </c>
      <c r="B3350" t="s">
        <v>11716</v>
      </c>
      <c r="C3350" t="s">
        <v>11717</v>
      </c>
      <c r="D3350" t="s">
        <v>2143</v>
      </c>
      <c r="E3350" t="s">
        <v>1542</v>
      </c>
      <c r="F3350" t="s">
        <v>145</v>
      </c>
      <c r="G3350" t="s">
        <v>11718</v>
      </c>
    </row>
    <row r="3351" spans="1:7" ht="44.25" customHeight="1">
      <c r="A3351" t="s">
        <v>11719</v>
      </c>
      <c r="B3351" t="s">
        <v>11720</v>
      </c>
      <c r="C3351" t="s">
        <v>132</v>
      </c>
      <c r="D3351" t="s">
        <v>79</v>
      </c>
      <c r="E3351" t="s">
        <v>3313</v>
      </c>
      <c r="F3351" t="s">
        <v>145</v>
      </c>
      <c r="G3351" t="s">
        <v>11721</v>
      </c>
    </row>
    <row r="3352" spans="1:7" ht="44.25" customHeight="1">
      <c r="A3352" t="s">
        <v>11722</v>
      </c>
      <c r="B3352" t="s">
        <v>11723</v>
      </c>
      <c r="C3352" t="s">
        <v>132</v>
      </c>
      <c r="D3352" t="s">
        <v>79</v>
      </c>
      <c r="E3352" t="s">
        <v>3420</v>
      </c>
      <c r="F3352" t="s">
        <v>145</v>
      </c>
      <c r="G3352" t="s">
        <v>11724</v>
      </c>
    </row>
    <row r="3353" spans="1:7" ht="44.25" customHeight="1">
      <c r="A3353" t="s">
        <v>858</v>
      </c>
      <c r="B3353" t="s">
        <v>10413</v>
      </c>
      <c r="C3353" t="s">
        <v>132</v>
      </c>
      <c r="D3353" t="s">
        <v>2143</v>
      </c>
      <c r="E3353" t="s">
        <v>3466</v>
      </c>
      <c r="F3353" t="s">
        <v>145</v>
      </c>
      <c r="G3353" t="s">
        <v>11725</v>
      </c>
    </row>
    <row r="3354" spans="1:7" ht="44.25" customHeight="1">
      <c r="A3354" t="s">
        <v>11726</v>
      </c>
      <c r="B3354" t="s">
        <v>11727</v>
      </c>
      <c r="C3354" t="s">
        <v>132</v>
      </c>
      <c r="D3354" t="s">
        <v>2139</v>
      </c>
      <c r="E3354" t="s">
        <v>2144</v>
      </c>
      <c r="F3354" t="s">
        <v>145</v>
      </c>
      <c r="G3354" t="s">
        <v>11728</v>
      </c>
    </row>
    <row r="3355" spans="1:7" ht="44.25" customHeight="1">
      <c r="A3355" t="s">
        <v>11729</v>
      </c>
      <c r="B3355" t="s">
        <v>11730</v>
      </c>
      <c r="C3355" t="s">
        <v>132</v>
      </c>
      <c r="D3355" t="s">
        <v>2143</v>
      </c>
      <c r="E3355" t="s">
        <v>2162</v>
      </c>
      <c r="F3355" t="s">
        <v>145</v>
      </c>
      <c r="G3355" t="s">
        <v>11731</v>
      </c>
    </row>
    <row r="3356" spans="1:7" ht="44.25" customHeight="1">
      <c r="A3356" t="s">
        <v>11732</v>
      </c>
      <c r="B3356" t="s">
        <v>11733</v>
      </c>
      <c r="C3356" t="s">
        <v>132</v>
      </c>
      <c r="D3356" t="s">
        <v>79</v>
      </c>
      <c r="E3356" t="s">
        <v>6128</v>
      </c>
      <c r="F3356" t="s">
        <v>145</v>
      </c>
      <c r="G3356" t="s">
        <v>11734</v>
      </c>
    </row>
    <row r="3357" spans="1:7" ht="44.25" customHeight="1">
      <c r="A3357" t="s">
        <v>1304</v>
      </c>
      <c r="B3357" t="s">
        <v>11735</v>
      </c>
      <c r="C3357" t="s">
        <v>132</v>
      </c>
      <c r="D3357" t="s">
        <v>2143</v>
      </c>
      <c r="E3357" t="s">
        <v>2162</v>
      </c>
      <c r="F3357" t="s">
        <v>145</v>
      </c>
      <c r="G3357" t="s">
        <v>11736</v>
      </c>
    </row>
    <row r="3358" spans="1:7" ht="44.25" customHeight="1">
      <c r="A3358" t="s">
        <v>308</v>
      </c>
      <c r="B3358" t="s">
        <v>11737</v>
      </c>
      <c r="C3358" t="s">
        <v>132</v>
      </c>
      <c r="D3358" t="s">
        <v>2143</v>
      </c>
      <c r="E3358" t="s">
        <v>1365</v>
      </c>
      <c r="F3358" t="s">
        <v>145</v>
      </c>
      <c r="G3358" t="s">
        <v>11738</v>
      </c>
    </row>
    <row r="3359" spans="1:7" ht="44.25" customHeight="1">
      <c r="A3359" t="s">
        <v>767</v>
      </c>
      <c r="B3359" t="s">
        <v>11739</v>
      </c>
      <c r="C3359" t="s">
        <v>132</v>
      </c>
      <c r="D3359" t="s">
        <v>79</v>
      </c>
      <c r="E3359" t="s">
        <v>11740</v>
      </c>
      <c r="F3359" t="s">
        <v>145</v>
      </c>
      <c r="G3359" t="s">
        <v>11741</v>
      </c>
    </row>
    <row r="3360" spans="1:7" ht="44.25" customHeight="1">
      <c r="A3360" t="s">
        <v>707</v>
      </c>
      <c r="B3360" t="s">
        <v>11742</v>
      </c>
      <c r="C3360" t="s">
        <v>132</v>
      </c>
      <c r="D3360" t="s">
        <v>2143</v>
      </c>
      <c r="E3360" t="s">
        <v>2155</v>
      </c>
      <c r="F3360" t="s">
        <v>145</v>
      </c>
      <c r="G3360" t="s">
        <v>11743</v>
      </c>
    </row>
    <row r="3361" spans="1:7" ht="44.25" customHeight="1">
      <c r="A3361" t="s">
        <v>1001</v>
      </c>
      <c r="B3361" t="s">
        <v>11744</v>
      </c>
      <c r="C3361" t="s">
        <v>132</v>
      </c>
      <c r="D3361" t="s">
        <v>79</v>
      </c>
      <c r="E3361" t="s">
        <v>1365</v>
      </c>
      <c r="F3361" t="s">
        <v>145</v>
      </c>
      <c r="G3361" t="s">
        <v>11745</v>
      </c>
    </row>
    <row r="3362" spans="1:7" ht="44.25" customHeight="1">
      <c r="A3362" t="s">
        <v>11746</v>
      </c>
      <c r="B3362" t="s">
        <v>11747</v>
      </c>
      <c r="C3362" t="s">
        <v>132</v>
      </c>
      <c r="D3362" t="s">
        <v>2143</v>
      </c>
      <c r="E3362" t="s">
        <v>4481</v>
      </c>
      <c r="F3362" t="s">
        <v>145</v>
      </c>
      <c r="G3362" t="s">
        <v>11748</v>
      </c>
    </row>
    <row r="3363" spans="1:7" ht="44.25" customHeight="1">
      <c r="A3363" t="s">
        <v>11749</v>
      </c>
      <c r="B3363" t="s">
        <v>11750</v>
      </c>
      <c r="C3363" t="s">
        <v>132</v>
      </c>
      <c r="D3363" t="s">
        <v>79</v>
      </c>
      <c r="E3363" t="s">
        <v>11751</v>
      </c>
      <c r="F3363" t="s">
        <v>145</v>
      </c>
      <c r="G3363" t="s">
        <v>11752</v>
      </c>
    </row>
    <row r="3364" spans="1:7" ht="44.25" customHeight="1">
      <c r="A3364" t="s">
        <v>11753</v>
      </c>
      <c r="B3364" t="s">
        <v>11754</v>
      </c>
      <c r="C3364" t="s">
        <v>132</v>
      </c>
      <c r="D3364" t="s">
        <v>2143</v>
      </c>
      <c r="E3364" t="s">
        <v>5577</v>
      </c>
      <c r="F3364" t="s">
        <v>145</v>
      </c>
      <c r="G3364" t="s">
        <v>11755</v>
      </c>
    </row>
    <row r="3365" spans="1:7" ht="44.25" customHeight="1">
      <c r="A3365" t="s">
        <v>11756</v>
      </c>
      <c r="B3365" t="s">
        <v>11757</v>
      </c>
      <c r="C3365" t="s">
        <v>132</v>
      </c>
      <c r="D3365" t="s">
        <v>2143</v>
      </c>
      <c r="E3365" t="s">
        <v>5577</v>
      </c>
      <c r="F3365" t="s">
        <v>145</v>
      </c>
      <c r="G3365" t="s">
        <v>11758</v>
      </c>
    </row>
    <row r="3366" spans="1:7" ht="44.25" customHeight="1">
      <c r="A3366" t="s">
        <v>11759</v>
      </c>
      <c r="B3366" t="s">
        <v>11760</v>
      </c>
      <c r="C3366" t="s">
        <v>132</v>
      </c>
      <c r="D3366" t="s">
        <v>2143</v>
      </c>
      <c r="E3366" t="s">
        <v>1542</v>
      </c>
      <c r="F3366" t="s">
        <v>145</v>
      </c>
      <c r="G3366" t="s">
        <v>11761</v>
      </c>
    </row>
    <row r="3367" spans="1:7" ht="44.25" customHeight="1">
      <c r="A3367" t="s">
        <v>339</v>
      </c>
      <c r="B3367" t="s">
        <v>11762</v>
      </c>
      <c r="C3367" t="s">
        <v>132</v>
      </c>
      <c r="D3367" t="s">
        <v>79</v>
      </c>
      <c r="E3367" t="s">
        <v>6891</v>
      </c>
      <c r="F3367" t="s">
        <v>145</v>
      </c>
      <c r="G3367" t="s">
        <v>11763</v>
      </c>
    </row>
    <row r="3368" spans="1:7" ht="44.25" customHeight="1">
      <c r="A3368" t="s">
        <v>11764</v>
      </c>
      <c r="B3368" t="s">
        <v>11765</v>
      </c>
      <c r="C3368" t="s">
        <v>132</v>
      </c>
      <c r="D3368" t="s">
        <v>79</v>
      </c>
      <c r="E3368" t="s">
        <v>7102</v>
      </c>
      <c r="F3368" t="s">
        <v>145</v>
      </c>
      <c r="G3368" t="s">
        <v>11766</v>
      </c>
    </row>
    <row r="3369" spans="1:7" ht="44.25" customHeight="1">
      <c r="A3369" t="s">
        <v>11764</v>
      </c>
      <c r="B3369" t="s">
        <v>11765</v>
      </c>
      <c r="C3369" t="s">
        <v>132</v>
      </c>
      <c r="D3369" t="s">
        <v>79</v>
      </c>
      <c r="E3369" t="s">
        <v>7102</v>
      </c>
      <c r="F3369" t="s">
        <v>145</v>
      </c>
      <c r="G3369" t="s">
        <v>11766</v>
      </c>
    </row>
    <row r="3370" spans="1:7" ht="44.25" customHeight="1">
      <c r="A3370" t="s">
        <v>11767</v>
      </c>
      <c r="B3370" t="s">
        <v>11768</v>
      </c>
      <c r="C3370" t="s">
        <v>132</v>
      </c>
      <c r="D3370" t="s">
        <v>2139</v>
      </c>
      <c r="E3370" t="s">
        <v>1367</v>
      </c>
      <c r="F3370" t="s">
        <v>145</v>
      </c>
      <c r="G3370" t="s">
        <v>11769</v>
      </c>
    </row>
    <row r="3371" spans="1:7" ht="44.25" customHeight="1">
      <c r="A3371" t="s">
        <v>11770</v>
      </c>
      <c r="B3371" t="s">
        <v>11771</v>
      </c>
      <c r="C3371" t="s">
        <v>132</v>
      </c>
      <c r="D3371" t="s">
        <v>2143</v>
      </c>
      <c r="E3371" t="s">
        <v>2162</v>
      </c>
      <c r="F3371" t="s">
        <v>145</v>
      </c>
      <c r="G3371" t="s">
        <v>11772</v>
      </c>
    </row>
    <row r="3372" spans="1:7" ht="44.25" customHeight="1">
      <c r="A3372" t="s">
        <v>11773</v>
      </c>
      <c r="B3372" t="s">
        <v>11774</v>
      </c>
      <c r="C3372" t="s">
        <v>132</v>
      </c>
      <c r="D3372" t="s">
        <v>2139</v>
      </c>
      <c r="E3372" t="s">
        <v>1367</v>
      </c>
      <c r="F3372" t="s">
        <v>145</v>
      </c>
      <c r="G3372" t="s">
        <v>11775</v>
      </c>
    </row>
    <row r="3373" spans="1:7" ht="44.25" customHeight="1">
      <c r="A3373" t="s">
        <v>11776</v>
      </c>
      <c r="B3373" t="s">
        <v>11777</v>
      </c>
      <c r="C3373" t="s">
        <v>132</v>
      </c>
      <c r="D3373" t="s">
        <v>79</v>
      </c>
      <c r="E3373" t="s">
        <v>11778</v>
      </c>
      <c r="F3373" t="s">
        <v>145</v>
      </c>
      <c r="G3373" t="s">
        <v>11779</v>
      </c>
    </row>
    <row r="3374" spans="1:7" ht="44.25" customHeight="1">
      <c r="A3374" t="s">
        <v>11780</v>
      </c>
      <c r="B3374" t="s">
        <v>11781</v>
      </c>
      <c r="C3374" t="s">
        <v>132</v>
      </c>
      <c r="D3374" t="s">
        <v>2143</v>
      </c>
      <c r="E3374" t="s">
        <v>6014</v>
      </c>
      <c r="F3374" t="s">
        <v>145</v>
      </c>
      <c r="G3374" t="s">
        <v>11782</v>
      </c>
    </row>
    <row r="3375" spans="1:7" ht="44.25" customHeight="1">
      <c r="A3375" t="s">
        <v>11783</v>
      </c>
      <c r="B3375" t="s">
        <v>11784</v>
      </c>
      <c r="C3375" t="s">
        <v>132</v>
      </c>
      <c r="D3375" t="s">
        <v>2143</v>
      </c>
      <c r="E3375" t="s">
        <v>5577</v>
      </c>
      <c r="F3375" t="s">
        <v>145</v>
      </c>
      <c r="G3375" t="s">
        <v>11785</v>
      </c>
    </row>
    <row r="3376" spans="1:7" ht="44.25" customHeight="1">
      <c r="A3376" t="s">
        <v>11786</v>
      </c>
      <c r="B3376" t="s">
        <v>11787</v>
      </c>
      <c r="C3376" t="s">
        <v>132</v>
      </c>
      <c r="D3376" t="s">
        <v>2143</v>
      </c>
      <c r="E3376" t="s">
        <v>6014</v>
      </c>
      <c r="F3376" t="s">
        <v>145</v>
      </c>
      <c r="G3376" t="s">
        <v>11788</v>
      </c>
    </row>
    <row r="3377" spans="1:7" ht="44.25" customHeight="1">
      <c r="A3377" t="s">
        <v>444</v>
      </c>
      <c r="B3377" t="s">
        <v>11789</v>
      </c>
      <c r="C3377" t="s">
        <v>132</v>
      </c>
      <c r="D3377" t="s">
        <v>2143</v>
      </c>
      <c r="E3377" t="s">
        <v>1453</v>
      </c>
      <c r="F3377" t="s">
        <v>145</v>
      </c>
      <c r="G3377" t="s">
        <v>11790</v>
      </c>
    </row>
    <row r="3378" spans="1:7" ht="44.25" customHeight="1">
      <c r="A3378" t="s">
        <v>132</v>
      </c>
      <c r="B3378" t="s">
        <v>11791</v>
      </c>
      <c r="C3378" t="s">
        <v>132</v>
      </c>
      <c r="D3378" t="s">
        <v>2143</v>
      </c>
      <c r="E3378" t="s">
        <v>2285</v>
      </c>
      <c r="F3378" t="s">
        <v>145</v>
      </c>
      <c r="G3378" t="s">
        <v>11792</v>
      </c>
    </row>
    <row r="3379" spans="1:7" ht="44.25" customHeight="1">
      <c r="A3379" t="s">
        <v>256</v>
      </c>
      <c r="B3379" t="s">
        <v>11793</v>
      </c>
      <c r="C3379" t="s">
        <v>132</v>
      </c>
      <c r="D3379" t="s">
        <v>2143</v>
      </c>
      <c r="E3379" t="s">
        <v>1542</v>
      </c>
      <c r="F3379" t="s">
        <v>145</v>
      </c>
      <c r="G3379" t="s">
        <v>11794</v>
      </c>
    </row>
    <row r="3380" spans="1:7" ht="44.25" customHeight="1">
      <c r="A3380" t="s">
        <v>11795</v>
      </c>
      <c r="B3380" t="s">
        <v>11796</v>
      </c>
      <c r="C3380" t="s">
        <v>132</v>
      </c>
      <c r="D3380" t="s">
        <v>2143</v>
      </c>
      <c r="E3380" t="s">
        <v>1542</v>
      </c>
      <c r="F3380" t="s">
        <v>145</v>
      </c>
      <c r="G3380" t="s">
        <v>11797</v>
      </c>
    </row>
    <row r="3381" spans="1:7" ht="44.25" customHeight="1">
      <c r="A3381" t="s">
        <v>531</v>
      </c>
      <c r="B3381" t="s">
        <v>11798</v>
      </c>
      <c r="C3381" t="s">
        <v>132</v>
      </c>
      <c r="D3381" t="s">
        <v>79</v>
      </c>
      <c r="E3381" t="s">
        <v>3451</v>
      </c>
      <c r="F3381" t="s">
        <v>145</v>
      </c>
      <c r="G3381" t="s">
        <v>11799</v>
      </c>
    </row>
    <row r="3382" spans="1:7" ht="44.25" customHeight="1">
      <c r="A3382" t="s">
        <v>11800</v>
      </c>
      <c r="B3382" t="s">
        <v>11801</v>
      </c>
      <c r="C3382" t="s">
        <v>132</v>
      </c>
      <c r="D3382" t="s">
        <v>79</v>
      </c>
      <c r="E3382" t="s">
        <v>6040</v>
      </c>
      <c r="F3382" t="s">
        <v>145</v>
      </c>
      <c r="G3382" t="s">
        <v>11802</v>
      </c>
    </row>
    <row r="3383" spans="1:7" ht="44.25" customHeight="1">
      <c r="A3383" t="s">
        <v>11803</v>
      </c>
      <c r="B3383" t="s">
        <v>11804</v>
      </c>
      <c r="C3383" t="s">
        <v>132</v>
      </c>
      <c r="D3383" t="s">
        <v>79</v>
      </c>
      <c r="E3383" t="s">
        <v>11805</v>
      </c>
      <c r="F3383" t="s">
        <v>145</v>
      </c>
      <c r="G3383" t="s">
        <v>11806</v>
      </c>
    </row>
    <row r="3384" spans="1:7" ht="44.25" customHeight="1">
      <c r="A3384" t="s">
        <v>11807</v>
      </c>
      <c r="B3384" t="s">
        <v>11808</v>
      </c>
      <c r="C3384" t="s">
        <v>132</v>
      </c>
      <c r="D3384" t="s">
        <v>2139</v>
      </c>
      <c r="E3384" t="s">
        <v>1367</v>
      </c>
      <c r="F3384" t="s">
        <v>145</v>
      </c>
      <c r="G3384" t="s">
        <v>11809</v>
      </c>
    </row>
    <row r="3385" spans="1:7" ht="44.25" customHeight="1">
      <c r="A3385" t="s">
        <v>753</v>
      </c>
      <c r="B3385" t="s">
        <v>11810</v>
      </c>
      <c r="C3385" t="s">
        <v>132</v>
      </c>
      <c r="D3385" t="s">
        <v>2139</v>
      </c>
      <c r="E3385" t="s">
        <v>1367</v>
      </c>
      <c r="F3385" t="s">
        <v>145</v>
      </c>
      <c r="G3385" t="s">
        <v>11811</v>
      </c>
    </row>
    <row r="3386" spans="1:7" ht="44.25" customHeight="1">
      <c r="A3386" t="s">
        <v>11812</v>
      </c>
      <c r="B3386" t="s">
        <v>11813</v>
      </c>
      <c r="C3386" t="s">
        <v>132</v>
      </c>
      <c r="D3386" t="s">
        <v>79</v>
      </c>
      <c r="E3386" t="s">
        <v>7628</v>
      </c>
      <c r="F3386" t="s">
        <v>145</v>
      </c>
      <c r="G3386" t="s">
        <v>11814</v>
      </c>
    </row>
    <row r="3387" spans="1:7" ht="44.25" customHeight="1">
      <c r="A3387" t="s">
        <v>11815</v>
      </c>
      <c r="B3387" t="s">
        <v>11816</v>
      </c>
      <c r="C3387" t="s">
        <v>132</v>
      </c>
      <c r="D3387" t="s">
        <v>79</v>
      </c>
      <c r="E3387" t="s">
        <v>11817</v>
      </c>
      <c r="F3387" t="s">
        <v>145</v>
      </c>
      <c r="G3387" t="s">
        <v>11818</v>
      </c>
    </row>
    <row r="3388" spans="1:7" ht="44.25" customHeight="1">
      <c r="A3388" t="s">
        <v>11819</v>
      </c>
      <c r="B3388" t="s">
        <v>11820</v>
      </c>
      <c r="C3388" t="s">
        <v>132</v>
      </c>
      <c r="D3388" t="s">
        <v>2143</v>
      </c>
      <c r="E3388" t="s">
        <v>5699</v>
      </c>
      <c r="F3388" t="s">
        <v>145</v>
      </c>
      <c r="G3388" t="s">
        <v>11821</v>
      </c>
    </row>
    <row r="3389" spans="1:7" ht="44.25" customHeight="1">
      <c r="A3389" t="s">
        <v>11822</v>
      </c>
      <c r="B3389" t="s">
        <v>11823</v>
      </c>
      <c r="C3389" t="s">
        <v>132</v>
      </c>
      <c r="D3389" t="s">
        <v>2143</v>
      </c>
      <c r="E3389" t="s">
        <v>1542</v>
      </c>
      <c r="F3389" t="s">
        <v>145</v>
      </c>
      <c r="G3389" t="s">
        <v>11824</v>
      </c>
    </row>
    <row r="3390" spans="1:7" ht="44.25" customHeight="1">
      <c r="A3390" t="s">
        <v>11825</v>
      </c>
      <c r="B3390" t="s">
        <v>11826</v>
      </c>
      <c r="C3390" t="s">
        <v>132</v>
      </c>
      <c r="D3390" t="s">
        <v>2143</v>
      </c>
      <c r="E3390" t="s">
        <v>1542</v>
      </c>
      <c r="F3390" t="s">
        <v>145</v>
      </c>
      <c r="G3390" t="s">
        <v>11827</v>
      </c>
    </row>
    <row r="3391" spans="1:7" ht="44.25" customHeight="1">
      <c r="A3391" t="s">
        <v>11828</v>
      </c>
      <c r="B3391" t="s">
        <v>11829</v>
      </c>
      <c r="C3391" t="s">
        <v>132</v>
      </c>
      <c r="D3391" t="s">
        <v>2143</v>
      </c>
      <c r="E3391" t="s">
        <v>1542</v>
      </c>
      <c r="F3391" t="s">
        <v>145</v>
      </c>
      <c r="G3391" t="s">
        <v>11830</v>
      </c>
    </row>
    <row r="3392" spans="1:7" ht="44.25" customHeight="1">
      <c r="A3392" t="s">
        <v>11831</v>
      </c>
      <c r="B3392" t="s">
        <v>11832</v>
      </c>
      <c r="C3392" t="s">
        <v>132</v>
      </c>
      <c r="D3392" t="s">
        <v>2143</v>
      </c>
      <c r="E3392" t="s">
        <v>1542</v>
      </c>
      <c r="F3392" t="s">
        <v>145</v>
      </c>
      <c r="G3392" t="s">
        <v>11833</v>
      </c>
    </row>
    <row r="3393" spans="1:7" ht="44.25" customHeight="1">
      <c r="A3393" t="s">
        <v>11834</v>
      </c>
      <c r="B3393" t="s">
        <v>11835</v>
      </c>
      <c r="C3393" t="s">
        <v>132</v>
      </c>
      <c r="D3393" t="s">
        <v>2139</v>
      </c>
      <c r="E3393" t="s">
        <v>1367</v>
      </c>
      <c r="F3393" t="s">
        <v>145</v>
      </c>
      <c r="G3393" t="s">
        <v>11836</v>
      </c>
    </row>
    <row r="3394" spans="1:7" ht="44.25" customHeight="1">
      <c r="A3394" t="s">
        <v>11837</v>
      </c>
      <c r="B3394" t="s">
        <v>11838</v>
      </c>
      <c r="C3394" t="s">
        <v>132</v>
      </c>
      <c r="D3394" t="s">
        <v>2139</v>
      </c>
      <c r="E3394" t="s">
        <v>1367</v>
      </c>
      <c r="F3394" t="s">
        <v>145</v>
      </c>
      <c r="G3394" t="s">
        <v>11839</v>
      </c>
    </row>
    <row r="3395" spans="1:7" ht="44.25" customHeight="1">
      <c r="A3395" t="s">
        <v>11840</v>
      </c>
      <c r="B3395" t="s">
        <v>11841</v>
      </c>
      <c r="C3395" t="s">
        <v>132</v>
      </c>
      <c r="D3395" t="s">
        <v>2143</v>
      </c>
      <c r="E3395" t="s">
        <v>2162</v>
      </c>
      <c r="F3395" t="s">
        <v>145</v>
      </c>
      <c r="G3395" t="s">
        <v>11842</v>
      </c>
    </row>
    <row r="3396" spans="1:7" ht="44.25" customHeight="1">
      <c r="A3396" t="s">
        <v>1264</v>
      </c>
      <c r="B3396" t="s">
        <v>11843</v>
      </c>
      <c r="C3396" t="s">
        <v>132</v>
      </c>
      <c r="D3396" t="s">
        <v>2139</v>
      </c>
      <c r="E3396" t="s">
        <v>1367</v>
      </c>
      <c r="F3396" t="s">
        <v>145</v>
      </c>
      <c r="G3396" t="s">
        <v>11844</v>
      </c>
    </row>
    <row r="3397" spans="1:7" ht="44.25" customHeight="1">
      <c r="A3397" t="s">
        <v>1283</v>
      </c>
      <c r="B3397" t="s">
        <v>11845</v>
      </c>
      <c r="C3397" t="s">
        <v>132</v>
      </c>
      <c r="D3397" t="s">
        <v>2143</v>
      </c>
      <c r="E3397" t="s">
        <v>2162</v>
      </c>
      <c r="F3397" t="s">
        <v>145</v>
      </c>
      <c r="G3397" t="s">
        <v>11846</v>
      </c>
    </row>
    <row r="3398" spans="1:7" ht="44.25" customHeight="1">
      <c r="A3398" t="s">
        <v>1299</v>
      </c>
      <c r="B3398" t="s">
        <v>11847</v>
      </c>
      <c r="C3398" t="s">
        <v>132</v>
      </c>
      <c r="D3398" t="s">
        <v>2143</v>
      </c>
      <c r="E3398" t="s">
        <v>2162</v>
      </c>
      <c r="F3398" t="s">
        <v>145</v>
      </c>
      <c r="G3398" t="s">
        <v>11848</v>
      </c>
    </row>
    <row r="3399" spans="1:7" ht="44.25" customHeight="1">
      <c r="A3399" t="s">
        <v>757</v>
      </c>
      <c r="B3399" t="s">
        <v>11849</v>
      </c>
      <c r="C3399" t="s">
        <v>132</v>
      </c>
      <c r="D3399" t="s">
        <v>2139</v>
      </c>
      <c r="E3399" t="s">
        <v>1367</v>
      </c>
      <c r="F3399" t="s">
        <v>145</v>
      </c>
      <c r="G3399" t="s">
        <v>11850</v>
      </c>
    </row>
    <row r="3400" spans="1:7" ht="44.25" customHeight="1">
      <c r="A3400" t="s">
        <v>723</v>
      </c>
      <c r="B3400" t="s">
        <v>11851</v>
      </c>
      <c r="C3400" t="s">
        <v>132</v>
      </c>
      <c r="D3400" t="s">
        <v>79</v>
      </c>
      <c r="E3400" t="s">
        <v>4397</v>
      </c>
      <c r="F3400" t="s">
        <v>145</v>
      </c>
      <c r="G3400" t="s">
        <v>11852</v>
      </c>
    </row>
    <row r="3401" spans="1:7" ht="44.25" customHeight="1">
      <c r="A3401" t="s">
        <v>668</v>
      </c>
      <c r="B3401" t="s">
        <v>11853</v>
      </c>
      <c r="C3401" t="s">
        <v>132</v>
      </c>
      <c r="D3401" t="s">
        <v>2143</v>
      </c>
      <c r="E3401" t="s">
        <v>1519</v>
      </c>
      <c r="F3401" t="s">
        <v>145</v>
      </c>
      <c r="G3401" t="s">
        <v>11854</v>
      </c>
    </row>
    <row r="3402" spans="1:7" ht="44.25" customHeight="1">
      <c r="A3402" t="s">
        <v>11855</v>
      </c>
      <c r="B3402" t="s">
        <v>11856</v>
      </c>
      <c r="C3402" t="s">
        <v>132</v>
      </c>
      <c r="D3402" t="s">
        <v>79</v>
      </c>
      <c r="E3402" t="s">
        <v>11857</v>
      </c>
      <c r="F3402" t="s">
        <v>145</v>
      </c>
      <c r="G3402" t="s">
        <v>11858</v>
      </c>
    </row>
    <row r="3403" spans="1:7" ht="44.25" customHeight="1">
      <c r="A3403" t="s">
        <v>11859</v>
      </c>
      <c r="B3403" t="s">
        <v>11860</v>
      </c>
      <c r="C3403" t="s">
        <v>132</v>
      </c>
      <c r="D3403" t="s">
        <v>79</v>
      </c>
      <c r="E3403" t="s">
        <v>11861</v>
      </c>
      <c r="F3403" t="s">
        <v>145</v>
      </c>
      <c r="G3403" t="s">
        <v>11862</v>
      </c>
    </row>
    <row r="3404" spans="1:7" ht="44.25" customHeight="1">
      <c r="A3404" t="s">
        <v>11863</v>
      </c>
      <c r="B3404" t="s">
        <v>11864</v>
      </c>
      <c r="C3404" t="s">
        <v>132</v>
      </c>
      <c r="D3404" t="s">
        <v>2143</v>
      </c>
      <c r="E3404" t="s">
        <v>11865</v>
      </c>
      <c r="F3404" t="s">
        <v>145</v>
      </c>
      <c r="G3404" t="s">
        <v>11866</v>
      </c>
    </row>
    <row r="3405" spans="1:7" ht="44.25" customHeight="1">
      <c r="A3405" t="s">
        <v>11863</v>
      </c>
      <c r="B3405" t="s">
        <v>11864</v>
      </c>
      <c r="C3405" t="s">
        <v>132</v>
      </c>
      <c r="D3405" t="s">
        <v>2143</v>
      </c>
      <c r="E3405" t="s">
        <v>11865</v>
      </c>
      <c r="F3405" t="s">
        <v>145</v>
      </c>
      <c r="G3405" t="s">
        <v>11866</v>
      </c>
    </row>
    <row r="3406" spans="1:7" ht="44.25" customHeight="1">
      <c r="A3406" t="s">
        <v>11867</v>
      </c>
      <c r="B3406" t="s">
        <v>11868</v>
      </c>
      <c r="C3406" t="s">
        <v>132</v>
      </c>
      <c r="D3406" t="s">
        <v>79</v>
      </c>
      <c r="E3406" t="s">
        <v>11869</v>
      </c>
      <c r="F3406" t="s">
        <v>145</v>
      </c>
      <c r="G3406" t="s">
        <v>11870</v>
      </c>
    </row>
    <row r="3407" spans="1:7" ht="44.25" customHeight="1">
      <c r="A3407" t="s">
        <v>11867</v>
      </c>
      <c r="B3407" t="s">
        <v>11868</v>
      </c>
      <c r="C3407" t="s">
        <v>132</v>
      </c>
      <c r="D3407" t="s">
        <v>79</v>
      </c>
      <c r="E3407" t="s">
        <v>11869</v>
      </c>
      <c r="F3407" t="s">
        <v>145</v>
      </c>
      <c r="G3407" t="s">
        <v>11870</v>
      </c>
    </row>
    <row r="3408" spans="1:7" ht="44.25" customHeight="1">
      <c r="A3408" t="s">
        <v>11871</v>
      </c>
      <c r="B3408" t="s">
        <v>11872</v>
      </c>
      <c r="C3408" t="s">
        <v>132</v>
      </c>
      <c r="D3408" t="s">
        <v>79</v>
      </c>
      <c r="E3408" t="s">
        <v>11873</v>
      </c>
      <c r="F3408" t="s">
        <v>145</v>
      </c>
      <c r="G3408" t="s">
        <v>11874</v>
      </c>
    </row>
    <row r="3409" spans="1:7" ht="44.25" customHeight="1">
      <c r="A3409" t="s">
        <v>132</v>
      </c>
      <c r="B3409" t="s">
        <v>11875</v>
      </c>
      <c r="C3409" t="s">
        <v>132</v>
      </c>
      <c r="D3409" t="s">
        <v>2143</v>
      </c>
      <c r="E3409" t="s">
        <v>5699</v>
      </c>
      <c r="F3409" t="s">
        <v>145</v>
      </c>
      <c r="G3409" t="s">
        <v>11876</v>
      </c>
    </row>
    <row r="3410" spans="1:7" ht="44.25" customHeight="1">
      <c r="A3410" t="s">
        <v>815</v>
      </c>
      <c r="B3410" t="s">
        <v>11877</v>
      </c>
      <c r="C3410" t="s">
        <v>132</v>
      </c>
      <c r="D3410" t="s">
        <v>79</v>
      </c>
      <c r="E3410" t="s">
        <v>1534</v>
      </c>
      <c r="F3410" t="s">
        <v>145</v>
      </c>
      <c r="G3410" t="s">
        <v>11878</v>
      </c>
    </row>
    <row r="3411" spans="1:7" ht="44.25" customHeight="1">
      <c r="A3411" t="s">
        <v>11879</v>
      </c>
      <c r="B3411" t="s">
        <v>11880</v>
      </c>
      <c r="C3411" t="s">
        <v>132</v>
      </c>
      <c r="D3411" t="s">
        <v>2143</v>
      </c>
      <c r="E3411" t="s">
        <v>1542</v>
      </c>
      <c r="F3411" t="s">
        <v>145</v>
      </c>
      <c r="G3411" t="s">
        <v>11881</v>
      </c>
    </row>
    <row r="3412" spans="1:7" ht="44.25" customHeight="1">
      <c r="A3412" t="s">
        <v>11882</v>
      </c>
      <c r="B3412" t="s">
        <v>11883</v>
      </c>
      <c r="C3412" t="s">
        <v>132</v>
      </c>
      <c r="D3412" t="s">
        <v>79</v>
      </c>
      <c r="E3412" t="s">
        <v>11884</v>
      </c>
      <c r="F3412" t="s">
        <v>145</v>
      </c>
      <c r="G3412" t="s">
        <v>11885</v>
      </c>
    </row>
    <row r="3413" spans="1:7" ht="44.25" customHeight="1">
      <c r="A3413" t="s">
        <v>11886</v>
      </c>
      <c r="B3413" t="s">
        <v>11887</v>
      </c>
      <c r="C3413" t="s">
        <v>132</v>
      </c>
      <c r="D3413" t="s">
        <v>2143</v>
      </c>
      <c r="E3413" t="s">
        <v>1542</v>
      </c>
      <c r="F3413" t="s">
        <v>145</v>
      </c>
      <c r="G3413" t="s">
        <v>11888</v>
      </c>
    </row>
    <row r="3414" spans="1:7" ht="44.25" customHeight="1">
      <c r="A3414" t="s">
        <v>612</v>
      </c>
      <c r="B3414" t="s">
        <v>11889</v>
      </c>
      <c r="C3414" t="s">
        <v>132</v>
      </c>
      <c r="D3414" t="s">
        <v>79</v>
      </c>
      <c r="E3414" t="s">
        <v>1510</v>
      </c>
      <c r="F3414" t="s">
        <v>145</v>
      </c>
      <c r="G3414" t="s">
        <v>11890</v>
      </c>
    </row>
    <row r="3415" spans="1:7" ht="44.25" customHeight="1">
      <c r="A3415" t="s">
        <v>11891</v>
      </c>
      <c r="B3415" t="s">
        <v>11892</v>
      </c>
      <c r="C3415" t="s">
        <v>132</v>
      </c>
      <c r="D3415" t="s">
        <v>2139</v>
      </c>
      <c r="E3415" t="s">
        <v>1367</v>
      </c>
      <c r="F3415" t="s">
        <v>145</v>
      </c>
      <c r="G3415" t="s">
        <v>11893</v>
      </c>
    </row>
    <row r="3416" spans="1:7" ht="44.25" customHeight="1">
      <c r="A3416" t="s">
        <v>333</v>
      </c>
      <c r="B3416" t="s">
        <v>11894</v>
      </c>
      <c r="C3416" t="s">
        <v>132</v>
      </c>
      <c r="D3416" t="s">
        <v>2139</v>
      </c>
      <c r="E3416" t="s">
        <v>1367</v>
      </c>
      <c r="F3416" t="s">
        <v>145</v>
      </c>
      <c r="G3416" t="s">
        <v>11895</v>
      </c>
    </row>
    <row r="3417" spans="1:7" ht="44.25" customHeight="1">
      <c r="A3417" t="s">
        <v>337</v>
      </c>
      <c r="B3417" t="s">
        <v>11896</v>
      </c>
      <c r="C3417" t="s">
        <v>132</v>
      </c>
      <c r="D3417" t="s">
        <v>2139</v>
      </c>
      <c r="E3417" t="s">
        <v>2144</v>
      </c>
      <c r="F3417" t="s">
        <v>145</v>
      </c>
      <c r="G3417" t="s">
        <v>11897</v>
      </c>
    </row>
    <row r="3418" spans="1:7" ht="44.25" customHeight="1">
      <c r="A3418" t="s">
        <v>738</v>
      </c>
      <c r="B3418" t="s">
        <v>11898</v>
      </c>
      <c r="C3418" t="s">
        <v>132</v>
      </c>
      <c r="D3418" t="s">
        <v>2143</v>
      </c>
      <c r="E3418" t="s">
        <v>8425</v>
      </c>
      <c r="F3418" t="s">
        <v>145</v>
      </c>
      <c r="G3418" t="s">
        <v>11899</v>
      </c>
    </row>
    <row r="3419" spans="1:7" ht="44.25" customHeight="1">
      <c r="A3419" t="s">
        <v>11900</v>
      </c>
      <c r="B3419" t="s">
        <v>11901</v>
      </c>
      <c r="C3419" t="s">
        <v>132</v>
      </c>
      <c r="D3419" t="s">
        <v>79</v>
      </c>
      <c r="E3419" t="s">
        <v>11902</v>
      </c>
      <c r="F3419" t="s">
        <v>145</v>
      </c>
      <c r="G3419" t="s">
        <v>11903</v>
      </c>
    </row>
    <row r="3420" spans="1:7" ht="44.25" customHeight="1">
      <c r="A3420" t="s">
        <v>11904</v>
      </c>
      <c r="B3420" t="s">
        <v>11905</v>
      </c>
      <c r="C3420" t="s">
        <v>132</v>
      </c>
      <c r="D3420" t="s">
        <v>79</v>
      </c>
      <c r="E3420" t="s">
        <v>11906</v>
      </c>
      <c r="F3420" t="s">
        <v>145</v>
      </c>
      <c r="G3420" t="s">
        <v>11907</v>
      </c>
    </row>
    <row r="3421" spans="1:7" ht="44.25" customHeight="1">
      <c r="A3421" t="s">
        <v>11908</v>
      </c>
      <c r="B3421" t="s">
        <v>11909</v>
      </c>
      <c r="C3421" t="s">
        <v>132</v>
      </c>
      <c r="D3421" t="s">
        <v>2143</v>
      </c>
      <c r="E3421" t="s">
        <v>5570</v>
      </c>
      <c r="F3421" t="s">
        <v>145</v>
      </c>
      <c r="G3421" t="s">
        <v>11910</v>
      </c>
    </row>
    <row r="3422" spans="1:7" ht="44.25" customHeight="1">
      <c r="A3422" t="s">
        <v>11911</v>
      </c>
      <c r="B3422" t="s">
        <v>11912</v>
      </c>
      <c r="C3422" t="s">
        <v>132</v>
      </c>
      <c r="D3422" t="s">
        <v>79</v>
      </c>
      <c r="E3422" t="s">
        <v>11913</v>
      </c>
      <c r="F3422" t="s">
        <v>145</v>
      </c>
      <c r="G3422" t="s">
        <v>11914</v>
      </c>
    </row>
    <row r="3423" spans="1:7" ht="44.25" customHeight="1">
      <c r="A3423" t="s">
        <v>1055</v>
      </c>
      <c r="B3423" t="s">
        <v>11915</v>
      </c>
      <c r="C3423" t="s">
        <v>132</v>
      </c>
      <c r="D3423" t="s">
        <v>79</v>
      </c>
      <c r="E3423" t="s">
        <v>8363</v>
      </c>
      <c r="F3423" t="s">
        <v>145</v>
      </c>
      <c r="G3423" t="s">
        <v>11916</v>
      </c>
    </row>
    <row r="3424" spans="1:7" ht="44.25" customHeight="1">
      <c r="A3424" t="s">
        <v>11917</v>
      </c>
      <c r="B3424" t="s">
        <v>11918</v>
      </c>
      <c r="C3424" t="s">
        <v>132</v>
      </c>
      <c r="D3424" t="s">
        <v>2139</v>
      </c>
      <c r="E3424" t="s">
        <v>1367</v>
      </c>
      <c r="F3424" t="s">
        <v>145</v>
      </c>
      <c r="G3424" t="s">
        <v>11919</v>
      </c>
    </row>
    <row r="3425" spans="1:7" ht="44.25" customHeight="1">
      <c r="A3425" t="s">
        <v>11920</v>
      </c>
      <c r="B3425" t="s">
        <v>11921</v>
      </c>
      <c r="C3425" t="s">
        <v>132</v>
      </c>
      <c r="D3425" t="s">
        <v>2139</v>
      </c>
      <c r="E3425" t="s">
        <v>1367</v>
      </c>
      <c r="F3425" t="s">
        <v>145</v>
      </c>
      <c r="G3425" t="s">
        <v>11922</v>
      </c>
    </row>
    <row r="3426" spans="1:7" ht="44.25" customHeight="1">
      <c r="A3426" t="s">
        <v>11923</v>
      </c>
      <c r="B3426" t="s">
        <v>11924</v>
      </c>
      <c r="C3426" t="s">
        <v>132</v>
      </c>
      <c r="D3426" t="s">
        <v>2139</v>
      </c>
      <c r="E3426" t="s">
        <v>1367</v>
      </c>
      <c r="F3426" t="s">
        <v>145</v>
      </c>
      <c r="G3426" t="s">
        <v>11925</v>
      </c>
    </row>
    <row r="3427" spans="1:7" ht="44.25" customHeight="1">
      <c r="A3427" t="s">
        <v>11926</v>
      </c>
      <c r="B3427" t="s">
        <v>11927</v>
      </c>
      <c r="C3427" t="s">
        <v>132</v>
      </c>
      <c r="D3427" t="s">
        <v>2139</v>
      </c>
      <c r="E3427" t="s">
        <v>1365</v>
      </c>
      <c r="F3427" t="s">
        <v>145</v>
      </c>
      <c r="G3427" t="s">
        <v>11928</v>
      </c>
    </row>
    <row r="3428" spans="1:7" ht="44.25" customHeight="1">
      <c r="A3428" t="s">
        <v>371</v>
      </c>
      <c r="B3428" t="s">
        <v>11929</v>
      </c>
      <c r="C3428" t="s">
        <v>132</v>
      </c>
      <c r="D3428" t="s">
        <v>2143</v>
      </c>
      <c r="E3428" t="s">
        <v>1367</v>
      </c>
      <c r="F3428" t="s">
        <v>145</v>
      </c>
      <c r="G3428" t="s">
        <v>11930</v>
      </c>
    </row>
    <row r="3429" spans="1:7" ht="44.25" customHeight="1">
      <c r="A3429" t="s">
        <v>568</v>
      </c>
      <c r="B3429" t="s">
        <v>11931</v>
      </c>
      <c r="C3429" t="s">
        <v>132</v>
      </c>
      <c r="D3429" t="s">
        <v>79</v>
      </c>
      <c r="E3429" t="s">
        <v>11932</v>
      </c>
      <c r="F3429" t="s">
        <v>145</v>
      </c>
      <c r="G3429" t="s">
        <v>11933</v>
      </c>
    </row>
    <row r="3430" spans="1:7" ht="44.25" customHeight="1">
      <c r="A3430" t="s">
        <v>894</v>
      </c>
      <c r="B3430" t="s">
        <v>11934</v>
      </c>
      <c r="C3430" t="s">
        <v>132</v>
      </c>
      <c r="D3430" t="s">
        <v>79</v>
      </c>
      <c r="E3430" t="s">
        <v>4397</v>
      </c>
      <c r="F3430" t="s">
        <v>145</v>
      </c>
      <c r="G3430" t="s">
        <v>11935</v>
      </c>
    </row>
    <row r="3431" spans="1:7" ht="44.25" customHeight="1">
      <c r="A3431" t="s">
        <v>11936</v>
      </c>
      <c r="B3431" t="s">
        <v>11937</v>
      </c>
      <c r="C3431" t="s">
        <v>132</v>
      </c>
      <c r="D3431" t="s">
        <v>79</v>
      </c>
      <c r="E3431" t="s">
        <v>11938</v>
      </c>
      <c r="F3431" t="s">
        <v>145</v>
      </c>
      <c r="G3431" t="s">
        <v>11939</v>
      </c>
    </row>
    <row r="3432" spans="1:7" ht="44.25" customHeight="1">
      <c r="A3432" t="s">
        <v>11940</v>
      </c>
      <c r="B3432" t="s">
        <v>11941</v>
      </c>
      <c r="C3432" t="s">
        <v>132</v>
      </c>
      <c r="D3432" t="s">
        <v>79</v>
      </c>
      <c r="E3432" t="s">
        <v>11942</v>
      </c>
      <c r="F3432" t="s">
        <v>145</v>
      </c>
      <c r="G3432" t="s">
        <v>11943</v>
      </c>
    </row>
    <row r="3433" spans="1:7" ht="44.25" customHeight="1">
      <c r="A3433" t="s">
        <v>11944</v>
      </c>
      <c r="B3433" t="s">
        <v>11945</v>
      </c>
      <c r="C3433" t="s">
        <v>132</v>
      </c>
      <c r="D3433" t="s">
        <v>79</v>
      </c>
      <c r="E3433" t="s">
        <v>11946</v>
      </c>
      <c r="F3433" t="s">
        <v>145</v>
      </c>
      <c r="G3433" t="s">
        <v>11947</v>
      </c>
    </row>
    <row r="3434" spans="1:7" ht="44.25" customHeight="1">
      <c r="A3434" t="s">
        <v>11948</v>
      </c>
      <c r="B3434" t="s">
        <v>11949</v>
      </c>
      <c r="C3434" t="s">
        <v>132</v>
      </c>
      <c r="D3434" t="s">
        <v>79</v>
      </c>
      <c r="E3434" t="s">
        <v>11950</v>
      </c>
      <c r="F3434" t="s">
        <v>145</v>
      </c>
      <c r="G3434" t="s">
        <v>11951</v>
      </c>
    </row>
    <row r="3435" spans="1:7" ht="44.25" customHeight="1">
      <c r="A3435" t="s">
        <v>11952</v>
      </c>
      <c r="B3435" t="s">
        <v>11953</v>
      </c>
      <c r="C3435" t="s">
        <v>132</v>
      </c>
      <c r="D3435" t="s">
        <v>2143</v>
      </c>
      <c r="E3435" t="s">
        <v>5577</v>
      </c>
      <c r="F3435" t="s">
        <v>145</v>
      </c>
      <c r="G3435" t="s">
        <v>11954</v>
      </c>
    </row>
    <row r="3436" spans="1:7" ht="44.25" customHeight="1">
      <c r="A3436" t="s">
        <v>11955</v>
      </c>
      <c r="B3436" t="s">
        <v>11956</v>
      </c>
      <c r="C3436" t="s">
        <v>132</v>
      </c>
      <c r="D3436" t="s">
        <v>2143</v>
      </c>
      <c r="E3436" t="s">
        <v>1542</v>
      </c>
      <c r="F3436" t="s">
        <v>145</v>
      </c>
      <c r="G3436" t="s">
        <v>11957</v>
      </c>
    </row>
    <row r="3437" spans="1:7" ht="44.25" customHeight="1">
      <c r="A3437" t="s">
        <v>11958</v>
      </c>
      <c r="B3437" t="s">
        <v>11959</v>
      </c>
      <c r="C3437" t="s">
        <v>132</v>
      </c>
      <c r="D3437" t="s">
        <v>2143</v>
      </c>
      <c r="E3437" t="s">
        <v>2285</v>
      </c>
      <c r="F3437" t="s">
        <v>145</v>
      </c>
      <c r="G3437" t="s">
        <v>11960</v>
      </c>
    </row>
    <row r="3438" spans="1:7" ht="44.25" customHeight="1">
      <c r="A3438" t="s">
        <v>11961</v>
      </c>
      <c r="B3438" t="s">
        <v>11962</v>
      </c>
      <c r="C3438" t="s">
        <v>132</v>
      </c>
      <c r="D3438" t="s">
        <v>2143</v>
      </c>
      <c r="E3438" t="s">
        <v>1542</v>
      </c>
      <c r="F3438" t="s">
        <v>145</v>
      </c>
      <c r="G3438" t="s">
        <v>11963</v>
      </c>
    </row>
    <row r="3439" spans="1:7" ht="44.25" customHeight="1">
      <c r="A3439" t="s">
        <v>11964</v>
      </c>
      <c r="B3439" t="s">
        <v>11965</v>
      </c>
      <c r="C3439" t="s">
        <v>132</v>
      </c>
      <c r="D3439" t="s">
        <v>2143</v>
      </c>
      <c r="E3439" t="s">
        <v>1542</v>
      </c>
      <c r="F3439" t="s">
        <v>145</v>
      </c>
      <c r="G3439" t="s">
        <v>11966</v>
      </c>
    </row>
    <row r="3440" spans="1:7" ht="44.25" customHeight="1">
      <c r="A3440" t="s">
        <v>11967</v>
      </c>
      <c r="B3440" t="s">
        <v>11968</v>
      </c>
      <c r="C3440" t="s">
        <v>132</v>
      </c>
      <c r="D3440" t="s">
        <v>79</v>
      </c>
      <c r="E3440" t="s">
        <v>11969</v>
      </c>
      <c r="F3440" t="s">
        <v>145</v>
      </c>
      <c r="G3440" t="s">
        <v>11970</v>
      </c>
    </row>
    <row r="3441" spans="1:7" ht="44.25" customHeight="1">
      <c r="A3441" t="s">
        <v>11971</v>
      </c>
      <c r="B3441" t="s">
        <v>11972</v>
      </c>
      <c r="C3441" t="s">
        <v>132</v>
      </c>
      <c r="D3441" t="s">
        <v>79</v>
      </c>
      <c r="E3441" t="s">
        <v>11973</v>
      </c>
      <c r="F3441" t="s">
        <v>145</v>
      </c>
      <c r="G3441" t="s">
        <v>11974</v>
      </c>
    </row>
    <row r="3442" spans="1:7" ht="44.25" customHeight="1">
      <c r="A3442" t="s">
        <v>11971</v>
      </c>
      <c r="B3442" t="s">
        <v>11972</v>
      </c>
      <c r="C3442" t="s">
        <v>132</v>
      </c>
      <c r="D3442" t="s">
        <v>79</v>
      </c>
      <c r="E3442" t="s">
        <v>11973</v>
      </c>
      <c r="F3442" t="s">
        <v>145</v>
      </c>
      <c r="G3442" t="s">
        <v>11974</v>
      </c>
    </row>
    <row r="3443" spans="1:7" ht="44.25" customHeight="1">
      <c r="A3443" t="s">
        <v>11971</v>
      </c>
      <c r="B3443" t="s">
        <v>11972</v>
      </c>
      <c r="C3443" t="s">
        <v>132</v>
      </c>
      <c r="D3443" t="s">
        <v>79</v>
      </c>
      <c r="E3443" t="s">
        <v>11973</v>
      </c>
      <c r="F3443" t="s">
        <v>145</v>
      </c>
      <c r="G3443" t="s">
        <v>11974</v>
      </c>
    </row>
    <row r="3444" spans="1:7" ht="44.25" customHeight="1">
      <c r="A3444" t="s">
        <v>11975</v>
      </c>
      <c r="B3444" t="s">
        <v>11976</v>
      </c>
      <c r="C3444" t="s">
        <v>132</v>
      </c>
      <c r="D3444" t="s">
        <v>79</v>
      </c>
      <c r="E3444" t="s">
        <v>11977</v>
      </c>
      <c r="F3444" t="s">
        <v>145</v>
      </c>
      <c r="G3444" t="s">
        <v>11978</v>
      </c>
    </row>
    <row r="3445" spans="1:7" ht="44.25" customHeight="1">
      <c r="A3445" t="s">
        <v>633</v>
      </c>
      <c r="B3445" t="s">
        <v>11979</v>
      </c>
      <c r="C3445" t="s">
        <v>132</v>
      </c>
      <c r="D3445" t="s">
        <v>79</v>
      </c>
      <c r="E3445" t="s">
        <v>11980</v>
      </c>
      <c r="F3445" t="s">
        <v>145</v>
      </c>
      <c r="G3445" t="s">
        <v>11981</v>
      </c>
    </row>
    <row r="3446" spans="1:7" ht="44.25" customHeight="1">
      <c r="A3446" t="s">
        <v>11982</v>
      </c>
      <c r="B3446" t="s">
        <v>11983</v>
      </c>
      <c r="C3446" t="s">
        <v>132</v>
      </c>
      <c r="D3446" t="s">
        <v>2143</v>
      </c>
      <c r="E3446" t="s">
        <v>1542</v>
      </c>
      <c r="F3446" t="s">
        <v>145</v>
      </c>
      <c r="G3446" t="s">
        <v>11984</v>
      </c>
    </row>
    <row r="3447" spans="1:7" ht="44.25" customHeight="1">
      <c r="A3447" t="s">
        <v>11985</v>
      </c>
      <c r="B3447" t="s">
        <v>11986</v>
      </c>
      <c r="C3447" t="s">
        <v>132</v>
      </c>
      <c r="D3447" t="s">
        <v>2143</v>
      </c>
      <c r="E3447" t="s">
        <v>1542</v>
      </c>
      <c r="F3447" t="s">
        <v>145</v>
      </c>
      <c r="G3447" t="s">
        <v>11987</v>
      </c>
    </row>
    <row r="3448" spans="1:7" ht="44.25" customHeight="1">
      <c r="A3448" t="s">
        <v>11988</v>
      </c>
      <c r="B3448" t="s">
        <v>11989</v>
      </c>
      <c r="C3448" t="s">
        <v>11990</v>
      </c>
      <c r="D3448" t="s">
        <v>2143</v>
      </c>
      <c r="E3448" t="s">
        <v>2571</v>
      </c>
      <c r="F3448" t="s">
        <v>145</v>
      </c>
      <c r="G3448" t="s">
        <v>11991</v>
      </c>
    </row>
    <row r="3449" spans="1:7" ht="44.25" customHeight="1">
      <c r="A3449" t="s">
        <v>11992</v>
      </c>
      <c r="B3449" t="s">
        <v>11993</v>
      </c>
      <c r="C3449" t="s">
        <v>132</v>
      </c>
      <c r="D3449" t="s">
        <v>2143</v>
      </c>
      <c r="E3449" t="s">
        <v>1542</v>
      </c>
      <c r="F3449" t="s">
        <v>145</v>
      </c>
      <c r="G3449" t="s">
        <v>11994</v>
      </c>
    </row>
    <row r="3450" spans="1:7" ht="44.25" customHeight="1">
      <c r="A3450" t="s">
        <v>11995</v>
      </c>
      <c r="B3450" t="s">
        <v>11996</v>
      </c>
      <c r="C3450" t="s">
        <v>132</v>
      </c>
      <c r="D3450" t="s">
        <v>79</v>
      </c>
      <c r="E3450" t="s">
        <v>3361</v>
      </c>
      <c r="F3450" t="s">
        <v>145</v>
      </c>
      <c r="G3450" t="s">
        <v>11997</v>
      </c>
    </row>
    <row r="3451" spans="1:7" ht="44.25" customHeight="1">
      <c r="A3451" t="s">
        <v>11998</v>
      </c>
      <c r="B3451" t="s">
        <v>11999</v>
      </c>
      <c r="C3451" t="s">
        <v>132</v>
      </c>
      <c r="D3451" t="s">
        <v>2139</v>
      </c>
      <c r="E3451" t="s">
        <v>10725</v>
      </c>
      <c r="F3451" t="s">
        <v>145</v>
      </c>
      <c r="G3451" t="s">
        <v>12000</v>
      </c>
    </row>
    <row r="3452" spans="1:7" ht="44.25" customHeight="1">
      <c r="A3452" t="s">
        <v>12001</v>
      </c>
      <c r="B3452" t="s">
        <v>12002</v>
      </c>
      <c r="C3452" t="s">
        <v>132</v>
      </c>
      <c r="D3452" t="s">
        <v>2143</v>
      </c>
      <c r="E3452" t="s">
        <v>2162</v>
      </c>
      <c r="F3452" t="s">
        <v>145</v>
      </c>
      <c r="G3452" t="s">
        <v>12003</v>
      </c>
    </row>
    <row r="3453" spans="1:7" ht="44.25" customHeight="1">
      <c r="A3453" t="s">
        <v>12004</v>
      </c>
      <c r="B3453" t="s">
        <v>12005</v>
      </c>
      <c r="C3453" t="s">
        <v>132</v>
      </c>
      <c r="D3453" t="s">
        <v>2139</v>
      </c>
      <c r="E3453" t="s">
        <v>1367</v>
      </c>
      <c r="F3453" t="s">
        <v>145</v>
      </c>
      <c r="G3453" t="s">
        <v>12006</v>
      </c>
    </row>
    <row r="3454" spans="1:7" ht="44.25" customHeight="1">
      <c r="A3454" t="s">
        <v>12007</v>
      </c>
      <c r="B3454" t="s">
        <v>12008</v>
      </c>
      <c r="C3454" t="s">
        <v>132</v>
      </c>
      <c r="D3454" t="s">
        <v>2143</v>
      </c>
      <c r="E3454" t="s">
        <v>2162</v>
      </c>
      <c r="F3454" t="s">
        <v>145</v>
      </c>
      <c r="G3454" t="s">
        <v>12009</v>
      </c>
    </row>
    <row r="3455" spans="1:7" ht="44.25" customHeight="1">
      <c r="A3455" t="s">
        <v>12010</v>
      </c>
      <c r="B3455" t="s">
        <v>12011</v>
      </c>
      <c r="C3455" t="s">
        <v>132</v>
      </c>
      <c r="D3455" t="s">
        <v>2139</v>
      </c>
      <c r="E3455" t="s">
        <v>1367</v>
      </c>
      <c r="F3455" t="s">
        <v>145</v>
      </c>
      <c r="G3455" t="s">
        <v>12012</v>
      </c>
    </row>
    <row r="3456" spans="1:7" ht="44.25" customHeight="1">
      <c r="A3456" t="s">
        <v>986</v>
      </c>
      <c r="B3456" t="s">
        <v>12013</v>
      </c>
      <c r="C3456" t="s">
        <v>132</v>
      </c>
      <c r="D3456" t="s">
        <v>2143</v>
      </c>
      <c r="E3456" t="s">
        <v>2162</v>
      </c>
      <c r="F3456" t="s">
        <v>145</v>
      </c>
      <c r="G3456" t="s">
        <v>12014</v>
      </c>
    </row>
    <row r="3457" spans="1:7" ht="44.25" customHeight="1">
      <c r="A3457" t="s">
        <v>691</v>
      </c>
      <c r="B3457" t="s">
        <v>12015</v>
      </c>
      <c r="C3457" t="s">
        <v>132</v>
      </c>
      <c r="D3457" t="s">
        <v>2143</v>
      </c>
      <c r="E3457" t="s">
        <v>2155</v>
      </c>
      <c r="F3457" t="s">
        <v>145</v>
      </c>
      <c r="G3457" t="s">
        <v>12016</v>
      </c>
    </row>
    <row r="3458" spans="1:7" ht="44.25" customHeight="1">
      <c r="A3458" t="s">
        <v>132</v>
      </c>
      <c r="B3458" t="s">
        <v>12017</v>
      </c>
      <c r="C3458" t="s">
        <v>132</v>
      </c>
      <c r="D3458" t="s">
        <v>79</v>
      </c>
      <c r="E3458" t="s">
        <v>12018</v>
      </c>
      <c r="F3458" t="s">
        <v>145</v>
      </c>
      <c r="G3458" t="s">
        <v>12019</v>
      </c>
    </row>
    <row r="3459" spans="1:7" ht="44.25" customHeight="1">
      <c r="A3459" t="s">
        <v>12020</v>
      </c>
      <c r="B3459" t="s">
        <v>12021</v>
      </c>
      <c r="C3459" t="s">
        <v>132</v>
      </c>
      <c r="D3459" t="s">
        <v>79</v>
      </c>
      <c r="E3459" t="s">
        <v>12022</v>
      </c>
      <c r="F3459" t="s">
        <v>145</v>
      </c>
      <c r="G3459" t="s">
        <v>12023</v>
      </c>
    </row>
    <row r="3460" spans="1:7" ht="44.25" customHeight="1">
      <c r="A3460" t="s">
        <v>1033</v>
      </c>
      <c r="B3460" t="s">
        <v>12024</v>
      </c>
      <c r="C3460" t="s">
        <v>132</v>
      </c>
      <c r="D3460" t="s">
        <v>79</v>
      </c>
      <c r="E3460" t="s">
        <v>1562</v>
      </c>
      <c r="F3460" t="s">
        <v>145</v>
      </c>
      <c r="G3460" t="s">
        <v>12025</v>
      </c>
    </row>
    <row r="3461" spans="1:7" ht="44.25" customHeight="1">
      <c r="A3461" t="s">
        <v>132</v>
      </c>
      <c r="B3461" t="s">
        <v>12026</v>
      </c>
      <c r="C3461" t="s">
        <v>132</v>
      </c>
      <c r="D3461" t="s">
        <v>2143</v>
      </c>
      <c r="E3461" t="s">
        <v>1542</v>
      </c>
      <c r="F3461" t="s">
        <v>145</v>
      </c>
      <c r="G3461" t="s">
        <v>12027</v>
      </c>
    </row>
    <row r="3462" spans="1:7" ht="44.25" customHeight="1">
      <c r="A3462" t="s">
        <v>12028</v>
      </c>
      <c r="B3462" t="s">
        <v>12029</v>
      </c>
      <c r="C3462" t="s">
        <v>132</v>
      </c>
      <c r="D3462" t="s">
        <v>2143</v>
      </c>
      <c r="E3462" t="s">
        <v>1542</v>
      </c>
      <c r="F3462" t="s">
        <v>145</v>
      </c>
      <c r="G3462" t="s">
        <v>12030</v>
      </c>
    </row>
    <row r="3463" spans="1:7" ht="44.25" customHeight="1">
      <c r="A3463" t="s">
        <v>239</v>
      </c>
      <c r="B3463" t="s">
        <v>12031</v>
      </c>
      <c r="C3463" t="s">
        <v>132</v>
      </c>
      <c r="D3463" t="s">
        <v>2143</v>
      </c>
      <c r="E3463" t="s">
        <v>1542</v>
      </c>
      <c r="F3463" t="s">
        <v>145</v>
      </c>
      <c r="G3463" t="s">
        <v>12032</v>
      </c>
    </row>
    <row r="3464" spans="1:7" ht="44.25" customHeight="1">
      <c r="A3464" t="s">
        <v>12033</v>
      </c>
      <c r="B3464" t="s">
        <v>12034</v>
      </c>
      <c r="C3464" t="s">
        <v>132</v>
      </c>
      <c r="D3464" t="s">
        <v>2143</v>
      </c>
      <c r="E3464" t="s">
        <v>3048</v>
      </c>
      <c r="F3464" t="s">
        <v>145</v>
      </c>
      <c r="G3464" t="s">
        <v>12035</v>
      </c>
    </row>
    <row r="3465" spans="1:7" ht="44.25" customHeight="1">
      <c r="A3465" t="s">
        <v>12036</v>
      </c>
      <c r="B3465" t="s">
        <v>12037</v>
      </c>
      <c r="C3465" t="s">
        <v>132</v>
      </c>
      <c r="D3465" t="s">
        <v>79</v>
      </c>
      <c r="E3465" t="s">
        <v>3389</v>
      </c>
      <c r="F3465" t="s">
        <v>145</v>
      </c>
      <c r="G3465" t="s">
        <v>12038</v>
      </c>
    </row>
    <row r="3466" spans="1:7" ht="44.25" customHeight="1">
      <c r="A3466" t="s">
        <v>12039</v>
      </c>
      <c r="B3466" t="s">
        <v>12040</v>
      </c>
      <c r="C3466" t="s">
        <v>132</v>
      </c>
      <c r="D3466" t="s">
        <v>79</v>
      </c>
      <c r="E3466" t="s">
        <v>12041</v>
      </c>
      <c r="F3466" t="s">
        <v>145</v>
      </c>
      <c r="G3466" t="s">
        <v>12042</v>
      </c>
    </row>
    <row r="3467" spans="1:7" ht="44.25" customHeight="1">
      <c r="A3467" t="s">
        <v>12043</v>
      </c>
      <c r="B3467" t="s">
        <v>12044</v>
      </c>
      <c r="C3467" t="s">
        <v>132</v>
      </c>
      <c r="D3467" t="s">
        <v>2139</v>
      </c>
      <c r="E3467" t="s">
        <v>1367</v>
      </c>
      <c r="F3467" t="s">
        <v>145</v>
      </c>
      <c r="G3467" t="s">
        <v>12045</v>
      </c>
    </row>
    <row r="3468" spans="1:7" ht="44.25" customHeight="1">
      <c r="A3468" t="s">
        <v>12046</v>
      </c>
      <c r="B3468" t="s">
        <v>12047</v>
      </c>
      <c r="C3468" t="s">
        <v>132</v>
      </c>
      <c r="D3468" t="s">
        <v>2139</v>
      </c>
      <c r="E3468" t="s">
        <v>1367</v>
      </c>
      <c r="F3468" t="s">
        <v>145</v>
      </c>
      <c r="G3468" t="s">
        <v>12048</v>
      </c>
    </row>
    <row r="3469" spans="1:7" ht="44.25" customHeight="1">
      <c r="A3469" t="s">
        <v>12049</v>
      </c>
      <c r="B3469" t="s">
        <v>12050</v>
      </c>
      <c r="C3469" t="s">
        <v>132</v>
      </c>
      <c r="D3469" t="s">
        <v>2143</v>
      </c>
      <c r="E3469" t="s">
        <v>1542</v>
      </c>
      <c r="F3469" t="s">
        <v>145</v>
      </c>
      <c r="G3469" t="s">
        <v>12051</v>
      </c>
    </row>
    <row r="3470" spans="1:7" ht="44.25" customHeight="1">
      <c r="A3470" t="s">
        <v>12052</v>
      </c>
      <c r="B3470" t="s">
        <v>12053</v>
      </c>
      <c r="C3470" t="s">
        <v>132</v>
      </c>
      <c r="D3470" t="s">
        <v>2143</v>
      </c>
      <c r="E3470" t="s">
        <v>2581</v>
      </c>
      <c r="F3470" t="s">
        <v>145</v>
      </c>
      <c r="G3470" t="s">
        <v>12054</v>
      </c>
    </row>
    <row r="3471" spans="1:7" ht="44.25" customHeight="1">
      <c r="A3471" t="s">
        <v>12055</v>
      </c>
      <c r="B3471" t="s">
        <v>12056</v>
      </c>
      <c r="C3471" t="s">
        <v>132</v>
      </c>
      <c r="D3471" t="s">
        <v>2143</v>
      </c>
      <c r="E3471" t="s">
        <v>1542</v>
      </c>
      <c r="F3471" t="s">
        <v>145</v>
      </c>
      <c r="G3471" t="s">
        <v>12057</v>
      </c>
    </row>
    <row r="3472" spans="1:7" ht="44.25" customHeight="1">
      <c r="A3472" t="s">
        <v>12058</v>
      </c>
      <c r="B3472" t="s">
        <v>12059</v>
      </c>
      <c r="C3472" t="s">
        <v>132</v>
      </c>
      <c r="D3472" t="s">
        <v>2143</v>
      </c>
      <c r="E3472" t="s">
        <v>1542</v>
      </c>
      <c r="F3472" t="s">
        <v>145</v>
      </c>
      <c r="G3472" t="s">
        <v>12060</v>
      </c>
    </row>
    <row r="3473" spans="1:7" ht="44.25" customHeight="1">
      <c r="A3473" t="s">
        <v>1026</v>
      </c>
      <c r="B3473" t="s">
        <v>12061</v>
      </c>
      <c r="C3473" t="s">
        <v>132</v>
      </c>
      <c r="D3473" t="s">
        <v>79</v>
      </c>
      <c r="E3473" t="s">
        <v>3371</v>
      </c>
      <c r="F3473" t="s">
        <v>145</v>
      </c>
      <c r="G3473" t="s">
        <v>12062</v>
      </c>
    </row>
    <row r="3474" spans="1:7" ht="44.25" customHeight="1">
      <c r="A3474" t="s">
        <v>12063</v>
      </c>
      <c r="B3474" t="s">
        <v>12064</v>
      </c>
      <c r="C3474" t="s">
        <v>132</v>
      </c>
      <c r="D3474" t="s">
        <v>79</v>
      </c>
      <c r="E3474" t="s">
        <v>12065</v>
      </c>
      <c r="F3474" t="s">
        <v>145</v>
      </c>
      <c r="G3474" t="s">
        <v>12066</v>
      </c>
    </row>
    <row r="3475" spans="1:7" ht="44.25" customHeight="1">
      <c r="A3475" t="s">
        <v>12067</v>
      </c>
      <c r="B3475" t="s">
        <v>12068</v>
      </c>
      <c r="C3475" t="s">
        <v>132</v>
      </c>
      <c r="D3475" t="s">
        <v>2143</v>
      </c>
      <c r="E3475" t="s">
        <v>2162</v>
      </c>
      <c r="F3475" t="s">
        <v>145</v>
      </c>
      <c r="G3475" t="s">
        <v>12069</v>
      </c>
    </row>
    <row r="3476" spans="1:7" ht="44.25" customHeight="1">
      <c r="A3476" t="s">
        <v>1400</v>
      </c>
      <c r="B3476" t="s">
        <v>12070</v>
      </c>
      <c r="C3476" t="s">
        <v>132</v>
      </c>
      <c r="D3476" t="s">
        <v>2139</v>
      </c>
      <c r="E3476" t="s">
        <v>1367</v>
      </c>
      <c r="F3476" t="s">
        <v>145</v>
      </c>
      <c r="G3476" t="s">
        <v>12071</v>
      </c>
    </row>
    <row r="3477" spans="1:7" ht="44.25" customHeight="1">
      <c r="A3477" t="s">
        <v>830</v>
      </c>
      <c r="B3477" t="s">
        <v>12072</v>
      </c>
      <c r="C3477" t="s">
        <v>132</v>
      </c>
      <c r="D3477" t="s">
        <v>2143</v>
      </c>
      <c r="E3477" t="s">
        <v>4010</v>
      </c>
      <c r="F3477" t="s">
        <v>145</v>
      </c>
      <c r="G3477" t="s">
        <v>12073</v>
      </c>
    </row>
    <row r="3478" spans="1:7" ht="44.25" customHeight="1">
      <c r="A3478" t="s">
        <v>565</v>
      </c>
      <c r="B3478" t="s">
        <v>12074</v>
      </c>
      <c r="C3478" t="s">
        <v>132</v>
      </c>
      <c r="D3478" t="s">
        <v>79</v>
      </c>
      <c r="E3478" t="s">
        <v>12075</v>
      </c>
      <c r="F3478" t="s">
        <v>145</v>
      </c>
      <c r="G3478" t="s">
        <v>12076</v>
      </c>
    </row>
    <row r="3479" spans="1:7" ht="44.25" customHeight="1">
      <c r="A3479" t="s">
        <v>537</v>
      </c>
      <c r="B3479" t="s">
        <v>12077</v>
      </c>
      <c r="C3479" t="s">
        <v>132</v>
      </c>
      <c r="D3479" t="s">
        <v>79</v>
      </c>
      <c r="E3479" t="s">
        <v>6097</v>
      </c>
      <c r="F3479" t="s">
        <v>145</v>
      </c>
      <c r="G3479" t="s">
        <v>12078</v>
      </c>
    </row>
    <row r="3480" spans="1:7" ht="44.25" customHeight="1">
      <c r="A3480" t="s">
        <v>12079</v>
      </c>
      <c r="B3480" t="s">
        <v>12080</v>
      </c>
      <c r="C3480" t="s">
        <v>132</v>
      </c>
      <c r="D3480" t="s">
        <v>79</v>
      </c>
      <c r="E3480" t="s">
        <v>12081</v>
      </c>
      <c r="F3480" t="s">
        <v>145</v>
      </c>
      <c r="G3480" t="s">
        <v>12082</v>
      </c>
    </row>
    <row r="3481" spans="1:7" ht="44.25" customHeight="1">
      <c r="A3481" t="s">
        <v>12083</v>
      </c>
      <c r="B3481" t="s">
        <v>12084</v>
      </c>
      <c r="C3481" t="s">
        <v>132</v>
      </c>
      <c r="D3481" t="s">
        <v>79</v>
      </c>
      <c r="E3481" t="s">
        <v>12085</v>
      </c>
      <c r="F3481" t="s">
        <v>145</v>
      </c>
      <c r="G3481" t="s">
        <v>12086</v>
      </c>
    </row>
    <row r="3482" spans="1:7" ht="44.25" customHeight="1">
      <c r="A3482" t="s">
        <v>12087</v>
      </c>
      <c r="B3482" t="s">
        <v>12088</v>
      </c>
      <c r="C3482" t="s">
        <v>132</v>
      </c>
      <c r="D3482" t="s">
        <v>79</v>
      </c>
      <c r="E3482" t="s">
        <v>12089</v>
      </c>
      <c r="F3482" t="s">
        <v>145</v>
      </c>
      <c r="G3482" t="s">
        <v>12090</v>
      </c>
    </row>
    <row r="3483" spans="1:7" ht="44.25" customHeight="1">
      <c r="A3483" t="s">
        <v>12091</v>
      </c>
      <c r="B3483" t="s">
        <v>12092</v>
      </c>
      <c r="C3483" t="s">
        <v>132</v>
      </c>
      <c r="D3483" t="s">
        <v>2143</v>
      </c>
      <c r="E3483" t="s">
        <v>5577</v>
      </c>
      <c r="F3483" t="s">
        <v>145</v>
      </c>
      <c r="G3483" t="s">
        <v>12093</v>
      </c>
    </row>
    <row r="3484" spans="1:7" ht="44.25" customHeight="1">
      <c r="A3484" t="s">
        <v>12094</v>
      </c>
      <c r="B3484" t="s">
        <v>12095</v>
      </c>
      <c r="C3484" t="s">
        <v>132</v>
      </c>
      <c r="D3484" t="s">
        <v>2143</v>
      </c>
      <c r="E3484" t="s">
        <v>5570</v>
      </c>
      <c r="F3484" t="s">
        <v>145</v>
      </c>
      <c r="G3484" t="s">
        <v>12096</v>
      </c>
    </row>
    <row r="3485" spans="1:7" ht="44.25" customHeight="1">
      <c r="A3485" t="s">
        <v>12097</v>
      </c>
      <c r="B3485" t="s">
        <v>12098</v>
      </c>
      <c r="C3485" t="s">
        <v>132</v>
      </c>
      <c r="D3485" t="s">
        <v>2143</v>
      </c>
      <c r="E3485" t="s">
        <v>5668</v>
      </c>
      <c r="F3485" t="s">
        <v>145</v>
      </c>
      <c r="G3485" t="s">
        <v>12099</v>
      </c>
    </row>
    <row r="3486" spans="1:7" ht="44.25" customHeight="1">
      <c r="A3486" t="s">
        <v>12100</v>
      </c>
      <c r="B3486" t="s">
        <v>12101</v>
      </c>
      <c r="C3486" t="s">
        <v>132</v>
      </c>
      <c r="D3486" t="s">
        <v>79</v>
      </c>
      <c r="E3486" t="s">
        <v>9126</v>
      </c>
      <c r="F3486" t="s">
        <v>145</v>
      </c>
      <c r="G3486" t="s">
        <v>12102</v>
      </c>
    </row>
    <row r="3487" spans="1:7" ht="44.25" customHeight="1">
      <c r="A3487" t="s">
        <v>12103</v>
      </c>
      <c r="B3487" t="s">
        <v>12104</v>
      </c>
      <c r="C3487" t="s">
        <v>132</v>
      </c>
      <c r="D3487" t="s">
        <v>2143</v>
      </c>
      <c r="E3487" t="s">
        <v>1542</v>
      </c>
      <c r="F3487" t="s">
        <v>145</v>
      </c>
      <c r="G3487" t="s">
        <v>12105</v>
      </c>
    </row>
    <row r="3488" spans="1:7" ht="44.25" customHeight="1">
      <c r="A3488" t="s">
        <v>12106</v>
      </c>
      <c r="B3488" t="s">
        <v>12107</v>
      </c>
      <c r="C3488" t="s">
        <v>132</v>
      </c>
      <c r="D3488" t="s">
        <v>2143</v>
      </c>
      <c r="E3488" t="s">
        <v>1542</v>
      </c>
      <c r="F3488" t="s">
        <v>145</v>
      </c>
      <c r="G3488" t="s">
        <v>12108</v>
      </c>
    </row>
    <row r="3489" spans="1:7" ht="44.25" customHeight="1">
      <c r="A3489" t="s">
        <v>12109</v>
      </c>
      <c r="B3489" t="s">
        <v>12110</v>
      </c>
      <c r="C3489" t="s">
        <v>132</v>
      </c>
      <c r="D3489" t="s">
        <v>2143</v>
      </c>
      <c r="E3489" t="s">
        <v>1542</v>
      </c>
      <c r="F3489" t="s">
        <v>145</v>
      </c>
      <c r="G3489" t="s">
        <v>12111</v>
      </c>
    </row>
    <row r="3490" spans="1:7" ht="44.25" customHeight="1">
      <c r="A3490" t="s">
        <v>12112</v>
      </c>
      <c r="B3490" t="s">
        <v>12113</v>
      </c>
      <c r="C3490" t="s">
        <v>132</v>
      </c>
      <c r="D3490" t="s">
        <v>79</v>
      </c>
      <c r="E3490" t="s">
        <v>12114</v>
      </c>
      <c r="F3490" t="s">
        <v>145</v>
      </c>
      <c r="G3490" t="s">
        <v>12115</v>
      </c>
    </row>
    <row r="3491" spans="1:7" ht="44.25" customHeight="1">
      <c r="A3491" t="s">
        <v>12116</v>
      </c>
      <c r="B3491" t="s">
        <v>12117</v>
      </c>
      <c r="C3491" t="s">
        <v>132</v>
      </c>
      <c r="D3491" t="s">
        <v>2143</v>
      </c>
      <c r="E3491" t="s">
        <v>3313</v>
      </c>
      <c r="F3491" t="s">
        <v>145</v>
      </c>
      <c r="G3491" t="s">
        <v>12118</v>
      </c>
    </row>
    <row r="3492" spans="1:7" ht="44.25" customHeight="1">
      <c r="A3492" t="s">
        <v>12119</v>
      </c>
      <c r="B3492" t="s">
        <v>12120</v>
      </c>
      <c r="C3492" t="s">
        <v>132</v>
      </c>
      <c r="D3492" t="s">
        <v>79</v>
      </c>
      <c r="E3492" t="s">
        <v>6891</v>
      </c>
      <c r="F3492" t="s">
        <v>145</v>
      </c>
      <c r="G3492" t="s">
        <v>12121</v>
      </c>
    </row>
    <row r="3493" spans="1:7" ht="44.25" customHeight="1">
      <c r="A3493" t="s">
        <v>12122</v>
      </c>
      <c r="B3493" t="s">
        <v>12123</v>
      </c>
      <c r="C3493" t="s">
        <v>132</v>
      </c>
      <c r="D3493" t="s">
        <v>2139</v>
      </c>
      <c r="E3493" t="s">
        <v>1367</v>
      </c>
      <c r="F3493" t="s">
        <v>145</v>
      </c>
      <c r="G3493" t="s">
        <v>12124</v>
      </c>
    </row>
    <row r="3494" spans="1:7" ht="44.25" customHeight="1">
      <c r="A3494" t="s">
        <v>12125</v>
      </c>
      <c r="B3494" t="s">
        <v>12126</v>
      </c>
      <c r="C3494" t="s">
        <v>132</v>
      </c>
      <c r="D3494" t="s">
        <v>2143</v>
      </c>
      <c r="E3494" t="s">
        <v>8372</v>
      </c>
      <c r="F3494" t="s">
        <v>145</v>
      </c>
      <c r="G3494" t="s">
        <v>12127</v>
      </c>
    </row>
    <row r="3495" spans="1:7" ht="44.25" customHeight="1">
      <c r="A3495" t="s">
        <v>12128</v>
      </c>
      <c r="B3495" t="s">
        <v>12129</v>
      </c>
      <c r="C3495" t="s">
        <v>132</v>
      </c>
      <c r="D3495" t="s">
        <v>2139</v>
      </c>
      <c r="E3495" t="s">
        <v>1367</v>
      </c>
      <c r="F3495" t="s">
        <v>145</v>
      </c>
      <c r="G3495" t="s">
        <v>12130</v>
      </c>
    </row>
    <row r="3496" spans="1:7" ht="44.25" customHeight="1">
      <c r="A3496" t="s">
        <v>12131</v>
      </c>
      <c r="B3496" t="s">
        <v>12132</v>
      </c>
      <c r="C3496" t="s">
        <v>132</v>
      </c>
      <c r="D3496" t="s">
        <v>2143</v>
      </c>
      <c r="E3496" t="s">
        <v>2162</v>
      </c>
      <c r="F3496" t="s">
        <v>145</v>
      </c>
      <c r="G3496" t="s">
        <v>12133</v>
      </c>
    </row>
    <row r="3497" spans="1:7" ht="44.25" customHeight="1">
      <c r="A3497" t="s">
        <v>1259</v>
      </c>
      <c r="B3497" t="s">
        <v>12134</v>
      </c>
      <c r="C3497" t="s">
        <v>132</v>
      </c>
      <c r="D3497" t="s">
        <v>2143</v>
      </c>
      <c r="E3497" t="s">
        <v>2162</v>
      </c>
      <c r="F3497" t="s">
        <v>145</v>
      </c>
      <c r="G3497" t="s">
        <v>12135</v>
      </c>
    </row>
    <row r="3498" spans="1:7" ht="44.25" customHeight="1">
      <c r="A3498" t="s">
        <v>1423</v>
      </c>
      <c r="B3498" t="s">
        <v>12136</v>
      </c>
      <c r="C3498" t="s">
        <v>132</v>
      </c>
      <c r="D3498" t="s">
        <v>2143</v>
      </c>
      <c r="E3498" t="s">
        <v>2162</v>
      </c>
      <c r="F3498" t="s">
        <v>145</v>
      </c>
      <c r="G3498" t="s">
        <v>12137</v>
      </c>
    </row>
    <row r="3499" spans="1:7" ht="44.25" customHeight="1">
      <c r="A3499" t="s">
        <v>12138</v>
      </c>
      <c r="B3499" t="s">
        <v>12139</v>
      </c>
      <c r="C3499" t="s">
        <v>132</v>
      </c>
      <c r="D3499" t="s">
        <v>2143</v>
      </c>
      <c r="E3499" t="s">
        <v>2162</v>
      </c>
      <c r="F3499" t="s">
        <v>145</v>
      </c>
      <c r="G3499" t="s">
        <v>12140</v>
      </c>
    </row>
    <row r="3500" spans="1:7" ht="44.25" customHeight="1">
      <c r="A3500" t="s">
        <v>12141</v>
      </c>
      <c r="B3500" t="s">
        <v>12142</v>
      </c>
      <c r="C3500" t="s">
        <v>132</v>
      </c>
      <c r="D3500" t="s">
        <v>2143</v>
      </c>
      <c r="E3500" t="s">
        <v>2162</v>
      </c>
      <c r="F3500" t="s">
        <v>145</v>
      </c>
      <c r="G3500" t="s">
        <v>12143</v>
      </c>
    </row>
    <row r="3501" spans="1:7" ht="44.25" customHeight="1">
      <c r="A3501" t="s">
        <v>12144</v>
      </c>
      <c r="B3501" t="s">
        <v>12145</v>
      </c>
      <c r="C3501" t="s">
        <v>132</v>
      </c>
      <c r="D3501" t="s">
        <v>79</v>
      </c>
      <c r="E3501" t="s">
        <v>12146</v>
      </c>
      <c r="F3501" t="s">
        <v>145</v>
      </c>
      <c r="G3501" t="s">
        <v>12147</v>
      </c>
    </row>
    <row r="3502" spans="1:7" ht="44.25" customHeight="1">
      <c r="A3502" t="s">
        <v>12148</v>
      </c>
      <c r="B3502" t="s">
        <v>12149</v>
      </c>
      <c r="C3502" t="s">
        <v>132</v>
      </c>
      <c r="D3502" t="s">
        <v>2143</v>
      </c>
      <c r="E3502" t="s">
        <v>6014</v>
      </c>
      <c r="F3502" t="s">
        <v>145</v>
      </c>
      <c r="G3502" t="s">
        <v>12150</v>
      </c>
    </row>
    <row r="3503" spans="1:7" ht="44.25" customHeight="1">
      <c r="A3503" t="s">
        <v>12151</v>
      </c>
      <c r="B3503" t="s">
        <v>12152</v>
      </c>
      <c r="C3503" t="s">
        <v>132</v>
      </c>
      <c r="D3503" t="s">
        <v>2143</v>
      </c>
      <c r="E3503" t="s">
        <v>1542</v>
      </c>
      <c r="F3503" t="s">
        <v>145</v>
      </c>
      <c r="G3503" t="s">
        <v>12153</v>
      </c>
    </row>
    <row r="3504" spans="1:7" ht="44.25" customHeight="1">
      <c r="A3504" t="s">
        <v>1256</v>
      </c>
      <c r="B3504" t="s">
        <v>12154</v>
      </c>
      <c r="C3504" t="s">
        <v>132</v>
      </c>
      <c r="D3504" t="s">
        <v>2143</v>
      </c>
      <c r="E3504" t="s">
        <v>2162</v>
      </c>
      <c r="F3504" t="s">
        <v>145</v>
      </c>
      <c r="G3504" t="s">
        <v>12155</v>
      </c>
    </row>
    <row r="3505" spans="1:7" ht="44.25" customHeight="1">
      <c r="A3505" t="s">
        <v>1287</v>
      </c>
      <c r="B3505" t="s">
        <v>12156</v>
      </c>
      <c r="C3505" t="s">
        <v>132</v>
      </c>
      <c r="D3505" t="s">
        <v>2139</v>
      </c>
      <c r="E3505" t="s">
        <v>1365</v>
      </c>
      <c r="F3505" t="s">
        <v>145</v>
      </c>
      <c r="G3505" t="s">
        <v>12157</v>
      </c>
    </row>
    <row r="3506" spans="1:7" ht="44.25" customHeight="1">
      <c r="A3506" t="s">
        <v>345</v>
      </c>
      <c r="B3506" t="s">
        <v>12158</v>
      </c>
      <c r="C3506" t="s">
        <v>132</v>
      </c>
      <c r="D3506" t="s">
        <v>2143</v>
      </c>
      <c r="E3506" t="s">
        <v>2155</v>
      </c>
      <c r="F3506" t="s">
        <v>145</v>
      </c>
      <c r="G3506" t="s">
        <v>12159</v>
      </c>
    </row>
    <row r="3507" spans="1:7" ht="44.25" customHeight="1">
      <c r="A3507" t="s">
        <v>980</v>
      </c>
      <c r="B3507" t="s">
        <v>12160</v>
      </c>
      <c r="C3507" t="s">
        <v>132</v>
      </c>
      <c r="D3507" t="s">
        <v>2143</v>
      </c>
      <c r="E3507" t="s">
        <v>2162</v>
      </c>
      <c r="F3507" t="s">
        <v>145</v>
      </c>
      <c r="G3507" t="s">
        <v>12161</v>
      </c>
    </row>
    <row r="3508" spans="1:7" ht="44.25" customHeight="1">
      <c r="A3508" t="s">
        <v>573</v>
      </c>
      <c r="B3508" t="s">
        <v>12162</v>
      </c>
      <c r="C3508" t="s">
        <v>132</v>
      </c>
      <c r="D3508" t="s">
        <v>79</v>
      </c>
      <c r="E3508" t="s">
        <v>7299</v>
      </c>
      <c r="F3508" t="s">
        <v>145</v>
      </c>
      <c r="G3508" t="s">
        <v>12163</v>
      </c>
    </row>
    <row r="3509" spans="1:7" ht="44.25" customHeight="1">
      <c r="A3509" t="s">
        <v>1045</v>
      </c>
      <c r="B3509" t="s">
        <v>12164</v>
      </c>
      <c r="C3509" t="s">
        <v>132</v>
      </c>
      <c r="D3509" t="s">
        <v>2143</v>
      </c>
      <c r="E3509" t="s">
        <v>2162</v>
      </c>
      <c r="F3509" t="s">
        <v>145</v>
      </c>
      <c r="G3509" t="s">
        <v>12165</v>
      </c>
    </row>
    <row r="3510" spans="1:7" ht="44.25" customHeight="1">
      <c r="A3510" t="s">
        <v>994</v>
      </c>
      <c r="B3510" t="s">
        <v>12166</v>
      </c>
      <c r="C3510" t="s">
        <v>132</v>
      </c>
      <c r="D3510" t="s">
        <v>79</v>
      </c>
      <c r="E3510" t="s">
        <v>7343</v>
      </c>
      <c r="F3510" t="s">
        <v>145</v>
      </c>
      <c r="G3510" t="s">
        <v>12167</v>
      </c>
    </row>
    <row r="3511" spans="1:7" ht="44.25" customHeight="1">
      <c r="A3511" t="s">
        <v>12168</v>
      </c>
      <c r="B3511" t="s">
        <v>12169</v>
      </c>
      <c r="C3511" t="s">
        <v>132</v>
      </c>
      <c r="D3511" t="s">
        <v>79</v>
      </c>
      <c r="E3511" t="s">
        <v>12170</v>
      </c>
      <c r="F3511" t="s">
        <v>145</v>
      </c>
      <c r="G3511" t="s">
        <v>12171</v>
      </c>
    </row>
    <row r="3512" spans="1:7" ht="44.25" customHeight="1">
      <c r="A3512" t="s">
        <v>12172</v>
      </c>
      <c r="B3512" t="s">
        <v>12173</v>
      </c>
      <c r="C3512" t="s">
        <v>132</v>
      </c>
      <c r="D3512" t="s">
        <v>79</v>
      </c>
      <c r="E3512" t="s">
        <v>12174</v>
      </c>
      <c r="F3512" t="s">
        <v>145</v>
      </c>
      <c r="G3512" t="s">
        <v>12175</v>
      </c>
    </row>
    <row r="3513" spans="1:7" ht="44.25" customHeight="1">
      <c r="A3513" t="s">
        <v>12176</v>
      </c>
      <c r="B3513" t="s">
        <v>12177</v>
      </c>
      <c r="C3513" t="s">
        <v>132</v>
      </c>
      <c r="D3513" t="s">
        <v>79</v>
      </c>
      <c r="E3513" t="s">
        <v>12178</v>
      </c>
      <c r="F3513" t="s">
        <v>145</v>
      </c>
      <c r="G3513" t="s">
        <v>12179</v>
      </c>
    </row>
    <row r="3514" spans="1:7" ht="44.25" customHeight="1">
      <c r="A3514" t="s">
        <v>12180</v>
      </c>
      <c r="B3514" t="s">
        <v>12181</v>
      </c>
      <c r="C3514" t="s">
        <v>132</v>
      </c>
      <c r="D3514" t="s">
        <v>79</v>
      </c>
      <c r="E3514" t="s">
        <v>12182</v>
      </c>
      <c r="F3514" t="s">
        <v>145</v>
      </c>
      <c r="G3514" t="s">
        <v>12183</v>
      </c>
    </row>
    <row r="3515" spans="1:7" ht="44.25" customHeight="1">
      <c r="A3515" t="s">
        <v>12184</v>
      </c>
      <c r="B3515" t="s">
        <v>12185</v>
      </c>
      <c r="C3515" t="s">
        <v>132</v>
      </c>
      <c r="D3515" t="s">
        <v>79</v>
      </c>
      <c r="E3515" t="s">
        <v>12186</v>
      </c>
      <c r="F3515" t="s">
        <v>145</v>
      </c>
      <c r="G3515" t="s">
        <v>12187</v>
      </c>
    </row>
    <row r="3516" spans="1:7" ht="44.25" customHeight="1">
      <c r="A3516" t="s">
        <v>12188</v>
      </c>
      <c r="B3516" t="s">
        <v>12189</v>
      </c>
      <c r="C3516" t="s">
        <v>132</v>
      </c>
      <c r="D3516" t="s">
        <v>79</v>
      </c>
      <c r="E3516" t="s">
        <v>12190</v>
      </c>
      <c r="F3516" t="s">
        <v>145</v>
      </c>
      <c r="G3516" t="s">
        <v>12191</v>
      </c>
    </row>
    <row r="3517" spans="1:7" ht="44.25" customHeight="1">
      <c r="A3517" t="s">
        <v>12192</v>
      </c>
      <c r="B3517" t="s">
        <v>12193</v>
      </c>
      <c r="C3517" t="s">
        <v>132</v>
      </c>
      <c r="D3517" t="s">
        <v>2143</v>
      </c>
      <c r="E3517" t="s">
        <v>2581</v>
      </c>
      <c r="F3517" t="s">
        <v>145</v>
      </c>
      <c r="G3517" t="s">
        <v>12194</v>
      </c>
    </row>
    <row r="3518" spans="1:7" ht="44.25" customHeight="1">
      <c r="A3518" t="s">
        <v>1546</v>
      </c>
      <c r="B3518" t="s">
        <v>12195</v>
      </c>
      <c r="C3518" t="s">
        <v>132</v>
      </c>
      <c r="D3518" t="s">
        <v>2143</v>
      </c>
      <c r="E3518" t="s">
        <v>2571</v>
      </c>
      <c r="F3518" t="s">
        <v>145</v>
      </c>
      <c r="G3518" t="s">
        <v>12196</v>
      </c>
    </row>
    <row r="3519" spans="1:7" ht="44.25" customHeight="1">
      <c r="A3519" t="s">
        <v>12197</v>
      </c>
      <c r="B3519" t="s">
        <v>12198</v>
      </c>
      <c r="C3519" t="s">
        <v>132</v>
      </c>
      <c r="D3519" t="s">
        <v>2143</v>
      </c>
      <c r="E3519" t="s">
        <v>1542</v>
      </c>
      <c r="F3519" t="s">
        <v>145</v>
      </c>
      <c r="G3519" t="s">
        <v>12199</v>
      </c>
    </row>
    <row r="3520" spans="1:7" ht="44.25" customHeight="1">
      <c r="A3520" t="s">
        <v>12200</v>
      </c>
      <c r="B3520" t="s">
        <v>12201</v>
      </c>
      <c r="C3520" t="s">
        <v>132</v>
      </c>
      <c r="D3520" t="s">
        <v>2139</v>
      </c>
      <c r="E3520" t="s">
        <v>1365</v>
      </c>
      <c r="F3520" t="s">
        <v>145</v>
      </c>
      <c r="G3520" t="s">
        <v>12202</v>
      </c>
    </row>
    <row r="3521" spans="1:7" ht="44.25" customHeight="1">
      <c r="A3521" t="s">
        <v>12203</v>
      </c>
      <c r="B3521" t="s">
        <v>12204</v>
      </c>
      <c r="C3521" t="s">
        <v>132</v>
      </c>
      <c r="D3521" t="s">
        <v>2143</v>
      </c>
      <c r="E3521" t="s">
        <v>1365</v>
      </c>
      <c r="F3521" t="s">
        <v>145</v>
      </c>
      <c r="G3521" t="s">
        <v>12205</v>
      </c>
    </row>
    <row r="3522" spans="1:7" ht="44.25" customHeight="1">
      <c r="A3522" t="s">
        <v>12206</v>
      </c>
      <c r="B3522" t="s">
        <v>12207</v>
      </c>
      <c r="C3522" t="s">
        <v>132</v>
      </c>
      <c r="D3522" t="s">
        <v>2139</v>
      </c>
      <c r="E3522" t="s">
        <v>1367</v>
      </c>
      <c r="F3522" t="s">
        <v>145</v>
      </c>
      <c r="G3522" t="s">
        <v>12208</v>
      </c>
    </row>
    <row r="3523" spans="1:7" ht="44.25" customHeight="1">
      <c r="A3523" t="s">
        <v>945</v>
      </c>
      <c r="B3523" t="s">
        <v>12209</v>
      </c>
      <c r="C3523" t="s">
        <v>132</v>
      </c>
      <c r="D3523" t="s">
        <v>2143</v>
      </c>
      <c r="E3523" t="s">
        <v>2162</v>
      </c>
      <c r="F3523" t="s">
        <v>145</v>
      </c>
      <c r="G3523" t="s">
        <v>12210</v>
      </c>
    </row>
    <row r="3524" spans="1:7" ht="44.25" customHeight="1">
      <c r="A3524" t="s">
        <v>564</v>
      </c>
      <c r="B3524" t="s">
        <v>12211</v>
      </c>
      <c r="C3524" t="s">
        <v>132</v>
      </c>
      <c r="D3524" t="s">
        <v>79</v>
      </c>
      <c r="E3524" t="s">
        <v>12075</v>
      </c>
      <c r="F3524" t="s">
        <v>145</v>
      </c>
      <c r="G3524" t="s">
        <v>12212</v>
      </c>
    </row>
    <row r="3525" spans="1:7" ht="44.25" customHeight="1">
      <c r="A3525" t="s">
        <v>869</v>
      </c>
      <c r="B3525" t="s">
        <v>12213</v>
      </c>
      <c r="C3525" t="s">
        <v>132</v>
      </c>
      <c r="D3525" t="s">
        <v>2143</v>
      </c>
      <c r="E3525" t="s">
        <v>4585</v>
      </c>
      <c r="F3525" t="s">
        <v>145</v>
      </c>
      <c r="G3525" t="s">
        <v>12214</v>
      </c>
    </row>
    <row r="3526" spans="1:7" ht="44.25" customHeight="1">
      <c r="A3526" t="s">
        <v>420</v>
      </c>
      <c r="B3526" t="s">
        <v>12215</v>
      </c>
      <c r="C3526" t="s">
        <v>132</v>
      </c>
      <c r="D3526" t="s">
        <v>2143</v>
      </c>
      <c r="E3526" t="s">
        <v>1365</v>
      </c>
      <c r="F3526" t="s">
        <v>145</v>
      </c>
      <c r="G3526" t="s">
        <v>12216</v>
      </c>
    </row>
    <row r="3527" spans="1:7" ht="44.25" customHeight="1">
      <c r="A3527" t="s">
        <v>12217</v>
      </c>
      <c r="B3527" t="s">
        <v>12218</v>
      </c>
      <c r="C3527" t="s">
        <v>132</v>
      </c>
      <c r="D3527" t="s">
        <v>79</v>
      </c>
      <c r="E3527" t="s">
        <v>12219</v>
      </c>
      <c r="F3527" t="s">
        <v>145</v>
      </c>
      <c r="G3527" t="s">
        <v>12220</v>
      </c>
    </row>
    <row r="3528" spans="1:7" ht="44.25" customHeight="1">
      <c r="A3528" t="s">
        <v>12221</v>
      </c>
      <c r="B3528" t="s">
        <v>12222</v>
      </c>
      <c r="C3528" t="s">
        <v>132</v>
      </c>
      <c r="D3528" t="s">
        <v>79</v>
      </c>
      <c r="E3528" t="s">
        <v>12223</v>
      </c>
      <c r="F3528" t="s">
        <v>145</v>
      </c>
      <c r="G3528" t="s">
        <v>12224</v>
      </c>
    </row>
    <row r="3529" spans="1:7" ht="44.25" customHeight="1">
      <c r="A3529" t="s">
        <v>12225</v>
      </c>
      <c r="B3529" t="s">
        <v>12226</v>
      </c>
      <c r="C3529" t="s">
        <v>132</v>
      </c>
      <c r="D3529" t="s">
        <v>79</v>
      </c>
      <c r="E3529" t="s">
        <v>12227</v>
      </c>
      <c r="F3529" t="s">
        <v>145</v>
      </c>
      <c r="G3529" t="s">
        <v>12228</v>
      </c>
    </row>
    <row r="3530" spans="1:7" ht="44.25" customHeight="1">
      <c r="A3530" t="s">
        <v>12229</v>
      </c>
      <c r="B3530" t="s">
        <v>12230</v>
      </c>
      <c r="C3530" t="s">
        <v>132</v>
      </c>
      <c r="D3530" t="s">
        <v>2143</v>
      </c>
      <c r="E3530" t="s">
        <v>5577</v>
      </c>
      <c r="F3530" t="s">
        <v>145</v>
      </c>
      <c r="G3530" t="s">
        <v>12231</v>
      </c>
    </row>
    <row r="3531" spans="1:7" ht="44.25" customHeight="1">
      <c r="A3531" t="s">
        <v>12232</v>
      </c>
      <c r="B3531" t="s">
        <v>12233</v>
      </c>
      <c r="C3531" t="s">
        <v>132</v>
      </c>
      <c r="D3531" t="s">
        <v>2143</v>
      </c>
      <c r="E3531" t="s">
        <v>5577</v>
      </c>
      <c r="F3531" t="s">
        <v>145</v>
      </c>
      <c r="G3531" t="s">
        <v>12234</v>
      </c>
    </row>
    <row r="3532" spans="1:7" ht="44.25" customHeight="1">
      <c r="A3532" t="s">
        <v>12235</v>
      </c>
      <c r="B3532" t="s">
        <v>12236</v>
      </c>
      <c r="C3532" t="s">
        <v>132</v>
      </c>
      <c r="D3532" t="s">
        <v>79</v>
      </c>
      <c r="E3532" t="s">
        <v>5868</v>
      </c>
      <c r="F3532" t="s">
        <v>145</v>
      </c>
      <c r="G3532" t="s">
        <v>12237</v>
      </c>
    </row>
    <row r="3533" spans="1:7" ht="44.25" customHeight="1">
      <c r="A3533" t="s">
        <v>12238</v>
      </c>
      <c r="B3533" t="s">
        <v>12239</v>
      </c>
      <c r="C3533" t="s">
        <v>132</v>
      </c>
      <c r="D3533" t="s">
        <v>2143</v>
      </c>
      <c r="E3533" t="s">
        <v>1542</v>
      </c>
      <c r="F3533" t="s">
        <v>145</v>
      </c>
      <c r="G3533" t="s">
        <v>12240</v>
      </c>
    </row>
    <row r="3534" spans="1:7" ht="44.25" customHeight="1">
      <c r="A3534" t="s">
        <v>270</v>
      </c>
      <c r="B3534" t="s">
        <v>12241</v>
      </c>
      <c r="C3534" t="s">
        <v>132</v>
      </c>
      <c r="D3534" t="s">
        <v>2143</v>
      </c>
      <c r="E3534" t="s">
        <v>1439</v>
      </c>
      <c r="F3534" t="s">
        <v>145</v>
      </c>
      <c r="G3534" t="s">
        <v>12242</v>
      </c>
    </row>
    <row r="3535" spans="1:7" ht="44.25" customHeight="1">
      <c r="A3535" t="s">
        <v>12243</v>
      </c>
      <c r="B3535" t="s">
        <v>12244</v>
      </c>
      <c r="C3535" t="s">
        <v>132</v>
      </c>
      <c r="D3535" t="s">
        <v>2143</v>
      </c>
      <c r="E3535" t="s">
        <v>1542</v>
      </c>
      <c r="F3535" t="s">
        <v>145</v>
      </c>
      <c r="G3535" t="s">
        <v>12245</v>
      </c>
    </row>
    <row r="3536" spans="1:7" ht="44.25" customHeight="1">
      <c r="A3536" t="s">
        <v>12246</v>
      </c>
      <c r="B3536" t="s">
        <v>12247</v>
      </c>
      <c r="C3536" t="s">
        <v>132</v>
      </c>
      <c r="D3536" t="s">
        <v>2143</v>
      </c>
      <c r="E3536" t="s">
        <v>1542</v>
      </c>
      <c r="F3536" t="s">
        <v>145</v>
      </c>
      <c r="G3536" t="s">
        <v>12248</v>
      </c>
    </row>
    <row r="3537" spans="1:7" ht="44.25" customHeight="1">
      <c r="A3537" t="s">
        <v>12249</v>
      </c>
      <c r="B3537" t="s">
        <v>12250</v>
      </c>
      <c r="C3537" t="s">
        <v>132</v>
      </c>
      <c r="D3537" t="s">
        <v>2143</v>
      </c>
      <c r="E3537" t="s">
        <v>2285</v>
      </c>
      <c r="F3537" t="s">
        <v>145</v>
      </c>
      <c r="G3537" t="s">
        <v>12251</v>
      </c>
    </row>
    <row r="3538" spans="1:7" ht="44.25" customHeight="1">
      <c r="A3538" t="s">
        <v>12252</v>
      </c>
      <c r="B3538" t="s">
        <v>12253</v>
      </c>
      <c r="C3538" t="s">
        <v>132</v>
      </c>
      <c r="D3538" t="s">
        <v>2139</v>
      </c>
      <c r="E3538" t="s">
        <v>1367</v>
      </c>
      <c r="F3538" t="s">
        <v>145</v>
      </c>
      <c r="G3538" t="s">
        <v>12254</v>
      </c>
    </row>
    <row r="3539" spans="1:7" ht="44.25" customHeight="1">
      <c r="A3539" t="s">
        <v>12255</v>
      </c>
      <c r="B3539" t="s">
        <v>12256</v>
      </c>
      <c r="C3539" t="s">
        <v>132</v>
      </c>
      <c r="D3539" t="s">
        <v>2139</v>
      </c>
      <c r="E3539" t="s">
        <v>1365</v>
      </c>
      <c r="F3539" t="s">
        <v>145</v>
      </c>
      <c r="G3539" t="s">
        <v>12257</v>
      </c>
    </row>
    <row r="3540" spans="1:7" ht="44.25" customHeight="1">
      <c r="A3540" t="s">
        <v>12258</v>
      </c>
      <c r="B3540" t="s">
        <v>12259</v>
      </c>
      <c r="C3540" t="s">
        <v>132</v>
      </c>
      <c r="D3540" t="s">
        <v>2139</v>
      </c>
      <c r="E3540" t="s">
        <v>1367</v>
      </c>
      <c r="F3540" t="s">
        <v>145</v>
      </c>
      <c r="G3540" t="s">
        <v>12260</v>
      </c>
    </row>
    <row r="3541" spans="1:7" ht="44.25" customHeight="1">
      <c r="A3541" t="s">
        <v>828</v>
      </c>
      <c r="B3541" t="s">
        <v>12261</v>
      </c>
      <c r="C3541" t="s">
        <v>132</v>
      </c>
      <c r="D3541" t="s">
        <v>2143</v>
      </c>
      <c r="E3541" t="s">
        <v>4010</v>
      </c>
      <c r="F3541" t="s">
        <v>145</v>
      </c>
      <c r="G3541" t="s">
        <v>12262</v>
      </c>
    </row>
    <row r="3542" spans="1:7" ht="44.25" customHeight="1">
      <c r="A3542" t="s">
        <v>12263</v>
      </c>
      <c r="B3542" t="s">
        <v>12264</v>
      </c>
      <c r="C3542" t="s">
        <v>132</v>
      </c>
      <c r="D3542" t="s">
        <v>2143</v>
      </c>
      <c r="E3542" t="s">
        <v>4481</v>
      </c>
      <c r="F3542" t="s">
        <v>145</v>
      </c>
      <c r="G3542" t="s">
        <v>12265</v>
      </c>
    </row>
    <row r="3543" spans="1:7" ht="44.25" customHeight="1">
      <c r="A3543" t="s">
        <v>12266</v>
      </c>
      <c r="B3543" t="s">
        <v>12267</v>
      </c>
      <c r="C3543" t="s">
        <v>132</v>
      </c>
      <c r="D3543" t="s">
        <v>79</v>
      </c>
      <c r="E3543" t="s">
        <v>12268</v>
      </c>
      <c r="F3543" t="s">
        <v>145</v>
      </c>
      <c r="G3543" t="s">
        <v>12269</v>
      </c>
    </row>
    <row r="3544" spans="1:7" ht="44.25" customHeight="1">
      <c r="A3544" t="s">
        <v>12270</v>
      </c>
      <c r="B3544" t="s">
        <v>12271</v>
      </c>
      <c r="C3544" t="s">
        <v>132</v>
      </c>
      <c r="D3544" t="s">
        <v>79</v>
      </c>
      <c r="E3544" t="s">
        <v>4063</v>
      </c>
      <c r="F3544" t="s">
        <v>145</v>
      </c>
      <c r="G3544" t="s">
        <v>12272</v>
      </c>
    </row>
    <row r="3545" spans="1:7" ht="44.25" customHeight="1">
      <c r="A3545" t="s">
        <v>860</v>
      </c>
      <c r="B3545" t="s">
        <v>10025</v>
      </c>
      <c r="C3545" t="s">
        <v>132</v>
      </c>
      <c r="D3545" t="s">
        <v>2143</v>
      </c>
      <c r="E3545" t="s">
        <v>3466</v>
      </c>
      <c r="F3545" t="s">
        <v>145</v>
      </c>
      <c r="G3545" t="s">
        <v>12273</v>
      </c>
    </row>
    <row r="3546" spans="1:7" ht="44.25" customHeight="1">
      <c r="A3546" t="s">
        <v>8319</v>
      </c>
      <c r="B3546" t="s">
        <v>8320</v>
      </c>
      <c r="C3546" t="s">
        <v>132</v>
      </c>
      <c r="D3546" t="s">
        <v>2143</v>
      </c>
      <c r="E3546" t="s">
        <v>6209</v>
      </c>
      <c r="F3546" t="s">
        <v>145</v>
      </c>
      <c r="G3546" t="s">
        <v>12274</v>
      </c>
    </row>
    <row r="3547" spans="1:7" ht="44.25" customHeight="1">
      <c r="A3547" t="s">
        <v>12275</v>
      </c>
      <c r="B3547" t="s">
        <v>12276</v>
      </c>
      <c r="C3547" t="s">
        <v>132</v>
      </c>
      <c r="D3547" t="s">
        <v>79</v>
      </c>
      <c r="E3547" t="s">
        <v>12277</v>
      </c>
      <c r="F3547" t="s">
        <v>145</v>
      </c>
      <c r="G3547" t="s">
        <v>12278</v>
      </c>
    </row>
    <row r="3548" spans="1:7" ht="44.25" customHeight="1">
      <c r="A3548" t="s">
        <v>12275</v>
      </c>
      <c r="B3548" t="s">
        <v>12276</v>
      </c>
      <c r="C3548" t="s">
        <v>132</v>
      </c>
      <c r="D3548" t="s">
        <v>79</v>
      </c>
      <c r="E3548" t="s">
        <v>12277</v>
      </c>
      <c r="F3548" t="s">
        <v>145</v>
      </c>
      <c r="G3548" t="s">
        <v>12278</v>
      </c>
    </row>
    <row r="3549" spans="1:7" ht="44.25" customHeight="1">
      <c r="A3549" t="s">
        <v>12279</v>
      </c>
      <c r="B3549" t="s">
        <v>12280</v>
      </c>
      <c r="C3549" t="s">
        <v>132</v>
      </c>
      <c r="D3549" t="s">
        <v>79</v>
      </c>
      <c r="E3549" t="s">
        <v>12281</v>
      </c>
      <c r="F3549" t="s">
        <v>145</v>
      </c>
      <c r="G3549" t="s">
        <v>12282</v>
      </c>
    </row>
    <row r="3550" spans="1:7" ht="44.25" customHeight="1">
      <c r="A3550" t="s">
        <v>132</v>
      </c>
      <c r="B3550" t="s">
        <v>12283</v>
      </c>
      <c r="C3550" t="s">
        <v>132</v>
      </c>
      <c r="D3550" t="s">
        <v>2143</v>
      </c>
      <c r="E3550" t="s">
        <v>5699</v>
      </c>
      <c r="F3550" t="s">
        <v>145</v>
      </c>
      <c r="G3550" t="s">
        <v>12284</v>
      </c>
    </row>
    <row r="3551" spans="1:7" ht="44.25" customHeight="1">
      <c r="A3551" t="s">
        <v>132</v>
      </c>
      <c r="B3551" t="s">
        <v>12285</v>
      </c>
      <c r="C3551" t="s">
        <v>132</v>
      </c>
      <c r="D3551" t="s">
        <v>2143</v>
      </c>
      <c r="E3551" t="s">
        <v>6691</v>
      </c>
      <c r="F3551" t="s">
        <v>145</v>
      </c>
      <c r="G3551" t="s">
        <v>12286</v>
      </c>
    </row>
    <row r="3552" spans="1:7" ht="44.25" customHeight="1">
      <c r="A3552" t="s">
        <v>132</v>
      </c>
      <c r="B3552" t="s">
        <v>12287</v>
      </c>
      <c r="C3552" t="s">
        <v>132</v>
      </c>
      <c r="D3552" t="s">
        <v>2143</v>
      </c>
      <c r="E3552" t="s">
        <v>5699</v>
      </c>
      <c r="F3552" t="s">
        <v>145</v>
      </c>
      <c r="G3552" t="s">
        <v>12288</v>
      </c>
    </row>
    <row r="3553" spans="1:7" ht="44.25" customHeight="1">
      <c r="A3553" t="s">
        <v>12289</v>
      </c>
      <c r="B3553" t="s">
        <v>12290</v>
      </c>
      <c r="C3553" t="s">
        <v>132</v>
      </c>
      <c r="D3553" t="s">
        <v>79</v>
      </c>
      <c r="E3553" t="s">
        <v>2581</v>
      </c>
      <c r="F3553" t="s">
        <v>145</v>
      </c>
      <c r="G3553" t="s">
        <v>12291</v>
      </c>
    </row>
    <row r="3554" spans="1:7" ht="44.25" customHeight="1">
      <c r="A3554" t="s">
        <v>12292</v>
      </c>
      <c r="B3554" t="s">
        <v>12293</v>
      </c>
      <c r="C3554" t="s">
        <v>132</v>
      </c>
      <c r="D3554" t="s">
        <v>2143</v>
      </c>
      <c r="E3554" t="s">
        <v>1542</v>
      </c>
      <c r="F3554" t="s">
        <v>145</v>
      </c>
      <c r="G3554" t="s">
        <v>12294</v>
      </c>
    </row>
    <row r="3555" spans="1:7" ht="44.25" customHeight="1">
      <c r="A3555" t="s">
        <v>12295</v>
      </c>
      <c r="B3555" t="s">
        <v>12296</v>
      </c>
      <c r="C3555" t="s">
        <v>132</v>
      </c>
      <c r="D3555" t="s">
        <v>2143</v>
      </c>
      <c r="E3555" t="s">
        <v>1542</v>
      </c>
      <c r="F3555" t="s">
        <v>145</v>
      </c>
      <c r="G3555" t="s">
        <v>12297</v>
      </c>
    </row>
    <row r="3556" spans="1:7" ht="44.25" customHeight="1">
      <c r="A3556" t="s">
        <v>1337</v>
      </c>
      <c r="B3556" t="s">
        <v>12298</v>
      </c>
      <c r="C3556" t="s">
        <v>132</v>
      </c>
      <c r="D3556" t="s">
        <v>2143</v>
      </c>
      <c r="E3556" t="s">
        <v>1542</v>
      </c>
      <c r="F3556" t="s">
        <v>145</v>
      </c>
      <c r="G3556" t="s">
        <v>12299</v>
      </c>
    </row>
    <row r="3557" spans="1:7" ht="44.25" customHeight="1">
      <c r="A3557" t="s">
        <v>1340</v>
      </c>
      <c r="B3557" t="s">
        <v>12300</v>
      </c>
      <c r="C3557" t="s">
        <v>132</v>
      </c>
      <c r="D3557" t="s">
        <v>2143</v>
      </c>
      <c r="E3557" t="s">
        <v>1542</v>
      </c>
      <c r="F3557" t="s">
        <v>145</v>
      </c>
      <c r="G3557" t="s">
        <v>12301</v>
      </c>
    </row>
    <row r="3558" spans="1:7" ht="44.25" customHeight="1">
      <c r="A3558" t="s">
        <v>12302</v>
      </c>
      <c r="B3558" t="s">
        <v>12303</v>
      </c>
      <c r="C3558" t="s">
        <v>132</v>
      </c>
      <c r="D3558" t="s">
        <v>2143</v>
      </c>
      <c r="E3558" t="s">
        <v>1542</v>
      </c>
      <c r="F3558" t="s">
        <v>145</v>
      </c>
      <c r="G3558" t="s">
        <v>12304</v>
      </c>
    </row>
    <row r="3559" spans="1:7" ht="44.25" customHeight="1">
      <c r="A3559" t="s">
        <v>12305</v>
      </c>
      <c r="B3559" t="s">
        <v>12306</v>
      </c>
      <c r="C3559" t="s">
        <v>132</v>
      </c>
      <c r="D3559" t="s">
        <v>2139</v>
      </c>
      <c r="E3559" t="s">
        <v>1365</v>
      </c>
      <c r="F3559" t="s">
        <v>145</v>
      </c>
      <c r="G3559" t="s">
        <v>12307</v>
      </c>
    </row>
    <row r="3560" spans="1:7" ht="44.25" customHeight="1">
      <c r="A3560" t="s">
        <v>12308</v>
      </c>
      <c r="B3560" t="s">
        <v>12309</v>
      </c>
      <c r="C3560" t="s">
        <v>132</v>
      </c>
      <c r="D3560" t="s">
        <v>2139</v>
      </c>
      <c r="E3560" t="s">
        <v>1365</v>
      </c>
      <c r="F3560" t="s">
        <v>145</v>
      </c>
      <c r="G3560" t="s">
        <v>12310</v>
      </c>
    </row>
    <row r="3561" spans="1:7" ht="44.25" customHeight="1">
      <c r="A3561" t="s">
        <v>12311</v>
      </c>
      <c r="B3561" t="s">
        <v>12312</v>
      </c>
      <c r="C3561" t="s">
        <v>132</v>
      </c>
      <c r="D3561" t="s">
        <v>2139</v>
      </c>
      <c r="E3561" t="s">
        <v>1367</v>
      </c>
      <c r="F3561" t="s">
        <v>145</v>
      </c>
      <c r="G3561" t="s">
        <v>12313</v>
      </c>
    </row>
    <row r="3562" spans="1:7" ht="44.25" customHeight="1">
      <c r="A3562" t="s">
        <v>12314</v>
      </c>
      <c r="B3562" t="s">
        <v>12315</v>
      </c>
      <c r="C3562" t="s">
        <v>132</v>
      </c>
      <c r="D3562" t="s">
        <v>2139</v>
      </c>
      <c r="E3562" t="s">
        <v>1367</v>
      </c>
      <c r="F3562" t="s">
        <v>145</v>
      </c>
      <c r="G3562" t="s">
        <v>12316</v>
      </c>
    </row>
    <row r="3563" spans="1:7" ht="44.25" customHeight="1">
      <c r="A3563" t="s">
        <v>1421</v>
      </c>
      <c r="B3563" t="s">
        <v>12317</v>
      </c>
      <c r="C3563" t="s">
        <v>132</v>
      </c>
      <c r="D3563" t="s">
        <v>2143</v>
      </c>
      <c r="E3563" t="s">
        <v>2162</v>
      </c>
      <c r="F3563" t="s">
        <v>145</v>
      </c>
      <c r="G3563" t="s">
        <v>12318</v>
      </c>
    </row>
    <row r="3564" spans="1:7" ht="44.25" customHeight="1">
      <c r="A3564" t="s">
        <v>1425</v>
      </c>
      <c r="B3564" t="s">
        <v>12319</v>
      </c>
      <c r="C3564" t="s">
        <v>132</v>
      </c>
      <c r="D3564" t="s">
        <v>2143</v>
      </c>
      <c r="E3564" t="s">
        <v>2162</v>
      </c>
      <c r="F3564" t="s">
        <v>145</v>
      </c>
      <c r="G3564" t="s">
        <v>12320</v>
      </c>
    </row>
    <row r="3565" spans="1:7" ht="44.25" customHeight="1">
      <c r="A3565" t="s">
        <v>12321</v>
      </c>
      <c r="B3565" t="s">
        <v>12322</v>
      </c>
      <c r="C3565" t="s">
        <v>132</v>
      </c>
      <c r="D3565" t="s">
        <v>2143</v>
      </c>
      <c r="E3565" t="s">
        <v>12323</v>
      </c>
      <c r="F3565" t="s">
        <v>145</v>
      </c>
      <c r="G3565" t="s">
        <v>12324</v>
      </c>
    </row>
    <row r="3566" spans="1:7" ht="44.25" customHeight="1">
      <c r="A3566" t="s">
        <v>12325</v>
      </c>
      <c r="B3566" t="s">
        <v>12326</v>
      </c>
      <c r="C3566" t="s">
        <v>132</v>
      </c>
      <c r="D3566" t="s">
        <v>79</v>
      </c>
      <c r="E3566" t="s">
        <v>12327</v>
      </c>
      <c r="F3566" t="s">
        <v>145</v>
      </c>
      <c r="G3566" t="s">
        <v>12328</v>
      </c>
    </row>
    <row r="3567" spans="1:7" ht="44.25" customHeight="1">
      <c r="A3567" t="s">
        <v>12329</v>
      </c>
      <c r="B3567" t="s">
        <v>12330</v>
      </c>
      <c r="C3567" t="s">
        <v>132</v>
      </c>
      <c r="D3567" t="s">
        <v>79</v>
      </c>
      <c r="E3567" t="s">
        <v>12331</v>
      </c>
      <c r="F3567" t="s">
        <v>145</v>
      </c>
      <c r="G3567" t="s">
        <v>12332</v>
      </c>
    </row>
    <row r="3568" spans="1:7" ht="44.25" customHeight="1">
      <c r="A3568" t="s">
        <v>12333</v>
      </c>
      <c r="B3568" t="s">
        <v>12334</v>
      </c>
      <c r="C3568" t="s">
        <v>132</v>
      </c>
      <c r="D3568" t="s">
        <v>79</v>
      </c>
      <c r="E3568" t="s">
        <v>12335</v>
      </c>
      <c r="F3568" t="s">
        <v>145</v>
      </c>
      <c r="G3568" t="s">
        <v>12336</v>
      </c>
    </row>
    <row r="3569" spans="1:7" ht="44.25" customHeight="1">
      <c r="A3569" t="s">
        <v>12337</v>
      </c>
      <c r="B3569" t="s">
        <v>12338</v>
      </c>
      <c r="C3569" t="s">
        <v>132</v>
      </c>
      <c r="D3569" t="s">
        <v>79</v>
      </c>
      <c r="E3569" t="s">
        <v>12339</v>
      </c>
      <c r="F3569" t="s">
        <v>145</v>
      </c>
      <c r="G3569" t="s">
        <v>12340</v>
      </c>
    </row>
    <row r="3570" spans="1:7" ht="44.25" customHeight="1">
      <c r="A3570" t="s">
        <v>12341</v>
      </c>
      <c r="B3570" t="s">
        <v>12342</v>
      </c>
      <c r="C3570" t="s">
        <v>132</v>
      </c>
      <c r="D3570" t="s">
        <v>79</v>
      </c>
      <c r="E3570" t="s">
        <v>12343</v>
      </c>
      <c r="F3570" t="s">
        <v>145</v>
      </c>
      <c r="G3570" t="s">
        <v>12344</v>
      </c>
    </row>
    <row r="3571" spans="1:7" ht="44.25" customHeight="1">
      <c r="A3571" t="s">
        <v>12345</v>
      </c>
      <c r="B3571" t="s">
        <v>12346</v>
      </c>
      <c r="C3571" t="s">
        <v>132</v>
      </c>
      <c r="D3571" t="s">
        <v>79</v>
      </c>
      <c r="E3571" t="s">
        <v>12347</v>
      </c>
      <c r="F3571" t="s">
        <v>145</v>
      </c>
      <c r="G3571" t="s">
        <v>12348</v>
      </c>
    </row>
    <row r="3572" spans="1:7" ht="44.25" customHeight="1">
      <c r="A3572" t="s">
        <v>12345</v>
      </c>
      <c r="B3572" t="s">
        <v>12346</v>
      </c>
      <c r="C3572" t="s">
        <v>132</v>
      </c>
      <c r="D3572" t="s">
        <v>79</v>
      </c>
      <c r="E3572" t="s">
        <v>12347</v>
      </c>
      <c r="F3572" t="s">
        <v>145</v>
      </c>
      <c r="G3572" t="s">
        <v>12348</v>
      </c>
    </row>
    <row r="3573" spans="1:7" ht="44.25" customHeight="1">
      <c r="A3573" t="s">
        <v>12349</v>
      </c>
      <c r="B3573" t="s">
        <v>12350</v>
      </c>
      <c r="C3573" t="s">
        <v>132</v>
      </c>
      <c r="D3573" t="s">
        <v>2143</v>
      </c>
      <c r="E3573" t="s">
        <v>6295</v>
      </c>
      <c r="F3573" t="s">
        <v>145</v>
      </c>
      <c r="G3573" t="s">
        <v>12351</v>
      </c>
    </row>
    <row r="3574" spans="1:7" ht="44.25" customHeight="1">
      <c r="A3574" t="s">
        <v>132</v>
      </c>
      <c r="B3574" t="s">
        <v>12352</v>
      </c>
      <c r="C3574" t="s">
        <v>132</v>
      </c>
      <c r="D3574" t="s">
        <v>2143</v>
      </c>
      <c r="E3574" t="s">
        <v>5741</v>
      </c>
      <c r="F3574" t="s">
        <v>145</v>
      </c>
      <c r="G3574" t="s">
        <v>12353</v>
      </c>
    </row>
    <row r="3575" spans="1:7" ht="44.25" customHeight="1">
      <c r="A3575" t="s">
        <v>12354</v>
      </c>
      <c r="B3575" t="s">
        <v>12355</v>
      </c>
      <c r="C3575" t="s">
        <v>132</v>
      </c>
      <c r="D3575" t="s">
        <v>2143</v>
      </c>
      <c r="E3575" t="s">
        <v>12356</v>
      </c>
      <c r="F3575" t="s">
        <v>145</v>
      </c>
      <c r="G3575" t="s">
        <v>12357</v>
      </c>
    </row>
    <row r="3576" spans="1:7" ht="44.25" customHeight="1">
      <c r="A3576" t="s">
        <v>12358</v>
      </c>
      <c r="B3576" t="s">
        <v>12359</v>
      </c>
      <c r="C3576" t="s">
        <v>132</v>
      </c>
      <c r="D3576" t="s">
        <v>2143</v>
      </c>
      <c r="E3576" t="s">
        <v>1542</v>
      </c>
      <c r="F3576" t="s">
        <v>145</v>
      </c>
      <c r="G3576" t="s">
        <v>12360</v>
      </c>
    </row>
    <row r="3577" spans="1:7" ht="44.25" customHeight="1">
      <c r="A3577" t="s">
        <v>12361</v>
      </c>
      <c r="B3577" t="s">
        <v>12362</v>
      </c>
      <c r="C3577" t="s">
        <v>132</v>
      </c>
      <c r="D3577" t="s">
        <v>2143</v>
      </c>
      <c r="E3577" t="s">
        <v>1542</v>
      </c>
      <c r="F3577" t="s">
        <v>145</v>
      </c>
      <c r="G3577" t="s">
        <v>12363</v>
      </c>
    </row>
    <row r="3578" spans="1:7" ht="44.25" customHeight="1">
      <c r="A3578" t="s">
        <v>271</v>
      </c>
      <c r="B3578" t="s">
        <v>12364</v>
      </c>
      <c r="C3578" t="s">
        <v>1441</v>
      </c>
      <c r="D3578" t="s">
        <v>2143</v>
      </c>
      <c r="E3578" t="s">
        <v>1439</v>
      </c>
      <c r="F3578" t="s">
        <v>145</v>
      </c>
      <c r="G3578" t="s">
        <v>12365</v>
      </c>
    </row>
    <row r="3579" spans="1:7" ht="44.25" customHeight="1">
      <c r="A3579" t="s">
        <v>12366</v>
      </c>
      <c r="B3579" t="s">
        <v>12367</v>
      </c>
      <c r="C3579" t="s">
        <v>132</v>
      </c>
      <c r="D3579" t="s">
        <v>2143</v>
      </c>
      <c r="E3579" t="s">
        <v>2768</v>
      </c>
      <c r="F3579" t="s">
        <v>145</v>
      </c>
      <c r="G3579" t="s">
        <v>12368</v>
      </c>
    </row>
    <row r="3580" spans="1:7" ht="44.25" customHeight="1">
      <c r="A3580" t="s">
        <v>732</v>
      </c>
      <c r="B3580" t="s">
        <v>12369</v>
      </c>
      <c r="C3580" t="s">
        <v>132</v>
      </c>
      <c r="D3580" t="s">
        <v>79</v>
      </c>
      <c r="E3580" t="s">
        <v>3420</v>
      </c>
      <c r="F3580" t="s">
        <v>145</v>
      </c>
      <c r="G3580" t="s">
        <v>12370</v>
      </c>
    </row>
    <row r="3581" spans="1:7" ht="44.25" customHeight="1">
      <c r="A3581" t="s">
        <v>12371</v>
      </c>
      <c r="B3581" t="s">
        <v>12372</v>
      </c>
      <c r="C3581" t="s">
        <v>132</v>
      </c>
      <c r="D3581" t="s">
        <v>2139</v>
      </c>
      <c r="E3581" t="s">
        <v>1367</v>
      </c>
      <c r="F3581" t="s">
        <v>145</v>
      </c>
      <c r="G3581" t="s">
        <v>12373</v>
      </c>
    </row>
    <row r="3582" spans="1:7" ht="44.25" customHeight="1">
      <c r="A3582" t="s">
        <v>11882</v>
      </c>
      <c r="B3582" t="s">
        <v>11883</v>
      </c>
      <c r="C3582" t="s">
        <v>132</v>
      </c>
      <c r="D3582" t="s">
        <v>79</v>
      </c>
      <c r="E3582" t="s">
        <v>11884</v>
      </c>
      <c r="F3582" t="s">
        <v>145</v>
      </c>
      <c r="G3582" t="s">
        <v>12374</v>
      </c>
    </row>
    <row r="3583" spans="1:7" ht="44.25" customHeight="1">
      <c r="A3583" t="s">
        <v>12375</v>
      </c>
      <c r="B3583" t="s">
        <v>12376</v>
      </c>
      <c r="C3583" t="s">
        <v>132</v>
      </c>
      <c r="D3583" t="s">
        <v>2139</v>
      </c>
      <c r="E3583" t="s">
        <v>1367</v>
      </c>
      <c r="F3583" t="s">
        <v>145</v>
      </c>
      <c r="G3583" t="s">
        <v>12377</v>
      </c>
    </row>
    <row r="3584" spans="1:7" ht="44.25" customHeight="1">
      <c r="A3584" t="s">
        <v>12378</v>
      </c>
      <c r="B3584" t="s">
        <v>12379</v>
      </c>
      <c r="C3584" t="s">
        <v>132</v>
      </c>
      <c r="D3584" t="s">
        <v>2143</v>
      </c>
      <c r="E3584" t="s">
        <v>2162</v>
      </c>
      <c r="F3584" t="s">
        <v>145</v>
      </c>
      <c r="G3584" t="s">
        <v>12380</v>
      </c>
    </row>
    <row r="3585" spans="1:7" ht="44.25" customHeight="1">
      <c r="A3585" t="s">
        <v>12381</v>
      </c>
      <c r="B3585" t="s">
        <v>12382</v>
      </c>
      <c r="C3585" t="s">
        <v>132</v>
      </c>
      <c r="D3585" t="s">
        <v>79</v>
      </c>
      <c r="E3585" t="s">
        <v>7343</v>
      </c>
      <c r="F3585" t="s">
        <v>145</v>
      </c>
      <c r="G3585" t="s">
        <v>12383</v>
      </c>
    </row>
    <row r="3586" spans="1:7" ht="44.25" customHeight="1">
      <c r="A3586" t="s">
        <v>1405</v>
      </c>
      <c r="B3586" t="s">
        <v>12384</v>
      </c>
      <c r="C3586" t="s">
        <v>132</v>
      </c>
      <c r="D3586" t="s">
        <v>2143</v>
      </c>
      <c r="E3586" t="s">
        <v>2162</v>
      </c>
      <c r="F3586" t="s">
        <v>145</v>
      </c>
      <c r="G3586" t="s">
        <v>12385</v>
      </c>
    </row>
    <row r="3587" spans="1:7" ht="44.25" customHeight="1">
      <c r="A3587" t="s">
        <v>596</v>
      </c>
      <c r="B3587" t="s">
        <v>12386</v>
      </c>
      <c r="C3587" t="s">
        <v>132</v>
      </c>
      <c r="D3587" t="s">
        <v>79</v>
      </c>
      <c r="E3587" t="s">
        <v>4422</v>
      </c>
      <c r="F3587" t="s">
        <v>145</v>
      </c>
      <c r="G3587" t="s">
        <v>12387</v>
      </c>
    </row>
    <row r="3588" spans="1:7" ht="44.25" customHeight="1">
      <c r="A3588" t="s">
        <v>496</v>
      </c>
      <c r="B3588" t="s">
        <v>12388</v>
      </c>
      <c r="C3588" t="s">
        <v>132</v>
      </c>
      <c r="D3588" t="s">
        <v>79</v>
      </c>
      <c r="E3588" t="s">
        <v>6679</v>
      </c>
      <c r="F3588" t="s">
        <v>145</v>
      </c>
      <c r="G3588" t="s">
        <v>12389</v>
      </c>
    </row>
    <row r="3589" spans="1:7" ht="44.25" customHeight="1">
      <c r="A3589" t="s">
        <v>132</v>
      </c>
      <c r="B3589" t="s">
        <v>12390</v>
      </c>
      <c r="C3589" t="s">
        <v>132</v>
      </c>
      <c r="D3589" t="s">
        <v>79</v>
      </c>
      <c r="E3589" t="s">
        <v>12391</v>
      </c>
      <c r="F3589" t="s">
        <v>145</v>
      </c>
      <c r="G3589" t="s">
        <v>12392</v>
      </c>
    </row>
    <row r="3590" spans="1:7" ht="44.25" customHeight="1">
      <c r="A3590" t="s">
        <v>12393</v>
      </c>
      <c r="B3590" t="s">
        <v>12394</v>
      </c>
      <c r="C3590" t="s">
        <v>132</v>
      </c>
      <c r="D3590" t="s">
        <v>79</v>
      </c>
      <c r="E3590" t="s">
        <v>12395</v>
      </c>
      <c r="F3590" t="s">
        <v>145</v>
      </c>
      <c r="G3590" t="s">
        <v>12396</v>
      </c>
    </row>
    <row r="3591" spans="1:7" ht="44.25" customHeight="1">
      <c r="A3591" t="s">
        <v>12397</v>
      </c>
      <c r="B3591" t="s">
        <v>12398</v>
      </c>
      <c r="C3591" t="s">
        <v>132</v>
      </c>
      <c r="D3591" t="s">
        <v>79</v>
      </c>
      <c r="E3591" t="s">
        <v>5055</v>
      </c>
      <c r="F3591" t="s">
        <v>145</v>
      </c>
      <c r="G3591" t="s">
        <v>12399</v>
      </c>
    </row>
    <row r="3592" spans="1:7" ht="44.25" customHeight="1">
      <c r="A3592" t="s">
        <v>12400</v>
      </c>
      <c r="B3592" t="s">
        <v>12401</v>
      </c>
      <c r="C3592" t="s">
        <v>132</v>
      </c>
      <c r="D3592" t="s">
        <v>79</v>
      </c>
      <c r="E3592" t="s">
        <v>12402</v>
      </c>
      <c r="F3592" t="s">
        <v>145</v>
      </c>
      <c r="G3592" t="s">
        <v>12403</v>
      </c>
    </row>
    <row r="3593" spans="1:7" ht="44.25" customHeight="1">
      <c r="A3593" t="s">
        <v>12400</v>
      </c>
      <c r="B3593" t="s">
        <v>12401</v>
      </c>
      <c r="C3593" t="s">
        <v>132</v>
      </c>
      <c r="D3593" t="s">
        <v>79</v>
      </c>
      <c r="E3593" t="s">
        <v>12402</v>
      </c>
      <c r="F3593" t="s">
        <v>145</v>
      </c>
      <c r="G3593" t="s">
        <v>12403</v>
      </c>
    </row>
    <row r="3594" spans="1:7" ht="44.25" customHeight="1">
      <c r="A3594" t="s">
        <v>12404</v>
      </c>
      <c r="B3594" t="s">
        <v>12405</v>
      </c>
      <c r="C3594" t="s">
        <v>132</v>
      </c>
      <c r="D3594" t="s">
        <v>79</v>
      </c>
      <c r="E3594" t="s">
        <v>12406</v>
      </c>
      <c r="F3594" t="s">
        <v>145</v>
      </c>
      <c r="G3594" t="s">
        <v>12407</v>
      </c>
    </row>
    <row r="3595" spans="1:7" ht="44.25" customHeight="1">
      <c r="A3595" t="s">
        <v>132</v>
      </c>
      <c r="B3595" t="s">
        <v>12408</v>
      </c>
      <c r="C3595" t="s">
        <v>132</v>
      </c>
      <c r="D3595" t="s">
        <v>2143</v>
      </c>
      <c r="E3595" t="s">
        <v>6489</v>
      </c>
      <c r="F3595" t="s">
        <v>145</v>
      </c>
      <c r="G3595" t="s">
        <v>12409</v>
      </c>
    </row>
    <row r="3596" spans="1:7" ht="44.25" customHeight="1">
      <c r="A3596" t="s">
        <v>464</v>
      </c>
      <c r="B3596" t="s">
        <v>12410</v>
      </c>
      <c r="C3596" t="s">
        <v>132</v>
      </c>
      <c r="D3596" t="s">
        <v>79</v>
      </c>
      <c r="E3596" t="s">
        <v>12411</v>
      </c>
      <c r="F3596" t="s">
        <v>145</v>
      </c>
      <c r="G3596" t="s">
        <v>12412</v>
      </c>
    </row>
    <row r="3597" spans="1:7" ht="44.25" customHeight="1">
      <c r="A3597" t="s">
        <v>12413</v>
      </c>
      <c r="B3597" t="s">
        <v>12414</v>
      </c>
      <c r="C3597" t="s">
        <v>132</v>
      </c>
      <c r="D3597" t="s">
        <v>2143</v>
      </c>
      <c r="E3597" t="s">
        <v>1542</v>
      </c>
      <c r="F3597" t="s">
        <v>145</v>
      </c>
      <c r="G3597" t="s">
        <v>12415</v>
      </c>
    </row>
    <row r="3598" spans="1:7" ht="44.25" customHeight="1">
      <c r="A3598" t="s">
        <v>12416</v>
      </c>
      <c r="B3598" t="s">
        <v>12417</v>
      </c>
      <c r="C3598" t="s">
        <v>132</v>
      </c>
      <c r="D3598" t="s">
        <v>2143</v>
      </c>
      <c r="E3598" t="s">
        <v>1542</v>
      </c>
      <c r="F3598" t="s">
        <v>145</v>
      </c>
      <c r="G3598" t="s">
        <v>12418</v>
      </c>
    </row>
    <row r="3599" spans="1:7" ht="44.25" customHeight="1">
      <c r="A3599" t="s">
        <v>12419</v>
      </c>
      <c r="B3599" t="s">
        <v>12420</v>
      </c>
      <c r="C3599" t="s">
        <v>132</v>
      </c>
      <c r="D3599" t="s">
        <v>2143</v>
      </c>
      <c r="E3599" t="s">
        <v>1542</v>
      </c>
      <c r="F3599" t="s">
        <v>145</v>
      </c>
      <c r="G3599" t="s">
        <v>12421</v>
      </c>
    </row>
    <row r="3600" spans="1:7" ht="44.25" customHeight="1">
      <c r="A3600" t="s">
        <v>12422</v>
      </c>
      <c r="B3600" t="s">
        <v>12423</v>
      </c>
      <c r="C3600" t="s">
        <v>132</v>
      </c>
      <c r="D3600" t="s">
        <v>2143</v>
      </c>
      <c r="E3600" t="s">
        <v>1542</v>
      </c>
      <c r="F3600" t="s">
        <v>145</v>
      </c>
      <c r="G3600" t="s">
        <v>12424</v>
      </c>
    </row>
    <row r="3601" spans="1:7" ht="44.25" customHeight="1">
      <c r="A3601" t="s">
        <v>12425</v>
      </c>
      <c r="B3601" t="s">
        <v>12426</v>
      </c>
      <c r="C3601" t="s">
        <v>132</v>
      </c>
      <c r="D3601" t="s">
        <v>2143</v>
      </c>
      <c r="E3601" t="s">
        <v>1542</v>
      </c>
      <c r="F3601" t="s">
        <v>145</v>
      </c>
      <c r="G3601" t="s">
        <v>12427</v>
      </c>
    </row>
    <row r="3602" spans="1:7" ht="44.25" customHeight="1">
      <c r="A3602" t="s">
        <v>1377</v>
      </c>
      <c r="B3602" t="s">
        <v>12428</v>
      </c>
      <c r="C3602" t="s">
        <v>132</v>
      </c>
      <c r="D3602" t="s">
        <v>79</v>
      </c>
      <c r="E3602" t="s">
        <v>3313</v>
      </c>
      <c r="F3602" t="s">
        <v>145</v>
      </c>
      <c r="G3602" t="s">
        <v>12429</v>
      </c>
    </row>
    <row r="3603" spans="1:7" ht="44.25" customHeight="1">
      <c r="A3603" t="s">
        <v>12430</v>
      </c>
      <c r="B3603" t="s">
        <v>12431</v>
      </c>
      <c r="C3603" t="s">
        <v>132</v>
      </c>
      <c r="D3603" t="s">
        <v>2143</v>
      </c>
      <c r="E3603" t="s">
        <v>3313</v>
      </c>
      <c r="F3603" t="s">
        <v>145</v>
      </c>
      <c r="G3603" t="s">
        <v>12432</v>
      </c>
    </row>
    <row r="3604" spans="1:7" ht="44.25" customHeight="1">
      <c r="A3604" t="s">
        <v>586</v>
      </c>
      <c r="B3604" t="s">
        <v>10807</v>
      </c>
      <c r="C3604" t="s">
        <v>132</v>
      </c>
      <c r="D3604" t="s">
        <v>79</v>
      </c>
      <c r="E3604" t="s">
        <v>7106</v>
      </c>
      <c r="F3604" t="s">
        <v>145</v>
      </c>
      <c r="G3604" t="s">
        <v>12433</v>
      </c>
    </row>
    <row r="3605" spans="1:7" ht="44.25" customHeight="1">
      <c r="A3605" t="s">
        <v>1290</v>
      </c>
      <c r="B3605" t="s">
        <v>12434</v>
      </c>
      <c r="C3605" t="s">
        <v>132</v>
      </c>
      <c r="D3605" t="s">
        <v>2139</v>
      </c>
      <c r="E3605" t="s">
        <v>1367</v>
      </c>
      <c r="F3605" t="s">
        <v>145</v>
      </c>
      <c r="G3605" t="s">
        <v>12435</v>
      </c>
    </row>
    <row r="3606" spans="1:7" ht="44.25" customHeight="1">
      <c r="A3606" t="s">
        <v>1295</v>
      </c>
      <c r="B3606" t="s">
        <v>12436</v>
      </c>
      <c r="C3606" t="s">
        <v>132</v>
      </c>
      <c r="D3606" t="s">
        <v>2139</v>
      </c>
      <c r="E3606" t="s">
        <v>1367</v>
      </c>
      <c r="F3606" t="s">
        <v>145</v>
      </c>
      <c r="G3606" t="s">
        <v>12437</v>
      </c>
    </row>
    <row r="3607" spans="1:7" ht="44.25" customHeight="1">
      <c r="A3607" t="s">
        <v>352</v>
      </c>
      <c r="B3607" t="s">
        <v>12438</v>
      </c>
      <c r="C3607" t="s">
        <v>132</v>
      </c>
      <c r="D3607" t="s">
        <v>2143</v>
      </c>
      <c r="E3607" t="s">
        <v>2162</v>
      </c>
      <c r="F3607" t="s">
        <v>145</v>
      </c>
      <c r="G3607" t="s">
        <v>12439</v>
      </c>
    </row>
    <row r="3608" spans="1:7" ht="44.25" customHeight="1">
      <c r="A3608" t="s">
        <v>821</v>
      </c>
      <c r="B3608" t="s">
        <v>12440</v>
      </c>
      <c r="C3608" t="s">
        <v>132</v>
      </c>
      <c r="D3608" t="s">
        <v>2143</v>
      </c>
      <c r="E3608" t="s">
        <v>4010</v>
      </c>
      <c r="F3608" t="s">
        <v>145</v>
      </c>
      <c r="G3608" t="s">
        <v>12441</v>
      </c>
    </row>
    <row r="3609" spans="1:7" ht="44.25" customHeight="1">
      <c r="A3609" t="s">
        <v>12442</v>
      </c>
      <c r="B3609" t="s">
        <v>12443</v>
      </c>
      <c r="C3609" t="s">
        <v>132</v>
      </c>
      <c r="D3609" t="s">
        <v>79</v>
      </c>
      <c r="E3609" t="s">
        <v>12444</v>
      </c>
      <c r="F3609" t="s">
        <v>145</v>
      </c>
      <c r="G3609" t="s">
        <v>12445</v>
      </c>
    </row>
    <row r="3610" spans="1:7" ht="44.25" customHeight="1">
      <c r="A3610" t="s">
        <v>12446</v>
      </c>
      <c r="B3610" t="s">
        <v>12447</v>
      </c>
      <c r="C3610" t="s">
        <v>132</v>
      </c>
      <c r="D3610" t="s">
        <v>79</v>
      </c>
      <c r="E3610" t="s">
        <v>12448</v>
      </c>
      <c r="F3610" t="s">
        <v>145</v>
      </c>
      <c r="G3610" t="s">
        <v>12449</v>
      </c>
    </row>
    <row r="3611" spans="1:7" ht="44.25" customHeight="1">
      <c r="A3611" t="s">
        <v>12450</v>
      </c>
      <c r="B3611" t="s">
        <v>12451</v>
      </c>
      <c r="C3611" t="s">
        <v>132</v>
      </c>
      <c r="D3611" t="s">
        <v>79</v>
      </c>
      <c r="E3611" t="s">
        <v>9256</v>
      </c>
      <c r="F3611" t="s">
        <v>145</v>
      </c>
      <c r="G3611" t="s">
        <v>12452</v>
      </c>
    </row>
    <row r="3612" spans="1:7" ht="44.25" customHeight="1">
      <c r="A3612" t="s">
        <v>132</v>
      </c>
      <c r="B3612" t="s">
        <v>12453</v>
      </c>
      <c r="C3612" t="s">
        <v>132</v>
      </c>
      <c r="D3612" t="s">
        <v>79</v>
      </c>
      <c r="E3612" t="s">
        <v>6430</v>
      </c>
      <c r="F3612" t="s">
        <v>145</v>
      </c>
      <c r="G3612" t="s">
        <v>12454</v>
      </c>
    </row>
    <row r="3613" spans="1:7" ht="44.25" customHeight="1">
      <c r="A3613" t="s">
        <v>12455</v>
      </c>
      <c r="B3613" t="s">
        <v>12456</v>
      </c>
      <c r="C3613" t="s">
        <v>132</v>
      </c>
      <c r="D3613" t="s">
        <v>79</v>
      </c>
      <c r="E3613" t="s">
        <v>12457</v>
      </c>
      <c r="F3613" t="s">
        <v>145</v>
      </c>
      <c r="G3613" t="s">
        <v>12458</v>
      </c>
    </row>
    <row r="3614" spans="1:7" ht="44.25" customHeight="1">
      <c r="A3614" t="s">
        <v>12459</v>
      </c>
      <c r="B3614" t="s">
        <v>12460</v>
      </c>
      <c r="C3614" t="s">
        <v>132</v>
      </c>
      <c r="D3614" t="s">
        <v>79</v>
      </c>
      <c r="E3614" t="s">
        <v>12461</v>
      </c>
      <c r="F3614" t="s">
        <v>145</v>
      </c>
      <c r="G3614" t="s">
        <v>12462</v>
      </c>
    </row>
    <row r="3615" spans="1:7" ht="44.25" customHeight="1">
      <c r="A3615" t="s">
        <v>12459</v>
      </c>
      <c r="B3615" t="s">
        <v>12460</v>
      </c>
      <c r="C3615" t="s">
        <v>132</v>
      </c>
      <c r="D3615" t="s">
        <v>79</v>
      </c>
      <c r="E3615" t="s">
        <v>12461</v>
      </c>
      <c r="F3615" t="s">
        <v>145</v>
      </c>
      <c r="G3615" t="s">
        <v>12462</v>
      </c>
    </row>
    <row r="3616" spans="1:7" ht="44.25" customHeight="1">
      <c r="A3616" t="s">
        <v>12459</v>
      </c>
      <c r="B3616" t="s">
        <v>12460</v>
      </c>
      <c r="C3616" t="s">
        <v>132</v>
      </c>
      <c r="D3616" t="s">
        <v>79</v>
      </c>
      <c r="E3616" t="s">
        <v>12461</v>
      </c>
      <c r="F3616" t="s">
        <v>145</v>
      </c>
      <c r="G3616" t="s">
        <v>12462</v>
      </c>
    </row>
    <row r="3617" spans="1:7" ht="44.25" customHeight="1">
      <c r="A3617" t="s">
        <v>12463</v>
      </c>
      <c r="B3617" t="s">
        <v>12464</v>
      </c>
      <c r="C3617" t="s">
        <v>132</v>
      </c>
      <c r="D3617" t="s">
        <v>79</v>
      </c>
      <c r="E3617" t="s">
        <v>12465</v>
      </c>
      <c r="F3617" t="s">
        <v>145</v>
      </c>
      <c r="G3617" t="s">
        <v>12466</v>
      </c>
    </row>
    <row r="3618" spans="1:7" ht="44.25" customHeight="1">
      <c r="A3618" t="s">
        <v>638</v>
      </c>
      <c r="B3618" t="s">
        <v>12467</v>
      </c>
      <c r="C3618" t="s">
        <v>132</v>
      </c>
      <c r="D3618" t="s">
        <v>79</v>
      </c>
      <c r="E3618" t="s">
        <v>12468</v>
      </c>
      <c r="F3618" t="s">
        <v>145</v>
      </c>
      <c r="G3618" t="s">
        <v>12469</v>
      </c>
    </row>
    <row r="3619" spans="1:7" ht="44.25" customHeight="1">
      <c r="A3619" t="s">
        <v>12470</v>
      </c>
      <c r="B3619" t="s">
        <v>12471</v>
      </c>
      <c r="C3619" t="s">
        <v>132</v>
      </c>
      <c r="D3619" t="s">
        <v>2143</v>
      </c>
      <c r="E3619" t="s">
        <v>3048</v>
      </c>
      <c r="F3619" t="s">
        <v>145</v>
      </c>
      <c r="G3619" t="s">
        <v>12472</v>
      </c>
    </row>
    <row r="3620" spans="1:7" ht="44.25" customHeight="1">
      <c r="A3620" t="s">
        <v>12473</v>
      </c>
      <c r="B3620" t="s">
        <v>12474</v>
      </c>
      <c r="C3620" t="s">
        <v>132</v>
      </c>
      <c r="D3620" t="s">
        <v>79</v>
      </c>
      <c r="E3620" t="s">
        <v>12475</v>
      </c>
      <c r="F3620" t="s">
        <v>145</v>
      </c>
      <c r="G3620" t="s">
        <v>12476</v>
      </c>
    </row>
    <row r="3621" spans="1:7" ht="44.25" customHeight="1">
      <c r="A3621" t="s">
        <v>12477</v>
      </c>
      <c r="B3621" t="s">
        <v>12478</v>
      </c>
      <c r="C3621" t="s">
        <v>132</v>
      </c>
      <c r="D3621" t="s">
        <v>2139</v>
      </c>
      <c r="E3621" t="s">
        <v>1367</v>
      </c>
      <c r="F3621" t="s">
        <v>145</v>
      </c>
      <c r="G3621" t="s">
        <v>12479</v>
      </c>
    </row>
    <row r="3622" spans="1:7" ht="44.25" customHeight="1">
      <c r="A3622" t="s">
        <v>12480</v>
      </c>
      <c r="B3622" t="s">
        <v>12481</v>
      </c>
      <c r="C3622" t="s">
        <v>132</v>
      </c>
      <c r="D3622" t="s">
        <v>2139</v>
      </c>
      <c r="E3622" t="s">
        <v>1365</v>
      </c>
      <c r="F3622" t="s">
        <v>145</v>
      </c>
      <c r="G3622" t="s">
        <v>12482</v>
      </c>
    </row>
    <row r="3623" spans="1:7" ht="44.25" customHeight="1">
      <c r="A3623" t="s">
        <v>12483</v>
      </c>
      <c r="B3623" t="s">
        <v>12484</v>
      </c>
      <c r="C3623" t="s">
        <v>132</v>
      </c>
      <c r="D3623" t="s">
        <v>2139</v>
      </c>
      <c r="E3623" t="s">
        <v>1367</v>
      </c>
      <c r="F3623" t="s">
        <v>145</v>
      </c>
      <c r="G3623" t="s">
        <v>12485</v>
      </c>
    </row>
    <row r="3624" spans="1:7" ht="44.25" customHeight="1">
      <c r="A3624" t="s">
        <v>12486</v>
      </c>
      <c r="B3624" t="s">
        <v>12487</v>
      </c>
      <c r="C3624" t="s">
        <v>132</v>
      </c>
      <c r="D3624" t="s">
        <v>2143</v>
      </c>
      <c r="E3624" t="s">
        <v>1365</v>
      </c>
      <c r="F3624" t="s">
        <v>145</v>
      </c>
      <c r="G3624" t="s">
        <v>12488</v>
      </c>
    </row>
    <row r="3625" spans="1:7" ht="44.25" customHeight="1">
      <c r="A3625" t="s">
        <v>1408</v>
      </c>
      <c r="B3625" t="s">
        <v>12489</v>
      </c>
      <c r="C3625" t="s">
        <v>132</v>
      </c>
      <c r="D3625" t="s">
        <v>2139</v>
      </c>
      <c r="E3625" t="s">
        <v>1367</v>
      </c>
      <c r="F3625" t="s">
        <v>145</v>
      </c>
      <c r="G3625" t="s">
        <v>12490</v>
      </c>
    </row>
    <row r="3626" spans="1:7" ht="44.25" customHeight="1">
      <c r="A3626" t="s">
        <v>947</v>
      </c>
      <c r="B3626" t="s">
        <v>12491</v>
      </c>
      <c r="C3626" t="s">
        <v>132</v>
      </c>
      <c r="D3626" t="s">
        <v>2143</v>
      </c>
      <c r="E3626" t="s">
        <v>2162</v>
      </c>
      <c r="F3626" t="s">
        <v>145</v>
      </c>
      <c r="G3626" t="s">
        <v>12492</v>
      </c>
    </row>
    <row r="3627" spans="1:7" ht="44.25" customHeight="1">
      <c r="A3627" t="s">
        <v>1051</v>
      </c>
      <c r="B3627" t="s">
        <v>12493</v>
      </c>
      <c r="C3627" t="s">
        <v>132</v>
      </c>
      <c r="D3627" t="s">
        <v>2143</v>
      </c>
      <c r="E3627" t="s">
        <v>2162</v>
      </c>
      <c r="F3627" t="s">
        <v>145</v>
      </c>
      <c r="G3627" t="s">
        <v>12494</v>
      </c>
    </row>
    <row r="3628" spans="1:7" ht="44.25" customHeight="1">
      <c r="A3628" t="s">
        <v>854</v>
      </c>
      <c r="B3628" t="s">
        <v>12495</v>
      </c>
      <c r="C3628" t="s">
        <v>132</v>
      </c>
      <c r="D3628" t="s">
        <v>79</v>
      </c>
      <c r="E3628" t="s">
        <v>4565</v>
      </c>
      <c r="F3628" t="s">
        <v>145</v>
      </c>
      <c r="G3628" t="s">
        <v>12496</v>
      </c>
    </row>
    <row r="3629" spans="1:7" ht="44.25" customHeight="1">
      <c r="A3629" t="s">
        <v>525</v>
      </c>
      <c r="B3629" t="s">
        <v>12497</v>
      </c>
      <c r="C3629" t="s">
        <v>132</v>
      </c>
      <c r="D3629" t="s">
        <v>2143</v>
      </c>
      <c r="E3629" t="s">
        <v>11229</v>
      </c>
      <c r="F3629" t="s">
        <v>145</v>
      </c>
      <c r="G3629" t="s">
        <v>12498</v>
      </c>
    </row>
    <row r="3630" spans="1:7" ht="44.25" customHeight="1">
      <c r="A3630" t="s">
        <v>12499</v>
      </c>
      <c r="B3630" t="s">
        <v>12500</v>
      </c>
      <c r="C3630" t="s">
        <v>132</v>
      </c>
      <c r="D3630" t="s">
        <v>79</v>
      </c>
      <c r="E3630" t="s">
        <v>5055</v>
      </c>
      <c r="F3630" t="s">
        <v>145</v>
      </c>
      <c r="G3630" t="s">
        <v>12501</v>
      </c>
    </row>
    <row r="3631" spans="1:7" ht="44.25" customHeight="1">
      <c r="A3631" t="s">
        <v>12502</v>
      </c>
      <c r="B3631" t="s">
        <v>12503</v>
      </c>
      <c r="C3631" t="s">
        <v>132</v>
      </c>
      <c r="D3631" t="s">
        <v>79</v>
      </c>
      <c r="E3631" t="s">
        <v>12504</v>
      </c>
      <c r="F3631" t="s">
        <v>145</v>
      </c>
      <c r="G3631" t="s">
        <v>12505</v>
      </c>
    </row>
    <row r="3632" spans="1:7" ht="44.25" customHeight="1">
      <c r="A3632" t="s">
        <v>12506</v>
      </c>
      <c r="B3632" t="s">
        <v>12507</v>
      </c>
      <c r="C3632" t="s">
        <v>132</v>
      </c>
      <c r="D3632" t="s">
        <v>79</v>
      </c>
      <c r="E3632" t="s">
        <v>12508</v>
      </c>
      <c r="F3632" t="s">
        <v>145</v>
      </c>
      <c r="G3632" t="s">
        <v>12509</v>
      </c>
    </row>
    <row r="3633" spans="1:7" ht="44.25" customHeight="1">
      <c r="A3633" t="s">
        <v>12510</v>
      </c>
      <c r="B3633" t="s">
        <v>12511</v>
      </c>
      <c r="C3633" t="s">
        <v>132</v>
      </c>
      <c r="D3633" t="s">
        <v>79</v>
      </c>
      <c r="E3633" t="s">
        <v>12512</v>
      </c>
      <c r="F3633" t="s">
        <v>145</v>
      </c>
      <c r="G3633" t="s">
        <v>12513</v>
      </c>
    </row>
    <row r="3634" spans="1:7" ht="44.25" customHeight="1">
      <c r="A3634" t="s">
        <v>12514</v>
      </c>
      <c r="B3634" t="s">
        <v>12515</v>
      </c>
      <c r="C3634" t="s">
        <v>132</v>
      </c>
      <c r="D3634" t="s">
        <v>2143</v>
      </c>
      <c r="E3634" t="s">
        <v>7262</v>
      </c>
      <c r="F3634" t="s">
        <v>145</v>
      </c>
      <c r="G3634" t="s">
        <v>12516</v>
      </c>
    </row>
    <row r="3635" spans="1:7" ht="44.25" customHeight="1">
      <c r="A3635" t="s">
        <v>12517</v>
      </c>
      <c r="B3635" t="s">
        <v>12518</v>
      </c>
      <c r="C3635" t="s">
        <v>132</v>
      </c>
      <c r="D3635" t="s">
        <v>2143</v>
      </c>
      <c r="E3635" t="s">
        <v>1542</v>
      </c>
      <c r="F3635" t="s">
        <v>145</v>
      </c>
      <c r="G3635" t="s">
        <v>12519</v>
      </c>
    </row>
    <row r="3636" spans="1:7" ht="44.25" customHeight="1">
      <c r="A3636" t="s">
        <v>12520</v>
      </c>
      <c r="B3636" t="s">
        <v>12521</v>
      </c>
      <c r="C3636" t="s">
        <v>132</v>
      </c>
      <c r="D3636" t="s">
        <v>2143</v>
      </c>
      <c r="E3636" t="s">
        <v>1542</v>
      </c>
      <c r="F3636" t="s">
        <v>145</v>
      </c>
      <c r="G3636" t="s">
        <v>12522</v>
      </c>
    </row>
    <row r="3637" spans="1:7" ht="44.25" customHeight="1">
      <c r="A3637" t="s">
        <v>12523</v>
      </c>
      <c r="B3637" t="s">
        <v>12524</v>
      </c>
      <c r="C3637" t="s">
        <v>132</v>
      </c>
      <c r="D3637" t="s">
        <v>2143</v>
      </c>
      <c r="E3637" t="s">
        <v>1542</v>
      </c>
      <c r="F3637" t="s">
        <v>145</v>
      </c>
      <c r="G3637" t="s">
        <v>12525</v>
      </c>
    </row>
    <row r="3638" spans="1:7" ht="44.25" customHeight="1">
      <c r="A3638" t="s">
        <v>12526</v>
      </c>
      <c r="B3638" t="s">
        <v>12527</v>
      </c>
      <c r="C3638" t="s">
        <v>132</v>
      </c>
      <c r="D3638" t="s">
        <v>2143</v>
      </c>
      <c r="E3638" t="s">
        <v>1542</v>
      </c>
      <c r="F3638" t="s">
        <v>145</v>
      </c>
      <c r="G3638" t="s">
        <v>12528</v>
      </c>
    </row>
    <row r="3639" spans="1:7" ht="44.25" customHeight="1">
      <c r="A3639" t="s">
        <v>12529</v>
      </c>
      <c r="B3639" t="s">
        <v>12530</v>
      </c>
      <c r="C3639" t="s">
        <v>132</v>
      </c>
      <c r="D3639" t="s">
        <v>79</v>
      </c>
      <c r="E3639" t="s">
        <v>3313</v>
      </c>
      <c r="F3639" t="s">
        <v>145</v>
      </c>
      <c r="G3639" t="s">
        <v>12531</v>
      </c>
    </row>
    <row r="3640" spans="1:7" ht="44.25" customHeight="1">
      <c r="A3640" t="s">
        <v>12532</v>
      </c>
      <c r="B3640" t="s">
        <v>12533</v>
      </c>
      <c r="C3640" t="s">
        <v>132</v>
      </c>
      <c r="D3640" t="s">
        <v>79</v>
      </c>
      <c r="E3640" t="s">
        <v>3432</v>
      </c>
      <c r="F3640" t="s">
        <v>145</v>
      </c>
      <c r="G3640" t="s">
        <v>12534</v>
      </c>
    </row>
    <row r="3641" spans="1:7" ht="44.25" customHeight="1">
      <c r="A3641" t="s">
        <v>12535</v>
      </c>
      <c r="B3641" t="s">
        <v>12536</v>
      </c>
      <c r="C3641" t="s">
        <v>132</v>
      </c>
      <c r="D3641" t="s">
        <v>79</v>
      </c>
      <c r="E3641" t="s">
        <v>12537</v>
      </c>
      <c r="F3641" t="s">
        <v>145</v>
      </c>
      <c r="G3641" t="s">
        <v>12538</v>
      </c>
    </row>
    <row r="3642" spans="1:7" ht="44.25" customHeight="1">
      <c r="A3642" t="s">
        <v>12539</v>
      </c>
      <c r="B3642" t="s">
        <v>12540</v>
      </c>
      <c r="C3642" t="s">
        <v>132</v>
      </c>
      <c r="D3642" t="s">
        <v>2139</v>
      </c>
      <c r="E3642" t="s">
        <v>1367</v>
      </c>
      <c r="F3642" t="s">
        <v>145</v>
      </c>
      <c r="G3642" t="s">
        <v>12541</v>
      </c>
    </row>
    <row r="3643" spans="1:7" ht="44.25" customHeight="1">
      <c r="A3643" t="s">
        <v>12542</v>
      </c>
      <c r="B3643" t="s">
        <v>12543</v>
      </c>
      <c r="C3643" t="s">
        <v>132</v>
      </c>
      <c r="D3643" t="s">
        <v>2139</v>
      </c>
      <c r="E3643" t="s">
        <v>10725</v>
      </c>
      <c r="F3643" t="s">
        <v>145</v>
      </c>
      <c r="G3643" t="s">
        <v>12544</v>
      </c>
    </row>
    <row r="3644" spans="1:7" ht="44.25" customHeight="1">
      <c r="A3644" t="s">
        <v>12545</v>
      </c>
      <c r="B3644" t="s">
        <v>12546</v>
      </c>
      <c r="C3644" t="s">
        <v>132</v>
      </c>
      <c r="D3644" t="s">
        <v>2139</v>
      </c>
      <c r="E3644" t="s">
        <v>1365</v>
      </c>
      <c r="F3644" t="s">
        <v>145</v>
      </c>
      <c r="G3644" t="s">
        <v>12547</v>
      </c>
    </row>
    <row r="3645" spans="1:7" ht="44.25" customHeight="1">
      <c r="A3645" t="s">
        <v>12548</v>
      </c>
      <c r="B3645" t="s">
        <v>12549</v>
      </c>
      <c r="C3645" t="s">
        <v>132</v>
      </c>
      <c r="D3645" t="s">
        <v>2143</v>
      </c>
      <c r="E3645" t="s">
        <v>2144</v>
      </c>
      <c r="F3645" t="s">
        <v>145</v>
      </c>
      <c r="G3645" t="s">
        <v>12550</v>
      </c>
    </row>
    <row r="3646" spans="1:7" ht="44.25" customHeight="1">
      <c r="A3646" t="s">
        <v>756</v>
      </c>
      <c r="B3646" t="s">
        <v>12551</v>
      </c>
      <c r="C3646" t="s">
        <v>132</v>
      </c>
      <c r="D3646" t="s">
        <v>2139</v>
      </c>
      <c r="E3646" t="s">
        <v>1367</v>
      </c>
      <c r="F3646" t="s">
        <v>145</v>
      </c>
      <c r="G3646" t="s">
        <v>12552</v>
      </c>
    </row>
    <row r="3647" spans="1:7" ht="44.25" customHeight="1">
      <c r="A3647" t="s">
        <v>928</v>
      </c>
      <c r="B3647" t="s">
        <v>12553</v>
      </c>
      <c r="C3647" t="s">
        <v>132</v>
      </c>
      <c r="D3647" t="s">
        <v>2143</v>
      </c>
      <c r="E3647" t="s">
        <v>2162</v>
      </c>
      <c r="F3647" t="s">
        <v>145</v>
      </c>
      <c r="G3647" t="s">
        <v>12554</v>
      </c>
    </row>
    <row r="3648" spans="1:7" ht="44.25" customHeight="1">
      <c r="A3648" t="s">
        <v>607</v>
      </c>
      <c r="B3648" t="s">
        <v>12555</v>
      </c>
      <c r="C3648" t="s">
        <v>132</v>
      </c>
      <c r="D3648" t="s">
        <v>79</v>
      </c>
      <c r="E3648" t="s">
        <v>4452</v>
      </c>
      <c r="F3648" t="s">
        <v>145</v>
      </c>
      <c r="G3648" t="s">
        <v>12556</v>
      </c>
    </row>
    <row r="3649" spans="1:7" ht="44.25" customHeight="1">
      <c r="A3649" t="s">
        <v>12557</v>
      </c>
      <c r="B3649" t="s">
        <v>12558</v>
      </c>
      <c r="C3649" t="s">
        <v>132</v>
      </c>
      <c r="D3649" t="s">
        <v>79</v>
      </c>
      <c r="E3649" t="s">
        <v>12559</v>
      </c>
      <c r="F3649" t="s">
        <v>145</v>
      </c>
      <c r="G3649" t="s">
        <v>12560</v>
      </c>
    </row>
    <row r="3650" spans="1:7" ht="44.25" customHeight="1">
      <c r="A3650" t="s">
        <v>12561</v>
      </c>
      <c r="B3650" t="s">
        <v>12562</v>
      </c>
      <c r="C3650" t="s">
        <v>132</v>
      </c>
      <c r="D3650" t="s">
        <v>79</v>
      </c>
      <c r="E3650" t="s">
        <v>12563</v>
      </c>
      <c r="F3650" t="s">
        <v>145</v>
      </c>
      <c r="G3650" t="s">
        <v>12564</v>
      </c>
    </row>
    <row r="3651" spans="1:7" ht="44.25" customHeight="1">
      <c r="A3651" t="s">
        <v>12565</v>
      </c>
      <c r="B3651" t="s">
        <v>12566</v>
      </c>
      <c r="C3651" t="s">
        <v>132</v>
      </c>
      <c r="D3651" t="s">
        <v>79</v>
      </c>
      <c r="E3651" t="s">
        <v>12567</v>
      </c>
      <c r="F3651" t="s">
        <v>145</v>
      </c>
      <c r="G3651" t="s">
        <v>12568</v>
      </c>
    </row>
    <row r="3652" spans="1:7" ht="44.25" customHeight="1">
      <c r="A3652" t="s">
        <v>12569</v>
      </c>
      <c r="B3652" t="s">
        <v>12570</v>
      </c>
      <c r="C3652" t="s">
        <v>132</v>
      </c>
      <c r="D3652" t="s">
        <v>79</v>
      </c>
      <c r="E3652" t="s">
        <v>12571</v>
      </c>
      <c r="F3652" t="s">
        <v>145</v>
      </c>
      <c r="G3652" t="s">
        <v>12572</v>
      </c>
    </row>
    <row r="3653" spans="1:7" ht="44.25" customHeight="1">
      <c r="A3653" t="s">
        <v>12573</v>
      </c>
      <c r="B3653" t="s">
        <v>12574</v>
      </c>
      <c r="C3653" t="s">
        <v>132</v>
      </c>
      <c r="D3653" t="s">
        <v>79</v>
      </c>
      <c r="E3653" t="s">
        <v>12575</v>
      </c>
      <c r="F3653" t="s">
        <v>145</v>
      </c>
      <c r="G3653" t="s">
        <v>12576</v>
      </c>
    </row>
    <row r="3654" spans="1:7" ht="44.25" customHeight="1">
      <c r="A3654" t="s">
        <v>12577</v>
      </c>
      <c r="B3654" t="s">
        <v>12578</v>
      </c>
      <c r="C3654" t="s">
        <v>132</v>
      </c>
      <c r="D3654" t="s">
        <v>79</v>
      </c>
      <c r="E3654" t="s">
        <v>12579</v>
      </c>
      <c r="F3654" t="s">
        <v>145</v>
      </c>
      <c r="G3654" t="s">
        <v>12580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CA4A-3D22-4130-8B38-916771D6084F}">
  <sheetPr codeName="Sheet1"/>
  <dimension ref="A14:C23"/>
  <sheetViews>
    <sheetView topLeftCell="A10" workbookViewId="0">
      <selection activeCell="D43" sqref="D43"/>
    </sheetView>
  </sheetViews>
  <sheetFormatPr defaultColWidth="9" defaultRowHeight="14.5"/>
  <cols>
    <col min="1" max="1" width="16.7265625" style="22" bestFit="1" customWidth="1"/>
    <col min="2" max="16384" width="9" style="22"/>
  </cols>
  <sheetData>
    <row r="14" spans="1:3">
      <c r="A14" s="250" t="s">
        <v>1116</v>
      </c>
    </row>
    <row r="15" spans="1:3">
      <c r="A15" s="248" t="s">
        <v>1117</v>
      </c>
    </row>
    <row r="16" spans="1:3">
      <c r="A16" s="22" t="s">
        <v>1111</v>
      </c>
      <c r="C16" s="426">
        <f>COUNTIF(TradesEquity!V:V,A16)</f>
        <v>23</v>
      </c>
    </row>
    <row r="17" spans="1:3">
      <c r="A17" s="22" t="s">
        <v>1113</v>
      </c>
      <c r="C17" s="426">
        <f>COUNTIF(TradesEquity!V:V,A17)</f>
        <v>0</v>
      </c>
    </row>
    <row r="18" spans="1:3">
      <c r="A18" s="22" t="s">
        <v>1114</v>
      </c>
      <c r="C18" s="426">
        <f>COUNTIF(TradesEquity!V:V,A18)</f>
        <v>40</v>
      </c>
    </row>
    <row r="19" spans="1:3">
      <c r="A19" s="22" t="s">
        <v>1059</v>
      </c>
      <c r="C19" s="426">
        <f>COUNTIF(TradesEquity!V:V,A19)</f>
        <v>0</v>
      </c>
    </row>
    <row r="20" spans="1:3">
      <c r="A20" s="22" t="s">
        <v>1656</v>
      </c>
      <c r="C20" s="426">
        <f>COUNTIF(TradesEquity!V:V,A20)</f>
        <v>235</v>
      </c>
    </row>
    <row r="21" spans="1:3">
      <c r="A21" s="22" t="s">
        <v>2068</v>
      </c>
      <c r="C21" s="426">
        <f>COUNTIF(TradesEquity!V:V,A21)</f>
        <v>0</v>
      </c>
    </row>
    <row r="22" spans="1:3">
      <c r="A22" s="22" t="s">
        <v>12667</v>
      </c>
      <c r="C22" s="426">
        <f>COUNTIF(TradesEquity!V:V,A22)</f>
        <v>0</v>
      </c>
    </row>
    <row r="23" spans="1:3">
      <c r="A23" s="22" t="s">
        <v>12950</v>
      </c>
      <c r="C23" s="426">
        <f>COUNTIF(TradesEquity!V:V,A23)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E19A-42EA-4A1F-A3D3-4FF7692C2B4D}">
  <sheetPr codeName="Foglio8">
    <tabColor rgb="FF00B050"/>
  </sheetPr>
  <dimension ref="A1:AE298"/>
  <sheetViews>
    <sheetView tabSelected="1" zoomScale="79" zoomScaleNormal="79" workbookViewId="0">
      <selection activeCell="G19" sqref="G19"/>
    </sheetView>
  </sheetViews>
  <sheetFormatPr defaultColWidth="9" defaultRowHeight="14.5" outlineLevelRow="1"/>
  <cols>
    <col min="1" max="1" width="9.7265625" style="626" bestFit="1" customWidth="1"/>
    <col min="2" max="2" width="52.81640625" style="193" customWidth="1"/>
    <col min="3" max="3" width="32.54296875" style="192" customWidth="1"/>
    <col min="4" max="4" width="11" style="193" customWidth="1"/>
    <col min="5" max="5" width="12" style="193" customWidth="1"/>
    <col min="6" max="6" width="9" style="193"/>
    <col min="7" max="7" width="9" style="193" customWidth="1"/>
    <col min="8" max="10" width="9" style="193"/>
    <col min="11" max="11" width="13.81640625" style="193" bestFit="1" customWidth="1"/>
    <col min="12" max="12" width="9" style="193"/>
    <col min="13" max="13" width="18.54296875" style="193" customWidth="1"/>
    <col min="14" max="14" width="11.54296875" style="193" bestFit="1" customWidth="1"/>
    <col min="15" max="16384" width="9" style="193"/>
  </cols>
  <sheetData>
    <row r="1" spans="1:31" s="564" customFormat="1" ht="13">
      <c r="A1" s="623"/>
      <c r="G1" s="558"/>
      <c r="H1" s="558"/>
      <c r="I1" s="558"/>
      <c r="R1" s="558"/>
      <c r="S1" s="558"/>
      <c r="V1" s="558"/>
      <c r="W1" s="558"/>
      <c r="AE1" s="624"/>
    </row>
    <row r="2" spans="1:31" s="564" customFormat="1" ht="13">
      <c r="A2" s="625"/>
      <c r="B2" s="558"/>
      <c r="C2" s="558"/>
      <c r="G2" s="558"/>
      <c r="H2" s="558"/>
      <c r="I2" s="558"/>
      <c r="J2" s="558"/>
      <c r="R2" s="558"/>
      <c r="S2" s="558"/>
      <c r="V2" s="558"/>
      <c r="W2" s="558"/>
      <c r="AE2" s="624"/>
    </row>
    <row r="3" spans="1:31" s="564" customFormat="1" ht="13">
      <c r="A3" s="625"/>
      <c r="C3" s="558"/>
      <c r="G3" s="558"/>
      <c r="H3" s="558"/>
      <c r="I3" s="558"/>
      <c r="J3" s="558"/>
      <c r="R3" s="558"/>
      <c r="S3" s="558"/>
      <c r="V3" s="558"/>
      <c r="W3" s="558"/>
      <c r="AE3" s="624"/>
    </row>
    <row r="4" spans="1:31" s="564" customFormat="1" ht="13">
      <c r="A4" s="625"/>
      <c r="C4" s="558"/>
      <c r="G4" s="558"/>
      <c r="H4" s="558"/>
      <c r="I4" s="558"/>
      <c r="J4" s="558"/>
      <c r="R4" s="558"/>
      <c r="S4" s="558"/>
      <c r="V4" s="558"/>
      <c r="W4" s="558"/>
      <c r="AE4" s="624"/>
    </row>
    <row r="5" spans="1:31" s="564" customFormat="1" ht="13">
      <c r="A5" s="625"/>
      <c r="B5" s="558"/>
      <c r="C5" s="558"/>
      <c r="G5" s="558"/>
      <c r="H5" s="558"/>
      <c r="I5" s="558"/>
      <c r="J5" s="558"/>
      <c r="R5" s="558"/>
      <c r="S5" s="558"/>
      <c r="V5" s="558"/>
      <c r="W5" s="558"/>
      <c r="AE5" s="624"/>
    </row>
    <row r="8" spans="1:31">
      <c r="B8" s="663">
        <f ca="1">TODAY()</f>
        <v>44894</v>
      </c>
    </row>
    <row r="9" spans="1:31">
      <c r="B9" s="627" t="s">
        <v>133</v>
      </c>
      <c r="K9" s="207"/>
    </row>
    <row r="10" spans="1:31">
      <c r="H10" s="610" t="s">
        <v>1593</v>
      </c>
      <c r="I10" s="610"/>
      <c r="J10" s="610"/>
      <c r="K10" s="664" t="e">
        <f ca="1">PosAggregate!E162</f>
        <v>#NAME?</v>
      </c>
      <c r="L10" s="628"/>
      <c r="M10" s="664">
        <v>29197747.502671201</v>
      </c>
    </row>
    <row r="12" spans="1:31" hidden="1"/>
    <row r="13" spans="1:31" hidden="1"/>
    <row r="14" spans="1:31" hidden="1"/>
    <row r="15" spans="1:31" hidden="1"/>
    <row r="18" spans="2:13" ht="17">
      <c r="B18" s="629"/>
      <c r="M18" s="664" t="s">
        <v>12886</v>
      </c>
    </row>
    <row r="19" spans="2:13" ht="15" thickBot="1">
      <c r="K19" s="1089" t="s">
        <v>12885</v>
      </c>
    </row>
    <row r="20" spans="2:13" ht="15" thickBot="1">
      <c r="B20" s="630" t="s">
        <v>12807</v>
      </c>
      <c r="C20" s="1206" t="s">
        <v>13253</v>
      </c>
    </row>
    <row r="21" spans="2:13">
      <c r="B21" s="665" t="e">
        <f ca="1">_xll.BDP($C$20  &amp; " Equity", "ID_ISIN", "Fill", "")</f>
        <v>#NAME?</v>
      </c>
      <c r="C21" s="667" t="e">
        <f ca="1">+_xll.BDP(C20&amp;" Equity","SECURITY_NAME")</f>
        <v>#NAME?</v>
      </c>
      <c r="K21" s="631"/>
    </row>
    <row r="22" spans="2:13">
      <c r="C22" s="668" t="e">
        <f ca="1">IF(C23="GBp",_xll.BDP(C20 &amp; " Equity","PX_LAST")/100,_xll.BDP(C20 &amp; " Equity","PX_LAST"))</f>
        <v>#NAME?</v>
      </c>
    </row>
    <row r="23" spans="2:13">
      <c r="B23" s="193" t="s">
        <v>24</v>
      </c>
      <c r="C23" s="667" t="e">
        <f ca="1">_xll.BDP($C20 &amp; " Equity","Crncy")</f>
        <v>#NAME?</v>
      </c>
      <c r="D23" s="666">
        <f ca="1">NOW()</f>
        <v>44894.676110300927</v>
      </c>
    </row>
    <row r="24" spans="2:13">
      <c r="B24" s="613" t="s">
        <v>89</v>
      </c>
      <c r="C24" s="667" t="e">
        <f ca="1">("EUR"&amp;C23&amp;" Curncy")</f>
        <v>#NAME?</v>
      </c>
      <c r="L24" s="632"/>
    </row>
    <row r="25" spans="2:13">
      <c r="B25" s="613" t="s">
        <v>90</v>
      </c>
      <c r="C25" s="669" t="e">
        <f ca="1">IF(C24="EUREUR Curncy",1,_xll.BDP(C24,"PX LAST"))</f>
        <v>#NAME?</v>
      </c>
    </row>
    <row r="26" spans="2:13">
      <c r="B26" s="613" t="s">
        <v>21</v>
      </c>
      <c r="C26" s="669" t="e">
        <f ca="1">+eqt_priceLocal/eqt_crossRate</f>
        <v>#NAME?</v>
      </c>
    </row>
    <row r="28" spans="2:13" ht="15" thickBot="1"/>
    <row r="29" spans="2:13" ht="15" thickBot="1">
      <c r="B29" s="630" t="s">
        <v>91</v>
      </c>
      <c r="C29" s="270">
        <v>0</v>
      </c>
    </row>
    <row r="30" spans="2:13">
      <c r="B30" s="192"/>
    </row>
    <row r="31" spans="2:13" ht="15" thickBot="1">
      <c r="B31" s="193" t="s">
        <v>92</v>
      </c>
      <c r="C31" s="670" t="e">
        <f ca="1">-(C22*C29)</f>
        <v>#NAME?</v>
      </c>
    </row>
    <row r="32" spans="2:13" ht="15" thickBot="1">
      <c r="B32" s="634" t="s">
        <v>147</v>
      </c>
      <c r="C32" s="671" t="e">
        <f ca="1">-C26*C29</f>
        <v>#NAME?</v>
      </c>
      <c r="D32" s="635"/>
      <c r="I32" s="673" t="e">
        <f ca="1">-I30/$K$10</f>
        <v>#NAME?</v>
      </c>
    </row>
    <row r="33" spans="1:14" ht="12.75" customHeight="1" thickBot="1">
      <c r="B33" s="636"/>
      <c r="C33" s="637"/>
    </row>
    <row r="34" spans="1:14" ht="15" thickBot="1">
      <c r="A34" s="672" t="e">
        <f ca="1">IF(C34&gt;2%,_xludf.Alert(),"")</f>
        <v>#NAME?</v>
      </c>
      <c r="B34" s="639" t="s">
        <v>93</v>
      </c>
      <c r="C34" s="673" t="e">
        <f ca="1">-C32/$K$10</f>
        <v>#NAME?</v>
      </c>
      <c r="L34" s="640"/>
    </row>
    <row r="36" spans="1:14">
      <c r="I36" s="193" t="str">
        <f ca="1">IFERROR(VLOOKUP(_xll.BDP(C20&amp; " Equity","Country_full_name"),'Geographical risk matrix'!B5:C100,2,FALSE),"N/A")</f>
        <v>N/A</v>
      </c>
    </row>
    <row r="37" spans="1:14">
      <c r="B37" s="641" t="s">
        <v>1118</v>
      </c>
      <c r="C37" s="667" t="str">
        <f ca="1">IFERROR(MATCH(B21,Sanctioned_List!A:A,0),"OK")</f>
        <v>OK</v>
      </c>
    </row>
    <row r="38" spans="1:14" hidden="1"/>
    <row r="39" spans="1:14" hidden="1">
      <c r="B39" s="641"/>
    </row>
    <row r="40" spans="1:14" hidden="1">
      <c r="A40" s="638"/>
      <c r="C40" s="642"/>
    </row>
    <row r="41" spans="1:14" hidden="1">
      <c r="C41" s="643"/>
    </row>
    <row r="42" spans="1:14" hidden="1">
      <c r="C42" s="643"/>
    </row>
    <row r="43" spans="1:14">
      <c r="B43" s="641" t="s">
        <v>12806</v>
      </c>
      <c r="C43" s="674" t="str">
        <f ca="1">IFERROR(VLOOKUP(_xll.BDP(C20&amp; " Equity","Country_full_name"),'Geographical risk matrix'!B5:C100,2,FALSE),"N/A")</f>
        <v>N/A</v>
      </c>
      <c r="D43" s="1114" t="str">
        <f ca="1">IF(C43="N/A","Alert!!!","")</f>
        <v>Alert!!!</v>
      </c>
    </row>
    <row r="44" spans="1:14">
      <c r="B44" s="641" t="s">
        <v>78</v>
      </c>
      <c r="C44" s="675" t="e">
        <f ca="1">-eqt_cashOut/fundMktVal</f>
        <v>#NAME?</v>
      </c>
    </row>
    <row r="45" spans="1:14">
      <c r="B45" s="193" t="s">
        <v>95</v>
      </c>
      <c r="C45" s="676" t="e">
        <f ca="1">+PosAggregate!E161</f>
        <v>#NAME?</v>
      </c>
      <c r="E45" s="645"/>
    </row>
    <row r="46" spans="1:14">
      <c r="B46" s="615" t="s">
        <v>70</v>
      </c>
      <c r="C46" s="677" t="e">
        <f ca="1">+C45/K10</f>
        <v>#NAME?</v>
      </c>
      <c r="D46" s="207"/>
      <c r="E46" s="645"/>
      <c r="L46" s="640"/>
    </row>
    <row r="47" spans="1:14">
      <c r="B47" s="615" t="s">
        <v>71</v>
      </c>
      <c r="C47" s="677" t="e">
        <f ca="1">+C46-eqt_psn_percNAV</f>
        <v>#NAME?</v>
      </c>
      <c r="D47" s="207"/>
      <c r="E47" s="646"/>
      <c r="J47" s="626"/>
      <c r="L47" s="640"/>
    </row>
    <row r="48" spans="1:14">
      <c r="B48" s="647"/>
      <c r="J48" s="626"/>
      <c r="L48" s="640"/>
      <c r="N48" s="640"/>
    </row>
    <row r="49" spans="1:12">
      <c r="L49" s="640"/>
    </row>
    <row r="50" spans="1:12">
      <c r="B50" s="641" t="s">
        <v>101</v>
      </c>
      <c r="K50" s="626"/>
      <c r="L50" s="640"/>
    </row>
    <row r="51" spans="1:12">
      <c r="B51" s="193" t="s">
        <v>96</v>
      </c>
      <c r="C51" s="667" cm="1">
        <f t="array" ref="C51">MAX(IF(TradesEquity!$G$11:$G$872=C20,TradesEquity!$B$11:$B$872))</f>
        <v>0</v>
      </c>
      <c r="L51" s="640"/>
    </row>
    <row r="52" spans="1:12">
      <c r="B52" s="193" t="s">
        <v>63</v>
      </c>
      <c r="C52" s="678" t="str">
        <f>IFERROR(VLOOKUP(C20,PosAggregate!B13:AD141,11,FALSE),"0")</f>
        <v>0</v>
      </c>
      <c r="L52" s="640"/>
    </row>
    <row r="53" spans="1:12">
      <c r="B53" s="615" t="s">
        <v>111</v>
      </c>
      <c r="C53" s="677" t="e">
        <f ca="1">_xll.BDP(C20&amp; " Equity","CAST_PARENT_NAME")</f>
        <v>#NAME?</v>
      </c>
      <c r="L53" s="640"/>
    </row>
    <row r="54" spans="1:12" outlineLevel="1">
      <c r="B54" s="615" t="s">
        <v>112</v>
      </c>
      <c r="C54" s="677" t="str">
        <f ca="1">IFERROR(VLOOKUP(C53,PosAggregate!D13:D87,1,FALSE),"0")</f>
        <v>0</v>
      </c>
    </row>
    <row r="55" spans="1:12">
      <c r="B55" s="615" t="s">
        <v>113</v>
      </c>
      <c r="C55" s="679">
        <f ca="1">SUMIF(PosAggregate!D13:D85,'Pre-Check BUY'!C54,PosAggregate!K13:K85)</f>
        <v>0</v>
      </c>
      <c r="L55" s="640"/>
    </row>
    <row r="56" spans="1:12">
      <c r="C56" s="620"/>
      <c r="L56" s="640"/>
    </row>
    <row r="57" spans="1:12">
      <c r="A57" s="680" t="e">
        <f ca="1">IF(C57&gt;7%,_xludf.Alert(),"")</f>
        <v>#NAME?</v>
      </c>
      <c r="B57" s="193" t="s">
        <v>44</v>
      </c>
      <c r="C57" s="679" t="e">
        <f ca="1">+C34+C55</f>
        <v>#NAME?</v>
      </c>
      <c r="D57" s="207"/>
    </row>
    <row r="58" spans="1:12">
      <c r="B58" s="193" t="s">
        <v>99</v>
      </c>
      <c r="C58" s="679">
        <f>+PosAggregate!L171</f>
        <v>0</v>
      </c>
      <c r="H58" s="620"/>
    </row>
    <row r="59" spans="1:12">
      <c r="A59" s="680" t="str">
        <f>IF(C59&gt;35%,_xludf.Alert(),"")</f>
        <v/>
      </c>
      <c r="B59" s="193" t="s">
        <v>100</v>
      </c>
      <c r="C59" s="679">
        <f>+H57+SUMIF(H56,"&gt;=5%",H56)</f>
        <v>0</v>
      </c>
      <c r="E59" s="649"/>
    </row>
    <row r="61" spans="1:12">
      <c r="B61" s="641" t="s">
        <v>75</v>
      </c>
      <c r="F61" s="649"/>
    </row>
    <row r="62" spans="1:12">
      <c r="B62" s="193" t="s">
        <v>76</v>
      </c>
      <c r="C62" s="681" t="e">
        <f ca="1">+PosAggregate!K157</f>
        <v>#NAME?</v>
      </c>
      <c r="D62" s="207"/>
    </row>
    <row r="63" spans="1:12">
      <c r="A63" s="680" t="e">
        <f ca="1">IF(C63&gt;55%,_xludf.Alert(),"")</f>
        <v>#NAME?</v>
      </c>
      <c r="B63" s="193" t="s">
        <v>77</v>
      </c>
      <c r="C63" s="649" t="e">
        <f ca="1">C62+C34</f>
        <v>#NAME?</v>
      </c>
      <c r="D63" s="207"/>
      <c r="L63" s="650"/>
    </row>
    <row r="64" spans="1:12">
      <c r="K64" s="650"/>
    </row>
    <row r="65" spans="1:25">
      <c r="B65" s="641" t="s">
        <v>39</v>
      </c>
    </row>
    <row r="66" spans="1:25">
      <c r="B66" s="193" t="s">
        <v>149</v>
      </c>
      <c r="C66" s="670" t="e">
        <f ca="1">_xll.BDP(C20 &amp; " Equity","Eqy_sh_out")</f>
        <v>#NAME?</v>
      </c>
    </row>
    <row r="67" spans="1:25">
      <c r="B67" s="193" t="s">
        <v>97</v>
      </c>
      <c r="C67" s="678">
        <f>C52+eqt_Quantity</f>
        <v>0</v>
      </c>
    </row>
    <row r="68" spans="1:25">
      <c r="A68" s="680" t="e">
        <f ca="1">IF(C68&gt;9%,_xludf.Alert(),"")</f>
        <v>#NAME?</v>
      </c>
      <c r="B68" s="193" t="s">
        <v>98</v>
      </c>
      <c r="C68" s="675" t="str">
        <f ca="1">IFERROR((C67)/(C66*1000000),"")</f>
        <v/>
      </c>
      <c r="D68" s="207"/>
    </row>
    <row r="70" spans="1:25">
      <c r="B70" s="641" t="s">
        <v>83</v>
      </c>
      <c r="Y70" s="1109">
        <v>0.05</v>
      </c>
    </row>
    <row r="71" spans="1:25">
      <c r="B71" s="193" t="s">
        <v>72</v>
      </c>
      <c r="C71" s="1113" t="e">
        <f ca="1">_xll.BDP(C20 &amp; " Equity","Volume_Avg_30D")</f>
        <v>#NAME?</v>
      </c>
      <c r="E71" s="652">
        <v>0.33333333333333331</v>
      </c>
      <c r="P71" s="1109">
        <v>0.05</v>
      </c>
      <c r="Y71" s="1109">
        <v>0.1</v>
      </c>
    </row>
    <row r="72" spans="1:25">
      <c r="B72" s="193" t="s">
        <v>73</v>
      </c>
      <c r="C72" s="1113" t="e">
        <f ca="1">_xll.BDP(C20 &amp; " Equity","Volume_Avg_3M")</f>
        <v>#NAME?</v>
      </c>
      <c r="E72" s="652">
        <v>0.2</v>
      </c>
      <c r="P72" s="1109">
        <v>0.1</v>
      </c>
      <c r="Y72" s="1109">
        <v>0.15</v>
      </c>
    </row>
    <row r="73" spans="1:25">
      <c r="B73" s="193" t="s">
        <v>74</v>
      </c>
      <c r="C73" s="1111"/>
      <c r="E73" s="652">
        <v>0.14285714285714285</v>
      </c>
      <c r="P73" s="1109">
        <v>0.15</v>
      </c>
      <c r="Y73" s="1109">
        <v>0.2</v>
      </c>
    </row>
    <row r="74" spans="1:25">
      <c r="B74" s="193" t="s">
        <v>43</v>
      </c>
      <c r="C74" s="668" t="str">
        <f ca="1">IFERROR(+C29/(C71*C73),"n/a")</f>
        <v>n/a</v>
      </c>
      <c r="D74" s="653"/>
      <c r="P74" s="1109">
        <v>0.2</v>
      </c>
      <c r="Y74" s="1110" t="s">
        <v>12890</v>
      </c>
    </row>
    <row r="75" spans="1:25">
      <c r="B75" s="615"/>
      <c r="C75" s="682" t="str">
        <f>IFERROR(IF(AQ23&gt;1,"ONGOING",""),"")</f>
        <v/>
      </c>
      <c r="P75" s="1110" t="s">
        <v>12890</v>
      </c>
    </row>
    <row r="76" spans="1:25" ht="15" thickBot="1"/>
    <row r="77" spans="1:25" ht="15" thickBot="1">
      <c r="B77" s="630" t="s">
        <v>33</v>
      </c>
      <c r="C77" s="107"/>
    </row>
    <row r="78" spans="1:25">
      <c r="C78" s="683" t="str">
        <f>IF(C77&lt;&gt;"Not Specified","OK","")</f>
        <v>OK</v>
      </c>
    </row>
    <row r="89" spans="2:14" ht="15" thickBot="1"/>
    <row r="90" spans="2:14" ht="15" thickBot="1">
      <c r="B90" s="630" t="s">
        <v>69</v>
      </c>
      <c r="C90" s="567" t="s">
        <v>13250</v>
      </c>
      <c r="F90" s="655"/>
      <c r="H90" s="656"/>
      <c r="N90" s="645"/>
    </row>
    <row r="91" spans="2:14">
      <c r="B91" s="657" t="s">
        <v>1118</v>
      </c>
      <c r="C91" s="684" t="str">
        <f>IFERROR(MATCH(C90,Sanctioned_List!A:A,0),"OK")</f>
        <v>OK</v>
      </c>
    </row>
    <row r="93" spans="2:14">
      <c r="B93" s="193" t="s">
        <v>88</v>
      </c>
      <c r="C93" s="668" t="e">
        <f ca="1">_xll.BDP(C90 &amp; " ISIN","PX_LAST")</f>
        <v>#NAME?</v>
      </c>
      <c r="D93" s="658"/>
      <c r="E93" s="207"/>
    </row>
    <row r="94" spans="2:14">
      <c r="B94" s="193" t="s">
        <v>24</v>
      </c>
      <c r="C94" s="667" t="e">
        <f ca="1">_xll.BDP($C$90 &amp; " ISIN","Crncy")</f>
        <v>#NAME?</v>
      </c>
    </row>
    <row r="95" spans="2:14" outlineLevel="1">
      <c r="B95" s="613" t="s">
        <v>89</v>
      </c>
      <c r="C95" s="667" t="e">
        <f ca="1">("EUR"&amp;C94&amp; " Curncy")</f>
        <v>#NAME?</v>
      </c>
      <c r="G95" s="645"/>
    </row>
    <row r="96" spans="2:14">
      <c r="B96" s="613" t="s">
        <v>90</v>
      </c>
      <c r="C96" s="669" t="e">
        <f ca="1">IF(C94="EUR",1,IF(C94="GBp",(_xll.BDP(C95,"PX LAST")*100),_xll.BDP(C95,"PX LAST")))</f>
        <v>#NAME?</v>
      </c>
      <c r="G96" s="645"/>
    </row>
    <row r="97" spans="1:4">
      <c r="B97" s="613"/>
    </row>
    <row r="98" spans="1:4" ht="15" thickBot="1">
      <c r="B98" s="613" t="s">
        <v>102</v>
      </c>
      <c r="C98" s="543" t="e">
        <f ca="1">_xll.BDP(C90 &amp; " isin","MIN_PIECE")</f>
        <v>#NAME?</v>
      </c>
    </row>
    <row r="99" spans="1:4" ht="15" thickBot="1">
      <c r="B99" s="630" t="s">
        <v>91</v>
      </c>
      <c r="C99" s="108">
        <v>0</v>
      </c>
    </row>
    <row r="100" spans="1:4">
      <c r="B100" s="192"/>
    </row>
    <row r="101" spans="1:4">
      <c r="B101" s="193" t="s">
        <v>92</v>
      </c>
      <c r="C101" s="543" t="e">
        <f ca="1">-C99*C93/100</f>
        <v>#NAME?</v>
      </c>
    </row>
    <row r="102" spans="1:4">
      <c r="B102" s="193" t="s">
        <v>114</v>
      </c>
      <c r="C102" s="543" t="e">
        <f ca="1">_xll.BDP($C$90 &amp; " isin","DAYS_ACC")</f>
        <v>#NAME?</v>
      </c>
    </row>
    <row r="103" spans="1:4">
      <c r="B103" s="193" t="s">
        <v>115</v>
      </c>
      <c r="C103" s="544" t="e">
        <f ca="1">_xll.BDP($C$90 &amp; " isin","INT_ACC")</f>
        <v>#NAME?</v>
      </c>
    </row>
    <row r="104" spans="1:4" ht="15" thickBot="1">
      <c r="B104" s="193" t="s">
        <v>48</v>
      </c>
      <c r="C104" s="543" t="e">
        <f ca="1">-C99*C103/100</f>
        <v>#NAME?</v>
      </c>
    </row>
    <row r="105" spans="1:4" ht="15" thickBot="1">
      <c r="B105" s="634" t="s">
        <v>147</v>
      </c>
      <c r="C105" s="685" t="e">
        <f ca="1">+(C101+C104)/C96</f>
        <v>#NAME?</v>
      </c>
    </row>
    <row r="106" spans="1:4" ht="15" thickBot="1">
      <c r="B106" s="636"/>
      <c r="C106" s="637"/>
    </row>
    <row r="107" spans="1:4" ht="15" thickBot="1">
      <c r="A107" s="672" t="e">
        <f ca="1">+IF(C107&gt;2%,_xludf.Alert(),"")</f>
        <v>#NAME?</v>
      </c>
      <c r="B107" s="639" t="s">
        <v>93</v>
      </c>
      <c r="C107" s="686" t="e">
        <f ca="1">-C105/$K$10</f>
        <v>#NAME?</v>
      </c>
      <c r="D107" s="635"/>
    </row>
    <row r="108" spans="1:4">
      <c r="B108" s="647" t="s">
        <v>104</v>
      </c>
    </row>
    <row r="109" spans="1:4">
      <c r="C109" s="659"/>
    </row>
    <row r="110" spans="1:4">
      <c r="B110" s="641" t="s">
        <v>78</v>
      </c>
    </row>
    <row r="111" spans="1:4">
      <c r="B111" s="193" t="s">
        <v>95</v>
      </c>
      <c r="C111" s="676" t="e">
        <f ca="1">+PosAggregate!$V$151</f>
        <v>#NAME?</v>
      </c>
    </row>
    <row r="112" spans="1:4">
      <c r="B112" s="615" t="s">
        <v>70</v>
      </c>
      <c r="C112" s="677" t="e">
        <f ca="1">+C111/K10</f>
        <v>#NAME?</v>
      </c>
    </row>
    <row r="113" spans="1:3">
      <c r="B113" s="615" t="s">
        <v>71</v>
      </c>
      <c r="C113" s="687" t="e">
        <f ca="1">+C112-C107</f>
        <v>#NAME?</v>
      </c>
    </row>
    <row r="115" spans="1:3">
      <c r="B115" s="641" t="s">
        <v>1120</v>
      </c>
    </row>
    <row r="116" spans="1:3">
      <c r="B116" s="660" t="s">
        <v>1119</v>
      </c>
      <c r="C116" s="688">
        <f>SUMIF(PosAggregate!$C:$C,"Not Rated",PosAggregate!$K:$K)</f>
        <v>0</v>
      </c>
    </row>
    <row r="117" spans="1:3">
      <c r="B117" s="660" t="s">
        <v>1115</v>
      </c>
      <c r="C117" s="688">
        <f>SUMIF(PosAggregate!$B:$B,"Cocos and Convert",PosAggregate!$K:$K)</f>
        <v>0</v>
      </c>
    </row>
    <row r="119" spans="1:3">
      <c r="B119" s="641" t="s">
        <v>101</v>
      </c>
    </row>
    <row r="120" spans="1:3">
      <c r="B120" s="193" t="s">
        <v>96</v>
      </c>
      <c r="C120" s="667">
        <f t="array" ref="C120">MAX(IF(TradesBond!$C$11:$C$65=C90,TradesBond!$A$11:$A$65))</f>
        <v>0</v>
      </c>
    </row>
    <row r="121" spans="1:3">
      <c r="B121" s="193" t="s">
        <v>63</v>
      </c>
      <c r="C121" s="543" t="str">
        <f>IFERROR(VLOOKUP(C90,PosAggregate!A86:AD137,12,FALSE),"0")</f>
        <v>0</v>
      </c>
    </row>
    <row r="122" spans="1:3">
      <c r="B122" s="615" t="s">
        <v>111</v>
      </c>
      <c r="C122" s="543" t="e">
        <f ca="1">_xll.BDP(C90&amp; " ISIN","CAST_PARENT_NAME")</f>
        <v>#NAME?</v>
      </c>
    </row>
    <row r="123" spans="1:3" outlineLevel="1">
      <c r="B123" s="615" t="s">
        <v>112</v>
      </c>
      <c r="C123" s="543" t="str">
        <f ca="1">IFERROR(VLOOKUP(C122,PosAggregate!D86:D137,1,FALSE),"")</f>
        <v/>
      </c>
    </row>
    <row r="124" spans="1:3">
      <c r="B124" s="615" t="s">
        <v>113</v>
      </c>
      <c r="C124" s="679">
        <f ca="1">SUMIF(PosAggregate!D86:D137,'Pre-Check BUY'!C123,PosAggregate!K86:K87)</f>
        <v>0</v>
      </c>
    </row>
    <row r="125" spans="1:3">
      <c r="C125" s="620"/>
    </row>
    <row r="126" spans="1:3">
      <c r="A126" s="689" t="e">
        <f ca="1">+IF(C126&gt;7%,_xludf.Alert(),"")</f>
        <v>#NAME?</v>
      </c>
      <c r="B126" s="193" t="s">
        <v>44</v>
      </c>
      <c r="C126" s="679" t="e">
        <f ca="1">+C107+C124</f>
        <v>#NAME?</v>
      </c>
    </row>
    <row r="127" spans="1:3">
      <c r="B127" s="193" t="s">
        <v>99</v>
      </c>
      <c r="C127" s="679">
        <f>+PosAggregate!BC6</f>
        <v>0</v>
      </c>
    </row>
    <row r="128" spans="1:3">
      <c r="A128" s="689" t="str">
        <f ca="1">+IF(C128&gt;35%,_xludf.Alert(),"")</f>
        <v/>
      </c>
      <c r="B128" s="193" t="s">
        <v>100</v>
      </c>
      <c r="C128" s="679">
        <f ca="1">+C127+SUMIF(C126,"&gt;=5%",C126)</f>
        <v>0</v>
      </c>
    </row>
    <row r="130" spans="1:4">
      <c r="B130" s="641" t="s">
        <v>84</v>
      </c>
    </row>
    <row r="131" spans="1:4">
      <c r="B131" s="193" t="s">
        <v>76</v>
      </c>
      <c r="C131" s="681" t="e">
        <f ca="1">+PosAggregate!K158</f>
        <v>#NAME?</v>
      </c>
    </row>
    <row r="132" spans="1:4">
      <c r="B132" s="193" t="s">
        <v>77</v>
      </c>
      <c r="C132" s="681" t="e">
        <f ca="1">+C131+C107</f>
        <v>#NAME?</v>
      </c>
      <c r="D132" s="690" t="e">
        <f ca="1">IF(C132&gt;9%,"alert","ok")</f>
        <v>#NAME?</v>
      </c>
    </row>
    <row r="133" spans="1:4">
      <c r="A133" s="689" t="str">
        <f>+IF(C133&lt;43%,_xludf.Alert(),"")</f>
        <v/>
      </c>
      <c r="B133" s="193" t="s">
        <v>105</v>
      </c>
      <c r="C133" s="649">
        <v>0.45</v>
      </c>
      <c r="D133" s="619" t="s">
        <v>1074</v>
      </c>
    </row>
    <row r="135" spans="1:4" ht="15.65" customHeight="1">
      <c r="B135" s="641" t="s">
        <v>39</v>
      </c>
    </row>
    <row r="136" spans="1:4" ht="13.5" customHeight="1">
      <c r="B136" s="661" t="s">
        <v>150</v>
      </c>
      <c r="C136" s="678" t="e">
        <f ca="1">_xll.BDP(C90 &amp; " isin","DDIS_AMT_OUTSTANDING_ISSUER_SUBS")*1000</f>
        <v>#NAME?</v>
      </c>
      <c r="D136" s="662"/>
    </row>
    <row r="137" spans="1:4">
      <c r="B137" s="193" t="s">
        <v>97</v>
      </c>
      <c r="C137" s="691">
        <f>+C99+C121</f>
        <v>0</v>
      </c>
    </row>
    <row r="138" spans="1:4">
      <c r="A138" s="689" t="e">
        <f ca="1">+IF(C138&gt;9%,_xludf.Alert(),"")</f>
        <v>#NAME?</v>
      </c>
      <c r="B138" s="193" t="s">
        <v>40</v>
      </c>
      <c r="C138" s="675" t="e">
        <f ca="1">(C137)/(C136*1000000)</f>
        <v>#NAME?</v>
      </c>
    </row>
    <row r="140" spans="1:4" ht="15" thickBot="1"/>
    <row r="141" spans="1:4" ht="15" thickBot="1">
      <c r="B141" s="630" t="s">
        <v>33</v>
      </c>
      <c r="C141" s="107"/>
    </row>
    <row r="142" spans="1:4">
      <c r="C142" s="683" t="str">
        <f>IF(C141&lt;&gt;"Not Specified","OK","")</f>
        <v>OK</v>
      </c>
    </row>
    <row r="143" spans="1:4">
      <c r="C143" s="193"/>
    </row>
    <row r="149" spans="1:4">
      <c r="A149" s="648"/>
    </row>
    <row r="150" spans="1:4">
      <c r="A150" s="648"/>
    </row>
    <row r="151" spans="1:4">
      <c r="A151" s="648"/>
    </row>
    <row r="152" spans="1:4">
      <c r="A152" s="648"/>
    </row>
    <row r="153" spans="1:4">
      <c r="A153" s="648"/>
    </row>
    <row r="154" spans="1:4" ht="15" thickBot="1">
      <c r="A154" s="648"/>
    </row>
    <row r="155" spans="1:4" ht="15" thickBot="1">
      <c r="A155" s="648"/>
      <c r="B155" s="630" t="s">
        <v>69</v>
      </c>
      <c r="C155" s="107" t="s">
        <v>1133</v>
      </c>
    </row>
    <row r="156" spans="1:4">
      <c r="A156" s="648"/>
      <c r="B156" s="657" t="s">
        <v>1118</v>
      </c>
      <c r="C156" s="692" t="str">
        <f>IFERROR(MATCH(C155,Sanctioned_List!A:A,0),"OK")</f>
        <v>OK</v>
      </c>
    </row>
    <row r="157" spans="1:4">
      <c r="A157" s="648"/>
    </row>
    <row r="158" spans="1:4">
      <c r="A158" s="648"/>
      <c r="B158" s="193" t="s">
        <v>88</v>
      </c>
      <c r="C158" s="668" t="e">
        <f ca="1">_xll.BDP(C155 &amp; " ISIN","PX_LAST")</f>
        <v>#NAME?</v>
      </c>
      <c r="D158" s="658"/>
    </row>
    <row r="159" spans="1:4">
      <c r="A159" s="648"/>
      <c r="B159" s="193" t="s">
        <v>24</v>
      </c>
      <c r="C159" s="667" t="e">
        <f ca="1">_xll.BDP($C155 &amp; " ISIN","Crncy")</f>
        <v>#NAME?</v>
      </c>
    </row>
    <row r="160" spans="1:4">
      <c r="A160" s="648"/>
      <c r="B160" s="613" t="s">
        <v>89</v>
      </c>
      <c r="C160" s="667" t="e">
        <f ca="1">("EUR"&amp;C159&amp; " Curncy")</f>
        <v>#NAME?</v>
      </c>
    </row>
    <row r="161" spans="1:3">
      <c r="A161" s="648"/>
      <c r="B161" s="613" t="s">
        <v>90</v>
      </c>
      <c r="C161" s="669" t="e">
        <f ca="1">IF(C159="EUR",1,_xll.BDP(C160,"PX LAST"))</f>
        <v>#NAME?</v>
      </c>
    </row>
    <row r="162" spans="1:3">
      <c r="A162" s="648"/>
      <c r="B162" s="613"/>
    </row>
    <row r="163" spans="1:3" ht="15" thickBot="1">
      <c r="A163" s="648"/>
      <c r="B163" s="613"/>
      <c r="C163" s="633"/>
    </row>
    <row r="164" spans="1:3" ht="15" thickBot="1">
      <c r="A164" s="648"/>
      <c r="B164" s="630" t="s">
        <v>91</v>
      </c>
      <c r="C164" s="108">
        <v>5000</v>
      </c>
    </row>
    <row r="165" spans="1:3">
      <c r="A165" s="648"/>
      <c r="B165" s="192"/>
    </row>
    <row r="166" spans="1:3" ht="15" thickBot="1">
      <c r="A166" s="648"/>
      <c r="B166" s="193" t="s">
        <v>92</v>
      </c>
      <c r="C166" s="543" t="e">
        <f ca="1">-C158*C164</f>
        <v>#NAME?</v>
      </c>
    </row>
    <row r="167" spans="1:3" ht="15" thickBot="1">
      <c r="A167" s="648"/>
      <c r="B167" s="634" t="s">
        <v>147</v>
      </c>
      <c r="C167" s="685" t="e">
        <f ca="1">+C166/C161</f>
        <v>#NAME?</v>
      </c>
    </row>
    <row r="168" spans="1:3" ht="15" thickBot="1">
      <c r="A168" s="648"/>
      <c r="B168" s="636"/>
      <c r="C168" s="637"/>
    </row>
    <row r="169" spans="1:3" ht="15" thickBot="1">
      <c r="A169" s="689" t="e">
        <f ca="1">+IF(C169&gt;2%,_xludf.Alert(),"")</f>
        <v>#NAME?</v>
      </c>
      <c r="B169" s="639" t="s">
        <v>93</v>
      </c>
      <c r="C169" s="686" t="e">
        <f ca="1">-C167/$K$10</f>
        <v>#NAME?</v>
      </c>
    </row>
    <row r="170" spans="1:3">
      <c r="A170" s="648"/>
      <c r="B170" s="647" t="s">
        <v>94</v>
      </c>
      <c r="C170" s="693" t="str">
        <f>+IF(C109&gt;1%,Allarme(),"")</f>
        <v/>
      </c>
    </row>
    <row r="171" spans="1:3">
      <c r="A171" s="648"/>
      <c r="C171" s="659"/>
    </row>
    <row r="172" spans="1:3">
      <c r="A172" s="648"/>
    </row>
    <row r="173" spans="1:3">
      <c r="A173" s="648"/>
      <c r="B173" s="641" t="s">
        <v>78</v>
      </c>
    </row>
    <row r="174" spans="1:3">
      <c r="A174" s="648"/>
      <c r="B174" s="193" t="s">
        <v>95</v>
      </c>
      <c r="C174" s="676" t="e">
        <f ca="1">+PosAggregate!$V$151</f>
        <v>#NAME?</v>
      </c>
    </row>
    <row r="175" spans="1:3">
      <c r="A175" s="648"/>
      <c r="B175" s="615" t="s">
        <v>70</v>
      </c>
      <c r="C175" s="677" t="e">
        <f ca="1">+C174/K10</f>
        <v>#NAME?</v>
      </c>
    </row>
    <row r="176" spans="1:3">
      <c r="A176" s="648"/>
      <c r="B176" s="615" t="s">
        <v>71</v>
      </c>
      <c r="C176" s="687" t="e">
        <f ca="1">+C175-C169</f>
        <v>#NAME?</v>
      </c>
    </row>
    <row r="177" spans="1:3">
      <c r="A177" s="648"/>
      <c r="B177" s="647"/>
      <c r="C177" s="659"/>
    </row>
    <row r="178" spans="1:3">
      <c r="A178" s="648"/>
    </row>
    <row r="179" spans="1:3">
      <c r="A179" s="648"/>
      <c r="B179" s="641" t="s">
        <v>101</v>
      </c>
    </row>
    <row r="180" spans="1:3">
      <c r="A180" s="648"/>
      <c r="B180" s="193" t="s">
        <v>96</v>
      </c>
      <c r="C180" s="667">
        <f t="array" aca="1" ref="C180" ca="1">MAX(IF(TradesFundETF!$C$11:$C$91=C155,TradesFundETF!$A$11:$A$91))</f>
        <v>0</v>
      </c>
    </row>
    <row r="181" spans="1:3">
      <c r="A181" s="648"/>
      <c r="B181" s="193" t="s">
        <v>63</v>
      </c>
      <c r="C181" s="543" t="str">
        <f>IFERROR(VLOOKUP(C155,PosAggregate!A138:AD246,11,FALSE),"0")</f>
        <v>0</v>
      </c>
    </row>
    <row r="182" spans="1:3">
      <c r="A182" s="648"/>
      <c r="B182" s="193" t="s">
        <v>118</v>
      </c>
      <c r="C182" s="679" t="str">
        <f>IFERROR(VLOOKUP(C155,PosAggregate!A138:AD246,10,FALSE),"0%")</f>
        <v>0%</v>
      </c>
    </row>
    <row r="183" spans="1:3">
      <c r="A183" s="689" t="e">
        <f ca="1">+IF(C183&gt;7%,_xludf.Alert(),"")</f>
        <v>#NAME?</v>
      </c>
      <c r="B183" s="193" t="s">
        <v>44</v>
      </c>
      <c r="C183" s="679" t="e">
        <f ca="1">+C182+C169</f>
        <v>#NAME?</v>
      </c>
    </row>
    <row r="184" spans="1:3">
      <c r="A184" s="648"/>
      <c r="B184" s="193" t="s">
        <v>99</v>
      </c>
      <c r="C184" s="679">
        <f>+PosAggregate!BC6</f>
        <v>0</v>
      </c>
    </row>
    <row r="185" spans="1:3">
      <c r="A185" s="689" t="str">
        <f ca="1">+IF(C185&gt;35%,_xludf.Alert(),"")</f>
        <v/>
      </c>
      <c r="B185" s="193" t="s">
        <v>100</v>
      </c>
      <c r="C185" s="679">
        <f ca="1">+C184+SUMIF(C183,"&gt;=5%",C183)</f>
        <v>0</v>
      </c>
    </row>
    <row r="186" spans="1:3">
      <c r="A186" s="648"/>
    </row>
    <row r="187" spans="1:3">
      <c r="A187" s="648"/>
      <c r="B187" s="641" t="s">
        <v>103</v>
      </c>
    </row>
    <row r="188" spans="1:3">
      <c r="A188" s="648"/>
      <c r="B188" s="193" t="s">
        <v>76</v>
      </c>
      <c r="C188" s="681" t="e">
        <f ca="1">+PosAggregate!K159</f>
        <v>#NAME?</v>
      </c>
    </row>
    <row r="189" spans="1:3">
      <c r="A189" s="689" t="e">
        <f ca="1">+IF(C189&gt;8%,_xludf.Alert(),"")</f>
        <v>#NAME?</v>
      </c>
      <c r="B189" s="193" t="s">
        <v>77</v>
      </c>
      <c r="C189" s="681" t="e">
        <f ca="1">+C188+C169</f>
        <v>#NAME?</v>
      </c>
    </row>
    <row r="190" spans="1:3">
      <c r="A190" s="648"/>
    </row>
    <row r="191" spans="1:3">
      <c r="A191" s="648"/>
      <c r="B191" s="641" t="s">
        <v>108</v>
      </c>
    </row>
    <row r="192" spans="1:3">
      <c r="A192" s="648"/>
      <c r="B192" s="661" t="s">
        <v>27</v>
      </c>
      <c r="C192" s="667" t="e">
        <f ca="1">_xll.BDP($C$155 &amp; " ISIN","FUND_TOTAL_ASSETS_DT")</f>
        <v>#NAME?</v>
      </c>
    </row>
    <row r="193" spans="1:4">
      <c r="A193" s="648"/>
      <c r="B193" s="661" t="s">
        <v>107</v>
      </c>
      <c r="C193" s="691" t="e">
        <f ca="1">_xll.BDP($C$155 &amp; " ISIN","FUND_TOTAL_ASSETS")*1000000</f>
        <v>#NAME?</v>
      </c>
      <c r="D193" s="662"/>
    </row>
    <row r="194" spans="1:4">
      <c r="A194" s="689" t="e">
        <f ca="1">+IF(C194&gt;15%,_xludf.Alert(),"")</f>
        <v>#NAME?</v>
      </c>
      <c r="C194" s="694" t="e">
        <f ca="1">+(C183*K10)/C193</f>
        <v>#NAME?</v>
      </c>
    </row>
    <row r="195" spans="1:4" ht="15" thickBot="1">
      <c r="A195" s="659"/>
      <c r="C195" s="644"/>
    </row>
    <row r="196" spans="1:4" ht="15" thickBot="1">
      <c r="A196" s="648"/>
      <c r="B196" s="630" t="s">
        <v>33</v>
      </c>
      <c r="C196" s="107" t="s">
        <v>1112</v>
      </c>
      <c r="D196" s="683" t="str">
        <f>IF(C196&lt;&gt;"Not Specified","OK","")</f>
        <v>OK</v>
      </c>
    </row>
    <row r="197" spans="1:4">
      <c r="A197" s="648"/>
    </row>
    <row r="198" spans="1:4">
      <c r="A198" s="648"/>
    </row>
    <row r="199" spans="1:4">
      <c r="A199" s="648"/>
    </row>
    <row r="200" spans="1:4">
      <c r="A200" s="648"/>
    </row>
    <row r="201" spans="1:4">
      <c r="A201" s="648"/>
    </row>
    <row r="202" spans="1:4">
      <c r="A202" s="648"/>
    </row>
    <row r="203" spans="1:4">
      <c r="A203" s="648"/>
    </row>
    <row r="204" spans="1:4">
      <c r="A204" s="648"/>
    </row>
    <row r="205" spans="1:4">
      <c r="A205" s="648"/>
    </row>
    <row r="206" spans="1:4">
      <c r="A206" s="648"/>
    </row>
    <row r="207" spans="1:4">
      <c r="A207" s="648"/>
    </row>
    <row r="208" spans="1:4">
      <c r="A208" s="648"/>
    </row>
    <row r="209" spans="1:1">
      <c r="A209" s="648"/>
    </row>
    <row r="210" spans="1:1">
      <c r="A210" s="648"/>
    </row>
    <row r="211" spans="1:1">
      <c r="A211" s="648"/>
    </row>
    <row r="212" spans="1:1">
      <c r="A212" s="648"/>
    </row>
    <row r="213" spans="1:1">
      <c r="A213" s="648"/>
    </row>
    <row r="214" spans="1:1">
      <c r="A214" s="648"/>
    </row>
    <row r="215" spans="1:1">
      <c r="A215" s="648"/>
    </row>
    <row r="216" spans="1:1">
      <c r="A216" s="648"/>
    </row>
    <row r="217" spans="1:1">
      <c r="A217" s="648"/>
    </row>
    <row r="218" spans="1:1">
      <c r="A218" s="648"/>
    </row>
    <row r="219" spans="1:1">
      <c r="A219" s="648"/>
    </row>
    <row r="220" spans="1:1">
      <c r="A220" s="648"/>
    </row>
    <row r="221" spans="1:1">
      <c r="A221" s="648"/>
    </row>
    <row r="222" spans="1:1">
      <c r="A222" s="648"/>
    </row>
    <row r="223" spans="1:1">
      <c r="A223" s="648"/>
    </row>
    <row r="224" spans="1:1">
      <c r="A224" s="648"/>
    </row>
    <row r="225" spans="1:1">
      <c r="A225" s="648"/>
    </row>
    <row r="226" spans="1:1">
      <c r="A226" s="648"/>
    </row>
    <row r="227" spans="1:1">
      <c r="A227" s="648"/>
    </row>
    <row r="228" spans="1:1">
      <c r="A228" s="648"/>
    </row>
    <row r="229" spans="1:1">
      <c r="A229" s="648"/>
    </row>
    <row r="230" spans="1:1">
      <c r="A230" s="648"/>
    </row>
    <row r="231" spans="1:1">
      <c r="A231" s="648"/>
    </row>
    <row r="232" spans="1:1">
      <c r="A232" s="648"/>
    </row>
    <row r="233" spans="1:1">
      <c r="A233" s="648"/>
    </row>
    <row r="234" spans="1:1">
      <c r="A234" s="648"/>
    </row>
    <row r="235" spans="1:1">
      <c r="A235" s="648"/>
    </row>
    <row r="236" spans="1:1">
      <c r="A236" s="648"/>
    </row>
    <row r="237" spans="1:1">
      <c r="A237" s="648"/>
    </row>
    <row r="238" spans="1:1">
      <c r="A238" s="648"/>
    </row>
    <row r="239" spans="1:1">
      <c r="A239" s="648"/>
    </row>
    <row r="240" spans="1:1">
      <c r="A240" s="648"/>
    </row>
    <row r="241" spans="1:1">
      <c r="A241" s="648"/>
    </row>
    <row r="242" spans="1:1">
      <c r="A242" s="648"/>
    </row>
    <row r="243" spans="1:1">
      <c r="A243" s="648"/>
    </row>
    <row r="244" spans="1:1">
      <c r="A244" s="648"/>
    </row>
    <row r="245" spans="1:1">
      <c r="A245" s="648"/>
    </row>
    <row r="246" spans="1:1">
      <c r="A246" s="648"/>
    </row>
    <row r="247" spans="1:1">
      <c r="A247" s="648"/>
    </row>
    <row r="248" spans="1:1">
      <c r="A248" s="648"/>
    </row>
    <row r="249" spans="1:1">
      <c r="A249" s="648"/>
    </row>
    <row r="250" spans="1:1">
      <c r="A250" s="648"/>
    </row>
    <row r="251" spans="1:1">
      <c r="A251" s="648"/>
    </row>
    <row r="252" spans="1:1">
      <c r="A252" s="648"/>
    </row>
    <row r="253" spans="1:1">
      <c r="A253" s="648"/>
    </row>
    <row r="254" spans="1:1">
      <c r="A254" s="648"/>
    </row>
    <row r="255" spans="1:1">
      <c r="A255" s="648"/>
    </row>
    <row r="256" spans="1:1">
      <c r="A256" s="648"/>
    </row>
    <row r="257" spans="1:1">
      <c r="A257" s="648"/>
    </row>
    <row r="258" spans="1:1">
      <c r="A258" s="648"/>
    </row>
    <row r="259" spans="1:1">
      <c r="A259" s="648"/>
    </row>
    <row r="260" spans="1:1">
      <c r="A260" s="648"/>
    </row>
    <row r="261" spans="1:1">
      <c r="A261" s="648"/>
    </row>
    <row r="262" spans="1:1">
      <c r="A262" s="648"/>
    </row>
    <row r="263" spans="1:1">
      <c r="A263" s="648"/>
    </row>
    <row r="264" spans="1:1">
      <c r="A264" s="648"/>
    </row>
    <row r="265" spans="1:1">
      <c r="A265" s="648"/>
    </row>
    <row r="266" spans="1:1">
      <c r="A266" s="648"/>
    </row>
    <row r="267" spans="1:1">
      <c r="A267" s="648"/>
    </row>
    <row r="268" spans="1:1">
      <c r="A268" s="648"/>
    </row>
    <row r="269" spans="1:1">
      <c r="A269" s="648"/>
    </row>
    <row r="270" spans="1:1">
      <c r="A270" s="648"/>
    </row>
    <row r="271" spans="1:1">
      <c r="A271" s="648"/>
    </row>
    <row r="272" spans="1:1">
      <c r="A272" s="648"/>
    </row>
    <row r="273" spans="1:1">
      <c r="A273" s="648"/>
    </row>
    <row r="274" spans="1:1">
      <c r="A274" s="648"/>
    </row>
    <row r="275" spans="1:1">
      <c r="A275" s="648"/>
    </row>
    <row r="276" spans="1:1">
      <c r="A276" s="648"/>
    </row>
    <row r="277" spans="1:1">
      <c r="A277" s="648"/>
    </row>
    <row r="278" spans="1:1">
      <c r="A278" s="648"/>
    </row>
    <row r="279" spans="1:1">
      <c r="A279" s="648"/>
    </row>
    <row r="280" spans="1:1">
      <c r="A280" s="648"/>
    </row>
    <row r="281" spans="1:1">
      <c r="A281" s="648"/>
    </row>
    <row r="282" spans="1:1">
      <c r="A282" s="648"/>
    </row>
    <row r="283" spans="1:1">
      <c r="A283" s="648"/>
    </row>
    <row r="284" spans="1:1">
      <c r="A284" s="648"/>
    </row>
    <row r="285" spans="1:1">
      <c r="A285" s="648"/>
    </row>
    <row r="286" spans="1:1">
      <c r="A286" s="648"/>
    </row>
    <row r="287" spans="1:1">
      <c r="A287" s="648"/>
    </row>
    <row r="288" spans="1:1">
      <c r="A288" s="648"/>
    </row>
    <row r="289" spans="1:1">
      <c r="A289" s="648"/>
    </row>
    <row r="290" spans="1:1">
      <c r="A290" s="648"/>
    </row>
    <row r="291" spans="1:1">
      <c r="A291" s="648"/>
    </row>
    <row r="292" spans="1:1">
      <c r="A292" s="648"/>
    </row>
    <row r="293" spans="1:1">
      <c r="A293" s="648"/>
    </row>
    <row r="294" spans="1:1">
      <c r="A294" s="648"/>
    </row>
    <row r="295" spans="1:1">
      <c r="A295" s="648"/>
    </row>
    <row r="296" spans="1:1">
      <c r="A296" s="648"/>
    </row>
    <row r="297" spans="1:1">
      <c r="A297" s="648"/>
    </row>
    <row r="298" spans="1:1">
      <c r="A298" s="648"/>
    </row>
  </sheetData>
  <conditionalFormatting sqref="D74">
    <cfRule type="iconSet" priority="43">
      <iconSet iconSet="3Symbols" showValue="0" reverse="1">
        <cfvo type="percent" val="0"/>
        <cfvo type="num" val="0.8"/>
        <cfvo type="num" val="1"/>
      </iconSet>
    </cfRule>
  </conditionalFormatting>
  <conditionalFormatting sqref="C68">
    <cfRule type="iconSet" priority="35">
      <iconSet iconSet="3Symbols" reverse="1">
        <cfvo type="percent" val="0"/>
        <cfvo type="num" val="0.08"/>
        <cfvo type="num" val="0.1"/>
      </iconSet>
    </cfRule>
  </conditionalFormatting>
  <conditionalFormatting sqref="C59">
    <cfRule type="iconSet" priority="34">
      <iconSet iconSet="3Symbols" reverse="1">
        <cfvo type="percent" val="0"/>
        <cfvo type="num" val="0.35"/>
        <cfvo type="num" val="0.38"/>
      </iconSet>
    </cfRule>
  </conditionalFormatting>
  <conditionalFormatting sqref="C107">
    <cfRule type="iconSet" priority="33">
      <iconSet iconSet="3Symbols" reverse="1">
        <cfvo type="percent" val="0"/>
        <cfvo type="num" val="0.01"/>
        <cfvo type="num" val="0.02"/>
      </iconSet>
    </cfRule>
  </conditionalFormatting>
  <conditionalFormatting sqref="C133">
    <cfRule type="iconSet" priority="32">
      <iconSet iconSet="3Symbols">
        <cfvo type="percent" val="0"/>
        <cfvo type="num" val="0.43"/>
        <cfvo type="num" val="0.45"/>
      </iconSet>
    </cfRule>
  </conditionalFormatting>
  <conditionalFormatting sqref="C138">
    <cfRule type="iconSet" priority="31">
      <iconSet iconSet="3Symbols" reverse="1">
        <cfvo type="percent" val="0"/>
        <cfvo type="num" val="0.08"/>
        <cfvo type="num" val="0.09"/>
      </iconSet>
    </cfRule>
  </conditionalFormatting>
  <conditionalFormatting sqref="C128">
    <cfRule type="iconSet" priority="30">
      <iconSet iconSet="3Symbols" reverse="1">
        <cfvo type="percent" val="0"/>
        <cfvo type="num" val="0.34"/>
        <cfvo type="num" val="0.35"/>
      </iconSet>
    </cfRule>
  </conditionalFormatting>
  <conditionalFormatting sqref="C169">
    <cfRule type="iconSet" priority="29">
      <iconSet iconSet="3Symbols" reverse="1">
        <cfvo type="percent" val="0"/>
        <cfvo type="num" val="1.4999999999999999E-2"/>
        <cfvo type="num" val="0.02"/>
      </iconSet>
    </cfRule>
  </conditionalFormatting>
  <conditionalFormatting sqref="C189">
    <cfRule type="iconSet" priority="28">
      <iconSet iconSet="3Symbols" reverse="1">
        <cfvo type="percent" val="0"/>
        <cfvo type="num" val="7.0000000000000007E-2"/>
        <cfvo type="num" val="0.08"/>
      </iconSet>
    </cfRule>
  </conditionalFormatting>
  <conditionalFormatting sqref="C195">
    <cfRule type="iconSet" priority="27">
      <iconSet iconSet="3Symbols" reverse="1">
        <cfvo type="percent" val="0"/>
        <cfvo type="num" val="0.08"/>
        <cfvo type="num" val="0.1"/>
      </iconSet>
    </cfRule>
  </conditionalFormatting>
  <conditionalFormatting sqref="C185">
    <cfRule type="iconSet" priority="26">
      <iconSet iconSet="3Symbols" reverse="1">
        <cfvo type="percent" val="0"/>
        <cfvo type="num" val="0.34"/>
        <cfvo type="num" val="0.35"/>
      </iconSet>
    </cfRule>
  </conditionalFormatting>
  <conditionalFormatting sqref="C57 C53">
    <cfRule type="iconSet" priority="25">
      <iconSet iconSet="3Symbols" reverse="1">
        <cfvo type="percent" val="0"/>
        <cfvo type="num" val="7.0000000000000007E-2"/>
        <cfvo type="num" val="0.08"/>
      </iconSet>
    </cfRule>
  </conditionalFormatting>
  <conditionalFormatting sqref="C126">
    <cfRule type="iconSet" priority="24">
      <iconSet iconSet="3Symbols" reverse="1">
        <cfvo type="percent" val="0"/>
        <cfvo type="num" val="0.06"/>
        <cfvo type="num" val="7.0000000000000007E-2"/>
      </iconSet>
    </cfRule>
  </conditionalFormatting>
  <conditionalFormatting sqref="C183">
    <cfRule type="iconSet" priority="23">
      <iconSet iconSet="3Symbols" reverse="1">
        <cfvo type="percent" val="0"/>
        <cfvo type="num" val="0.06"/>
        <cfvo type="num" val="7.0000000000000007E-2"/>
      </iconSet>
    </cfRule>
  </conditionalFormatting>
  <conditionalFormatting sqref="C194">
    <cfRule type="iconSet" priority="22">
      <iconSet iconSet="3Symbols" reverse="1">
        <cfvo type="percent" val="0"/>
        <cfvo type="num" val="0.12"/>
        <cfvo type="num" val="0.15"/>
      </iconSet>
    </cfRule>
  </conditionalFormatting>
  <conditionalFormatting sqref="C142">
    <cfRule type="notContainsText" dxfId="237" priority="19" operator="notContains" text="OK">
      <formula>ISERROR(SEARCH("OK",C142))</formula>
    </cfRule>
    <cfRule type="containsText" dxfId="236" priority="20" operator="containsText" text="OK">
      <formula>NOT(ISERROR(SEARCH("OK",C142)))</formula>
    </cfRule>
  </conditionalFormatting>
  <conditionalFormatting sqref="C78">
    <cfRule type="notContainsText" dxfId="235" priority="17" operator="notContains" text="OK">
      <formula>ISERROR(SEARCH("OK",C78))</formula>
    </cfRule>
    <cfRule type="containsText" dxfId="234" priority="18" operator="containsText" text="OK">
      <formula>NOT(ISERROR(SEARCH("OK",C78)))</formula>
    </cfRule>
  </conditionalFormatting>
  <conditionalFormatting sqref="D196">
    <cfRule type="notContainsText" dxfId="233" priority="15" operator="notContains" text="OK">
      <formula>ISERROR(SEARCH("OK",D196))</formula>
    </cfRule>
    <cfRule type="containsText" dxfId="232" priority="16" operator="containsText" text="OK">
      <formula>NOT(ISERROR(SEARCH("OK",D196)))</formula>
    </cfRule>
  </conditionalFormatting>
  <conditionalFormatting sqref="C54">
    <cfRule type="iconSet" priority="9">
      <iconSet iconSet="3Symbols" reverse="1">
        <cfvo type="percent" val="0"/>
        <cfvo type="num" val="7.0000000000000007E-2"/>
        <cfvo type="num" val="0.08"/>
      </iconSet>
    </cfRule>
  </conditionalFormatting>
  <conditionalFormatting sqref="C132">
    <cfRule type="cellIs" dxfId="231" priority="6" operator="greaterThan">
      <formula>0.09</formula>
    </cfRule>
  </conditionalFormatting>
  <conditionalFormatting sqref="C43">
    <cfRule type="colorScale" priority="5">
      <colorScale>
        <cfvo type="num" val="1"/>
        <cfvo type="num" val="4"/>
        <color rgb="FF00B050"/>
        <color rgb="FFFF0000"/>
      </colorScale>
    </cfRule>
  </conditionalFormatting>
  <conditionalFormatting sqref="K64">
    <cfRule type="iconSet" priority="4">
      <iconSet iconSet="3Symbols" reverse="1">
        <cfvo type="percent" val="0"/>
        <cfvo type="num" val="0.88"/>
        <cfvo type="num" val="0.95"/>
      </iconSet>
    </cfRule>
  </conditionalFormatting>
  <conditionalFormatting sqref="H58">
    <cfRule type="iconSet" priority="3">
      <iconSet iconSet="3Symbols" reverse="1">
        <cfvo type="percent" val="0"/>
        <cfvo type="num" val="0.35"/>
        <cfvo type="num" val="0.38"/>
      </iconSet>
    </cfRule>
  </conditionalFormatting>
  <conditionalFormatting sqref="I32">
    <cfRule type="iconSet" priority="2">
      <iconSet iconSet="3Symbols" reverse="1">
        <cfvo type="percent" val="0"/>
        <cfvo type="num" val="0.01"/>
        <cfvo type="num" val="0.02"/>
      </iconSet>
    </cfRule>
  </conditionalFormatting>
  <conditionalFormatting sqref="C34">
    <cfRule type="iconSet" priority="1">
      <iconSet iconSet="3Symbols" reverse="1">
        <cfvo type="percent" val="0"/>
        <cfvo type="num" val="0.01"/>
        <cfvo type="num" val="0.02"/>
      </iconSet>
    </cfRule>
  </conditionalFormatting>
  <dataValidations count="5">
    <dataValidation allowBlank="1" showInputMessage="1" showErrorMessage="1" prompt="Stock order cannot be greater than 1% of NAV" sqref="C169 C107" xr:uid="{A1C5F426-59CA-435A-A256-160E3E0FDDBB}"/>
    <dataValidation allowBlank="1" showInputMessage="1" showErrorMessage="1" prompt="existing position + new position" sqref="B67 B137 B194" xr:uid="{6C142103-D7D6-4F19-8E0C-FADA6C0CBE85}"/>
    <dataValidation type="list" allowBlank="1" showInputMessage="1" showErrorMessage="1" sqref="C77 C141 C196" xr:uid="{8DD637BF-D43C-4585-BFF2-CAA8EEA0BB62}">
      <formula1>BrokerList</formula1>
    </dataValidation>
    <dataValidation allowBlank="1" showInputMessage="1" showErrorMessage="1" prompt="Stock order cannot be greater than 2% of NAV" sqref="I32 C34" xr:uid="{AF6CC1BA-BE71-4168-9026-1E4FEF9177A7}"/>
    <dataValidation type="list" allowBlank="1" showInputMessage="1" showErrorMessage="1" sqref="C73" xr:uid="{0215540E-DCE5-49E4-827E-A4426C674986}">
      <formula1>$Y$70:$Y$74</formula1>
    </dataValidation>
  </dataValidations>
  <hyperlinks>
    <hyperlink ref="C72" r:id="rId1" display="mailto:=@TR($C$20,%22TR.AvgDailyVolume3M%22,%22Code=Multi" xr:uid="{46EE77A1-59D8-4558-BC9F-64100E0CA930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50038-B158-40A6-B139-2AAC0FFADC41}">
  <sheetPr codeName="Foglio9">
    <tabColor rgb="FFFF0000"/>
  </sheetPr>
  <dimension ref="A7:AJ377"/>
  <sheetViews>
    <sheetView topLeftCell="A30" workbookViewId="0">
      <selection activeCell="E131" sqref="E131"/>
    </sheetView>
  </sheetViews>
  <sheetFormatPr defaultColWidth="9" defaultRowHeight="14.5"/>
  <cols>
    <col min="1" max="1" width="9" style="193"/>
    <col min="2" max="2" width="37" style="193" bestFit="1" customWidth="1"/>
    <col min="3" max="3" width="15.7265625" style="192" customWidth="1"/>
    <col min="4" max="4" width="12.26953125" style="193" customWidth="1"/>
    <col min="5" max="10" width="9" style="193"/>
    <col min="11" max="11" width="20" style="193" customWidth="1"/>
    <col min="12" max="16384" width="9" style="193"/>
  </cols>
  <sheetData>
    <row r="7" spans="1:11">
      <c r="B7" s="665">
        <f ca="1">TODAY()</f>
        <v>44894</v>
      </c>
    </row>
    <row r="8" spans="1:11">
      <c r="B8" s="609" t="s">
        <v>134</v>
      </c>
    </row>
    <row r="9" spans="1:11">
      <c r="H9" s="610" t="s">
        <v>1690</v>
      </c>
      <c r="I9" s="610"/>
      <c r="J9" s="610"/>
      <c r="K9" s="1056" t="e">
        <f ca="1">+PosAggregate!V11</f>
        <v>#NAME?</v>
      </c>
    </row>
    <row r="11" spans="1:11" hidden="1"/>
    <row r="12" spans="1:11" hidden="1"/>
    <row r="13" spans="1:11" hidden="1"/>
    <row r="14" spans="1:11">
      <c r="A14" s="622"/>
    </row>
    <row r="15" spans="1:11">
      <c r="A15" s="622"/>
    </row>
    <row r="16" spans="1:11">
      <c r="A16" s="622"/>
    </row>
    <row r="17" spans="1:6" ht="17">
      <c r="A17" s="622"/>
      <c r="B17" s="629"/>
    </row>
    <row r="18" spans="1:6" ht="15" thickBot="1">
      <c r="A18" s="622"/>
    </row>
    <row r="19" spans="1:6" ht="15" thickBot="1">
      <c r="A19" s="622"/>
      <c r="B19" s="611" t="s">
        <v>215</v>
      </c>
      <c r="C19" s="611" t="s">
        <v>13251</v>
      </c>
    </row>
    <row r="20" spans="1:6">
      <c r="A20" s="622"/>
      <c r="B20" s="665" t="e">
        <f ca="1">_xll.BDP($C$19  &amp; " Equity", "ID_ISIN", "Fill", "")</f>
        <v>#NAME?</v>
      </c>
      <c r="C20" s="1057" t="e">
        <f ca="1">+_xll.BDP(C19 &amp; " Equity","SECURITY_NAME")</f>
        <v>#NAME?</v>
      </c>
    </row>
    <row r="21" spans="1:6">
      <c r="A21" s="622"/>
    </row>
    <row r="22" spans="1:6" ht="15" thickBot="1">
      <c r="A22" s="622"/>
      <c r="B22" s="612" t="s">
        <v>63</v>
      </c>
      <c r="C22" s="1058" t="e">
        <f>VLOOKUP(C19,PosAggregate!B12:AD141,11,FALSE)</f>
        <v>#N/A</v>
      </c>
    </row>
    <row r="23" spans="1:6" ht="15" thickBot="1">
      <c r="A23" s="622"/>
      <c r="B23" s="611" t="s">
        <v>64</v>
      </c>
      <c r="C23" s="1059" t="e">
        <f>-C24/C22</f>
        <v>#VALUE!</v>
      </c>
      <c r="D23" s="1060" t="e">
        <f>IF(AND(D24="OK",-C24&lt;=C22),"OK","STOP")</f>
        <v>#VALUE!</v>
      </c>
    </row>
    <row r="24" spans="1:6">
      <c r="A24" s="622"/>
      <c r="B24" s="612" t="s">
        <v>65</v>
      </c>
      <c r="C24" s="111" t="s">
        <v>13252</v>
      </c>
      <c r="D24" s="1061" t="str">
        <f>IF(C24&gt;0,"PLEASE USE A NEGATIVE QUANTITY","OK")</f>
        <v>PLEASE USE A NEGATIVE QUANTITY</v>
      </c>
    </row>
    <row r="25" spans="1:6">
      <c r="A25" s="622"/>
    </row>
    <row r="26" spans="1:6">
      <c r="A26" s="622"/>
    </row>
    <row r="27" spans="1:6">
      <c r="A27" s="622"/>
      <c r="B27" s="193" t="s">
        <v>66</v>
      </c>
      <c r="C27" s="669" t="e">
        <f ca="1">_xll.BDP(C19 &amp; " Equity","PX_LAST")</f>
        <v>#NAME?</v>
      </c>
      <c r="D27" s="658"/>
    </row>
    <row r="28" spans="1:6">
      <c r="A28" s="622"/>
      <c r="B28" s="193" t="s">
        <v>24</v>
      </c>
      <c r="C28" s="669" t="e">
        <f ca="1">_xll.BDP(C19 &amp; " Equity","Crncy")</f>
        <v>#NAME?</v>
      </c>
      <c r="D28" s="666">
        <f ca="1">NOW()</f>
        <v>44894.676110300927</v>
      </c>
      <c r="F28" s="207"/>
    </row>
    <row r="29" spans="1:6">
      <c r="A29" s="622"/>
      <c r="B29" s="613" t="s">
        <v>89</v>
      </c>
      <c r="C29" s="669" t="e">
        <f ca="1">("EUR"&amp;C28&amp; " Curncy")</f>
        <v>#NAME?</v>
      </c>
      <c r="D29" s="207"/>
    </row>
    <row r="30" spans="1:6">
      <c r="A30" s="622"/>
      <c r="B30" s="613" t="s">
        <v>90</v>
      </c>
      <c r="C30" s="669" t="e">
        <f ca="1">IF(C28="EUR",1,IF(C28="GBp",(_xll.BDP(C29,"PX LAST")*100),_xll.BDP(C29,"PX LAST")))</f>
        <v>#NAME?</v>
      </c>
    </row>
    <row r="31" spans="1:6" ht="17.25" customHeight="1">
      <c r="A31" s="622"/>
      <c r="B31" s="613" t="s">
        <v>21</v>
      </c>
      <c r="C31" s="1062" t="e">
        <f ca="1">C27/C30</f>
        <v>#NAME?</v>
      </c>
    </row>
    <row r="32" spans="1:6" ht="15.75" customHeight="1">
      <c r="A32" s="622"/>
      <c r="B32" s="613"/>
      <c r="C32" s="622"/>
    </row>
    <row r="33" spans="1:19" ht="15" thickBot="1">
      <c r="A33" s="622"/>
      <c r="B33" s="613" t="s">
        <v>1689</v>
      </c>
      <c r="C33" s="670" t="e">
        <f ca="1">-C27*C24</f>
        <v>#NAME?</v>
      </c>
    </row>
    <row r="34" spans="1:19" ht="15" thickBot="1">
      <c r="A34" s="622"/>
      <c r="B34" s="614" t="s">
        <v>148</v>
      </c>
      <c r="C34" s="1064" t="e">
        <f ca="1">-C31*C24</f>
        <v>#NAME?</v>
      </c>
      <c r="D34" s="207"/>
    </row>
    <row r="35" spans="1:19">
      <c r="A35" s="1063" t="e">
        <f ca="1">IF(C35&gt;2%,_xludf.Alert(),"")</f>
        <v>#NAME?</v>
      </c>
      <c r="B35" s="615" t="s">
        <v>68</v>
      </c>
      <c r="C35" s="677" t="str">
        <f ca="1">+IFERROR(C34/PosAggregate!V11,"0")</f>
        <v>0</v>
      </c>
    </row>
    <row r="36" spans="1:19">
      <c r="A36" s="622"/>
    </row>
    <row r="37" spans="1:19">
      <c r="A37" s="622"/>
    </row>
    <row r="38" spans="1:19">
      <c r="A38" s="622"/>
      <c r="B38" s="616" t="s">
        <v>78</v>
      </c>
      <c r="F38" s="660"/>
      <c r="G38" s="660"/>
      <c r="H38" s="660"/>
      <c r="I38" s="660"/>
      <c r="J38" s="660"/>
      <c r="K38" s="660"/>
      <c r="L38" s="660"/>
      <c r="M38" s="660"/>
      <c r="N38" s="660"/>
      <c r="O38" s="660"/>
      <c r="P38" s="660"/>
      <c r="Q38" s="660"/>
      <c r="R38" s="660"/>
      <c r="S38" s="660"/>
    </row>
    <row r="39" spans="1:19">
      <c r="A39" s="622"/>
      <c r="B39" s="193" t="s">
        <v>70</v>
      </c>
      <c r="C39" s="679" t="e">
        <f ca="1">+(PosAggregate!E160+PosAggregate!E161)/K9</f>
        <v>#NAME?</v>
      </c>
      <c r="F39" s="660"/>
      <c r="G39" s="660"/>
      <c r="H39" s="660"/>
      <c r="I39" s="660"/>
      <c r="J39" s="660"/>
      <c r="K39" s="660"/>
      <c r="L39" s="660"/>
      <c r="M39" s="660"/>
      <c r="N39" s="660"/>
      <c r="O39" s="660"/>
      <c r="P39" s="660"/>
      <c r="Q39" s="660"/>
      <c r="R39" s="660"/>
      <c r="S39" s="660"/>
    </row>
    <row r="40" spans="1:19">
      <c r="A40" s="1063" t="e">
        <f ca="1">IF(C40&gt;15%,_xludf.Alert(),"")</f>
        <v>#NAME?</v>
      </c>
      <c r="B40" s="193" t="s">
        <v>71</v>
      </c>
      <c r="C40" s="681" t="e">
        <f ca="1">+C39+C35</f>
        <v>#NAME?</v>
      </c>
      <c r="D40" s="1051"/>
      <c r="F40" s="660"/>
      <c r="G40" s="660"/>
      <c r="H40" s="660"/>
      <c r="I40" s="660"/>
      <c r="J40" s="660"/>
      <c r="K40" s="660"/>
      <c r="L40" s="660"/>
      <c r="M40" s="660"/>
      <c r="N40" s="660"/>
      <c r="O40" s="660"/>
      <c r="P40" s="660"/>
      <c r="Q40" s="660"/>
      <c r="R40" s="660"/>
      <c r="S40" s="660"/>
    </row>
    <row r="41" spans="1:19">
      <c r="A41" s="622"/>
      <c r="F41" s="660"/>
      <c r="G41" s="660"/>
      <c r="H41" s="660"/>
      <c r="I41" s="660"/>
      <c r="J41" s="660"/>
      <c r="K41" s="660"/>
      <c r="L41" s="660"/>
      <c r="M41" s="660"/>
      <c r="N41" s="660"/>
      <c r="O41" s="660"/>
      <c r="P41" s="660"/>
      <c r="Q41" s="660"/>
      <c r="R41" s="660"/>
      <c r="S41" s="660"/>
    </row>
    <row r="42" spans="1:19">
      <c r="A42" s="622"/>
      <c r="F42" s="660"/>
      <c r="G42" s="660"/>
      <c r="H42" s="660"/>
      <c r="I42" s="660"/>
      <c r="J42" s="660"/>
      <c r="K42" s="660"/>
      <c r="L42" s="660"/>
      <c r="M42" s="660"/>
      <c r="N42" s="660"/>
      <c r="O42" s="660"/>
      <c r="P42" s="660"/>
      <c r="Q42" s="660"/>
      <c r="R42" s="660"/>
      <c r="S42" s="660"/>
    </row>
    <row r="43" spans="1:19">
      <c r="A43" s="622"/>
      <c r="B43" s="616" t="s">
        <v>82</v>
      </c>
      <c r="F43" s="660"/>
      <c r="G43" s="660"/>
      <c r="H43" s="660"/>
      <c r="I43" s="660"/>
      <c r="J43" s="660"/>
      <c r="K43" s="660"/>
      <c r="L43" s="660"/>
      <c r="M43" s="660"/>
      <c r="N43" s="660"/>
      <c r="O43" s="660"/>
      <c r="P43" s="660"/>
      <c r="Q43" s="660"/>
      <c r="R43" s="660"/>
      <c r="S43" s="660"/>
    </row>
    <row r="44" spans="1:19">
      <c r="A44" s="622"/>
      <c r="B44" s="193" t="s">
        <v>86</v>
      </c>
      <c r="C44" s="667" t="e" cm="1">
        <f t="array" aca="1" ref="C44" ca="1">MAX(IF(TradesEquity!$E$11:$E$480='Pre-check SELL'!$B$20,TradesEquity!$B$11:$B$480))</f>
        <v>#NAME?</v>
      </c>
      <c r="D44" s="626"/>
      <c r="F44" s="660"/>
      <c r="G44" s="660"/>
      <c r="H44" s="660"/>
      <c r="I44" s="660"/>
      <c r="J44" s="660"/>
      <c r="K44" s="660"/>
      <c r="L44" s="660"/>
      <c r="M44" s="660"/>
      <c r="N44" s="660"/>
      <c r="O44" s="660"/>
      <c r="P44" s="660"/>
      <c r="Q44" s="660"/>
      <c r="R44" s="660"/>
      <c r="S44" s="660"/>
    </row>
    <row r="45" spans="1:19" ht="15.75" customHeight="1">
      <c r="A45" s="622"/>
      <c r="F45" s="660"/>
      <c r="G45" s="660"/>
      <c r="H45" s="660"/>
      <c r="I45" s="660"/>
      <c r="J45" s="660"/>
      <c r="K45" s="660"/>
      <c r="L45" s="660"/>
      <c r="M45" s="660"/>
      <c r="N45" s="660"/>
      <c r="O45" s="660"/>
      <c r="P45" s="660"/>
      <c r="Q45" s="660"/>
      <c r="R45" s="660"/>
      <c r="S45" s="660"/>
    </row>
    <row r="46" spans="1:19">
      <c r="A46" s="1063" t="e">
        <f ca="1">IF(C46="STOP",_xludf.Alert(),"")</f>
        <v>#NAME?</v>
      </c>
      <c r="C46" s="1065" t="e">
        <f ca="1">IF((TODAY())=C44,"STOP","0")</f>
        <v>#NAME?</v>
      </c>
      <c r="F46" s="660"/>
      <c r="G46" s="660"/>
      <c r="H46" s="660"/>
      <c r="I46" s="660"/>
      <c r="J46" s="660"/>
      <c r="K46" s="660"/>
      <c r="L46" s="660"/>
      <c r="M46" s="660"/>
      <c r="N46" s="660"/>
      <c r="O46" s="660"/>
      <c r="P46" s="660"/>
      <c r="Q46" s="660"/>
      <c r="R46" s="660"/>
      <c r="S46" s="660"/>
    </row>
    <row r="47" spans="1:19">
      <c r="A47" s="622"/>
      <c r="F47" s="660"/>
      <c r="G47" s="660"/>
      <c r="H47" s="660"/>
      <c r="I47" s="660"/>
      <c r="J47" s="660"/>
      <c r="K47" s="660"/>
      <c r="L47" s="660"/>
      <c r="M47" s="660"/>
      <c r="N47" s="660"/>
      <c r="O47" s="660"/>
      <c r="P47" s="660"/>
      <c r="Q47" s="660"/>
      <c r="R47" s="660"/>
      <c r="S47" s="660"/>
    </row>
    <row r="48" spans="1:19">
      <c r="A48" s="622"/>
      <c r="F48" s="660"/>
      <c r="G48" s="660"/>
      <c r="H48" s="660"/>
      <c r="I48" s="660"/>
      <c r="J48" s="660"/>
      <c r="K48" s="660"/>
      <c r="L48" s="660"/>
      <c r="M48" s="660"/>
      <c r="N48" s="660"/>
      <c r="O48" s="660"/>
      <c r="P48" s="660"/>
      <c r="Q48" s="660"/>
      <c r="R48" s="660"/>
      <c r="S48" s="660"/>
    </row>
    <row r="49" spans="1:36">
      <c r="A49" s="622"/>
      <c r="B49" s="616" t="s">
        <v>83</v>
      </c>
      <c r="F49" s="660"/>
      <c r="G49" s="660"/>
      <c r="H49" s="660"/>
      <c r="I49" s="660"/>
      <c r="J49" s="660"/>
      <c r="K49" s="660"/>
      <c r="L49" s="660"/>
      <c r="M49" s="660"/>
      <c r="N49" s="660"/>
      <c r="O49" s="660"/>
      <c r="P49" s="660"/>
      <c r="Q49" s="660"/>
      <c r="R49" s="660"/>
      <c r="S49" s="660"/>
    </row>
    <row r="50" spans="1:36">
      <c r="A50" s="622"/>
      <c r="B50" s="193" t="s">
        <v>72</v>
      </c>
      <c r="C50" s="670" t="e">
        <f ca="1">_xll.BDP(C19 &amp; " Equity","Volume_Avg_30D")</f>
        <v>#NAME?</v>
      </c>
      <c r="F50" s="660"/>
      <c r="G50" s="660"/>
      <c r="H50" s="660"/>
      <c r="I50" s="660"/>
      <c r="J50" s="660"/>
      <c r="K50" s="660"/>
      <c r="L50" s="660"/>
      <c r="M50" s="660"/>
      <c r="N50" s="660"/>
      <c r="O50" s="660"/>
      <c r="P50" s="660"/>
      <c r="Q50" s="660"/>
      <c r="R50" s="660"/>
      <c r="S50" s="660"/>
    </row>
    <row r="51" spans="1:36">
      <c r="A51" s="622"/>
      <c r="B51" s="193" t="s">
        <v>73</v>
      </c>
      <c r="C51" s="670" t="e">
        <f ca="1">_xll.BDP(C19 &amp; " Equity","Volume_Avg_3M")</f>
        <v>#NAME?</v>
      </c>
      <c r="F51" s="660"/>
      <c r="G51" s="660"/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AJ51" s="1109">
        <v>0.05</v>
      </c>
    </row>
    <row r="52" spans="1:36" ht="17.25" customHeight="1">
      <c r="A52" s="622"/>
      <c r="B52" s="193" t="s">
        <v>74</v>
      </c>
      <c r="C52" s="1208"/>
      <c r="F52" s="660"/>
      <c r="G52" s="660"/>
      <c r="H52" s="660"/>
      <c r="I52" s="660"/>
      <c r="J52" s="660"/>
      <c r="K52" s="660"/>
      <c r="L52" s="660"/>
      <c r="M52" s="660"/>
      <c r="N52" s="660"/>
      <c r="O52" s="660"/>
      <c r="P52" s="660"/>
      <c r="Q52" s="660"/>
      <c r="R52" s="660"/>
      <c r="S52" s="660"/>
      <c r="AJ52" s="1109">
        <v>0.1</v>
      </c>
    </row>
    <row r="53" spans="1:36">
      <c r="A53" s="622"/>
      <c r="B53" s="193" t="s">
        <v>43</v>
      </c>
      <c r="C53" s="668" t="str">
        <f ca="1">IFERROR(-C24/(C50*C52),"n/a")</f>
        <v>n/a</v>
      </c>
      <c r="D53" s="653"/>
      <c r="F53" s="660"/>
      <c r="G53" s="660"/>
      <c r="H53" s="660"/>
      <c r="I53" s="660"/>
      <c r="J53" s="660"/>
      <c r="K53" s="660"/>
      <c r="L53" s="660"/>
      <c r="M53" s="660"/>
      <c r="N53" s="660"/>
      <c r="O53" s="660"/>
      <c r="P53" s="660"/>
      <c r="Q53" s="660"/>
      <c r="R53" s="660"/>
      <c r="S53" s="660"/>
      <c r="AJ53" s="1109">
        <v>0.15</v>
      </c>
    </row>
    <row r="54" spans="1:36" ht="15" thickBot="1">
      <c r="A54" s="622"/>
      <c r="B54" s="615"/>
      <c r="C54" s="682" t="str">
        <f>IFERROR(IF(AQ28&gt;1,"ONGOING",""),"")</f>
        <v/>
      </c>
      <c r="F54" s="660"/>
      <c r="G54" s="660"/>
      <c r="H54" s="660"/>
      <c r="I54" s="660"/>
      <c r="J54" s="660"/>
      <c r="K54" s="660"/>
      <c r="L54" s="660"/>
      <c r="M54" s="660"/>
      <c r="N54" s="660"/>
      <c r="O54" s="660"/>
      <c r="P54" s="660"/>
      <c r="Q54" s="660"/>
      <c r="R54" s="660"/>
      <c r="S54" s="660"/>
      <c r="AJ54" s="1109">
        <v>0.2</v>
      </c>
    </row>
    <row r="55" spans="1:36" ht="15" thickBot="1">
      <c r="A55" s="622"/>
      <c r="B55" s="611" t="s">
        <v>33</v>
      </c>
      <c r="C55" s="109"/>
      <c r="D55" s="683" t="str">
        <f>IF(C55&lt;&gt;"Not Specified","OK","")</f>
        <v>OK</v>
      </c>
      <c r="F55" s="660"/>
      <c r="G55" s="660"/>
      <c r="H55" s="660"/>
      <c r="I55" s="660"/>
      <c r="J55" s="660"/>
      <c r="K55" s="660"/>
      <c r="L55" s="660"/>
      <c r="M55" s="660"/>
      <c r="N55" s="660"/>
      <c r="O55" s="660"/>
      <c r="P55" s="660"/>
      <c r="Q55" s="660"/>
      <c r="R55" s="660"/>
      <c r="S55" s="660"/>
      <c r="AJ55" s="1110" t="s">
        <v>12890</v>
      </c>
    </row>
    <row r="56" spans="1:36">
      <c r="A56" s="622"/>
      <c r="F56" s="660"/>
      <c r="G56" s="660"/>
      <c r="H56" s="660"/>
      <c r="I56" s="660"/>
      <c r="J56" s="660"/>
      <c r="K56" s="660"/>
      <c r="L56" s="660"/>
      <c r="M56" s="660"/>
      <c r="N56" s="660"/>
      <c r="O56" s="660"/>
      <c r="P56" s="660"/>
      <c r="Q56" s="660"/>
      <c r="R56" s="660"/>
      <c r="S56" s="660"/>
    </row>
    <row r="57" spans="1:36">
      <c r="A57" s="622"/>
    </row>
    <row r="58" spans="1:36" ht="19.5" customHeight="1">
      <c r="A58" s="622"/>
    </row>
    <row r="59" spans="1:36">
      <c r="A59" s="622"/>
    </row>
    <row r="60" spans="1:36" ht="30" customHeight="1">
      <c r="A60" s="622"/>
    </row>
    <row r="61" spans="1:36">
      <c r="A61" s="622"/>
    </row>
    <row r="62" spans="1:36">
      <c r="A62" s="622"/>
    </row>
    <row r="63" spans="1:36">
      <c r="A63" s="622"/>
    </row>
    <row r="64" spans="1:36">
      <c r="A64" s="622"/>
    </row>
    <row r="65" spans="1:4">
      <c r="A65" s="622"/>
    </row>
    <row r="66" spans="1:4">
      <c r="A66" s="622"/>
    </row>
    <row r="67" spans="1:4" ht="15" thickBot="1">
      <c r="A67" s="622"/>
    </row>
    <row r="68" spans="1:4" ht="15" thickBot="1">
      <c r="A68" s="622"/>
      <c r="B68" s="611" t="s">
        <v>69</v>
      </c>
      <c r="C68" s="567" t="s">
        <v>2129</v>
      </c>
    </row>
    <row r="69" spans="1:4">
      <c r="A69" s="622"/>
      <c r="C69" s="667" t="e">
        <f ca="1">_xll.BDP(C68 &amp; " ISIN","SECURITY_NAME")</f>
        <v>#NAME?</v>
      </c>
    </row>
    <row r="70" spans="1:4">
      <c r="A70" s="622"/>
    </row>
    <row r="71" spans="1:4">
      <c r="A71" s="622"/>
      <c r="B71" s="193" t="s">
        <v>63</v>
      </c>
      <c r="C71" s="525" t="e">
        <f>VLOOKUP(C68,PosAggregate!A86:AD273,12,FALSE)</f>
        <v>#N/A</v>
      </c>
    </row>
    <row r="72" spans="1:4" ht="15" thickBot="1">
      <c r="A72" s="622"/>
    </row>
    <row r="73" spans="1:4" ht="15" thickBot="1">
      <c r="A73" s="622"/>
      <c r="B73" s="617" t="s">
        <v>64</v>
      </c>
      <c r="C73" s="110">
        <v>1</v>
      </c>
    </row>
    <row r="74" spans="1:4">
      <c r="A74" s="622"/>
      <c r="C74" s="1052"/>
    </row>
    <row r="75" spans="1:4">
      <c r="A75" s="622"/>
      <c r="B75" s="612" t="s">
        <v>106</v>
      </c>
      <c r="C75" s="1066" t="e">
        <f>-C71*C73</f>
        <v>#N/A</v>
      </c>
    </row>
    <row r="76" spans="1:4" ht="3" customHeight="1">
      <c r="A76" s="622"/>
      <c r="C76" s="651"/>
    </row>
    <row r="77" spans="1:4">
      <c r="A77" s="622"/>
      <c r="B77" s="618" t="s">
        <v>85</v>
      </c>
      <c r="C77" s="1067" t="e">
        <f ca="1">_xll.BDP(C68 &amp; " ISIN","MIN_PIECE")</f>
        <v>#NAME?</v>
      </c>
      <c r="D77" s="662"/>
    </row>
    <row r="78" spans="1:4">
      <c r="A78" s="622"/>
      <c r="B78" s="615"/>
    </row>
    <row r="79" spans="1:4">
      <c r="A79" s="622"/>
    </row>
    <row r="80" spans="1:4">
      <c r="A80" s="622"/>
      <c r="B80" s="193" t="s">
        <v>66</v>
      </c>
      <c r="C80" s="1068" t="e">
        <f ca="1">_xll.BDP(C68 &amp; " ISIN","PX_LAST")</f>
        <v>#NAME?</v>
      </c>
      <c r="D80" s="658"/>
    </row>
    <row r="81" spans="1:5">
      <c r="A81" s="622"/>
      <c r="B81" s="193" t="s">
        <v>24</v>
      </c>
      <c r="C81" s="1068" t="e">
        <f ca="1">_xll.BDP(C68 &amp; " ISIN","Crncy")</f>
        <v>#NAME?</v>
      </c>
    </row>
    <row r="82" spans="1:5">
      <c r="A82" s="622"/>
      <c r="B82" s="613" t="s">
        <v>89</v>
      </c>
      <c r="C82" s="1068" t="e">
        <f ca="1">("EUR"&amp;C81&amp; " Curncy")</f>
        <v>#NAME?</v>
      </c>
    </row>
    <row r="83" spans="1:5">
      <c r="A83" s="622"/>
      <c r="B83" s="613" t="s">
        <v>90</v>
      </c>
      <c r="C83" s="1068" t="e">
        <f ca="1">IF(C81="EUR",1,IF(C81="GBp",(_xll.BDP(C82,"PX LAST")*100),_xll.BDP(C82,"PX LAST")))</f>
        <v>#NAME?</v>
      </c>
      <c r="E83" s="1053"/>
    </row>
    <row r="84" spans="1:5">
      <c r="A84" s="622"/>
      <c r="B84" s="193" t="s">
        <v>114</v>
      </c>
      <c r="C84" s="543" t="e">
        <f ca="1">_xll.BDP(C68 &amp; " ISIN","DAYS_ACC")</f>
        <v>#NAME?</v>
      </c>
      <c r="E84" s="1053"/>
    </row>
    <row r="85" spans="1:5">
      <c r="A85" s="622"/>
      <c r="B85" s="193" t="s">
        <v>115</v>
      </c>
      <c r="C85" s="544" t="e">
        <f ca="1">_xll.BDP(C68 &amp; " ISIN","DAYS_ACC")</f>
        <v>#NAME?</v>
      </c>
      <c r="E85" s="1053"/>
    </row>
    <row r="86" spans="1:5" ht="15" thickBot="1">
      <c r="A86" s="622"/>
      <c r="B86" s="193" t="s">
        <v>48</v>
      </c>
      <c r="C86" s="1069" t="e">
        <f ca="1">+C75*C85/100</f>
        <v>#N/A</v>
      </c>
      <c r="E86" s="1053"/>
    </row>
    <row r="87" spans="1:5" ht="15" thickBot="1">
      <c r="A87" s="622"/>
      <c r="B87" s="614" t="s">
        <v>148</v>
      </c>
      <c r="C87" s="1064" t="e">
        <f ca="1">-C75*C80/C83/100+C86</f>
        <v>#N/A</v>
      </c>
    </row>
    <row r="88" spans="1:5">
      <c r="A88" s="1063" t="e">
        <f ca="1">IF(C88&gt;2%,_xludf.Alert(),"")</f>
        <v>#N/A</v>
      </c>
      <c r="B88" s="615" t="s">
        <v>68</v>
      </c>
      <c r="C88" s="677" t="e">
        <f ca="1">-C87/K9</f>
        <v>#N/A</v>
      </c>
    </row>
    <row r="89" spans="1:5">
      <c r="A89" s="622"/>
    </row>
    <row r="90" spans="1:5">
      <c r="A90" s="622"/>
    </row>
    <row r="91" spans="1:5">
      <c r="A91" s="622"/>
      <c r="B91" s="616" t="s">
        <v>78</v>
      </c>
    </row>
    <row r="92" spans="1:5">
      <c r="A92" s="622"/>
      <c r="B92" s="193" t="s">
        <v>70</v>
      </c>
      <c r="C92" s="679">
        <f>PosAggregate!K238</f>
        <v>0</v>
      </c>
      <c r="D92" s="619" t="s">
        <v>1078</v>
      </c>
    </row>
    <row r="93" spans="1:5">
      <c r="A93" s="1063" t="e">
        <f ca="1">IF(C93&gt;15%,_xludf.Alert(),"")</f>
        <v>#N/A</v>
      </c>
      <c r="B93" s="193" t="s">
        <v>71</v>
      </c>
      <c r="C93" s="681" t="e">
        <f ca="1">+C92+C88</f>
        <v>#N/A</v>
      </c>
    </row>
    <row r="94" spans="1:5">
      <c r="C94" s="649"/>
    </row>
    <row r="95" spans="1:5">
      <c r="B95" s="616" t="s">
        <v>84</v>
      </c>
    </row>
    <row r="96" spans="1:5">
      <c r="B96" s="193" t="s">
        <v>76</v>
      </c>
      <c r="C96" s="679" t="e">
        <f ca="1">+PosAggregate!K158</f>
        <v>#NAME?</v>
      </c>
    </row>
    <row r="97" spans="1:4">
      <c r="A97" s="1054"/>
      <c r="B97" s="193" t="s">
        <v>77</v>
      </c>
      <c r="C97" s="679" t="e">
        <f ca="1">+C96-C88</f>
        <v>#NAME?</v>
      </c>
      <c r="D97" s="1055"/>
    </row>
    <row r="98" spans="1:4">
      <c r="A98" s="1063" t="str">
        <f>IF(C98&lt;43%,_xludf.Alert(),"")</f>
        <v/>
      </c>
      <c r="B98" s="193" t="s">
        <v>105</v>
      </c>
      <c r="C98" s="620">
        <v>0.45</v>
      </c>
      <c r="D98" s="621" t="s">
        <v>1079</v>
      </c>
    </row>
    <row r="99" spans="1:4">
      <c r="A99" s="622"/>
    </row>
    <row r="100" spans="1:4">
      <c r="A100" s="622"/>
      <c r="B100" s="616" t="s">
        <v>82</v>
      </c>
    </row>
    <row r="101" spans="1:4">
      <c r="A101" s="622"/>
      <c r="B101" s="193" t="s">
        <v>86</v>
      </c>
      <c r="C101" s="667">
        <f t="array" ref="C101">MAX(IF(TradesBond!D11:D65='Pre-check SELL'!$C$68,TradesBond!A11:A65))</f>
        <v>44491</v>
      </c>
    </row>
    <row r="102" spans="1:4">
      <c r="A102" s="1063" t="str">
        <f ca="1">IF(C102="STOP",_xludf.Alert(),"")</f>
        <v/>
      </c>
      <c r="C102" s="667" t="str">
        <f ca="1">IF((TODAY())=C101,"STOP","0")</f>
        <v>0</v>
      </c>
    </row>
    <row r="103" spans="1:4" ht="15" thickBot="1">
      <c r="A103" s="622"/>
    </row>
    <row r="104" spans="1:4" ht="15" thickBot="1">
      <c r="A104" s="622"/>
      <c r="B104" s="611" t="s">
        <v>33</v>
      </c>
      <c r="C104" s="109" t="s">
        <v>1111</v>
      </c>
      <c r="D104" s="683" t="str">
        <f>IF(C104&lt;&gt;"Not Specified","OK","")</f>
        <v>OK</v>
      </c>
    </row>
    <row r="105" spans="1:4">
      <c r="A105" s="622"/>
    </row>
    <row r="106" spans="1:4">
      <c r="A106" s="622"/>
    </row>
    <row r="107" spans="1:4">
      <c r="A107" s="622"/>
    </row>
    <row r="108" spans="1:4">
      <c r="A108" s="622"/>
    </row>
    <row r="109" spans="1:4">
      <c r="A109" s="622"/>
    </row>
    <row r="110" spans="1:4">
      <c r="A110" s="622"/>
    </row>
    <row r="111" spans="1:4">
      <c r="A111" s="622"/>
    </row>
    <row r="112" spans="1:4">
      <c r="A112" s="622"/>
    </row>
    <row r="113" spans="1:4">
      <c r="A113" s="622"/>
    </row>
    <row r="114" spans="1:4">
      <c r="A114" s="622"/>
    </row>
    <row r="115" spans="1:4" ht="15" thickBot="1">
      <c r="A115" s="622"/>
    </row>
    <row r="116" spans="1:4" ht="15" thickBot="1">
      <c r="A116" s="622"/>
      <c r="B116" s="611" t="s">
        <v>69</v>
      </c>
      <c r="C116" s="112"/>
    </row>
    <row r="117" spans="1:4">
      <c r="A117" s="622"/>
      <c r="C117" s="667" t="e">
        <f ca="1">_xll.BDP(C116 &amp; " ISIN","SECURITY_NAME")</f>
        <v>#NAME?</v>
      </c>
    </row>
    <row r="118" spans="1:4">
      <c r="A118" s="622"/>
    </row>
    <row r="119" spans="1:4">
      <c r="A119" s="622"/>
      <c r="B119" s="193" t="s">
        <v>63</v>
      </c>
      <c r="C119" s="1070">
        <f>VLOOKUP(C116,PosAggregate!A138:AD296,12,FALSE)</f>
        <v>0</v>
      </c>
    </row>
    <row r="120" spans="1:4" ht="15" thickBot="1">
      <c r="A120" s="622"/>
    </row>
    <row r="121" spans="1:4" ht="15" thickBot="1">
      <c r="A121" s="622"/>
      <c r="B121" s="617" t="s">
        <v>64</v>
      </c>
      <c r="C121" s="110"/>
    </row>
    <row r="122" spans="1:4">
      <c r="A122" s="622"/>
      <c r="C122" s="1052"/>
    </row>
    <row r="123" spans="1:4">
      <c r="A123" s="622"/>
      <c r="B123" s="612" t="s">
        <v>65</v>
      </c>
      <c r="C123" s="1071">
        <f>-C119*C121</f>
        <v>0</v>
      </c>
    </row>
    <row r="124" spans="1:4">
      <c r="A124" s="622"/>
    </row>
    <row r="125" spans="1:4">
      <c r="A125" s="622"/>
      <c r="B125" s="193" t="s">
        <v>66</v>
      </c>
      <c r="C125" s="668" t="e">
        <f ca="1">_xll.BDP(B117 &amp; " ISIN","PX_LAST")</f>
        <v>#NAME?</v>
      </c>
      <c r="D125" s="658"/>
    </row>
    <row r="126" spans="1:4">
      <c r="A126" s="622"/>
      <c r="B126" s="193" t="s">
        <v>24</v>
      </c>
      <c r="C126" s="667" t="e">
        <f ca="1">_xll.BDP($B117 &amp; " ISIN","Crncy")</f>
        <v>#NAME?</v>
      </c>
    </row>
    <row r="127" spans="1:4">
      <c r="A127" s="622"/>
      <c r="B127" s="613" t="s">
        <v>89</v>
      </c>
      <c r="C127" s="622" t="s">
        <v>2</v>
      </c>
    </row>
    <row r="128" spans="1:4" ht="15" thickBot="1">
      <c r="A128" s="622"/>
      <c r="B128" s="613" t="s">
        <v>90</v>
      </c>
      <c r="C128" s="669" t="e">
        <f ca="1">IF(C126="EUR",1,IFERROR((_xll.TR($C$116,"TR.PriceClose(Curn=#1)",,,$C$126)/_xll.TR($C$116,"TR.PriceClose(Curn=#1)",,,$C$127)),""))</f>
        <v>#NAME?</v>
      </c>
    </row>
    <row r="129" spans="1:4" ht="15" thickBot="1">
      <c r="A129" s="622"/>
      <c r="B129" s="614" t="s">
        <v>148</v>
      </c>
      <c r="C129" s="1064" t="e">
        <f ca="1">-C123*C125/C128</f>
        <v>#NAME?</v>
      </c>
    </row>
    <row r="130" spans="1:4">
      <c r="A130" s="1063" t="e">
        <f ca="1">IF(C130&gt;2%,_xludf.Alert(),"")</f>
        <v>#NAME?</v>
      </c>
      <c r="B130" s="615" t="s">
        <v>68</v>
      </c>
      <c r="C130" s="677" t="e">
        <f ca="1">+C129/K9</f>
        <v>#NAME?</v>
      </c>
    </row>
    <row r="131" spans="1:4">
      <c r="A131" s="622"/>
    </row>
    <row r="132" spans="1:4">
      <c r="A132" s="622"/>
    </row>
    <row r="133" spans="1:4">
      <c r="A133" s="622"/>
      <c r="B133" s="616" t="s">
        <v>78</v>
      </c>
    </row>
    <row r="134" spans="1:4">
      <c r="A134" s="622"/>
      <c r="B134" s="193" t="s">
        <v>70</v>
      </c>
      <c r="C134" s="679" t="e">
        <f ca="1">+PosAggregate!K151</f>
        <v>#NAME?</v>
      </c>
    </row>
    <row r="135" spans="1:4">
      <c r="A135" s="1063" t="e">
        <f ca="1">IF(C135&gt;15%,_xludf.Alert(),"")</f>
        <v>#NAME?</v>
      </c>
      <c r="B135" s="193" t="s">
        <v>71</v>
      </c>
      <c r="C135" s="681" t="e">
        <f ca="1">+C134+C130</f>
        <v>#NAME?</v>
      </c>
      <c r="D135" s="1055"/>
    </row>
    <row r="136" spans="1:4">
      <c r="A136" s="1054"/>
      <c r="C136" s="649"/>
      <c r="D136" s="1055"/>
    </row>
    <row r="137" spans="1:4">
      <c r="A137" s="622"/>
      <c r="C137" s="649"/>
      <c r="D137" s="1055"/>
    </row>
    <row r="138" spans="1:4">
      <c r="A138" s="622"/>
      <c r="B138" s="616" t="s">
        <v>87</v>
      </c>
      <c r="D138" s="1055"/>
    </row>
    <row r="139" spans="1:4">
      <c r="A139" s="622"/>
      <c r="B139" s="193" t="s">
        <v>76</v>
      </c>
      <c r="C139" s="679" t="e">
        <f ca="1">+PosAggregate!K159</f>
        <v>#NAME?</v>
      </c>
      <c r="D139" s="1055"/>
    </row>
    <row r="140" spans="1:4">
      <c r="A140" s="622"/>
      <c r="B140" s="193" t="s">
        <v>77</v>
      </c>
      <c r="C140" s="679" t="e">
        <f ca="1">+C139-C130</f>
        <v>#NAME?</v>
      </c>
    </row>
    <row r="141" spans="1:4">
      <c r="A141" s="622"/>
    </row>
    <row r="142" spans="1:4">
      <c r="A142" s="622"/>
      <c r="B142" s="616" t="s">
        <v>82</v>
      </c>
    </row>
    <row r="143" spans="1:4">
      <c r="A143" s="622"/>
      <c r="B143" s="193" t="s">
        <v>86</v>
      </c>
      <c r="C143" s="667">
        <f t="array" ref="C143">MAX(IF(TradesFundETF!D11:D91='Pre-check SELL'!$C$116,TradesFundETF!A11:A91))</f>
        <v>0</v>
      </c>
    </row>
    <row r="144" spans="1:4">
      <c r="A144" s="1063" t="str">
        <f ca="1">IF(C144="STOP",_xludf.Alert(),"")</f>
        <v/>
      </c>
      <c r="C144" s="667" t="str">
        <f ca="1">IF((TODAY())=C143,"STOP","0")</f>
        <v>0</v>
      </c>
    </row>
    <row r="145" spans="1:4" ht="15" thickBot="1">
      <c r="A145" s="622"/>
    </row>
    <row r="146" spans="1:4" ht="15" thickBot="1">
      <c r="A146" s="622"/>
      <c r="B146" s="611" t="s">
        <v>33</v>
      </c>
      <c r="C146" s="109" t="s">
        <v>1112</v>
      </c>
      <c r="D146" s="683" t="str">
        <f>IF(C146&lt;&gt;"Not Specified","OK","")</f>
        <v>OK</v>
      </c>
    </row>
    <row r="147" spans="1:4">
      <c r="A147" s="622"/>
    </row>
    <row r="148" spans="1:4">
      <c r="A148" s="622"/>
    </row>
    <row r="149" spans="1:4">
      <c r="A149" s="622"/>
    </row>
    <row r="150" spans="1:4">
      <c r="A150" s="622"/>
    </row>
    <row r="151" spans="1:4">
      <c r="A151" s="622"/>
    </row>
    <row r="152" spans="1:4">
      <c r="A152" s="622"/>
    </row>
    <row r="153" spans="1:4">
      <c r="A153" s="622"/>
    </row>
    <row r="154" spans="1:4">
      <c r="A154" s="622"/>
    </row>
    <row r="155" spans="1:4">
      <c r="A155" s="622"/>
    </row>
    <row r="156" spans="1:4">
      <c r="A156" s="622"/>
    </row>
    <row r="157" spans="1:4">
      <c r="A157" s="622"/>
    </row>
    <row r="158" spans="1:4">
      <c r="A158" s="622"/>
    </row>
    <row r="159" spans="1:4">
      <c r="A159" s="622"/>
    </row>
    <row r="160" spans="1:4">
      <c r="A160" s="622"/>
    </row>
    <row r="161" spans="1:1">
      <c r="A161" s="622"/>
    </row>
    <row r="162" spans="1:1">
      <c r="A162" s="622"/>
    </row>
    <row r="163" spans="1:1">
      <c r="A163" s="622"/>
    </row>
    <row r="164" spans="1:1">
      <c r="A164" s="622"/>
    </row>
    <row r="165" spans="1:1">
      <c r="A165" s="622"/>
    </row>
    <row r="166" spans="1:1">
      <c r="A166" s="622"/>
    </row>
    <row r="167" spans="1:1">
      <c r="A167" s="622"/>
    </row>
    <row r="168" spans="1:1">
      <c r="A168" s="622"/>
    </row>
    <row r="169" spans="1:1">
      <c r="A169" s="622"/>
    </row>
    <row r="170" spans="1:1">
      <c r="A170" s="622"/>
    </row>
    <row r="171" spans="1:1">
      <c r="A171" s="622"/>
    </row>
    <row r="172" spans="1:1">
      <c r="A172" s="622"/>
    </row>
    <row r="173" spans="1:1">
      <c r="A173" s="622"/>
    </row>
    <row r="174" spans="1:1">
      <c r="A174" s="622"/>
    </row>
    <row r="175" spans="1:1">
      <c r="A175" s="622"/>
    </row>
    <row r="176" spans="1:1">
      <c r="A176" s="622"/>
    </row>
    <row r="177" spans="1:1">
      <c r="A177" s="622"/>
    </row>
    <row r="178" spans="1:1">
      <c r="A178" s="622"/>
    </row>
    <row r="179" spans="1:1">
      <c r="A179" s="622"/>
    </row>
    <row r="180" spans="1:1">
      <c r="A180" s="622"/>
    </row>
    <row r="181" spans="1:1">
      <c r="A181" s="622"/>
    </row>
    <row r="182" spans="1:1">
      <c r="A182" s="622"/>
    </row>
    <row r="183" spans="1:1">
      <c r="A183" s="622"/>
    </row>
    <row r="184" spans="1:1">
      <c r="A184" s="622"/>
    </row>
    <row r="185" spans="1:1">
      <c r="A185" s="622"/>
    </row>
    <row r="186" spans="1:1">
      <c r="A186" s="622"/>
    </row>
    <row r="187" spans="1:1">
      <c r="A187" s="622"/>
    </row>
    <row r="188" spans="1:1">
      <c r="A188" s="622"/>
    </row>
    <row r="189" spans="1:1">
      <c r="A189" s="622"/>
    </row>
    <row r="190" spans="1:1">
      <c r="A190" s="622"/>
    </row>
    <row r="191" spans="1:1">
      <c r="A191" s="622"/>
    </row>
    <row r="192" spans="1:1">
      <c r="A192" s="622"/>
    </row>
    <row r="193" spans="1:1">
      <c r="A193" s="622"/>
    </row>
    <row r="194" spans="1:1">
      <c r="A194" s="622"/>
    </row>
    <row r="195" spans="1:1">
      <c r="A195" s="622"/>
    </row>
    <row r="196" spans="1:1">
      <c r="A196" s="622"/>
    </row>
    <row r="197" spans="1:1">
      <c r="A197" s="622"/>
    </row>
    <row r="198" spans="1:1">
      <c r="A198" s="622"/>
    </row>
    <row r="199" spans="1:1">
      <c r="A199" s="622"/>
    </row>
    <row r="200" spans="1:1">
      <c r="A200" s="622"/>
    </row>
    <row r="201" spans="1:1">
      <c r="A201" s="622"/>
    </row>
    <row r="202" spans="1:1">
      <c r="A202" s="622"/>
    </row>
    <row r="203" spans="1:1">
      <c r="A203" s="622"/>
    </row>
    <row r="204" spans="1:1">
      <c r="A204" s="622"/>
    </row>
    <row r="205" spans="1:1">
      <c r="A205" s="622"/>
    </row>
    <row r="206" spans="1:1">
      <c r="A206" s="622"/>
    </row>
    <row r="207" spans="1:1">
      <c r="A207" s="622"/>
    </row>
    <row r="208" spans="1:1">
      <c r="A208" s="622"/>
    </row>
    <row r="209" spans="1:1">
      <c r="A209" s="622"/>
    </row>
    <row r="210" spans="1:1">
      <c r="A210" s="622"/>
    </row>
    <row r="211" spans="1:1">
      <c r="A211" s="622"/>
    </row>
    <row r="212" spans="1:1">
      <c r="A212" s="622"/>
    </row>
    <row r="213" spans="1:1">
      <c r="A213" s="622"/>
    </row>
    <row r="214" spans="1:1">
      <c r="A214" s="622"/>
    </row>
    <row r="215" spans="1:1">
      <c r="A215" s="622"/>
    </row>
    <row r="216" spans="1:1">
      <c r="A216" s="622"/>
    </row>
    <row r="217" spans="1:1">
      <c r="A217" s="622"/>
    </row>
    <row r="218" spans="1:1">
      <c r="A218" s="622"/>
    </row>
    <row r="219" spans="1:1">
      <c r="A219" s="622"/>
    </row>
    <row r="220" spans="1:1">
      <c r="A220" s="622"/>
    </row>
    <row r="221" spans="1:1">
      <c r="A221" s="622"/>
    </row>
    <row r="222" spans="1:1">
      <c r="A222" s="622"/>
    </row>
    <row r="223" spans="1:1">
      <c r="A223" s="622"/>
    </row>
    <row r="224" spans="1:1">
      <c r="A224" s="622"/>
    </row>
    <row r="225" spans="1:1">
      <c r="A225" s="622"/>
    </row>
    <row r="226" spans="1:1">
      <c r="A226" s="622"/>
    </row>
    <row r="227" spans="1:1">
      <c r="A227" s="622"/>
    </row>
    <row r="228" spans="1:1">
      <c r="A228" s="622"/>
    </row>
    <row r="229" spans="1:1">
      <c r="A229" s="622"/>
    </row>
    <row r="230" spans="1:1">
      <c r="A230" s="622"/>
    </row>
    <row r="231" spans="1:1">
      <c r="A231" s="622"/>
    </row>
    <row r="232" spans="1:1">
      <c r="A232" s="622"/>
    </row>
    <row r="233" spans="1:1">
      <c r="A233" s="622"/>
    </row>
    <row r="234" spans="1:1">
      <c r="A234" s="622"/>
    </row>
    <row r="235" spans="1:1">
      <c r="A235" s="622"/>
    </row>
    <row r="236" spans="1:1">
      <c r="A236" s="622"/>
    </row>
    <row r="237" spans="1:1">
      <c r="A237" s="622"/>
    </row>
    <row r="238" spans="1:1">
      <c r="A238" s="622"/>
    </row>
    <row r="239" spans="1:1">
      <c r="A239" s="622"/>
    </row>
    <row r="240" spans="1:1">
      <c r="A240" s="622"/>
    </row>
    <row r="241" spans="1:1">
      <c r="A241" s="622"/>
    </row>
    <row r="242" spans="1:1">
      <c r="A242" s="622"/>
    </row>
    <row r="243" spans="1:1">
      <c r="A243" s="622"/>
    </row>
    <row r="244" spans="1:1">
      <c r="A244" s="622"/>
    </row>
    <row r="245" spans="1:1">
      <c r="A245" s="622"/>
    </row>
    <row r="246" spans="1:1">
      <c r="A246" s="622"/>
    </row>
    <row r="247" spans="1:1">
      <c r="A247" s="622"/>
    </row>
    <row r="248" spans="1:1">
      <c r="A248" s="622"/>
    </row>
    <row r="249" spans="1:1">
      <c r="A249" s="622"/>
    </row>
    <row r="250" spans="1:1">
      <c r="A250" s="622"/>
    </row>
    <row r="251" spans="1:1">
      <c r="A251" s="622"/>
    </row>
    <row r="252" spans="1:1">
      <c r="A252" s="622"/>
    </row>
    <row r="253" spans="1:1">
      <c r="A253" s="622"/>
    </row>
    <row r="254" spans="1:1">
      <c r="A254" s="622"/>
    </row>
    <row r="255" spans="1:1">
      <c r="A255" s="622"/>
    </row>
    <row r="256" spans="1:1">
      <c r="A256" s="622"/>
    </row>
    <row r="257" spans="1:1">
      <c r="A257" s="622"/>
    </row>
    <row r="258" spans="1:1">
      <c r="A258" s="622"/>
    </row>
    <row r="259" spans="1:1">
      <c r="A259" s="622"/>
    </row>
    <row r="260" spans="1:1">
      <c r="A260" s="622"/>
    </row>
    <row r="261" spans="1:1">
      <c r="A261" s="622"/>
    </row>
    <row r="262" spans="1:1">
      <c r="A262" s="622"/>
    </row>
    <row r="263" spans="1:1">
      <c r="A263" s="622"/>
    </row>
    <row r="264" spans="1:1">
      <c r="A264" s="622"/>
    </row>
    <row r="265" spans="1:1">
      <c r="A265" s="622"/>
    </row>
    <row r="266" spans="1:1">
      <c r="A266" s="622"/>
    </row>
    <row r="267" spans="1:1">
      <c r="A267" s="622"/>
    </row>
    <row r="268" spans="1:1">
      <c r="A268" s="622"/>
    </row>
    <row r="269" spans="1:1">
      <c r="A269" s="622"/>
    </row>
    <row r="270" spans="1:1">
      <c r="A270" s="622"/>
    </row>
    <row r="271" spans="1:1">
      <c r="A271" s="622"/>
    </row>
    <row r="272" spans="1:1">
      <c r="A272" s="622"/>
    </row>
    <row r="273" spans="1:1">
      <c r="A273" s="622"/>
    </row>
    <row r="274" spans="1:1">
      <c r="A274" s="622"/>
    </row>
    <row r="275" spans="1:1">
      <c r="A275" s="622"/>
    </row>
    <row r="276" spans="1:1">
      <c r="A276" s="622"/>
    </row>
    <row r="277" spans="1:1">
      <c r="A277" s="622"/>
    </row>
    <row r="278" spans="1:1">
      <c r="A278" s="622"/>
    </row>
    <row r="279" spans="1:1">
      <c r="A279" s="622"/>
    </row>
    <row r="280" spans="1:1">
      <c r="A280" s="622"/>
    </row>
    <row r="281" spans="1:1">
      <c r="A281" s="622"/>
    </row>
    <row r="282" spans="1:1">
      <c r="A282" s="622"/>
    </row>
    <row r="283" spans="1:1">
      <c r="A283" s="622"/>
    </row>
    <row r="284" spans="1:1">
      <c r="A284" s="622"/>
    </row>
    <row r="285" spans="1:1">
      <c r="A285" s="622"/>
    </row>
    <row r="286" spans="1:1">
      <c r="A286" s="622"/>
    </row>
    <row r="287" spans="1:1">
      <c r="A287" s="622"/>
    </row>
    <row r="288" spans="1:1">
      <c r="A288" s="622"/>
    </row>
    <row r="289" spans="1:1">
      <c r="A289" s="622"/>
    </row>
    <row r="290" spans="1:1">
      <c r="A290" s="622"/>
    </row>
    <row r="291" spans="1:1">
      <c r="A291" s="622"/>
    </row>
    <row r="292" spans="1:1">
      <c r="A292" s="622"/>
    </row>
    <row r="293" spans="1:1">
      <c r="A293" s="622"/>
    </row>
    <row r="294" spans="1:1">
      <c r="A294" s="622"/>
    </row>
    <row r="295" spans="1:1">
      <c r="A295" s="622"/>
    </row>
    <row r="296" spans="1:1">
      <c r="A296" s="622"/>
    </row>
    <row r="297" spans="1:1">
      <c r="A297" s="622"/>
    </row>
    <row r="298" spans="1:1">
      <c r="A298" s="622"/>
    </row>
    <row r="299" spans="1:1">
      <c r="A299" s="622"/>
    </row>
    <row r="300" spans="1:1">
      <c r="A300" s="622"/>
    </row>
    <row r="301" spans="1:1">
      <c r="A301" s="622"/>
    </row>
    <row r="302" spans="1:1">
      <c r="A302" s="622"/>
    </row>
    <row r="303" spans="1:1">
      <c r="A303" s="622"/>
    </row>
    <row r="304" spans="1:1">
      <c r="A304" s="622"/>
    </row>
    <row r="305" spans="1:1">
      <c r="A305" s="622"/>
    </row>
    <row r="306" spans="1:1">
      <c r="A306" s="622"/>
    </row>
    <row r="307" spans="1:1">
      <c r="A307" s="622"/>
    </row>
    <row r="308" spans="1:1">
      <c r="A308" s="622"/>
    </row>
    <row r="309" spans="1:1">
      <c r="A309" s="622"/>
    </row>
    <row r="310" spans="1:1">
      <c r="A310" s="622"/>
    </row>
    <row r="311" spans="1:1">
      <c r="A311" s="622"/>
    </row>
    <row r="312" spans="1:1">
      <c r="A312" s="622"/>
    </row>
    <row r="313" spans="1:1">
      <c r="A313" s="622"/>
    </row>
    <row r="314" spans="1:1">
      <c r="A314" s="622"/>
    </row>
    <row r="315" spans="1:1">
      <c r="A315" s="622"/>
    </row>
    <row r="316" spans="1:1">
      <c r="A316" s="622"/>
    </row>
    <row r="317" spans="1:1">
      <c r="A317" s="622"/>
    </row>
    <row r="318" spans="1:1">
      <c r="A318" s="622"/>
    </row>
    <row r="319" spans="1:1">
      <c r="A319" s="622"/>
    </row>
    <row r="320" spans="1:1">
      <c r="A320" s="622"/>
    </row>
    <row r="321" spans="1:1">
      <c r="A321" s="622"/>
    </row>
    <row r="322" spans="1:1">
      <c r="A322" s="622"/>
    </row>
    <row r="323" spans="1:1">
      <c r="A323" s="622"/>
    </row>
    <row r="324" spans="1:1">
      <c r="A324" s="622"/>
    </row>
    <row r="325" spans="1:1">
      <c r="A325" s="622"/>
    </row>
    <row r="326" spans="1:1">
      <c r="A326" s="622"/>
    </row>
    <row r="327" spans="1:1">
      <c r="A327" s="622"/>
    </row>
    <row r="328" spans="1:1">
      <c r="A328" s="622"/>
    </row>
    <row r="329" spans="1:1">
      <c r="A329" s="622"/>
    </row>
    <row r="330" spans="1:1">
      <c r="A330" s="622"/>
    </row>
    <row r="331" spans="1:1">
      <c r="A331" s="622"/>
    </row>
    <row r="332" spans="1:1">
      <c r="A332" s="622"/>
    </row>
    <row r="333" spans="1:1">
      <c r="A333" s="622"/>
    </row>
    <row r="334" spans="1:1">
      <c r="A334" s="622"/>
    </row>
    <row r="335" spans="1:1">
      <c r="A335" s="622"/>
    </row>
    <row r="336" spans="1:1">
      <c r="A336" s="622"/>
    </row>
    <row r="337" spans="1:1">
      <c r="A337" s="622"/>
    </row>
    <row r="338" spans="1:1">
      <c r="A338" s="622"/>
    </row>
    <row r="339" spans="1:1">
      <c r="A339" s="622"/>
    </row>
    <row r="340" spans="1:1">
      <c r="A340" s="622"/>
    </row>
    <row r="341" spans="1:1">
      <c r="A341" s="622"/>
    </row>
    <row r="342" spans="1:1">
      <c r="A342" s="622"/>
    </row>
    <row r="343" spans="1:1">
      <c r="A343" s="622"/>
    </row>
    <row r="344" spans="1:1">
      <c r="A344" s="622"/>
    </row>
    <row r="345" spans="1:1">
      <c r="A345" s="622"/>
    </row>
    <row r="346" spans="1:1">
      <c r="A346" s="622"/>
    </row>
    <row r="347" spans="1:1">
      <c r="A347" s="622"/>
    </row>
    <row r="348" spans="1:1">
      <c r="A348" s="622"/>
    </row>
    <row r="349" spans="1:1">
      <c r="A349" s="622"/>
    </row>
    <row r="350" spans="1:1">
      <c r="A350" s="622"/>
    </row>
    <row r="351" spans="1:1">
      <c r="A351" s="622"/>
    </row>
    <row r="352" spans="1:1">
      <c r="A352" s="622"/>
    </row>
    <row r="353" spans="1:1">
      <c r="A353" s="622"/>
    </row>
    <row r="354" spans="1:1">
      <c r="A354" s="622"/>
    </row>
    <row r="355" spans="1:1">
      <c r="A355" s="622"/>
    </row>
    <row r="356" spans="1:1">
      <c r="A356" s="622"/>
    </row>
    <row r="357" spans="1:1">
      <c r="A357" s="622"/>
    </row>
    <row r="358" spans="1:1">
      <c r="A358" s="622"/>
    </row>
    <row r="359" spans="1:1">
      <c r="A359" s="622"/>
    </row>
    <row r="360" spans="1:1">
      <c r="A360" s="622"/>
    </row>
    <row r="361" spans="1:1">
      <c r="A361" s="622"/>
    </row>
    <row r="362" spans="1:1">
      <c r="A362" s="622"/>
    </row>
    <row r="363" spans="1:1">
      <c r="A363" s="622"/>
    </row>
    <row r="364" spans="1:1">
      <c r="A364" s="622"/>
    </row>
    <row r="365" spans="1:1">
      <c r="A365" s="622"/>
    </row>
    <row r="366" spans="1:1">
      <c r="A366" s="622"/>
    </row>
    <row r="367" spans="1:1">
      <c r="A367" s="622"/>
    </row>
    <row r="368" spans="1:1">
      <c r="A368" s="622"/>
    </row>
    <row r="369" spans="1:1">
      <c r="A369" s="622"/>
    </row>
    <row r="370" spans="1:1">
      <c r="A370" s="622"/>
    </row>
    <row r="371" spans="1:1">
      <c r="A371" s="622"/>
    </row>
    <row r="372" spans="1:1">
      <c r="A372" s="622"/>
    </row>
    <row r="373" spans="1:1">
      <c r="A373" s="622"/>
    </row>
    <row r="374" spans="1:1">
      <c r="A374" s="622"/>
    </row>
    <row r="375" spans="1:1">
      <c r="A375" s="622"/>
    </row>
    <row r="376" spans="1:1">
      <c r="A376" s="622"/>
    </row>
    <row r="377" spans="1:1">
      <c r="A377" s="622"/>
    </row>
  </sheetData>
  <conditionalFormatting sqref="D40">
    <cfRule type="iconSet" priority="31">
      <iconSet iconSet="3Symbols" showValue="0" reverse="1">
        <cfvo type="percent" val="0"/>
        <cfvo type="num" val="0.17"/>
        <cfvo type="num" val="0.19"/>
      </iconSet>
    </cfRule>
  </conditionalFormatting>
  <conditionalFormatting sqref="D53">
    <cfRule type="iconSet" priority="30">
      <iconSet iconSet="3Symbols" showValue="0" reverse="1">
        <cfvo type="percent" val="0"/>
        <cfvo type="num" val="0.8"/>
        <cfvo type="num" val="1"/>
      </iconSet>
    </cfRule>
  </conditionalFormatting>
  <conditionalFormatting sqref="C45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D102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D135:D139">
    <cfRule type="iconSet" priority="25">
      <iconSet iconSet="3Symbols" showValue="0" reverse="1">
        <cfvo type="percent" val="0"/>
        <cfvo type="num" val="0.17"/>
        <cfvo type="num" val="0.19"/>
      </iconSet>
    </cfRule>
  </conditionalFormatting>
  <conditionalFormatting sqref="D144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C40">
    <cfRule type="iconSet" priority="21">
      <iconSet iconSet="3Symbols" reverse="1">
        <cfvo type="percent" val="0"/>
        <cfvo type="num" val="0.17"/>
        <cfvo type="num" val="0.19"/>
      </iconSet>
    </cfRule>
  </conditionalFormatting>
  <conditionalFormatting sqref="C93:C94">
    <cfRule type="iconSet" priority="20">
      <iconSet iconSet="3Symbols" reverse="1">
        <cfvo type="percent" val="0"/>
        <cfvo type="num" val="0.13"/>
        <cfvo type="num" val="0.15"/>
      </iconSet>
    </cfRule>
  </conditionalFormatting>
  <conditionalFormatting sqref="D97:D98">
    <cfRule type="iconSet" priority="140">
      <iconSet iconSet="3Symbols" showValue="0" reverse="1">
        <cfvo type="percent" val="0"/>
        <cfvo type="num" val="0.17"/>
        <cfvo type="num" val="0.19"/>
      </iconSet>
    </cfRule>
  </conditionalFormatting>
  <conditionalFormatting sqref="C135">
    <cfRule type="iconSet" priority="19">
      <iconSet iconSet="3Symbols" reverse="1">
        <cfvo type="percent" val="0"/>
        <cfvo type="num" val="0.13"/>
        <cfvo type="num" val="0.15"/>
      </iconSet>
    </cfRule>
  </conditionalFormatting>
  <conditionalFormatting sqref="C35">
    <cfRule type="iconSet" priority="16">
      <iconSet iconSet="3Symbols" reverse="1">
        <cfvo type="percent" val="0"/>
        <cfvo type="num" val="1.4999999999999999E-2"/>
        <cfvo type="num" val="0.02"/>
      </iconSet>
    </cfRule>
  </conditionalFormatting>
  <conditionalFormatting sqref="C88">
    <cfRule type="iconSet" priority="15">
      <iconSet iconSet="3Symbols" reverse="1">
        <cfvo type="percent" val="0"/>
        <cfvo type="num" val="1.4999999999999999E-2"/>
        <cfvo type="num" val="0.02"/>
      </iconSet>
    </cfRule>
  </conditionalFormatting>
  <conditionalFormatting sqref="C98">
    <cfRule type="iconSet" priority="14">
      <iconSet iconSet="3Symbols">
        <cfvo type="percent" val="0"/>
        <cfvo type="num" val="0.43"/>
        <cfvo type="num" val="0.45"/>
      </iconSet>
    </cfRule>
  </conditionalFormatting>
  <conditionalFormatting sqref="C130">
    <cfRule type="iconSet" priority="13">
      <iconSet iconSet="3Symbols" reverse="1">
        <cfvo type="percent" val="0"/>
        <cfvo type="num" val="1.4999999999999999E-2"/>
        <cfvo type="num" val="0.02"/>
      </iconSet>
    </cfRule>
  </conditionalFormatting>
  <conditionalFormatting sqref="D55">
    <cfRule type="notContainsText" dxfId="230" priority="11" operator="notContains" text="OK">
      <formula>ISERROR(SEARCH("OK",D55))</formula>
    </cfRule>
    <cfRule type="containsText" dxfId="229" priority="12" operator="containsText" text="OK">
      <formula>NOT(ISERROR(SEARCH("OK",D55)))</formula>
    </cfRule>
  </conditionalFormatting>
  <conditionalFormatting sqref="D104">
    <cfRule type="notContainsText" dxfId="228" priority="9" operator="notContains" text="OK">
      <formula>ISERROR(SEARCH("OK",D104))</formula>
    </cfRule>
    <cfRule type="containsText" dxfId="227" priority="10" operator="containsText" text="OK">
      <formula>NOT(ISERROR(SEARCH("OK",D104)))</formula>
    </cfRule>
  </conditionalFormatting>
  <conditionalFormatting sqref="D146">
    <cfRule type="notContainsText" dxfId="226" priority="7" operator="notContains" text="OK">
      <formula>ISERROR(SEARCH("OK",D146))</formula>
    </cfRule>
    <cfRule type="containsText" dxfId="225" priority="8" operator="containsText" text="OK">
      <formula>NOT(ISERROR(SEARCH("OK",D146)))</formula>
    </cfRule>
  </conditionalFormatting>
  <conditionalFormatting sqref="D24">
    <cfRule type="containsText" dxfId="224" priority="6" operator="containsText" text="OK">
      <formula>NOT(ISERROR(SEARCH("OK",D24)))</formula>
    </cfRule>
  </conditionalFormatting>
  <dataValidations count="3">
    <dataValidation type="list" allowBlank="1" showInputMessage="1" showErrorMessage="1" sqref="C55 C104 C146" xr:uid="{C37074EB-1A21-4727-BBFA-496C670640D9}">
      <formula1>BrokerList</formula1>
    </dataValidation>
    <dataValidation allowBlank="1" showInputMessage="1" showErrorMessage="1" sqref="C19" xr:uid="{0A7A66DA-BB0C-4EF1-88FE-38384B102585}"/>
    <dataValidation type="list" allowBlank="1" showInputMessage="1" showErrorMessage="1" sqref="C52" xr:uid="{C58EA7DF-036F-48E4-82FF-95A34B34BF06}">
      <formula1>$AJ$51:$AJ$55</formula1>
    </dataValidation>
  </dataValidations>
  <pageMargins left="0.7" right="0.7" top="0.75" bottom="0.75" header="0.3" footer="0.3"/>
  <pageSetup paperSize="9" orientation="portrait" r:id="rId1"/>
  <ignoredErrors>
    <ignoredError sqref="C22:C2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7">
    <tabColor theme="9" tint="0.39997558519241921"/>
  </sheetPr>
  <dimension ref="A1:AU65"/>
  <sheetViews>
    <sheetView zoomScaleNormal="100" workbookViewId="0">
      <selection activeCell="R19" sqref="R19"/>
    </sheetView>
  </sheetViews>
  <sheetFormatPr defaultColWidth="9" defaultRowHeight="13" outlineLevelCol="1"/>
  <cols>
    <col min="1" max="1" width="12.54296875" style="594" customWidth="1"/>
    <col min="2" max="2" width="13.54296875" style="594" customWidth="1"/>
    <col min="3" max="3" width="12.81640625" style="594" hidden="1" customWidth="1" outlineLevel="1"/>
    <col min="4" max="4" width="15.26953125" style="594" customWidth="1" collapsed="1"/>
    <col min="5" max="5" width="14.26953125" style="716" customWidth="1"/>
    <col min="6" max="6" width="27.26953125" style="716" customWidth="1"/>
    <col min="7" max="7" width="25.81640625" style="716" bestFit="1" customWidth="1"/>
    <col min="8" max="8" width="9.26953125" style="716" bestFit="1" customWidth="1"/>
    <col min="9" max="9" width="12.7265625" style="716" bestFit="1" customWidth="1"/>
    <col min="10" max="10" width="18.81640625" style="716" customWidth="1"/>
    <col min="11" max="11" width="16.26953125" style="716" customWidth="1"/>
    <col min="12" max="12" width="11.81640625" style="716" customWidth="1"/>
    <col min="13" max="13" width="12.26953125" style="716" customWidth="1"/>
    <col min="14" max="14" width="12" style="716" bestFit="1" customWidth="1"/>
    <col min="15" max="15" width="18.54296875" style="716" customWidth="1"/>
    <col min="16" max="16" width="9" style="808" customWidth="1"/>
    <col min="17" max="17" width="18.26953125" style="716" customWidth="1"/>
    <col min="18" max="18" width="16" style="716" customWidth="1"/>
    <col min="19" max="19" width="12" style="594" customWidth="1"/>
    <col min="20" max="20" width="13" style="1045" customWidth="1"/>
    <col min="21" max="21" width="9" style="716"/>
    <col min="22" max="22" width="9" style="809"/>
    <col min="23" max="23" width="9" style="594"/>
    <col min="24" max="25" width="9.54296875" style="594" bestFit="1" customWidth="1"/>
    <col min="26" max="31" width="9" style="716"/>
    <col min="32" max="47" width="9" style="564"/>
    <col min="48" max="16384" width="9" style="716"/>
  </cols>
  <sheetData>
    <row r="1" spans="1:31" s="564" customFormat="1">
      <c r="A1" s="558"/>
      <c r="B1" s="558"/>
      <c r="D1" s="558"/>
      <c r="M1" s="558"/>
      <c r="N1" s="558"/>
      <c r="O1" s="558"/>
      <c r="P1" s="625"/>
      <c r="Q1" s="558"/>
      <c r="T1" s="1015"/>
      <c r="V1" s="625"/>
      <c r="W1" s="558"/>
      <c r="X1" s="558"/>
      <c r="Y1" s="558"/>
    </row>
    <row r="2" spans="1:31" s="564" customFormat="1">
      <c r="A2" s="558"/>
      <c r="B2" s="558"/>
      <c r="D2" s="558"/>
      <c r="M2" s="558"/>
      <c r="N2" s="558"/>
      <c r="O2" s="558"/>
      <c r="P2" s="625"/>
      <c r="Q2" s="558"/>
      <c r="T2" s="1015"/>
      <c r="V2" s="625"/>
      <c r="W2" s="558"/>
      <c r="X2" s="558"/>
      <c r="Y2" s="558"/>
    </row>
    <row r="3" spans="1:31" s="564" customFormat="1">
      <c r="A3" s="558"/>
      <c r="B3" s="558"/>
      <c r="D3" s="558"/>
      <c r="M3" s="558"/>
      <c r="N3" s="558"/>
      <c r="O3" s="558"/>
      <c r="P3" s="625"/>
      <c r="Q3" s="558"/>
      <c r="T3" s="1015"/>
      <c r="V3" s="625"/>
      <c r="W3" s="558"/>
      <c r="X3" s="558"/>
      <c r="Y3" s="558"/>
    </row>
    <row r="4" spans="1:31" s="564" customFormat="1">
      <c r="A4" s="558"/>
      <c r="B4" s="558"/>
      <c r="D4" s="558"/>
      <c r="M4" s="558"/>
      <c r="N4" s="558"/>
      <c r="O4" s="558"/>
      <c r="P4" s="625"/>
      <c r="Q4" s="558"/>
      <c r="T4" s="1015"/>
      <c r="V4" s="625"/>
      <c r="W4" s="558"/>
      <c r="X4" s="558"/>
      <c r="Y4" s="558"/>
    </row>
    <row r="5" spans="1:31" s="564" customFormat="1">
      <c r="A5" s="558"/>
      <c r="B5" s="558"/>
      <c r="D5" s="558"/>
      <c r="M5" s="558"/>
      <c r="N5" s="558"/>
      <c r="O5" s="558"/>
      <c r="P5" s="625"/>
      <c r="Q5" s="558"/>
      <c r="T5" s="1015"/>
      <c r="V5" s="625"/>
      <c r="W5" s="558"/>
      <c r="X5" s="558"/>
      <c r="Y5" s="558"/>
    </row>
    <row r="6" spans="1:31">
      <c r="A6" s="558"/>
      <c r="B6" s="558"/>
      <c r="C6" s="558"/>
      <c r="D6" s="558"/>
      <c r="E6" s="564"/>
      <c r="F6" s="564"/>
      <c r="G6" s="564"/>
      <c r="H6" s="564"/>
      <c r="I6" s="564"/>
      <c r="J6" s="564"/>
      <c r="K6" s="564"/>
      <c r="L6" s="564"/>
      <c r="M6" s="564"/>
      <c r="N6" s="564"/>
      <c r="O6" s="564"/>
      <c r="P6" s="623"/>
      <c r="Q6" s="564"/>
      <c r="R6" s="564"/>
      <c r="S6" s="558"/>
      <c r="T6" s="1015"/>
      <c r="U6" s="564"/>
      <c r="V6" s="625"/>
      <c r="W6" s="558"/>
      <c r="X6" s="558"/>
      <c r="Y6" s="558"/>
      <c r="Z6" s="564"/>
      <c r="AA6" s="564"/>
      <c r="AB6" s="564"/>
      <c r="AC6" s="564"/>
      <c r="AD6" s="564"/>
      <c r="AE6" s="564"/>
    </row>
    <row r="7" spans="1:31">
      <c r="A7" s="558"/>
      <c r="B7" s="558"/>
      <c r="C7" s="558"/>
      <c r="D7" s="558"/>
      <c r="E7" s="564"/>
      <c r="F7" s="564"/>
      <c r="G7" s="564"/>
      <c r="H7" s="564"/>
      <c r="I7" s="564"/>
      <c r="J7" s="564"/>
      <c r="K7" s="564"/>
      <c r="L7" s="564"/>
      <c r="M7" s="564"/>
      <c r="N7" s="564"/>
      <c r="O7" s="564"/>
      <c r="P7" s="623"/>
      <c r="Q7" s="564"/>
      <c r="R7" s="564"/>
      <c r="S7" s="558"/>
      <c r="T7" s="1015"/>
      <c r="U7" s="564"/>
      <c r="V7" s="625"/>
      <c r="W7" s="558"/>
      <c r="X7" s="558"/>
      <c r="Y7" s="558"/>
      <c r="Z7" s="564"/>
      <c r="AA7" s="564"/>
      <c r="AB7" s="564"/>
      <c r="AC7" s="564"/>
      <c r="AD7" s="564"/>
      <c r="AE7" s="564"/>
    </row>
    <row r="8" spans="1:31">
      <c r="A8" s="558"/>
      <c r="B8" s="558"/>
      <c r="C8" s="558"/>
      <c r="D8" s="558"/>
      <c r="E8" s="558"/>
      <c r="F8" s="564"/>
      <c r="G8" s="558"/>
      <c r="H8" s="558"/>
      <c r="I8" s="835"/>
      <c r="J8" s="558"/>
      <c r="K8" s="558"/>
      <c r="L8" s="558"/>
      <c r="M8" s="558"/>
      <c r="N8" s="558"/>
      <c r="O8" s="558"/>
      <c r="P8" s="625"/>
      <c r="Q8" s="558"/>
      <c r="R8" s="558"/>
      <c r="S8" s="558"/>
      <c r="T8" s="1016"/>
      <c r="U8" s="720"/>
      <c r="V8" s="1017"/>
      <c r="W8" s="720"/>
      <c r="X8" s="720"/>
      <c r="Y8" s="720"/>
      <c r="Z8" s="564"/>
      <c r="AA8" s="564"/>
      <c r="AB8" s="564"/>
      <c r="AC8" s="564"/>
      <c r="AD8" s="564"/>
      <c r="AE8" s="564"/>
    </row>
    <row r="9" spans="1:31">
      <c r="A9" s="558"/>
      <c r="B9" s="558"/>
      <c r="C9" s="730"/>
      <c r="D9" s="558"/>
      <c r="E9" s="558"/>
      <c r="F9" s="564"/>
      <c r="G9" s="558"/>
      <c r="H9" s="564"/>
      <c r="I9" s="1018"/>
      <c r="J9" s="1019"/>
      <c r="K9" s="564"/>
      <c r="L9" s="564"/>
      <c r="M9" s="564"/>
      <c r="N9" s="564"/>
      <c r="O9" s="564"/>
      <c r="P9" s="623"/>
      <c r="Q9" s="564"/>
      <c r="R9" s="1020"/>
      <c r="S9" s="558"/>
      <c r="T9" s="1016"/>
      <c r="U9" s="720"/>
      <c r="V9" s="625"/>
      <c r="W9" s="558"/>
      <c r="X9" s="558"/>
      <c r="Y9" s="558"/>
      <c r="Z9" s="564"/>
      <c r="AA9" s="564"/>
      <c r="AB9" s="564"/>
      <c r="AC9" s="564"/>
      <c r="AD9" s="564"/>
      <c r="AE9" s="564"/>
    </row>
    <row r="10" spans="1:31" ht="26">
      <c r="A10" s="1021" t="s">
        <v>27</v>
      </c>
      <c r="B10" s="821" t="s">
        <v>135</v>
      </c>
      <c r="C10" s="823" t="s">
        <v>155</v>
      </c>
      <c r="D10" s="824" t="s">
        <v>34</v>
      </c>
      <c r="E10" s="823" t="s">
        <v>45</v>
      </c>
      <c r="F10" s="1022" t="s">
        <v>80</v>
      </c>
      <c r="G10" s="823" t="s">
        <v>5</v>
      </c>
      <c r="H10" s="823" t="s">
        <v>20</v>
      </c>
      <c r="I10" s="1023" t="s">
        <v>36</v>
      </c>
      <c r="J10" s="823" t="s">
        <v>46</v>
      </c>
      <c r="K10" s="823" t="s">
        <v>120</v>
      </c>
      <c r="L10" s="823" t="s">
        <v>30</v>
      </c>
      <c r="M10" s="823" t="s">
        <v>31</v>
      </c>
      <c r="N10" s="823" t="s">
        <v>48</v>
      </c>
      <c r="O10" s="823" t="s">
        <v>119</v>
      </c>
      <c r="P10" s="1024" t="s">
        <v>25</v>
      </c>
      <c r="Q10" s="823" t="s">
        <v>47</v>
      </c>
      <c r="R10" s="1025" t="s">
        <v>32</v>
      </c>
      <c r="S10" s="1025" t="s">
        <v>33</v>
      </c>
      <c r="T10" s="826" t="s">
        <v>141</v>
      </c>
      <c r="U10" s="720"/>
      <c r="V10" s="1026" t="s">
        <v>37</v>
      </c>
      <c r="W10" s="1027" t="s">
        <v>38</v>
      </c>
      <c r="X10" s="1028" t="s">
        <v>49</v>
      </c>
      <c r="Y10" s="1027" t="s">
        <v>10</v>
      </c>
      <c r="Z10" s="564"/>
      <c r="AA10" s="564"/>
      <c r="AB10" s="564"/>
      <c r="AC10" s="564"/>
      <c r="AD10" s="564"/>
      <c r="AE10" s="564"/>
    </row>
    <row r="11" spans="1:31">
      <c r="A11" s="1029">
        <v>44208</v>
      </c>
      <c r="B11" s="1030" t="s">
        <v>133</v>
      </c>
      <c r="C11" s="1007" t="str">
        <f>IFERROR(VLOOKUP(D11,PosAggregate!$A$86:$A$138,1,FALSE),"")</f>
        <v/>
      </c>
      <c r="D11" s="1031" t="s">
        <v>2129</v>
      </c>
      <c r="E11" s="1007" t="str">
        <f t="shared" ref="E11:E59" si="0">IF(C11=D11,"YES","NO")</f>
        <v>NO</v>
      </c>
      <c r="F11" s="1046" t="e">
        <f ca="1">_xll.BDP(D11 &amp; " ISIN","SECURITY_NAME")</f>
        <v>#NAME?</v>
      </c>
      <c r="G11" s="1007" t="e">
        <f ca="1">_xll.BDP(D11 &amp; " ISIN","Crncy")</f>
        <v>#NAME?</v>
      </c>
      <c r="H11" s="1033">
        <v>97</v>
      </c>
      <c r="I11" s="1034">
        <v>300000</v>
      </c>
      <c r="J11" s="1048">
        <f t="shared" ref="J11:J51" si="1">-H11*I11/100</f>
        <v>-291000</v>
      </c>
      <c r="K11" s="1035"/>
      <c r="L11" s="833"/>
      <c r="M11" s="833"/>
      <c r="N11" s="1036"/>
      <c r="O11" s="1049">
        <f t="shared" ref="O11:O64" si="2">J11+K11+L11+N11</f>
        <v>-291000</v>
      </c>
      <c r="P11" s="1037">
        <v>1</v>
      </c>
      <c r="Q11" s="1050">
        <f t="shared" ref="Q11:Q52" si="3">+O11/P11</f>
        <v>-291000</v>
      </c>
      <c r="R11" s="1047">
        <f>A11+2</f>
        <v>44210</v>
      </c>
      <c r="S11" s="831" t="s">
        <v>1059</v>
      </c>
      <c r="T11" s="1039">
        <v>0.5444444444444444</v>
      </c>
      <c r="U11" s="720"/>
      <c r="V11" s="625"/>
      <c r="W11" s="1040"/>
      <c r="X11" s="1041"/>
      <c r="Y11" s="1041"/>
      <c r="Z11" s="564"/>
      <c r="AA11" s="564"/>
      <c r="AB11" s="564"/>
      <c r="AC11" s="564"/>
      <c r="AD11" s="564"/>
      <c r="AE11" s="564"/>
    </row>
    <row r="12" spans="1:31">
      <c r="A12" s="1029">
        <v>44208</v>
      </c>
      <c r="B12" s="1030" t="s">
        <v>133</v>
      </c>
      <c r="C12" s="1007" t="str">
        <f>IFERROR(VLOOKUP(D12,PosAggregate!$A$86:$A$138,1,FALSE),"")</f>
        <v/>
      </c>
      <c r="D12" s="1031" t="s">
        <v>2130</v>
      </c>
      <c r="E12" s="1007" t="str">
        <f t="shared" si="0"/>
        <v>NO</v>
      </c>
      <c r="F12" s="1046" t="e">
        <f ca="1">_xll.BDP(D12 &amp; " ISIN","SECURITY_NAME")</f>
        <v>#NAME?</v>
      </c>
      <c r="G12" s="1007" t="e">
        <f ca="1">_xll.BDP(D12 &amp; " ISIN","Crncy")</f>
        <v>#NAME?</v>
      </c>
      <c r="H12" s="1033">
        <v>122</v>
      </c>
      <c r="I12" s="1034">
        <v>300000</v>
      </c>
      <c r="J12" s="1048">
        <f t="shared" si="1"/>
        <v>-366000</v>
      </c>
      <c r="K12" s="1035"/>
      <c r="L12" s="833"/>
      <c r="M12" s="833"/>
      <c r="N12" s="1036"/>
      <c r="O12" s="1049">
        <f t="shared" si="2"/>
        <v>-366000</v>
      </c>
      <c r="P12" s="1037">
        <v>1.21</v>
      </c>
      <c r="Q12" s="1050">
        <f t="shared" si="3"/>
        <v>-302479.33884297521</v>
      </c>
      <c r="R12" s="1047">
        <f>A12+2</f>
        <v>44210</v>
      </c>
      <c r="S12" s="831" t="s">
        <v>1183</v>
      </c>
      <c r="T12" s="1039">
        <v>0.65625</v>
      </c>
      <c r="U12" s="720"/>
      <c r="V12" s="625"/>
      <c r="W12" s="1040"/>
      <c r="X12" s="1041"/>
      <c r="Y12" s="1041"/>
      <c r="Z12" s="564"/>
      <c r="AA12" s="564"/>
      <c r="AB12" s="564"/>
      <c r="AC12" s="564"/>
      <c r="AD12" s="564"/>
      <c r="AE12" s="564"/>
    </row>
    <row r="13" spans="1:31">
      <c r="A13" s="1029">
        <v>44473</v>
      </c>
      <c r="B13" s="1030" t="s">
        <v>134</v>
      </c>
      <c r="C13" s="1007" t="str">
        <f>IFERROR(VLOOKUP(D13,PosAggregate!$A$86:$A$138,1,FALSE),"")</f>
        <v/>
      </c>
      <c r="D13" s="1031" t="s">
        <v>2130</v>
      </c>
      <c r="E13" s="1007" t="str">
        <f t="shared" si="0"/>
        <v>NO</v>
      </c>
      <c r="F13" s="1046" t="e">
        <f t="shared" ref="F13:F65" ca="1" si="4">_xll.BDP(D13 &amp; " ISIN","SECURITY_NAME")</f>
        <v>#NAME?</v>
      </c>
      <c r="G13" s="1007" t="e">
        <f t="shared" ref="G13:G65" ca="1" si="5">_xll.BDP(D13 &amp; " ISIN","Crncy")</f>
        <v>#NAME?</v>
      </c>
      <c r="H13" s="1033">
        <v>120.32</v>
      </c>
      <c r="I13" s="1034">
        <v>-300000</v>
      </c>
      <c r="J13" s="1048">
        <f t="shared" si="1"/>
        <v>360960</v>
      </c>
      <c r="K13" s="1035"/>
      <c r="L13" s="833"/>
      <c r="M13" s="833"/>
      <c r="N13" s="1036">
        <v>12300</v>
      </c>
      <c r="O13" s="1049">
        <f>J13+K13+L13+N13</f>
        <v>373260</v>
      </c>
      <c r="P13" s="1037">
        <v>1.159</v>
      </c>
      <c r="Q13" s="1050">
        <f t="shared" si="3"/>
        <v>322053.49439171702</v>
      </c>
      <c r="R13" s="1038">
        <v>44475</v>
      </c>
      <c r="S13" s="831" t="s">
        <v>1183</v>
      </c>
      <c r="T13" s="1039">
        <v>0.47222222222222227</v>
      </c>
      <c r="U13" s="720"/>
      <c r="V13" s="625"/>
      <c r="W13" s="1040"/>
      <c r="X13" s="1041"/>
      <c r="Y13" s="1041"/>
      <c r="Z13" s="564"/>
      <c r="AA13" s="564"/>
      <c r="AB13" s="564"/>
      <c r="AC13" s="564"/>
      <c r="AD13" s="564"/>
      <c r="AE13" s="564"/>
    </row>
    <row r="14" spans="1:31">
      <c r="A14" s="1029">
        <v>44491</v>
      </c>
      <c r="B14" s="1030" t="s">
        <v>134</v>
      </c>
      <c r="C14" s="1007" t="str">
        <f>IFERROR(VLOOKUP(D14,PosAggregate!$A$86:$A$138,1,FALSE),"")</f>
        <v/>
      </c>
      <c r="D14" s="1031" t="s">
        <v>2129</v>
      </c>
      <c r="E14" s="1007" t="str">
        <f t="shared" si="0"/>
        <v>NO</v>
      </c>
      <c r="F14" s="1046" t="e">
        <f ca="1">_xll.BDP(D14 &amp; " ISIN","SECURITY_NAME")</f>
        <v>#NAME?</v>
      </c>
      <c r="G14" s="1007" t="e">
        <f t="shared" ca="1" si="5"/>
        <v>#NAME?</v>
      </c>
      <c r="H14" s="1033">
        <v>104.63</v>
      </c>
      <c r="I14" s="1034">
        <v>-300000</v>
      </c>
      <c r="J14" s="1048">
        <f>-H14*I14/100</f>
        <v>313890</v>
      </c>
      <c r="K14" s="1035"/>
      <c r="L14" s="833"/>
      <c r="M14" s="833"/>
      <c r="N14" s="1036">
        <v>4680</v>
      </c>
      <c r="O14" s="1049">
        <f>J14+K14+L14+N14</f>
        <v>318570</v>
      </c>
      <c r="P14" s="1037">
        <v>1</v>
      </c>
      <c r="Q14" s="1050">
        <f>+O14/P14</f>
        <v>318570</v>
      </c>
      <c r="R14" s="1038">
        <v>44495</v>
      </c>
      <c r="S14" s="831" t="s">
        <v>1183</v>
      </c>
      <c r="T14" s="1039"/>
      <c r="U14" s="720"/>
      <c r="V14" s="625"/>
      <c r="W14" s="1040"/>
      <c r="X14" s="1041"/>
      <c r="Y14" s="1041"/>
      <c r="Z14" s="564"/>
      <c r="AA14" s="564"/>
      <c r="AB14" s="564"/>
      <c r="AC14" s="564"/>
      <c r="AD14" s="564"/>
      <c r="AE14" s="564"/>
    </row>
    <row r="15" spans="1:31">
      <c r="A15" s="1029"/>
      <c r="B15" s="1030"/>
      <c r="C15" s="1007" t="str">
        <f>IFERROR(VLOOKUP(D15,PosAggregate!$A$86:$A$138,1,FALSE),"")</f>
        <v/>
      </c>
      <c r="D15" s="833"/>
      <c r="E15" s="1007" t="str">
        <f t="shared" si="0"/>
        <v>YES</v>
      </c>
      <c r="F15" s="1046" t="e">
        <f t="shared" ca="1" si="4"/>
        <v>#NAME?</v>
      </c>
      <c r="G15" s="1007" t="e">
        <f t="shared" ca="1" si="5"/>
        <v>#NAME?</v>
      </c>
      <c r="H15" s="1033"/>
      <c r="I15" s="1034"/>
      <c r="J15" s="1048">
        <f t="shared" si="1"/>
        <v>0</v>
      </c>
      <c r="K15" s="1035"/>
      <c r="L15" s="833"/>
      <c r="M15" s="833"/>
      <c r="N15" s="1036"/>
      <c r="O15" s="1049">
        <f t="shared" si="2"/>
        <v>0</v>
      </c>
      <c r="P15" s="1037"/>
      <c r="Q15" s="1050" t="e">
        <f>+O15/P15</f>
        <v>#DIV/0!</v>
      </c>
      <c r="R15" s="1038"/>
      <c r="S15" s="831"/>
      <c r="T15" s="1039"/>
      <c r="U15" s="720"/>
      <c r="V15" s="625"/>
      <c r="W15" s="1040"/>
      <c r="X15" s="1041"/>
      <c r="Y15" s="1041"/>
      <c r="Z15" s="564"/>
      <c r="AA15" s="564"/>
      <c r="AB15" s="564"/>
      <c r="AC15" s="564"/>
      <c r="AD15" s="564"/>
      <c r="AE15" s="564"/>
    </row>
    <row r="16" spans="1:31">
      <c r="A16" s="1029"/>
      <c r="B16" s="1030"/>
      <c r="C16" s="1007" t="str">
        <f>IFERROR(VLOOKUP(D16,PosAggregate!$A$86:$A$138,1,FALSE),"")</f>
        <v/>
      </c>
      <c r="D16" s="833"/>
      <c r="E16" s="1007" t="str">
        <f t="shared" si="0"/>
        <v>YES</v>
      </c>
      <c r="F16" s="1046" t="e">
        <f t="shared" ca="1" si="4"/>
        <v>#NAME?</v>
      </c>
      <c r="G16" s="1007" t="e">
        <f t="shared" ca="1" si="5"/>
        <v>#NAME?</v>
      </c>
      <c r="H16" s="1033"/>
      <c r="I16" s="1034"/>
      <c r="J16" s="1048">
        <f t="shared" si="1"/>
        <v>0</v>
      </c>
      <c r="K16" s="1035"/>
      <c r="L16" s="833"/>
      <c r="M16" s="833"/>
      <c r="N16" s="1036"/>
      <c r="O16" s="1049">
        <f t="shared" si="2"/>
        <v>0</v>
      </c>
      <c r="P16" s="1037"/>
      <c r="Q16" s="1050" t="e">
        <f t="shared" si="3"/>
        <v>#DIV/0!</v>
      </c>
      <c r="R16" s="861"/>
      <c r="S16" s="831"/>
      <c r="T16" s="1039"/>
      <c r="U16" s="720"/>
      <c r="V16" s="625"/>
      <c r="W16" s="1040"/>
      <c r="X16" s="1041"/>
      <c r="Y16" s="1041"/>
      <c r="Z16" s="564"/>
      <c r="AA16" s="564"/>
      <c r="AB16" s="564"/>
      <c r="AC16" s="564"/>
      <c r="AD16" s="564"/>
      <c r="AE16" s="564"/>
    </row>
    <row r="17" spans="1:31">
      <c r="A17" s="1029"/>
      <c r="B17" s="1030"/>
      <c r="C17" s="1007" t="str">
        <f>IFERROR(VLOOKUP(D17,PosAggregate!$A$86:$A$138,1,FALSE),"")</f>
        <v/>
      </c>
      <c r="D17" s="833"/>
      <c r="E17" s="1007" t="str">
        <f t="shared" si="0"/>
        <v>YES</v>
      </c>
      <c r="F17" s="1046" t="e">
        <f t="shared" ca="1" si="4"/>
        <v>#NAME?</v>
      </c>
      <c r="G17" s="1007" t="e">
        <f t="shared" ca="1" si="5"/>
        <v>#NAME?</v>
      </c>
      <c r="H17" s="1033"/>
      <c r="I17" s="1034"/>
      <c r="J17" s="1048">
        <f t="shared" si="1"/>
        <v>0</v>
      </c>
      <c r="K17" s="1035"/>
      <c r="L17" s="833"/>
      <c r="M17" s="833"/>
      <c r="N17" s="1036"/>
      <c r="O17" s="1049">
        <f t="shared" si="2"/>
        <v>0</v>
      </c>
      <c r="P17" s="1037"/>
      <c r="Q17" s="1050" t="e">
        <f t="shared" si="3"/>
        <v>#DIV/0!</v>
      </c>
      <c r="R17" s="861"/>
      <c r="S17" s="831"/>
      <c r="T17" s="1039"/>
      <c r="U17" s="720"/>
      <c r="V17" s="625"/>
      <c r="W17" s="1040"/>
      <c r="X17" s="1041"/>
      <c r="Y17" s="1041"/>
      <c r="Z17" s="564"/>
      <c r="AA17" s="564"/>
      <c r="AB17" s="564"/>
      <c r="AC17" s="564"/>
      <c r="AD17" s="564"/>
      <c r="AE17" s="564"/>
    </row>
    <row r="18" spans="1:31">
      <c r="A18" s="1029"/>
      <c r="B18" s="1030"/>
      <c r="C18" s="1007" t="str">
        <f>IFERROR(VLOOKUP(D18,PosAggregate!$A$86:$A$138,1,FALSE),"")</f>
        <v/>
      </c>
      <c r="D18" s="833"/>
      <c r="E18" s="1007" t="str">
        <f t="shared" si="0"/>
        <v>YES</v>
      </c>
      <c r="F18" s="1046" t="e">
        <f t="shared" ca="1" si="4"/>
        <v>#NAME?</v>
      </c>
      <c r="G18" s="1007" t="e">
        <f t="shared" ca="1" si="5"/>
        <v>#NAME?</v>
      </c>
      <c r="H18" s="1033"/>
      <c r="I18" s="1034"/>
      <c r="J18" s="1048">
        <f t="shared" si="1"/>
        <v>0</v>
      </c>
      <c r="K18" s="1035"/>
      <c r="L18" s="833"/>
      <c r="M18" s="833"/>
      <c r="N18" s="1036"/>
      <c r="O18" s="1049">
        <f t="shared" si="2"/>
        <v>0</v>
      </c>
      <c r="P18" s="1037"/>
      <c r="Q18" s="1050" t="e">
        <f t="shared" si="3"/>
        <v>#DIV/0!</v>
      </c>
      <c r="R18" s="861"/>
      <c r="S18" s="831"/>
      <c r="T18" s="1039"/>
      <c r="U18" s="720"/>
      <c r="V18" s="625"/>
      <c r="W18" s="1040"/>
      <c r="X18" s="1041"/>
      <c r="Y18" s="1041"/>
      <c r="Z18" s="564"/>
      <c r="AA18" s="564"/>
      <c r="AB18" s="564"/>
      <c r="AC18" s="564"/>
      <c r="AD18" s="564"/>
      <c r="AE18" s="564"/>
    </row>
    <row r="19" spans="1:31">
      <c r="A19" s="1029"/>
      <c r="B19" s="1030"/>
      <c r="C19" s="1007" t="str">
        <f>IFERROR(VLOOKUP(D19,PosAggregate!$A$86:$A$138,1,FALSE),"")</f>
        <v/>
      </c>
      <c r="D19" s="833"/>
      <c r="E19" s="1007" t="str">
        <f t="shared" si="0"/>
        <v>YES</v>
      </c>
      <c r="F19" s="1046" t="e">
        <f t="shared" ca="1" si="4"/>
        <v>#NAME?</v>
      </c>
      <c r="G19" s="1007" t="e">
        <f t="shared" ca="1" si="5"/>
        <v>#NAME?</v>
      </c>
      <c r="H19" s="1033"/>
      <c r="I19" s="1034"/>
      <c r="J19" s="1048">
        <f t="shared" si="1"/>
        <v>0</v>
      </c>
      <c r="K19" s="1035"/>
      <c r="L19" s="833"/>
      <c r="M19" s="833"/>
      <c r="N19" s="1036"/>
      <c r="O19" s="1049">
        <f t="shared" si="2"/>
        <v>0</v>
      </c>
      <c r="P19" s="1037"/>
      <c r="Q19" s="1050" t="e">
        <f t="shared" si="3"/>
        <v>#DIV/0!</v>
      </c>
      <c r="R19" s="861"/>
      <c r="S19" s="831"/>
      <c r="T19" s="1039"/>
      <c r="U19" s="720"/>
      <c r="V19" s="625"/>
      <c r="W19" s="1040"/>
      <c r="X19" s="1041"/>
      <c r="Y19" s="1041"/>
      <c r="Z19" s="564"/>
      <c r="AA19" s="564"/>
      <c r="AB19" s="564"/>
      <c r="AC19" s="564"/>
      <c r="AD19" s="564"/>
      <c r="AE19" s="564"/>
    </row>
    <row r="20" spans="1:31">
      <c r="A20" s="1029"/>
      <c r="B20" s="1030"/>
      <c r="C20" s="1007" t="str">
        <f>IFERROR(VLOOKUP(D20,PosAggregate!$A$86:$A$138,1,FALSE),"")</f>
        <v/>
      </c>
      <c r="D20" s="833"/>
      <c r="E20" s="1007" t="str">
        <f t="shared" si="0"/>
        <v>YES</v>
      </c>
      <c r="F20" s="1046" t="e">
        <f t="shared" ca="1" si="4"/>
        <v>#NAME?</v>
      </c>
      <c r="G20" s="1007" t="e">
        <f t="shared" ca="1" si="5"/>
        <v>#NAME?</v>
      </c>
      <c r="H20" s="1033"/>
      <c r="I20" s="1034"/>
      <c r="J20" s="1048">
        <f t="shared" si="1"/>
        <v>0</v>
      </c>
      <c r="K20" s="1035"/>
      <c r="L20" s="833"/>
      <c r="M20" s="833"/>
      <c r="N20" s="1036"/>
      <c r="O20" s="1049">
        <f t="shared" si="2"/>
        <v>0</v>
      </c>
      <c r="P20" s="1037"/>
      <c r="Q20" s="1050" t="e">
        <f t="shared" si="3"/>
        <v>#DIV/0!</v>
      </c>
      <c r="R20" s="861"/>
      <c r="S20" s="831"/>
      <c r="T20" s="1039"/>
      <c r="U20" s="720"/>
      <c r="V20" s="625"/>
      <c r="W20" s="1040"/>
      <c r="X20" s="1041"/>
      <c r="Y20" s="1041"/>
      <c r="Z20" s="564"/>
      <c r="AA20" s="564"/>
      <c r="AB20" s="564"/>
      <c r="AC20" s="564"/>
      <c r="AD20" s="564"/>
      <c r="AE20" s="564"/>
    </row>
    <row r="21" spans="1:31">
      <c r="A21" s="1029"/>
      <c r="B21" s="1030"/>
      <c r="C21" s="1007" t="str">
        <f>IFERROR(VLOOKUP(D21,PosAggregate!$A$86:$A$138,1,FALSE),"")</f>
        <v/>
      </c>
      <c r="D21" s="833"/>
      <c r="E21" s="1007" t="str">
        <f t="shared" si="0"/>
        <v>YES</v>
      </c>
      <c r="F21" s="1046" t="e">
        <f t="shared" ca="1" si="4"/>
        <v>#NAME?</v>
      </c>
      <c r="G21" s="1007" t="e">
        <f t="shared" ca="1" si="5"/>
        <v>#NAME?</v>
      </c>
      <c r="H21" s="1033"/>
      <c r="I21" s="1034"/>
      <c r="J21" s="1048">
        <f t="shared" si="1"/>
        <v>0</v>
      </c>
      <c r="K21" s="1035"/>
      <c r="L21" s="833"/>
      <c r="M21" s="833"/>
      <c r="N21" s="1036"/>
      <c r="O21" s="1049">
        <f t="shared" si="2"/>
        <v>0</v>
      </c>
      <c r="P21" s="1037"/>
      <c r="Q21" s="1050" t="e">
        <f t="shared" si="3"/>
        <v>#DIV/0!</v>
      </c>
      <c r="R21" s="861"/>
      <c r="S21" s="831"/>
      <c r="T21" s="1039"/>
      <c r="U21" s="720"/>
      <c r="V21" s="625"/>
      <c r="W21" s="1040"/>
      <c r="X21" s="1041"/>
      <c r="Y21" s="1041"/>
      <c r="Z21" s="564"/>
      <c r="AA21" s="564"/>
      <c r="AB21" s="564"/>
      <c r="AC21" s="564"/>
      <c r="AD21" s="564"/>
      <c r="AE21" s="564"/>
    </row>
    <row r="22" spans="1:31">
      <c r="A22" s="1029"/>
      <c r="B22" s="1030"/>
      <c r="C22" s="1007" t="str">
        <f>IFERROR(VLOOKUP(D22,PosAggregate!$A$86:$A$138,1,FALSE),"")</f>
        <v/>
      </c>
      <c r="D22" s="833"/>
      <c r="E22" s="1007" t="str">
        <f t="shared" si="0"/>
        <v>YES</v>
      </c>
      <c r="F22" s="1046" t="e">
        <f t="shared" ca="1" si="4"/>
        <v>#NAME?</v>
      </c>
      <c r="G22" s="1007" t="e">
        <f t="shared" ca="1" si="5"/>
        <v>#NAME?</v>
      </c>
      <c r="H22" s="1033"/>
      <c r="I22" s="1034"/>
      <c r="J22" s="1048">
        <f t="shared" si="1"/>
        <v>0</v>
      </c>
      <c r="K22" s="1035"/>
      <c r="L22" s="833"/>
      <c r="M22" s="833"/>
      <c r="N22" s="1036"/>
      <c r="O22" s="1049">
        <f t="shared" si="2"/>
        <v>0</v>
      </c>
      <c r="P22" s="1037"/>
      <c r="Q22" s="1050" t="e">
        <f t="shared" si="3"/>
        <v>#DIV/0!</v>
      </c>
      <c r="R22" s="861"/>
      <c r="S22" s="831"/>
      <c r="T22" s="1039"/>
      <c r="U22" s="720"/>
      <c r="V22" s="625"/>
      <c r="W22" s="1040"/>
      <c r="X22" s="1041"/>
      <c r="Y22" s="1041"/>
      <c r="Z22" s="564"/>
      <c r="AA22" s="564"/>
      <c r="AB22" s="564"/>
      <c r="AC22" s="564"/>
      <c r="AD22" s="564"/>
      <c r="AE22" s="564"/>
    </row>
    <row r="23" spans="1:31">
      <c r="A23" s="1029"/>
      <c r="B23" s="1030"/>
      <c r="C23" s="1007" t="str">
        <f>IFERROR(VLOOKUP(D23,PosAggregate!$A$86:$A$138,1,FALSE),"")</f>
        <v/>
      </c>
      <c r="D23" s="833"/>
      <c r="E23" s="1007" t="str">
        <f t="shared" si="0"/>
        <v>YES</v>
      </c>
      <c r="F23" s="1046" t="e">
        <f t="shared" ca="1" si="4"/>
        <v>#NAME?</v>
      </c>
      <c r="G23" s="1007" t="e">
        <f t="shared" ca="1" si="5"/>
        <v>#NAME?</v>
      </c>
      <c r="H23" s="1033"/>
      <c r="I23" s="1034"/>
      <c r="J23" s="1048">
        <f t="shared" si="1"/>
        <v>0</v>
      </c>
      <c r="K23" s="1035"/>
      <c r="L23" s="833"/>
      <c r="M23" s="833"/>
      <c r="N23" s="1036"/>
      <c r="O23" s="1049">
        <f t="shared" si="2"/>
        <v>0</v>
      </c>
      <c r="P23" s="1037"/>
      <c r="Q23" s="1050" t="e">
        <f t="shared" si="3"/>
        <v>#DIV/0!</v>
      </c>
      <c r="R23" s="861"/>
      <c r="S23" s="831"/>
      <c r="T23" s="1039"/>
      <c r="U23" s="720"/>
      <c r="V23" s="625"/>
      <c r="W23" s="1040"/>
      <c r="X23" s="1041"/>
      <c r="Y23" s="1041"/>
      <c r="Z23" s="564"/>
      <c r="AA23" s="564"/>
      <c r="AB23" s="564"/>
      <c r="AC23" s="564"/>
      <c r="AD23" s="564"/>
      <c r="AE23" s="564"/>
    </row>
    <row r="24" spans="1:31">
      <c r="A24" s="1029"/>
      <c r="B24" s="1030"/>
      <c r="C24" s="1007" t="str">
        <f>IFERROR(VLOOKUP(D24,PosAggregate!$A$86:$A$138,1,FALSE),"")</f>
        <v/>
      </c>
      <c r="D24" s="833"/>
      <c r="E24" s="1007" t="str">
        <f t="shared" si="0"/>
        <v>YES</v>
      </c>
      <c r="F24" s="1046" t="e">
        <f t="shared" ca="1" si="4"/>
        <v>#NAME?</v>
      </c>
      <c r="G24" s="1007" t="e">
        <f t="shared" ca="1" si="5"/>
        <v>#NAME?</v>
      </c>
      <c r="H24" s="1033"/>
      <c r="I24" s="1034"/>
      <c r="J24" s="1048">
        <f t="shared" si="1"/>
        <v>0</v>
      </c>
      <c r="K24" s="1035"/>
      <c r="L24" s="833"/>
      <c r="M24" s="833"/>
      <c r="N24" s="1036"/>
      <c r="O24" s="1049">
        <f t="shared" si="2"/>
        <v>0</v>
      </c>
      <c r="P24" s="1037"/>
      <c r="Q24" s="1050" t="e">
        <f t="shared" si="3"/>
        <v>#DIV/0!</v>
      </c>
      <c r="R24" s="861"/>
      <c r="S24" s="831"/>
      <c r="T24" s="1039"/>
      <c r="U24" s="720"/>
      <c r="V24" s="625"/>
      <c r="W24" s="1040"/>
      <c r="X24" s="1041"/>
      <c r="Y24" s="1041"/>
      <c r="Z24" s="564"/>
      <c r="AA24" s="564"/>
      <c r="AB24" s="564"/>
      <c r="AC24" s="564"/>
      <c r="AD24" s="564"/>
      <c r="AE24" s="564"/>
    </row>
    <row r="25" spans="1:31">
      <c r="A25" s="1029"/>
      <c r="B25" s="1030"/>
      <c r="C25" s="1007" t="str">
        <f>IFERROR(VLOOKUP(D25,PosAggregate!$A$86:$A$138,1,FALSE),"")</f>
        <v/>
      </c>
      <c r="D25" s="833"/>
      <c r="E25" s="1007" t="str">
        <f t="shared" si="0"/>
        <v>YES</v>
      </c>
      <c r="F25" s="1046" t="e">
        <f t="shared" ca="1" si="4"/>
        <v>#NAME?</v>
      </c>
      <c r="G25" s="1007" t="e">
        <f t="shared" ca="1" si="5"/>
        <v>#NAME?</v>
      </c>
      <c r="H25" s="1033"/>
      <c r="I25" s="1034"/>
      <c r="J25" s="1048">
        <f t="shared" si="1"/>
        <v>0</v>
      </c>
      <c r="K25" s="1035"/>
      <c r="L25" s="833"/>
      <c r="M25" s="833"/>
      <c r="N25" s="1036"/>
      <c r="O25" s="1049">
        <f t="shared" si="2"/>
        <v>0</v>
      </c>
      <c r="P25" s="1037"/>
      <c r="Q25" s="1050" t="e">
        <f t="shared" si="3"/>
        <v>#DIV/0!</v>
      </c>
      <c r="R25" s="861"/>
      <c r="S25" s="831"/>
      <c r="T25" s="1039"/>
      <c r="U25" s="720"/>
      <c r="V25" s="625"/>
      <c r="W25" s="1040"/>
      <c r="X25" s="1041"/>
      <c r="Y25" s="1041"/>
      <c r="Z25" s="564"/>
      <c r="AA25" s="564"/>
      <c r="AB25" s="564"/>
      <c r="AC25" s="564"/>
      <c r="AD25" s="564"/>
      <c r="AE25" s="564"/>
    </row>
    <row r="26" spans="1:31">
      <c r="A26" s="1029"/>
      <c r="B26" s="1030"/>
      <c r="C26" s="1007" t="str">
        <f>IFERROR(VLOOKUP(D26,PosAggregate!$A$86:$A$138,1,FALSE),"")</f>
        <v/>
      </c>
      <c r="D26" s="833"/>
      <c r="E26" s="1007" t="str">
        <f t="shared" si="0"/>
        <v>YES</v>
      </c>
      <c r="F26" s="1046" t="e">
        <f t="shared" ca="1" si="4"/>
        <v>#NAME?</v>
      </c>
      <c r="G26" s="1007" t="e">
        <f t="shared" ca="1" si="5"/>
        <v>#NAME?</v>
      </c>
      <c r="H26" s="1033"/>
      <c r="I26" s="1034"/>
      <c r="J26" s="1048">
        <f t="shared" si="1"/>
        <v>0</v>
      </c>
      <c r="K26" s="1035"/>
      <c r="L26" s="833"/>
      <c r="M26" s="833"/>
      <c r="N26" s="1036"/>
      <c r="O26" s="1049">
        <f t="shared" si="2"/>
        <v>0</v>
      </c>
      <c r="P26" s="1037"/>
      <c r="Q26" s="1050" t="e">
        <f t="shared" si="3"/>
        <v>#DIV/0!</v>
      </c>
      <c r="R26" s="861"/>
      <c r="S26" s="831"/>
      <c r="T26" s="1039"/>
      <c r="U26" s="720"/>
      <c r="V26" s="625"/>
      <c r="W26" s="1040"/>
      <c r="X26" s="1041"/>
      <c r="Y26" s="1041"/>
      <c r="Z26" s="564"/>
      <c r="AA26" s="564"/>
      <c r="AB26" s="564"/>
      <c r="AC26" s="564"/>
      <c r="AD26" s="564"/>
      <c r="AE26" s="564"/>
    </row>
    <row r="27" spans="1:31">
      <c r="A27" s="1029"/>
      <c r="B27" s="1030"/>
      <c r="C27" s="1007" t="str">
        <f>IFERROR(VLOOKUP(D27,PosAggregate!$A$86:$A$138,1,FALSE),"")</f>
        <v/>
      </c>
      <c r="D27" s="833"/>
      <c r="E27" s="1007" t="str">
        <f t="shared" si="0"/>
        <v>YES</v>
      </c>
      <c r="F27" s="1046" t="e">
        <f t="shared" ca="1" si="4"/>
        <v>#NAME?</v>
      </c>
      <c r="G27" s="1007" t="e">
        <f t="shared" ca="1" si="5"/>
        <v>#NAME?</v>
      </c>
      <c r="H27" s="1033"/>
      <c r="I27" s="1034"/>
      <c r="J27" s="1048">
        <f t="shared" si="1"/>
        <v>0</v>
      </c>
      <c r="K27" s="1035"/>
      <c r="L27" s="833"/>
      <c r="M27" s="833"/>
      <c r="N27" s="1036"/>
      <c r="O27" s="1049">
        <f t="shared" si="2"/>
        <v>0</v>
      </c>
      <c r="P27" s="1037"/>
      <c r="Q27" s="1050" t="e">
        <f t="shared" si="3"/>
        <v>#DIV/0!</v>
      </c>
      <c r="R27" s="861"/>
      <c r="S27" s="831"/>
      <c r="T27" s="1039"/>
      <c r="U27" s="720"/>
      <c r="V27" s="625"/>
      <c r="W27" s="1040"/>
      <c r="X27" s="1041"/>
      <c r="Y27" s="1041"/>
      <c r="Z27" s="564"/>
      <c r="AA27" s="564"/>
      <c r="AB27" s="564"/>
      <c r="AC27" s="564"/>
      <c r="AD27" s="564"/>
      <c r="AE27" s="564"/>
    </row>
    <row r="28" spans="1:31">
      <c r="A28" s="1029"/>
      <c r="B28" s="1030"/>
      <c r="C28" s="1007" t="str">
        <f>IFERROR(VLOOKUP(D28,PosAggregate!$A$86:$A$138,1,FALSE),"")</f>
        <v/>
      </c>
      <c r="D28" s="833"/>
      <c r="E28" s="1007" t="str">
        <f t="shared" si="0"/>
        <v>YES</v>
      </c>
      <c r="F28" s="1046" t="e">
        <f t="shared" ca="1" si="4"/>
        <v>#NAME?</v>
      </c>
      <c r="G28" s="1007" t="e">
        <f t="shared" ca="1" si="5"/>
        <v>#NAME?</v>
      </c>
      <c r="H28" s="1033"/>
      <c r="I28" s="1034"/>
      <c r="J28" s="1048">
        <f t="shared" si="1"/>
        <v>0</v>
      </c>
      <c r="K28" s="1035"/>
      <c r="L28" s="833"/>
      <c r="M28" s="833"/>
      <c r="N28" s="1036"/>
      <c r="O28" s="1049">
        <f t="shared" si="2"/>
        <v>0</v>
      </c>
      <c r="P28" s="1037"/>
      <c r="Q28" s="1050" t="e">
        <f t="shared" si="3"/>
        <v>#DIV/0!</v>
      </c>
      <c r="R28" s="861"/>
      <c r="S28" s="831"/>
      <c r="T28" s="1039"/>
      <c r="U28" s="720"/>
      <c r="V28" s="625"/>
      <c r="W28" s="1040"/>
      <c r="X28" s="1041"/>
      <c r="Y28" s="1041"/>
      <c r="Z28" s="564"/>
      <c r="AA28" s="564"/>
      <c r="AB28" s="564"/>
      <c r="AC28" s="564"/>
      <c r="AD28" s="564"/>
      <c r="AE28" s="564"/>
    </row>
    <row r="29" spans="1:31">
      <c r="A29" s="1029"/>
      <c r="B29" s="1030"/>
      <c r="C29" s="1007" t="str">
        <f>IFERROR(VLOOKUP(D29,PosAggregate!$A$86:$A$138,1,FALSE),"")</f>
        <v/>
      </c>
      <c r="D29" s="833"/>
      <c r="E29" s="1007" t="str">
        <f t="shared" si="0"/>
        <v>YES</v>
      </c>
      <c r="F29" s="1046" t="e">
        <f t="shared" ca="1" si="4"/>
        <v>#NAME?</v>
      </c>
      <c r="G29" s="1007" t="e">
        <f t="shared" ca="1" si="5"/>
        <v>#NAME?</v>
      </c>
      <c r="H29" s="1033"/>
      <c r="I29" s="1034"/>
      <c r="J29" s="1048">
        <f t="shared" si="1"/>
        <v>0</v>
      </c>
      <c r="K29" s="1035"/>
      <c r="L29" s="833"/>
      <c r="M29" s="833"/>
      <c r="N29" s="1036"/>
      <c r="O29" s="1049">
        <f t="shared" si="2"/>
        <v>0</v>
      </c>
      <c r="P29" s="1037"/>
      <c r="Q29" s="1050" t="e">
        <f t="shared" si="3"/>
        <v>#DIV/0!</v>
      </c>
      <c r="R29" s="861"/>
      <c r="S29" s="831"/>
      <c r="T29" s="1039"/>
      <c r="U29" s="720"/>
      <c r="V29" s="625"/>
      <c r="W29" s="1040"/>
      <c r="X29" s="1041"/>
      <c r="Y29" s="1041"/>
      <c r="Z29" s="564"/>
      <c r="AA29" s="564"/>
      <c r="AB29" s="564"/>
      <c r="AC29" s="564"/>
      <c r="AD29" s="564"/>
      <c r="AE29" s="564"/>
    </row>
    <row r="30" spans="1:31">
      <c r="A30" s="1029"/>
      <c r="B30" s="1030"/>
      <c r="C30" s="1007" t="str">
        <f>IFERROR(VLOOKUP(D30,PosAggregate!$A$86:$A$138,1,FALSE),"")</f>
        <v/>
      </c>
      <c r="D30" s="833"/>
      <c r="E30" s="1007" t="str">
        <f t="shared" si="0"/>
        <v>YES</v>
      </c>
      <c r="F30" s="1046" t="e">
        <f t="shared" ca="1" si="4"/>
        <v>#NAME?</v>
      </c>
      <c r="G30" s="1007" t="e">
        <f t="shared" ca="1" si="5"/>
        <v>#NAME?</v>
      </c>
      <c r="H30" s="1033"/>
      <c r="I30" s="1034"/>
      <c r="J30" s="1048">
        <f t="shared" si="1"/>
        <v>0</v>
      </c>
      <c r="K30" s="1035"/>
      <c r="L30" s="833"/>
      <c r="M30" s="833"/>
      <c r="N30" s="1036"/>
      <c r="O30" s="1049">
        <f t="shared" si="2"/>
        <v>0</v>
      </c>
      <c r="P30" s="1037"/>
      <c r="Q30" s="1050" t="e">
        <f t="shared" si="3"/>
        <v>#DIV/0!</v>
      </c>
      <c r="R30" s="861"/>
      <c r="S30" s="831"/>
      <c r="T30" s="1039"/>
      <c r="U30" s="720"/>
      <c r="V30" s="625"/>
      <c r="W30" s="1040"/>
      <c r="X30" s="1041"/>
      <c r="Y30" s="1041"/>
      <c r="Z30" s="564"/>
      <c r="AA30" s="564"/>
      <c r="AB30" s="564"/>
      <c r="AC30" s="564"/>
      <c r="AD30" s="564"/>
      <c r="AE30" s="564"/>
    </row>
    <row r="31" spans="1:31">
      <c r="A31" s="1029"/>
      <c r="B31" s="1030"/>
      <c r="C31" s="1007" t="str">
        <f>IFERROR(VLOOKUP(D31,PosAggregate!$A$86:$A$138,1,FALSE),"")</f>
        <v/>
      </c>
      <c r="D31" s="833"/>
      <c r="E31" s="1007" t="str">
        <f t="shared" si="0"/>
        <v>YES</v>
      </c>
      <c r="F31" s="1046" t="e">
        <f t="shared" ca="1" si="4"/>
        <v>#NAME?</v>
      </c>
      <c r="G31" s="1007" t="e">
        <f t="shared" ca="1" si="5"/>
        <v>#NAME?</v>
      </c>
      <c r="H31" s="1033"/>
      <c r="I31" s="1034"/>
      <c r="J31" s="1048">
        <f t="shared" si="1"/>
        <v>0</v>
      </c>
      <c r="K31" s="1035"/>
      <c r="L31" s="833"/>
      <c r="M31" s="833"/>
      <c r="N31" s="1036"/>
      <c r="O31" s="1049">
        <f t="shared" si="2"/>
        <v>0</v>
      </c>
      <c r="P31" s="1037"/>
      <c r="Q31" s="1050" t="e">
        <f t="shared" si="3"/>
        <v>#DIV/0!</v>
      </c>
      <c r="R31" s="861"/>
      <c r="S31" s="831"/>
      <c r="T31" s="1039"/>
      <c r="U31" s="720"/>
      <c r="V31" s="625"/>
      <c r="W31" s="1040"/>
      <c r="X31" s="1041"/>
      <c r="Y31" s="1041"/>
      <c r="Z31" s="564"/>
      <c r="AA31" s="564"/>
      <c r="AB31" s="564"/>
      <c r="AC31" s="564"/>
      <c r="AD31" s="564"/>
      <c r="AE31" s="564"/>
    </row>
    <row r="32" spans="1:31">
      <c r="A32" s="1029"/>
      <c r="B32" s="1030"/>
      <c r="C32" s="1007" t="str">
        <f>IFERROR(VLOOKUP(D32,PosAggregate!$A$86:$A$138,1,FALSE),"")</f>
        <v/>
      </c>
      <c r="D32" s="833"/>
      <c r="E32" s="1007" t="str">
        <f t="shared" si="0"/>
        <v>YES</v>
      </c>
      <c r="F32" s="1046" t="e">
        <f t="shared" ca="1" si="4"/>
        <v>#NAME?</v>
      </c>
      <c r="G32" s="1007" t="e">
        <f t="shared" ca="1" si="5"/>
        <v>#NAME?</v>
      </c>
      <c r="H32" s="1033"/>
      <c r="I32" s="1034"/>
      <c r="J32" s="1048">
        <f t="shared" si="1"/>
        <v>0</v>
      </c>
      <c r="K32" s="1035"/>
      <c r="L32" s="833"/>
      <c r="M32" s="833"/>
      <c r="N32" s="1036"/>
      <c r="O32" s="1049">
        <f t="shared" si="2"/>
        <v>0</v>
      </c>
      <c r="P32" s="1037"/>
      <c r="Q32" s="1050" t="e">
        <f t="shared" si="3"/>
        <v>#DIV/0!</v>
      </c>
      <c r="R32" s="861"/>
      <c r="S32" s="831"/>
      <c r="T32" s="1039"/>
      <c r="U32" s="720"/>
      <c r="V32" s="625"/>
      <c r="W32" s="1040"/>
      <c r="X32" s="1041"/>
      <c r="Y32" s="1041"/>
      <c r="Z32" s="564"/>
      <c r="AA32" s="564"/>
      <c r="AB32" s="564"/>
      <c r="AC32" s="564"/>
      <c r="AD32" s="564"/>
      <c r="AE32" s="564"/>
    </row>
    <row r="33" spans="1:31">
      <c r="A33" s="1029"/>
      <c r="B33" s="1030"/>
      <c r="C33" s="1007" t="str">
        <f>IFERROR(VLOOKUP(D33,PosAggregate!$A$86:$A$138,1,FALSE),"")</f>
        <v/>
      </c>
      <c r="D33" s="833"/>
      <c r="E33" s="1007" t="str">
        <f t="shared" si="0"/>
        <v>YES</v>
      </c>
      <c r="F33" s="1046" t="e">
        <f t="shared" ca="1" si="4"/>
        <v>#NAME?</v>
      </c>
      <c r="G33" s="1007" t="e">
        <f t="shared" ca="1" si="5"/>
        <v>#NAME?</v>
      </c>
      <c r="H33" s="1033"/>
      <c r="I33" s="1034"/>
      <c r="J33" s="1048">
        <f t="shared" si="1"/>
        <v>0</v>
      </c>
      <c r="K33" s="1035"/>
      <c r="L33" s="833"/>
      <c r="M33" s="833"/>
      <c r="N33" s="1036"/>
      <c r="O33" s="1049">
        <f t="shared" si="2"/>
        <v>0</v>
      </c>
      <c r="P33" s="1037"/>
      <c r="Q33" s="1050" t="e">
        <f t="shared" si="3"/>
        <v>#DIV/0!</v>
      </c>
      <c r="R33" s="861"/>
      <c r="S33" s="831"/>
      <c r="T33" s="1039"/>
      <c r="U33" s="720"/>
      <c r="V33" s="625"/>
      <c r="W33" s="1040"/>
      <c r="X33" s="1041"/>
      <c r="Y33" s="1041"/>
      <c r="Z33" s="564"/>
      <c r="AA33" s="564"/>
      <c r="AB33" s="564"/>
      <c r="AC33" s="564"/>
      <c r="AD33" s="564"/>
      <c r="AE33" s="564"/>
    </row>
    <row r="34" spans="1:31">
      <c r="A34" s="1029"/>
      <c r="B34" s="1030"/>
      <c r="C34" s="1007" t="str">
        <f>IFERROR(VLOOKUP(D34,PosAggregate!$A$86:$A$138,1,FALSE),"")</f>
        <v/>
      </c>
      <c r="D34" s="833"/>
      <c r="E34" s="1007" t="str">
        <f t="shared" si="0"/>
        <v>YES</v>
      </c>
      <c r="F34" s="1046" t="e">
        <f t="shared" ca="1" si="4"/>
        <v>#NAME?</v>
      </c>
      <c r="G34" s="1007" t="e">
        <f t="shared" ca="1" si="5"/>
        <v>#NAME?</v>
      </c>
      <c r="H34" s="1033"/>
      <c r="I34" s="1034"/>
      <c r="J34" s="1048">
        <f t="shared" si="1"/>
        <v>0</v>
      </c>
      <c r="K34" s="1035"/>
      <c r="L34" s="833"/>
      <c r="M34" s="833"/>
      <c r="N34" s="1036"/>
      <c r="O34" s="1049">
        <f t="shared" si="2"/>
        <v>0</v>
      </c>
      <c r="P34" s="1037"/>
      <c r="Q34" s="1050" t="e">
        <f t="shared" si="3"/>
        <v>#DIV/0!</v>
      </c>
      <c r="R34" s="861"/>
      <c r="S34" s="831"/>
      <c r="T34" s="1039"/>
      <c r="U34" s="720"/>
      <c r="V34" s="625"/>
      <c r="W34" s="1040"/>
      <c r="X34" s="1041"/>
      <c r="Y34" s="1041"/>
      <c r="Z34" s="564"/>
      <c r="AA34" s="564"/>
      <c r="AB34" s="564"/>
      <c r="AC34" s="564"/>
      <c r="AD34" s="564"/>
      <c r="AE34" s="564"/>
    </row>
    <row r="35" spans="1:31">
      <c r="A35" s="1029"/>
      <c r="B35" s="1030"/>
      <c r="C35" s="1007" t="str">
        <f>IFERROR(VLOOKUP(D35,PosAggregate!$A$86:$A$138,1,FALSE),"")</f>
        <v/>
      </c>
      <c r="D35" s="833"/>
      <c r="E35" s="1007" t="str">
        <f t="shared" si="0"/>
        <v>YES</v>
      </c>
      <c r="F35" s="1046" t="e">
        <f t="shared" ca="1" si="4"/>
        <v>#NAME?</v>
      </c>
      <c r="G35" s="1007" t="e">
        <f t="shared" ca="1" si="5"/>
        <v>#NAME?</v>
      </c>
      <c r="H35" s="1033"/>
      <c r="I35" s="1034"/>
      <c r="J35" s="1048">
        <f t="shared" si="1"/>
        <v>0</v>
      </c>
      <c r="K35" s="1035"/>
      <c r="L35" s="833"/>
      <c r="M35" s="833"/>
      <c r="N35" s="1036"/>
      <c r="O35" s="1049">
        <f t="shared" si="2"/>
        <v>0</v>
      </c>
      <c r="P35" s="1037"/>
      <c r="Q35" s="1050" t="e">
        <f t="shared" si="3"/>
        <v>#DIV/0!</v>
      </c>
      <c r="R35" s="861"/>
      <c r="S35" s="831"/>
      <c r="T35" s="1039"/>
      <c r="U35" s="720"/>
      <c r="V35" s="625"/>
      <c r="W35" s="1040"/>
      <c r="X35" s="1041"/>
      <c r="Y35" s="1041"/>
      <c r="Z35" s="564"/>
      <c r="AA35" s="564"/>
      <c r="AB35" s="564"/>
      <c r="AC35" s="564"/>
      <c r="AD35" s="564"/>
      <c r="AE35" s="564"/>
    </row>
    <row r="36" spans="1:31">
      <c r="A36" s="1029"/>
      <c r="B36" s="1030"/>
      <c r="C36" s="1007" t="str">
        <f>IFERROR(VLOOKUP(D36,PosAggregate!$A$86:$A$138,1,FALSE),"")</f>
        <v/>
      </c>
      <c r="D36" s="833"/>
      <c r="E36" s="1007" t="str">
        <f t="shared" si="0"/>
        <v>YES</v>
      </c>
      <c r="F36" s="1046" t="e">
        <f t="shared" ca="1" si="4"/>
        <v>#NAME?</v>
      </c>
      <c r="G36" s="1007" t="e">
        <f t="shared" ca="1" si="5"/>
        <v>#NAME?</v>
      </c>
      <c r="H36" s="1033"/>
      <c r="I36" s="1034"/>
      <c r="J36" s="1048">
        <f t="shared" si="1"/>
        <v>0</v>
      </c>
      <c r="K36" s="1035"/>
      <c r="L36" s="833"/>
      <c r="M36" s="833"/>
      <c r="N36" s="1036"/>
      <c r="O36" s="1049">
        <f t="shared" si="2"/>
        <v>0</v>
      </c>
      <c r="P36" s="1037"/>
      <c r="Q36" s="1050" t="e">
        <f t="shared" si="3"/>
        <v>#DIV/0!</v>
      </c>
      <c r="R36" s="861"/>
      <c r="S36" s="831"/>
      <c r="T36" s="1039"/>
      <c r="U36" s="720"/>
      <c r="V36" s="625"/>
      <c r="W36" s="1040"/>
      <c r="X36" s="1041"/>
      <c r="Y36" s="1041"/>
      <c r="Z36" s="564"/>
      <c r="AA36" s="564"/>
      <c r="AB36" s="564"/>
      <c r="AC36" s="564"/>
      <c r="AD36" s="564"/>
      <c r="AE36" s="564"/>
    </row>
    <row r="37" spans="1:31">
      <c r="A37" s="1029"/>
      <c r="B37" s="1030"/>
      <c r="C37" s="1007" t="str">
        <f>IFERROR(VLOOKUP(D37,PosAggregate!$A$86:$A$138,1,FALSE),"")</f>
        <v/>
      </c>
      <c r="D37" s="833"/>
      <c r="E37" s="1007" t="str">
        <f t="shared" si="0"/>
        <v>YES</v>
      </c>
      <c r="F37" s="1046" t="e">
        <f t="shared" ca="1" si="4"/>
        <v>#NAME?</v>
      </c>
      <c r="G37" s="1007" t="e">
        <f t="shared" ca="1" si="5"/>
        <v>#NAME?</v>
      </c>
      <c r="H37" s="1033"/>
      <c r="I37" s="1034"/>
      <c r="J37" s="1048">
        <f t="shared" si="1"/>
        <v>0</v>
      </c>
      <c r="K37" s="1035"/>
      <c r="L37" s="833"/>
      <c r="M37" s="833"/>
      <c r="N37" s="1036"/>
      <c r="O37" s="1049">
        <f t="shared" si="2"/>
        <v>0</v>
      </c>
      <c r="P37" s="1037"/>
      <c r="Q37" s="1050" t="e">
        <f t="shared" si="3"/>
        <v>#DIV/0!</v>
      </c>
      <c r="R37" s="861"/>
      <c r="S37" s="831"/>
      <c r="T37" s="1039"/>
      <c r="U37" s="720"/>
      <c r="V37" s="625"/>
      <c r="W37" s="1040"/>
      <c r="X37" s="1041"/>
      <c r="Y37" s="1041"/>
      <c r="Z37" s="564"/>
      <c r="AA37" s="564"/>
      <c r="AB37" s="564"/>
      <c r="AC37" s="564"/>
      <c r="AD37" s="564"/>
      <c r="AE37" s="564"/>
    </row>
    <row r="38" spans="1:31">
      <c r="A38" s="1029"/>
      <c r="B38" s="1030"/>
      <c r="C38" s="1007" t="str">
        <f>IFERROR(VLOOKUP(D38,PosAggregate!$A$86:$A$138,1,FALSE),"")</f>
        <v/>
      </c>
      <c r="D38" s="833"/>
      <c r="E38" s="1007" t="str">
        <f t="shared" si="0"/>
        <v>YES</v>
      </c>
      <c r="F38" s="1046" t="e">
        <f t="shared" ca="1" si="4"/>
        <v>#NAME?</v>
      </c>
      <c r="G38" s="1007" t="e">
        <f t="shared" ca="1" si="5"/>
        <v>#NAME?</v>
      </c>
      <c r="H38" s="1033"/>
      <c r="I38" s="1034"/>
      <c r="J38" s="1048">
        <f t="shared" si="1"/>
        <v>0</v>
      </c>
      <c r="K38" s="1035"/>
      <c r="L38" s="833"/>
      <c r="M38" s="833"/>
      <c r="N38" s="1036"/>
      <c r="O38" s="1049">
        <f t="shared" si="2"/>
        <v>0</v>
      </c>
      <c r="P38" s="1037"/>
      <c r="Q38" s="1050" t="e">
        <f t="shared" si="3"/>
        <v>#DIV/0!</v>
      </c>
      <c r="R38" s="861"/>
      <c r="S38" s="831"/>
      <c r="T38" s="1039"/>
      <c r="U38" s="720"/>
      <c r="V38" s="625"/>
      <c r="W38" s="1040"/>
      <c r="X38" s="1041"/>
      <c r="Y38" s="1041"/>
      <c r="Z38" s="564"/>
      <c r="AA38" s="564"/>
      <c r="AB38" s="564"/>
      <c r="AC38" s="564"/>
      <c r="AD38" s="564"/>
      <c r="AE38" s="564"/>
    </row>
    <row r="39" spans="1:31">
      <c r="A39" s="1029"/>
      <c r="B39" s="1030"/>
      <c r="C39" s="1007" t="str">
        <f>IFERROR(VLOOKUP(D39,PosAggregate!$A$86:$A$138,1,FALSE),"")</f>
        <v/>
      </c>
      <c r="D39" s="833"/>
      <c r="E39" s="1007" t="str">
        <f t="shared" si="0"/>
        <v>YES</v>
      </c>
      <c r="F39" s="1046" t="e">
        <f t="shared" ca="1" si="4"/>
        <v>#NAME?</v>
      </c>
      <c r="G39" s="1007" t="e">
        <f t="shared" ca="1" si="5"/>
        <v>#NAME?</v>
      </c>
      <c r="H39" s="1033"/>
      <c r="I39" s="1034"/>
      <c r="J39" s="1048">
        <f t="shared" si="1"/>
        <v>0</v>
      </c>
      <c r="K39" s="1035"/>
      <c r="L39" s="833"/>
      <c r="M39" s="833"/>
      <c r="N39" s="1036"/>
      <c r="O39" s="1049">
        <f t="shared" si="2"/>
        <v>0</v>
      </c>
      <c r="P39" s="1037"/>
      <c r="Q39" s="1050" t="e">
        <f t="shared" si="3"/>
        <v>#DIV/0!</v>
      </c>
      <c r="R39" s="861"/>
      <c r="S39" s="831"/>
      <c r="T39" s="1039"/>
      <c r="U39" s="720"/>
      <c r="V39" s="625"/>
      <c r="W39" s="1040"/>
      <c r="X39" s="1041"/>
      <c r="Y39" s="1041"/>
      <c r="Z39" s="564"/>
      <c r="AA39" s="564"/>
      <c r="AB39" s="564"/>
      <c r="AC39" s="564"/>
      <c r="AD39" s="564"/>
      <c r="AE39" s="564"/>
    </row>
    <row r="40" spans="1:31">
      <c r="A40" s="1029"/>
      <c r="B40" s="1030"/>
      <c r="C40" s="1007" t="str">
        <f>IFERROR(VLOOKUP(D40,PosAggregate!$A$86:$A$138,1,FALSE),"")</f>
        <v/>
      </c>
      <c r="D40" s="833"/>
      <c r="E40" s="1007" t="str">
        <f t="shared" si="0"/>
        <v>YES</v>
      </c>
      <c r="F40" s="1046" t="e">
        <f t="shared" ca="1" si="4"/>
        <v>#NAME?</v>
      </c>
      <c r="G40" s="1007" t="e">
        <f t="shared" ca="1" si="5"/>
        <v>#NAME?</v>
      </c>
      <c r="H40" s="1033"/>
      <c r="I40" s="1034"/>
      <c r="J40" s="1048">
        <f t="shared" si="1"/>
        <v>0</v>
      </c>
      <c r="K40" s="1035"/>
      <c r="L40" s="833"/>
      <c r="M40" s="833"/>
      <c r="N40" s="1036"/>
      <c r="O40" s="1049">
        <f t="shared" si="2"/>
        <v>0</v>
      </c>
      <c r="P40" s="1037"/>
      <c r="Q40" s="1050" t="e">
        <f t="shared" si="3"/>
        <v>#DIV/0!</v>
      </c>
      <c r="R40" s="861"/>
      <c r="S40" s="831"/>
      <c r="T40" s="1039"/>
      <c r="U40" s="720"/>
      <c r="V40" s="625"/>
      <c r="W40" s="1040"/>
      <c r="X40" s="1041"/>
      <c r="Y40" s="1041"/>
      <c r="Z40" s="564"/>
      <c r="AA40" s="564"/>
      <c r="AB40" s="564"/>
      <c r="AC40" s="564"/>
      <c r="AD40" s="564"/>
      <c r="AE40" s="564"/>
    </row>
    <row r="41" spans="1:31">
      <c r="A41" s="1029"/>
      <c r="B41" s="1030"/>
      <c r="C41" s="1007" t="str">
        <f>IFERROR(VLOOKUP(D41,PosAggregate!$A$86:$A$138,1,FALSE),"")</f>
        <v/>
      </c>
      <c r="D41" s="833"/>
      <c r="E41" s="1007" t="str">
        <f t="shared" si="0"/>
        <v>YES</v>
      </c>
      <c r="F41" s="1046" t="e">
        <f t="shared" ca="1" si="4"/>
        <v>#NAME?</v>
      </c>
      <c r="G41" s="1007" t="e">
        <f t="shared" ca="1" si="5"/>
        <v>#NAME?</v>
      </c>
      <c r="H41" s="1033"/>
      <c r="I41" s="1034"/>
      <c r="J41" s="1048">
        <f t="shared" si="1"/>
        <v>0</v>
      </c>
      <c r="K41" s="1035"/>
      <c r="L41" s="833"/>
      <c r="M41" s="833"/>
      <c r="N41" s="1036"/>
      <c r="O41" s="1049">
        <f t="shared" si="2"/>
        <v>0</v>
      </c>
      <c r="P41" s="1037"/>
      <c r="Q41" s="1050" t="e">
        <f t="shared" si="3"/>
        <v>#DIV/0!</v>
      </c>
      <c r="R41" s="861"/>
      <c r="S41" s="831"/>
      <c r="T41" s="1039"/>
      <c r="U41" s="720"/>
      <c r="V41" s="625"/>
      <c r="W41" s="1040"/>
      <c r="X41" s="1041"/>
      <c r="Y41" s="1041"/>
      <c r="Z41" s="564"/>
      <c r="AA41" s="564"/>
      <c r="AB41" s="564"/>
      <c r="AC41" s="564"/>
      <c r="AD41" s="564"/>
      <c r="AE41" s="564"/>
    </row>
    <row r="42" spans="1:31">
      <c r="A42" s="1029"/>
      <c r="B42" s="1030"/>
      <c r="C42" s="1007" t="str">
        <f>IFERROR(VLOOKUP(D42,PosAggregate!$A$86:$A$138,1,FALSE),"")</f>
        <v/>
      </c>
      <c r="D42" s="833"/>
      <c r="E42" s="1007" t="str">
        <f t="shared" si="0"/>
        <v>YES</v>
      </c>
      <c r="F42" s="1046" t="e">
        <f t="shared" ca="1" si="4"/>
        <v>#NAME?</v>
      </c>
      <c r="G42" s="1007" t="e">
        <f t="shared" ca="1" si="5"/>
        <v>#NAME?</v>
      </c>
      <c r="H42" s="1033"/>
      <c r="I42" s="1034"/>
      <c r="J42" s="1048">
        <f t="shared" si="1"/>
        <v>0</v>
      </c>
      <c r="K42" s="1035"/>
      <c r="L42" s="833"/>
      <c r="M42" s="833"/>
      <c r="N42" s="1036"/>
      <c r="O42" s="1049">
        <f t="shared" si="2"/>
        <v>0</v>
      </c>
      <c r="P42" s="1037"/>
      <c r="Q42" s="1050" t="e">
        <f t="shared" si="3"/>
        <v>#DIV/0!</v>
      </c>
      <c r="R42" s="861"/>
      <c r="S42" s="831"/>
      <c r="T42" s="1039"/>
      <c r="U42" s="720"/>
      <c r="V42" s="625"/>
      <c r="W42" s="1040"/>
      <c r="X42" s="1041"/>
      <c r="Y42" s="1041"/>
      <c r="Z42" s="564"/>
      <c r="AA42" s="564"/>
      <c r="AB42" s="564"/>
      <c r="AC42" s="564"/>
      <c r="AD42" s="564"/>
      <c r="AE42" s="564"/>
    </row>
    <row r="43" spans="1:31">
      <c r="A43" s="1029"/>
      <c r="B43" s="1030"/>
      <c r="C43" s="1007" t="str">
        <f>IFERROR(VLOOKUP(D43,PosAggregate!$A$86:$A$138,1,FALSE),"")</f>
        <v/>
      </c>
      <c r="D43" s="833"/>
      <c r="E43" s="1007" t="str">
        <f t="shared" si="0"/>
        <v>YES</v>
      </c>
      <c r="F43" s="1046" t="e">
        <f t="shared" ca="1" si="4"/>
        <v>#NAME?</v>
      </c>
      <c r="G43" s="1007" t="e">
        <f t="shared" ca="1" si="5"/>
        <v>#NAME?</v>
      </c>
      <c r="H43" s="1033"/>
      <c r="I43" s="1034"/>
      <c r="J43" s="1048">
        <f t="shared" si="1"/>
        <v>0</v>
      </c>
      <c r="K43" s="1035"/>
      <c r="L43" s="833"/>
      <c r="M43" s="833"/>
      <c r="N43" s="1036"/>
      <c r="O43" s="1049">
        <f t="shared" si="2"/>
        <v>0</v>
      </c>
      <c r="P43" s="1037"/>
      <c r="Q43" s="1050" t="e">
        <f t="shared" si="3"/>
        <v>#DIV/0!</v>
      </c>
      <c r="R43" s="861"/>
      <c r="S43" s="831"/>
      <c r="T43" s="1039"/>
      <c r="U43" s="720"/>
      <c r="V43" s="625"/>
      <c r="W43" s="1040"/>
      <c r="X43" s="1041"/>
      <c r="Y43" s="1041"/>
      <c r="Z43" s="564"/>
      <c r="AA43" s="564"/>
      <c r="AB43" s="564"/>
      <c r="AC43" s="564"/>
      <c r="AD43" s="564"/>
      <c r="AE43" s="564"/>
    </row>
    <row r="44" spans="1:31">
      <c r="A44" s="1029"/>
      <c r="B44" s="1030"/>
      <c r="C44" s="1007" t="str">
        <f>IFERROR(VLOOKUP(D44,PosAggregate!$A$86:$A$138,1,FALSE),"")</f>
        <v/>
      </c>
      <c r="D44" s="833"/>
      <c r="E44" s="1007" t="str">
        <f t="shared" si="0"/>
        <v>YES</v>
      </c>
      <c r="F44" s="1046" t="e">
        <f t="shared" ca="1" si="4"/>
        <v>#NAME?</v>
      </c>
      <c r="G44" s="1007" t="e">
        <f t="shared" ca="1" si="5"/>
        <v>#NAME?</v>
      </c>
      <c r="H44" s="1033"/>
      <c r="I44" s="1034"/>
      <c r="J44" s="1048">
        <f t="shared" si="1"/>
        <v>0</v>
      </c>
      <c r="K44" s="1035"/>
      <c r="L44" s="833"/>
      <c r="M44" s="833"/>
      <c r="N44" s="1036"/>
      <c r="O44" s="1049">
        <f t="shared" si="2"/>
        <v>0</v>
      </c>
      <c r="P44" s="1037"/>
      <c r="Q44" s="1050" t="e">
        <f t="shared" si="3"/>
        <v>#DIV/0!</v>
      </c>
      <c r="R44" s="861"/>
      <c r="S44" s="831"/>
      <c r="T44" s="1039"/>
      <c r="U44" s="720"/>
      <c r="V44" s="625"/>
      <c r="W44" s="1040"/>
      <c r="X44" s="1041"/>
      <c r="Y44" s="1041"/>
      <c r="Z44" s="564"/>
      <c r="AA44" s="564"/>
      <c r="AB44" s="564"/>
      <c r="AC44" s="564"/>
      <c r="AD44" s="564"/>
      <c r="AE44" s="564"/>
    </row>
    <row r="45" spans="1:31">
      <c r="A45" s="1029"/>
      <c r="B45" s="1030"/>
      <c r="C45" s="1007" t="str">
        <f>IFERROR(VLOOKUP(D45,PosAggregate!$A$86:$A$138,1,FALSE),"")</f>
        <v/>
      </c>
      <c r="D45" s="833"/>
      <c r="E45" s="1007" t="str">
        <f t="shared" si="0"/>
        <v>YES</v>
      </c>
      <c r="F45" s="1046" t="e">
        <f t="shared" ca="1" si="4"/>
        <v>#NAME?</v>
      </c>
      <c r="G45" s="1007" t="e">
        <f t="shared" ca="1" si="5"/>
        <v>#NAME?</v>
      </c>
      <c r="H45" s="1033"/>
      <c r="I45" s="1034"/>
      <c r="J45" s="1048">
        <f t="shared" si="1"/>
        <v>0</v>
      </c>
      <c r="K45" s="1035"/>
      <c r="L45" s="833"/>
      <c r="M45" s="833"/>
      <c r="N45" s="1036"/>
      <c r="O45" s="1049">
        <f t="shared" si="2"/>
        <v>0</v>
      </c>
      <c r="P45" s="1037"/>
      <c r="Q45" s="1050" t="e">
        <f t="shared" si="3"/>
        <v>#DIV/0!</v>
      </c>
      <c r="R45" s="861"/>
      <c r="S45" s="831"/>
      <c r="T45" s="1039"/>
      <c r="U45" s="720"/>
      <c r="V45" s="625"/>
      <c r="W45" s="1040"/>
      <c r="X45" s="1041"/>
      <c r="Y45" s="1041"/>
      <c r="Z45" s="564"/>
      <c r="AA45" s="564"/>
      <c r="AB45" s="564"/>
      <c r="AC45" s="564"/>
      <c r="AD45" s="564"/>
      <c r="AE45" s="564"/>
    </row>
    <row r="46" spans="1:31">
      <c r="A46" s="1029"/>
      <c r="B46" s="1030"/>
      <c r="C46" s="1007" t="str">
        <f>IFERROR(VLOOKUP(D46,PosAggregate!$A$86:$A$138,1,FALSE),"")</f>
        <v/>
      </c>
      <c r="D46" s="833"/>
      <c r="E46" s="1007" t="str">
        <f t="shared" si="0"/>
        <v>YES</v>
      </c>
      <c r="F46" s="1046" t="e">
        <f t="shared" ca="1" si="4"/>
        <v>#NAME?</v>
      </c>
      <c r="G46" s="1007" t="e">
        <f t="shared" ca="1" si="5"/>
        <v>#NAME?</v>
      </c>
      <c r="H46" s="1033"/>
      <c r="I46" s="1034"/>
      <c r="J46" s="1048">
        <f t="shared" si="1"/>
        <v>0</v>
      </c>
      <c r="K46" s="1035"/>
      <c r="L46" s="833"/>
      <c r="M46" s="833"/>
      <c r="N46" s="1036"/>
      <c r="O46" s="1049">
        <f t="shared" si="2"/>
        <v>0</v>
      </c>
      <c r="P46" s="1037"/>
      <c r="Q46" s="1050" t="e">
        <f t="shared" si="3"/>
        <v>#DIV/0!</v>
      </c>
      <c r="R46" s="861"/>
      <c r="S46" s="831"/>
      <c r="T46" s="1039"/>
      <c r="U46" s="720"/>
      <c r="V46" s="625"/>
      <c r="W46" s="1040"/>
      <c r="X46" s="1041"/>
      <c r="Y46" s="1041"/>
      <c r="Z46" s="564"/>
      <c r="AA46" s="564"/>
      <c r="AB46" s="564"/>
      <c r="AC46" s="564"/>
      <c r="AD46" s="564"/>
      <c r="AE46" s="564"/>
    </row>
    <row r="47" spans="1:31">
      <c r="A47" s="1029"/>
      <c r="B47" s="1030"/>
      <c r="C47" s="1007" t="str">
        <f>IFERROR(VLOOKUP(D47,PosAggregate!$A$86:$A$138,1,FALSE),"")</f>
        <v/>
      </c>
      <c r="D47" s="833"/>
      <c r="E47" s="1007" t="str">
        <f t="shared" si="0"/>
        <v>YES</v>
      </c>
      <c r="F47" s="1046" t="e">
        <f t="shared" ca="1" si="4"/>
        <v>#NAME?</v>
      </c>
      <c r="G47" s="1007" t="e">
        <f t="shared" ca="1" si="5"/>
        <v>#NAME?</v>
      </c>
      <c r="H47" s="1033"/>
      <c r="I47" s="1034"/>
      <c r="J47" s="1048">
        <f t="shared" si="1"/>
        <v>0</v>
      </c>
      <c r="K47" s="1035"/>
      <c r="L47" s="833"/>
      <c r="M47" s="833"/>
      <c r="N47" s="1036"/>
      <c r="O47" s="1049">
        <f t="shared" si="2"/>
        <v>0</v>
      </c>
      <c r="P47" s="1037"/>
      <c r="Q47" s="1050" t="e">
        <f t="shared" si="3"/>
        <v>#DIV/0!</v>
      </c>
      <c r="R47" s="861"/>
      <c r="S47" s="831"/>
      <c r="T47" s="1039"/>
      <c r="U47" s="720"/>
      <c r="V47" s="625"/>
      <c r="W47" s="1040"/>
      <c r="X47" s="1041"/>
      <c r="Y47" s="1041"/>
      <c r="Z47" s="564"/>
      <c r="AA47" s="564"/>
      <c r="AB47" s="564"/>
      <c r="AC47" s="564"/>
      <c r="AD47" s="564"/>
      <c r="AE47" s="564"/>
    </row>
    <row r="48" spans="1:31">
      <c r="A48" s="1029"/>
      <c r="B48" s="1030"/>
      <c r="C48" s="1007" t="str">
        <f>IFERROR(VLOOKUP(D48,PosAggregate!$A$86:$A$138,1,FALSE),"")</f>
        <v/>
      </c>
      <c r="D48" s="833"/>
      <c r="E48" s="1007" t="str">
        <f t="shared" si="0"/>
        <v>YES</v>
      </c>
      <c r="F48" s="1046" t="e">
        <f t="shared" ca="1" si="4"/>
        <v>#NAME?</v>
      </c>
      <c r="G48" s="1007" t="e">
        <f t="shared" ca="1" si="5"/>
        <v>#NAME?</v>
      </c>
      <c r="H48" s="1033"/>
      <c r="I48" s="1034"/>
      <c r="J48" s="1048">
        <f t="shared" si="1"/>
        <v>0</v>
      </c>
      <c r="K48" s="1035"/>
      <c r="L48" s="833"/>
      <c r="M48" s="833"/>
      <c r="N48" s="1036"/>
      <c r="O48" s="1049">
        <f t="shared" si="2"/>
        <v>0</v>
      </c>
      <c r="P48" s="1037"/>
      <c r="Q48" s="1050" t="e">
        <f t="shared" si="3"/>
        <v>#DIV/0!</v>
      </c>
      <c r="R48" s="861"/>
      <c r="S48" s="831"/>
      <c r="T48" s="1039"/>
      <c r="U48" s="720"/>
      <c r="V48" s="625"/>
      <c r="W48" s="1040"/>
      <c r="X48" s="1041"/>
      <c r="Y48" s="1041"/>
      <c r="Z48" s="564"/>
      <c r="AA48" s="564"/>
      <c r="AB48" s="564"/>
      <c r="AC48" s="564"/>
      <c r="AD48" s="564"/>
      <c r="AE48" s="564"/>
    </row>
    <row r="49" spans="1:31">
      <c r="A49" s="1029"/>
      <c r="B49" s="1030"/>
      <c r="C49" s="1007" t="str">
        <f>IFERROR(VLOOKUP(D49,PosAggregate!$A$86:$A$138,1,FALSE),"")</f>
        <v/>
      </c>
      <c r="D49" s="833"/>
      <c r="E49" s="1007" t="str">
        <f t="shared" si="0"/>
        <v>YES</v>
      </c>
      <c r="F49" s="1046" t="e">
        <f t="shared" ca="1" si="4"/>
        <v>#NAME?</v>
      </c>
      <c r="G49" s="1007" t="e">
        <f t="shared" ca="1" si="5"/>
        <v>#NAME?</v>
      </c>
      <c r="H49" s="1033"/>
      <c r="I49" s="1034"/>
      <c r="J49" s="1048">
        <f t="shared" si="1"/>
        <v>0</v>
      </c>
      <c r="K49" s="1035"/>
      <c r="L49" s="833"/>
      <c r="M49" s="833"/>
      <c r="N49" s="1036"/>
      <c r="O49" s="1049">
        <f t="shared" si="2"/>
        <v>0</v>
      </c>
      <c r="P49" s="1037"/>
      <c r="Q49" s="1050" t="e">
        <f t="shared" si="3"/>
        <v>#DIV/0!</v>
      </c>
      <c r="R49" s="861"/>
      <c r="S49" s="831"/>
      <c r="T49" s="1039"/>
      <c r="U49" s="720"/>
      <c r="V49" s="625"/>
      <c r="W49" s="1040"/>
      <c r="X49" s="1041"/>
      <c r="Y49" s="1041"/>
      <c r="Z49" s="564"/>
      <c r="AA49" s="564"/>
      <c r="AB49" s="564"/>
      <c r="AC49" s="564"/>
      <c r="AD49" s="564"/>
      <c r="AE49" s="564"/>
    </row>
    <row r="50" spans="1:31">
      <c r="A50" s="1042"/>
      <c r="B50" s="833"/>
      <c r="C50" s="1007" t="str">
        <f>IFERROR(VLOOKUP(D50,PosAggregate!$A$86:$A$138,1,FALSE),"")</f>
        <v/>
      </c>
      <c r="D50" s="833"/>
      <c r="E50" s="1007" t="str">
        <f t="shared" si="0"/>
        <v>YES</v>
      </c>
      <c r="F50" s="1046" t="e">
        <f t="shared" ca="1" si="4"/>
        <v>#NAME?</v>
      </c>
      <c r="G50" s="1007" t="e">
        <f t="shared" ca="1" si="5"/>
        <v>#NAME?</v>
      </c>
      <c r="H50" s="1032"/>
      <c r="I50" s="1032"/>
      <c r="J50" s="1048">
        <f t="shared" si="1"/>
        <v>0</v>
      </c>
      <c r="K50" s="1032"/>
      <c r="L50" s="1032"/>
      <c r="M50" s="1032"/>
      <c r="N50" s="1032"/>
      <c r="O50" s="1049">
        <f t="shared" si="2"/>
        <v>0</v>
      </c>
      <c r="P50" s="1043"/>
      <c r="Q50" s="1050" t="e">
        <f t="shared" si="3"/>
        <v>#DIV/0!</v>
      </c>
      <c r="R50" s="1032"/>
      <c r="S50" s="831"/>
      <c r="T50" s="1044"/>
      <c r="U50" s="564"/>
      <c r="V50" s="625"/>
      <c r="W50" s="1040"/>
      <c r="X50" s="1041"/>
      <c r="Y50" s="1041"/>
      <c r="Z50" s="564"/>
      <c r="AA50" s="564"/>
      <c r="AB50" s="564"/>
      <c r="AC50" s="564"/>
      <c r="AD50" s="564"/>
      <c r="AE50" s="564"/>
    </row>
    <row r="51" spans="1:31">
      <c r="A51" s="1042"/>
      <c r="B51" s="833"/>
      <c r="C51" s="1007" t="str">
        <f>IFERROR(VLOOKUP(D51,PosAggregate!$A$86:$A$138,1,FALSE),"")</f>
        <v/>
      </c>
      <c r="D51" s="833"/>
      <c r="E51" s="1007" t="str">
        <f t="shared" si="0"/>
        <v>YES</v>
      </c>
      <c r="F51" s="1046" t="e">
        <f t="shared" ca="1" si="4"/>
        <v>#NAME?</v>
      </c>
      <c r="G51" s="1007" t="e">
        <f t="shared" ca="1" si="5"/>
        <v>#NAME?</v>
      </c>
      <c r="H51" s="1032"/>
      <c r="I51" s="1032"/>
      <c r="J51" s="1048">
        <f t="shared" si="1"/>
        <v>0</v>
      </c>
      <c r="K51" s="1032"/>
      <c r="L51" s="1032"/>
      <c r="M51" s="1032"/>
      <c r="N51" s="1032"/>
      <c r="O51" s="1049">
        <f t="shared" si="2"/>
        <v>0</v>
      </c>
      <c r="P51" s="1043"/>
      <c r="Q51" s="1050" t="e">
        <f t="shared" si="3"/>
        <v>#DIV/0!</v>
      </c>
      <c r="R51" s="1032"/>
      <c r="S51" s="831"/>
      <c r="T51" s="1044"/>
      <c r="U51" s="564"/>
      <c r="V51" s="625"/>
      <c r="W51" s="1040"/>
      <c r="X51" s="1041"/>
      <c r="Y51" s="1041"/>
      <c r="Z51" s="564"/>
      <c r="AA51" s="564"/>
      <c r="AB51" s="564"/>
      <c r="AC51" s="564"/>
      <c r="AD51" s="564"/>
      <c r="AE51" s="564"/>
    </row>
    <row r="52" spans="1:31">
      <c r="A52" s="1042"/>
      <c r="B52" s="833"/>
      <c r="C52" s="1007" t="str">
        <f>IFERROR(VLOOKUP(D52,PosAggregate!$A$86:$A$138,1,FALSE),"")</f>
        <v/>
      </c>
      <c r="D52" s="833"/>
      <c r="E52" s="1007" t="str">
        <f t="shared" si="0"/>
        <v>YES</v>
      </c>
      <c r="F52" s="1046" t="e">
        <f t="shared" ca="1" si="4"/>
        <v>#NAME?</v>
      </c>
      <c r="G52" s="1007" t="e">
        <f t="shared" ca="1" si="5"/>
        <v>#NAME?</v>
      </c>
      <c r="H52" s="1032"/>
      <c r="I52" s="1032"/>
      <c r="J52" s="1048">
        <f t="shared" ref="J52:J65" si="6">-H52*I52/100</f>
        <v>0</v>
      </c>
      <c r="K52" s="1032"/>
      <c r="L52" s="1032"/>
      <c r="M52" s="1032"/>
      <c r="N52" s="1032"/>
      <c r="O52" s="1049">
        <f t="shared" si="2"/>
        <v>0</v>
      </c>
      <c r="P52" s="1043"/>
      <c r="Q52" s="1050" t="e">
        <f t="shared" si="3"/>
        <v>#DIV/0!</v>
      </c>
      <c r="R52" s="1032"/>
      <c r="S52" s="831"/>
      <c r="T52" s="1044"/>
      <c r="U52" s="564"/>
      <c r="V52" s="625"/>
      <c r="W52" s="1040"/>
      <c r="X52" s="1041"/>
      <c r="Y52" s="1041"/>
      <c r="Z52" s="564"/>
      <c r="AA52" s="564"/>
      <c r="AB52" s="564"/>
      <c r="AC52" s="564"/>
      <c r="AD52" s="564"/>
      <c r="AE52" s="564"/>
    </row>
    <row r="53" spans="1:31">
      <c r="A53" s="1042"/>
      <c r="B53" s="833"/>
      <c r="C53" s="1007" t="str">
        <f>IFERROR(VLOOKUP(D53,PosAggregate!$A$86:$A$138,1,FALSE),"")</f>
        <v/>
      </c>
      <c r="D53" s="833"/>
      <c r="E53" s="1007" t="str">
        <f t="shared" si="0"/>
        <v>YES</v>
      </c>
      <c r="F53" s="1046" t="e">
        <f t="shared" ca="1" si="4"/>
        <v>#NAME?</v>
      </c>
      <c r="G53" s="1007" t="e">
        <f t="shared" ca="1" si="5"/>
        <v>#NAME?</v>
      </c>
      <c r="H53" s="1032"/>
      <c r="I53" s="1032"/>
      <c r="J53" s="1048">
        <f t="shared" si="6"/>
        <v>0</v>
      </c>
      <c r="K53" s="1032"/>
      <c r="L53" s="1032"/>
      <c r="M53" s="1032"/>
      <c r="N53" s="1032"/>
      <c r="O53" s="1049">
        <f t="shared" si="2"/>
        <v>0</v>
      </c>
      <c r="P53" s="1043"/>
      <c r="Q53" s="1050" t="e">
        <f t="shared" ref="Q53:Q65" si="7">+O53/P53</f>
        <v>#DIV/0!</v>
      </c>
      <c r="R53" s="1032"/>
      <c r="S53" s="831"/>
      <c r="T53" s="1044"/>
      <c r="U53" s="564"/>
      <c r="V53" s="625"/>
      <c r="W53" s="1040"/>
      <c r="X53" s="1041"/>
      <c r="Y53" s="1041"/>
      <c r="Z53" s="564"/>
      <c r="AA53" s="564"/>
      <c r="AB53" s="564"/>
      <c r="AC53" s="564"/>
      <c r="AD53" s="564"/>
      <c r="AE53" s="564"/>
    </row>
    <row r="54" spans="1:31">
      <c r="A54" s="1042"/>
      <c r="B54" s="833"/>
      <c r="C54" s="1007" t="str">
        <f>IFERROR(VLOOKUP(D54,PosAggregate!$A$86:$A$138,1,FALSE),"")</f>
        <v/>
      </c>
      <c r="D54" s="833"/>
      <c r="E54" s="1007" t="str">
        <f t="shared" si="0"/>
        <v>YES</v>
      </c>
      <c r="F54" s="1046" t="e">
        <f t="shared" ca="1" si="4"/>
        <v>#NAME?</v>
      </c>
      <c r="G54" s="1007" t="e">
        <f t="shared" ca="1" si="5"/>
        <v>#NAME?</v>
      </c>
      <c r="H54" s="1032"/>
      <c r="I54" s="1032"/>
      <c r="J54" s="1048">
        <f t="shared" si="6"/>
        <v>0</v>
      </c>
      <c r="K54" s="1032"/>
      <c r="L54" s="1032"/>
      <c r="M54" s="1032"/>
      <c r="N54" s="1032"/>
      <c r="O54" s="1049">
        <f t="shared" si="2"/>
        <v>0</v>
      </c>
      <c r="P54" s="1043"/>
      <c r="Q54" s="1050" t="e">
        <f t="shared" si="7"/>
        <v>#DIV/0!</v>
      </c>
      <c r="R54" s="1032"/>
      <c r="S54" s="831"/>
      <c r="T54" s="1044"/>
      <c r="U54" s="564"/>
      <c r="V54" s="625"/>
      <c r="W54" s="1040"/>
      <c r="X54" s="1041"/>
      <c r="Y54" s="1041"/>
      <c r="Z54" s="564"/>
      <c r="AA54" s="564"/>
      <c r="AB54" s="564"/>
      <c r="AC54" s="564"/>
      <c r="AD54" s="564"/>
      <c r="AE54" s="564"/>
    </row>
    <row r="55" spans="1:31">
      <c r="A55" s="1042"/>
      <c r="B55" s="833"/>
      <c r="C55" s="1007" t="str">
        <f>IFERROR(VLOOKUP(D55,PosAggregate!$A$86:$A$138,1,FALSE),"")</f>
        <v/>
      </c>
      <c r="D55" s="833"/>
      <c r="E55" s="1007" t="str">
        <f t="shared" si="0"/>
        <v>YES</v>
      </c>
      <c r="F55" s="1046" t="e">
        <f t="shared" ca="1" si="4"/>
        <v>#NAME?</v>
      </c>
      <c r="G55" s="1007" t="e">
        <f t="shared" ca="1" si="5"/>
        <v>#NAME?</v>
      </c>
      <c r="H55" s="1032"/>
      <c r="I55" s="1032"/>
      <c r="J55" s="1048">
        <f t="shared" si="6"/>
        <v>0</v>
      </c>
      <c r="K55" s="1032"/>
      <c r="L55" s="1032"/>
      <c r="M55" s="1032"/>
      <c r="N55" s="1032"/>
      <c r="O55" s="1049">
        <f t="shared" si="2"/>
        <v>0</v>
      </c>
      <c r="P55" s="1043"/>
      <c r="Q55" s="1050" t="e">
        <f t="shared" si="7"/>
        <v>#DIV/0!</v>
      </c>
      <c r="R55" s="1032"/>
      <c r="S55" s="831"/>
      <c r="T55" s="1044"/>
      <c r="U55" s="564"/>
      <c r="V55" s="625"/>
      <c r="W55" s="1040"/>
      <c r="X55" s="1041"/>
      <c r="Y55" s="1041"/>
      <c r="Z55" s="564"/>
      <c r="AA55" s="564"/>
      <c r="AB55" s="564"/>
      <c r="AC55" s="564"/>
      <c r="AD55" s="564"/>
      <c r="AE55" s="564"/>
    </row>
    <row r="56" spans="1:31">
      <c r="A56" s="1042"/>
      <c r="B56" s="833"/>
      <c r="C56" s="1007" t="str">
        <f>IFERROR(VLOOKUP(D56,PosAggregate!$A$86:$A$138,1,FALSE),"")</f>
        <v/>
      </c>
      <c r="D56" s="833"/>
      <c r="E56" s="1007" t="str">
        <f t="shared" si="0"/>
        <v>YES</v>
      </c>
      <c r="F56" s="1046" t="e">
        <f t="shared" ca="1" si="4"/>
        <v>#NAME?</v>
      </c>
      <c r="G56" s="1007" t="e">
        <f t="shared" ca="1" si="5"/>
        <v>#NAME?</v>
      </c>
      <c r="H56" s="1032"/>
      <c r="I56" s="1032"/>
      <c r="J56" s="1048">
        <f t="shared" si="6"/>
        <v>0</v>
      </c>
      <c r="K56" s="1032"/>
      <c r="L56" s="1032"/>
      <c r="M56" s="1032"/>
      <c r="N56" s="1032"/>
      <c r="O56" s="1049">
        <f t="shared" si="2"/>
        <v>0</v>
      </c>
      <c r="P56" s="1043"/>
      <c r="Q56" s="1050" t="e">
        <f t="shared" si="7"/>
        <v>#DIV/0!</v>
      </c>
      <c r="R56" s="1032"/>
      <c r="S56" s="831"/>
      <c r="T56" s="1044"/>
      <c r="U56" s="564"/>
      <c r="V56" s="625"/>
      <c r="W56" s="1040"/>
      <c r="X56" s="1041"/>
      <c r="Y56" s="1041"/>
      <c r="Z56" s="564"/>
      <c r="AA56" s="564"/>
      <c r="AB56" s="564"/>
      <c r="AC56" s="564"/>
      <c r="AD56" s="564"/>
      <c r="AE56" s="564"/>
    </row>
    <row r="57" spans="1:31">
      <c r="A57" s="1042"/>
      <c r="B57" s="833"/>
      <c r="C57" s="1007" t="str">
        <f>IFERROR(VLOOKUP(D57,PosAggregate!$A$86:$A$138,1,FALSE),"")</f>
        <v/>
      </c>
      <c r="D57" s="833"/>
      <c r="E57" s="1007" t="str">
        <f t="shared" si="0"/>
        <v>YES</v>
      </c>
      <c r="F57" s="1046" t="e">
        <f t="shared" ca="1" si="4"/>
        <v>#NAME?</v>
      </c>
      <c r="G57" s="1007" t="e">
        <f t="shared" ca="1" si="5"/>
        <v>#NAME?</v>
      </c>
      <c r="H57" s="1032"/>
      <c r="I57" s="1032"/>
      <c r="J57" s="1048">
        <f t="shared" si="6"/>
        <v>0</v>
      </c>
      <c r="K57" s="1032"/>
      <c r="L57" s="1032"/>
      <c r="M57" s="1032"/>
      <c r="N57" s="1032"/>
      <c r="O57" s="1049">
        <f t="shared" si="2"/>
        <v>0</v>
      </c>
      <c r="P57" s="1043"/>
      <c r="Q57" s="1050" t="e">
        <f t="shared" si="7"/>
        <v>#DIV/0!</v>
      </c>
      <c r="R57" s="1032"/>
      <c r="S57" s="831"/>
      <c r="T57" s="1044"/>
      <c r="U57" s="564"/>
      <c r="V57" s="625"/>
      <c r="W57" s="1040"/>
      <c r="X57" s="1041"/>
      <c r="Y57" s="1041"/>
      <c r="Z57" s="564"/>
      <c r="AA57" s="564"/>
      <c r="AB57" s="564"/>
      <c r="AC57" s="564"/>
      <c r="AD57" s="564"/>
      <c r="AE57" s="564"/>
    </row>
    <row r="58" spans="1:31">
      <c r="A58" s="1042"/>
      <c r="B58" s="833"/>
      <c r="C58" s="1007" t="str">
        <f>IFERROR(VLOOKUP(D58,PosAggregate!$A$86:$A$138,1,FALSE),"")</f>
        <v/>
      </c>
      <c r="D58" s="833"/>
      <c r="E58" s="1007" t="str">
        <f t="shared" si="0"/>
        <v>YES</v>
      </c>
      <c r="F58" s="1046" t="e">
        <f t="shared" ca="1" si="4"/>
        <v>#NAME?</v>
      </c>
      <c r="G58" s="1007" t="e">
        <f t="shared" ca="1" si="5"/>
        <v>#NAME?</v>
      </c>
      <c r="H58" s="1032"/>
      <c r="I58" s="1032"/>
      <c r="J58" s="1048">
        <f t="shared" si="6"/>
        <v>0</v>
      </c>
      <c r="K58" s="1032"/>
      <c r="L58" s="1032"/>
      <c r="M58" s="1032"/>
      <c r="N58" s="1032"/>
      <c r="O58" s="1049">
        <f t="shared" si="2"/>
        <v>0</v>
      </c>
      <c r="P58" s="1043"/>
      <c r="Q58" s="1050" t="e">
        <f t="shared" si="7"/>
        <v>#DIV/0!</v>
      </c>
      <c r="R58" s="1032"/>
      <c r="S58" s="831"/>
      <c r="T58" s="1044"/>
      <c r="U58" s="564"/>
      <c r="V58" s="625"/>
      <c r="W58" s="1040"/>
      <c r="X58" s="1041"/>
      <c r="Y58" s="1041"/>
      <c r="Z58" s="564"/>
      <c r="AA58" s="564"/>
      <c r="AB58" s="564"/>
      <c r="AC58" s="564"/>
      <c r="AD58" s="564"/>
      <c r="AE58" s="564"/>
    </row>
    <row r="59" spans="1:31">
      <c r="A59" s="1042"/>
      <c r="B59" s="833"/>
      <c r="C59" s="1007" t="str">
        <f>IFERROR(VLOOKUP(D59,PosAggregate!$A$86:$A$138,1,FALSE),"")</f>
        <v/>
      </c>
      <c r="D59" s="833"/>
      <c r="E59" s="1007" t="str">
        <f t="shared" si="0"/>
        <v>YES</v>
      </c>
      <c r="F59" s="1046" t="e">
        <f t="shared" ca="1" si="4"/>
        <v>#NAME?</v>
      </c>
      <c r="G59" s="1007" t="e">
        <f t="shared" ca="1" si="5"/>
        <v>#NAME?</v>
      </c>
      <c r="H59" s="1032"/>
      <c r="I59" s="1032"/>
      <c r="J59" s="1048">
        <f t="shared" si="6"/>
        <v>0</v>
      </c>
      <c r="K59" s="1032"/>
      <c r="L59" s="1032"/>
      <c r="M59" s="1032"/>
      <c r="N59" s="1032"/>
      <c r="O59" s="1049">
        <f t="shared" si="2"/>
        <v>0</v>
      </c>
      <c r="P59" s="1043"/>
      <c r="Q59" s="1050" t="e">
        <f t="shared" si="7"/>
        <v>#DIV/0!</v>
      </c>
      <c r="R59" s="1032"/>
      <c r="S59" s="831"/>
      <c r="T59" s="1044"/>
      <c r="U59" s="564"/>
      <c r="V59" s="625"/>
      <c r="W59" s="1040"/>
      <c r="X59" s="1041"/>
      <c r="Y59" s="1041"/>
      <c r="Z59" s="564"/>
      <c r="AA59" s="564"/>
      <c r="AB59" s="564"/>
      <c r="AC59" s="564"/>
      <c r="AD59" s="564"/>
      <c r="AE59" s="564"/>
    </row>
    <row r="60" spans="1:31">
      <c r="A60" s="1042"/>
      <c r="B60" s="833"/>
      <c r="C60" s="1007" t="str">
        <f>IFERROR(VLOOKUP(D60,PosAggregate!$A$86:$A$138,1,FALSE),"")</f>
        <v/>
      </c>
      <c r="D60" s="833"/>
      <c r="E60" s="1007" t="str">
        <f t="shared" ref="E60:E65" si="8">IF(C60=D60,"YES","NO")</f>
        <v>YES</v>
      </c>
      <c r="F60" s="1046" t="e">
        <f t="shared" ca="1" si="4"/>
        <v>#NAME?</v>
      </c>
      <c r="G60" s="1007" t="e">
        <f t="shared" ca="1" si="5"/>
        <v>#NAME?</v>
      </c>
      <c r="H60" s="1032"/>
      <c r="I60" s="1032"/>
      <c r="J60" s="1048">
        <f t="shared" si="6"/>
        <v>0</v>
      </c>
      <c r="K60" s="1032"/>
      <c r="L60" s="1032"/>
      <c r="M60" s="1032"/>
      <c r="N60" s="1032"/>
      <c r="O60" s="1049">
        <f t="shared" si="2"/>
        <v>0</v>
      </c>
      <c r="P60" s="1043"/>
      <c r="Q60" s="1050" t="e">
        <f t="shared" si="7"/>
        <v>#DIV/0!</v>
      </c>
      <c r="R60" s="1032"/>
      <c r="S60" s="831"/>
      <c r="T60" s="1044"/>
      <c r="U60" s="564"/>
      <c r="V60" s="625"/>
      <c r="W60" s="1040"/>
      <c r="X60" s="1041"/>
      <c r="Y60" s="1041"/>
      <c r="Z60" s="564"/>
      <c r="AA60" s="564"/>
      <c r="AB60" s="564"/>
      <c r="AC60" s="564"/>
      <c r="AD60" s="564"/>
      <c r="AE60" s="564"/>
    </row>
    <row r="61" spans="1:31">
      <c r="A61" s="1042"/>
      <c r="B61" s="833"/>
      <c r="C61" s="1007" t="str">
        <f>IFERROR(VLOOKUP(D61,PosAggregate!$A$86:$A$138,1,FALSE),"")</f>
        <v/>
      </c>
      <c r="D61" s="833"/>
      <c r="E61" s="1007" t="str">
        <f t="shared" si="8"/>
        <v>YES</v>
      </c>
      <c r="F61" s="1046" t="e">
        <f t="shared" ca="1" si="4"/>
        <v>#NAME?</v>
      </c>
      <c r="G61" s="1007" t="e">
        <f t="shared" ca="1" si="5"/>
        <v>#NAME?</v>
      </c>
      <c r="H61" s="1032"/>
      <c r="I61" s="1032"/>
      <c r="J61" s="1048">
        <f t="shared" si="6"/>
        <v>0</v>
      </c>
      <c r="K61" s="1032"/>
      <c r="L61" s="1032"/>
      <c r="M61" s="1032"/>
      <c r="N61" s="1032"/>
      <c r="O61" s="1049">
        <f t="shared" si="2"/>
        <v>0</v>
      </c>
      <c r="P61" s="1043"/>
      <c r="Q61" s="1050" t="e">
        <f t="shared" si="7"/>
        <v>#DIV/0!</v>
      </c>
      <c r="R61" s="1032"/>
      <c r="S61" s="831"/>
      <c r="T61" s="1044"/>
      <c r="U61" s="564"/>
      <c r="V61" s="625"/>
      <c r="W61" s="1040"/>
      <c r="X61" s="1041"/>
      <c r="Y61" s="1041"/>
      <c r="Z61" s="564"/>
      <c r="AA61" s="564"/>
      <c r="AB61" s="564"/>
      <c r="AC61" s="564"/>
      <c r="AD61" s="564"/>
      <c r="AE61" s="564"/>
    </row>
    <row r="62" spans="1:31">
      <c r="A62" s="1042"/>
      <c r="B62" s="833"/>
      <c r="C62" s="1007" t="str">
        <f>IFERROR(VLOOKUP(D62,PosAggregate!$A$86:$A$138,1,FALSE),"")</f>
        <v/>
      </c>
      <c r="D62" s="833"/>
      <c r="E62" s="1007" t="str">
        <f t="shared" si="8"/>
        <v>YES</v>
      </c>
      <c r="F62" s="1046" t="e">
        <f t="shared" ca="1" si="4"/>
        <v>#NAME?</v>
      </c>
      <c r="G62" s="1007" t="e">
        <f t="shared" ca="1" si="5"/>
        <v>#NAME?</v>
      </c>
      <c r="H62" s="1032"/>
      <c r="I62" s="1032"/>
      <c r="J62" s="1048">
        <f t="shared" si="6"/>
        <v>0</v>
      </c>
      <c r="K62" s="1032"/>
      <c r="L62" s="1032"/>
      <c r="M62" s="1032"/>
      <c r="N62" s="1032"/>
      <c r="O62" s="1049">
        <f t="shared" si="2"/>
        <v>0</v>
      </c>
      <c r="P62" s="1043"/>
      <c r="Q62" s="1050" t="e">
        <f t="shared" si="7"/>
        <v>#DIV/0!</v>
      </c>
      <c r="R62" s="1032"/>
      <c r="S62" s="831"/>
      <c r="T62" s="1044"/>
      <c r="U62" s="564"/>
      <c r="V62" s="625"/>
      <c r="W62" s="1040"/>
      <c r="X62" s="1041"/>
      <c r="Y62" s="1041"/>
      <c r="Z62" s="564"/>
      <c r="AA62" s="564"/>
      <c r="AB62" s="564"/>
      <c r="AC62" s="564"/>
      <c r="AD62" s="564"/>
      <c r="AE62" s="564"/>
    </row>
    <row r="63" spans="1:31">
      <c r="A63" s="1042"/>
      <c r="B63" s="833"/>
      <c r="C63" s="1007" t="str">
        <f>IFERROR(VLOOKUP(D63,PosAggregate!$A$86:$A$138,1,FALSE),"")</f>
        <v/>
      </c>
      <c r="D63" s="833"/>
      <c r="E63" s="1007" t="str">
        <f t="shared" si="8"/>
        <v>YES</v>
      </c>
      <c r="F63" s="1046" t="e">
        <f t="shared" ca="1" si="4"/>
        <v>#NAME?</v>
      </c>
      <c r="G63" s="1007" t="e">
        <f t="shared" ca="1" si="5"/>
        <v>#NAME?</v>
      </c>
      <c r="H63" s="1032"/>
      <c r="I63" s="1032"/>
      <c r="J63" s="1048">
        <f t="shared" si="6"/>
        <v>0</v>
      </c>
      <c r="K63" s="1032"/>
      <c r="L63" s="1032"/>
      <c r="M63" s="1032"/>
      <c r="N63" s="1032"/>
      <c r="O63" s="1049">
        <f t="shared" si="2"/>
        <v>0</v>
      </c>
      <c r="P63" s="1043"/>
      <c r="Q63" s="1050" t="e">
        <f t="shared" si="7"/>
        <v>#DIV/0!</v>
      </c>
      <c r="R63" s="1032"/>
      <c r="S63" s="831"/>
      <c r="T63" s="1044"/>
      <c r="U63" s="564"/>
      <c r="V63" s="625"/>
      <c r="W63" s="1040"/>
      <c r="X63" s="1041"/>
      <c r="Y63" s="1041"/>
      <c r="Z63" s="564"/>
      <c r="AA63" s="564"/>
      <c r="AB63" s="564"/>
      <c r="AC63" s="564"/>
      <c r="AD63" s="564"/>
      <c r="AE63" s="564"/>
    </row>
    <row r="64" spans="1:31">
      <c r="A64" s="1042"/>
      <c r="B64" s="833"/>
      <c r="C64" s="1007" t="str">
        <f>IFERROR(VLOOKUP(D64,PosAggregate!$A$86:$A$138,1,FALSE),"")</f>
        <v/>
      </c>
      <c r="D64" s="833"/>
      <c r="E64" s="1007" t="str">
        <f t="shared" si="8"/>
        <v>YES</v>
      </c>
      <c r="F64" s="1046" t="e">
        <f t="shared" ca="1" si="4"/>
        <v>#NAME?</v>
      </c>
      <c r="G64" s="1007" t="e">
        <f t="shared" ca="1" si="5"/>
        <v>#NAME?</v>
      </c>
      <c r="H64" s="1032"/>
      <c r="I64" s="1032"/>
      <c r="J64" s="1048">
        <f t="shared" si="6"/>
        <v>0</v>
      </c>
      <c r="K64" s="1032"/>
      <c r="L64" s="1032"/>
      <c r="M64" s="1032"/>
      <c r="N64" s="1032"/>
      <c r="O64" s="1049">
        <f t="shared" si="2"/>
        <v>0</v>
      </c>
      <c r="P64" s="1043"/>
      <c r="Q64" s="1050" t="e">
        <f t="shared" si="7"/>
        <v>#DIV/0!</v>
      </c>
      <c r="R64" s="1032"/>
      <c r="S64" s="831"/>
      <c r="T64" s="1044"/>
      <c r="U64" s="564"/>
      <c r="V64" s="625"/>
      <c r="W64" s="1040"/>
      <c r="X64" s="1041"/>
      <c r="Y64" s="1041"/>
      <c r="Z64" s="564"/>
      <c r="AA64" s="564"/>
      <c r="AB64" s="564"/>
      <c r="AC64" s="564"/>
      <c r="AD64" s="564"/>
      <c r="AE64" s="564"/>
    </row>
    <row r="65" spans="1:31">
      <c r="A65" s="1042"/>
      <c r="B65" s="833"/>
      <c r="C65" s="1007" t="str">
        <f>IFERROR(VLOOKUP(D65,PosAggregate!$A$86:$A$138,1,FALSE),"")</f>
        <v/>
      </c>
      <c r="D65" s="833"/>
      <c r="E65" s="1007" t="str">
        <f t="shared" si="8"/>
        <v>YES</v>
      </c>
      <c r="F65" s="1046" t="e">
        <f t="shared" ca="1" si="4"/>
        <v>#NAME?</v>
      </c>
      <c r="G65" s="1007" t="e">
        <f t="shared" ca="1" si="5"/>
        <v>#NAME?</v>
      </c>
      <c r="H65" s="1032"/>
      <c r="I65" s="1032"/>
      <c r="J65" s="1048">
        <f t="shared" si="6"/>
        <v>0</v>
      </c>
      <c r="K65" s="1032"/>
      <c r="L65" s="1032"/>
      <c r="M65" s="1032"/>
      <c r="N65" s="1032"/>
      <c r="O65" s="1049">
        <f>J65+K65+L65+N65</f>
        <v>0</v>
      </c>
      <c r="P65" s="1043"/>
      <c r="Q65" s="1050" t="e">
        <f t="shared" si="7"/>
        <v>#DIV/0!</v>
      </c>
      <c r="R65" s="1032"/>
      <c r="S65" s="831"/>
      <c r="T65" s="1044"/>
      <c r="U65" s="564"/>
      <c r="V65" s="625"/>
      <c r="W65" s="1040"/>
      <c r="X65" s="1041"/>
      <c r="Y65" s="1041"/>
      <c r="Z65" s="564"/>
      <c r="AA65" s="564"/>
      <c r="AB65" s="564"/>
      <c r="AC65" s="564"/>
      <c r="AD65" s="564"/>
      <c r="AE65" s="564"/>
    </row>
  </sheetData>
  <conditionalFormatting sqref="E11:U11 A15:E64 H24:U64 E12:Q12 F13:G65 A11:C14 E13:E14 R12:U23 H13:Q23">
    <cfRule type="expression" dxfId="223" priority="3">
      <formula>$B11="SELL"</formula>
    </cfRule>
  </conditionalFormatting>
  <conditionalFormatting sqref="A65:E65 H65:U65">
    <cfRule type="expression" dxfId="222" priority="1">
      <formula>$B65="SELL"</formula>
    </cfRule>
  </conditionalFormatting>
  <dataValidations disablePrompts="1" count="3">
    <dataValidation type="list" allowBlank="1" showInputMessage="1" showErrorMessage="1" sqref="C9" xr:uid="{00000000-0002-0000-0200-000001000000}">
      <formula1>"Buy,Sell"</formula1>
    </dataValidation>
    <dataValidation type="list" allowBlank="1" showInputMessage="1" showErrorMessage="1" sqref="S37:S65" xr:uid="{00000000-0002-0000-0200-000000000000}">
      <formula1>"UBS,Bofaml,Yuanta,Visor,GMSA"</formula1>
    </dataValidation>
    <dataValidation type="list" allowBlank="1" showInputMessage="1" showErrorMessage="1" sqref="S11:S36" xr:uid="{2AC3933A-7A93-490E-80CB-5B6E117F54AC}">
      <formula1>"GMSA, Equita, Kepler"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>
    <tabColor theme="9" tint="-0.249977111117893"/>
  </sheetPr>
  <dimension ref="A1:XFC710"/>
  <sheetViews>
    <sheetView topLeftCell="J576" zoomScale="84" zoomScaleNormal="84" workbookViewId="0">
      <selection activeCell="R601" sqref="R601"/>
    </sheetView>
  </sheetViews>
  <sheetFormatPr defaultColWidth="9" defaultRowHeight="13" outlineLevelCol="1"/>
  <cols>
    <col min="1" max="1" width="14.1796875" style="716" customWidth="1"/>
    <col min="2" max="2" width="14.81640625" style="881" customWidth="1"/>
    <col min="3" max="3" width="11.26953125" style="881" bestFit="1" customWidth="1"/>
    <col min="4" max="4" width="17.1796875" style="594" customWidth="1" outlineLevel="1"/>
    <col min="5" max="5" width="14" style="716" customWidth="1" outlineLevel="1"/>
    <col min="6" max="6" width="9.7265625" style="594" bestFit="1" customWidth="1"/>
    <col min="7" max="7" width="10.26953125" style="594" bestFit="1" customWidth="1"/>
    <col min="8" max="8" width="9.54296875" style="716" customWidth="1"/>
    <col min="9" max="9" width="39.54296875" style="716" bestFit="1" customWidth="1"/>
    <col min="10" max="10" width="17.26953125" style="716" bestFit="1" customWidth="1"/>
    <col min="11" max="11" width="13.54296875" style="716" bestFit="1" customWidth="1"/>
    <col min="12" max="12" width="4" style="885" hidden="1" customWidth="1" outlineLevel="1"/>
    <col min="13" max="13" width="32.81640625" style="716" customWidth="1" collapsed="1"/>
    <col min="14" max="14" width="16.81640625" style="716" bestFit="1" customWidth="1"/>
    <col min="15" max="15" width="14" style="716" bestFit="1" customWidth="1"/>
    <col min="16" max="16" width="12.7265625" style="716" customWidth="1"/>
    <col min="17" max="17" width="8" style="716" bestFit="1" customWidth="1"/>
    <col min="18" max="18" width="16.54296875" style="716" bestFit="1" customWidth="1"/>
    <col min="19" max="19" width="10" style="594" customWidth="1"/>
    <col min="20" max="20" width="12" style="716" bestFit="1" customWidth="1"/>
    <col min="21" max="21" width="10" style="716" bestFit="1" customWidth="1"/>
    <col min="22" max="22" width="14.7265625" style="594" bestFit="1" customWidth="1"/>
    <col min="23" max="23" width="10.81640625" style="914" bestFit="1" customWidth="1"/>
    <col min="24" max="24" width="7" style="815" bestFit="1" customWidth="1"/>
    <col min="25" max="26" width="12.26953125" style="716" bestFit="1" customWidth="1"/>
    <col min="27" max="27" width="9.453125" style="716" customWidth="1"/>
    <col min="28" max="28" width="18.26953125" style="716" customWidth="1"/>
    <col min="29" max="29" width="18.7265625" style="716" bestFit="1" customWidth="1"/>
    <col min="30" max="30" width="14" style="716" bestFit="1" customWidth="1"/>
    <col min="31" max="31" width="24" style="716" bestFit="1" customWidth="1"/>
    <col min="32" max="32" width="8.26953125" style="716" bestFit="1" customWidth="1"/>
    <col min="33" max="33" width="28.7265625" style="716" bestFit="1" customWidth="1"/>
    <col min="34" max="34" width="29" style="716" bestFit="1" customWidth="1"/>
    <col min="35" max="35" width="32" style="716" bestFit="1" customWidth="1"/>
    <col min="36" max="36" width="26" style="716" bestFit="1" customWidth="1"/>
    <col min="37" max="37" width="22" style="716" bestFit="1" customWidth="1"/>
    <col min="38" max="38" width="19.26953125" style="716" bestFit="1" customWidth="1"/>
    <col min="39" max="39" width="20.26953125" style="716" bestFit="1" customWidth="1"/>
    <col min="40" max="40" width="13.7265625" style="716" bestFit="1" customWidth="1"/>
    <col min="41" max="41" width="9.54296875" style="716" bestFit="1" customWidth="1"/>
    <col min="42" max="42" width="12.81640625" style="716" bestFit="1" customWidth="1"/>
    <col min="43" max="16384" width="9" style="716"/>
  </cols>
  <sheetData>
    <row r="1" spans="1:55" s="564" customFormat="1">
      <c r="B1" s="810"/>
      <c r="C1" s="810"/>
      <c r="D1" s="558"/>
      <c r="F1" s="558"/>
      <c r="G1" s="558"/>
      <c r="H1" s="558"/>
      <c r="L1" s="811"/>
      <c r="N1" s="558"/>
      <c r="O1" s="558"/>
      <c r="P1" s="558"/>
      <c r="Q1" s="558"/>
      <c r="R1" s="558"/>
      <c r="S1" s="558"/>
      <c r="T1" s="558"/>
      <c r="U1" s="558"/>
      <c r="V1" s="558"/>
      <c r="W1" s="812"/>
      <c r="X1" s="813"/>
      <c r="AA1" s="624"/>
      <c r="AB1" s="624"/>
      <c r="AJ1" s="814"/>
      <c r="AK1" s="814"/>
      <c r="AL1" s="810"/>
      <c r="AM1" s="810"/>
      <c r="AN1" s="810"/>
      <c r="AO1" s="810"/>
      <c r="AP1" s="810"/>
      <c r="AQ1" s="810"/>
      <c r="AR1" s="810"/>
      <c r="AS1" s="810"/>
      <c r="AT1" s="810"/>
      <c r="AU1" s="810"/>
      <c r="AV1" s="810"/>
      <c r="AW1" s="810"/>
      <c r="AX1" s="810"/>
      <c r="AY1" s="814"/>
      <c r="AZ1" s="814"/>
      <c r="BA1" s="814"/>
      <c r="BB1" s="814"/>
      <c r="BC1" s="814"/>
    </row>
    <row r="2" spans="1:55" s="564" customFormat="1">
      <c r="B2" s="810"/>
      <c r="C2" s="810"/>
      <c r="D2" s="558"/>
      <c r="F2" s="558"/>
      <c r="G2" s="558"/>
      <c r="H2" s="558"/>
      <c r="L2" s="811"/>
      <c r="N2" s="558"/>
      <c r="O2" s="558"/>
      <c r="P2" s="558"/>
      <c r="Q2" s="558"/>
      <c r="R2" s="558"/>
      <c r="S2" s="558"/>
      <c r="T2" s="558"/>
      <c r="U2" s="558"/>
      <c r="V2" s="558"/>
      <c r="W2" s="812"/>
      <c r="X2" s="813"/>
      <c r="AA2" s="624"/>
      <c r="AB2" s="624"/>
      <c r="AJ2" s="814"/>
      <c r="AK2" s="814"/>
      <c r="AL2" s="810"/>
      <c r="AM2" s="810"/>
      <c r="AN2" s="810"/>
      <c r="AO2" s="810"/>
      <c r="AP2" s="810"/>
      <c r="AQ2" s="810"/>
      <c r="AR2" s="810"/>
      <c r="AS2" s="810"/>
      <c r="AT2" s="810"/>
      <c r="AU2" s="810"/>
      <c r="AV2" s="810"/>
      <c r="AW2" s="810"/>
      <c r="AX2" s="810"/>
      <c r="AY2" s="814"/>
      <c r="AZ2" s="814"/>
      <c r="BA2" s="814"/>
      <c r="BB2" s="814"/>
      <c r="BC2" s="814"/>
    </row>
    <row r="3" spans="1:55" s="564" customFormat="1">
      <c r="B3" s="810"/>
      <c r="C3" s="810"/>
      <c r="D3" s="558"/>
      <c r="F3" s="558"/>
      <c r="G3" s="558"/>
      <c r="H3" s="558"/>
      <c r="L3" s="811"/>
      <c r="N3" s="558"/>
      <c r="O3" s="558"/>
      <c r="P3" s="558"/>
      <c r="Q3" s="558"/>
      <c r="R3" s="558"/>
      <c r="S3" s="558"/>
      <c r="T3" s="558"/>
      <c r="U3" s="970">
        <f>57700+22000</f>
        <v>79700</v>
      </c>
      <c r="V3" s="558"/>
      <c r="W3" s="812"/>
      <c r="X3" s="813"/>
      <c r="AA3" s="624"/>
      <c r="AB3" s="624"/>
      <c r="AJ3" s="814"/>
      <c r="AK3" s="814"/>
      <c r="AL3" s="810"/>
      <c r="AM3" s="810"/>
      <c r="AN3" s="810"/>
      <c r="AO3" s="810"/>
      <c r="AP3" s="810"/>
      <c r="AQ3" s="810"/>
      <c r="AR3" s="810"/>
      <c r="AS3" s="810"/>
      <c r="AT3" s="810"/>
      <c r="AU3" s="810"/>
      <c r="AV3" s="810"/>
      <c r="AW3" s="810"/>
      <c r="AX3" s="810"/>
      <c r="AY3" s="814"/>
      <c r="AZ3" s="814"/>
      <c r="BA3" s="814"/>
      <c r="BB3" s="814"/>
      <c r="BC3" s="814"/>
    </row>
    <row r="4" spans="1:55" s="564" customFormat="1">
      <c r="B4" s="810"/>
      <c r="C4" s="810"/>
      <c r="D4" s="558"/>
      <c r="F4" s="558"/>
      <c r="G4" s="558"/>
      <c r="H4" s="558"/>
      <c r="L4" s="811"/>
      <c r="N4" s="558"/>
      <c r="O4" s="558"/>
      <c r="P4" s="558"/>
      <c r="Q4" s="558"/>
      <c r="R4" s="558"/>
      <c r="S4" s="558"/>
      <c r="T4" s="558"/>
      <c r="U4" s="558"/>
      <c r="V4" s="558"/>
      <c r="W4" s="812"/>
      <c r="X4" s="813"/>
      <c r="AA4" s="624"/>
      <c r="AB4" s="624"/>
      <c r="AJ4" s="814"/>
      <c r="AK4" s="814"/>
      <c r="AL4" s="810"/>
      <c r="AM4" s="810"/>
      <c r="AN4" s="810"/>
      <c r="AO4" s="810"/>
      <c r="AP4" s="810"/>
      <c r="AQ4" s="810"/>
      <c r="AR4" s="810"/>
      <c r="AS4" s="810"/>
      <c r="AT4" s="810"/>
      <c r="AU4" s="810"/>
      <c r="AV4" s="810"/>
      <c r="AW4" s="810"/>
      <c r="AX4" s="810"/>
      <c r="AY4" s="814"/>
      <c r="AZ4" s="814"/>
      <c r="BA4" s="814"/>
      <c r="BB4" s="814"/>
      <c r="BC4" s="814"/>
    </row>
    <row r="5" spans="1:55" s="564" customFormat="1">
      <c r="B5" s="810"/>
      <c r="C5" s="810"/>
      <c r="D5" s="558"/>
      <c r="F5" s="558"/>
      <c r="G5" s="558"/>
      <c r="H5" s="558"/>
      <c r="L5" s="811"/>
      <c r="N5" s="558"/>
      <c r="O5" s="558"/>
      <c r="P5" s="558"/>
      <c r="Q5" s="558"/>
      <c r="R5" s="558"/>
      <c r="S5" s="558"/>
      <c r="T5" s="558"/>
      <c r="U5" s="558"/>
      <c r="V5" s="558"/>
      <c r="W5" s="812"/>
      <c r="X5" s="813"/>
      <c r="AA5" s="624"/>
      <c r="AB5" s="624"/>
      <c r="AJ5" s="814"/>
      <c r="AK5" s="814"/>
      <c r="AL5" s="810"/>
      <c r="AM5" s="810"/>
      <c r="AN5" s="810"/>
      <c r="AO5" s="810"/>
      <c r="AP5" s="810"/>
      <c r="AQ5" s="810"/>
      <c r="AR5" s="810"/>
      <c r="AS5" s="810"/>
      <c r="AT5" s="810"/>
      <c r="AU5" s="810"/>
      <c r="AV5" s="810"/>
      <c r="AW5" s="810"/>
      <c r="AX5" s="810"/>
      <c r="AY5" s="814"/>
      <c r="AZ5" s="814"/>
      <c r="BA5" s="814"/>
      <c r="BB5" s="814"/>
      <c r="BC5" s="814"/>
    </row>
    <row r="6" spans="1:55" s="564" customFormat="1">
      <c r="B6" s="810"/>
      <c r="C6" s="810"/>
      <c r="D6" s="558"/>
      <c r="F6" s="558"/>
      <c r="G6" s="558"/>
      <c r="L6" s="811"/>
      <c r="S6" s="558"/>
      <c r="V6" s="558"/>
      <c r="W6" s="812"/>
      <c r="X6" s="815"/>
    </row>
    <row r="7" spans="1:55">
      <c r="B7" s="810"/>
      <c r="C7" s="810"/>
      <c r="D7" s="558"/>
      <c r="E7" s="564"/>
      <c r="F7" s="558"/>
      <c r="G7" s="558"/>
      <c r="H7" s="564"/>
      <c r="I7" s="564"/>
      <c r="J7" s="564"/>
      <c r="K7" s="564"/>
      <c r="L7" s="811"/>
      <c r="M7" s="564"/>
      <c r="N7" s="564"/>
      <c r="O7" s="564"/>
      <c r="P7" s="564"/>
      <c r="Q7" s="564"/>
      <c r="R7" s="564"/>
      <c r="S7" s="558"/>
      <c r="T7" s="564"/>
      <c r="U7" s="564"/>
      <c r="V7" s="558"/>
      <c r="W7" s="812"/>
      <c r="Y7" s="564"/>
      <c r="Z7" s="564"/>
      <c r="AA7" s="564"/>
      <c r="AB7" s="564"/>
      <c r="AC7" s="564"/>
      <c r="AD7" s="564"/>
      <c r="AE7" s="564"/>
      <c r="AF7" s="564"/>
      <c r="AG7" s="564"/>
      <c r="AH7" s="564"/>
      <c r="AI7" s="564"/>
      <c r="AJ7" s="564"/>
      <c r="AK7" s="564"/>
      <c r="AL7" s="564"/>
      <c r="AM7" s="564"/>
      <c r="AN7" s="564"/>
      <c r="AO7" s="564"/>
      <c r="AP7" s="564"/>
      <c r="AQ7" s="564"/>
      <c r="AR7" s="564"/>
      <c r="AS7" s="564"/>
    </row>
    <row r="8" spans="1:55">
      <c r="B8" s="810"/>
      <c r="C8" s="810"/>
      <c r="D8" s="734"/>
      <c r="E8" s="627"/>
      <c r="F8" s="558"/>
      <c r="G8" s="558"/>
      <c r="H8" s="564"/>
      <c r="I8" s="564"/>
      <c r="J8" s="564"/>
      <c r="K8" s="564"/>
      <c r="L8" s="811"/>
      <c r="M8" s="564"/>
      <c r="N8" s="564"/>
      <c r="O8" s="564"/>
      <c r="P8" s="564"/>
      <c r="Q8" s="564"/>
      <c r="R8" s="564"/>
      <c r="S8" s="558"/>
      <c r="T8" s="564"/>
      <c r="U8" s="564"/>
      <c r="V8" s="558"/>
      <c r="W8" s="812"/>
      <c r="Y8" s="564"/>
      <c r="Z8" s="564"/>
      <c r="AA8" s="564"/>
      <c r="AB8" s="564"/>
      <c r="AC8" s="564"/>
      <c r="AD8" s="564"/>
      <c r="AE8" s="564"/>
      <c r="AF8" s="564"/>
      <c r="AG8" s="564"/>
      <c r="AH8" s="564"/>
      <c r="AI8" s="564"/>
      <c r="AJ8" s="564"/>
      <c r="AK8" s="564"/>
      <c r="AL8" s="564"/>
      <c r="AM8" s="564"/>
      <c r="AN8" s="564"/>
      <c r="AO8" s="564"/>
      <c r="AP8" s="564"/>
      <c r="AQ8" s="564"/>
      <c r="AR8" s="564"/>
      <c r="AS8" s="564"/>
    </row>
    <row r="9" spans="1:55" s="584" customFormat="1">
      <c r="B9" s="816"/>
      <c r="C9" s="816"/>
      <c r="D9" s="561"/>
      <c r="F9" s="561"/>
      <c r="G9" s="561"/>
      <c r="L9" s="817"/>
      <c r="M9" s="818"/>
      <c r="S9" s="561"/>
      <c r="V9" s="561"/>
      <c r="W9" s="819"/>
      <c r="X9" s="815"/>
    </row>
    <row r="10" spans="1:55" ht="39">
      <c r="A10" s="820" t="s">
        <v>1907</v>
      </c>
      <c r="B10" s="820" t="s">
        <v>27</v>
      </c>
      <c r="C10" s="821" t="s">
        <v>135</v>
      </c>
      <c r="D10" s="824" t="s">
        <v>153</v>
      </c>
      <c r="E10" s="822" t="s">
        <v>152</v>
      </c>
      <c r="F10" s="823" t="s">
        <v>45</v>
      </c>
      <c r="G10" s="824" t="s">
        <v>28</v>
      </c>
      <c r="H10" s="824" t="s">
        <v>146</v>
      </c>
      <c r="I10" s="823" t="s">
        <v>151</v>
      </c>
      <c r="J10" s="823" t="s">
        <v>5</v>
      </c>
      <c r="K10" s="824" t="s">
        <v>41</v>
      </c>
      <c r="L10" s="825" t="s">
        <v>154</v>
      </c>
      <c r="M10" s="824" t="s">
        <v>11</v>
      </c>
      <c r="N10" s="824" t="s">
        <v>46</v>
      </c>
      <c r="O10" s="823" t="s">
        <v>29</v>
      </c>
      <c r="P10" s="823" t="s">
        <v>30</v>
      </c>
      <c r="Q10" s="823" t="s">
        <v>1110</v>
      </c>
      <c r="R10" s="823" t="s">
        <v>119</v>
      </c>
      <c r="S10" s="824" t="s">
        <v>35</v>
      </c>
      <c r="T10" s="823" t="s">
        <v>47</v>
      </c>
      <c r="U10" s="823" t="s">
        <v>32</v>
      </c>
      <c r="V10" s="823" t="s">
        <v>33</v>
      </c>
      <c r="W10" s="826" t="s">
        <v>141</v>
      </c>
      <c r="X10" s="827" t="s">
        <v>1658</v>
      </c>
      <c r="Y10" s="826" t="s">
        <v>1904</v>
      </c>
      <c r="Z10" s="826" t="s">
        <v>1905</v>
      </c>
      <c r="AA10" s="826" t="s">
        <v>1906</v>
      </c>
      <c r="AB10" s="828" t="s">
        <v>1254</v>
      </c>
      <c r="AC10" s="829" t="s">
        <v>1779</v>
      </c>
      <c r="AD10" s="829" t="s">
        <v>1697</v>
      </c>
      <c r="AE10" s="829" t="s">
        <v>1780</v>
      </c>
      <c r="AF10" s="829" t="s">
        <v>1781</v>
      </c>
      <c r="AG10" s="829" t="s">
        <v>1782</v>
      </c>
      <c r="AH10" s="829" t="s">
        <v>1783</v>
      </c>
      <c r="AI10" s="829" t="s">
        <v>1784</v>
      </c>
      <c r="AJ10" s="829" t="s">
        <v>1785</v>
      </c>
      <c r="AK10" s="829" t="s">
        <v>1786</v>
      </c>
      <c r="AL10" s="829" t="s">
        <v>1787</v>
      </c>
      <c r="AM10" s="829" t="s">
        <v>1788</v>
      </c>
      <c r="AN10" s="829" t="s">
        <v>1789</v>
      </c>
      <c r="AO10" s="829" t="s">
        <v>1790</v>
      </c>
      <c r="AP10" s="829" t="s">
        <v>1791</v>
      </c>
      <c r="AQ10" s="564"/>
      <c r="AR10" s="564"/>
      <c r="AS10" s="564"/>
    </row>
    <row r="11" spans="1:55" ht="14">
      <c r="A11" s="808">
        <v>201900011</v>
      </c>
      <c r="B11" s="830">
        <v>43623</v>
      </c>
      <c r="C11" s="830" t="s">
        <v>133</v>
      </c>
      <c r="D11" s="1128" t="str">
        <f>IFERROR(VLOOKUP(G11,PosAggregate!$B$13:$B$85,1,FALSE),"")</f>
        <v/>
      </c>
      <c r="E11" s="769" t="s">
        <v>1186</v>
      </c>
      <c r="F11" s="1006" t="str">
        <f>IF(D11=G11,"YES","")</f>
        <v/>
      </c>
      <c r="G11" s="558" t="s">
        <v>1134</v>
      </c>
      <c r="H11" s="558"/>
      <c r="I11" s="832" t="s">
        <v>1081</v>
      </c>
      <c r="J11" s="833" t="s">
        <v>125</v>
      </c>
      <c r="K11" s="744">
        <v>875.1</v>
      </c>
      <c r="L11" s="834"/>
      <c r="M11" s="835">
        <v>30000</v>
      </c>
      <c r="N11" s="974">
        <f t="shared" ref="N11:N25" si="0">-K11*M11</f>
        <v>-26253000</v>
      </c>
      <c r="O11" s="835">
        <v>-21002</v>
      </c>
      <c r="P11" s="835"/>
      <c r="Q11" s="835"/>
      <c r="R11" s="978">
        <f t="shared" ref="R11:R25" si="1">SUM(N11:Q11)</f>
        <v>-26274002</v>
      </c>
      <c r="S11" s="744">
        <v>122.57940239991835</v>
      </c>
      <c r="T11" s="983">
        <f>+R11/S11</f>
        <v>-214342.71570586073</v>
      </c>
      <c r="U11" s="839">
        <v>43629</v>
      </c>
      <c r="V11" s="831" t="s">
        <v>1183</v>
      </c>
      <c r="W11" s="840">
        <v>43623.68822916667</v>
      </c>
      <c r="X11" s="971">
        <f t="shared" ref="X11:X34" si="2">+O11/N11*100</f>
        <v>7.9998476364605942E-2</v>
      </c>
      <c r="Y11" s="972" t="str">
        <f>VLOOKUP(V11,'bic broker'!$A$1:$B$14,2,FALSE)</f>
        <v>EMSIITM1XXX</v>
      </c>
      <c r="Z11" s="972" t="str">
        <f>VLOOKUP(AA11,'place of settlement'!A:C,2,FALSE)</f>
        <v>JJSDJPJTXXX</v>
      </c>
      <c r="AA11" s="972" t="str">
        <f>LEFT(E11,2)</f>
        <v>JP</v>
      </c>
      <c r="AB11" s="972" t="str">
        <f>CONCATENATE(V11,AA11)</f>
        <v>EquitaJP</v>
      </c>
      <c r="AC11" s="972" t="str">
        <f>VLOOKUP($AB11,sample!$1:$1048576,2,FALSE)</f>
        <v>BCITITMMXXX</v>
      </c>
      <c r="AD11" s="972" t="str">
        <f>VLOOKUP($AB11,sample!$1:$1048576,3,FALSE)</f>
        <v>JJSDJPJTXXX</v>
      </c>
      <c r="AE11" s="973">
        <f>VLOOKUP($AB11,sample!$1:$1048576,4,FALSE)</f>
        <v>100502629</v>
      </c>
      <c r="AF11" s="972" t="str">
        <f>VLOOKUP($AB11,sample!$1:$1048576,5,FALSE)</f>
        <v>N</v>
      </c>
      <c r="AL11" s="973" t="str">
        <f>VLOOKUP($AB11,sample!$1:$1048576,11,FALSE)</f>
        <v xml:space="preserve">        </v>
      </c>
      <c r="AM11" s="973" t="str">
        <f>VLOOKUP($AB11,sample!$1:$1048576,12,FALSE)</f>
        <v xml:space="preserve">        </v>
      </c>
      <c r="AN11" s="973" t="str">
        <f>VLOOKUP($AB11,sample!$1:$1048576,13,FALSE)</f>
        <v>BOTKJPJTXXX</v>
      </c>
      <c r="AP11" s="988"/>
    </row>
    <row r="12" spans="1:55" ht="14">
      <c r="A12" s="808">
        <v>201900012</v>
      </c>
      <c r="B12" s="830">
        <v>43623</v>
      </c>
      <c r="C12" s="830" t="s">
        <v>133</v>
      </c>
      <c r="D12" s="1128" t="str">
        <f>IFERROR(VLOOKUP(G12,PosAggregate!$B$13:$B$85,1,FALSE),"")</f>
        <v/>
      </c>
      <c r="E12" s="769" t="s">
        <v>1187</v>
      </c>
      <c r="F12" s="1006" t="str">
        <f t="shared" ref="F12:F75" si="3">IF(D12=G12,"YES","")</f>
        <v/>
      </c>
      <c r="G12" s="558" t="s">
        <v>1135</v>
      </c>
      <c r="H12" s="558"/>
      <c r="I12" s="833" t="s">
        <v>1090</v>
      </c>
      <c r="J12" s="833" t="s">
        <v>125</v>
      </c>
      <c r="K12" s="744">
        <v>2923.5</v>
      </c>
      <c r="L12" s="834"/>
      <c r="M12" s="835">
        <v>6000</v>
      </c>
      <c r="N12" s="974">
        <f t="shared" si="0"/>
        <v>-17541000</v>
      </c>
      <c r="O12" s="835">
        <v>-14033</v>
      </c>
      <c r="P12" s="835"/>
      <c r="Q12" s="835"/>
      <c r="R12" s="978">
        <f t="shared" si="1"/>
        <v>-17555033</v>
      </c>
      <c r="S12" s="744">
        <v>122.57940239991861</v>
      </c>
      <c r="T12" s="983">
        <f t="shared" ref="T12:T34" si="4">+R12/S12</f>
        <v>-143213.56326021423</v>
      </c>
      <c r="U12" s="839">
        <v>43629</v>
      </c>
      <c r="V12" s="831" t="s">
        <v>1183</v>
      </c>
      <c r="W12" s="840">
        <v>43623.689768518518</v>
      </c>
      <c r="X12" s="971">
        <f t="shared" si="2"/>
        <v>8.0001140185850292E-2</v>
      </c>
      <c r="Y12" s="972" t="str">
        <f>VLOOKUP(V12,'bic broker'!$A$1:$B$14,2,FALSE)</f>
        <v>EMSIITM1XXX</v>
      </c>
      <c r="Z12" s="972" t="str">
        <f>VLOOKUP(AA12,'place of settlement'!A:C,2,FALSE)</f>
        <v>JJSDJPJTXXX</v>
      </c>
      <c r="AA12" s="972" t="str">
        <f t="shared" ref="AA12:AA34" si="5">LEFT(E12,2)</f>
        <v>JP</v>
      </c>
      <c r="AB12" s="972" t="str">
        <f t="shared" ref="AB12:AB34" si="6">CONCATENATE(V12,AA12)</f>
        <v>EquitaJP</v>
      </c>
      <c r="AC12" s="972" t="str">
        <f>VLOOKUP(AB12,sample!$1:$1048576,2,FALSE)</f>
        <v>BCITITMMXXX</v>
      </c>
      <c r="AD12" s="972" t="str">
        <f>VLOOKUP($AB12,sample!$1:$1048576,3,FALSE)</f>
        <v>JJSDJPJTXXX</v>
      </c>
      <c r="AE12" s="973">
        <f>VLOOKUP($AB12,sample!$1:$1048576,4,FALSE)</f>
        <v>100502629</v>
      </c>
      <c r="AF12" s="972" t="str">
        <f>VLOOKUP($AB12,sample!$1:$1048576,5,FALSE)</f>
        <v>N</v>
      </c>
      <c r="AL12" s="973" t="str">
        <f>VLOOKUP($AB12,sample!$1:$1048576,11,FALSE)</f>
        <v xml:space="preserve">        </v>
      </c>
      <c r="AM12" s="973" t="str">
        <f>VLOOKUP($AB12,sample!$1:$1048576,12,FALSE)</f>
        <v xml:space="preserve">        </v>
      </c>
      <c r="AN12" s="973" t="str">
        <f>VLOOKUP($AB12,sample!$1:$1048576,13,FALSE)</f>
        <v>BOTKJPJTXXX</v>
      </c>
      <c r="AP12" s="988"/>
    </row>
    <row r="13" spans="1:55" ht="14">
      <c r="A13" s="808">
        <v>201900013</v>
      </c>
      <c r="B13" s="830">
        <v>43623</v>
      </c>
      <c r="C13" s="830" t="s">
        <v>133</v>
      </c>
      <c r="D13" s="1128" t="str">
        <f>IFERROR(VLOOKUP(G13,PosAggregate!$B$13:$B$85,1,FALSE),"")</f>
        <v/>
      </c>
      <c r="E13" s="769" t="s">
        <v>1188</v>
      </c>
      <c r="F13" s="1006" t="str">
        <f t="shared" si="3"/>
        <v/>
      </c>
      <c r="G13" s="558" t="s">
        <v>1136</v>
      </c>
      <c r="H13" s="558"/>
      <c r="I13" s="833" t="s">
        <v>1138</v>
      </c>
      <c r="J13" s="833" t="s">
        <v>125</v>
      </c>
      <c r="K13" s="744">
        <v>872.15</v>
      </c>
      <c r="L13" s="834"/>
      <c r="M13" s="835">
        <v>6000</v>
      </c>
      <c r="N13" s="974">
        <f t="shared" si="0"/>
        <v>-5232900</v>
      </c>
      <c r="O13" s="835">
        <v>-4186</v>
      </c>
      <c r="P13" s="835"/>
      <c r="Q13" s="835"/>
      <c r="R13" s="978">
        <f t="shared" si="1"/>
        <v>-5237086</v>
      </c>
      <c r="S13" s="744">
        <v>122.57940239991845</v>
      </c>
      <c r="T13" s="983">
        <f t="shared" si="4"/>
        <v>-42724.02946552042</v>
      </c>
      <c r="U13" s="839">
        <v>43629</v>
      </c>
      <c r="V13" s="831" t="s">
        <v>1183</v>
      </c>
      <c r="W13" s="840">
        <v>43623.690949074073</v>
      </c>
      <c r="X13" s="971">
        <f t="shared" si="2"/>
        <v>7.999388484396798E-2</v>
      </c>
      <c r="Y13" s="972" t="str">
        <f>VLOOKUP(V13,'bic broker'!$A$1:$B$14,2,FALSE)</f>
        <v>EMSIITM1XXX</v>
      </c>
      <c r="Z13" s="972" t="str">
        <f>VLOOKUP(AA13,'place of settlement'!A:C,2,FALSE)</f>
        <v>JJSDJPJTXXX</v>
      </c>
      <c r="AA13" s="972" t="str">
        <f t="shared" si="5"/>
        <v>JP</v>
      </c>
      <c r="AB13" s="972" t="str">
        <f t="shared" si="6"/>
        <v>EquitaJP</v>
      </c>
      <c r="AC13" s="972" t="str">
        <f>VLOOKUP(AB13,sample!$1:$1048576,2,FALSE)</f>
        <v>BCITITMMXXX</v>
      </c>
      <c r="AD13" s="972" t="str">
        <f>VLOOKUP($AB13,sample!$1:$1048576,3,FALSE)</f>
        <v>JJSDJPJTXXX</v>
      </c>
      <c r="AE13" s="973">
        <f>VLOOKUP($AB13,sample!$1:$1048576,4,FALSE)</f>
        <v>100502629</v>
      </c>
      <c r="AF13" s="972" t="str">
        <f>VLOOKUP($AB13,sample!$1:$1048576,5,FALSE)</f>
        <v>N</v>
      </c>
      <c r="AL13" s="973" t="str">
        <f>VLOOKUP($AB13,sample!$1:$1048576,11,FALSE)</f>
        <v xml:space="preserve">        </v>
      </c>
      <c r="AM13" s="973" t="str">
        <f>VLOOKUP($AB13,sample!$1:$1048576,12,FALSE)</f>
        <v xml:space="preserve">        </v>
      </c>
      <c r="AN13" s="973" t="str">
        <f>VLOOKUP($AB13,sample!$1:$1048576,13,FALSE)</f>
        <v>BOTKJPJTXXX</v>
      </c>
      <c r="AP13" s="988"/>
    </row>
    <row r="14" spans="1:55" ht="14">
      <c r="A14" s="808">
        <v>201900014</v>
      </c>
      <c r="B14" s="830">
        <v>43623</v>
      </c>
      <c r="C14" s="830" t="s">
        <v>133</v>
      </c>
      <c r="D14" s="1128" t="str">
        <f>IFERROR(VLOOKUP(G14,PosAggregate!$B$13:$B$85,1,FALSE),"")</f>
        <v/>
      </c>
      <c r="E14" s="769" t="s">
        <v>1189</v>
      </c>
      <c r="F14" s="1006" t="str">
        <f t="shared" si="3"/>
        <v/>
      </c>
      <c r="G14" s="558" t="s">
        <v>1137</v>
      </c>
      <c r="H14" s="558"/>
      <c r="I14" s="833" t="s">
        <v>1086</v>
      </c>
      <c r="J14" s="833" t="s">
        <v>125</v>
      </c>
      <c r="K14" s="744">
        <v>1850.7617</v>
      </c>
      <c r="L14" s="834"/>
      <c r="M14" s="835">
        <v>6000</v>
      </c>
      <c r="N14" s="974">
        <f t="shared" si="0"/>
        <v>-11104570.199999999</v>
      </c>
      <c r="O14" s="835">
        <v>-8884</v>
      </c>
      <c r="P14" s="835"/>
      <c r="Q14" s="835"/>
      <c r="R14" s="978">
        <f t="shared" si="1"/>
        <v>-11113454.199999999</v>
      </c>
      <c r="S14" s="744">
        <v>122.57940239991872</v>
      </c>
      <c r="T14" s="983">
        <f t="shared" si="4"/>
        <v>-90663.308699630012</v>
      </c>
      <c r="U14" s="839">
        <v>43629</v>
      </c>
      <c r="V14" s="831" t="s">
        <v>1183</v>
      </c>
      <c r="W14" s="840">
        <v>43623.69122685185</v>
      </c>
      <c r="X14" s="971">
        <f t="shared" si="2"/>
        <v>8.0003096382784814E-2</v>
      </c>
      <c r="Y14" s="972" t="str">
        <f>VLOOKUP(V14,'bic broker'!$A$1:$B$14,2,FALSE)</f>
        <v>EMSIITM1XXX</v>
      </c>
      <c r="Z14" s="972" t="str">
        <f>VLOOKUP(AA14,'place of settlement'!A:C,2,FALSE)</f>
        <v>JJSDJPJTXXX</v>
      </c>
      <c r="AA14" s="972" t="str">
        <f t="shared" si="5"/>
        <v>JP</v>
      </c>
      <c r="AB14" s="972" t="str">
        <f t="shared" si="6"/>
        <v>EquitaJP</v>
      </c>
      <c r="AC14" s="972" t="str">
        <f>VLOOKUP(AB14,sample!$1:$1048576,2,FALSE)</f>
        <v>BCITITMMXXX</v>
      </c>
      <c r="AD14" s="972" t="str">
        <f>VLOOKUP($AB14,sample!$1:$1048576,3,FALSE)</f>
        <v>JJSDJPJTXXX</v>
      </c>
      <c r="AE14" s="973">
        <f>VLOOKUP($AB14,sample!$1:$1048576,4,FALSE)</f>
        <v>100502629</v>
      </c>
      <c r="AF14" s="972" t="str">
        <f>VLOOKUP($AB14,sample!$1:$1048576,5,FALSE)</f>
        <v>N</v>
      </c>
      <c r="AL14" s="973" t="str">
        <f>VLOOKUP($AB14,sample!$1:$1048576,11,FALSE)</f>
        <v xml:space="preserve">        </v>
      </c>
      <c r="AM14" s="973" t="str">
        <f>VLOOKUP($AB14,sample!$1:$1048576,12,FALSE)</f>
        <v xml:space="preserve">        </v>
      </c>
      <c r="AN14" s="973" t="str">
        <f>VLOOKUP($AB14,sample!$1:$1048576,13,FALSE)</f>
        <v>BOTKJPJTXXX</v>
      </c>
      <c r="AP14" s="988"/>
    </row>
    <row r="15" spans="1:55" ht="14">
      <c r="A15" s="808">
        <v>201900015</v>
      </c>
      <c r="B15" s="830">
        <v>43623</v>
      </c>
      <c r="C15" s="830" t="s">
        <v>133</v>
      </c>
      <c r="D15" s="1128" t="str">
        <f>IFERROR(VLOOKUP(G15,PosAggregate!$B$13:$B$85,1,FALSE),"")</f>
        <v/>
      </c>
      <c r="E15" s="769" t="s">
        <v>1190</v>
      </c>
      <c r="F15" s="1006" t="str">
        <f t="shared" si="3"/>
        <v/>
      </c>
      <c r="G15" s="558" t="s">
        <v>1139</v>
      </c>
      <c r="H15" s="558"/>
      <c r="I15" s="833" t="s">
        <v>1085</v>
      </c>
      <c r="J15" s="833" t="s">
        <v>125</v>
      </c>
      <c r="K15" s="744">
        <v>2213.4</v>
      </c>
      <c r="L15" s="834"/>
      <c r="M15" s="835">
        <v>1000</v>
      </c>
      <c r="N15" s="974">
        <f t="shared" si="0"/>
        <v>-2213400</v>
      </c>
      <c r="O15" s="835">
        <v>-1771</v>
      </c>
      <c r="P15" s="835"/>
      <c r="Q15" s="835"/>
      <c r="R15" s="978">
        <f t="shared" si="1"/>
        <v>-2215171</v>
      </c>
      <c r="S15" s="744">
        <v>122.57940239991831</v>
      </c>
      <c r="T15" s="983">
        <f t="shared" si="4"/>
        <v>-18071.315054816063</v>
      </c>
      <c r="U15" s="839">
        <v>43629</v>
      </c>
      <c r="V15" s="831" t="s">
        <v>1183</v>
      </c>
      <c r="W15" s="840">
        <v>43623.692141203705</v>
      </c>
      <c r="X15" s="971">
        <f t="shared" si="2"/>
        <v>8.0012650221378878E-2</v>
      </c>
      <c r="Y15" s="972" t="str">
        <f>VLOOKUP(V15,'bic broker'!$A$1:$B$14,2,FALSE)</f>
        <v>EMSIITM1XXX</v>
      </c>
      <c r="Z15" s="972" t="str">
        <f>VLOOKUP(AA15,'place of settlement'!A:C,2,FALSE)</f>
        <v>JJSDJPJTXXX</v>
      </c>
      <c r="AA15" s="972" t="str">
        <f t="shared" si="5"/>
        <v>JP</v>
      </c>
      <c r="AB15" s="972" t="str">
        <f t="shared" si="6"/>
        <v>EquitaJP</v>
      </c>
      <c r="AC15" s="972" t="str">
        <f>VLOOKUP(AB15,sample!$1:$1048576,2,FALSE)</f>
        <v>BCITITMMXXX</v>
      </c>
      <c r="AD15" s="972" t="str">
        <f>VLOOKUP($AB15,sample!$1:$1048576,3,FALSE)</f>
        <v>JJSDJPJTXXX</v>
      </c>
      <c r="AE15" s="973">
        <f>VLOOKUP($AB15,sample!$1:$1048576,4,FALSE)</f>
        <v>100502629</v>
      </c>
      <c r="AF15" s="972" t="str">
        <f>VLOOKUP($AB15,sample!$1:$1048576,5,FALSE)</f>
        <v>N</v>
      </c>
      <c r="AL15" s="973" t="str">
        <f>VLOOKUP($AB15,sample!$1:$1048576,11,FALSE)</f>
        <v xml:space="preserve">        </v>
      </c>
      <c r="AM15" s="973" t="str">
        <f>VLOOKUP($AB15,sample!$1:$1048576,12,FALSE)</f>
        <v xml:space="preserve">        </v>
      </c>
      <c r="AN15" s="973" t="str">
        <f>VLOOKUP($AB15,sample!$1:$1048576,13,FALSE)</f>
        <v>BOTKJPJTXXX</v>
      </c>
      <c r="AP15" s="988"/>
    </row>
    <row r="16" spans="1:55" ht="14">
      <c r="A16" s="808">
        <v>201900016</v>
      </c>
      <c r="B16" s="830">
        <v>43623</v>
      </c>
      <c r="C16" s="830" t="s">
        <v>133</v>
      </c>
      <c r="D16" s="1128" t="str">
        <f>IFERROR(VLOOKUP(G16,PosAggregate!$B$13:$B$85,1,FALSE),"")</f>
        <v/>
      </c>
      <c r="E16" s="769" t="s">
        <v>1191</v>
      </c>
      <c r="F16" s="1006" t="str">
        <f t="shared" si="3"/>
        <v/>
      </c>
      <c r="G16" s="558" t="s">
        <v>1140</v>
      </c>
      <c r="H16" s="558"/>
      <c r="I16" s="833" t="s">
        <v>1091</v>
      </c>
      <c r="J16" s="833" t="s">
        <v>125</v>
      </c>
      <c r="K16" s="744">
        <v>3205</v>
      </c>
      <c r="L16" s="834"/>
      <c r="M16" s="835">
        <v>4000</v>
      </c>
      <c r="N16" s="974">
        <f t="shared" si="0"/>
        <v>-12820000</v>
      </c>
      <c r="O16" s="835">
        <v>-10256</v>
      </c>
      <c r="P16" s="835"/>
      <c r="Q16" s="835"/>
      <c r="R16" s="978">
        <f t="shared" si="1"/>
        <v>-12830256</v>
      </c>
      <c r="S16" s="744">
        <v>122.57940239991841</v>
      </c>
      <c r="T16" s="983">
        <f t="shared" si="4"/>
        <v>-104668.93906156407</v>
      </c>
      <c r="U16" s="839">
        <v>43629</v>
      </c>
      <c r="V16" s="831" t="s">
        <v>1183</v>
      </c>
      <c r="W16" s="840">
        <v>43623.693124999998</v>
      </c>
      <c r="X16" s="971">
        <f t="shared" si="2"/>
        <v>0.08</v>
      </c>
      <c r="Y16" s="972" t="str">
        <f>VLOOKUP(V16,'bic broker'!$A$1:$B$14,2,FALSE)</f>
        <v>EMSIITM1XXX</v>
      </c>
      <c r="Z16" s="972" t="str">
        <f>VLOOKUP(AA16,'place of settlement'!A:C,2,FALSE)</f>
        <v>JJSDJPJTXXX</v>
      </c>
      <c r="AA16" s="972" t="str">
        <f t="shared" si="5"/>
        <v>JP</v>
      </c>
      <c r="AB16" s="972" t="str">
        <f t="shared" si="6"/>
        <v>EquitaJP</v>
      </c>
      <c r="AC16" s="972" t="str">
        <f>VLOOKUP(AB16,sample!$1:$1048576,2,FALSE)</f>
        <v>BCITITMMXXX</v>
      </c>
      <c r="AD16" s="972" t="str">
        <f>VLOOKUP($AB16,sample!$1:$1048576,3,FALSE)</f>
        <v>JJSDJPJTXXX</v>
      </c>
      <c r="AE16" s="973">
        <f>VLOOKUP($AB16,sample!$1:$1048576,4,FALSE)</f>
        <v>100502629</v>
      </c>
      <c r="AF16" s="972" t="str">
        <f>VLOOKUP($AB16,sample!$1:$1048576,5,FALSE)</f>
        <v>N</v>
      </c>
      <c r="AL16" s="973" t="str">
        <f>VLOOKUP($AB16,sample!$1:$1048576,11,FALSE)</f>
        <v xml:space="preserve">        </v>
      </c>
      <c r="AM16" s="973" t="str">
        <f>VLOOKUP($AB16,sample!$1:$1048576,12,FALSE)</f>
        <v xml:space="preserve">        </v>
      </c>
      <c r="AN16" s="973" t="str">
        <f>VLOOKUP($AB16,sample!$1:$1048576,13,FALSE)</f>
        <v>BOTKJPJTXXX</v>
      </c>
      <c r="AP16" s="988"/>
    </row>
    <row r="17" spans="1:42" ht="14">
      <c r="A17" s="808">
        <v>201900017</v>
      </c>
      <c r="B17" s="830">
        <v>43623</v>
      </c>
      <c r="C17" s="830" t="s">
        <v>133</v>
      </c>
      <c r="D17" s="1128" t="str">
        <f>IFERROR(VLOOKUP(G17,PosAggregate!$B$13:$B$85,1,FALSE),"")</f>
        <v/>
      </c>
      <c r="E17" s="769" t="s">
        <v>1192</v>
      </c>
      <c r="F17" s="1006" t="str">
        <f t="shared" si="3"/>
        <v/>
      </c>
      <c r="G17" s="558" t="s">
        <v>1141</v>
      </c>
      <c r="H17" s="558"/>
      <c r="I17" s="833" t="s">
        <v>1097</v>
      </c>
      <c r="J17" s="833" t="s">
        <v>125</v>
      </c>
      <c r="K17" s="744">
        <v>1139</v>
      </c>
      <c r="L17" s="834"/>
      <c r="M17" s="835">
        <v>8000</v>
      </c>
      <c r="N17" s="974">
        <f t="shared" si="0"/>
        <v>-9112000</v>
      </c>
      <c r="O17" s="835">
        <v>-7290</v>
      </c>
      <c r="P17" s="835"/>
      <c r="Q17" s="835"/>
      <c r="R17" s="978">
        <f t="shared" si="1"/>
        <v>-9119290</v>
      </c>
      <c r="S17" s="744">
        <v>122.57940239991842</v>
      </c>
      <c r="T17" s="983">
        <f t="shared" si="4"/>
        <v>-74394.962134405621</v>
      </c>
      <c r="U17" s="839">
        <v>43629</v>
      </c>
      <c r="V17" s="831" t="s">
        <v>1183</v>
      </c>
      <c r="W17" s="840">
        <v>43623.694849537038</v>
      </c>
      <c r="X17" s="971">
        <f t="shared" si="2"/>
        <v>8.0004389815627741E-2</v>
      </c>
      <c r="Y17" s="972" t="str">
        <f>VLOOKUP(V17,'bic broker'!$A$1:$B$14,2,FALSE)</f>
        <v>EMSIITM1XXX</v>
      </c>
      <c r="Z17" s="972" t="str">
        <f>VLOOKUP(AA17,'place of settlement'!A:C,2,FALSE)</f>
        <v>JJSDJPJTXXX</v>
      </c>
      <c r="AA17" s="972" t="str">
        <f t="shared" si="5"/>
        <v>JP</v>
      </c>
      <c r="AB17" s="972" t="str">
        <f t="shared" si="6"/>
        <v>EquitaJP</v>
      </c>
      <c r="AC17" s="972" t="str">
        <f>VLOOKUP(AB17,sample!$1:$1048576,2,FALSE)</f>
        <v>BCITITMMXXX</v>
      </c>
      <c r="AD17" s="972" t="str">
        <f>VLOOKUP($AB17,sample!$1:$1048576,3,FALSE)</f>
        <v>JJSDJPJTXXX</v>
      </c>
      <c r="AE17" s="973">
        <f>VLOOKUP($AB17,sample!$1:$1048576,4,FALSE)</f>
        <v>100502629</v>
      </c>
      <c r="AF17" s="972" t="str">
        <f>VLOOKUP($AB17,sample!$1:$1048576,5,FALSE)</f>
        <v>N</v>
      </c>
      <c r="AL17" s="973" t="str">
        <f>VLOOKUP($AB17,sample!$1:$1048576,11,FALSE)</f>
        <v xml:space="preserve">        </v>
      </c>
      <c r="AM17" s="973" t="str">
        <f>VLOOKUP($AB17,sample!$1:$1048576,12,FALSE)</f>
        <v xml:space="preserve">        </v>
      </c>
      <c r="AN17" s="973" t="str">
        <f>VLOOKUP($AB17,sample!$1:$1048576,13,FALSE)</f>
        <v>BOTKJPJTXXX</v>
      </c>
      <c r="AP17" s="988"/>
    </row>
    <row r="18" spans="1:42" ht="14">
      <c r="A18" s="808">
        <v>201900018</v>
      </c>
      <c r="B18" s="830">
        <v>43623</v>
      </c>
      <c r="C18" s="830" t="s">
        <v>133</v>
      </c>
      <c r="D18" s="1128" t="str">
        <f>IFERROR(VLOOKUP(G18,PosAggregate!$B$13:$B$85,1,FALSE),"")</f>
        <v/>
      </c>
      <c r="E18" s="769" t="s">
        <v>1193</v>
      </c>
      <c r="F18" s="1006" t="str">
        <f t="shared" si="3"/>
        <v/>
      </c>
      <c r="G18" s="558" t="s">
        <v>1142</v>
      </c>
      <c r="H18" s="558"/>
      <c r="I18" s="833" t="s">
        <v>1087</v>
      </c>
      <c r="J18" s="833" t="s">
        <v>125</v>
      </c>
      <c r="K18" s="744">
        <v>4152.2222000000002</v>
      </c>
      <c r="L18" s="834"/>
      <c r="M18" s="835">
        <v>2700</v>
      </c>
      <c r="N18" s="974">
        <f t="shared" si="0"/>
        <v>-11210999.940000001</v>
      </c>
      <c r="O18" s="835">
        <v>-8969</v>
      </c>
      <c r="P18" s="835"/>
      <c r="Q18" s="835"/>
      <c r="R18" s="978">
        <f t="shared" si="1"/>
        <v>-11219968.940000001</v>
      </c>
      <c r="S18" s="744">
        <v>122.57940239991856</v>
      </c>
      <c r="T18" s="983">
        <f t="shared" si="4"/>
        <v>-91532.253546110092</v>
      </c>
      <c r="U18" s="839">
        <v>43629</v>
      </c>
      <c r="V18" s="831" t="s">
        <v>1183</v>
      </c>
      <c r="W18" s="840">
        <v>43623.696203703701</v>
      </c>
      <c r="X18" s="971">
        <f t="shared" si="2"/>
        <v>8.0001784390340461E-2</v>
      </c>
      <c r="Y18" s="972" t="str">
        <f>VLOOKUP(V18,'bic broker'!$A$1:$B$14,2,FALSE)</f>
        <v>EMSIITM1XXX</v>
      </c>
      <c r="Z18" s="972" t="str">
        <f>VLOOKUP(AA18,'place of settlement'!A:C,2,FALSE)</f>
        <v>JJSDJPJTXXX</v>
      </c>
      <c r="AA18" s="972" t="str">
        <f t="shared" si="5"/>
        <v>JP</v>
      </c>
      <c r="AB18" s="972" t="str">
        <f t="shared" si="6"/>
        <v>EquitaJP</v>
      </c>
      <c r="AC18" s="972" t="str">
        <f>VLOOKUP(AB18,sample!$1:$1048576,2,FALSE)</f>
        <v>BCITITMMXXX</v>
      </c>
      <c r="AD18" s="972" t="str">
        <f>VLOOKUP($AB18,sample!$1:$1048576,3,FALSE)</f>
        <v>JJSDJPJTXXX</v>
      </c>
      <c r="AE18" s="973">
        <f>VLOOKUP($AB18,sample!$1:$1048576,4,FALSE)</f>
        <v>100502629</v>
      </c>
      <c r="AF18" s="972" t="str">
        <f>VLOOKUP($AB18,sample!$1:$1048576,5,FALSE)</f>
        <v>N</v>
      </c>
      <c r="AL18" s="973" t="str">
        <f>VLOOKUP($AB18,sample!$1:$1048576,11,FALSE)</f>
        <v xml:space="preserve">        </v>
      </c>
      <c r="AM18" s="973" t="str">
        <f>VLOOKUP($AB18,sample!$1:$1048576,12,FALSE)</f>
        <v xml:space="preserve">        </v>
      </c>
      <c r="AN18" s="973" t="str">
        <f>VLOOKUP($AB18,sample!$1:$1048576,13,FALSE)</f>
        <v>BOTKJPJTXXX</v>
      </c>
      <c r="AP18" s="988"/>
    </row>
    <row r="19" spans="1:42" ht="14">
      <c r="A19" s="808">
        <v>201900019</v>
      </c>
      <c r="B19" s="830">
        <v>43623</v>
      </c>
      <c r="C19" s="830" t="s">
        <v>133</v>
      </c>
      <c r="D19" s="1128" t="str">
        <f>IFERROR(VLOOKUP(G19,PosAggregate!$B$13:$B$85,1,FALSE),"")</f>
        <v/>
      </c>
      <c r="E19" s="769" t="s">
        <v>1194</v>
      </c>
      <c r="F19" s="1006" t="str">
        <f t="shared" si="3"/>
        <v/>
      </c>
      <c r="G19" s="558" t="s">
        <v>1143</v>
      </c>
      <c r="H19" s="558"/>
      <c r="I19" s="833" t="s">
        <v>1083</v>
      </c>
      <c r="J19" s="833" t="s">
        <v>125</v>
      </c>
      <c r="K19" s="744">
        <v>2120.5556000000001</v>
      </c>
      <c r="L19" s="834"/>
      <c r="M19" s="835">
        <v>5400</v>
      </c>
      <c r="N19" s="974">
        <f t="shared" si="0"/>
        <v>-11451000.24</v>
      </c>
      <c r="O19" s="835">
        <v>-9161</v>
      </c>
      <c r="P19" s="835"/>
      <c r="Q19" s="835"/>
      <c r="R19" s="978">
        <f t="shared" si="1"/>
        <v>-11460161.24</v>
      </c>
      <c r="S19" s="744">
        <v>122.57940239991832</v>
      </c>
      <c r="T19" s="983">
        <f t="shared" si="4"/>
        <v>-93491.736911972708</v>
      </c>
      <c r="U19" s="839">
        <v>43629</v>
      </c>
      <c r="V19" s="831" t="s">
        <v>1183</v>
      </c>
      <c r="W19" s="842">
        <v>43623.697118055556</v>
      </c>
      <c r="X19" s="971">
        <f t="shared" si="2"/>
        <v>8.0001744895605728E-2</v>
      </c>
      <c r="Y19" s="972" t="str">
        <f>VLOOKUP(V19,'bic broker'!$A$1:$B$14,2,FALSE)</f>
        <v>EMSIITM1XXX</v>
      </c>
      <c r="Z19" s="972" t="str">
        <f>VLOOKUP(AA19,'place of settlement'!A:C,2,FALSE)</f>
        <v>JJSDJPJTXXX</v>
      </c>
      <c r="AA19" s="972" t="str">
        <f t="shared" si="5"/>
        <v>JP</v>
      </c>
      <c r="AB19" s="972" t="str">
        <f t="shared" si="6"/>
        <v>EquitaJP</v>
      </c>
      <c r="AC19" s="972" t="str">
        <f>VLOOKUP(AB19,sample!$1:$1048576,2,FALSE)</f>
        <v>BCITITMMXXX</v>
      </c>
      <c r="AD19" s="972" t="str">
        <f>VLOOKUP($AB19,sample!$1:$1048576,3,FALSE)</f>
        <v>JJSDJPJTXXX</v>
      </c>
      <c r="AE19" s="973">
        <f>VLOOKUP($AB19,sample!$1:$1048576,4,FALSE)</f>
        <v>100502629</v>
      </c>
      <c r="AF19" s="972" t="str">
        <f>VLOOKUP($AB19,sample!$1:$1048576,5,FALSE)</f>
        <v>N</v>
      </c>
      <c r="AL19" s="973" t="str">
        <f>VLOOKUP($AB19,sample!$1:$1048576,11,FALSE)</f>
        <v xml:space="preserve">        </v>
      </c>
      <c r="AM19" s="973" t="str">
        <f>VLOOKUP($AB19,sample!$1:$1048576,12,FALSE)</f>
        <v xml:space="preserve">        </v>
      </c>
      <c r="AN19" s="973" t="str">
        <f>VLOOKUP($AB19,sample!$1:$1048576,13,FALSE)</f>
        <v>BOTKJPJTXXX</v>
      </c>
      <c r="AP19" s="988"/>
    </row>
    <row r="20" spans="1:42" ht="14">
      <c r="A20" s="808">
        <v>201900020</v>
      </c>
      <c r="B20" s="830">
        <v>43623</v>
      </c>
      <c r="C20" s="830" t="s">
        <v>133</v>
      </c>
      <c r="D20" s="1128" t="str">
        <f>IFERROR(VLOOKUP(G20,PosAggregate!$B$13:$B$85,1,FALSE),"")</f>
        <v/>
      </c>
      <c r="E20" s="769" t="s">
        <v>1195</v>
      </c>
      <c r="F20" s="1006" t="str">
        <f t="shared" si="3"/>
        <v/>
      </c>
      <c r="G20" s="558" t="s">
        <v>1144</v>
      </c>
      <c r="H20" s="558"/>
      <c r="I20" s="833" t="s">
        <v>1106</v>
      </c>
      <c r="J20" s="833" t="s">
        <v>125</v>
      </c>
      <c r="K20" s="744">
        <v>2386.0587999999998</v>
      </c>
      <c r="L20" s="834"/>
      <c r="M20" s="835">
        <v>1700</v>
      </c>
      <c r="N20" s="974">
        <f t="shared" si="0"/>
        <v>-4056299.9599999995</v>
      </c>
      <c r="O20" s="835">
        <v>-3245</v>
      </c>
      <c r="P20" s="835"/>
      <c r="Q20" s="835"/>
      <c r="R20" s="978">
        <f t="shared" si="1"/>
        <v>-4059544.9599999995</v>
      </c>
      <c r="S20" s="744">
        <v>122.57940239991858</v>
      </c>
      <c r="T20" s="983">
        <f t="shared" si="4"/>
        <v>-33117.676220639623</v>
      </c>
      <c r="U20" s="839">
        <v>43629</v>
      </c>
      <c r="V20" s="831" t="s">
        <v>1183</v>
      </c>
      <c r="W20" s="842">
        <v>43623.698425925926</v>
      </c>
      <c r="X20" s="971">
        <f t="shared" si="2"/>
        <v>7.9999014668530599E-2</v>
      </c>
      <c r="Y20" s="972" t="str">
        <f>VLOOKUP(V20,'bic broker'!$A$1:$B$14,2,FALSE)</f>
        <v>EMSIITM1XXX</v>
      </c>
      <c r="Z20" s="972" t="str">
        <f>VLOOKUP(AA20,'place of settlement'!A:C,2,FALSE)</f>
        <v>JJSDJPJTXXX</v>
      </c>
      <c r="AA20" s="972" t="str">
        <f t="shared" si="5"/>
        <v>JP</v>
      </c>
      <c r="AB20" s="972" t="str">
        <f t="shared" si="6"/>
        <v>EquitaJP</v>
      </c>
      <c r="AC20" s="972" t="str">
        <f>VLOOKUP(AB20,sample!$1:$1048576,2,FALSE)</f>
        <v>BCITITMMXXX</v>
      </c>
      <c r="AD20" s="972" t="str">
        <f>VLOOKUP($AB20,sample!$1:$1048576,3,FALSE)</f>
        <v>JJSDJPJTXXX</v>
      </c>
      <c r="AE20" s="973">
        <f>VLOOKUP($AB20,sample!$1:$1048576,4,FALSE)</f>
        <v>100502629</v>
      </c>
      <c r="AF20" s="972" t="str">
        <f>VLOOKUP($AB20,sample!$1:$1048576,5,FALSE)</f>
        <v>N</v>
      </c>
      <c r="AL20" s="973" t="str">
        <f>VLOOKUP($AB20,sample!$1:$1048576,11,FALSE)</f>
        <v xml:space="preserve">        </v>
      </c>
      <c r="AM20" s="973" t="str">
        <f>VLOOKUP($AB20,sample!$1:$1048576,12,FALSE)</f>
        <v xml:space="preserve">        </v>
      </c>
      <c r="AN20" s="973" t="str">
        <f>VLOOKUP($AB20,sample!$1:$1048576,13,FALSE)</f>
        <v>BOTKJPJTXXX</v>
      </c>
      <c r="AP20" s="988"/>
    </row>
    <row r="21" spans="1:42" ht="14">
      <c r="A21" s="808">
        <v>201900021</v>
      </c>
      <c r="B21" s="830">
        <v>43623</v>
      </c>
      <c r="C21" s="830" t="s">
        <v>133</v>
      </c>
      <c r="D21" s="1128" t="str">
        <f>IFERROR(VLOOKUP(G21,PosAggregate!$B$13:$B$85,1,FALSE),"")</f>
        <v/>
      </c>
      <c r="E21" s="769" t="s">
        <v>1196</v>
      </c>
      <c r="F21" s="1006" t="str">
        <f t="shared" si="3"/>
        <v/>
      </c>
      <c r="G21" s="558" t="s">
        <v>1145</v>
      </c>
      <c r="H21" s="558"/>
      <c r="I21" s="833" t="s">
        <v>1088</v>
      </c>
      <c r="J21" s="833" t="s">
        <v>125</v>
      </c>
      <c r="K21" s="744">
        <v>487.02109999999999</v>
      </c>
      <c r="L21" s="834"/>
      <c r="M21" s="835">
        <v>38000</v>
      </c>
      <c r="N21" s="974">
        <f t="shared" si="0"/>
        <v>-18506801.800000001</v>
      </c>
      <c r="O21" s="835">
        <v>-14805</v>
      </c>
      <c r="P21" s="835"/>
      <c r="Q21" s="835"/>
      <c r="R21" s="978">
        <f t="shared" si="1"/>
        <v>-18521606.800000001</v>
      </c>
      <c r="S21" s="744">
        <v>122.57940239991829</v>
      </c>
      <c r="T21" s="983">
        <f t="shared" si="4"/>
        <v>-151098.85051954165</v>
      </c>
      <c r="U21" s="839">
        <v>43629</v>
      </c>
      <c r="V21" s="831" t="s">
        <v>1183</v>
      </c>
      <c r="W21" s="842">
        <v>43623.699282407404</v>
      </c>
      <c r="X21" s="971">
        <f t="shared" si="2"/>
        <v>7.999761471482339E-2</v>
      </c>
      <c r="Y21" s="972" t="str">
        <f>VLOOKUP(V21,'bic broker'!$A$1:$B$14,2,FALSE)</f>
        <v>EMSIITM1XXX</v>
      </c>
      <c r="Z21" s="972" t="str">
        <f>VLOOKUP(AA21,'place of settlement'!A:C,2,FALSE)</f>
        <v>JJSDJPJTXXX</v>
      </c>
      <c r="AA21" s="972" t="str">
        <f t="shared" si="5"/>
        <v>JP</v>
      </c>
      <c r="AB21" s="972" t="str">
        <f t="shared" si="6"/>
        <v>EquitaJP</v>
      </c>
      <c r="AC21" s="972" t="str">
        <f>VLOOKUP(AB21,sample!$1:$1048576,2,FALSE)</f>
        <v>BCITITMMXXX</v>
      </c>
      <c r="AD21" s="972" t="str">
        <f>VLOOKUP($AB21,sample!$1:$1048576,3,FALSE)</f>
        <v>JJSDJPJTXXX</v>
      </c>
      <c r="AE21" s="973">
        <f>VLOOKUP($AB21,sample!$1:$1048576,4,FALSE)</f>
        <v>100502629</v>
      </c>
      <c r="AF21" s="972" t="str">
        <f>VLOOKUP($AB21,sample!$1:$1048576,5,FALSE)</f>
        <v>N</v>
      </c>
      <c r="AL21" s="973" t="str">
        <f>VLOOKUP($AB21,sample!$1:$1048576,11,FALSE)</f>
        <v xml:space="preserve">        </v>
      </c>
      <c r="AM21" s="973" t="str">
        <f>VLOOKUP($AB21,sample!$1:$1048576,12,FALSE)</f>
        <v xml:space="preserve">        </v>
      </c>
      <c r="AN21" s="973" t="str">
        <f>VLOOKUP($AB21,sample!$1:$1048576,13,FALSE)</f>
        <v>BOTKJPJTXXX</v>
      </c>
      <c r="AP21" s="988"/>
    </row>
    <row r="22" spans="1:42" ht="14">
      <c r="A22" s="808">
        <v>201900022</v>
      </c>
      <c r="B22" s="830">
        <v>43623</v>
      </c>
      <c r="C22" s="830" t="s">
        <v>133</v>
      </c>
      <c r="D22" s="1128" t="str">
        <f>IFERROR(VLOOKUP(G22,PosAggregate!$B$13:$B$85,1,FALSE),"")</f>
        <v/>
      </c>
      <c r="E22" s="769" t="s">
        <v>1197</v>
      </c>
      <c r="F22" s="1006" t="str">
        <f t="shared" si="3"/>
        <v/>
      </c>
      <c r="G22" s="558" t="s">
        <v>1146</v>
      </c>
      <c r="H22" s="558"/>
      <c r="I22" s="833" t="s">
        <v>1103</v>
      </c>
      <c r="J22" s="833" t="s">
        <v>125</v>
      </c>
      <c r="K22" s="744">
        <v>1815.1889000000001</v>
      </c>
      <c r="L22" s="834"/>
      <c r="M22" s="835">
        <v>9000</v>
      </c>
      <c r="N22" s="974">
        <f t="shared" si="0"/>
        <v>-16336700.100000001</v>
      </c>
      <c r="O22" s="835">
        <v>-13069</v>
      </c>
      <c r="P22" s="835"/>
      <c r="Q22" s="835"/>
      <c r="R22" s="978">
        <f t="shared" si="1"/>
        <v>-16349769.100000001</v>
      </c>
      <c r="S22" s="744">
        <v>122.57940239991881</v>
      </c>
      <c r="T22" s="983">
        <f t="shared" si="4"/>
        <v>-133381.04754874241</v>
      </c>
      <c r="U22" s="839">
        <v>43629</v>
      </c>
      <c r="V22" s="831" t="s">
        <v>1183</v>
      </c>
      <c r="W22" s="842">
        <v>43623.700185185182</v>
      </c>
      <c r="X22" s="971">
        <f t="shared" si="2"/>
        <v>7.9997795882902928E-2</v>
      </c>
      <c r="Y22" s="972" t="str">
        <f>VLOOKUP(V22,'bic broker'!$A$1:$B$14,2,FALSE)</f>
        <v>EMSIITM1XXX</v>
      </c>
      <c r="Z22" s="972" t="str">
        <f>VLOOKUP(AA22,'place of settlement'!A:C,2,FALSE)</f>
        <v>JJSDJPJTXXX</v>
      </c>
      <c r="AA22" s="972" t="str">
        <f t="shared" si="5"/>
        <v>JP</v>
      </c>
      <c r="AB22" s="972" t="str">
        <f t="shared" si="6"/>
        <v>EquitaJP</v>
      </c>
      <c r="AC22" s="972" t="str">
        <f>VLOOKUP(AB22,sample!$1:$1048576,2,FALSE)</f>
        <v>BCITITMMXXX</v>
      </c>
      <c r="AD22" s="972" t="str">
        <f>VLOOKUP($AB22,sample!$1:$1048576,3,FALSE)</f>
        <v>JJSDJPJTXXX</v>
      </c>
      <c r="AE22" s="973">
        <f>VLOOKUP($AB22,sample!$1:$1048576,4,FALSE)</f>
        <v>100502629</v>
      </c>
      <c r="AF22" s="972" t="str">
        <f>VLOOKUP($AB22,sample!$1:$1048576,5,FALSE)</f>
        <v>N</v>
      </c>
      <c r="AL22" s="973" t="str">
        <f>VLOOKUP($AB22,sample!$1:$1048576,11,FALSE)</f>
        <v xml:space="preserve">        </v>
      </c>
      <c r="AM22" s="973" t="str">
        <f>VLOOKUP($AB22,sample!$1:$1048576,12,FALSE)</f>
        <v xml:space="preserve">        </v>
      </c>
      <c r="AN22" s="973" t="str">
        <f>VLOOKUP($AB22,sample!$1:$1048576,13,FALSE)</f>
        <v>BOTKJPJTXXX</v>
      </c>
      <c r="AP22" s="988"/>
    </row>
    <row r="23" spans="1:42" ht="14">
      <c r="A23" s="808">
        <v>201900023</v>
      </c>
      <c r="B23" s="830">
        <v>43623</v>
      </c>
      <c r="C23" s="830" t="s">
        <v>133</v>
      </c>
      <c r="D23" s="1128" t="str">
        <f>IFERROR(VLOOKUP(G23,PosAggregate!$B$13:$B$85,1,FALSE),"")</f>
        <v/>
      </c>
      <c r="E23" s="769" t="s">
        <v>1198</v>
      </c>
      <c r="F23" s="1006" t="str">
        <f t="shared" si="3"/>
        <v/>
      </c>
      <c r="G23" s="558" t="s">
        <v>1147</v>
      </c>
      <c r="H23" s="558"/>
      <c r="I23" s="833" t="s">
        <v>1093</v>
      </c>
      <c r="J23" s="833" t="s">
        <v>125</v>
      </c>
      <c r="K23" s="744">
        <v>1252.8975</v>
      </c>
      <c r="L23" s="834"/>
      <c r="M23" s="835">
        <v>4000</v>
      </c>
      <c r="N23" s="974">
        <f t="shared" si="0"/>
        <v>-5011590</v>
      </c>
      <c r="O23" s="835">
        <v>-4009</v>
      </c>
      <c r="P23" s="835"/>
      <c r="Q23" s="835"/>
      <c r="R23" s="978">
        <f t="shared" si="1"/>
        <v>-5015599</v>
      </c>
      <c r="S23" s="744">
        <v>122.57940239991837</v>
      </c>
      <c r="T23" s="983">
        <f t="shared" si="4"/>
        <v>-40917.143515159936</v>
      </c>
      <c r="U23" s="839">
        <v>43629</v>
      </c>
      <c r="V23" s="831" t="s">
        <v>1183</v>
      </c>
      <c r="W23" s="842">
        <v>43623.701701388891</v>
      </c>
      <c r="X23" s="971">
        <f t="shared" si="2"/>
        <v>7.9994572580757803E-2</v>
      </c>
      <c r="Y23" s="972" t="str">
        <f>VLOOKUP(V23,'bic broker'!$A$1:$B$14,2,FALSE)</f>
        <v>EMSIITM1XXX</v>
      </c>
      <c r="Z23" s="972" t="str">
        <f>VLOOKUP(AA23,'place of settlement'!A:C,2,FALSE)</f>
        <v>JJSDJPJTXXX</v>
      </c>
      <c r="AA23" s="972" t="str">
        <f t="shared" si="5"/>
        <v>JP</v>
      </c>
      <c r="AB23" s="972" t="str">
        <f t="shared" si="6"/>
        <v>EquitaJP</v>
      </c>
      <c r="AC23" s="972" t="str">
        <f>VLOOKUP(AB23,sample!$1:$1048576,2,FALSE)</f>
        <v>BCITITMMXXX</v>
      </c>
      <c r="AD23" s="972" t="str">
        <f>VLOOKUP($AB23,sample!$1:$1048576,3,FALSE)</f>
        <v>JJSDJPJTXXX</v>
      </c>
      <c r="AE23" s="973">
        <f>VLOOKUP($AB23,sample!$1:$1048576,4,FALSE)</f>
        <v>100502629</v>
      </c>
      <c r="AF23" s="972" t="str">
        <f>VLOOKUP($AB23,sample!$1:$1048576,5,FALSE)</f>
        <v>N</v>
      </c>
      <c r="AL23" s="973" t="str">
        <f>VLOOKUP($AB23,sample!$1:$1048576,11,FALSE)</f>
        <v xml:space="preserve">        </v>
      </c>
      <c r="AM23" s="973" t="str">
        <f>VLOOKUP($AB23,sample!$1:$1048576,12,FALSE)</f>
        <v xml:space="preserve">        </v>
      </c>
      <c r="AN23" s="973" t="str">
        <f>VLOOKUP($AB23,sample!$1:$1048576,13,FALSE)</f>
        <v>BOTKJPJTXXX</v>
      </c>
      <c r="AP23" s="988"/>
    </row>
    <row r="24" spans="1:42" ht="14">
      <c r="A24" s="808">
        <v>201900024</v>
      </c>
      <c r="B24" s="830">
        <v>43623</v>
      </c>
      <c r="C24" s="830" t="s">
        <v>133</v>
      </c>
      <c r="D24" s="1128" t="str">
        <f>IFERROR(VLOOKUP(G24,PosAggregate!$B$13:$B$85,1,FALSE),"")</f>
        <v/>
      </c>
      <c r="E24" s="769" t="s">
        <v>1199</v>
      </c>
      <c r="F24" s="1006" t="str">
        <f t="shared" si="3"/>
        <v/>
      </c>
      <c r="G24" s="558" t="s">
        <v>1148</v>
      </c>
      <c r="H24" s="558"/>
      <c r="I24" s="833" t="s">
        <v>1084</v>
      </c>
      <c r="J24" s="833" t="s">
        <v>125</v>
      </c>
      <c r="K24" s="744">
        <v>738.6</v>
      </c>
      <c r="L24" s="834"/>
      <c r="M24" s="835">
        <v>15000</v>
      </c>
      <c r="N24" s="974">
        <f t="shared" si="0"/>
        <v>-11079000</v>
      </c>
      <c r="O24" s="835">
        <v>-8863</v>
      </c>
      <c r="P24" s="835"/>
      <c r="Q24" s="835"/>
      <c r="R24" s="978">
        <f t="shared" si="1"/>
        <v>-11087863</v>
      </c>
      <c r="S24" s="744">
        <v>122.57940239991837</v>
      </c>
      <c r="T24" s="983">
        <f t="shared" si="4"/>
        <v>-90454.536267239819</v>
      </c>
      <c r="U24" s="839">
        <v>43629</v>
      </c>
      <c r="V24" s="831" t="s">
        <v>1183</v>
      </c>
      <c r="W24" s="842">
        <v>43623.704618055555</v>
      </c>
      <c r="X24" s="971">
        <f t="shared" si="2"/>
        <v>7.9998194782922638E-2</v>
      </c>
      <c r="Y24" s="972" t="str">
        <f>VLOOKUP(V24,'bic broker'!$A$1:$B$14,2,FALSE)</f>
        <v>EMSIITM1XXX</v>
      </c>
      <c r="Z24" s="972" t="str">
        <f>VLOOKUP(AA24,'place of settlement'!A:C,2,FALSE)</f>
        <v>JJSDJPJTXXX</v>
      </c>
      <c r="AA24" s="972" t="str">
        <f t="shared" si="5"/>
        <v>JP</v>
      </c>
      <c r="AB24" s="972" t="str">
        <f t="shared" si="6"/>
        <v>EquitaJP</v>
      </c>
      <c r="AC24" s="972" t="str">
        <f>VLOOKUP(AB24,sample!$1:$1048576,2,FALSE)</f>
        <v>BCITITMMXXX</v>
      </c>
      <c r="AD24" s="972" t="str">
        <f>VLOOKUP($AB24,sample!$1:$1048576,3,FALSE)</f>
        <v>JJSDJPJTXXX</v>
      </c>
      <c r="AE24" s="973">
        <f>VLOOKUP($AB24,sample!$1:$1048576,4,FALSE)</f>
        <v>100502629</v>
      </c>
      <c r="AF24" s="972" t="str">
        <f>VLOOKUP($AB24,sample!$1:$1048576,5,FALSE)</f>
        <v>N</v>
      </c>
      <c r="AL24" s="973" t="str">
        <f>VLOOKUP($AB24,sample!$1:$1048576,11,FALSE)</f>
        <v xml:space="preserve">        </v>
      </c>
      <c r="AM24" s="973" t="str">
        <f>VLOOKUP($AB24,sample!$1:$1048576,12,FALSE)</f>
        <v xml:space="preserve">        </v>
      </c>
      <c r="AN24" s="973" t="str">
        <f>VLOOKUP($AB24,sample!$1:$1048576,13,FALSE)</f>
        <v>BOTKJPJTXXX</v>
      </c>
      <c r="AP24" s="988"/>
    </row>
    <row r="25" spans="1:42" ht="14">
      <c r="A25" s="808">
        <v>201900025</v>
      </c>
      <c r="B25" s="830">
        <v>43623</v>
      </c>
      <c r="C25" s="830" t="s">
        <v>133</v>
      </c>
      <c r="D25" s="1128" t="str">
        <f>IFERROR(VLOOKUP(G25,PosAggregate!$B$13:$B$85,1,FALSE),"")</f>
        <v/>
      </c>
      <c r="E25" s="769" t="s">
        <v>1200</v>
      </c>
      <c r="F25" s="1006" t="str">
        <f t="shared" si="3"/>
        <v/>
      </c>
      <c r="G25" s="558" t="s">
        <v>1149</v>
      </c>
      <c r="H25" s="558"/>
      <c r="I25" s="833" t="s">
        <v>1098</v>
      </c>
      <c r="J25" s="833" t="s">
        <v>125</v>
      </c>
      <c r="K25" s="744">
        <v>2199.1333</v>
      </c>
      <c r="L25" s="834"/>
      <c r="M25" s="835">
        <v>3000</v>
      </c>
      <c r="N25" s="974">
        <f t="shared" si="0"/>
        <v>-6597399.8999999994</v>
      </c>
      <c r="O25" s="835">
        <v>-5278</v>
      </c>
      <c r="P25" s="835"/>
      <c r="Q25" s="835"/>
      <c r="R25" s="978">
        <f t="shared" si="1"/>
        <v>-6602677.8999999994</v>
      </c>
      <c r="S25" s="744">
        <v>122.57940239991829</v>
      </c>
      <c r="T25" s="983">
        <f t="shared" si="4"/>
        <v>-53864.497384793911</v>
      </c>
      <c r="U25" s="839">
        <v>43629</v>
      </c>
      <c r="V25" s="831" t="s">
        <v>1183</v>
      </c>
      <c r="W25" s="842">
        <v>43623.705659722225</v>
      </c>
      <c r="X25" s="971">
        <f t="shared" si="2"/>
        <v>8.0001213811519908E-2</v>
      </c>
      <c r="Y25" s="972" t="str">
        <f>VLOOKUP(V25,'bic broker'!$A$1:$B$14,2,FALSE)</f>
        <v>EMSIITM1XXX</v>
      </c>
      <c r="Z25" s="972" t="str">
        <f>VLOOKUP(AA25,'place of settlement'!A:C,2,FALSE)</f>
        <v>JJSDJPJTXXX</v>
      </c>
      <c r="AA25" s="972" t="str">
        <f t="shared" si="5"/>
        <v>JP</v>
      </c>
      <c r="AB25" s="972" t="str">
        <f t="shared" si="6"/>
        <v>EquitaJP</v>
      </c>
      <c r="AC25" s="972" t="str">
        <f>VLOOKUP(AB25,sample!$1:$1048576,2,FALSE)</f>
        <v>BCITITMMXXX</v>
      </c>
      <c r="AD25" s="972" t="str">
        <f>VLOOKUP($AB25,sample!$1:$1048576,3,FALSE)</f>
        <v>JJSDJPJTXXX</v>
      </c>
      <c r="AE25" s="973">
        <f>VLOOKUP($AB25,sample!$1:$1048576,4,FALSE)</f>
        <v>100502629</v>
      </c>
      <c r="AF25" s="972" t="str">
        <f>VLOOKUP($AB25,sample!$1:$1048576,5,FALSE)</f>
        <v>N</v>
      </c>
      <c r="AL25" s="973" t="str">
        <f>VLOOKUP($AB25,sample!$1:$1048576,11,FALSE)</f>
        <v xml:space="preserve">        </v>
      </c>
      <c r="AM25" s="973" t="str">
        <f>VLOOKUP($AB25,sample!$1:$1048576,12,FALSE)</f>
        <v xml:space="preserve">        </v>
      </c>
      <c r="AN25" s="973" t="str">
        <f>VLOOKUP($AB25,sample!$1:$1048576,13,FALSE)</f>
        <v>BOTKJPJTXXX</v>
      </c>
      <c r="AP25" s="988"/>
    </row>
    <row r="26" spans="1:42" ht="14">
      <c r="A26" s="808">
        <v>201900026</v>
      </c>
      <c r="B26" s="830">
        <v>43623</v>
      </c>
      <c r="C26" s="830" t="s">
        <v>133</v>
      </c>
      <c r="D26" s="1128" t="str">
        <f>IFERROR(VLOOKUP(G26,PosAggregate!$B$13:$B$85,1,FALSE),"")</f>
        <v/>
      </c>
      <c r="E26" s="769" t="s">
        <v>1201</v>
      </c>
      <c r="F26" s="1006" t="str">
        <f t="shared" si="3"/>
        <v/>
      </c>
      <c r="G26" s="558" t="s">
        <v>1150</v>
      </c>
      <c r="H26" s="558"/>
      <c r="I26" s="833" t="s">
        <v>1104</v>
      </c>
      <c r="J26" s="833" t="s">
        <v>125</v>
      </c>
      <c r="K26" s="744">
        <v>1626.2612999999999</v>
      </c>
      <c r="L26" s="834"/>
      <c r="M26" s="835">
        <v>8000</v>
      </c>
      <c r="N26" s="974">
        <f t="shared" ref="N26:N34" si="7">-K26*M26</f>
        <v>-13010090.399999999</v>
      </c>
      <c r="O26" s="835">
        <v>-10408</v>
      </c>
      <c r="P26" s="835"/>
      <c r="Q26" s="835"/>
      <c r="R26" s="978">
        <f t="shared" ref="R26:R34" si="8">SUM(N26:Q26)</f>
        <v>-13020498.399999999</v>
      </c>
      <c r="S26" s="744">
        <v>122.57940239991794</v>
      </c>
      <c r="T26" s="983">
        <f t="shared" si="4"/>
        <v>-106220.93226984695</v>
      </c>
      <c r="U26" s="839">
        <v>43629</v>
      </c>
      <c r="V26" s="831" t="s">
        <v>1183</v>
      </c>
      <c r="W26" s="842">
        <v>43623.707094907404</v>
      </c>
      <c r="X26" s="971">
        <f t="shared" si="2"/>
        <v>7.9999444123770275E-2</v>
      </c>
      <c r="Y26" s="972" t="str">
        <f>VLOOKUP(V26,'bic broker'!$A$1:$B$14,2,FALSE)</f>
        <v>EMSIITM1XXX</v>
      </c>
      <c r="Z26" s="972" t="str">
        <f>VLOOKUP(AA26,'place of settlement'!A:C,2,FALSE)</f>
        <v>JJSDJPJTXXX</v>
      </c>
      <c r="AA26" s="972" t="str">
        <f t="shared" si="5"/>
        <v>JP</v>
      </c>
      <c r="AB26" s="972" t="str">
        <f t="shared" si="6"/>
        <v>EquitaJP</v>
      </c>
      <c r="AC26" s="972" t="str">
        <f>VLOOKUP(AB26,sample!$1:$1048576,2,FALSE)</f>
        <v>BCITITMMXXX</v>
      </c>
      <c r="AD26" s="972" t="str">
        <f>VLOOKUP($AB26,sample!$1:$1048576,3,FALSE)</f>
        <v>JJSDJPJTXXX</v>
      </c>
      <c r="AE26" s="973">
        <f>VLOOKUP($AB26,sample!$1:$1048576,4,FALSE)</f>
        <v>100502629</v>
      </c>
      <c r="AF26" s="972" t="str">
        <f>VLOOKUP($AB26,sample!$1:$1048576,5,FALSE)</f>
        <v>N</v>
      </c>
      <c r="AL26" s="973" t="str">
        <f>VLOOKUP($AB26,sample!$1:$1048576,11,FALSE)</f>
        <v xml:space="preserve">        </v>
      </c>
      <c r="AM26" s="973" t="str">
        <f>VLOOKUP($AB26,sample!$1:$1048576,12,FALSE)</f>
        <v xml:space="preserve">        </v>
      </c>
      <c r="AN26" s="973" t="str">
        <f>VLOOKUP($AB26,sample!$1:$1048576,13,FALSE)</f>
        <v>BOTKJPJTXXX</v>
      </c>
      <c r="AP26" s="988"/>
    </row>
    <row r="27" spans="1:42" ht="14">
      <c r="A27" s="808">
        <v>201900027</v>
      </c>
      <c r="B27" s="830">
        <v>43623</v>
      </c>
      <c r="C27" s="830" t="s">
        <v>133</v>
      </c>
      <c r="D27" s="1128" t="str">
        <f>IFERROR(VLOOKUP(G27,PosAggregate!$B$13:$B$85,1,FALSE),"")</f>
        <v/>
      </c>
      <c r="E27" s="769" t="s">
        <v>1202</v>
      </c>
      <c r="F27" s="1006" t="str">
        <f t="shared" si="3"/>
        <v/>
      </c>
      <c r="G27" s="558" t="s">
        <v>1151</v>
      </c>
      <c r="H27" s="558"/>
      <c r="I27" s="833" t="s">
        <v>1105</v>
      </c>
      <c r="J27" s="833" t="s">
        <v>125</v>
      </c>
      <c r="K27" s="744">
        <v>7700</v>
      </c>
      <c r="L27" s="834"/>
      <c r="M27" s="835">
        <v>1500</v>
      </c>
      <c r="N27" s="974">
        <f t="shared" si="7"/>
        <v>-11550000</v>
      </c>
      <c r="O27" s="835">
        <v>-9240</v>
      </c>
      <c r="P27" s="835"/>
      <c r="Q27" s="835"/>
      <c r="R27" s="978">
        <f t="shared" si="8"/>
        <v>-11559240</v>
      </c>
      <c r="S27" s="744">
        <v>122.57940239991844</v>
      </c>
      <c r="T27" s="983">
        <f t="shared" si="4"/>
        <v>-94300.019201331103</v>
      </c>
      <c r="U27" s="839">
        <v>43629</v>
      </c>
      <c r="V27" s="831" t="s">
        <v>1183</v>
      </c>
      <c r="W27" s="842">
        <v>43623.708182870374</v>
      </c>
      <c r="X27" s="971">
        <f t="shared" si="2"/>
        <v>0.08</v>
      </c>
      <c r="Y27" s="972" t="str">
        <f>VLOOKUP(V27,'bic broker'!$A$1:$B$14,2,FALSE)</f>
        <v>EMSIITM1XXX</v>
      </c>
      <c r="Z27" s="972" t="str">
        <f>VLOOKUP(AA27,'place of settlement'!A:C,2,FALSE)</f>
        <v>JJSDJPJTXXX</v>
      </c>
      <c r="AA27" s="972" t="str">
        <f t="shared" si="5"/>
        <v>JP</v>
      </c>
      <c r="AB27" s="972" t="str">
        <f t="shared" si="6"/>
        <v>EquitaJP</v>
      </c>
      <c r="AC27" s="972" t="str">
        <f>VLOOKUP(AB27,sample!$1:$1048576,2,FALSE)</f>
        <v>BCITITMMXXX</v>
      </c>
      <c r="AD27" s="972" t="str">
        <f>VLOOKUP($AB27,sample!$1:$1048576,3,FALSE)</f>
        <v>JJSDJPJTXXX</v>
      </c>
      <c r="AE27" s="973">
        <f>VLOOKUP($AB27,sample!$1:$1048576,4,FALSE)</f>
        <v>100502629</v>
      </c>
      <c r="AF27" s="972" t="str">
        <f>VLOOKUP($AB27,sample!$1:$1048576,5,FALSE)</f>
        <v>N</v>
      </c>
      <c r="AL27" s="973" t="str">
        <f>VLOOKUP($AB27,sample!$1:$1048576,11,FALSE)</f>
        <v xml:space="preserve">        </v>
      </c>
      <c r="AM27" s="973" t="str">
        <f>VLOOKUP($AB27,sample!$1:$1048576,12,FALSE)</f>
        <v xml:space="preserve">        </v>
      </c>
      <c r="AN27" s="973" t="str">
        <f>VLOOKUP($AB27,sample!$1:$1048576,13,FALSE)</f>
        <v>BOTKJPJTXXX</v>
      </c>
      <c r="AP27" s="988"/>
    </row>
    <row r="28" spans="1:42" ht="14">
      <c r="A28" s="808">
        <v>201900028</v>
      </c>
      <c r="B28" s="830">
        <v>43623</v>
      </c>
      <c r="C28" s="830" t="s">
        <v>133</v>
      </c>
      <c r="D28" s="1128" t="str">
        <f>IFERROR(VLOOKUP(G28,PosAggregate!$B$13:$B$85,1,FALSE),"")</f>
        <v/>
      </c>
      <c r="E28" s="769" t="s">
        <v>1203</v>
      </c>
      <c r="F28" s="1006" t="str">
        <f t="shared" si="3"/>
        <v/>
      </c>
      <c r="G28" s="558" t="s">
        <v>1152</v>
      </c>
      <c r="H28" s="558"/>
      <c r="I28" s="833" t="s">
        <v>1109</v>
      </c>
      <c r="J28" s="833" t="s">
        <v>125</v>
      </c>
      <c r="K28" s="744">
        <v>1180.7463</v>
      </c>
      <c r="L28" s="834"/>
      <c r="M28" s="843">
        <v>6700</v>
      </c>
      <c r="N28" s="974">
        <f t="shared" si="7"/>
        <v>-7911000.21</v>
      </c>
      <c r="O28" s="835">
        <v>-6329</v>
      </c>
      <c r="P28" s="835"/>
      <c r="Q28" s="835"/>
      <c r="R28" s="978">
        <f t="shared" si="8"/>
        <v>-7917329.21</v>
      </c>
      <c r="S28" s="744">
        <v>122.57940239991844</v>
      </c>
      <c r="T28" s="983">
        <f t="shared" si="4"/>
        <v>-64589.393119812339</v>
      </c>
      <c r="U28" s="839">
        <v>43629</v>
      </c>
      <c r="V28" s="831" t="s">
        <v>1183</v>
      </c>
      <c r="W28" s="842">
        <v>43623.70857638889</v>
      </c>
      <c r="X28" s="971">
        <f t="shared" si="2"/>
        <v>8.0002526001702629E-2</v>
      </c>
      <c r="Y28" s="972" t="str">
        <f>VLOOKUP(V28,'bic broker'!$A$1:$B$14,2,FALSE)</f>
        <v>EMSIITM1XXX</v>
      </c>
      <c r="Z28" s="972" t="str">
        <f>VLOOKUP(AA28,'place of settlement'!A:C,2,FALSE)</f>
        <v>JJSDJPJTXXX</v>
      </c>
      <c r="AA28" s="972" t="str">
        <f t="shared" si="5"/>
        <v>JP</v>
      </c>
      <c r="AB28" s="972" t="str">
        <f t="shared" si="6"/>
        <v>EquitaJP</v>
      </c>
      <c r="AC28" s="972" t="str">
        <f>VLOOKUP(AB28,sample!$1:$1048576,2,FALSE)</f>
        <v>BCITITMMXXX</v>
      </c>
      <c r="AD28" s="972" t="str">
        <f>VLOOKUP($AB28,sample!$1:$1048576,3,FALSE)</f>
        <v>JJSDJPJTXXX</v>
      </c>
      <c r="AE28" s="973">
        <f>VLOOKUP($AB28,sample!$1:$1048576,4,FALSE)</f>
        <v>100502629</v>
      </c>
      <c r="AF28" s="972" t="str">
        <f>VLOOKUP($AB28,sample!$1:$1048576,5,FALSE)</f>
        <v>N</v>
      </c>
      <c r="AL28" s="973" t="str">
        <f>VLOOKUP($AB28,sample!$1:$1048576,11,FALSE)</f>
        <v xml:space="preserve">        </v>
      </c>
      <c r="AM28" s="973" t="str">
        <f>VLOOKUP($AB28,sample!$1:$1048576,12,FALSE)</f>
        <v xml:space="preserve">        </v>
      </c>
      <c r="AN28" s="973" t="str">
        <f>VLOOKUP($AB28,sample!$1:$1048576,13,FALSE)</f>
        <v>BOTKJPJTXXX</v>
      </c>
      <c r="AP28" s="988"/>
    </row>
    <row r="29" spans="1:42" ht="14">
      <c r="A29" s="808">
        <v>201900029</v>
      </c>
      <c r="B29" s="830">
        <v>43623</v>
      </c>
      <c r="C29" s="830" t="s">
        <v>133</v>
      </c>
      <c r="D29" s="1128" t="str">
        <f>IFERROR(VLOOKUP(G29,PosAggregate!$B$13:$B$85,1,FALSE),"")</f>
        <v/>
      </c>
      <c r="E29" s="769" t="s">
        <v>1204</v>
      </c>
      <c r="F29" s="1006" t="str">
        <f t="shared" si="3"/>
        <v/>
      </c>
      <c r="G29" s="558" t="s">
        <v>1153</v>
      </c>
      <c r="H29" s="558"/>
      <c r="I29" s="833" t="s">
        <v>1155</v>
      </c>
      <c r="J29" s="833" t="s">
        <v>125</v>
      </c>
      <c r="K29" s="744">
        <v>4535</v>
      </c>
      <c r="L29" s="834"/>
      <c r="M29" s="835">
        <v>1500</v>
      </c>
      <c r="N29" s="974">
        <f t="shared" si="7"/>
        <v>-6802500</v>
      </c>
      <c r="O29" s="835">
        <v>-5442</v>
      </c>
      <c r="P29" s="835"/>
      <c r="Q29" s="835"/>
      <c r="R29" s="978">
        <f t="shared" si="8"/>
        <v>-6807942</v>
      </c>
      <c r="S29" s="744">
        <v>122.57940239991838</v>
      </c>
      <c r="T29" s="983">
        <f t="shared" si="4"/>
        <v>-55539.037282861915</v>
      </c>
      <c r="U29" s="839">
        <v>43629</v>
      </c>
      <c r="V29" s="831" t="s">
        <v>1183</v>
      </c>
      <c r="W29" s="842">
        <v>43623.710138888891</v>
      </c>
      <c r="X29" s="971">
        <f t="shared" si="2"/>
        <v>0.08</v>
      </c>
      <c r="Y29" s="972" t="str">
        <f>VLOOKUP(V29,'bic broker'!$A$1:$B$14,2,FALSE)</f>
        <v>EMSIITM1XXX</v>
      </c>
      <c r="Z29" s="972" t="str">
        <f>VLOOKUP(AA29,'place of settlement'!A:C,2,FALSE)</f>
        <v>JJSDJPJTXXX</v>
      </c>
      <c r="AA29" s="972" t="str">
        <f t="shared" si="5"/>
        <v>JP</v>
      </c>
      <c r="AB29" s="972" t="str">
        <f t="shared" si="6"/>
        <v>EquitaJP</v>
      </c>
      <c r="AC29" s="972" t="str">
        <f>VLOOKUP(AB29,sample!$1:$1048576,2,FALSE)</f>
        <v>BCITITMMXXX</v>
      </c>
      <c r="AD29" s="972" t="str">
        <f>VLOOKUP($AB29,sample!$1:$1048576,3,FALSE)</f>
        <v>JJSDJPJTXXX</v>
      </c>
      <c r="AE29" s="973">
        <f>VLOOKUP($AB29,sample!$1:$1048576,4,FALSE)</f>
        <v>100502629</v>
      </c>
      <c r="AF29" s="972" t="str">
        <f>VLOOKUP($AB29,sample!$1:$1048576,5,FALSE)</f>
        <v>N</v>
      </c>
      <c r="AL29" s="973" t="str">
        <f>VLOOKUP($AB29,sample!$1:$1048576,11,FALSE)</f>
        <v xml:space="preserve">        </v>
      </c>
      <c r="AM29" s="973" t="str">
        <f>VLOOKUP($AB29,sample!$1:$1048576,12,FALSE)</f>
        <v xml:space="preserve">        </v>
      </c>
      <c r="AN29" s="973" t="str">
        <f>VLOOKUP($AB29,sample!$1:$1048576,13,FALSE)</f>
        <v>BOTKJPJTXXX</v>
      </c>
      <c r="AP29" s="988"/>
    </row>
    <row r="30" spans="1:42" ht="14">
      <c r="A30" s="808">
        <v>201900030</v>
      </c>
      <c r="B30" s="844">
        <v>43623</v>
      </c>
      <c r="C30" s="844" t="s">
        <v>133</v>
      </c>
      <c r="D30" s="1129" t="str">
        <f>IFERROR(VLOOKUP(G30,PosAggregate!$B$13:$B$85,1,FALSE),"")</f>
        <v/>
      </c>
      <c r="E30" s="769" t="s">
        <v>1205</v>
      </c>
      <c r="F30" s="1006" t="str">
        <f t="shared" si="3"/>
        <v/>
      </c>
      <c r="G30" s="778" t="s">
        <v>1154</v>
      </c>
      <c r="H30" s="778"/>
      <c r="I30" s="846" t="s">
        <v>1107</v>
      </c>
      <c r="J30" s="846" t="s">
        <v>125</v>
      </c>
      <c r="K30" s="847">
        <v>505.38900000000001</v>
      </c>
      <c r="L30" s="848"/>
      <c r="M30" s="849">
        <v>10000</v>
      </c>
      <c r="N30" s="975">
        <f t="shared" si="7"/>
        <v>-5053890</v>
      </c>
      <c r="O30" s="849">
        <v>-4043</v>
      </c>
      <c r="P30" s="849"/>
      <c r="Q30" s="849"/>
      <c r="R30" s="979">
        <f t="shared" si="8"/>
        <v>-5057933</v>
      </c>
      <c r="S30" s="847">
        <v>122.57940239991832</v>
      </c>
      <c r="T30" s="983">
        <f t="shared" si="4"/>
        <v>-41262.503332316541</v>
      </c>
      <c r="U30" s="850">
        <v>43629</v>
      </c>
      <c r="V30" s="851" t="s">
        <v>1183</v>
      </c>
      <c r="W30" s="852">
        <v>43623.711886574078</v>
      </c>
      <c r="X30" s="971">
        <f t="shared" si="2"/>
        <v>7.9997783885284404E-2</v>
      </c>
      <c r="Y30" s="972" t="str">
        <f>VLOOKUP(V30,'bic broker'!$A$1:$B$14,2,FALSE)</f>
        <v>EMSIITM1XXX</v>
      </c>
      <c r="Z30" s="972" t="str">
        <f>VLOOKUP(AA30,'place of settlement'!A:C,2,FALSE)</f>
        <v>JJSDJPJTXXX</v>
      </c>
      <c r="AA30" s="972" t="str">
        <f t="shared" si="5"/>
        <v>JP</v>
      </c>
      <c r="AB30" s="972" t="str">
        <f t="shared" si="6"/>
        <v>EquitaJP</v>
      </c>
      <c r="AC30" s="972" t="str">
        <f>VLOOKUP(AB30,sample!$1:$1048576,2,FALSE)</f>
        <v>BCITITMMXXX</v>
      </c>
      <c r="AD30" s="972" t="str">
        <f>VLOOKUP($AB30,sample!$1:$1048576,3,FALSE)</f>
        <v>JJSDJPJTXXX</v>
      </c>
      <c r="AE30" s="973">
        <f>VLOOKUP($AB30,sample!$1:$1048576,4,FALSE)</f>
        <v>100502629</v>
      </c>
      <c r="AF30" s="972" t="str">
        <f>VLOOKUP($AB30,sample!$1:$1048576,5,FALSE)</f>
        <v>N</v>
      </c>
      <c r="AL30" s="973" t="str">
        <f>VLOOKUP($AB30,sample!$1:$1048576,11,FALSE)</f>
        <v xml:space="preserve">        </v>
      </c>
      <c r="AM30" s="973" t="str">
        <f>VLOOKUP($AB30,sample!$1:$1048576,12,FALSE)</f>
        <v xml:space="preserve">        </v>
      </c>
      <c r="AN30" s="973" t="str">
        <f>VLOOKUP($AB30,sample!$1:$1048576,13,FALSE)</f>
        <v>BOTKJPJTXXX</v>
      </c>
      <c r="AP30" s="988"/>
    </row>
    <row r="31" spans="1:42" ht="14">
      <c r="A31" s="808">
        <v>201900031</v>
      </c>
      <c r="B31" s="830">
        <v>43626</v>
      </c>
      <c r="C31" s="830" t="s">
        <v>133</v>
      </c>
      <c r="D31" s="1130" t="str">
        <f>IFERROR(VLOOKUP(G31,PosAggregate!$B$13:$B$85,1,FALSE),"")</f>
        <v/>
      </c>
      <c r="E31" s="769" t="s">
        <v>1206</v>
      </c>
      <c r="F31" s="1006" t="str">
        <f t="shared" si="3"/>
        <v/>
      </c>
      <c r="G31" s="558" t="s">
        <v>1156</v>
      </c>
      <c r="H31" s="558"/>
      <c r="I31" s="709" t="s">
        <v>1080</v>
      </c>
      <c r="J31" s="709" t="s">
        <v>123</v>
      </c>
      <c r="K31" s="744">
        <v>189576.21950000001</v>
      </c>
      <c r="L31" s="834"/>
      <c r="M31" s="835">
        <v>820</v>
      </c>
      <c r="N31" s="976">
        <f t="shared" si="7"/>
        <v>-155452499.99000001</v>
      </c>
      <c r="O31" s="835">
        <v>-233179</v>
      </c>
      <c r="P31" s="835"/>
      <c r="Q31" s="835"/>
      <c r="R31" s="980">
        <f t="shared" si="8"/>
        <v>-155685678.99000001</v>
      </c>
      <c r="S31" s="744">
        <v>1338.2774523245682</v>
      </c>
      <c r="T31" s="983">
        <f t="shared" si="4"/>
        <v>-116332.88651734831</v>
      </c>
      <c r="U31" s="854">
        <v>43629</v>
      </c>
      <c r="V31" s="855" t="s">
        <v>1184</v>
      </c>
      <c r="W31" s="840">
        <v>43626.69404884259</v>
      </c>
      <c r="X31" s="971">
        <f t="shared" si="2"/>
        <v>0.15000016083047876</v>
      </c>
      <c r="Y31" s="972" t="e">
        <f>VLOOKUP(V31,'bic broker'!$A$1:$B$14,2,FALSE)</f>
        <v>#N/A</v>
      </c>
      <c r="Z31" s="972" t="str">
        <f>VLOOKUP(AA31,'place of settlement'!A:C,2,FALSE)</f>
        <v>KSDCKRSEXXX</v>
      </c>
      <c r="AA31" s="972" t="str">
        <f t="shared" si="5"/>
        <v>KR</v>
      </c>
      <c r="AB31" s="972" t="str">
        <f t="shared" si="6"/>
        <v>SamsungKR</v>
      </c>
      <c r="AC31" s="972" t="e">
        <f>VLOOKUP(AB31,sample!$1:$1048576,2,FALSE)</f>
        <v>#N/A</v>
      </c>
      <c r="AD31" s="972" t="e">
        <f>VLOOKUP($AB31,sample!$1:$1048576,3,FALSE)</f>
        <v>#N/A</v>
      </c>
      <c r="AE31" s="973" t="e">
        <f>VLOOKUP($AB31,sample!$1:$1048576,4,FALSE)</f>
        <v>#N/A</v>
      </c>
      <c r="AF31" s="972" t="e">
        <f>VLOOKUP($AB31,sample!$1:$1048576,5,FALSE)</f>
        <v>#N/A</v>
      </c>
      <c r="AL31" s="973" t="e">
        <f>VLOOKUP($AB31,sample!$1:$1048576,11,FALSE)</f>
        <v>#N/A</v>
      </c>
      <c r="AM31" s="973" t="e">
        <f>VLOOKUP($AB31,sample!$1:$1048576,12,FALSE)</f>
        <v>#N/A</v>
      </c>
      <c r="AN31" s="973" t="e">
        <f>VLOOKUP($AB31,sample!$1:$1048576,13,FALSE)</f>
        <v>#N/A</v>
      </c>
      <c r="AP31" s="988"/>
    </row>
    <row r="32" spans="1:42" ht="14">
      <c r="A32" s="808">
        <v>201900032</v>
      </c>
      <c r="B32" s="830">
        <v>43626</v>
      </c>
      <c r="C32" s="830" t="s">
        <v>133</v>
      </c>
      <c r="D32" s="1128" t="str">
        <f>IFERROR(VLOOKUP(G32,PosAggregate!$B$13:$B$85,1,FALSE),"")</f>
        <v/>
      </c>
      <c r="E32" s="769" t="s">
        <v>1207</v>
      </c>
      <c r="F32" s="1006" t="str">
        <f t="shared" si="3"/>
        <v/>
      </c>
      <c r="G32" s="558" t="s">
        <v>1157</v>
      </c>
      <c r="H32" s="558"/>
      <c r="I32" s="833" t="s">
        <v>1082</v>
      </c>
      <c r="J32" s="833" t="s">
        <v>123</v>
      </c>
      <c r="K32" s="744">
        <v>237500</v>
      </c>
      <c r="L32" s="834"/>
      <c r="M32" s="835">
        <v>400</v>
      </c>
      <c r="N32" s="974">
        <f t="shared" si="7"/>
        <v>-95000000</v>
      </c>
      <c r="O32" s="835">
        <v>-142500</v>
      </c>
      <c r="P32" s="835"/>
      <c r="Q32" s="835"/>
      <c r="R32" s="978">
        <f t="shared" si="8"/>
        <v>-95142500</v>
      </c>
      <c r="S32" s="744">
        <v>1338.277452324566</v>
      </c>
      <c r="T32" s="983">
        <f t="shared" si="4"/>
        <v>-71093.254866350049</v>
      </c>
      <c r="U32" s="839">
        <v>43629</v>
      </c>
      <c r="V32" s="855" t="s">
        <v>1184</v>
      </c>
      <c r="W32" s="840">
        <v>43626.696166898146</v>
      </c>
      <c r="X32" s="971">
        <f t="shared" si="2"/>
        <v>0.15</v>
      </c>
      <c r="Y32" s="972" t="e">
        <f>VLOOKUP(V32,'bic broker'!$A$1:$B$14,2,FALSE)</f>
        <v>#N/A</v>
      </c>
      <c r="Z32" s="972" t="str">
        <f>VLOOKUP(AA32,'place of settlement'!A:C,2,FALSE)</f>
        <v>KSDCKRSEXXX</v>
      </c>
      <c r="AA32" s="972" t="str">
        <f t="shared" si="5"/>
        <v>KR</v>
      </c>
      <c r="AB32" s="972" t="str">
        <f t="shared" si="6"/>
        <v>SamsungKR</v>
      </c>
      <c r="AC32" s="972" t="e">
        <f>VLOOKUP(AB32,sample!$1:$1048576,2,FALSE)</f>
        <v>#N/A</v>
      </c>
      <c r="AD32" s="972" t="e">
        <f>VLOOKUP($AB32,sample!$1:$1048576,3,FALSE)</f>
        <v>#N/A</v>
      </c>
      <c r="AE32" s="973" t="e">
        <f>VLOOKUP($AB32,sample!$1:$1048576,4,FALSE)</f>
        <v>#N/A</v>
      </c>
      <c r="AF32" s="972" t="e">
        <f>VLOOKUP($AB32,sample!$1:$1048576,5,FALSE)</f>
        <v>#N/A</v>
      </c>
      <c r="AL32" s="973" t="e">
        <f>VLOOKUP($AB32,sample!$1:$1048576,11,FALSE)</f>
        <v>#N/A</v>
      </c>
      <c r="AM32" s="973" t="e">
        <f>VLOOKUP($AB32,sample!$1:$1048576,12,FALSE)</f>
        <v>#N/A</v>
      </c>
      <c r="AN32" s="973" t="e">
        <f>VLOOKUP($AB32,sample!$1:$1048576,13,FALSE)</f>
        <v>#N/A</v>
      </c>
      <c r="AP32" s="988"/>
    </row>
    <row r="33" spans="1:42" ht="14">
      <c r="A33" s="808">
        <v>201900033</v>
      </c>
      <c r="B33" s="830">
        <v>43626</v>
      </c>
      <c r="C33" s="830" t="s">
        <v>133</v>
      </c>
      <c r="D33" s="1128" t="str">
        <f>IFERROR(VLOOKUP(G33,PosAggregate!$B$13:$B$85,1,FALSE),"")</f>
        <v/>
      </c>
      <c r="E33" s="769" t="s">
        <v>1208</v>
      </c>
      <c r="F33" s="1006" t="str">
        <f t="shared" si="3"/>
        <v/>
      </c>
      <c r="G33" s="558" t="s">
        <v>1158</v>
      </c>
      <c r="H33" s="558"/>
      <c r="I33" s="833" t="s">
        <v>1082</v>
      </c>
      <c r="J33" s="833" t="s">
        <v>123</v>
      </c>
      <c r="K33" s="744">
        <v>90455.5</v>
      </c>
      <c r="L33" s="834"/>
      <c r="M33" s="835">
        <v>1000</v>
      </c>
      <c r="N33" s="974">
        <f t="shared" si="7"/>
        <v>-90455500</v>
      </c>
      <c r="O33" s="835">
        <v>-135683</v>
      </c>
      <c r="P33" s="835"/>
      <c r="Q33" s="835"/>
      <c r="R33" s="978">
        <f t="shared" si="8"/>
        <v>-90591183</v>
      </c>
      <c r="S33" s="744">
        <v>1338.2774523245673</v>
      </c>
      <c r="T33" s="983">
        <f t="shared" si="4"/>
        <v>-67692.377871751858</v>
      </c>
      <c r="U33" s="839">
        <v>43629</v>
      </c>
      <c r="V33" s="855" t="s">
        <v>1184</v>
      </c>
      <c r="W33" s="840">
        <v>43626.697266087962</v>
      </c>
      <c r="X33" s="971">
        <f t="shared" si="2"/>
        <v>0.149999723621007</v>
      </c>
      <c r="Y33" s="972" t="e">
        <f>VLOOKUP(V33,'bic broker'!$A$1:$B$14,2,FALSE)</f>
        <v>#N/A</v>
      </c>
      <c r="Z33" s="972" t="str">
        <f>VLOOKUP(AA33,'place of settlement'!A:C,2,FALSE)</f>
        <v>KSDCKRSEXXX</v>
      </c>
      <c r="AA33" s="972" t="str">
        <f t="shared" si="5"/>
        <v>KR</v>
      </c>
      <c r="AB33" s="972" t="str">
        <f t="shared" si="6"/>
        <v>SamsungKR</v>
      </c>
      <c r="AC33" s="972" t="e">
        <f>VLOOKUP(AB33,sample!$1:$1048576,2,FALSE)</f>
        <v>#N/A</v>
      </c>
      <c r="AD33" s="972" t="e">
        <f>VLOOKUP($AB33,sample!$1:$1048576,3,FALSE)</f>
        <v>#N/A</v>
      </c>
      <c r="AE33" s="973" t="e">
        <f>VLOOKUP($AB33,sample!$1:$1048576,4,FALSE)</f>
        <v>#N/A</v>
      </c>
      <c r="AF33" s="972" t="e">
        <f>VLOOKUP($AB33,sample!$1:$1048576,5,FALSE)</f>
        <v>#N/A</v>
      </c>
      <c r="AL33" s="973" t="e">
        <f>VLOOKUP($AB33,sample!$1:$1048576,11,FALSE)</f>
        <v>#N/A</v>
      </c>
      <c r="AM33" s="973" t="e">
        <f>VLOOKUP($AB33,sample!$1:$1048576,12,FALSE)</f>
        <v>#N/A</v>
      </c>
      <c r="AN33" s="973" t="e">
        <f>VLOOKUP($AB33,sample!$1:$1048576,13,FALSE)</f>
        <v>#N/A</v>
      </c>
      <c r="AP33" s="988"/>
    </row>
    <row r="34" spans="1:42" ht="14">
      <c r="A34" s="808">
        <v>201900034</v>
      </c>
      <c r="B34" s="830">
        <v>43626</v>
      </c>
      <c r="C34" s="830" t="s">
        <v>133</v>
      </c>
      <c r="D34" s="1128" t="str">
        <f>IFERROR(VLOOKUP(G34,PosAggregate!$B$13:$B$85,1,FALSE),"")</f>
        <v/>
      </c>
      <c r="E34" s="769" t="s">
        <v>1209</v>
      </c>
      <c r="F34" s="1006" t="str">
        <f t="shared" si="3"/>
        <v/>
      </c>
      <c r="G34" s="558" t="s">
        <v>1159</v>
      </c>
      <c r="H34" s="558"/>
      <c r="I34" s="833" t="s">
        <v>1102</v>
      </c>
      <c r="J34" s="833" t="s">
        <v>123</v>
      </c>
      <c r="K34" s="744">
        <v>120463.3333</v>
      </c>
      <c r="L34" s="834"/>
      <c r="M34" s="856">
        <v>600</v>
      </c>
      <c r="N34" s="974">
        <f t="shared" si="7"/>
        <v>-72277999.980000004</v>
      </c>
      <c r="O34" s="835">
        <v>-108417</v>
      </c>
      <c r="P34" s="835"/>
      <c r="Q34" s="835"/>
      <c r="R34" s="978">
        <f t="shared" si="8"/>
        <v>-72386416.980000004</v>
      </c>
      <c r="S34" s="744">
        <v>1338.2774523245669</v>
      </c>
      <c r="T34" s="983">
        <f t="shared" si="4"/>
        <v>-54089.244987476952</v>
      </c>
      <c r="U34" s="839">
        <v>43629</v>
      </c>
      <c r="V34" s="855" t="s">
        <v>1184</v>
      </c>
      <c r="W34" s="840">
        <v>43626.698459375002</v>
      </c>
      <c r="X34" s="971">
        <f t="shared" si="2"/>
        <v>0.1500000000415064</v>
      </c>
      <c r="Y34" s="972" t="e">
        <f>VLOOKUP(V34,'bic broker'!$A$1:$B$14,2,FALSE)</f>
        <v>#N/A</v>
      </c>
      <c r="Z34" s="972" t="str">
        <f>VLOOKUP(AA34,'place of settlement'!A:C,2,FALSE)</f>
        <v>KSDCKRSEXXX</v>
      </c>
      <c r="AA34" s="972" t="str">
        <f t="shared" si="5"/>
        <v>KR</v>
      </c>
      <c r="AB34" s="972" t="str">
        <f t="shared" si="6"/>
        <v>SamsungKR</v>
      </c>
      <c r="AC34" s="972" t="e">
        <f>VLOOKUP(AB34,sample!$1:$1048576,2,FALSE)</f>
        <v>#N/A</v>
      </c>
      <c r="AD34" s="972" t="e">
        <f>VLOOKUP($AB34,sample!$1:$1048576,3,FALSE)</f>
        <v>#N/A</v>
      </c>
      <c r="AE34" s="973" t="e">
        <f>VLOOKUP($AB34,sample!$1:$1048576,4,FALSE)</f>
        <v>#N/A</v>
      </c>
      <c r="AF34" s="972" t="e">
        <f>VLOOKUP($AB34,sample!$1:$1048576,5,FALSE)</f>
        <v>#N/A</v>
      </c>
      <c r="AL34" s="973" t="e">
        <f>VLOOKUP($AB34,sample!$1:$1048576,11,FALSE)</f>
        <v>#N/A</v>
      </c>
      <c r="AM34" s="973" t="e">
        <f>VLOOKUP($AB34,sample!$1:$1048576,12,FALSE)</f>
        <v>#N/A</v>
      </c>
      <c r="AN34" s="973" t="e">
        <f>VLOOKUP($AB34,sample!$1:$1048576,13,FALSE)</f>
        <v>#N/A</v>
      </c>
      <c r="AP34" s="988"/>
    </row>
    <row r="35" spans="1:42" ht="14">
      <c r="A35" s="808">
        <v>201900035</v>
      </c>
      <c r="B35" s="830">
        <v>43626</v>
      </c>
      <c r="C35" s="830" t="s">
        <v>133</v>
      </c>
      <c r="D35" s="1128" t="str">
        <f>IFERROR(VLOOKUP(G35,PosAggregate!$B$13:$B$85,1,FALSE),"")</f>
        <v/>
      </c>
      <c r="E35" s="769" t="s">
        <v>1210</v>
      </c>
      <c r="F35" s="1006" t="str">
        <f t="shared" si="3"/>
        <v/>
      </c>
      <c r="G35" s="558" t="s">
        <v>1160</v>
      </c>
      <c r="H35" s="558"/>
      <c r="I35" s="833" t="s">
        <v>1108</v>
      </c>
      <c r="J35" s="833" t="s">
        <v>123</v>
      </c>
      <c r="K35" s="744">
        <v>4480.8780999999999</v>
      </c>
      <c r="L35" s="834"/>
      <c r="M35" s="843">
        <v>894</v>
      </c>
      <c r="N35" s="974">
        <f t="shared" ref="N35:N81" si="9">-K35*M35</f>
        <v>-4005905.0214</v>
      </c>
      <c r="O35" s="835">
        <v>-6009</v>
      </c>
      <c r="P35" s="835"/>
      <c r="Q35" s="835"/>
      <c r="R35" s="978">
        <f t="shared" ref="R35:R81" si="10">SUM(N35:Q35)</f>
        <v>-4011914.0214</v>
      </c>
      <c r="S35" s="744">
        <v>1338.2774523245673</v>
      </c>
      <c r="T35" s="983">
        <f t="shared" ref="T35:T81" si="11">+R35/S35</f>
        <v>-2997.8193344222959</v>
      </c>
      <c r="U35" s="839">
        <v>43629</v>
      </c>
      <c r="V35" s="855" t="s">
        <v>1184</v>
      </c>
      <c r="W35" s="840">
        <v>43626.699320023145</v>
      </c>
      <c r="X35" s="971">
        <f t="shared" ref="X35:X81" si="12">+O35/N35*100</f>
        <v>0.15000355644727567</v>
      </c>
      <c r="Y35" s="972" t="e">
        <f>VLOOKUP(V35,'bic broker'!$A$1:$B$14,2,FALSE)</f>
        <v>#N/A</v>
      </c>
      <c r="Z35" s="972" t="str">
        <f>VLOOKUP(AA35,'place of settlement'!A:C,2,FALSE)</f>
        <v>KSDCKRSEXXX</v>
      </c>
      <c r="AA35" s="972" t="str">
        <f t="shared" ref="AA35:AA81" si="13">LEFT(E35,2)</f>
        <v>KR</v>
      </c>
      <c r="AB35" s="972" t="str">
        <f t="shared" ref="AB35:AB81" si="14">CONCATENATE(V35,AA35)</f>
        <v>SamsungKR</v>
      </c>
      <c r="AC35" s="972" t="e">
        <f>VLOOKUP(AB35,sample!$1:$1048576,2,FALSE)</f>
        <v>#N/A</v>
      </c>
      <c r="AD35" s="972" t="e">
        <f>VLOOKUP($AB35,sample!$1:$1048576,3,FALSE)</f>
        <v>#N/A</v>
      </c>
      <c r="AE35" s="973" t="e">
        <f>VLOOKUP($AB35,sample!$1:$1048576,4,FALSE)</f>
        <v>#N/A</v>
      </c>
      <c r="AF35" s="972" t="e">
        <f>VLOOKUP($AB35,sample!$1:$1048576,5,FALSE)</f>
        <v>#N/A</v>
      </c>
      <c r="AL35" s="973" t="e">
        <f>VLOOKUP($AB35,sample!$1:$1048576,11,FALSE)</f>
        <v>#N/A</v>
      </c>
      <c r="AM35" s="973" t="e">
        <f>VLOOKUP($AB35,sample!$1:$1048576,12,FALSE)</f>
        <v>#N/A</v>
      </c>
      <c r="AN35" s="973" t="e">
        <f>VLOOKUP($AB35,sample!$1:$1048576,13,FALSE)</f>
        <v>#N/A</v>
      </c>
      <c r="AP35" s="988"/>
    </row>
    <row r="36" spans="1:42" ht="14">
      <c r="A36" s="808">
        <v>201900036</v>
      </c>
      <c r="B36" s="830">
        <v>43626</v>
      </c>
      <c r="C36" s="830" t="s">
        <v>133</v>
      </c>
      <c r="D36" s="1128" t="str">
        <f>IFERROR(VLOOKUP(G36,PosAggregate!$B$13:$B$85,1,FALSE),"")</f>
        <v/>
      </c>
      <c r="E36" s="769" t="s">
        <v>1211</v>
      </c>
      <c r="F36" s="1006" t="str">
        <f t="shared" si="3"/>
        <v/>
      </c>
      <c r="G36" s="558" t="s">
        <v>1161</v>
      </c>
      <c r="H36" s="558"/>
      <c r="I36" s="833" t="s">
        <v>1094</v>
      </c>
      <c r="J36" s="833" t="s">
        <v>123</v>
      </c>
      <c r="K36" s="744">
        <v>27107.1</v>
      </c>
      <c r="L36" s="834"/>
      <c r="M36" s="835">
        <v>4000</v>
      </c>
      <c r="N36" s="974">
        <f t="shared" si="9"/>
        <v>-108428400</v>
      </c>
      <c r="O36" s="835">
        <v>-162643</v>
      </c>
      <c r="P36" s="835"/>
      <c r="Q36" s="835"/>
      <c r="R36" s="978">
        <f t="shared" si="10"/>
        <v>-108591043</v>
      </c>
      <c r="S36" s="744">
        <v>1338.2774523245657</v>
      </c>
      <c r="T36" s="983">
        <f t="shared" si="11"/>
        <v>-81142.398993108014</v>
      </c>
      <c r="U36" s="839">
        <v>43629</v>
      </c>
      <c r="V36" s="855" t="s">
        <v>1184</v>
      </c>
      <c r="W36" s="840">
        <v>43626.700181365741</v>
      </c>
      <c r="X36" s="971">
        <f t="shared" si="12"/>
        <v>0.15000036890703913</v>
      </c>
      <c r="Y36" s="972" t="e">
        <f>VLOOKUP(V36,'bic broker'!$A$1:$B$14,2,FALSE)</f>
        <v>#N/A</v>
      </c>
      <c r="Z36" s="972" t="str">
        <f>VLOOKUP(AA36,'place of settlement'!A:C,2,FALSE)</f>
        <v>KSDCKRSEXXX</v>
      </c>
      <c r="AA36" s="972" t="str">
        <f t="shared" si="13"/>
        <v>KR</v>
      </c>
      <c r="AB36" s="972" t="str">
        <f t="shared" si="14"/>
        <v>SamsungKR</v>
      </c>
      <c r="AC36" s="972" t="e">
        <f>VLOOKUP(AB36,sample!$1:$1048576,2,FALSE)</f>
        <v>#N/A</v>
      </c>
      <c r="AD36" s="972" t="e">
        <f>VLOOKUP($AB36,sample!$1:$1048576,3,FALSE)</f>
        <v>#N/A</v>
      </c>
      <c r="AE36" s="973" t="e">
        <f>VLOOKUP($AB36,sample!$1:$1048576,4,FALSE)</f>
        <v>#N/A</v>
      </c>
      <c r="AF36" s="972" t="e">
        <f>VLOOKUP($AB36,sample!$1:$1048576,5,FALSE)</f>
        <v>#N/A</v>
      </c>
      <c r="AL36" s="973" t="e">
        <f>VLOOKUP($AB36,sample!$1:$1048576,11,FALSE)</f>
        <v>#N/A</v>
      </c>
      <c r="AM36" s="973" t="e">
        <f>VLOOKUP($AB36,sample!$1:$1048576,12,FALSE)</f>
        <v>#N/A</v>
      </c>
      <c r="AN36" s="973" t="e">
        <f>VLOOKUP($AB36,sample!$1:$1048576,13,FALSE)</f>
        <v>#N/A</v>
      </c>
      <c r="AP36" s="988"/>
    </row>
    <row r="37" spans="1:42" ht="14">
      <c r="A37" s="808">
        <v>201900037</v>
      </c>
      <c r="B37" s="844">
        <v>43626</v>
      </c>
      <c r="C37" s="844" t="s">
        <v>133</v>
      </c>
      <c r="D37" s="1129" t="str">
        <f>IFERROR(VLOOKUP(G37,PosAggregate!$B$13:$B$85,1,FALSE),"")</f>
        <v/>
      </c>
      <c r="E37" s="845" t="s">
        <v>1212</v>
      </c>
      <c r="F37" s="1006" t="str">
        <f t="shared" si="3"/>
        <v/>
      </c>
      <c r="G37" s="778" t="s">
        <v>1162</v>
      </c>
      <c r="H37" s="778"/>
      <c r="I37" s="846" t="s">
        <v>1101</v>
      </c>
      <c r="J37" s="846" t="s">
        <v>123</v>
      </c>
      <c r="K37" s="847">
        <v>48103.4833</v>
      </c>
      <c r="L37" s="848"/>
      <c r="M37" s="849">
        <v>3000</v>
      </c>
      <c r="N37" s="975">
        <f t="shared" si="9"/>
        <v>-144310449.90000001</v>
      </c>
      <c r="O37" s="849">
        <v>-216466</v>
      </c>
      <c r="P37" s="849"/>
      <c r="Q37" s="849"/>
      <c r="R37" s="979">
        <f t="shared" si="10"/>
        <v>-144526915.90000001</v>
      </c>
      <c r="S37" s="847">
        <v>1338.2774523245669</v>
      </c>
      <c r="T37" s="983">
        <f t="shared" si="11"/>
        <v>-107994.7328178914</v>
      </c>
      <c r="U37" s="850">
        <v>43629</v>
      </c>
      <c r="V37" s="857" t="s">
        <v>1184</v>
      </c>
      <c r="W37" s="858">
        <v>43626.700741319444</v>
      </c>
      <c r="X37" s="971">
        <f t="shared" si="12"/>
        <v>0.15000022531285864</v>
      </c>
      <c r="Y37" s="972" t="e">
        <f>VLOOKUP(V37,'bic broker'!$A$1:$B$14,2,FALSE)</f>
        <v>#N/A</v>
      </c>
      <c r="Z37" s="972" t="str">
        <f>VLOOKUP(AA37,'place of settlement'!A:C,2,FALSE)</f>
        <v>KSDCKRSEXXX</v>
      </c>
      <c r="AA37" s="972" t="str">
        <f t="shared" si="13"/>
        <v>KR</v>
      </c>
      <c r="AB37" s="972" t="str">
        <f t="shared" si="14"/>
        <v>SamsungKR</v>
      </c>
      <c r="AC37" s="972" t="e">
        <f>VLOOKUP(AB37,sample!$1:$1048576,2,FALSE)</f>
        <v>#N/A</v>
      </c>
      <c r="AD37" s="972" t="e">
        <f>VLOOKUP($AB37,sample!$1:$1048576,3,FALSE)</f>
        <v>#N/A</v>
      </c>
      <c r="AE37" s="973" t="e">
        <f>VLOOKUP($AB37,sample!$1:$1048576,4,FALSE)</f>
        <v>#N/A</v>
      </c>
      <c r="AF37" s="972" t="e">
        <f>VLOOKUP($AB37,sample!$1:$1048576,5,FALSE)</f>
        <v>#N/A</v>
      </c>
      <c r="AL37" s="973" t="e">
        <f>VLOOKUP($AB37,sample!$1:$1048576,11,FALSE)</f>
        <v>#N/A</v>
      </c>
      <c r="AM37" s="973" t="e">
        <f>VLOOKUP($AB37,sample!$1:$1048576,12,FALSE)</f>
        <v>#N/A</v>
      </c>
      <c r="AN37" s="973" t="e">
        <f>VLOOKUP($AB37,sample!$1:$1048576,13,FALSE)</f>
        <v>#N/A</v>
      </c>
      <c r="AP37" s="988"/>
    </row>
    <row r="38" spans="1:42" ht="14">
      <c r="A38" s="808">
        <v>201900038</v>
      </c>
      <c r="B38" s="830">
        <v>43627</v>
      </c>
      <c r="C38" s="830" t="s">
        <v>133</v>
      </c>
      <c r="D38" s="1128" t="str">
        <f>IFERROR(VLOOKUP(G38,PosAggregate!$B$13:$B$85,1,FALSE),"")</f>
        <v/>
      </c>
      <c r="E38" s="853" t="s">
        <v>1213</v>
      </c>
      <c r="F38" s="1006" t="str">
        <f t="shared" si="3"/>
        <v/>
      </c>
      <c r="G38" s="558" t="s">
        <v>1164</v>
      </c>
      <c r="H38" s="558"/>
      <c r="I38" s="709" t="s">
        <v>1179</v>
      </c>
      <c r="J38" s="709" t="s">
        <v>2</v>
      </c>
      <c r="K38" s="744">
        <v>28.007300000000001</v>
      </c>
      <c r="L38" s="834"/>
      <c r="M38" s="835">
        <v>900</v>
      </c>
      <c r="N38" s="976">
        <f t="shared" si="9"/>
        <v>-25206.57</v>
      </c>
      <c r="O38" s="835">
        <v>-20.170000000000002</v>
      </c>
      <c r="P38" s="835"/>
      <c r="Q38" s="835"/>
      <c r="R38" s="980">
        <f t="shared" si="10"/>
        <v>-25226.739999999998</v>
      </c>
      <c r="S38" s="744">
        <v>1</v>
      </c>
      <c r="T38" s="983">
        <f t="shared" si="11"/>
        <v>-25226.739999999998</v>
      </c>
      <c r="U38" s="854">
        <v>43629</v>
      </c>
      <c r="V38" s="855" t="s">
        <v>1183</v>
      </c>
      <c r="W38" s="840">
        <v>43627.422504745373</v>
      </c>
      <c r="X38" s="971">
        <f t="shared" si="12"/>
        <v>8.0018820490054793E-2</v>
      </c>
      <c r="Y38" s="972" t="str">
        <f>VLOOKUP(V38,'bic broker'!$A$1:$B$14,2,FALSE)</f>
        <v>EMSIITM1XXX</v>
      </c>
      <c r="Z38" s="972" t="str">
        <f>VLOOKUP(AA38,'place of settlement'!A:C,2,FALSE)</f>
        <v>CIKBBEBBXXX</v>
      </c>
      <c r="AA38" s="972" t="str">
        <f t="shared" si="13"/>
        <v>BE</v>
      </c>
      <c r="AB38" s="972" t="str">
        <f t="shared" si="14"/>
        <v>EquitaBE</v>
      </c>
      <c r="AC38" s="972" t="str">
        <f>VLOOKUP(AB38,sample!$1:$1048576,2,FALSE)</f>
        <v>EMSIITM1XXX</v>
      </c>
      <c r="AD38" s="972" t="str">
        <f>VLOOKUP($AB38,sample!$1:$1048576,3,FALSE)</f>
        <v>CIKBBEBBXXX</v>
      </c>
      <c r="AE38" s="973" t="str">
        <f>VLOOKUP($AB38,sample!$1:$1048576,4,FALSE)</f>
        <v>CIKBBCITITMMD00000L10</v>
      </c>
      <c r="AF38" s="972" t="str">
        <f>VLOOKUP($AB38,sample!$1:$1048576,5,FALSE)</f>
        <v>N</v>
      </c>
      <c r="AL38" s="973" t="str">
        <f>VLOOKUP($AB38,sample!$1:$1048576,11,FALSE)</f>
        <v xml:space="preserve">        </v>
      </c>
      <c r="AM38" s="973" t="str">
        <f>VLOOKUP($AB38,sample!$1:$1048576,12,FALSE)</f>
        <v xml:space="preserve">        </v>
      </c>
      <c r="AN38" s="973" t="str">
        <f>VLOOKUP($AB38,sample!$1:$1048576,13,FALSE)</f>
        <v>BCITITMMD00</v>
      </c>
      <c r="AP38" s="988"/>
    </row>
    <row r="39" spans="1:42" ht="14">
      <c r="A39" s="808">
        <v>201900039</v>
      </c>
      <c r="B39" s="830">
        <v>43627</v>
      </c>
      <c r="C39" s="830" t="s">
        <v>133</v>
      </c>
      <c r="D39" s="1130" t="str">
        <f>IFERROR(VLOOKUP(G39,PosAggregate!$B$13:$B$85,1,FALSE),"")</f>
        <v/>
      </c>
      <c r="E39" s="769" t="s">
        <v>1214</v>
      </c>
      <c r="F39" s="1006" t="str">
        <f t="shared" si="3"/>
        <v/>
      </c>
      <c r="G39" s="558" t="s">
        <v>1165</v>
      </c>
      <c r="H39" s="558"/>
      <c r="I39" s="833" t="s">
        <v>1180</v>
      </c>
      <c r="J39" s="833" t="s">
        <v>2</v>
      </c>
      <c r="K39" s="744">
        <v>42.110100000000003</v>
      </c>
      <c r="L39" s="834"/>
      <c r="M39" s="835">
        <v>2000</v>
      </c>
      <c r="N39" s="974">
        <f t="shared" si="9"/>
        <v>-84220.200000000012</v>
      </c>
      <c r="O39" s="835">
        <v>-67.38</v>
      </c>
      <c r="P39" s="835"/>
      <c r="Q39" s="835"/>
      <c r="R39" s="978">
        <f t="shared" si="10"/>
        <v>-84287.580000000016</v>
      </c>
      <c r="S39" s="744">
        <v>1</v>
      </c>
      <c r="T39" s="983">
        <f t="shared" si="11"/>
        <v>-84287.580000000016</v>
      </c>
      <c r="U39" s="839">
        <v>43629</v>
      </c>
      <c r="V39" s="831" t="s">
        <v>1183</v>
      </c>
      <c r="W39" s="840">
        <v>43627.422937615738</v>
      </c>
      <c r="X39" s="971">
        <f t="shared" si="12"/>
        <v>8.0004559476230142E-2</v>
      </c>
      <c r="Y39" s="972" t="str">
        <f>VLOOKUP(V39,'bic broker'!$A$1:$B$14,2,FALSE)</f>
        <v>EMSIITM1XXX</v>
      </c>
      <c r="Z39" s="972" t="str">
        <f>VLOOKUP(AA39,'place of settlement'!A:C,2,FALSE)</f>
        <v>SICVFRPPXXX</v>
      </c>
      <c r="AA39" s="972" t="str">
        <f t="shared" si="13"/>
        <v>FR</v>
      </c>
      <c r="AB39" s="972" t="str">
        <f t="shared" si="14"/>
        <v>EquitaFR</v>
      </c>
      <c r="AC39" s="972" t="str">
        <f>VLOOKUP(AB39,sample!$1:$1048576,2,FALSE)</f>
        <v>EMSIITM1XXX</v>
      </c>
      <c r="AD39" s="972" t="str">
        <f>VLOOKUP($AB39,sample!$1:$1048576,3,FALSE)</f>
        <v>SICVFRPPXXX</v>
      </c>
      <c r="AE39" s="973" t="str">
        <f>VLOOKUP($AB39,sample!$1:$1048576,4,FALSE)</f>
        <v>SICVBCITITMMD00000L10</v>
      </c>
      <c r="AF39" s="972" t="str">
        <f>VLOOKUP($AB39,sample!$1:$1048576,5,FALSE)</f>
        <v>N</v>
      </c>
      <c r="AL39" s="973" t="str">
        <f>VLOOKUP($AB39,sample!$1:$1048576,11,FALSE)</f>
        <v xml:space="preserve">        </v>
      </c>
      <c r="AM39" s="973" t="str">
        <f>VLOOKUP($AB39,sample!$1:$1048576,12,FALSE)</f>
        <v xml:space="preserve">        </v>
      </c>
      <c r="AN39" s="973" t="str">
        <f>VLOOKUP($AB39,sample!$1:$1048576,13,FALSE)</f>
        <v>BCITITMMD00</v>
      </c>
      <c r="AP39" s="988"/>
    </row>
    <row r="40" spans="1:42" ht="14">
      <c r="A40" s="808">
        <v>201900040</v>
      </c>
      <c r="B40" s="830">
        <v>43627</v>
      </c>
      <c r="C40" s="830" t="s">
        <v>133</v>
      </c>
      <c r="D40" s="1130" t="str">
        <f>IFERROR(VLOOKUP(G40,PosAggregate!$B$13:$B$85,1,FALSE),"")</f>
        <v/>
      </c>
      <c r="E40" s="769" t="s">
        <v>1215</v>
      </c>
      <c r="F40" s="1006" t="str">
        <f t="shared" si="3"/>
        <v/>
      </c>
      <c r="G40" s="558" t="s">
        <v>1166</v>
      </c>
      <c r="H40" s="558"/>
      <c r="I40" s="833" t="s">
        <v>1064</v>
      </c>
      <c r="J40" s="833" t="s">
        <v>2</v>
      </c>
      <c r="K40" s="744">
        <v>55.604599999999998</v>
      </c>
      <c r="L40" s="834"/>
      <c r="M40" s="835">
        <v>1400</v>
      </c>
      <c r="N40" s="974">
        <f t="shared" si="9"/>
        <v>-77846.44</v>
      </c>
      <c r="O40" s="835">
        <v>-62.28</v>
      </c>
      <c r="P40" s="835"/>
      <c r="Q40" s="835"/>
      <c r="R40" s="978">
        <f t="shared" si="10"/>
        <v>-77908.72</v>
      </c>
      <c r="S40" s="744">
        <v>1</v>
      </c>
      <c r="T40" s="983">
        <f t="shared" si="11"/>
        <v>-77908.72</v>
      </c>
      <c r="U40" s="839">
        <v>43629</v>
      </c>
      <c r="V40" s="831" t="s">
        <v>1183</v>
      </c>
      <c r="W40" s="840">
        <v>43627.423250694446</v>
      </c>
      <c r="X40" s="971">
        <f t="shared" si="12"/>
        <v>8.0003658484575538E-2</v>
      </c>
      <c r="Y40" s="972" t="str">
        <f>VLOOKUP(V40,'bic broker'!$A$1:$B$14,2,FALSE)</f>
        <v>EMSIITM1XXX</v>
      </c>
      <c r="Z40" s="972" t="str">
        <f>VLOOKUP(AA40,'place of settlement'!A:C,2,FALSE)</f>
        <v>SICVFRPPXXX</v>
      </c>
      <c r="AA40" s="972" t="str">
        <f t="shared" si="13"/>
        <v>FR</v>
      </c>
      <c r="AB40" s="972" t="str">
        <f t="shared" si="14"/>
        <v>EquitaFR</v>
      </c>
      <c r="AC40" s="972" t="str">
        <f>VLOOKUP(AB40,sample!$1:$1048576,2,FALSE)</f>
        <v>EMSIITM1XXX</v>
      </c>
      <c r="AD40" s="972" t="str">
        <f>VLOOKUP($AB40,sample!$1:$1048576,3,FALSE)</f>
        <v>SICVFRPPXXX</v>
      </c>
      <c r="AE40" s="973" t="str">
        <f>VLOOKUP($AB40,sample!$1:$1048576,4,FALSE)</f>
        <v>SICVBCITITMMD00000L10</v>
      </c>
      <c r="AF40" s="972" t="str">
        <f>VLOOKUP($AB40,sample!$1:$1048576,5,FALSE)</f>
        <v>N</v>
      </c>
      <c r="AL40" s="973" t="str">
        <f>VLOOKUP($AB40,sample!$1:$1048576,11,FALSE)</f>
        <v xml:space="preserve">        </v>
      </c>
      <c r="AM40" s="973" t="str">
        <f>VLOOKUP($AB40,sample!$1:$1048576,12,FALSE)</f>
        <v xml:space="preserve">        </v>
      </c>
      <c r="AN40" s="973" t="str">
        <f>VLOOKUP($AB40,sample!$1:$1048576,13,FALSE)</f>
        <v>BCITITMMD00</v>
      </c>
      <c r="AP40" s="988"/>
    </row>
    <row r="41" spans="1:42" ht="14">
      <c r="A41" s="808">
        <v>201900041</v>
      </c>
      <c r="B41" s="830">
        <v>43627</v>
      </c>
      <c r="C41" s="830" t="s">
        <v>133</v>
      </c>
      <c r="D41" s="1130" t="str">
        <f>IFERROR(VLOOKUP(G41,PosAggregate!$B$13:$B$85,1,FALSE),"")</f>
        <v/>
      </c>
      <c r="E41" s="769" t="s">
        <v>1216</v>
      </c>
      <c r="F41" s="1006" t="str">
        <f t="shared" si="3"/>
        <v/>
      </c>
      <c r="G41" s="558" t="s">
        <v>1167</v>
      </c>
      <c r="H41" s="558"/>
      <c r="I41" s="832" t="s">
        <v>1061</v>
      </c>
      <c r="J41" s="833" t="s">
        <v>2</v>
      </c>
      <c r="K41" s="744">
        <v>42.377899999999997</v>
      </c>
      <c r="L41" s="834"/>
      <c r="M41" s="835">
        <v>700</v>
      </c>
      <c r="N41" s="974">
        <f t="shared" si="9"/>
        <v>-29664.53</v>
      </c>
      <c r="O41" s="835">
        <v>-23.73</v>
      </c>
      <c r="P41" s="835"/>
      <c r="Q41" s="835"/>
      <c r="R41" s="978">
        <f t="shared" si="10"/>
        <v>-29688.26</v>
      </c>
      <c r="S41" s="744">
        <v>1</v>
      </c>
      <c r="T41" s="983">
        <f t="shared" si="11"/>
        <v>-29688.26</v>
      </c>
      <c r="U41" s="839">
        <v>43629</v>
      </c>
      <c r="V41" s="831" t="s">
        <v>1183</v>
      </c>
      <c r="W41" s="840">
        <v>43627.423665046299</v>
      </c>
      <c r="X41" s="971">
        <f t="shared" si="12"/>
        <v>7.9994525448405893E-2</v>
      </c>
      <c r="Y41" s="972" t="str">
        <f>VLOOKUP(V41,'bic broker'!$A$1:$B$14,2,FALSE)</f>
        <v>EMSIITM1XXX</v>
      </c>
      <c r="Z41" s="972" t="str">
        <f>VLOOKUP(AA41,'place of settlement'!A:C,2,FALSE)</f>
        <v>DAKVDEFFXXX</v>
      </c>
      <c r="AA41" s="972" t="str">
        <f t="shared" si="13"/>
        <v>DE</v>
      </c>
      <c r="AB41" s="972" t="str">
        <f t="shared" si="14"/>
        <v>EquitaDE</v>
      </c>
      <c r="AC41" s="972" t="str">
        <f>VLOOKUP(AB41,sample!$1:$1048576,2,FALSE)</f>
        <v>EMSIITM1XXX</v>
      </c>
      <c r="AD41" s="972" t="str">
        <f>VLOOKUP($AB41,sample!$1:$1048576,3,FALSE)</f>
        <v>DAKVDEFFXXX</v>
      </c>
      <c r="AE41" s="973" t="str">
        <f>VLOOKUP($AB41,sample!$1:$1048576,4,FALSE)</f>
        <v>DAKV8135000</v>
      </c>
      <c r="AF41" s="972" t="str">
        <f>VLOOKUP($AB41,sample!$1:$1048576,5,FALSE)</f>
        <v>N</v>
      </c>
      <c r="AL41" s="973" t="str">
        <f>VLOOKUP($AB41,sample!$1:$1048576,11,FALSE)</f>
        <v xml:space="preserve">        </v>
      </c>
      <c r="AM41" s="973" t="str">
        <f>VLOOKUP($AB41,sample!$1:$1048576,12,FALSE)</f>
        <v xml:space="preserve">        </v>
      </c>
      <c r="AN41" s="973" t="str">
        <f>VLOOKUP($AB41,sample!$1:$1048576,13,FALSE)</f>
        <v>BCITITMMD03</v>
      </c>
      <c r="AP41" s="988"/>
    </row>
    <row r="42" spans="1:42" ht="14">
      <c r="A42" s="808">
        <v>201900042</v>
      </c>
      <c r="B42" s="830">
        <v>43627</v>
      </c>
      <c r="C42" s="830" t="s">
        <v>133</v>
      </c>
      <c r="D42" s="1130" t="str">
        <f>IFERROR(VLOOKUP(G42,PosAggregate!$B$13:$B$85,1,FALSE),"")</f>
        <v/>
      </c>
      <c r="E42" s="769" t="s">
        <v>1217</v>
      </c>
      <c r="F42" s="1006" t="str">
        <f t="shared" si="3"/>
        <v/>
      </c>
      <c r="G42" s="558" t="s">
        <v>1168</v>
      </c>
      <c r="H42" s="558"/>
      <c r="I42" s="832" t="s">
        <v>1062</v>
      </c>
      <c r="J42" s="833" t="s">
        <v>2</v>
      </c>
      <c r="K42" s="744">
        <v>25.504000000000001</v>
      </c>
      <c r="L42" s="834"/>
      <c r="M42" s="835">
        <v>3300</v>
      </c>
      <c r="N42" s="974">
        <f t="shared" si="9"/>
        <v>-84163.200000000012</v>
      </c>
      <c r="O42" s="835">
        <v>-67.33</v>
      </c>
      <c r="P42" s="835"/>
      <c r="Q42" s="835"/>
      <c r="R42" s="978">
        <f t="shared" si="10"/>
        <v>-84230.530000000013</v>
      </c>
      <c r="S42" s="744">
        <v>1</v>
      </c>
      <c r="T42" s="983">
        <f t="shared" si="11"/>
        <v>-84230.530000000013</v>
      </c>
      <c r="U42" s="839">
        <v>43629</v>
      </c>
      <c r="V42" s="831" t="s">
        <v>1183</v>
      </c>
      <c r="W42" s="840">
        <v>43627.424064814812</v>
      </c>
      <c r="X42" s="971">
        <f t="shared" si="12"/>
        <v>7.9999334626059834E-2</v>
      </c>
      <c r="Y42" s="972" t="str">
        <f>VLOOKUP(V42,'bic broker'!$A$1:$B$14,2,FALSE)</f>
        <v>EMSIITM1XXX</v>
      </c>
      <c r="Z42" s="972" t="str">
        <f>VLOOKUP(AA42,'place of settlement'!A:C,2,FALSE)</f>
        <v>SICVFRPPXXX</v>
      </c>
      <c r="AA42" s="972" t="str">
        <f t="shared" si="13"/>
        <v>FR</v>
      </c>
      <c r="AB42" s="972" t="str">
        <f t="shared" si="14"/>
        <v>EquitaFR</v>
      </c>
      <c r="AC42" s="972" t="str">
        <f>VLOOKUP(AB42,sample!$1:$1048576,2,FALSE)</f>
        <v>EMSIITM1XXX</v>
      </c>
      <c r="AD42" s="972" t="str">
        <f>VLOOKUP($AB42,sample!$1:$1048576,3,FALSE)</f>
        <v>SICVFRPPXXX</v>
      </c>
      <c r="AE42" s="973" t="str">
        <f>VLOOKUP($AB42,sample!$1:$1048576,4,FALSE)</f>
        <v>SICVBCITITMMD00000L10</v>
      </c>
      <c r="AF42" s="972" t="str">
        <f>VLOOKUP($AB42,sample!$1:$1048576,5,FALSE)</f>
        <v>N</v>
      </c>
      <c r="AL42" s="973" t="str">
        <f>VLOOKUP($AB42,sample!$1:$1048576,11,FALSE)</f>
        <v xml:space="preserve">        </v>
      </c>
      <c r="AM42" s="973" t="str">
        <f>VLOOKUP($AB42,sample!$1:$1048576,12,FALSE)</f>
        <v xml:space="preserve">        </v>
      </c>
      <c r="AN42" s="973" t="str">
        <f>VLOOKUP($AB42,sample!$1:$1048576,13,FALSE)</f>
        <v>BCITITMMD00</v>
      </c>
      <c r="AP42" s="988"/>
    </row>
    <row r="43" spans="1:42" ht="14">
      <c r="A43" s="808">
        <v>201900043</v>
      </c>
      <c r="B43" s="830">
        <v>43627</v>
      </c>
      <c r="C43" s="830" t="s">
        <v>133</v>
      </c>
      <c r="D43" s="1130" t="str">
        <f>IFERROR(VLOOKUP(G43,PosAggregate!$B$13:$B$85,1,FALSE),"")</f>
        <v/>
      </c>
      <c r="E43" s="769" t="s">
        <v>1218</v>
      </c>
      <c r="F43" s="1006" t="str">
        <f t="shared" si="3"/>
        <v/>
      </c>
      <c r="G43" s="558" t="s">
        <v>1169</v>
      </c>
      <c r="H43" s="558"/>
      <c r="I43" s="832" t="s">
        <v>1060</v>
      </c>
      <c r="J43" s="833" t="s">
        <v>2</v>
      </c>
      <c r="K43" s="744">
        <v>128.29259999999999</v>
      </c>
      <c r="L43" s="834"/>
      <c r="M43" s="835">
        <v>500</v>
      </c>
      <c r="N43" s="974">
        <f t="shared" si="9"/>
        <v>-64146.299999999996</v>
      </c>
      <c r="O43" s="835">
        <v>-51.32</v>
      </c>
      <c r="P43" s="835"/>
      <c r="Q43" s="835"/>
      <c r="R43" s="978">
        <f t="shared" si="10"/>
        <v>-64197.619999999995</v>
      </c>
      <c r="S43" s="744">
        <v>1</v>
      </c>
      <c r="T43" s="983">
        <f t="shared" si="11"/>
        <v>-64197.619999999995</v>
      </c>
      <c r="U43" s="839">
        <v>43629</v>
      </c>
      <c r="V43" s="831" t="s">
        <v>1183</v>
      </c>
      <c r="W43" s="840">
        <v>43627.424471064813</v>
      </c>
      <c r="X43" s="971">
        <f t="shared" si="12"/>
        <v>8.0004614451651926E-2</v>
      </c>
      <c r="Y43" s="972" t="str">
        <f>VLOOKUP(V43,'bic broker'!$A$1:$B$14,2,FALSE)</f>
        <v>EMSIITM1XXX</v>
      </c>
      <c r="Z43" s="972" t="str">
        <f>VLOOKUP(AA43,'place of settlement'!A:C,2,FALSE)</f>
        <v>DAKVDEFFXXX</v>
      </c>
      <c r="AA43" s="972" t="str">
        <f t="shared" si="13"/>
        <v>DE</v>
      </c>
      <c r="AB43" s="972" t="str">
        <f t="shared" si="14"/>
        <v>EquitaDE</v>
      </c>
      <c r="AC43" s="972" t="str">
        <f>VLOOKUP(AB43,sample!$1:$1048576,2,FALSE)</f>
        <v>EMSIITM1XXX</v>
      </c>
      <c r="AD43" s="972" t="str">
        <f>VLOOKUP($AB43,sample!$1:$1048576,3,FALSE)</f>
        <v>DAKVDEFFXXX</v>
      </c>
      <c r="AE43" s="973" t="str">
        <f>VLOOKUP($AB43,sample!$1:$1048576,4,FALSE)</f>
        <v>DAKV8135000</v>
      </c>
      <c r="AF43" s="972" t="str">
        <f>VLOOKUP($AB43,sample!$1:$1048576,5,FALSE)</f>
        <v>N</v>
      </c>
      <c r="AL43" s="973" t="str">
        <f>VLOOKUP($AB43,sample!$1:$1048576,11,FALSE)</f>
        <v xml:space="preserve">        </v>
      </c>
      <c r="AM43" s="973" t="str">
        <f>VLOOKUP($AB43,sample!$1:$1048576,12,FALSE)</f>
        <v xml:space="preserve">        </v>
      </c>
      <c r="AN43" s="973" t="str">
        <f>VLOOKUP($AB43,sample!$1:$1048576,13,FALSE)</f>
        <v>BCITITMMD03</v>
      </c>
      <c r="AP43" s="988"/>
    </row>
    <row r="44" spans="1:42" ht="14">
      <c r="A44" s="808">
        <v>201900044</v>
      </c>
      <c r="B44" s="830">
        <v>43627</v>
      </c>
      <c r="C44" s="830" t="s">
        <v>133</v>
      </c>
      <c r="D44" s="1130" t="str">
        <f>IFERROR(VLOOKUP(G44,PosAggregate!$B$13:$B$85,1,FALSE),"")</f>
        <v/>
      </c>
      <c r="E44" s="769" t="s">
        <v>1219</v>
      </c>
      <c r="F44" s="1006" t="str">
        <f t="shared" si="3"/>
        <v/>
      </c>
      <c r="G44" s="558" t="s">
        <v>1170</v>
      </c>
      <c r="H44" s="558"/>
      <c r="I44" s="832" t="s">
        <v>1181</v>
      </c>
      <c r="J44" s="833" t="s">
        <v>2</v>
      </c>
      <c r="K44" s="744">
        <v>15.2706</v>
      </c>
      <c r="L44" s="834"/>
      <c r="M44" s="835">
        <v>2000</v>
      </c>
      <c r="N44" s="974">
        <f t="shared" si="9"/>
        <v>-30541.200000000001</v>
      </c>
      <c r="O44" s="835">
        <v>-24.43</v>
      </c>
      <c r="P44" s="835"/>
      <c r="Q44" s="835"/>
      <c r="R44" s="978">
        <f t="shared" si="10"/>
        <v>-30565.63</v>
      </c>
      <c r="S44" s="744">
        <v>1</v>
      </c>
      <c r="T44" s="983">
        <f t="shared" si="11"/>
        <v>-30565.63</v>
      </c>
      <c r="U44" s="839">
        <v>43629</v>
      </c>
      <c r="V44" s="831" t="s">
        <v>1183</v>
      </c>
      <c r="W44" s="840">
        <v>43627.42485289352</v>
      </c>
      <c r="X44" s="971">
        <f t="shared" si="12"/>
        <v>7.999030817387659E-2</v>
      </c>
      <c r="Y44" s="972" t="str">
        <f>VLOOKUP(V44,'bic broker'!$A$1:$B$14,2,FALSE)</f>
        <v>EMSIITM1XXX</v>
      </c>
      <c r="Z44" s="972" t="str">
        <f>VLOOKUP(AA44,'place of settlement'!A:C,2,FALSE)</f>
        <v>DAKVDEFFXXX</v>
      </c>
      <c r="AA44" s="972" t="str">
        <f t="shared" si="13"/>
        <v>DE</v>
      </c>
      <c r="AB44" s="972" t="str">
        <f t="shared" si="14"/>
        <v>EquitaDE</v>
      </c>
      <c r="AC44" s="972" t="str">
        <f>VLOOKUP(AB44,sample!$1:$1048576,2,FALSE)</f>
        <v>EMSIITM1XXX</v>
      </c>
      <c r="AD44" s="972" t="str">
        <f>VLOOKUP($AB44,sample!$1:$1048576,3,FALSE)</f>
        <v>DAKVDEFFXXX</v>
      </c>
      <c r="AE44" s="973" t="str">
        <f>VLOOKUP($AB44,sample!$1:$1048576,4,FALSE)</f>
        <v>DAKV8135000</v>
      </c>
      <c r="AF44" s="972" t="str">
        <f>VLOOKUP($AB44,sample!$1:$1048576,5,FALSE)</f>
        <v>N</v>
      </c>
      <c r="AL44" s="973" t="str">
        <f>VLOOKUP($AB44,sample!$1:$1048576,11,FALSE)</f>
        <v xml:space="preserve">        </v>
      </c>
      <c r="AM44" s="973" t="str">
        <f>VLOOKUP($AB44,sample!$1:$1048576,12,FALSE)</f>
        <v xml:space="preserve">        </v>
      </c>
      <c r="AN44" s="973" t="str">
        <f>VLOOKUP($AB44,sample!$1:$1048576,13,FALSE)</f>
        <v>BCITITMMD03</v>
      </c>
      <c r="AP44" s="988"/>
    </row>
    <row r="45" spans="1:42" ht="14">
      <c r="A45" s="808">
        <v>201900045</v>
      </c>
      <c r="B45" s="830">
        <v>43627</v>
      </c>
      <c r="C45" s="830" t="s">
        <v>133</v>
      </c>
      <c r="D45" s="1130" t="str">
        <f>IFERROR(VLOOKUP(G45,PosAggregate!$B$13:$B$85,1,FALSE),"")</f>
        <v/>
      </c>
      <c r="E45" s="769" t="s">
        <v>1220</v>
      </c>
      <c r="F45" s="1006" t="str">
        <f t="shared" si="3"/>
        <v/>
      </c>
      <c r="G45" s="558" t="s">
        <v>1171</v>
      </c>
      <c r="H45" s="558"/>
      <c r="I45" s="832" t="s">
        <v>1063</v>
      </c>
      <c r="J45" s="833" t="s">
        <v>2</v>
      </c>
      <c r="K45" s="744">
        <v>57.642400000000002</v>
      </c>
      <c r="L45" s="834"/>
      <c r="M45" s="835">
        <v>900</v>
      </c>
      <c r="N45" s="974">
        <f t="shared" si="9"/>
        <v>-51878.16</v>
      </c>
      <c r="O45" s="835">
        <v>-41.5</v>
      </c>
      <c r="P45" s="835"/>
      <c r="Q45" s="835"/>
      <c r="R45" s="978">
        <f t="shared" si="10"/>
        <v>-51919.66</v>
      </c>
      <c r="S45" s="744">
        <v>1</v>
      </c>
      <c r="T45" s="983">
        <f t="shared" si="11"/>
        <v>-51919.66</v>
      </c>
      <c r="U45" s="839">
        <v>43629</v>
      </c>
      <c r="V45" s="831" t="s">
        <v>1183</v>
      </c>
      <c r="W45" s="840">
        <v>43627.42533726852</v>
      </c>
      <c r="X45" s="971">
        <f t="shared" si="12"/>
        <v>7.9995127043827302E-2</v>
      </c>
      <c r="Y45" s="972" t="str">
        <f>VLOOKUP(V45,'bic broker'!$A$1:$B$14,2,FALSE)</f>
        <v>EMSIITM1XXX</v>
      </c>
      <c r="Z45" s="972" t="str">
        <f>VLOOKUP(AA45,'place of settlement'!A:C,2,FALSE)</f>
        <v>DAKVDEFFXXX</v>
      </c>
      <c r="AA45" s="972" t="str">
        <f t="shared" si="13"/>
        <v>DE</v>
      </c>
      <c r="AB45" s="972" t="str">
        <f t="shared" si="14"/>
        <v>EquitaDE</v>
      </c>
      <c r="AC45" s="972" t="str">
        <f>VLOOKUP(AB45,sample!$1:$1048576,2,FALSE)</f>
        <v>EMSIITM1XXX</v>
      </c>
      <c r="AD45" s="972" t="str">
        <f>VLOOKUP($AB45,sample!$1:$1048576,3,FALSE)</f>
        <v>DAKVDEFFXXX</v>
      </c>
      <c r="AE45" s="973" t="str">
        <f>VLOOKUP($AB45,sample!$1:$1048576,4,FALSE)</f>
        <v>DAKV8135000</v>
      </c>
      <c r="AF45" s="972" t="str">
        <f>VLOOKUP($AB45,sample!$1:$1048576,5,FALSE)</f>
        <v>N</v>
      </c>
      <c r="AL45" s="973" t="str">
        <f>VLOOKUP($AB45,sample!$1:$1048576,11,FALSE)</f>
        <v xml:space="preserve">        </v>
      </c>
      <c r="AM45" s="973" t="str">
        <f>VLOOKUP($AB45,sample!$1:$1048576,12,FALSE)</f>
        <v xml:space="preserve">        </v>
      </c>
      <c r="AN45" s="973" t="str">
        <f>VLOOKUP($AB45,sample!$1:$1048576,13,FALSE)</f>
        <v>BCITITMMD03</v>
      </c>
      <c r="AP45" s="988"/>
    </row>
    <row r="46" spans="1:42" ht="14">
      <c r="A46" s="808">
        <v>201900046</v>
      </c>
      <c r="B46" s="830">
        <v>43627</v>
      </c>
      <c r="C46" s="830" t="s">
        <v>133</v>
      </c>
      <c r="D46" s="1130" t="str">
        <f>IFERROR(VLOOKUP(G46,PosAggregate!$B$13:$B$85,1,FALSE),"")</f>
        <v/>
      </c>
      <c r="E46" s="769" t="s">
        <v>1221</v>
      </c>
      <c r="F46" s="1006" t="str">
        <f t="shared" si="3"/>
        <v/>
      </c>
      <c r="G46" s="558" t="s">
        <v>1172</v>
      </c>
      <c r="H46" s="558"/>
      <c r="I46" s="832" t="s">
        <v>129</v>
      </c>
      <c r="J46" s="833" t="s">
        <v>2</v>
      </c>
      <c r="K46" s="744">
        <v>48.475099999999998</v>
      </c>
      <c r="L46" s="834"/>
      <c r="M46" s="835">
        <v>600</v>
      </c>
      <c r="N46" s="974">
        <f t="shared" si="9"/>
        <v>-29085.059999999998</v>
      </c>
      <c r="O46" s="835">
        <v>-23.27</v>
      </c>
      <c r="P46" s="835"/>
      <c r="Q46" s="835"/>
      <c r="R46" s="978">
        <f t="shared" si="10"/>
        <v>-29108.329999999998</v>
      </c>
      <c r="S46" s="744">
        <v>1</v>
      </c>
      <c r="T46" s="983">
        <f t="shared" si="11"/>
        <v>-29108.329999999998</v>
      </c>
      <c r="U46" s="839">
        <v>43629</v>
      </c>
      <c r="V46" s="831" t="s">
        <v>1183</v>
      </c>
      <c r="W46" s="840">
        <v>43627.425872569445</v>
      </c>
      <c r="X46" s="971">
        <f t="shared" si="12"/>
        <v>8.0006711349400697E-2</v>
      </c>
      <c r="Y46" s="972" t="str">
        <f>VLOOKUP(V46,'bic broker'!$A$1:$B$14,2,FALSE)</f>
        <v>EMSIITM1XXX</v>
      </c>
      <c r="Z46" s="972" t="str">
        <f>VLOOKUP(AA46,'place of settlement'!A:C,2,FALSE)</f>
        <v>DAKVDEFFXXX</v>
      </c>
      <c r="AA46" s="972" t="str">
        <f t="shared" si="13"/>
        <v>DE</v>
      </c>
      <c r="AB46" s="972" t="str">
        <f t="shared" si="14"/>
        <v>EquitaDE</v>
      </c>
      <c r="AC46" s="972" t="str">
        <f>VLOOKUP(AB46,sample!$1:$1048576,2,FALSE)</f>
        <v>EMSIITM1XXX</v>
      </c>
      <c r="AD46" s="972" t="str">
        <f>VLOOKUP($AB46,sample!$1:$1048576,3,FALSE)</f>
        <v>DAKVDEFFXXX</v>
      </c>
      <c r="AE46" s="973" t="str">
        <f>VLOOKUP($AB46,sample!$1:$1048576,4,FALSE)</f>
        <v>DAKV8135000</v>
      </c>
      <c r="AF46" s="972" t="str">
        <f>VLOOKUP($AB46,sample!$1:$1048576,5,FALSE)</f>
        <v>N</v>
      </c>
      <c r="AL46" s="973" t="str">
        <f>VLOOKUP($AB46,sample!$1:$1048576,11,FALSE)</f>
        <v xml:space="preserve">        </v>
      </c>
      <c r="AM46" s="973" t="str">
        <f>VLOOKUP($AB46,sample!$1:$1048576,12,FALSE)</f>
        <v xml:space="preserve">        </v>
      </c>
      <c r="AN46" s="973" t="str">
        <f>VLOOKUP($AB46,sample!$1:$1048576,13,FALSE)</f>
        <v>BCITITMMD03</v>
      </c>
      <c r="AP46" s="988"/>
    </row>
    <row r="47" spans="1:42" ht="14">
      <c r="A47" s="808">
        <v>201900047</v>
      </c>
      <c r="B47" s="830">
        <v>43627</v>
      </c>
      <c r="C47" s="830" t="s">
        <v>133</v>
      </c>
      <c r="D47" s="1130" t="str">
        <f>IFERROR(VLOOKUP(G47,PosAggregate!$B$13:$B$85,1,FALSE),"")</f>
        <v/>
      </c>
      <c r="E47" s="769" t="s">
        <v>1222</v>
      </c>
      <c r="F47" s="1006" t="str">
        <f t="shared" si="3"/>
        <v/>
      </c>
      <c r="G47" s="558" t="s">
        <v>1173</v>
      </c>
      <c r="H47" s="558"/>
      <c r="I47" s="832" t="s">
        <v>130</v>
      </c>
      <c r="J47" s="833" t="s">
        <v>2</v>
      </c>
      <c r="K47" s="744">
        <v>56.102699999999999</v>
      </c>
      <c r="L47" s="834"/>
      <c r="M47" s="835">
        <v>1100</v>
      </c>
      <c r="N47" s="974">
        <f t="shared" si="9"/>
        <v>-61712.97</v>
      </c>
      <c r="O47" s="835">
        <v>-49.37</v>
      </c>
      <c r="P47" s="835"/>
      <c r="Q47" s="835"/>
      <c r="R47" s="978">
        <f t="shared" si="10"/>
        <v>-61762.340000000004</v>
      </c>
      <c r="S47" s="744">
        <v>1</v>
      </c>
      <c r="T47" s="983">
        <f t="shared" si="11"/>
        <v>-61762.340000000004</v>
      </c>
      <c r="U47" s="839">
        <v>43629</v>
      </c>
      <c r="V47" s="831" t="s">
        <v>1183</v>
      </c>
      <c r="W47" s="840">
        <v>43627.426203587966</v>
      </c>
      <c r="X47" s="971">
        <f t="shared" si="12"/>
        <v>7.999939072775139E-2</v>
      </c>
      <c r="Y47" s="972" t="str">
        <f>VLOOKUP(V47,'bic broker'!$A$1:$B$14,2,FALSE)</f>
        <v>EMSIITM1XXX</v>
      </c>
      <c r="Z47" s="972" t="str">
        <f>VLOOKUP(AA47,'place of settlement'!A:C,2,FALSE)</f>
        <v>SICVFRPPXXX</v>
      </c>
      <c r="AA47" s="972" t="str">
        <f t="shared" si="13"/>
        <v>FR</v>
      </c>
      <c r="AB47" s="972" t="str">
        <f t="shared" si="14"/>
        <v>EquitaFR</v>
      </c>
      <c r="AC47" s="972" t="str">
        <f>VLOOKUP(AB47,sample!$1:$1048576,2,FALSE)</f>
        <v>EMSIITM1XXX</v>
      </c>
      <c r="AD47" s="972" t="str">
        <f>VLOOKUP($AB47,sample!$1:$1048576,3,FALSE)</f>
        <v>SICVFRPPXXX</v>
      </c>
      <c r="AE47" s="973" t="str">
        <f>VLOOKUP($AB47,sample!$1:$1048576,4,FALSE)</f>
        <v>SICVBCITITMMD00000L10</v>
      </c>
      <c r="AF47" s="972" t="str">
        <f>VLOOKUP($AB47,sample!$1:$1048576,5,FALSE)</f>
        <v>N</v>
      </c>
      <c r="AL47" s="973" t="str">
        <f>VLOOKUP($AB47,sample!$1:$1048576,11,FALSE)</f>
        <v xml:space="preserve">        </v>
      </c>
      <c r="AM47" s="973" t="str">
        <f>VLOOKUP($AB47,sample!$1:$1048576,12,FALSE)</f>
        <v xml:space="preserve">        </v>
      </c>
      <c r="AN47" s="973" t="str">
        <f>VLOOKUP($AB47,sample!$1:$1048576,13,FALSE)</f>
        <v>BCITITMMD00</v>
      </c>
      <c r="AP47" s="988"/>
    </row>
    <row r="48" spans="1:42" ht="14">
      <c r="A48" s="808">
        <v>201900048</v>
      </c>
      <c r="B48" s="830">
        <v>43627</v>
      </c>
      <c r="C48" s="830" t="s">
        <v>133</v>
      </c>
      <c r="D48" s="1130" t="str">
        <f>IFERROR(VLOOKUP(G48,PosAggregate!$B$13:$B$85,1,FALSE),"")</f>
        <v/>
      </c>
      <c r="E48" s="859" t="s">
        <v>1223</v>
      </c>
      <c r="F48" s="1006" t="str">
        <f t="shared" si="3"/>
        <v/>
      </c>
      <c r="G48" s="558" t="s">
        <v>1174</v>
      </c>
      <c r="H48" s="558"/>
      <c r="I48" s="832" t="s">
        <v>1096</v>
      </c>
      <c r="J48" s="833" t="s">
        <v>3</v>
      </c>
      <c r="K48" s="744">
        <v>32.603000000000002</v>
      </c>
      <c r="L48" s="834"/>
      <c r="M48" s="835">
        <v>900</v>
      </c>
      <c r="N48" s="974">
        <f t="shared" si="9"/>
        <v>-29342.7</v>
      </c>
      <c r="O48" s="835">
        <v>-23.47</v>
      </c>
      <c r="P48" s="835"/>
      <c r="Q48" s="835"/>
      <c r="R48" s="978">
        <f t="shared" si="10"/>
        <v>-29366.170000000002</v>
      </c>
      <c r="S48" s="744">
        <v>1.1311961267844619</v>
      </c>
      <c r="T48" s="983">
        <f t="shared" si="11"/>
        <v>-25960.281603400002</v>
      </c>
      <c r="U48" s="839">
        <v>43629</v>
      </c>
      <c r="V48" s="831" t="s">
        <v>1183</v>
      </c>
      <c r="W48" s="840">
        <v>43627.42728935185</v>
      </c>
      <c r="X48" s="971">
        <f t="shared" si="12"/>
        <v>7.998582270888499E-2</v>
      </c>
      <c r="Y48" s="972" t="str">
        <f>VLOOKUP(V48,'bic broker'!$A$1:$B$14,2,FALSE)</f>
        <v>EMSIITM1XXX</v>
      </c>
      <c r="Z48" s="972" t="str">
        <f>VLOOKUP(AA48,'place of settlement'!A:C,2,FALSE)</f>
        <v>DTCYUS33XXX</v>
      </c>
      <c r="AA48" s="972" t="str">
        <f t="shared" si="13"/>
        <v>US</v>
      </c>
      <c r="AB48" s="972" t="str">
        <f t="shared" si="14"/>
        <v>EquitaUS</v>
      </c>
      <c r="AC48" s="972" t="str">
        <f>VLOOKUP(AB48,sample!$1:$1048576,2,FALSE)</f>
        <v>BCITITMMXXX</v>
      </c>
      <c r="AD48" s="972" t="str">
        <f>VLOOKUP($AB48,sample!$1:$1048576,3,FALSE)</f>
        <v>DTCYUS33XXX</v>
      </c>
      <c r="AE48" s="973">
        <f>VLOOKUP($AB48,sample!$1:$1048576,4,FALSE)</f>
        <v>236707</v>
      </c>
      <c r="AF48" s="972" t="str">
        <f>VLOOKUP($AB48,sample!$1:$1048576,5,FALSE)</f>
        <v>N</v>
      </c>
      <c r="AL48" s="973" t="str">
        <f>VLOOKUP($AB48,sample!$1:$1048576,11,FALSE)</f>
        <v>DTCYID</v>
      </c>
      <c r="AM48" s="973">
        <f>VLOOKUP($AB48,sample!$1:$1048576,12,FALSE)</f>
        <v>908</v>
      </c>
      <c r="AN48" s="973" t="str">
        <f>VLOOKUP($AB48,sample!$1:$1048576,13,FALSE)</f>
        <v xml:space="preserve">        </v>
      </c>
      <c r="AP48" s="988"/>
    </row>
    <row r="49" spans="1:42" ht="14">
      <c r="A49" s="808">
        <v>201900049</v>
      </c>
      <c r="B49" s="830">
        <v>43627</v>
      </c>
      <c r="C49" s="830" t="s">
        <v>133</v>
      </c>
      <c r="D49" s="1130" t="str">
        <f>IFERROR(VLOOKUP(G49,PosAggregate!$B$13:$B$85,1,FALSE),"")</f>
        <v/>
      </c>
      <c r="E49" s="859" t="s">
        <v>1224</v>
      </c>
      <c r="F49" s="1006" t="str">
        <f t="shared" si="3"/>
        <v/>
      </c>
      <c r="G49" s="558" t="s">
        <v>1175</v>
      </c>
      <c r="H49" s="558"/>
      <c r="I49" s="832" t="s">
        <v>1095</v>
      </c>
      <c r="J49" s="833" t="s">
        <v>3</v>
      </c>
      <c r="K49" s="744">
        <v>72.140500000000003</v>
      </c>
      <c r="L49" s="834"/>
      <c r="M49" s="835">
        <v>900</v>
      </c>
      <c r="N49" s="974">
        <f t="shared" si="9"/>
        <v>-64926.450000000004</v>
      </c>
      <c r="O49" s="835">
        <v>-51.94</v>
      </c>
      <c r="P49" s="835"/>
      <c r="Q49" s="835"/>
      <c r="R49" s="978">
        <f t="shared" si="10"/>
        <v>-64978.390000000007</v>
      </c>
      <c r="S49" s="744">
        <v>1.1311961267844619</v>
      </c>
      <c r="T49" s="983">
        <f t="shared" si="11"/>
        <v>-57442.196327800004</v>
      </c>
      <c r="U49" s="839">
        <v>43629</v>
      </c>
      <c r="V49" s="831" t="s">
        <v>1183</v>
      </c>
      <c r="W49" s="840">
        <v>43627.427678356478</v>
      </c>
      <c r="X49" s="971">
        <f t="shared" si="12"/>
        <v>7.9998213362966863E-2</v>
      </c>
      <c r="Y49" s="972" t="str">
        <f>VLOOKUP(V49,'bic broker'!$A$1:$B$14,2,FALSE)</f>
        <v>EMSIITM1XXX</v>
      </c>
      <c r="Z49" s="972" t="str">
        <f>VLOOKUP(AA49,'place of settlement'!A:C,2,FALSE)</f>
        <v>DTCYUS33XXX</v>
      </c>
      <c r="AA49" s="972" t="str">
        <f t="shared" si="13"/>
        <v>US</v>
      </c>
      <c r="AB49" s="972" t="str">
        <f t="shared" si="14"/>
        <v>EquitaUS</v>
      </c>
      <c r="AC49" s="972" t="str">
        <f>VLOOKUP(AB49,sample!$1:$1048576,2,FALSE)</f>
        <v>BCITITMMXXX</v>
      </c>
      <c r="AD49" s="972" t="str">
        <f>VLOOKUP($AB49,sample!$1:$1048576,3,FALSE)</f>
        <v>DTCYUS33XXX</v>
      </c>
      <c r="AE49" s="973">
        <f>VLOOKUP($AB49,sample!$1:$1048576,4,FALSE)</f>
        <v>236707</v>
      </c>
      <c r="AF49" s="972" t="str">
        <f>VLOOKUP($AB49,sample!$1:$1048576,5,FALSE)</f>
        <v>N</v>
      </c>
      <c r="AL49" s="973" t="str">
        <f>VLOOKUP($AB49,sample!$1:$1048576,11,FALSE)</f>
        <v>DTCYID</v>
      </c>
      <c r="AM49" s="973">
        <f>VLOOKUP($AB49,sample!$1:$1048576,12,FALSE)</f>
        <v>908</v>
      </c>
      <c r="AN49" s="973" t="str">
        <f>VLOOKUP($AB49,sample!$1:$1048576,13,FALSE)</f>
        <v xml:space="preserve">        </v>
      </c>
      <c r="AP49" s="988"/>
    </row>
    <row r="50" spans="1:42" ht="14">
      <c r="A50" s="808">
        <v>201900050</v>
      </c>
      <c r="B50" s="830">
        <v>43627</v>
      </c>
      <c r="C50" s="830" t="s">
        <v>133</v>
      </c>
      <c r="D50" s="1130" t="str">
        <f>IFERROR(VLOOKUP(G50,PosAggregate!$B$13:$B$85,1,FALSE),"")</f>
        <v/>
      </c>
      <c r="E50" s="859" t="s">
        <v>1225</v>
      </c>
      <c r="F50" s="1006" t="str">
        <f t="shared" si="3"/>
        <v/>
      </c>
      <c r="G50" s="558" t="s">
        <v>1176</v>
      </c>
      <c r="H50" s="558"/>
      <c r="I50" s="832" t="s">
        <v>1182</v>
      </c>
      <c r="J50" s="833" t="s">
        <v>3</v>
      </c>
      <c r="K50" s="744">
        <v>6.8728999999999996</v>
      </c>
      <c r="L50" s="834"/>
      <c r="M50" s="835">
        <v>13600</v>
      </c>
      <c r="N50" s="974">
        <f t="shared" si="9"/>
        <v>-93471.439999999988</v>
      </c>
      <c r="O50" s="835">
        <v>-74.78</v>
      </c>
      <c r="P50" s="835"/>
      <c r="Q50" s="835"/>
      <c r="R50" s="978">
        <f t="shared" si="10"/>
        <v>-93546.219999999987</v>
      </c>
      <c r="S50" s="744">
        <v>1.1311961267844619</v>
      </c>
      <c r="T50" s="983">
        <f t="shared" si="11"/>
        <v>-82696.729404399986</v>
      </c>
      <c r="U50" s="839">
        <v>43629</v>
      </c>
      <c r="V50" s="831" t="s">
        <v>1183</v>
      </c>
      <c r="W50" s="840">
        <v>43627.428067245368</v>
      </c>
      <c r="X50" s="971">
        <f t="shared" si="12"/>
        <v>8.000304692000039E-2</v>
      </c>
      <c r="Y50" s="972" t="str">
        <f>VLOOKUP(V50,'bic broker'!$A$1:$B$14,2,FALSE)</f>
        <v>EMSIITM1XXX</v>
      </c>
      <c r="Z50" s="972" t="str">
        <f>VLOOKUP(AA50,'place of settlement'!A:C,2,FALSE)</f>
        <v>DTCYUS33XXX</v>
      </c>
      <c r="AA50" s="972" t="str">
        <f t="shared" si="13"/>
        <v>US</v>
      </c>
      <c r="AB50" s="972" t="str">
        <f t="shared" si="14"/>
        <v>EquitaUS</v>
      </c>
      <c r="AC50" s="972" t="str">
        <f>VLOOKUP(AB50,sample!$1:$1048576,2,FALSE)</f>
        <v>BCITITMMXXX</v>
      </c>
      <c r="AD50" s="972" t="str">
        <f>VLOOKUP($AB50,sample!$1:$1048576,3,FALSE)</f>
        <v>DTCYUS33XXX</v>
      </c>
      <c r="AE50" s="973">
        <f>VLOOKUP($AB50,sample!$1:$1048576,4,FALSE)</f>
        <v>236707</v>
      </c>
      <c r="AF50" s="972" t="str">
        <f>VLOOKUP($AB50,sample!$1:$1048576,5,FALSE)</f>
        <v>N</v>
      </c>
      <c r="AL50" s="973" t="str">
        <f>VLOOKUP($AB50,sample!$1:$1048576,11,FALSE)</f>
        <v>DTCYID</v>
      </c>
      <c r="AM50" s="973">
        <f>VLOOKUP($AB50,sample!$1:$1048576,12,FALSE)</f>
        <v>908</v>
      </c>
      <c r="AN50" s="973" t="str">
        <f>VLOOKUP($AB50,sample!$1:$1048576,13,FALSE)</f>
        <v xml:space="preserve">        </v>
      </c>
      <c r="AP50" s="988"/>
    </row>
    <row r="51" spans="1:42" ht="14">
      <c r="A51" s="808">
        <v>201900051</v>
      </c>
      <c r="B51" s="830">
        <v>43627</v>
      </c>
      <c r="C51" s="830" t="s">
        <v>133</v>
      </c>
      <c r="D51" s="1130" t="str">
        <f>IFERROR(VLOOKUP(G51,PosAggregate!$B$13:$B$85,1,FALSE),"")</f>
        <v/>
      </c>
      <c r="E51" s="565" t="s">
        <v>12601</v>
      </c>
      <c r="F51" s="1006" t="str">
        <f t="shared" si="3"/>
        <v/>
      </c>
      <c r="G51" s="558" t="s">
        <v>2033</v>
      </c>
      <c r="H51" s="558"/>
      <c r="I51" s="832" t="s">
        <v>2053</v>
      </c>
      <c r="J51" s="833" t="s">
        <v>1068</v>
      </c>
      <c r="K51" s="744">
        <v>3.5383</v>
      </c>
      <c r="L51" s="834"/>
      <c r="M51" s="835">
        <v>24000</v>
      </c>
      <c r="N51" s="974">
        <f t="shared" si="9"/>
        <v>-84919.2</v>
      </c>
      <c r="O51" s="835">
        <v>-67.94</v>
      </c>
      <c r="P51" s="835"/>
      <c r="Q51" s="835"/>
      <c r="R51" s="978">
        <f t="shared" si="10"/>
        <v>-84987.14</v>
      </c>
      <c r="S51" s="744">
        <v>1.5005316621795879</v>
      </c>
      <c r="T51" s="983">
        <f t="shared" si="11"/>
        <v>-56638.018471767842</v>
      </c>
      <c r="U51" s="839">
        <v>43629</v>
      </c>
      <c r="V51" s="831" t="s">
        <v>1183</v>
      </c>
      <c r="W51" s="840">
        <v>43627.436683333333</v>
      </c>
      <c r="X51" s="971">
        <f t="shared" si="12"/>
        <v>8.0005464017560216E-2</v>
      </c>
      <c r="Y51" s="972" t="str">
        <f>VLOOKUP(V51,'bic broker'!$A$1:$B$14,2,FALSE)</f>
        <v>EMSIITM1XXX</v>
      </c>
      <c r="Z51" s="972" t="str">
        <f>VLOOKUP(AA51,'place of settlement'!A:C,2,FALSE)</f>
        <v>CDSLCATTXXX</v>
      </c>
      <c r="AA51" s="972" t="str">
        <f t="shared" si="13"/>
        <v>CA</v>
      </c>
      <c r="AB51" s="972" t="str">
        <f t="shared" si="14"/>
        <v>EquitaCA</v>
      </c>
      <c r="AC51" s="972" t="str">
        <f>VLOOKUP(AB51,sample!$1:$1048576,2,FALSE)</f>
        <v>BCITITMMXXX</v>
      </c>
      <c r="AD51" s="972" t="str">
        <f>VLOOKUP($AB51,sample!$1:$1048576,3,FALSE)</f>
        <v>CDSLCATTXXX</v>
      </c>
      <c r="AE51" s="973">
        <f>VLOOKUP($AB51,sample!$1:$1048576,4,FALSE)</f>
        <v>6212721697</v>
      </c>
      <c r="AF51" s="972" t="str">
        <f>VLOOKUP($AB51,sample!$1:$1048576,5,FALSE)</f>
        <v>N</v>
      </c>
      <c r="AL51" s="973" t="str">
        <f>VLOOKUP($AB51,sample!$1:$1048576,11,FALSE)</f>
        <v>CDSL</v>
      </c>
      <c r="AM51" s="973" t="str">
        <f>VLOOKUP($AB51,sample!$1:$1048576,12,FALSE)</f>
        <v>CITC</v>
      </c>
      <c r="AN51" s="973" t="str">
        <f>VLOOKUP($AB51,sample!$1:$1048576,13,FALSE)</f>
        <v xml:space="preserve">        </v>
      </c>
      <c r="AP51" s="988"/>
    </row>
    <row r="52" spans="1:42" ht="14">
      <c r="A52" s="808">
        <v>201900052</v>
      </c>
      <c r="B52" s="830">
        <v>43627</v>
      </c>
      <c r="C52" s="830" t="s">
        <v>133</v>
      </c>
      <c r="D52" s="1130" t="str">
        <f>IFERROR(VLOOKUP(G52,PosAggregate!$B$13:$B$85,1,FALSE),"")</f>
        <v/>
      </c>
      <c r="E52" s="859" t="s">
        <v>1226</v>
      </c>
      <c r="F52" s="1006" t="str">
        <f t="shared" si="3"/>
        <v/>
      </c>
      <c r="G52" s="558" t="s">
        <v>1178</v>
      </c>
      <c r="H52" s="558"/>
      <c r="I52" s="832" t="s">
        <v>1089</v>
      </c>
      <c r="J52" s="833" t="s">
        <v>3</v>
      </c>
      <c r="K52" s="744">
        <v>17.306999999999999</v>
      </c>
      <c r="L52" s="834"/>
      <c r="M52" s="835">
        <v>2400</v>
      </c>
      <c r="N52" s="974">
        <f t="shared" si="9"/>
        <v>-41536.799999999996</v>
      </c>
      <c r="O52" s="835">
        <v>-33.229999999999997</v>
      </c>
      <c r="P52" s="835"/>
      <c r="Q52" s="835"/>
      <c r="R52" s="978">
        <f t="shared" si="10"/>
        <v>-41570.03</v>
      </c>
      <c r="S52" s="744">
        <v>1.1311961267844619</v>
      </c>
      <c r="T52" s="983">
        <f t="shared" si="11"/>
        <v>-36748.737920599997</v>
      </c>
      <c r="U52" s="839">
        <v>43629</v>
      </c>
      <c r="V52" s="831" t="s">
        <v>1183</v>
      </c>
      <c r="W52" s="840">
        <v>43627.437274768519</v>
      </c>
      <c r="X52" s="971">
        <f t="shared" si="12"/>
        <v>8.0001348202076231E-2</v>
      </c>
      <c r="Y52" s="972" t="str">
        <f>VLOOKUP(V52,'bic broker'!$A$1:$B$14,2,FALSE)</f>
        <v>EMSIITM1XXX</v>
      </c>
      <c r="Z52" s="972" t="str">
        <f>VLOOKUP(AA52,'place of settlement'!A:C,2,FALSE)</f>
        <v>DTCYUS33XXX</v>
      </c>
      <c r="AA52" s="972" t="str">
        <f t="shared" si="13"/>
        <v>US</v>
      </c>
      <c r="AB52" s="972" t="str">
        <f t="shared" si="14"/>
        <v>EquitaUS</v>
      </c>
      <c r="AC52" s="972" t="str">
        <f>VLOOKUP(AB52,sample!$1:$1048576,2,FALSE)</f>
        <v>BCITITMMXXX</v>
      </c>
      <c r="AD52" s="972" t="str">
        <f>VLOOKUP($AB52,sample!$1:$1048576,3,FALSE)</f>
        <v>DTCYUS33XXX</v>
      </c>
      <c r="AE52" s="973">
        <f>VLOOKUP($AB52,sample!$1:$1048576,4,FALSE)</f>
        <v>236707</v>
      </c>
      <c r="AF52" s="972" t="str">
        <f>VLOOKUP($AB52,sample!$1:$1048576,5,FALSE)</f>
        <v>N</v>
      </c>
      <c r="AL52" s="973" t="str">
        <f>VLOOKUP($AB52,sample!$1:$1048576,11,FALSE)</f>
        <v>DTCYID</v>
      </c>
      <c r="AM52" s="973">
        <f>VLOOKUP($AB52,sample!$1:$1048576,12,FALSE)</f>
        <v>908</v>
      </c>
      <c r="AN52" s="973" t="str">
        <f>VLOOKUP($AB52,sample!$1:$1048576,13,FALSE)</f>
        <v xml:space="preserve">        </v>
      </c>
      <c r="AP52" s="988"/>
    </row>
    <row r="53" spans="1:42" ht="14">
      <c r="A53" s="808">
        <v>201900053</v>
      </c>
      <c r="B53" s="830">
        <v>43627</v>
      </c>
      <c r="C53" s="830" t="s">
        <v>133</v>
      </c>
      <c r="D53" s="1130" t="str">
        <f>IFERROR(VLOOKUP(G53,PosAggregate!$B$13:$B$85,1,FALSE),"")</f>
        <v/>
      </c>
      <c r="E53" s="859" t="s">
        <v>1227</v>
      </c>
      <c r="F53" s="1006" t="str">
        <f t="shared" si="3"/>
        <v/>
      </c>
      <c r="G53" s="558" t="s">
        <v>1163</v>
      </c>
      <c r="H53" s="558"/>
      <c r="I53" s="832" t="s">
        <v>1092</v>
      </c>
      <c r="J53" s="833" t="s">
        <v>1069</v>
      </c>
      <c r="K53" s="744">
        <v>1.0777000000000001</v>
      </c>
      <c r="L53" s="834"/>
      <c r="M53" s="835">
        <v>57400</v>
      </c>
      <c r="N53" s="974">
        <f t="shared" si="9"/>
        <v>-61859.98</v>
      </c>
      <c r="O53" s="835">
        <v>-49.49</v>
      </c>
      <c r="P53" s="835"/>
      <c r="Q53" s="835"/>
      <c r="R53" s="978">
        <f t="shared" si="10"/>
        <v>-61909.47</v>
      </c>
      <c r="S53" s="744">
        <v>1.6191857500594877</v>
      </c>
      <c r="T53" s="983">
        <f t="shared" si="11"/>
        <v>-38234.939998530426</v>
      </c>
      <c r="U53" s="839">
        <v>43629</v>
      </c>
      <c r="V53" s="831" t="s">
        <v>1183</v>
      </c>
      <c r="W53" s="840">
        <v>43626.438043981485</v>
      </c>
      <c r="X53" s="971">
        <f t="shared" si="12"/>
        <v>8.0003258972925637E-2</v>
      </c>
      <c r="Y53" s="972" t="str">
        <f>VLOOKUP(V53,'bic broker'!$A$1:$B$14,2,FALSE)</f>
        <v>EMSIITM1XXX</v>
      </c>
      <c r="Z53" s="972" t="str">
        <f>VLOOKUP(AA53,'place of settlement'!A:C,2,FALSE)</f>
        <v>CAETAU21XXX</v>
      </c>
      <c r="AA53" s="972" t="str">
        <f t="shared" si="13"/>
        <v>AU</v>
      </c>
      <c r="AB53" s="972" t="str">
        <f t="shared" si="14"/>
        <v>EquitaAU</v>
      </c>
      <c r="AC53" s="972" t="str">
        <f>VLOOKUP(AB53,sample!$1:$1048576,2,FALSE)</f>
        <v>BCITITMMXXX</v>
      </c>
      <c r="AD53" s="972" t="str">
        <f>VLOOKUP($AB53,sample!$1:$1048576,3,FALSE)</f>
        <v>CAETAU21XXX</v>
      </c>
      <c r="AE53" s="973">
        <f>VLOOKUP($AB53,sample!$1:$1048576,4,FALSE)</f>
        <v>2099100983</v>
      </c>
      <c r="AF53" s="972" t="str">
        <f>VLOOKUP($AB53,sample!$1:$1048576,5,FALSE)</f>
        <v>N</v>
      </c>
      <c r="AL53" s="973" t="str">
        <f>VLOOKUP($AB53,sample!$1:$1048576,11,FALSE)</f>
        <v xml:space="preserve">        </v>
      </c>
      <c r="AM53" s="973" t="str">
        <f>VLOOKUP($AB53,sample!$1:$1048576,12,FALSE)</f>
        <v xml:space="preserve">        </v>
      </c>
      <c r="AN53" s="973" t="str">
        <f>VLOOKUP($AB53,sample!$1:$1048576,13,FALSE)</f>
        <v>CITIAU3XXXX</v>
      </c>
      <c r="AP53" s="988"/>
    </row>
    <row r="54" spans="1:42" ht="14">
      <c r="A54" s="808">
        <v>201900054</v>
      </c>
      <c r="B54" s="830">
        <v>43627</v>
      </c>
      <c r="C54" s="830" t="s">
        <v>133</v>
      </c>
      <c r="D54" s="1130" t="str">
        <f>IFERROR(VLOOKUP(G54,PosAggregate!$B$13:$B$85,1,FALSE),"")</f>
        <v/>
      </c>
      <c r="E54" s="860" t="s">
        <v>1210</v>
      </c>
      <c r="F54" s="1006" t="str">
        <f t="shared" si="3"/>
        <v/>
      </c>
      <c r="G54" s="558" t="s">
        <v>1160</v>
      </c>
      <c r="H54" s="558"/>
      <c r="I54" s="832" t="s">
        <v>1108</v>
      </c>
      <c r="J54" s="833" t="s">
        <v>3</v>
      </c>
      <c r="K54" s="744">
        <v>4411.3977000000004</v>
      </c>
      <c r="L54" s="834"/>
      <c r="M54" s="835">
        <v>1760</v>
      </c>
      <c r="N54" s="974">
        <f t="shared" si="9"/>
        <v>-7764059.9520000005</v>
      </c>
      <c r="O54" s="835">
        <v>-11646</v>
      </c>
      <c r="P54" s="835"/>
      <c r="Q54" s="835"/>
      <c r="R54" s="978">
        <f t="shared" si="10"/>
        <v>-7775705.9520000005</v>
      </c>
      <c r="S54" s="744">
        <v>1338.2276419085522</v>
      </c>
      <c r="T54" s="983">
        <f t="shared" si="11"/>
        <v>-5810.4508593997143</v>
      </c>
      <c r="U54" s="839">
        <v>43630</v>
      </c>
      <c r="V54" s="831" t="s">
        <v>1184</v>
      </c>
      <c r="W54" s="840">
        <v>43627.560814004632</v>
      </c>
      <c r="X54" s="971">
        <f t="shared" si="12"/>
        <v>0.1499988417400103</v>
      </c>
      <c r="Y54" s="972" t="e">
        <f>VLOOKUP(V54,'bic broker'!$A$1:$B$14,2,FALSE)</f>
        <v>#N/A</v>
      </c>
      <c r="Z54" s="972" t="str">
        <f>VLOOKUP(AA54,'place of settlement'!A:C,2,FALSE)</f>
        <v>KSDCKRSEXXX</v>
      </c>
      <c r="AA54" s="972" t="str">
        <f t="shared" si="13"/>
        <v>KR</v>
      </c>
      <c r="AB54" s="972" t="str">
        <f t="shared" si="14"/>
        <v>SamsungKR</v>
      </c>
      <c r="AC54" s="972" t="e">
        <f>VLOOKUP(AB54,sample!$1:$1048576,2,FALSE)</f>
        <v>#N/A</v>
      </c>
      <c r="AD54" s="972" t="e">
        <f>VLOOKUP($AB54,sample!$1:$1048576,3,FALSE)</f>
        <v>#N/A</v>
      </c>
      <c r="AE54" s="973" t="e">
        <f>VLOOKUP($AB54,sample!$1:$1048576,4,FALSE)</f>
        <v>#N/A</v>
      </c>
      <c r="AF54" s="972" t="e">
        <f>VLOOKUP($AB54,sample!$1:$1048576,5,FALSE)</f>
        <v>#N/A</v>
      </c>
      <c r="AL54" s="973" t="e">
        <f>VLOOKUP($AB54,sample!$1:$1048576,11,FALSE)</f>
        <v>#N/A</v>
      </c>
      <c r="AM54" s="973" t="e">
        <f>VLOOKUP($AB54,sample!$1:$1048576,12,FALSE)</f>
        <v>#N/A</v>
      </c>
      <c r="AN54" s="973" t="e">
        <f>VLOOKUP($AB54,sample!$1:$1048576,13,FALSE)</f>
        <v>#N/A</v>
      </c>
      <c r="AP54" s="988"/>
    </row>
    <row r="55" spans="1:42" ht="14">
      <c r="A55" s="808">
        <v>201900055</v>
      </c>
      <c r="B55" s="830">
        <v>43627</v>
      </c>
      <c r="C55" s="830" t="s">
        <v>133</v>
      </c>
      <c r="D55" s="1130" t="str">
        <f>IFERROR(VLOOKUP(G55,PosAggregate!$B$13:$B$85,1,FALSE),"")</f>
        <v/>
      </c>
      <c r="E55" s="860" t="s">
        <v>1208</v>
      </c>
      <c r="F55" s="1006" t="str">
        <f t="shared" si="3"/>
        <v/>
      </c>
      <c r="G55" s="558" t="s">
        <v>1158</v>
      </c>
      <c r="H55" s="558"/>
      <c r="I55" s="832" t="s">
        <v>1082</v>
      </c>
      <c r="J55" s="833" t="s">
        <v>3</v>
      </c>
      <c r="K55" s="744">
        <v>89894.25</v>
      </c>
      <c r="L55" s="834"/>
      <c r="M55" s="835">
        <v>400</v>
      </c>
      <c r="N55" s="974">
        <f t="shared" si="9"/>
        <v>-35957700</v>
      </c>
      <c r="O55" s="835">
        <v>-53937</v>
      </c>
      <c r="P55" s="835"/>
      <c r="Q55" s="835"/>
      <c r="R55" s="978">
        <f t="shared" si="10"/>
        <v>-36011637</v>
      </c>
      <c r="S55" s="744">
        <v>1338.2276419085536</v>
      </c>
      <c r="T55" s="983">
        <f t="shared" si="11"/>
        <v>-26909.948556017662</v>
      </c>
      <c r="U55" s="839">
        <v>43630</v>
      </c>
      <c r="V55" s="831" t="s">
        <v>1184</v>
      </c>
      <c r="W55" s="840">
        <v>43627.563368518517</v>
      </c>
      <c r="X55" s="971">
        <f t="shared" si="12"/>
        <v>0.15000125147047783</v>
      </c>
      <c r="Y55" s="972" t="e">
        <f>VLOOKUP(V55,'bic broker'!$A$1:$B$14,2,FALSE)</f>
        <v>#N/A</v>
      </c>
      <c r="Z55" s="972" t="str">
        <f>VLOOKUP(AA55,'place of settlement'!A:C,2,FALSE)</f>
        <v>KSDCKRSEXXX</v>
      </c>
      <c r="AA55" s="972" t="str">
        <f t="shared" si="13"/>
        <v>KR</v>
      </c>
      <c r="AB55" s="972" t="str">
        <f t="shared" si="14"/>
        <v>SamsungKR</v>
      </c>
      <c r="AC55" s="972" t="e">
        <f>VLOOKUP(AB55,sample!$1:$1048576,2,FALSE)</f>
        <v>#N/A</v>
      </c>
      <c r="AD55" s="972" t="e">
        <f>VLOOKUP($AB55,sample!$1:$1048576,3,FALSE)</f>
        <v>#N/A</v>
      </c>
      <c r="AE55" s="973" t="e">
        <f>VLOOKUP($AB55,sample!$1:$1048576,4,FALSE)</f>
        <v>#N/A</v>
      </c>
      <c r="AF55" s="972" t="e">
        <f>VLOOKUP($AB55,sample!$1:$1048576,5,FALSE)</f>
        <v>#N/A</v>
      </c>
      <c r="AL55" s="973" t="e">
        <f>VLOOKUP($AB55,sample!$1:$1048576,11,FALSE)</f>
        <v>#N/A</v>
      </c>
      <c r="AM55" s="973" t="e">
        <f>VLOOKUP($AB55,sample!$1:$1048576,12,FALSE)</f>
        <v>#N/A</v>
      </c>
      <c r="AN55" s="973" t="e">
        <f>VLOOKUP($AB55,sample!$1:$1048576,13,FALSE)</f>
        <v>#N/A</v>
      </c>
      <c r="AP55" s="988"/>
    </row>
    <row r="56" spans="1:42" ht="14">
      <c r="A56" s="808">
        <v>201900056</v>
      </c>
      <c r="B56" s="830">
        <v>43627</v>
      </c>
      <c r="C56" s="830" t="s">
        <v>133</v>
      </c>
      <c r="D56" s="1130" t="str">
        <f>IFERROR(VLOOKUP(G56,PosAggregate!$B$13:$B$85,1,FALSE),"")</f>
        <v/>
      </c>
      <c r="E56" s="860" t="s">
        <v>1206</v>
      </c>
      <c r="F56" s="1006" t="str">
        <f t="shared" si="3"/>
        <v/>
      </c>
      <c r="G56" s="558" t="s">
        <v>1156</v>
      </c>
      <c r="H56" s="558"/>
      <c r="I56" s="832" t="s">
        <v>1080</v>
      </c>
      <c r="J56" s="833" t="s">
        <v>3</v>
      </c>
      <c r="K56" s="744">
        <v>189979.4118</v>
      </c>
      <c r="L56" s="834"/>
      <c r="M56" s="835">
        <v>170</v>
      </c>
      <c r="N56" s="974">
        <f t="shared" si="9"/>
        <v>-32296500.006000001</v>
      </c>
      <c r="O56" s="835">
        <v>-48445</v>
      </c>
      <c r="P56" s="835"/>
      <c r="Q56" s="835"/>
      <c r="R56" s="978">
        <f t="shared" si="10"/>
        <v>-32344945.006000001</v>
      </c>
      <c r="S56" s="744">
        <v>1338.227641908557</v>
      </c>
      <c r="T56" s="983">
        <f t="shared" si="11"/>
        <v>-24169.987222704654</v>
      </c>
      <c r="U56" s="839">
        <v>43630</v>
      </c>
      <c r="V56" s="831" t="s">
        <v>1184</v>
      </c>
      <c r="W56" s="840">
        <v>43627.564126851852</v>
      </c>
      <c r="X56" s="971">
        <f t="shared" si="12"/>
        <v>0.15000077404981949</v>
      </c>
      <c r="Y56" s="972" t="e">
        <f>VLOOKUP(V56,'bic broker'!$A$1:$B$14,2,FALSE)</f>
        <v>#N/A</v>
      </c>
      <c r="Z56" s="972" t="str">
        <f>VLOOKUP(AA56,'place of settlement'!A:C,2,FALSE)</f>
        <v>KSDCKRSEXXX</v>
      </c>
      <c r="AA56" s="972" t="str">
        <f t="shared" si="13"/>
        <v>KR</v>
      </c>
      <c r="AB56" s="972" t="str">
        <f t="shared" si="14"/>
        <v>SamsungKR</v>
      </c>
      <c r="AC56" s="972" t="e">
        <f>VLOOKUP(AB56,sample!$1:$1048576,2,FALSE)</f>
        <v>#N/A</v>
      </c>
      <c r="AD56" s="972" t="e">
        <f>VLOOKUP($AB56,sample!$1:$1048576,3,FALSE)</f>
        <v>#N/A</v>
      </c>
      <c r="AE56" s="973" t="e">
        <f>VLOOKUP($AB56,sample!$1:$1048576,4,FALSE)</f>
        <v>#N/A</v>
      </c>
      <c r="AF56" s="972" t="e">
        <f>VLOOKUP($AB56,sample!$1:$1048576,5,FALSE)</f>
        <v>#N/A</v>
      </c>
      <c r="AL56" s="973" t="e">
        <f>VLOOKUP($AB56,sample!$1:$1048576,11,FALSE)</f>
        <v>#N/A</v>
      </c>
      <c r="AM56" s="973" t="e">
        <f>VLOOKUP($AB56,sample!$1:$1048576,12,FALSE)</f>
        <v>#N/A</v>
      </c>
      <c r="AN56" s="973" t="e">
        <f>VLOOKUP($AB56,sample!$1:$1048576,13,FALSE)</f>
        <v>#N/A</v>
      </c>
      <c r="AP56" s="988"/>
    </row>
    <row r="57" spans="1:42" ht="14">
      <c r="A57" s="808">
        <v>201900057</v>
      </c>
      <c r="B57" s="830">
        <v>43627</v>
      </c>
      <c r="C57" s="830" t="s">
        <v>133</v>
      </c>
      <c r="D57" s="1130" t="str">
        <f>IFERROR(VLOOKUP(G57,PosAggregate!$B$13:$B$85,1,FALSE),"")</f>
        <v/>
      </c>
      <c r="E57" s="860" t="s">
        <v>1209</v>
      </c>
      <c r="F57" s="1006" t="str">
        <f t="shared" si="3"/>
        <v/>
      </c>
      <c r="G57" s="558" t="s">
        <v>1159</v>
      </c>
      <c r="H57" s="558"/>
      <c r="I57" s="832" t="s">
        <v>1102</v>
      </c>
      <c r="J57" s="833" t="s">
        <v>3</v>
      </c>
      <c r="K57" s="744">
        <v>120400</v>
      </c>
      <c r="L57" s="834"/>
      <c r="M57" s="856">
        <v>260</v>
      </c>
      <c r="N57" s="974">
        <f t="shared" si="9"/>
        <v>-31304000</v>
      </c>
      <c r="O57" s="835">
        <v>-46956</v>
      </c>
      <c r="P57" s="835"/>
      <c r="Q57" s="835"/>
      <c r="R57" s="978">
        <f t="shared" si="10"/>
        <v>-31350956</v>
      </c>
      <c r="S57" s="744">
        <v>1338.2276419085547</v>
      </c>
      <c r="T57" s="983">
        <f t="shared" si="11"/>
        <v>-23427.221960000665</v>
      </c>
      <c r="U57" s="861">
        <v>43630</v>
      </c>
      <c r="V57" s="831" t="s">
        <v>1184</v>
      </c>
      <c r="W57" s="840">
        <v>43627.566560300926</v>
      </c>
      <c r="X57" s="971">
        <f t="shared" si="12"/>
        <v>0.15</v>
      </c>
      <c r="Y57" s="972" t="e">
        <f>VLOOKUP(V57,'bic broker'!$A$1:$B$14,2,FALSE)</f>
        <v>#N/A</v>
      </c>
      <c r="Z57" s="972" t="str">
        <f>VLOOKUP(AA57,'place of settlement'!A:C,2,FALSE)</f>
        <v>KSDCKRSEXXX</v>
      </c>
      <c r="AA57" s="972" t="str">
        <f t="shared" si="13"/>
        <v>KR</v>
      </c>
      <c r="AB57" s="972" t="str">
        <f t="shared" si="14"/>
        <v>SamsungKR</v>
      </c>
      <c r="AC57" s="972" t="e">
        <f>VLOOKUP(AB57,sample!$1:$1048576,2,FALSE)</f>
        <v>#N/A</v>
      </c>
      <c r="AD57" s="972" t="e">
        <f>VLOOKUP($AB57,sample!$1:$1048576,3,FALSE)</f>
        <v>#N/A</v>
      </c>
      <c r="AE57" s="973" t="e">
        <f>VLOOKUP($AB57,sample!$1:$1048576,4,FALSE)</f>
        <v>#N/A</v>
      </c>
      <c r="AF57" s="972" t="e">
        <f>VLOOKUP($AB57,sample!$1:$1048576,5,FALSE)</f>
        <v>#N/A</v>
      </c>
      <c r="AL57" s="973" t="e">
        <f>VLOOKUP($AB57,sample!$1:$1048576,11,FALSE)</f>
        <v>#N/A</v>
      </c>
      <c r="AM57" s="973" t="e">
        <f>VLOOKUP($AB57,sample!$1:$1048576,12,FALSE)</f>
        <v>#N/A</v>
      </c>
      <c r="AN57" s="973" t="e">
        <f>VLOOKUP($AB57,sample!$1:$1048576,13,FALSE)</f>
        <v>#N/A</v>
      </c>
      <c r="AP57" s="988"/>
    </row>
    <row r="58" spans="1:42" s="864" customFormat="1" ht="14">
      <c r="A58" s="808">
        <v>201900058</v>
      </c>
      <c r="B58" s="844">
        <v>43627</v>
      </c>
      <c r="C58" s="844" t="s">
        <v>133</v>
      </c>
      <c r="D58" s="1131" t="str">
        <f>IFERROR(VLOOKUP(G58,PosAggregate!$B$13:$B$85,1,FALSE),"")</f>
        <v/>
      </c>
      <c r="E58" s="862" t="s">
        <v>1228</v>
      </c>
      <c r="F58" s="1006" t="str">
        <f t="shared" si="3"/>
        <v/>
      </c>
      <c r="G58" s="778" t="s">
        <v>1185</v>
      </c>
      <c r="H58" s="778"/>
      <c r="I58" s="778" t="s">
        <v>1231</v>
      </c>
      <c r="J58" s="778" t="s">
        <v>1067</v>
      </c>
      <c r="K58" s="847">
        <v>1.2778</v>
      </c>
      <c r="L58" s="848"/>
      <c r="M58" s="849">
        <v>7196</v>
      </c>
      <c r="N58" s="977">
        <f t="shared" si="9"/>
        <v>-9195.0488000000005</v>
      </c>
      <c r="O58" s="849">
        <v>-7.36</v>
      </c>
      <c r="P58" s="849"/>
      <c r="Q58" s="849"/>
      <c r="R58" s="981">
        <f t="shared" si="10"/>
        <v>-9202.4088000000011</v>
      </c>
      <c r="S58" s="847">
        <v>10.652360806316631</v>
      </c>
      <c r="T58" s="983">
        <f t="shared" si="11"/>
        <v>-863.88444470855336</v>
      </c>
      <c r="U58" s="863">
        <v>43631</v>
      </c>
      <c r="V58" s="857" t="s">
        <v>1183</v>
      </c>
      <c r="W58" s="858">
        <v>43627.690176041666</v>
      </c>
      <c r="X58" s="971">
        <f t="shared" si="12"/>
        <v>8.0043077096012799E-2</v>
      </c>
      <c r="Y58" s="972" t="str">
        <f>VLOOKUP(V58,'bic broker'!$A$1:$B$14,2,FALSE)</f>
        <v>EMSIITM1XXX</v>
      </c>
      <c r="Z58" s="972" t="str">
        <f>VLOOKUP(AA58,'place of settlement'!A:C,2,FALSE)</f>
        <v>VPCSSESSXXX</v>
      </c>
      <c r="AA58" s="972" t="str">
        <f t="shared" si="13"/>
        <v>SE</v>
      </c>
      <c r="AB58" s="972" t="str">
        <f t="shared" si="14"/>
        <v>EquitaSE</v>
      </c>
      <c r="AC58" s="972" t="str">
        <f>VLOOKUP(AB58,sample!$1:$1048576,2,FALSE)</f>
        <v>BCITITMMXXX</v>
      </c>
      <c r="AD58" s="972" t="str">
        <f>VLOOKUP($AB58,sample!$1:$1048576,3,FALSE)</f>
        <v>VPCSSESSXXX</v>
      </c>
      <c r="AE58" s="973" t="str">
        <f>VLOOKUP($AB58,sample!$1:$1048576,4,FALSE)</f>
        <v>01 100 247 955</v>
      </c>
      <c r="AF58" s="972" t="str">
        <f>VLOOKUP($AB58,sample!$1:$1048576,5,FALSE)</f>
        <v>N</v>
      </c>
      <c r="AL58" s="973" t="str">
        <f>VLOOKUP($AB58,sample!$1:$1048576,11,FALSE)</f>
        <v xml:space="preserve">        </v>
      </c>
      <c r="AM58" s="973" t="str">
        <f>VLOOKUP($AB58,sample!$1:$1048576,12,FALSE)</f>
        <v xml:space="preserve">        </v>
      </c>
      <c r="AN58" s="973" t="str">
        <f>VLOOKUP($AB58,sample!$1:$1048576,13,FALSE)</f>
        <v>ESSESESSXXX</v>
      </c>
      <c r="AP58" s="988"/>
    </row>
    <row r="59" spans="1:42" s="871" customFormat="1" ht="14">
      <c r="A59" s="808">
        <v>201900059</v>
      </c>
      <c r="B59" s="865">
        <v>43628</v>
      </c>
      <c r="C59" s="865" t="s">
        <v>133</v>
      </c>
      <c r="D59" s="1130" t="str">
        <f>IFERROR(VLOOKUP(G59,PosAggregate!$B$13:$B$85,1,FALSE),"")</f>
        <v/>
      </c>
      <c r="E59" s="853" t="s">
        <v>1210</v>
      </c>
      <c r="F59" s="1006" t="str">
        <f t="shared" si="3"/>
        <v/>
      </c>
      <c r="G59" s="558" t="s">
        <v>1160</v>
      </c>
      <c r="H59" s="558"/>
      <c r="I59" s="833" t="s">
        <v>1108</v>
      </c>
      <c r="J59" s="709" t="s">
        <v>123</v>
      </c>
      <c r="K59" s="866">
        <v>4531.3842999999997</v>
      </c>
      <c r="L59" s="867"/>
      <c r="M59" s="868">
        <v>5920</v>
      </c>
      <c r="N59" s="976">
        <f t="shared" si="9"/>
        <v>-26825795.055999998</v>
      </c>
      <c r="O59" s="868">
        <v>-40239</v>
      </c>
      <c r="P59" s="868"/>
      <c r="Q59" s="868"/>
      <c r="R59" s="980">
        <f t="shared" si="10"/>
        <v>-26866034.055999998</v>
      </c>
      <c r="S59" s="866">
        <v>1329.8373527762183</v>
      </c>
      <c r="T59" s="983">
        <f t="shared" si="11"/>
        <v>-20202.496192420418</v>
      </c>
      <c r="U59" s="869">
        <v>43633</v>
      </c>
      <c r="V59" s="855" t="s">
        <v>1184</v>
      </c>
      <c r="W59" s="870">
        <v>43634.461969097225</v>
      </c>
      <c r="X59" s="971">
        <f t="shared" si="12"/>
        <v>0.15000114597162681</v>
      </c>
      <c r="Y59" s="972" t="e">
        <f>VLOOKUP(V59,'bic broker'!$A$1:$B$14,2,FALSE)</f>
        <v>#N/A</v>
      </c>
      <c r="Z59" s="972" t="str">
        <f>VLOOKUP(AA59,'place of settlement'!A:C,2,FALSE)</f>
        <v>KSDCKRSEXXX</v>
      </c>
      <c r="AA59" s="972" t="str">
        <f t="shared" si="13"/>
        <v>KR</v>
      </c>
      <c r="AB59" s="972" t="str">
        <f t="shared" si="14"/>
        <v>SamsungKR</v>
      </c>
      <c r="AC59" s="972" t="e">
        <f>VLOOKUP(AB59,sample!$1:$1048576,2,FALSE)</f>
        <v>#N/A</v>
      </c>
      <c r="AD59" s="972" t="e">
        <f>VLOOKUP($AB59,sample!$1:$1048576,3,FALSE)</f>
        <v>#N/A</v>
      </c>
      <c r="AE59" s="973" t="e">
        <f>VLOOKUP($AB59,sample!$1:$1048576,4,FALSE)</f>
        <v>#N/A</v>
      </c>
      <c r="AF59" s="972" t="e">
        <f>VLOOKUP($AB59,sample!$1:$1048576,5,FALSE)</f>
        <v>#N/A</v>
      </c>
      <c r="AL59" s="973" t="e">
        <f>VLOOKUP($AB59,sample!$1:$1048576,11,FALSE)</f>
        <v>#N/A</v>
      </c>
      <c r="AM59" s="973" t="e">
        <f>VLOOKUP($AB59,sample!$1:$1048576,12,FALSE)</f>
        <v>#N/A</v>
      </c>
      <c r="AN59" s="973" t="e">
        <f>VLOOKUP($AB59,sample!$1:$1048576,13,FALSE)</f>
        <v>#N/A</v>
      </c>
      <c r="AP59" s="988"/>
    </row>
    <row r="60" spans="1:42" s="871" customFormat="1" ht="14">
      <c r="A60" s="808">
        <v>201900060</v>
      </c>
      <c r="B60" s="865">
        <v>43629</v>
      </c>
      <c r="C60" s="865" t="s">
        <v>133</v>
      </c>
      <c r="D60" s="1130" t="str">
        <f>IFERROR(VLOOKUP(G60,PosAggregate!$B$13:$B$85,1,FALSE),"")</f>
        <v/>
      </c>
      <c r="E60" s="853" t="s">
        <v>1210</v>
      </c>
      <c r="F60" s="1006" t="str">
        <f t="shared" si="3"/>
        <v/>
      </c>
      <c r="G60" s="558" t="s">
        <v>1160</v>
      </c>
      <c r="H60" s="558"/>
      <c r="I60" s="833" t="s">
        <v>1108</v>
      </c>
      <c r="J60" s="833" t="s">
        <v>123</v>
      </c>
      <c r="K60" s="866">
        <v>4511.9632000000001</v>
      </c>
      <c r="L60" s="867"/>
      <c r="M60" s="868">
        <v>4727</v>
      </c>
      <c r="N60" s="976">
        <f t="shared" si="9"/>
        <v>-21328050.046399999</v>
      </c>
      <c r="O60" s="868">
        <v>-31992</v>
      </c>
      <c r="P60" s="868"/>
      <c r="Q60" s="868"/>
      <c r="R60" s="980">
        <f t="shared" si="10"/>
        <v>-21360042.046399999</v>
      </c>
      <c r="S60" s="866">
        <v>1329.8373527762183</v>
      </c>
      <c r="T60" s="983">
        <f t="shared" si="11"/>
        <v>-16062.146248041518</v>
      </c>
      <c r="U60" s="869">
        <v>43634</v>
      </c>
      <c r="V60" s="855" t="s">
        <v>1184</v>
      </c>
      <c r="W60" s="870">
        <v>43634.462918171295</v>
      </c>
      <c r="X60" s="971">
        <f t="shared" si="12"/>
        <v>0.14999964802408172</v>
      </c>
      <c r="Y60" s="972" t="e">
        <f>VLOOKUP(V60,'bic broker'!$A$1:$B$14,2,FALSE)</f>
        <v>#N/A</v>
      </c>
      <c r="Z60" s="972" t="str">
        <f>VLOOKUP(AA60,'place of settlement'!A:C,2,FALSE)</f>
        <v>KSDCKRSEXXX</v>
      </c>
      <c r="AA60" s="972" t="str">
        <f t="shared" si="13"/>
        <v>KR</v>
      </c>
      <c r="AB60" s="972" t="str">
        <f t="shared" si="14"/>
        <v>SamsungKR</v>
      </c>
      <c r="AC60" s="972" t="e">
        <f>VLOOKUP(AB60,sample!$1:$1048576,2,FALSE)</f>
        <v>#N/A</v>
      </c>
      <c r="AD60" s="972" t="e">
        <f>VLOOKUP($AB60,sample!$1:$1048576,3,FALSE)</f>
        <v>#N/A</v>
      </c>
      <c r="AE60" s="973" t="e">
        <f>VLOOKUP($AB60,sample!$1:$1048576,4,FALSE)</f>
        <v>#N/A</v>
      </c>
      <c r="AF60" s="972" t="e">
        <f>VLOOKUP($AB60,sample!$1:$1048576,5,FALSE)</f>
        <v>#N/A</v>
      </c>
      <c r="AL60" s="973" t="e">
        <f>VLOOKUP($AB60,sample!$1:$1048576,11,FALSE)</f>
        <v>#N/A</v>
      </c>
      <c r="AM60" s="973" t="e">
        <f>VLOOKUP($AB60,sample!$1:$1048576,12,FALSE)</f>
        <v>#N/A</v>
      </c>
      <c r="AN60" s="973" t="e">
        <f>VLOOKUP($AB60,sample!$1:$1048576,13,FALSE)</f>
        <v>#N/A</v>
      </c>
      <c r="AP60" s="988"/>
    </row>
    <row r="61" spans="1:42" s="871" customFormat="1" ht="14">
      <c r="A61" s="808">
        <v>201900061</v>
      </c>
      <c r="B61" s="865">
        <v>43630</v>
      </c>
      <c r="C61" s="865" t="s">
        <v>133</v>
      </c>
      <c r="D61" s="1130" t="str">
        <f>IFERROR(VLOOKUP(G61,PosAggregate!$B$13:$B$85,1,FALSE),"")</f>
        <v/>
      </c>
      <c r="E61" s="853" t="s">
        <v>1228</v>
      </c>
      <c r="F61" s="1006" t="str">
        <f t="shared" si="3"/>
        <v/>
      </c>
      <c r="G61" s="558" t="s">
        <v>1185</v>
      </c>
      <c r="H61" s="558"/>
      <c r="I61" s="833" t="s">
        <v>1231</v>
      </c>
      <c r="J61" s="833" t="s">
        <v>1067</v>
      </c>
      <c r="K61" s="866">
        <v>1.3073999999999999</v>
      </c>
      <c r="L61" s="867"/>
      <c r="M61" s="868">
        <v>72685</v>
      </c>
      <c r="N61" s="976">
        <f t="shared" si="9"/>
        <v>-95028.368999999992</v>
      </c>
      <c r="O61" s="868">
        <v>-76.02</v>
      </c>
      <c r="P61" s="868"/>
      <c r="Q61" s="868"/>
      <c r="R61" s="980">
        <f t="shared" si="10"/>
        <v>-95104.388999999996</v>
      </c>
      <c r="S61" s="866">
        <v>10.633987661245094</v>
      </c>
      <c r="T61" s="983">
        <f t="shared" si="11"/>
        <v>-8943.4360871606077</v>
      </c>
      <c r="U61" s="869">
        <v>43634</v>
      </c>
      <c r="V61" s="855" t="s">
        <v>1183</v>
      </c>
      <c r="W61" s="870">
        <v>43634.467695486113</v>
      </c>
      <c r="X61" s="971">
        <f t="shared" si="12"/>
        <v>7.9997163794319148E-2</v>
      </c>
      <c r="Y61" s="972" t="str">
        <f>VLOOKUP(V61,'bic broker'!$A$1:$B$14,2,FALSE)</f>
        <v>EMSIITM1XXX</v>
      </c>
      <c r="Z61" s="972" t="str">
        <f>VLOOKUP(AA61,'place of settlement'!A:C,2,FALSE)</f>
        <v>VPCSSESSXXX</v>
      </c>
      <c r="AA61" s="972" t="str">
        <f t="shared" si="13"/>
        <v>SE</v>
      </c>
      <c r="AB61" s="972" t="str">
        <f t="shared" si="14"/>
        <v>EquitaSE</v>
      </c>
      <c r="AC61" s="972" t="str">
        <f>VLOOKUP(AB61,sample!$1:$1048576,2,FALSE)</f>
        <v>BCITITMMXXX</v>
      </c>
      <c r="AD61" s="972" t="str">
        <f>VLOOKUP($AB61,sample!$1:$1048576,3,FALSE)</f>
        <v>VPCSSESSXXX</v>
      </c>
      <c r="AE61" s="973" t="str">
        <f>VLOOKUP($AB61,sample!$1:$1048576,4,FALSE)</f>
        <v>01 100 247 955</v>
      </c>
      <c r="AF61" s="972" t="str">
        <f>VLOOKUP($AB61,sample!$1:$1048576,5,FALSE)</f>
        <v>N</v>
      </c>
      <c r="AL61" s="973" t="str">
        <f>VLOOKUP($AB61,sample!$1:$1048576,11,FALSE)</f>
        <v xml:space="preserve">        </v>
      </c>
      <c r="AM61" s="973" t="str">
        <f>VLOOKUP($AB61,sample!$1:$1048576,12,FALSE)</f>
        <v xml:space="preserve">        </v>
      </c>
      <c r="AN61" s="973" t="str">
        <f>VLOOKUP($AB61,sample!$1:$1048576,13,FALSE)</f>
        <v>ESSESESSXXX</v>
      </c>
      <c r="AP61" s="988"/>
    </row>
    <row r="62" spans="1:42" s="871" customFormat="1" ht="14">
      <c r="A62" s="808">
        <v>201900062</v>
      </c>
      <c r="B62" s="865">
        <v>43636</v>
      </c>
      <c r="C62" s="865" t="s">
        <v>133</v>
      </c>
      <c r="D62" s="1130" t="str">
        <f>IFERROR(VLOOKUP(G62,PosAggregate!$B$13:$B$85,1,FALSE),"")</f>
        <v/>
      </c>
      <c r="E62" s="853" t="s">
        <v>1210</v>
      </c>
      <c r="F62" s="1006" t="str">
        <f t="shared" si="3"/>
        <v/>
      </c>
      <c r="G62" s="558" t="s">
        <v>1160</v>
      </c>
      <c r="H62" s="558"/>
      <c r="I62" s="833" t="s">
        <v>1108</v>
      </c>
      <c r="J62" s="833" t="s">
        <v>123</v>
      </c>
      <c r="K62" s="866">
        <v>4545</v>
      </c>
      <c r="L62" s="867"/>
      <c r="M62" s="868">
        <v>4200</v>
      </c>
      <c r="N62" s="976">
        <f t="shared" si="9"/>
        <v>-19089000</v>
      </c>
      <c r="O62" s="868">
        <v>-28125</v>
      </c>
      <c r="P62" s="868"/>
      <c r="Q62" s="868"/>
      <c r="R62" s="980">
        <f t="shared" si="10"/>
        <v>-19117125</v>
      </c>
      <c r="S62" s="866">
        <v>1314.8661541051674</v>
      </c>
      <c r="T62" s="983">
        <f t="shared" si="11"/>
        <v>-14539.217501579213</v>
      </c>
      <c r="U62" s="869">
        <v>43640</v>
      </c>
      <c r="V62" s="855" t="s">
        <v>1184</v>
      </c>
      <c r="W62" s="872">
        <v>43635.897766203707</v>
      </c>
      <c r="X62" s="971">
        <f t="shared" si="12"/>
        <v>0.14733616218764733</v>
      </c>
      <c r="Y62" s="972" t="e">
        <f>VLOOKUP(V62,'bic broker'!$A$1:$B$14,2,FALSE)</f>
        <v>#N/A</v>
      </c>
      <c r="Z62" s="972" t="str">
        <f>VLOOKUP(AA62,'place of settlement'!A:C,2,FALSE)</f>
        <v>KSDCKRSEXXX</v>
      </c>
      <c r="AA62" s="972" t="str">
        <f t="shared" si="13"/>
        <v>KR</v>
      </c>
      <c r="AB62" s="972" t="str">
        <f t="shared" si="14"/>
        <v>SamsungKR</v>
      </c>
      <c r="AC62" s="972" t="e">
        <f>VLOOKUP(AB62,sample!$1:$1048576,2,FALSE)</f>
        <v>#N/A</v>
      </c>
      <c r="AD62" s="972" t="e">
        <f>VLOOKUP($AB62,sample!$1:$1048576,3,FALSE)</f>
        <v>#N/A</v>
      </c>
      <c r="AE62" s="973" t="e">
        <f>VLOOKUP($AB62,sample!$1:$1048576,4,FALSE)</f>
        <v>#N/A</v>
      </c>
      <c r="AF62" s="972" t="e">
        <f>VLOOKUP($AB62,sample!$1:$1048576,5,FALSE)</f>
        <v>#N/A</v>
      </c>
      <c r="AL62" s="973" t="e">
        <f>VLOOKUP($AB62,sample!$1:$1048576,11,FALSE)</f>
        <v>#N/A</v>
      </c>
      <c r="AM62" s="973" t="e">
        <f>VLOOKUP($AB62,sample!$1:$1048576,12,FALSE)</f>
        <v>#N/A</v>
      </c>
      <c r="AN62" s="973" t="e">
        <f>VLOOKUP($AB62,sample!$1:$1048576,13,FALSE)</f>
        <v>#N/A</v>
      </c>
      <c r="AP62" s="988"/>
    </row>
    <row r="63" spans="1:42" ht="14">
      <c r="A63" s="808">
        <v>201900063</v>
      </c>
      <c r="B63" s="830">
        <v>43636</v>
      </c>
      <c r="C63" s="830" t="s">
        <v>133</v>
      </c>
      <c r="D63" s="1130" t="str">
        <f>IFERROR(VLOOKUP(G63,PosAggregate!$B$13:$B$85,1,FALSE),"")</f>
        <v/>
      </c>
      <c r="E63" s="853" t="s">
        <v>1208</v>
      </c>
      <c r="F63" s="1006" t="str">
        <f t="shared" si="3"/>
        <v/>
      </c>
      <c r="G63" s="558" t="s">
        <v>1158</v>
      </c>
      <c r="H63" s="558"/>
      <c r="I63" s="833" t="s">
        <v>1082</v>
      </c>
      <c r="J63" s="833" t="s">
        <v>123</v>
      </c>
      <c r="K63" s="744">
        <v>91600</v>
      </c>
      <c r="L63" s="834"/>
      <c r="M63" s="835">
        <v>600</v>
      </c>
      <c r="N63" s="976">
        <f t="shared" si="9"/>
        <v>-54960000</v>
      </c>
      <c r="O63" s="835">
        <v>-82286</v>
      </c>
      <c r="P63" s="835"/>
      <c r="Q63" s="835"/>
      <c r="R63" s="980">
        <f t="shared" si="10"/>
        <v>-55042286</v>
      </c>
      <c r="S63" s="744">
        <v>1314.8661541051683</v>
      </c>
      <c r="T63" s="983">
        <f t="shared" si="11"/>
        <v>-41861.512541144548</v>
      </c>
      <c r="U63" s="854">
        <v>43640</v>
      </c>
      <c r="V63" s="855" t="s">
        <v>1184</v>
      </c>
      <c r="W63" s="840">
        <v>43635.898587962962</v>
      </c>
      <c r="X63" s="971">
        <f t="shared" si="12"/>
        <v>0.14971979621542938</v>
      </c>
      <c r="Y63" s="972" t="e">
        <f>VLOOKUP(V63,'bic broker'!$A$1:$B$14,2,FALSE)</f>
        <v>#N/A</v>
      </c>
      <c r="Z63" s="972" t="str">
        <f>VLOOKUP(AA63,'place of settlement'!A:C,2,FALSE)</f>
        <v>KSDCKRSEXXX</v>
      </c>
      <c r="AA63" s="972" t="str">
        <f t="shared" si="13"/>
        <v>KR</v>
      </c>
      <c r="AB63" s="972" t="str">
        <f t="shared" si="14"/>
        <v>SamsungKR</v>
      </c>
      <c r="AC63" s="972" t="e">
        <f>VLOOKUP(AB63,sample!$1:$1048576,2,FALSE)</f>
        <v>#N/A</v>
      </c>
      <c r="AD63" s="972" t="e">
        <f>VLOOKUP($AB63,sample!$1:$1048576,3,FALSE)</f>
        <v>#N/A</v>
      </c>
      <c r="AE63" s="973" t="e">
        <f>VLOOKUP($AB63,sample!$1:$1048576,4,FALSE)</f>
        <v>#N/A</v>
      </c>
      <c r="AF63" s="972" t="e">
        <f>VLOOKUP($AB63,sample!$1:$1048576,5,FALSE)</f>
        <v>#N/A</v>
      </c>
      <c r="AL63" s="973" t="e">
        <f>VLOOKUP($AB63,sample!$1:$1048576,11,FALSE)</f>
        <v>#N/A</v>
      </c>
      <c r="AM63" s="973" t="e">
        <f>VLOOKUP($AB63,sample!$1:$1048576,12,FALSE)</f>
        <v>#N/A</v>
      </c>
      <c r="AN63" s="973" t="e">
        <f>VLOOKUP($AB63,sample!$1:$1048576,13,FALSE)</f>
        <v>#N/A</v>
      </c>
      <c r="AP63" s="988"/>
    </row>
    <row r="64" spans="1:42" ht="14">
      <c r="A64" s="808">
        <v>201900064</v>
      </c>
      <c r="B64" s="830">
        <v>43636</v>
      </c>
      <c r="C64" s="830" t="s">
        <v>133</v>
      </c>
      <c r="D64" s="1130" t="str">
        <f>IFERROR(VLOOKUP(G64,PosAggregate!$B$13:$B$85,1,FALSE),"")</f>
        <v/>
      </c>
      <c r="E64" s="769" t="s">
        <v>1209</v>
      </c>
      <c r="F64" s="1006" t="str">
        <f t="shared" si="3"/>
        <v/>
      </c>
      <c r="G64" s="558" t="s">
        <v>1159</v>
      </c>
      <c r="H64" s="558"/>
      <c r="I64" s="833" t="s">
        <v>1102</v>
      </c>
      <c r="J64" s="833" t="s">
        <v>123</v>
      </c>
      <c r="K64" s="744">
        <v>119500</v>
      </c>
      <c r="L64" s="834"/>
      <c r="M64" s="856">
        <v>500</v>
      </c>
      <c r="N64" s="974">
        <f t="shared" si="9"/>
        <v>-59750000</v>
      </c>
      <c r="O64" s="835">
        <v>-89370</v>
      </c>
      <c r="P64" s="835"/>
      <c r="Q64" s="835"/>
      <c r="R64" s="978">
        <f t="shared" si="10"/>
        <v>-59839370</v>
      </c>
      <c r="S64" s="744">
        <v>1314.8661541051692</v>
      </c>
      <c r="T64" s="983">
        <f t="shared" si="11"/>
        <v>-45509.856507580131</v>
      </c>
      <c r="U64" s="854">
        <v>43640</v>
      </c>
      <c r="V64" s="855" t="s">
        <v>1184</v>
      </c>
      <c r="W64" s="840">
        <v>43635.902118055557</v>
      </c>
      <c r="X64" s="971">
        <f t="shared" si="12"/>
        <v>0.14957322175732218</v>
      </c>
      <c r="Y64" s="972" t="e">
        <f>VLOOKUP(V64,'bic broker'!$A$1:$B$14,2,FALSE)</f>
        <v>#N/A</v>
      </c>
      <c r="Z64" s="972" t="str">
        <f>VLOOKUP(AA64,'place of settlement'!A:C,2,FALSE)</f>
        <v>KSDCKRSEXXX</v>
      </c>
      <c r="AA64" s="972" t="str">
        <f t="shared" si="13"/>
        <v>KR</v>
      </c>
      <c r="AB64" s="972" t="str">
        <f t="shared" si="14"/>
        <v>SamsungKR</v>
      </c>
      <c r="AC64" s="972" t="e">
        <f>VLOOKUP(AB64,sample!$1:$1048576,2,FALSE)</f>
        <v>#N/A</v>
      </c>
      <c r="AD64" s="972" t="e">
        <f>VLOOKUP($AB64,sample!$1:$1048576,3,FALSE)</f>
        <v>#N/A</v>
      </c>
      <c r="AE64" s="973" t="e">
        <f>VLOOKUP($AB64,sample!$1:$1048576,4,FALSE)</f>
        <v>#N/A</v>
      </c>
      <c r="AF64" s="972" t="e">
        <f>VLOOKUP($AB64,sample!$1:$1048576,5,FALSE)</f>
        <v>#N/A</v>
      </c>
      <c r="AL64" s="973" t="e">
        <f>VLOOKUP($AB64,sample!$1:$1048576,11,FALSE)</f>
        <v>#N/A</v>
      </c>
      <c r="AM64" s="973" t="e">
        <f>VLOOKUP($AB64,sample!$1:$1048576,12,FALSE)</f>
        <v>#N/A</v>
      </c>
      <c r="AN64" s="973" t="e">
        <f>VLOOKUP($AB64,sample!$1:$1048576,13,FALSE)</f>
        <v>#N/A</v>
      </c>
      <c r="AP64" s="988"/>
    </row>
    <row r="65" spans="1:42" ht="14">
      <c r="A65" s="808">
        <v>201900065</v>
      </c>
      <c r="B65" s="830">
        <v>43636</v>
      </c>
      <c r="C65" s="830" t="s">
        <v>133</v>
      </c>
      <c r="D65" s="1130" t="str">
        <f>IFERROR(VLOOKUP(G65,PosAggregate!$B$13:$B$85,1,FALSE),"")</f>
        <v/>
      </c>
      <c r="E65" s="769" t="s">
        <v>1212</v>
      </c>
      <c r="F65" s="1006" t="str">
        <f t="shared" si="3"/>
        <v/>
      </c>
      <c r="G65" s="558" t="s">
        <v>1162</v>
      </c>
      <c r="H65" s="558"/>
      <c r="I65" s="833" t="s">
        <v>1101</v>
      </c>
      <c r="J65" s="833" t="s">
        <v>123</v>
      </c>
      <c r="K65" s="744">
        <v>47200</v>
      </c>
      <c r="L65" s="834"/>
      <c r="M65" s="835">
        <v>1200</v>
      </c>
      <c r="N65" s="974">
        <f t="shared" si="9"/>
        <v>-56640000</v>
      </c>
      <c r="O65" s="835">
        <v>-84240</v>
      </c>
      <c r="P65" s="835"/>
      <c r="Q65" s="835"/>
      <c r="R65" s="978">
        <f t="shared" si="10"/>
        <v>-56724240</v>
      </c>
      <c r="S65" s="744">
        <v>1314.866154105169</v>
      </c>
      <c r="T65" s="983">
        <f t="shared" si="11"/>
        <v>-43140.695212893079</v>
      </c>
      <c r="U65" s="854">
        <v>43640</v>
      </c>
      <c r="V65" s="855" t="s">
        <v>1184</v>
      </c>
      <c r="W65" s="840">
        <v>43635.903657407405</v>
      </c>
      <c r="X65" s="971">
        <f t="shared" si="12"/>
        <v>0.14872881355932202</v>
      </c>
      <c r="Y65" s="972" t="e">
        <f>VLOOKUP(V65,'bic broker'!$A$1:$B$14,2,FALSE)</f>
        <v>#N/A</v>
      </c>
      <c r="Z65" s="972" t="str">
        <f>VLOOKUP(AA65,'place of settlement'!A:C,2,FALSE)</f>
        <v>KSDCKRSEXXX</v>
      </c>
      <c r="AA65" s="972" t="str">
        <f t="shared" si="13"/>
        <v>KR</v>
      </c>
      <c r="AB65" s="972" t="str">
        <f t="shared" si="14"/>
        <v>SamsungKR</v>
      </c>
      <c r="AC65" s="972" t="e">
        <f>VLOOKUP(AB65,sample!$1:$1048576,2,FALSE)</f>
        <v>#N/A</v>
      </c>
      <c r="AD65" s="972" t="e">
        <f>VLOOKUP($AB65,sample!$1:$1048576,3,FALSE)</f>
        <v>#N/A</v>
      </c>
      <c r="AE65" s="973" t="e">
        <f>VLOOKUP($AB65,sample!$1:$1048576,4,FALSE)</f>
        <v>#N/A</v>
      </c>
      <c r="AF65" s="972" t="e">
        <f>VLOOKUP($AB65,sample!$1:$1048576,5,FALSE)</f>
        <v>#N/A</v>
      </c>
      <c r="AL65" s="973" t="e">
        <f>VLOOKUP($AB65,sample!$1:$1048576,11,FALSE)</f>
        <v>#N/A</v>
      </c>
      <c r="AM65" s="973" t="e">
        <f>VLOOKUP($AB65,sample!$1:$1048576,12,FALSE)</f>
        <v>#N/A</v>
      </c>
      <c r="AN65" s="973" t="e">
        <f>VLOOKUP($AB65,sample!$1:$1048576,13,FALSE)</f>
        <v>#N/A</v>
      </c>
      <c r="AP65" s="988"/>
    </row>
    <row r="66" spans="1:42" ht="14">
      <c r="A66" s="808">
        <v>201900066</v>
      </c>
      <c r="B66" s="830">
        <v>43636</v>
      </c>
      <c r="C66" s="830" t="s">
        <v>133</v>
      </c>
      <c r="D66" s="1130" t="str">
        <f>IFERROR(VLOOKUP(G66,PosAggregate!$B$13:$B$85,1,FALSE),"")</f>
        <v/>
      </c>
      <c r="E66" s="769" t="s">
        <v>1228</v>
      </c>
      <c r="F66" s="1006" t="str">
        <f t="shared" si="3"/>
        <v/>
      </c>
      <c r="G66" s="558" t="s">
        <v>1185</v>
      </c>
      <c r="H66" s="558"/>
      <c r="I66" s="833" t="s">
        <v>1231</v>
      </c>
      <c r="J66" s="833" t="s">
        <v>1067</v>
      </c>
      <c r="K66" s="744">
        <v>1.2777000000000001</v>
      </c>
      <c r="L66" s="834"/>
      <c r="M66" s="835">
        <v>27305</v>
      </c>
      <c r="N66" s="974">
        <f t="shared" si="9"/>
        <v>-34887.5985</v>
      </c>
      <c r="O66" s="835">
        <v>-27.91</v>
      </c>
      <c r="P66" s="835"/>
      <c r="Q66" s="835"/>
      <c r="R66" s="978">
        <f t="shared" si="10"/>
        <v>-34915.508500000004</v>
      </c>
      <c r="S66" s="744">
        <v>10.648970200347936</v>
      </c>
      <c r="T66" s="983">
        <f t="shared" si="11"/>
        <v>-3278.7685422257264</v>
      </c>
      <c r="U66" s="839">
        <v>43641</v>
      </c>
      <c r="V66" s="831" t="s">
        <v>1183</v>
      </c>
      <c r="W66" s="840">
        <v>43636.638509027776</v>
      </c>
      <c r="X66" s="971">
        <f t="shared" si="12"/>
        <v>7.9999774131773504E-2</v>
      </c>
      <c r="Y66" s="972" t="str">
        <f>VLOOKUP(V66,'bic broker'!$A$1:$B$14,2,FALSE)</f>
        <v>EMSIITM1XXX</v>
      </c>
      <c r="Z66" s="972" t="str">
        <f>VLOOKUP(AA66,'place of settlement'!A:C,2,FALSE)</f>
        <v>VPCSSESSXXX</v>
      </c>
      <c r="AA66" s="972" t="str">
        <f t="shared" si="13"/>
        <v>SE</v>
      </c>
      <c r="AB66" s="972" t="str">
        <f t="shared" si="14"/>
        <v>EquitaSE</v>
      </c>
      <c r="AC66" s="972" t="str">
        <f>VLOOKUP(AB66,sample!$1:$1048576,2,FALSE)</f>
        <v>BCITITMMXXX</v>
      </c>
      <c r="AD66" s="972" t="str">
        <f>VLOOKUP($AB66,sample!$1:$1048576,3,FALSE)</f>
        <v>VPCSSESSXXX</v>
      </c>
      <c r="AE66" s="973" t="str">
        <f>VLOOKUP($AB66,sample!$1:$1048576,4,FALSE)</f>
        <v>01 100 247 955</v>
      </c>
      <c r="AF66" s="972" t="str">
        <f>VLOOKUP($AB66,sample!$1:$1048576,5,FALSE)</f>
        <v>N</v>
      </c>
      <c r="AL66" s="973" t="str">
        <f>VLOOKUP($AB66,sample!$1:$1048576,11,FALSE)</f>
        <v xml:space="preserve">        </v>
      </c>
      <c r="AM66" s="973" t="str">
        <f>VLOOKUP($AB66,sample!$1:$1048576,12,FALSE)</f>
        <v xml:space="preserve">        </v>
      </c>
      <c r="AN66" s="973" t="str">
        <f>VLOOKUP($AB66,sample!$1:$1048576,13,FALSE)</f>
        <v>ESSESESSXXX</v>
      </c>
      <c r="AP66" s="988"/>
    </row>
    <row r="67" spans="1:42" ht="14">
      <c r="A67" s="808">
        <v>201900067</v>
      </c>
      <c r="B67" s="830">
        <v>43640</v>
      </c>
      <c r="C67" s="830" t="s">
        <v>133</v>
      </c>
      <c r="D67" s="1130" t="str">
        <f>IFERROR(VLOOKUP(G67,PosAggregate!$B$13:$B$85,1,FALSE),"")</f>
        <v/>
      </c>
      <c r="E67" s="769" t="s">
        <v>1227</v>
      </c>
      <c r="F67" s="1006" t="str">
        <f t="shared" si="3"/>
        <v/>
      </c>
      <c r="G67" s="558" t="s">
        <v>1163</v>
      </c>
      <c r="H67" s="558"/>
      <c r="I67" s="833" t="s">
        <v>1092</v>
      </c>
      <c r="J67" s="833" t="s">
        <v>1069</v>
      </c>
      <c r="K67" s="744">
        <v>0.83</v>
      </c>
      <c r="L67" s="834"/>
      <c r="M67" s="835">
        <v>35000</v>
      </c>
      <c r="N67" s="974">
        <f t="shared" si="9"/>
        <v>-29050</v>
      </c>
      <c r="O67" s="835">
        <v>-23.24</v>
      </c>
      <c r="P67" s="835"/>
      <c r="Q67" s="835"/>
      <c r="R67" s="978">
        <f t="shared" si="10"/>
        <v>-29073.24</v>
      </c>
      <c r="S67" s="744">
        <v>1.6311790077456365</v>
      </c>
      <c r="T67" s="983">
        <f t="shared" si="11"/>
        <v>-17823.45154145929</v>
      </c>
      <c r="U67" s="839">
        <v>43642</v>
      </c>
      <c r="V67" s="831" t="s">
        <v>1183</v>
      </c>
      <c r="W67" s="840">
        <v>43637.703286342592</v>
      </c>
      <c r="X67" s="971">
        <f t="shared" si="12"/>
        <v>7.9999999999999988E-2</v>
      </c>
      <c r="Y67" s="972" t="str">
        <f>VLOOKUP(V67,'bic broker'!$A$1:$B$14,2,FALSE)</f>
        <v>EMSIITM1XXX</v>
      </c>
      <c r="Z67" s="972" t="str">
        <f>VLOOKUP(AA67,'place of settlement'!A:C,2,FALSE)</f>
        <v>CAETAU21XXX</v>
      </c>
      <c r="AA67" s="972" t="str">
        <f t="shared" si="13"/>
        <v>AU</v>
      </c>
      <c r="AB67" s="972" t="str">
        <f t="shared" si="14"/>
        <v>EquitaAU</v>
      </c>
      <c r="AC67" s="972" t="str">
        <f>VLOOKUP(AB67,sample!$1:$1048576,2,FALSE)</f>
        <v>BCITITMMXXX</v>
      </c>
      <c r="AD67" s="972" t="str">
        <f>VLOOKUP($AB67,sample!$1:$1048576,3,FALSE)</f>
        <v>CAETAU21XXX</v>
      </c>
      <c r="AE67" s="973">
        <f>VLOOKUP($AB67,sample!$1:$1048576,4,FALSE)</f>
        <v>2099100983</v>
      </c>
      <c r="AF67" s="972" t="str">
        <f>VLOOKUP($AB67,sample!$1:$1048576,5,FALSE)</f>
        <v>N</v>
      </c>
      <c r="AL67" s="973" t="str">
        <f>VLOOKUP($AB67,sample!$1:$1048576,11,FALSE)</f>
        <v xml:space="preserve">        </v>
      </c>
      <c r="AM67" s="973" t="str">
        <f>VLOOKUP($AB67,sample!$1:$1048576,12,FALSE)</f>
        <v xml:space="preserve">        </v>
      </c>
      <c r="AN67" s="973" t="str">
        <f>VLOOKUP($AB67,sample!$1:$1048576,13,FALSE)</f>
        <v>CITIAU3XXXX</v>
      </c>
      <c r="AP67" s="988"/>
    </row>
    <row r="68" spans="1:42" ht="14">
      <c r="A68" s="808">
        <v>201900068</v>
      </c>
      <c r="B68" s="830">
        <v>43640</v>
      </c>
      <c r="C68" s="830" t="s">
        <v>133</v>
      </c>
      <c r="D68" s="1130" t="str">
        <f>IFERROR(VLOOKUP(G68,PosAggregate!$B$13:$B$85,1,FALSE),"")</f>
        <v/>
      </c>
      <c r="E68" s="769" t="s">
        <v>1228</v>
      </c>
      <c r="F68" s="1006" t="str">
        <f t="shared" si="3"/>
        <v/>
      </c>
      <c r="G68" s="558" t="s">
        <v>1185</v>
      </c>
      <c r="H68" s="558"/>
      <c r="I68" s="833" t="s">
        <v>1231</v>
      </c>
      <c r="J68" s="833" t="s">
        <v>1067</v>
      </c>
      <c r="K68" s="744">
        <v>1.0893999999999999</v>
      </c>
      <c r="L68" s="834"/>
      <c r="M68" s="835">
        <v>110000</v>
      </c>
      <c r="N68" s="974">
        <f t="shared" si="9"/>
        <v>-119833.99999999999</v>
      </c>
      <c r="O68" s="835">
        <v>-95.87</v>
      </c>
      <c r="P68" s="835"/>
      <c r="Q68" s="835"/>
      <c r="R68" s="978">
        <f t="shared" si="10"/>
        <v>-119929.86999999998</v>
      </c>
      <c r="S68" s="744">
        <v>10.630151525416109</v>
      </c>
      <c r="T68" s="983">
        <f t="shared" si="11"/>
        <v>-11282.047082137469</v>
      </c>
      <c r="U68" s="839">
        <v>43642</v>
      </c>
      <c r="V68" s="831" t="s">
        <v>1183</v>
      </c>
      <c r="W68" s="840">
        <v>43640.521310763892</v>
      </c>
      <c r="X68" s="971">
        <f t="shared" si="12"/>
        <v>8.0002336565582408E-2</v>
      </c>
      <c r="Y68" s="972" t="str">
        <f>VLOOKUP(V68,'bic broker'!$A$1:$B$14,2,FALSE)</f>
        <v>EMSIITM1XXX</v>
      </c>
      <c r="Z68" s="972" t="str">
        <f>VLOOKUP(AA68,'place of settlement'!A:C,2,FALSE)</f>
        <v>VPCSSESSXXX</v>
      </c>
      <c r="AA68" s="972" t="str">
        <f t="shared" si="13"/>
        <v>SE</v>
      </c>
      <c r="AB68" s="972" t="str">
        <f t="shared" si="14"/>
        <v>EquitaSE</v>
      </c>
      <c r="AC68" s="972" t="str">
        <f>VLOOKUP(AB68,sample!$1:$1048576,2,FALSE)</f>
        <v>BCITITMMXXX</v>
      </c>
      <c r="AD68" s="972" t="str">
        <f>VLOOKUP($AB68,sample!$1:$1048576,3,FALSE)</f>
        <v>VPCSSESSXXX</v>
      </c>
      <c r="AE68" s="973" t="str">
        <f>VLOOKUP($AB68,sample!$1:$1048576,4,FALSE)</f>
        <v>01 100 247 955</v>
      </c>
      <c r="AF68" s="972" t="str">
        <f>VLOOKUP($AB68,sample!$1:$1048576,5,FALSE)</f>
        <v>N</v>
      </c>
      <c r="AL68" s="973" t="str">
        <f>VLOOKUP($AB68,sample!$1:$1048576,11,FALSE)</f>
        <v xml:space="preserve">        </v>
      </c>
      <c r="AM68" s="973" t="str">
        <f>VLOOKUP($AB68,sample!$1:$1048576,12,FALSE)</f>
        <v xml:space="preserve">        </v>
      </c>
      <c r="AN68" s="973" t="str">
        <f>VLOOKUP($AB68,sample!$1:$1048576,13,FALSE)</f>
        <v>ESSESESSXXX</v>
      </c>
      <c r="AP68" s="988"/>
    </row>
    <row r="69" spans="1:42" ht="14">
      <c r="A69" s="808">
        <v>201900069</v>
      </c>
      <c r="B69" s="830">
        <v>43643</v>
      </c>
      <c r="C69" s="830" t="s">
        <v>133</v>
      </c>
      <c r="D69" s="1130" t="str">
        <f>IFERROR(VLOOKUP(G69,PosAggregate!$B$13:$B$85,1,FALSE),"")</f>
        <v/>
      </c>
      <c r="E69" s="769" t="s">
        <v>1186</v>
      </c>
      <c r="F69" s="1006" t="str">
        <f t="shared" si="3"/>
        <v/>
      </c>
      <c r="G69" s="558" t="s">
        <v>1134</v>
      </c>
      <c r="H69" s="558"/>
      <c r="I69" s="832" t="s">
        <v>1081</v>
      </c>
      <c r="J69" s="833" t="s">
        <v>125</v>
      </c>
      <c r="K69" s="744">
        <v>890</v>
      </c>
      <c r="L69" s="834"/>
      <c r="M69" s="835">
        <v>6700</v>
      </c>
      <c r="N69" s="974">
        <f t="shared" si="9"/>
        <v>-5963000</v>
      </c>
      <c r="O69" s="835">
        <v>-4770</v>
      </c>
      <c r="P69" s="835"/>
      <c r="Q69" s="835"/>
      <c r="R69" s="978">
        <f t="shared" si="10"/>
        <v>-5967770</v>
      </c>
      <c r="S69" s="744">
        <v>121.79931582356893</v>
      </c>
      <c r="T69" s="983">
        <f t="shared" si="11"/>
        <v>-48996.744847438618</v>
      </c>
      <c r="U69" s="839">
        <v>43648</v>
      </c>
      <c r="V69" s="831" t="s">
        <v>1183</v>
      </c>
      <c r="W69" s="840">
        <v>43642.753387268516</v>
      </c>
      <c r="X69" s="971">
        <f t="shared" si="12"/>
        <v>7.9993291967130634E-2</v>
      </c>
      <c r="Y69" s="972" t="str">
        <f>VLOOKUP(V69,'bic broker'!$A$1:$B$14,2,FALSE)</f>
        <v>EMSIITM1XXX</v>
      </c>
      <c r="Z69" s="972" t="str">
        <f>VLOOKUP(AA69,'place of settlement'!A:C,2,FALSE)</f>
        <v>JJSDJPJTXXX</v>
      </c>
      <c r="AA69" s="972" t="str">
        <f t="shared" si="13"/>
        <v>JP</v>
      </c>
      <c r="AB69" s="972" t="str">
        <f t="shared" si="14"/>
        <v>EquitaJP</v>
      </c>
      <c r="AC69" s="972" t="str">
        <f>VLOOKUP(AB69,sample!$1:$1048576,2,FALSE)</f>
        <v>BCITITMMXXX</v>
      </c>
      <c r="AD69" s="972" t="str">
        <f>VLOOKUP($AB69,sample!$1:$1048576,3,FALSE)</f>
        <v>JJSDJPJTXXX</v>
      </c>
      <c r="AE69" s="973">
        <f>VLOOKUP($AB69,sample!$1:$1048576,4,FALSE)</f>
        <v>100502629</v>
      </c>
      <c r="AF69" s="972" t="str">
        <f>VLOOKUP($AB69,sample!$1:$1048576,5,FALSE)</f>
        <v>N</v>
      </c>
      <c r="AL69" s="973" t="str">
        <f>VLOOKUP($AB69,sample!$1:$1048576,11,FALSE)</f>
        <v xml:space="preserve">        </v>
      </c>
      <c r="AM69" s="973" t="str">
        <f>VLOOKUP($AB69,sample!$1:$1048576,12,FALSE)</f>
        <v xml:space="preserve">        </v>
      </c>
      <c r="AN69" s="973" t="str">
        <f>VLOOKUP($AB69,sample!$1:$1048576,13,FALSE)</f>
        <v>BOTKJPJTXXX</v>
      </c>
      <c r="AP69" s="988"/>
    </row>
    <row r="70" spans="1:42" ht="14">
      <c r="A70" s="808">
        <v>201900070</v>
      </c>
      <c r="B70" s="830">
        <v>43662</v>
      </c>
      <c r="C70" s="830" t="s">
        <v>134</v>
      </c>
      <c r="D70" s="1130" t="str">
        <f>IFERROR(VLOOKUP(G70,PosAggregate!$B$13:$B$85,1,FALSE),"")</f>
        <v/>
      </c>
      <c r="E70" s="769" t="s">
        <v>1212</v>
      </c>
      <c r="F70" s="1006" t="str">
        <f t="shared" si="3"/>
        <v/>
      </c>
      <c r="G70" s="558" t="s">
        <v>1162</v>
      </c>
      <c r="H70" s="558"/>
      <c r="I70" s="833" t="s">
        <v>1101</v>
      </c>
      <c r="J70" s="833" t="s">
        <v>123</v>
      </c>
      <c r="K70" s="744">
        <v>67739</v>
      </c>
      <c r="L70" s="834"/>
      <c r="M70" s="835">
        <v>-2200</v>
      </c>
      <c r="N70" s="974">
        <f t="shared" si="9"/>
        <v>149025800</v>
      </c>
      <c r="O70" s="873">
        <v>-223539</v>
      </c>
      <c r="P70" s="874">
        <v>-372543</v>
      </c>
      <c r="Q70" s="835"/>
      <c r="R70" s="982">
        <f t="shared" si="10"/>
        <v>148429718</v>
      </c>
      <c r="S70" s="744">
        <v>1327.6560776279359</v>
      </c>
      <c r="T70" s="983">
        <f t="shared" si="11"/>
        <v>111798.31923429505</v>
      </c>
      <c r="U70" s="839">
        <v>43664</v>
      </c>
      <c r="V70" s="855" t="s">
        <v>1184</v>
      </c>
      <c r="W70" s="876"/>
      <c r="X70" s="971">
        <f t="shared" si="12"/>
        <v>-0.15000020130742461</v>
      </c>
      <c r="Y70" s="972" t="e">
        <f>VLOOKUP(V70,'bic broker'!$A$1:$B$14,2,FALSE)</f>
        <v>#N/A</v>
      </c>
      <c r="Z70" s="972" t="str">
        <f>VLOOKUP(AA70,'place of settlement'!A:C,2,FALSE)</f>
        <v>KSDCKRSEXXX</v>
      </c>
      <c r="AA70" s="972" t="str">
        <f t="shared" si="13"/>
        <v>KR</v>
      </c>
      <c r="AB70" s="972" t="str">
        <f t="shared" si="14"/>
        <v>SamsungKR</v>
      </c>
      <c r="AC70" s="972" t="e">
        <f>VLOOKUP(AB70,sample!$1:$1048576,2,FALSE)</f>
        <v>#N/A</v>
      </c>
      <c r="AD70" s="972" t="e">
        <f>VLOOKUP($AB70,sample!$1:$1048576,3,FALSE)</f>
        <v>#N/A</v>
      </c>
      <c r="AE70" s="973" t="e">
        <f>VLOOKUP($AB70,sample!$1:$1048576,4,FALSE)</f>
        <v>#N/A</v>
      </c>
      <c r="AF70" s="972" t="e">
        <f>VLOOKUP($AB70,sample!$1:$1048576,5,FALSE)</f>
        <v>#N/A</v>
      </c>
      <c r="AL70" s="973" t="e">
        <f>VLOOKUP($AB70,sample!$1:$1048576,11,FALSE)</f>
        <v>#N/A</v>
      </c>
      <c r="AM70" s="973" t="e">
        <f>VLOOKUP($AB70,sample!$1:$1048576,12,FALSE)</f>
        <v>#N/A</v>
      </c>
      <c r="AN70" s="973" t="e">
        <f>VLOOKUP($AB70,sample!$1:$1048576,13,FALSE)</f>
        <v>#N/A</v>
      </c>
      <c r="AP70" s="988"/>
    </row>
    <row r="71" spans="1:42" ht="14">
      <c r="A71" s="808">
        <v>201900071</v>
      </c>
      <c r="B71" s="830">
        <v>43662</v>
      </c>
      <c r="C71" s="830" t="s">
        <v>133</v>
      </c>
      <c r="D71" s="1130" t="str">
        <f>IFERROR(VLOOKUP(G71,PosAggregate!$B$13:$B$85,1,FALSE),"")</f>
        <v/>
      </c>
      <c r="E71" s="769" t="s">
        <v>1215</v>
      </c>
      <c r="F71" s="1006" t="str">
        <f t="shared" si="3"/>
        <v/>
      </c>
      <c r="G71" s="558" t="s">
        <v>1166</v>
      </c>
      <c r="H71" s="558"/>
      <c r="I71" s="833" t="s">
        <v>1064</v>
      </c>
      <c r="J71" s="833" t="s">
        <v>2</v>
      </c>
      <c r="K71" s="744">
        <v>52.545499999999997</v>
      </c>
      <c r="L71" s="834"/>
      <c r="M71" s="835">
        <v>550</v>
      </c>
      <c r="N71" s="974">
        <f t="shared" si="9"/>
        <v>-28900.024999999998</v>
      </c>
      <c r="O71" s="835">
        <v>-23.13</v>
      </c>
      <c r="P71" s="835">
        <v>-86.7</v>
      </c>
      <c r="Q71" s="835"/>
      <c r="R71" s="978">
        <f t="shared" si="10"/>
        <v>-29009.855</v>
      </c>
      <c r="S71" s="744">
        <v>1</v>
      </c>
      <c r="T71" s="983">
        <f t="shared" si="11"/>
        <v>-29009.855</v>
      </c>
      <c r="U71" s="839">
        <v>43664</v>
      </c>
      <c r="V71" s="831" t="s">
        <v>1183</v>
      </c>
      <c r="W71" s="840">
        <v>43662.661953240742</v>
      </c>
      <c r="X71" s="971">
        <f t="shared" si="12"/>
        <v>8.0034532842099618E-2</v>
      </c>
      <c r="Y71" s="972" t="str">
        <f>VLOOKUP(V71,'bic broker'!$A$1:$B$14,2,FALSE)</f>
        <v>EMSIITM1XXX</v>
      </c>
      <c r="Z71" s="972" t="str">
        <f>VLOOKUP(AA71,'place of settlement'!A:C,2,FALSE)</f>
        <v>SICVFRPPXXX</v>
      </c>
      <c r="AA71" s="972" t="str">
        <f t="shared" si="13"/>
        <v>FR</v>
      </c>
      <c r="AB71" s="972" t="str">
        <f t="shared" si="14"/>
        <v>EquitaFR</v>
      </c>
      <c r="AC71" s="972" t="str">
        <f>VLOOKUP(AB71,sample!$1:$1048576,2,FALSE)</f>
        <v>EMSIITM1XXX</v>
      </c>
      <c r="AD71" s="972" t="str">
        <f>VLOOKUP($AB71,sample!$1:$1048576,3,FALSE)</f>
        <v>SICVFRPPXXX</v>
      </c>
      <c r="AE71" s="973" t="str">
        <f>VLOOKUP($AB71,sample!$1:$1048576,4,FALSE)</f>
        <v>SICVBCITITMMD00000L10</v>
      </c>
      <c r="AF71" s="972" t="str">
        <f>VLOOKUP($AB71,sample!$1:$1048576,5,FALSE)</f>
        <v>N</v>
      </c>
      <c r="AL71" s="973" t="str">
        <f>VLOOKUP($AB71,sample!$1:$1048576,11,FALSE)</f>
        <v xml:space="preserve">        </v>
      </c>
      <c r="AM71" s="973" t="str">
        <f>VLOOKUP($AB71,sample!$1:$1048576,12,FALSE)</f>
        <v xml:space="preserve">        </v>
      </c>
      <c r="AN71" s="973" t="str">
        <f>VLOOKUP($AB71,sample!$1:$1048576,13,FALSE)</f>
        <v>BCITITMMD00</v>
      </c>
      <c r="AP71" s="988"/>
    </row>
    <row r="72" spans="1:42" ht="14">
      <c r="A72" s="808">
        <v>201900072</v>
      </c>
      <c r="B72" s="830">
        <v>43662</v>
      </c>
      <c r="C72" s="830" t="s">
        <v>133</v>
      </c>
      <c r="D72" s="1130" t="str">
        <f>IFERROR(VLOOKUP(G72,PosAggregate!$B$13:$B$85,1,FALSE),"")</f>
        <v/>
      </c>
      <c r="E72" s="769" t="s">
        <v>1225</v>
      </c>
      <c r="F72" s="1006" t="str">
        <f t="shared" si="3"/>
        <v/>
      </c>
      <c r="G72" s="558" t="s">
        <v>1176</v>
      </c>
      <c r="H72" s="558"/>
      <c r="I72" s="833" t="s">
        <v>1182</v>
      </c>
      <c r="J72" s="833" t="s">
        <v>3</v>
      </c>
      <c r="K72" s="744">
        <v>7.2232000000000003</v>
      </c>
      <c r="L72" s="834"/>
      <c r="M72" s="835">
        <v>3000</v>
      </c>
      <c r="N72" s="974">
        <f t="shared" si="9"/>
        <v>-21669.600000000002</v>
      </c>
      <c r="O72" s="835">
        <v>-17.34</v>
      </c>
      <c r="P72" s="835"/>
      <c r="Q72" s="835"/>
      <c r="R72" s="978">
        <f t="shared" si="10"/>
        <v>-21686.940000000002</v>
      </c>
      <c r="S72" s="744">
        <v>1.1256951167345834</v>
      </c>
      <c r="T72" s="983">
        <f t="shared" si="11"/>
        <v>-19265.376279600005</v>
      </c>
      <c r="U72" s="839">
        <v>43664</v>
      </c>
      <c r="V72" s="831" t="s">
        <v>1183</v>
      </c>
      <c r="W72" s="840">
        <v>43662.663292824072</v>
      </c>
      <c r="X72" s="971">
        <f t="shared" si="12"/>
        <v>8.0019935762542904E-2</v>
      </c>
      <c r="Y72" s="972" t="str">
        <f>VLOOKUP(V72,'bic broker'!$A$1:$B$14,2,FALSE)</f>
        <v>EMSIITM1XXX</v>
      </c>
      <c r="Z72" s="972" t="str">
        <f>VLOOKUP(AA72,'place of settlement'!A:C,2,FALSE)</f>
        <v>DTCYUS33XXX</v>
      </c>
      <c r="AA72" s="972" t="str">
        <f t="shared" si="13"/>
        <v>US</v>
      </c>
      <c r="AB72" s="972" t="str">
        <f t="shared" si="14"/>
        <v>EquitaUS</v>
      </c>
      <c r="AC72" s="972" t="str">
        <f>VLOOKUP(AB72,sample!$1:$1048576,2,FALSE)</f>
        <v>BCITITMMXXX</v>
      </c>
      <c r="AD72" s="972" t="str">
        <f>VLOOKUP($AB72,sample!$1:$1048576,3,FALSE)</f>
        <v>DTCYUS33XXX</v>
      </c>
      <c r="AE72" s="973">
        <f>VLOOKUP($AB72,sample!$1:$1048576,4,FALSE)</f>
        <v>236707</v>
      </c>
      <c r="AF72" s="972" t="str">
        <f>VLOOKUP($AB72,sample!$1:$1048576,5,FALSE)</f>
        <v>N</v>
      </c>
      <c r="AL72" s="973" t="str">
        <f>VLOOKUP($AB72,sample!$1:$1048576,11,FALSE)</f>
        <v>DTCYID</v>
      </c>
      <c r="AM72" s="973">
        <f>VLOOKUP($AB72,sample!$1:$1048576,12,FALSE)</f>
        <v>908</v>
      </c>
      <c r="AN72" s="973" t="str">
        <f>VLOOKUP($AB72,sample!$1:$1048576,13,FALSE)</f>
        <v xml:space="preserve">        </v>
      </c>
      <c r="AP72" s="988"/>
    </row>
    <row r="73" spans="1:42" ht="14">
      <c r="A73" s="808">
        <v>201900073</v>
      </c>
      <c r="B73" s="830">
        <v>43663</v>
      </c>
      <c r="C73" s="830" t="s">
        <v>133</v>
      </c>
      <c r="D73" s="1130" t="str">
        <f>IFERROR(VLOOKUP(G73,PosAggregate!$B$13:$B$85,1,FALSE),"")</f>
        <v/>
      </c>
      <c r="E73" s="769" t="s">
        <v>1186</v>
      </c>
      <c r="F73" s="1006" t="str">
        <f t="shared" si="3"/>
        <v/>
      </c>
      <c r="G73" s="558" t="s">
        <v>1134</v>
      </c>
      <c r="H73" s="558"/>
      <c r="I73" s="832" t="s">
        <v>1081</v>
      </c>
      <c r="J73" s="833" t="s">
        <v>125</v>
      </c>
      <c r="K73" s="744">
        <v>915.7</v>
      </c>
      <c r="L73" s="834"/>
      <c r="M73" s="835">
        <v>4200</v>
      </c>
      <c r="N73" s="974">
        <f t="shared" si="9"/>
        <v>-3845940</v>
      </c>
      <c r="O73" s="835">
        <v>3077</v>
      </c>
      <c r="P73" s="835"/>
      <c r="Q73" s="835"/>
      <c r="R73" s="978">
        <f t="shared" si="10"/>
        <v>-3842863</v>
      </c>
      <c r="S73" s="744">
        <v>121.46250309566152</v>
      </c>
      <c r="T73" s="983">
        <f t="shared" si="11"/>
        <v>-31638.266148470819</v>
      </c>
      <c r="U73" s="839">
        <v>43665</v>
      </c>
      <c r="V73" s="831" t="s">
        <v>1183</v>
      </c>
      <c r="W73" s="840">
        <v>43662.665708680557</v>
      </c>
      <c r="X73" s="971">
        <f t="shared" si="12"/>
        <v>-8.0006448358528728E-2</v>
      </c>
      <c r="Y73" s="972" t="str">
        <f>VLOOKUP(V73,'bic broker'!$A$1:$B$14,2,FALSE)</f>
        <v>EMSIITM1XXX</v>
      </c>
      <c r="Z73" s="972" t="str">
        <f>VLOOKUP(AA73,'place of settlement'!A:C,2,FALSE)</f>
        <v>JJSDJPJTXXX</v>
      </c>
      <c r="AA73" s="972" t="str">
        <f t="shared" si="13"/>
        <v>JP</v>
      </c>
      <c r="AB73" s="972" t="str">
        <f t="shared" si="14"/>
        <v>EquitaJP</v>
      </c>
      <c r="AC73" s="972" t="str">
        <f>VLOOKUP(AB73,sample!$1:$1048576,2,FALSE)</f>
        <v>BCITITMMXXX</v>
      </c>
      <c r="AD73" s="972" t="str">
        <f>VLOOKUP($AB73,sample!$1:$1048576,3,FALSE)</f>
        <v>JJSDJPJTXXX</v>
      </c>
      <c r="AE73" s="973">
        <f>VLOOKUP($AB73,sample!$1:$1048576,4,FALSE)</f>
        <v>100502629</v>
      </c>
      <c r="AF73" s="972" t="str">
        <f>VLOOKUP($AB73,sample!$1:$1048576,5,FALSE)</f>
        <v>N</v>
      </c>
      <c r="AL73" s="973" t="str">
        <f>VLOOKUP($AB73,sample!$1:$1048576,11,FALSE)</f>
        <v xml:space="preserve">        </v>
      </c>
      <c r="AM73" s="973" t="str">
        <f>VLOOKUP($AB73,sample!$1:$1048576,12,FALSE)</f>
        <v xml:space="preserve">        </v>
      </c>
      <c r="AN73" s="973" t="str">
        <f>VLOOKUP($AB73,sample!$1:$1048576,13,FALSE)</f>
        <v>BOTKJPJTXXX</v>
      </c>
      <c r="AP73" s="988"/>
    </row>
    <row r="74" spans="1:42" ht="14">
      <c r="A74" s="808">
        <v>201900074</v>
      </c>
      <c r="B74" s="830">
        <v>43663</v>
      </c>
      <c r="C74" s="830" t="s">
        <v>133</v>
      </c>
      <c r="D74" s="1130" t="str">
        <f>IFERROR(VLOOKUP(G74,PosAggregate!$B$13:$B$85,1,FALSE),"")</f>
        <v/>
      </c>
      <c r="E74" s="769" t="s">
        <v>1217</v>
      </c>
      <c r="F74" s="1006" t="str">
        <f t="shared" si="3"/>
        <v/>
      </c>
      <c r="G74" s="558" t="s">
        <v>1168</v>
      </c>
      <c r="H74" s="558"/>
      <c r="I74" s="833" t="s">
        <v>1062</v>
      </c>
      <c r="J74" s="833" t="s">
        <v>2</v>
      </c>
      <c r="K74" s="744">
        <v>25.222000000000001</v>
      </c>
      <c r="L74" s="834"/>
      <c r="M74" s="835">
        <v>1000</v>
      </c>
      <c r="N74" s="974">
        <f t="shared" si="9"/>
        <v>-25222</v>
      </c>
      <c r="O74" s="835">
        <v>-20.18</v>
      </c>
      <c r="P74" s="835">
        <v>-75.67</v>
      </c>
      <c r="Q74" s="835"/>
      <c r="R74" s="978">
        <f t="shared" si="10"/>
        <v>-25317.85</v>
      </c>
      <c r="S74" s="744">
        <v>1</v>
      </c>
      <c r="T74" s="983">
        <f t="shared" si="11"/>
        <v>-25317.85</v>
      </c>
      <c r="U74" s="839">
        <v>43665</v>
      </c>
      <c r="V74" s="831" t="s">
        <v>1183</v>
      </c>
      <c r="W74" s="840">
        <v>43663.661126620369</v>
      </c>
      <c r="X74" s="971">
        <f t="shared" si="12"/>
        <v>8.0009515502339229E-2</v>
      </c>
      <c r="Y74" s="972" t="str">
        <f>VLOOKUP(V74,'bic broker'!$A$1:$B$14,2,FALSE)</f>
        <v>EMSIITM1XXX</v>
      </c>
      <c r="Z74" s="972" t="str">
        <f>VLOOKUP(AA74,'place of settlement'!A:C,2,FALSE)</f>
        <v>SICVFRPPXXX</v>
      </c>
      <c r="AA74" s="972" t="str">
        <f t="shared" si="13"/>
        <v>FR</v>
      </c>
      <c r="AB74" s="972" t="str">
        <f t="shared" si="14"/>
        <v>EquitaFR</v>
      </c>
      <c r="AC74" s="972" t="str">
        <f>VLOOKUP(AB74,sample!$1:$1048576,2,FALSE)</f>
        <v>EMSIITM1XXX</v>
      </c>
      <c r="AD74" s="972" t="str">
        <f>VLOOKUP($AB74,sample!$1:$1048576,3,FALSE)</f>
        <v>SICVFRPPXXX</v>
      </c>
      <c r="AE74" s="973" t="str">
        <f>VLOOKUP($AB74,sample!$1:$1048576,4,FALSE)</f>
        <v>SICVBCITITMMD00000L10</v>
      </c>
      <c r="AF74" s="972" t="str">
        <f>VLOOKUP($AB74,sample!$1:$1048576,5,FALSE)</f>
        <v>N</v>
      </c>
      <c r="AL74" s="973" t="str">
        <f>VLOOKUP($AB74,sample!$1:$1048576,11,FALSE)</f>
        <v xml:space="preserve">        </v>
      </c>
      <c r="AM74" s="973" t="str">
        <f>VLOOKUP($AB74,sample!$1:$1048576,12,FALSE)</f>
        <v xml:space="preserve">        </v>
      </c>
      <c r="AN74" s="973" t="str">
        <f>VLOOKUP($AB74,sample!$1:$1048576,13,FALSE)</f>
        <v>BCITITMMD00</v>
      </c>
      <c r="AP74" s="988"/>
    </row>
    <row r="75" spans="1:42" ht="14">
      <c r="A75" s="808">
        <v>201900075</v>
      </c>
      <c r="B75" s="830">
        <v>43663</v>
      </c>
      <c r="C75" s="830" t="s">
        <v>133</v>
      </c>
      <c r="D75" s="1130" t="str">
        <f>IFERROR(VLOOKUP(G75,PosAggregate!$B$13:$B$85,1,FALSE),"")</f>
        <v/>
      </c>
      <c r="E75" s="769" t="s">
        <v>1218</v>
      </c>
      <c r="F75" s="1006" t="str">
        <f t="shared" si="3"/>
        <v/>
      </c>
      <c r="G75" s="558" t="s">
        <v>1169</v>
      </c>
      <c r="H75" s="558"/>
      <c r="I75" s="833" t="s">
        <v>1060</v>
      </c>
      <c r="J75" s="833" t="s">
        <v>2</v>
      </c>
      <c r="K75" s="744">
        <v>118.1623</v>
      </c>
      <c r="L75" s="834"/>
      <c r="M75" s="835">
        <v>200</v>
      </c>
      <c r="N75" s="974">
        <f t="shared" si="9"/>
        <v>-23632.46</v>
      </c>
      <c r="O75" s="835">
        <v>-18.91</v>
      </c>
      <c r="P75" s="835"/>
      <c r="Q75" s="835"/>
      <c r="R75" s="978">
        <f t="shared" si="10"/>
        <v>-23651.37</v>
      </c>
      <c r="S75" s="744">
        <v>1</v>
      </c>
      <c r="T75" s="983">
        <f t="shared" si="11"/>
        <v>-23651.37</v>
      </c>
      <c r="U75" s="839">
        <v>43665</v>
      </c>
      <c r="V75" s="831" t="s">
        <v>1183</v>
      </c>
      <c r="W75" s="840">
        <v>43663.670086226855</v>
      </c>
      <c r="X75" s="971">
        <f t="shared" si="12"/>
        <v>8.0017061279274354E-2</v>
      </c>
      <c r="Y75" s="972" t="str">
        <f>VLOOKUP(V75,'bic broker'!$A$1:$B$14,2,FALSE)</f>
        <v>EMSIITM1XXX</v>
      </c>
      <c r="Z75" s="972" t="str">
        <f>VLOOKUP(AA75,'place of settlement'!A:C,2,FALSE)</f>
        <v>DAKVDEFFXXX</v>
      </c>
      <c r="AA75" s="972" t="str">
        <f t="shared" si="13"/>
        <v>DE</v>
      </c>
      <c r="AB75" s="972" t="str">
        <f t="shared" si="14"/>
        <v>EquitaDE</v>
      </c>
      <c r="AC75" s="972" t="str">
        <f>VLOOKUP(AB75,sample!$1:$1048576,2,FALSE)</f>
        <v>EMSIITM1XXX</v>
      </c>
      <c r="AD75" s="972" t="str">
        <f>VLOOKUP($AB75,sample!$1:$1048576,3,FALSE)</f>
        <v>DAKVDEFFXXX</v>
      </c>
      <c r="AE75" s="973" t="str">
        <f>VLOOKUP($AB75,sample!$1:$1048576,4,FALSE)</f>
        <v>DAKV8135000</v>
      </c>
      <c r="AF75" s="972" t="str">
        <f>VLOOKUP($AB75,sample!$1:$1048576,5,FALSE)</f>
        <v>N</v>
      </c>
      <c r="AL75" s="973" t="str">
        <f>VLOOKUP($AB75,sample!$1:$1048576,11,FALSE)</f>
        <v xml:space="preserve">        </v>
      </c>
      <c r="AM75" s="973" t="str">
        <f>VLOOKUP($AB75,sample!$1:$1048576,12,FALSE)</f>
        <v xml:space="preserve">        </v>
      </c>
      <c r="AN75" s="973" t="str">
        <f>VLOOKUP($AB75,sample!$1:$1048576,13,FALSE)</f>
        <v>BCITITMMD03</v>
      </c>
      <c r="AP75" s="988"/>
    </row>
    <row r="76" spans="1:42" ht="14">
      <c r="A76" s="808">
        <v>201900076</v>
      </c>
      <c r="B76" s="830">
        <v>43665</v>
      </c>
      <c r="C76" s="830" t="s">
        <v>133</v>
      </c>
      <c r="D76" s="1130" t="str">
        <f>IFERROR(VLOOKUP(G76,PosAggregate!$B$13:$B$85,1,FALSE),"")</f>
        <v/>
      </c>
      <c r="E76" s="769" t="s">
        <v>1226</v>
      </c>
      <c r="F76" s="1006" t="str">
        <f t="shared" ref="F76:F139" si="15">IF(D76=G76,"YES","")</f>
        <v/>
      </c>
      <c r="G76" s="558" t="s">
        <v>1178</v>
      </c>
      <c r="H76" s="558"/>
      <c r="I76" s="833" t="s">
        <v>1089</v>
      </c>
      <c r="J76" s="833" t="s">
        <v>3</v>
      </c>
      <c r="K76" s="744">
        <v>16.154900000000001</v>
      </c>
      <c r="L76" s="834"/>
      <c r="M76" s="835">
        <v>1700</v>
      </c>
      <c r="N76" s="974">
        <f t="shared" si="9"/>
        <v>-27463.33</v>
      </c>
      <c r="O76" s="835">
        <v>-21.97</v>
      </c>
      <c r="P76" s="835"/>
      <c r="Q76" s="835"/>
      <c r="R76" s="978">
        <f t="shared" si="10"/>
        <v>-27485.300000000003</v>
      </c>
      <c r="S76" s="744">
        <v>1.1274974067559644</v>
      </c>
      <c r="T76" s="983">
        <f t="shared" si="11"/>
        <v>-24377.262276000001</v>
      </c>
      <c r="U76" s="839">
        <v>43669</v>
      </c>
      <c r="V76" s="831" t="s">
        <v>1183</v>
      </c>
      <c r="W76" s="840">
        <v>43665.597659143517</v>
      </c>
      <c r="X76" s="971">
        <f t="shared" si="12"/>
        <v>7.9997582230559791E-2</v>
      </c>
      <c r="Y76" s="972" t="str">
        <f>VLOOKUP(V76,'bic broker'!$A$1:$B$14,2,FALSE)</f>
        <v>EMSIITM1XXX</v>
      </c>
      <c r="Z76" s="972" t="str">
        <f>VLOOKUP(AA76,'place of settlement'!A:C,2,FALSE)</f>
        <v>DTCYUS33XXX</v>
      </c>
      <c r="AA76" s="972" t="str">
        <f t="shared" si="13"/>
        <v>US</v>
      </c>
      <c r="AB76" s="972" t="str">
        <f t="shared" si="14"/>
        <v>EquitaUS</v>
      </c>
      <c r="AC76" s="972" t="str">
        <f>VLOOKUP(AB76,sample!$1:$1048576,2,FALSE)</f>
        <v>BCITITMMXXX</v>
      </c>
      <c r="AD76" s="972" t="str">
        <f>VLOOKUP($AB76,sample!$1:$1048576,3,FALSE)</f>
        <v>DTCYUS33XXX</v>
      </c>
      <c r="AE76" s="973">
        <f>VLOOKUP($AB76,sample!$1:$1048576,4,FALSE)</f>
        <v>236707</v>
      </c>
      <c r="AF76" s="972" t="str">
        <f>VLOOKUP($AB76,sample!$1:$1048576,5,FALSE)</f>
        <v>N</v>
      </c>
      <c r="AL76" s="973" t="str">
        <f>VLOOKUP($AB76,sample!$1:$1048576,11,FALSE)</f>
        <v>DTCYID</v>
      </c>
      <c r="AM76" s="973">
        <f>VLOOKUP($AB76,sample!$1:$1048576,12,FALSE)</f>
        <v>908</v>
      </c>
      <c r="AN76" s="973" t="str">
        <f>VLOOKUP($AB76,sample!$1:$1048576,13,FALSE)</f>
        <v xml:space="preserve">        </v>
      </c>
      <c r="AP76" s="988"/>
    </row>
    <row r="77" spans="1:42" ht="14">
      <c r="A77" s="808">
        <v>201900077</v>
      </c>
      <c r="B77" s="830">
        <v>43670</v>
      </c>
      <c r="C77" s="830" t="s">
        <v>133</v>
      </c>
      <c r="D77" s="1130" t="str">
        <f>IFERROR(VLOOKUP(G77,PosAggregate!$B$13:$B$85,1,FALSE),"")</f>
        <v/>
      </c>
      <c r="E77" s="769" t="s">
        <v>1604</v>
      </c>
      <c r="F77" s="1006" t="str">
        <f t="shared" si="15"/>
        <v/>
      </c>
      <c r="G77" s="558" t="s">
        <v>1567</v>
      </c>
      <c r="H77" s="558"/>
      <c r="I77" s="833" t="s">
        <v>1577</v>
      </c>
      <c r="J77" s="833" t="s">
        <v>2</v>
      </c>
      <c r="K77" s="744">
        <v>26.791699999999999</v>
      </c>
      <c r="L77" s="834"/>
      <c r="M77" s="835">
        <v>1120</v>
      </c>
      <c r="N77" s="974">
        <f t="shared" si="9"/>
        <v>-30006.703999999998</v>
      </c>
      <c r="O77" s="835">
        <v>-24.01</v>
      </c>
      <c r="P77" s="835"/>
      <c r="Q77" s="835"/>
      <c r="R77" s="978">
        <f t="shared" si="10"/>
        <v>-30030.713999999996</v>
      </c>
      <c r="S77" s="744">
        <v>1</v>
      </c>
      <c r="T77" s="983">
        <f t="shared" si="11"/>
        <v>-30030.713999999996</v>
      </c>
      <c r="U77" s="839">
        <v>43672</v>
      </c>
      <c r="V77" s="831" t="s">
        <v>1183</v>
      </c>
      <c r="W77" s="840">
        <v>43670.510366203707</v>
      </c>
      <c r="X77" s="971">
        <f t="shared" si="12"/>
        <v>8.0015452546870869E-2</v>
      </c>
      <c r="Y77" s="972" t="str">
        <f>VLOOKUP(V77,'bic broker'!$A$1:$B$14,2,FALSE)</f>
        <v>EMSIITM1XXX</v>
      </c>
      <c r="Z77" s="972" t="str">
        <f>VLOOKUP(AA77,'place of settlement'!A:C,2,FALSE)</f>
        <v>DAKVDEFFXXX</v>
      </c>
      <c r="AA77" s="972" t="str">
        <f t="shared" si="13"/>
        <v>DE</v>
      </c>
      <c r="AB77" s="972" t="str">
        <f t="shared" si="14"/>
        <v>EquitaDE</v>
      </c>
      <c r="AC77" s="972" t="str">
        <f>VLOOKUP(AB77,sample!$1:$1048576,2,FALSE)</f>
        <v>EMSIITM1XXX</v>
      </c>
      <c r="AD77" s="972" t="str">
        <f>VLOOKUP($AB77,sample!$1:$1048576,3,FALSE)</f>
        <v>DAKVDEFFXXX</v>
      </c>
      <c r="AE77" s="973" t="str">
        <f>VLOOKUP($AB77,sample!$1:$1048576,4,FALSE)</f>
        <v>DAKV8135000</v>
      </c>
      <c r="AF77" s="972" t="str">
        <f>VLOOKUP($AB77,sample!$1:$1048576,5,FALSE)</f>
        <v>N</v>
      </c>
      <c r="AL77" s="973" t="str">
        <f>VLOOKUP($AB77,sample!$1:$1048576,11,FALSE)</f>
        <v xml:space="preserve">        </v>
      </c>
      <c r="AM77" s="973" t="str">
        <f>VLOOKUP($AB77,sample!$1:$1048576,12,FALSE)</f>
        <v xml:space="preserve">        </v>
      </c>
      <c r="AN77" s="973" t="str">
        <f>VLOOKUP($AB77,sample!$1:$1048576,13,FALSE)</f>
        <v>BCITITMMD03</v>
      </c>
      <c r="AP77" s="988"/>
    </row>
    <row r="78" spans="1:42" ht="14">
      <c r="A78" s="808">
        <v>201900078</v>
      </c>
      <c r="B78" s="830">
        <v>43670</v>
      </c>
      <c r="C78" s="830" t="s">
        <v>133</v>
      </c>
      <c r="D78" s="1130" t="str">
        <f>IFERROR(VLOOKUP(G78,PosAggregate!$B$13:$B$85,1,FALSE),"")</f>
        <v/>
      </c>
      <c r="E78" s="769" t="s">
        <v>1605</v>
      </c>
      <c r="F78" s="1006" t="str">
        <f t="shared" si="15"/>
        <v/>
      </c>
      <c r="G78" s="558" t="s">
        <v>1576</v>
      </c>
      <c r="H78" s="558"/>
      <c r="I78" s="833" t="s">
        <v>1580</v>
      </c>
      <c r="J78" s="833" t="s">
        <v>3</v>
      </c>
      <c r="K78" s="744">
        <v>20.86</v>
      </c>
      <c r="L78" s="834"/>
      <c r="M78" s="835">
        <v>1700</v>
      </c>
      <c r="N78" s="974">
        <f t="shared" si="9"/>
        <v>-35462</v>
      </c>
      <c r="O78" s="835">
        <v>-28.37</v>
      </c>
      <c r="P78" s="835"/>
      <c r="Q78" s="835"/>
      <c r="R78" s="978">
        <f t="shared" si="10"/>
        <v>-35490.370000000003</v>
      </c>
      <c r="S78" s="744">
        <v>1.1138958507379559</v>
      </c>
      <c r="T78" s="983">
        <f t="shared" si="11"/>
        <v>-31861.479667500003</v>
      </c>
      <c r="U78" s="839">
        <v>43672</v>
      </c>
      <c r="V78" s="831" t="s">
        <v>1183</v>
      </c>
      <c r="W78" s="840">
        <v>43671.515149999999</v>
      </c>
      <c r="X78" s="971">
        <f t="shared" si="12"/>
        <v>8.0001127967965713E-2</v>
      </c>
      <c r="Y78" s="972" t="str">
        <f>VLOOKUP(V78,'bic broker'!$A$1:$B$14,2,FALSE)</f>
        <v>EMSIITM1XXX</v>
      </c>
      <c r="Z78" s="972" t="str">
        <f>VLOOKUP(AA78,'place of settlement'!A:C,2,FALSE)</f>
        <v>DTCYUS33XXX</v>
      </c>
      <c r="AA78" s="972" t="str">
        <f t="shared" si="13"/>
        <v>US</v>
      </c>
      <c r="AB78" s="972" t="str">
        <f t="shared" si="14"/>
        <v>EquitaUS</v>
      </c>
      <c r="AC78" s="972" t="str">
        <f>VLOOKUP(AB78,sample!$1:$1048576,2,FALSE)</f>
        <v>BCITITMMXXX</v>
      </c>
      <c r="AD78" s="972" t="str">
        <f>VLOOKUP($AB78,sample!$1:$1048576,3,FALSE)</f>
        <v>DTCYUS33XXX</v>
      </c>
      <c r="AE78" s="973">
        <f>VLOOKUP($AB78,sample!$1:$1048576,4,FALSE)</f>
        <v>236707</v>
      </c>
      <c r="AF78" s="972" t="str">
        <f>VLOOKUP($AB78,sample!$1:$1048576,5,FALSE)</f>
        <v>N</v>
      </c>
      <c r="AL78" s="973" t="str">
        <f>VLOOKUP($AB78,sample!$1:$1048576,11,FALSE)</f>
        <v>DTCYID</v>
      </c>
      <c r="AM78" s="973">
        <f>VLOOKUP($AB78,sample!$1:$1048576,12,FALSE)</f>
        <v>908</v>
      </c>
      <c r="AN78" s="973" t="str">
        <f>VLOOKUP($AB78,sample!$1:$1048576,13,FALSE)</f>
        <v xml:space="preserve">        </v>
      </c>
      <c r="AP78" s="988"/>
    </row>
    <row r="79" spans="1:42" ht="14">
      <c r="A79" s="808">
        <v>201900079</v>
      </c>
      <c r="B79" s="830">
        <v>43671</v>
      </c>
      <c r="C79" s="830" t="s">
        <v>133</v>
      </c>
      <c r="D79" s="1130" t="str">
        <f>IFERROR(VLOOKUP(G79,PosAggregate!$B$13:$B$85,1,FALSE),"")</f>
        <v/>
      </c>
      <c r="E79" s="769" t="s">
        <v>1211</v>
      </c>
      <c r="F79" s="1006" t="str">
        <f t="shared" si="15"/>
        <v/>
      </c>
      <c r="G79" s="558" t="s">
        <v>1161</v>
      </c>
      <c r="H79" s="558"/>
      <c r="I79" s="833" t="s">
        <v>1094</v>
      </c>
      <c r="J79" s="833" t="s">
        <v>123</v>
      </c>
      <c r="K79" s="744">
        <v>24950.147099999998</v>
      </c>
      <c r="L79" s="834"/>
      <c r="M79" s="835">
        <v>1700</v>
      </c>
      <c r="N79" s="974">
        <f t="shared" si="9"/>
        <v>-42415250.07</v>
      </c>
      <c r="O79" s="835">
        <v>-63622.875104999999</v>
      </c>
      <c r="P79" s="835"/>
      <c r="Q79" s="835"/>
      <c r="R79" s="978">
        <f t="shared" si="10"/>
        <v>-42478872.945105001</v>
      </c>
      <c r="S79" s="744">
        <v>1314.5810566694167</v>
      </c>
      <c r="T79" s="983">
        <f t="shared" si="11"/>
        <v>-32313.620167879344</v>
      </c>
      <c r="U79" s="839">
        <v>43675</v>
      </c>
      <c r="V79" s="831" t="s">
        <v>1184</v>
      </c>
      <c r="W79" s="840">
        <v>43670.719028587962</v>
      </c>
      <c r="X79" s="971">
        <f t="shared" si="12"/>
        <v>0.15</v>
      </c>
      <c r="Y79" s="972" t="e">
        <f>VLOOKUP(V79,'bic broker'!$A$1:$B$14,2,FALSE)</f>
        <v>#N/A</v>
      </c>
      <c r="Z79" s="972" t="str">
        <f>VLOOKUP(AA79,'place of settlement'!A:C,2,FALSE)</f>
        <v>KSDCKRSEXXX</v>
      </c>
      <c r="AA79" s="972" t="str">
        <f t="shared" si="13"/>
        <v>KR</v>
      </c>
      <c r="AB79" s="972" t="str">
        <f t="shared" si="14"/>
        <v>SamsungKR</v>
      </c>
      <c r="AC79" s="972" t="e">
        <f>VLOOKUP(AB79,sample!$1:$1048576,2,FALSE)</f>
        <v>#N/A</v>
      </c>
      <c r="AD79" s="972" t="e">
        <f>VLOOKUP($AB79,sample!$1:$1048576,3,FALSE)</f>
        <v>#N/A</v>
      </c>
      <c r="AE79" s="973" t="e">
        <f>VLOOKUP($AB79,sample!$1:$1048576,4,FALSE)</f>
        <v>#N/A</v>
      </c>
      <c r="AF79" s="972" t="e">
        <f>VLOOKUP($AB79,sample!$1:$1048576,5,FALSE)</f>
        <v>#N/A</v>
      </c>
      <c r="AL79" s="973" t="e">
        <f>VLOOKUP($AB79,sample!$1:$1048576,11,FALSE)</f>
        <v>#N/A</v>
      </c>
      <c r="AM79" s="973" t="e">
        <f>VLOOKUP($AB79,sample!$1:$1048576,12,FALSE)</f>
        <v>#N/A</v>
      </c>
      <c r="AN79" s="973" t="e">
        <f>VLOOKUP($AB79,sample!$1:$1048576,13,FALSE)</f>
        <v>#N/A</v>
      </c>
      <c r="AP79" s="988"/>
    </row>
    <row r="80" spans="1:42" ht="14">
      <c r="A80" s="808">
        <v>201900080</v>
      </c>
      <c r="B80" s="830">
        <v>43671</v>
      </c>
      <c r="C80" s="830" t="s">
        <v>133</v>
      </c>
      <c r="D80" s="1130" t="str">
        <f>IFERROR(VLOOKUP(G80,PosAggregate!$B$13:$B$85,1,FALSE),"")</f>
        <v/>
      </c>
      <c r="E80" s="769" t="s">
        <v>1210</v>
      </c>
      <c r="F80" s="1006" t="str">
        <f t="shared" si="15"/>
        <v/>
      </c>
      <c r="G80" s="558" t="s">
        <v>1160</v>
      </c>
      <c r="H80" s="558"/>
      <c r="I80" s="833" t="s">
        <v>1108</v>
      </c>
      <c r="J80" s="833" t="s">
        <v>123</v>
      </c>
      <c r="K80" s="744">
        <v>4449.75</v>
      </c>
      <c r="L80" s="834"/>
      <c r="M80" s="835">
        <v>4200</v>
      </c>
      <c r="N80" s="974">
        <f t="shared" si="9"/>
        <v>-18688950</v>
      </c>
      <c r="O80" s="835">
        <v>-28033</v>
      </c>
      <c r="P80" s="835"/>
      <c r="Q80" s="835"/>
      <c r="R80" s="978">
        <f t="shared" si="10"/>
        <v>-18716983</v>
      </c>
      <c r="S80" s="744">
        <v>1314.5810566694163</v>
      </c>
      <c r="T80" s="983">
        <f t="shared" si="11"/>
        <v>-14237.98320007805</v>
      </c>
      <c r="U80" s="839">
        <v>43675</v>
      </c>
      <c r="V80" s="831" t="s">
        <v>1184</v>
      </c>
      <c r="W80" s="840">
        <v>43670.729114699076</v>
      </c>
      <c r="X80" s="971">
        <f t="shared" si="12"/>
        <v>0.14999772592895802</v>
      </c>
      <c r="Y80" s="972" t="e">
        <f>VLOOKUP(V80,'bic broker'!$A$1:$B$14,2,FALSE)</f>
        <v>#N/A</v>
      </c>
      <c r="Z80" s="972" t="str">
        <f>VLOOKUP(AA80,'place of settlement'!A:C,2,FALSE)</f>
        <v>KSDCKRSEXXX</v>
      </c>
      <c r="AA80" s="972" t="str">
        <f t="shared" si="13"/>
        <v>KR</v>
      </c>
      <c r="AB80" s="972" t="str">
        <f t="shared" si="14"/>
        <v>SamsungKR</v>
      </c>
      <c r="AC80" s="972" t="e">
        <f>VLOOKUP(AB80,sample!$1:$1048576,2,FALSE)</f>
        <v>#N/A</v>
      </c>
      <c r="AD80" s="972" t="e">
        <f>VLOOKUP($AB80,sample!$1:$1048576,3,FALSE)</f>
        <v>#N/A</v>
      </c>
      <c r="AE80" s="973" t="e">
        <f>VLOOKUP($AB80,sample!$1:$1048576,4,FALSE)</f>
        <v>#N/A</v>
      </c>
      <c r="AF80" s="972" t="e">
        <f>VLOOKUP($AB80,sample!$1:$1048576,5,FALSE)</f>
        <v>#N/A</v>
      </c>
      <c r="AL80" s="973" t="e">
        <f>VLOOKUP($AB80,sample!$1:$1048576,11,FALSE)</f>
        <v>#N/A</v>
      </c>
      <c r="AM80" s="973" t="e">
        <f>VLOOKUP($AB80,sample!$1:$1048576,12,FALSE)</f>
        <v>#N/A</v>
      </c>
      <c r="AN80" s="973" t="e">
        <f>VLOOKUP($AB80,sample!$1:$1048576,13,FALSE)</f>
        <v>#N/A</v>
      </c>
      <c r="AP80" s="988"/>
    </row>
    <row r="81" spans="1:42" ht="14">
      <c r="A81" s="808">
        <v>201900081</v>
      </c>
      <c r="B81" s="830">
        <v>43671</v>
      </c>
      <c r="C81" s="830" t="s">
        <v>133</v>
      </c>
      <c r="D81" s="1130" t="str">
        <f>IFERROR(VLOOKUP(G81,PosAggregate!$B$13:$B$85,1,FALSE),"")</f>
        <v/>
      </c>
      <c r="E81" s="769" t="s">
        <v>1606</v>
      </c>
      <c r="F81" s="1006" t="str">
        <f t="shared" si="15"/>
        <v/>
      </c>
      <c r="G81" s="558" t="s">
        <v>1574</v>
      </c>
      <c r="H81" s="558"/>
      <c r="I81" s="833" t="s">
        <v>1578</v>
      </c>
      <c r="J81" s="833" t="s">
        <v>123</v>
      </c>
      <c r="K81" s="744">
        <v>12649.9167</v>
      </c>
      <c r="L81" s="834"/>
      <c r="M81" s="835">
        <v>3000</v>
      </c>
      <c r="N81" s="974">
        <f t="shared" si="9"/>
        <v>-37949750.100000001</v>
      </c>
      <c r="O81" s="835">
        <v>-56925</v>
      </c>
      <c r="P81" s="835"/>
      <c r="Q81" s="835"/>
      <c r="R81" s="978">
        <f t="shared" si="10"/>
        <v>-38006675.100000001</v>
      </c>
      <c r="S81" s="744">
        <v>1311.5121136173759</v>
      </c>
      <c r="T81" s="983">
        <f t="shared" si="11"/>
        <v>-28979.278731304323</v>
      </c>
      <c r="U81" s="839">
        <v>43675</v>
      </c>
      <c r="V81" s="831" t="s">
        <v>1184</v>
      </c>
      <c r="W81" s="840">
        <v>43671.097236689813</v>
      </c>
      <c r="X81" s="971">
        <f t="shared" si="12"/>
        <v>0.1500009877535399</v>
      </c>
      <c r="Y81" s="972" t="e">
        <f>VLOOKUP(V81,'bic broker'!$A$1:$B$14,2,FALSE)</f>
        <v>#N/A</v>
      </c>
      <c r="Z81" s="972" t="str">
        <f>VLOOKUP(AA81,'place of settlement'!A:C,2,FALSE)</f>
        <v>KSDCKRSEXXX</v>
      </c>
      <c r="AA81" s="972" t="str">
        <f t="shared" si="13"/>
        <v>KR</v>
      </c>
      <c r="AB81" s="972" t="str">
        <f t="shared" si="14"/>
        <v>SamsungKR</v>
      </c>
      <c r="AC81" s="972" t="e">
        <f>VLOOKUP(AB81,sample!$1:$1048576,2,FALSE)</f>
        <v>#N/A</v>
      </c>
      <c r="AD81" s="972" t="e">
        <f>VLOOKUP($AB81,sample!$1:$1048576,3,FALSE)</f>
        <v>#N/A</v>
      </c>
      <c r="AE81" s="973" t="e">
        <f>VLOOKUP($AB81,sample!$1:$1048576,4,FALSE)</f>
        <v>#N/A</v>
      </c>
      <c r="AF81" s="972" t="e">
        <f>VLOOKUP($AB81,sample!$1:$1048576,5,FALSE)</f>
        <v>#N/A</v>
      </c>
      <c r="AL81" s="973" t="e">
        <f>VLOOKUP($AB81,sample!$1:$1048576,11,FALSE)</f>
        <v>#N/A</v>
      </c>
      <c r="AM81" s="973" t="e">
        <f>VLOOKUP($AB81,sample!$1:$1048576,12,FALSE)</f>
        <v>#N/A</v>
      </c>
      <c r="AN81" s="973" t="e">
        <f>VLOOKUP($AB81,sample!$1:$1048576,13,FALSE)</f>
        <v>#N/A</v>
      </c>
      <c r="AP81" s="988"/>
    </row>
    <row r="82" spans="1:42" ht="14">
      <c r="A82" s="877" t="s">
        <v>1707</v>
      </c>
      <c r="B82" s="830">
        <v>43671</v>
      </c>
      <c r="C82" s="830"/>
      <c r="D82" s="1130" t="str">
        <f>IFERROR(VLOOKUP(G82,PosAggregate!$B$13:$B$85,1,FALSE),"")</f>
        <v/>
      </c>
      <c r="E82" s="769" t="s">
        <v>1606</v>
      </c>
      <c r="F82" s="1006" t="str">
        <f t="shared" si="15"/>
        <v/>
      </c>
      <c r="G82" s="558" t="s">
        <v>1574</v>
      </c>
      <c r="H82" s="558"/>
      <c r="I82" s="833" t="s">
        <v>1578</v>
      </c>
      <c r="J82" s="833"/>
      <c r="K82" s="744"/>
      <c r="L82" s="834"/>
      <c r="M82" s="835">
        <v>1155</v>
      </c>
      <c r="N82" s="836"/>
      <c r="O82" s="835"/>
      <c r="P82" s="835"/>
      <c r="Q82" s="835"/>
      <c r="R82" s="837"/>
      <c r="S82" s="744"/>
      <c r="T82" s="838"/>
      <c r="U82" s="839"/>
      <c r="V82" s="831"/>
      <c r="W82" s="840"/>
      <c r="X82" s="841"/>
      <c r="AE82" s="808"/>
      <c r="AL82" s="808"/>
      <c r="AM82" s="808"/>
      <c r="AN82" s="808"/>
      <c r="AP82" s="988"/>
    </row>
    <row r="83" spans="1:42" ht="14">
      <c r="A83" s="808">
        <v>201900082</v>
      </c>
      <c r="B83" s="830">
        <v>43671</v>
      </c>
      <c r="C83" s="830" t="s">
        <v>133</v>
      </c>
      <c r="D83" s="1130" t="str">
        <f>IFERROR(VLOOKUP(G83,PosAggregate!$B$13:$B$85,1,FALSE),"")</f>
        <v/>
      </c>
      <c r="E83" s="769" t="s">
        <v>1607</v>
      </c>
      <c r="F83" s="1006" t="str">
        <f t="shared" si="15"/>
        <v/>
      </c>
      <c r="G83" s="558" t="s">
        <v>1575</v>
      </c>
      <c r="H83" s="558"/>
      <c r="I83" s="833" t="s">
        <v>1579</v>
      </c>
      <c r="J83" s="833" t="s">
        <v>123</v>
      </c>
      <c r="K83" s="744">
        <v>10372.86</v>
      </c>
      <c r="L83" s="834"/>
      <c r="M83" s="835">
        <v>6700</v>
      </c>
      <c r="N83" s="974">
        <f>-K83*M83</f>
        <v>-69498162</v>
      </c>
      <c r="O83" s="835">
        <v>-104247</v>
      </c>
      <c r="P83" s="835"/>
      <c r="Q83" s="835"/>
      <c r="R83" s="978">
        <f>SUM(N83:Q83)</f>
        <v>-69602409</v>
      </c>
      <c r="S83" s="744">
        <v>1311.5121136173766</v>
      </c>
      <c r="T83" s="983">
        <f>+R83/S83</f>
        <v>-53070.351602033283</v>
      </c>
      <c r="U83" s="839">
        <v>43675</v>
      </c>
      <c r="V83" s="831" t="s">
        <v>1184</v>
      </c>
      <c r="W83" s="840">
        <v>43671.097784953701</v>
      </c>
      <c r="X83" s="971">
        <f>+O83/N83*100</f>
        <v>0.14999965035046536</v>
      </c>
      <c r="Y83" s="972" t="e">
        <f>VLOOKUP(V83,'bic broker'!$A$1:$B$14,2,FALSE)</f>
        <v>#N/A</v>
      </c>
      <c r="Z83" s="972" t="str">
        <f>VLOOKUP(AA83,'place of settlement'!A:C,2,FALSE)</f>
        <v>KSDCKRSEXXX</v>
      </c>
      <c r="AA83" s="972" t="str">
        <f>LEFT(E83,2)</f>
        <v>KR</v>
      </c>
      <c r="AB83" s="972" t="str">
        <f>CONCATENATE(V83,AA83)</f>
        <v>SamsungKR</v>
      </c>
      <c r="AC83" s="972" t="e">
        <f>VLOOKUP(AB83,sample!$1:$1048576,2,FALSE)</f>
        <v>#N/A</v>
      </c>
      <c r="AD83" s="972" t="e">
        <f>VLOOKUP($AB83,sample!$1:$1048576,3,FALSE)</f>
        <v>#N/A</v>
      </c>
      <c r="AE83" s="973" t="e">
        <f>VLOOKUP($AB83,sample!$1:$1048576,4,FALSE)</f>
        <v>#N/A</v>
      </c>
      <c r="AF83" s="972" t="e">
        <f>VLOOKUP($AB83,sample!$1:$1048576,5,FALSE)</f>
        <v>#N/A</v>
      </c>
      <c r="AL83" s="973" t="e">
        <f>VLOOKUP($AB83,sample!$1:$1048576,11,FALSE)</f>
        <v>#N/A</v>
      </c>
      <c r="AM83" s="973" t="e">
        <f>VLOOKUP($AB83,sample!$1:$1048576,12,FALSE)</f>
        <v>#N/A</v>
      </c>
      <c r="AN83" s="973" t="e">
        <f>VLOOKUP($AB83,sample!$1:$1048576,13,FALSE)</f>
        <v>#N/A</v>
      </c>
      <c r="AP83" s="988"/>
    </row>
    <row r="84" spans="1:42" ht="14">
      <c r="A84" s="809" t="s">
        <v>1707</v>
      </c>
      <c r="B84" s="830">
        <v>43671</v>
      </c>
      <c r="C84" s="830"/>
      <c r="D84" s="1130" t="str">
        <f>IFERROR(VLOOKUP(G84,PosAggregate!$B$13:$B$85,1,FALSE),"")</f>
        <v/>
      </c>
      <c r="E84" s="769" t="s">
        <v>1607</v>
      </c>
      <c r="F84" s="1006" t="str">
        <f t="shared" si="15"/>
        <v/>
      </c>
      <c r="G84" s="558" t="s">
        <v>1575</v>
      </c>
      <c r="H84" s="558"/>
      <c r="I84" s="833" t="s">
        <v>1579</v>
      </c>
      <c r="J84" s="833"/>
      <c r="K84" s="744"/>
      <c r="L84" s="834"/>
      <c r="M84" s="835">
        <v>5471</v>
      </c>
      <c r="N84" s="836"/>
      <c r="O84" s="835"/>
      <c r="P84" s="835"/>
      <c r="Q84" s="835"/>
      <c r="R84" s="837"/>
      <c r="S84" s="744"/>
      <c r="T84" s="838"/>
      <c r="U84" s="839"/>
      <c r="V84" s="831"/>
      <c r="W84" s="840"/>
      <c r="X84" s="841"/>
      <c r="AE84" s="808"/>
      <c r="AL84" s="808"/>
      <c r="AM84" s="808"/>
      <c r="AN84" s="808"/>
      <c r="AP84" s="988"/>
    </row>
    <row r="85" spans="1:42" ht="14">
      <c r="A85" s="808">
        <v>201900083</v>
      </c>
      <c r="B85" s="830">
        <v>43671</v>
      </c>
      <c r="C85" s="830" t="s">
        <v>133</v>
      </c>
      <c r="D85" s="1130" t="str">
        <f>IFERROR(VLOOKUP(G85,PosAggregate!$B$13:$B$85,1,FALSE),"")</f>
        <v/>
      </c>
      <c r="E85" s="769" t="s">
        <v>1211</v>
      </c>
      <c r="F85" s="1006" t="str">
        <f t="shared" si="15"/>
        <v/>
      </c>
      <c r="G85" s="558" t="s">
        <v>1161</v>
      </c>
      <c r="H85" s="558"/>
      <c r="I85" s="833" t="s">
        <v>1094</v>
      </c>
      <c r="J85" s="833" t="s">
        <v>123</v>
      </c>
      <c r="K85" s="744">
        <v>24278.15</v>
      </c>
      <c r="L85" s="834"/>
      <c r="M85" s="835">
        <v>2000</v>
      </c>
      <c r="N85" s="974">
        <f t="shared" ref="N85:N105" si="16">-K85*M85</f>
        <v>-48556300</v>
      </c>
      <c r="O85" s="835">
        <v>-72834.45</v>
      </c>
      <c r="P85" s="835"/>
      <c r="Q85" s="835"/>
      <c r="R85" s="978">
        <f t="shared" ref="R85:R116" si="17">SUM(N85:Q85)</f>
        <v>-48629134.450000003</v>
      </c>
      <c r="S85" s="744">
        <v>1311.5121136173784</v>
      </c>
      <c r="T85" s="983">
        <f t="shared" ref="T85:T116" si="18">+R85/S85</f>
        <v>-37078.67731078167</v>
      </c>
      <c r="U85" s="839">
        <v>43675</v>
      </c>
      <c r="V85" s="831" t="s">
        <v>1184</v>
      </c>
      <c r="W85" s="840">
        <v>43671.098866435183</v>
      </c>
      <c r="X85" s="971">
        <f t="shared" ref="X85:X116" si="19">+O85/N85*100</f>
        <v>0.15</v>
      </c>
      <c r="Y85" s="972" t="e">
        <f>VLOOKUP(V85,'bic broker'!$A$1:$B$14,2,FALSE)</f>
        <v>#N/A</v>
      </c>
      <c r="Z85" s="972" t="str">
        <f>VLOOKUP(AA85,'place of settlement'!A:C,2,FALSE)</f>
        <v>KSDCKRSEXXX</v>
      </c>
      <c r="AA85" s="972" t="str">
        <f t="shared" ref="AA85:AA116" si="20">LEFT(E85,2)</f>
        <v>KR</v>
      </c>
      <c r="AB85" s="972" t="str">
        <f t="shared" ref="AB85:AB116" si="21">CONCATENATE(V85,AA85)</f>
        <v>SamsungKR</v>
      </c>
      <c r="AC85" s="972" t="e">
        <f>VLOOKUP(AB85,sample!$1:$1048576,2,FALSE)</f>
        <v>#N/A</v>
      </c>
      <c r="AD85" s="972" t="e">
        <f>VLOOKUP($AB85,sample!$1:$1048576,3,FALSE)</f>
        <v>#N/A</v>
      </c>
      <c r="AE85" s="973" t="e">
        <f>VLOOKUP($AB85,sample!$1:$1048576,4,FALSE)</f>
        <v>#N/A</v>
      </c>
      <c r="AF85" s="972" t="e">
        <f>VLOOKUP($AB85,sample!$1:$1048576,5,FALSE)</f>
        <v>#N/A</v>
      </c>
      <c r="AL85" s="973" t="e">
        <f>VLOOKUP($AB85,sample!$1:$1048576,11,FALSE)</f>
        <v>#N/A</v>
      </c>
      <c r="AM85" s="973" t="e">
        <f>VLOOKUP($AB85,sample!$1:$1048576,12,FALSE)</f>
        <v>#N/A</v>
      </c>
      <c r="AN85" s="973" t="e">
        <f>VLOOKUP($AB85,sample!$1:$1048576,13,FALSE)</f>
        <v>#N/A</v>
      </c>
      <c r="AP85" s="988"/>
    </row>
    <row r="86" spans="1:42" ht="14">
      <c r="A86" s="808">
        <v>201900084</v>
      </c>
      <c r="B86" s="830">
        <v>43675</v>
      </c>
      <c r="C86" s="830" t="s">
        <v>133</v>
      </c>
      <c r="D86" s="1130" t="str">
        <f>IFERROR(VLOOKUP(G86,PosAggregate!$B$13:$B$85,1,FALSE),"")</f>
        <v/>
      </c>
      <c r="E86" s="769" t="s">
        <v>1215</v>
      </c>
      <c r="F86" s="1006" t="str">
        <f t="shared" si="15"/>
        <v/>
      </c>
      <c r="G86" s="558" t="s">
        <v>1166</v>
      </c>
      <c r="H86" s="558"/>
      <c r="I86" s="833" t="s">
        <v>1064</v>
      </c>
      <c r="J86" s="833" t="s">
        <v>2</v>
      </c>
      <c r="K86" s="744">
        <v>45.23</v>
      </c>
      <c r="L86" s="834"/>
      <c r="M86" s="835">
        <v>420</v>
      </c>
      <c r="N86" s="974">
        <f t="shared" si="16"/>
        <v>-18996.599999999999</v>
      </c>
      <c r="O86" s="835">
        <v>-15.2</v>
      </c>
      <c r="P86" s="835">
        <v>-56.69</v>
      </c>
      <c r="Q86" s="835"/>
      <c r="R86" s="978">
        <f t="shared" si="17"/>
        <v>-19068.489999999998</v>
      </c>
      <c r="S86" s="744">
        <v>1</v>
      </c>
      <c r="T86" s="983">
        <f t="shared" si="18"/>
        <v>-19068.489999999998</v>
      </c>
      <c r="U86" s="839">
        <v>43677</v>
      </c>
      <c r="V86" s="831" t="s">
        <v>1183</v>
      </c>
      <c r="W86" s="840">
        <v>43675.65654236111</v>
      </c>
      <c r="X86" s="971">
        <f t="shared" si="19"/>
        <v>8.0014318351705041E-2</v>
      </c>
      <c r="Y86" s="972" t="str">
        <f>VLOOKUP(V86,'bic broker'!$A$1:$B$14,2,FALSE)</f>
        <v>EMSIITM1XXX</v>
      </c>
      <c r="Z86" s="972" t="str">
        <f>VLOOKUP(AA86,'place of settlement'!A:C,2,FALSE)</f>
        <v>SICVFRPPXXX</v>
      </c>
      <c r="AA86" s="972" t="str">
        <f t="shared" si="20"/>
        <v>FR</v>
      </c>
      <c r="AB86" s="972" t="str">
        <f t="shared" si="21"/>
        <v>EquitaFR</v>
      </c>
      <c r="AC86" s="972" t="str">
        <f>VLOOKUP(AB86,sample!$1:$1048576,2,FALSE)</f>
        <v>EMSIITM1XXX</v>
      </c>
      <c r="AD86" s="972" t="str">
        <f>VLOOKUP($AB86,sample!$1:$1048576,3,FALSE)</f>
        <v>SICVFRPPXXX</v>
      </c>
      <c r="AE86" s="973" t="str">
        <f>VLOOKUP($AB86,sample!$1:$1048576,4,FALSE)</f>
        <v>SICVBCITITMMD00000L10</v>
      </c>
      <c r="AF86" s="972" t="str">
        <f>VLOOKUP($AB86,sample!$1:$1048576,5,FALSE)</f>
        <v>N</v>
      </c>
      <c r="AL86" s="973" t="str">
        <f>VLOOKUP($AB86,sample!$1:$1048576,11,FALSE)</f>
        <v xml:space="preserve">        </v>
      </c>
      <c r="AM86" s="973" t="str">
        <f>VLOOKUP($AB86,sample!$1:$1048576,12,FALSE)</f>
        <v xml:space="preserve">        </v>
      </c>
      <c r="AN86" s="973" t="str">
        <f>VLOOKUP($AB86,sample!$1:$1048576,13,FALSE)</f>
        <v>BCITITMMD00</v>
      </c>
      <c r="AP86" s="988"/>
    </row>
    <row r="87" spans="1:42" ht="14">
      <c r="A87" s="808">
        <v>201900085</v>
      </c>
      <c r="B87" s="830">
        <v>43678</v>
      </c>
      <c r="C87" s="830" t="s">
        <v>133</v>
      </c>
      <c r="D87" s="1130" t="str">
        <f>IFERROR(VLOOKUP(G87,PosAggregate!$B$13:$B$85,1,FALSE),"")</f>
        <v/>
      </c>
      <c r="E87" s="769" t="s">
        <v>1215</v>
      </c>
      <c r="F87" s="1006" t="str">
        <f t="shared" si="15"/>
        <v/>
      </c>
      <c r="G87" s="558" t="s">
        <v>1166</v>
      </c>
      <c r="H87" s="558"/>
      <c r="I87" s="833" t="s">
        <v>1064</v>
      </c>
      <c r="J87" s="833" t="s">
        <v>2</v>
      </c>
      <c r="K87" s="744">
        <v>42.323999999999998</v>
      </c>
      <c r="L87" s="834"/>
      <c r="M87" s="835">
        <v>670</v>
      </c>
      <c r="N87" s="974">
        <f t="shared" si="16"/>
        <v>-28357.079999999998</v>
      </c>
      <c r="O87" s="835">
        <v>-22.69</v>
      </c>
      <c r="P87" s="835">
        <v>-85.07</v>
      </c>
      <c r="Q87" s="835"/>
      <c r="R87" s="978">
        <f t="shared" si="17"/>
        <v>-28464.839999999997</v>
      </c>
      <c r="S87" s="744">
        <v>1</v>
      </c>
      <c r="T87" s="983">
        <f t="shared" si="18"/>
        <v>-28464.839999999997</v>
      </c>
      <c r="U87" s="839">
        <v>43664</v>
      </c>
      <c r="V87" s="831" t="s">
        <v>1183</v>
      </c>
      <c r="W87" s="840">
        <v>43662.661953240742</v>
      </c>
      <c r="X87" s="971">
        <f t="shared" si="19"/>
        <v>8.0015290713994533E-2</v>
      </c>
      <c r="Y87" s="972" t="str">
        <f>VLOOKUP(V87,'bic broker'!$A$1:$B$14,2,FALSE)</f>
        <v>EMSIITM1XXX</v>
      </c>
      <c r="Z87" s="972" t="str">
        <f>VLOOKUP(AA87,'place of settlement'!A:C,2,FALSE)</f>
        <v>SICVFRPPXXX</v>
      </c>
      <c r="AA87" s="972" t="str">
        <f t="shared" si="20"/>
        <v>FR</v>
      </c>
      <c r="AB87" s="972" t="str">
        <f t="shared" si="21"/>
        <v>EquitaFR</v>
      </c>
      <c r="AC87" s="972" t="str">
        <f>VLOOKUP(AB87,sample!$1:$1048576,2,FALSE)</f>
        <v>EMSIITM1XXX</v>
      </c>
      <c r="AD87" s="972" t="str">
        <f>VLOOKUP($AB87,sample!$1:$1048576,3,FALSE)</f>
        <v>SICVFRPPXXX</v>
      </c>
      <c r="AE87" s="973" t="str">
        <f>VLOOKUP($AB87,sample!$1:$1048576,4,FALSE)</f>
        <v>SICVBCITITMMD00000L10</v>
      </c>
      <c r="AF87" s="972" t="str">
        <f>VLOOKUP($AB87,sample!$1:$1048576,5,FALSE)</f>
        <v>N</v>
      </c>
      <c r="AL87" s="973" t="str">
        <f>VLOOKUP($AB87,sample!$1:$1048576,11,FALSE)</f>
        <v xml:space="preserve">        </v>
      </c>
      <c r="AM87" s="973" t="str">
        <f>VLOOKUP($AB87,sample!$1:$1048576,12,FALSE)</f>
        <v xml:space="preserve">        </v>
      </c>
      <c r="AN87" s="973" t="str">
        <f>VLOOKUP($AB87,sample!$1:$1048576,13,FALSE)</f>
        <v>BCITITMMD00</v>
      </c>
      <c r="AP87" s="988"/>
    </row>
    <row r="88" spans="1:42" ht="14">
      <c r="A88" s="808">
        <v>201900086</v>
      </c>
      <c r="B88" s="830">
        <v>43678</v>
      </c>
      <c r="C88" s="830" t="s">
        <v>133</v>
      </c>
      <c r="D88" s="1130" t="str">
        <f>IFERROR(VLOOKUP(G88,PosAggregate!$B$13:$B$85,1,FALSE),"")</f>
        <v/>
      </c>
      <c r="E88" s="769" t="s">
        <v>1227</v>
      </c>
      <c r="F88" s="1006" t="str">
        <f t="shared" si="15"/>
        <v/>
      </c>
      <c r="G88" s="558" t="s">
        <v>1163</v>
      </c>
      <c r="H88" s="558"/>
      <c r="I88" s="833" t="s">
        <v>1092</v>
      </c>
      <c r="J88" s="833" t="s">
        <v>1069</v>
      </c>
      <c r="K88" s="744">
        <v>0.875</v>
      </c>
      <c r="L88" s="834"/>
      <c r="M88" s="835">
        <v>38120</v>
      </c>
      <c r="N88" s="974">
        <f t="shared" si="16"/>
        <v>-33355</v>
      </c>
      <c r="O88" s="835">
        <v>-26.68</v>
      </c>
      <c r="P88" s="835"/>
      <c r="Q88" s="835"/>
      <c r="R88" s="978">
        <f t="shared" si="17"/>
        <v>-33381.68</v>
      </c>
      <c r="S88" s="744">
        <v>1.6231960027659422</v>
      </c>
      <c r="T88" s="983">
        <f t="shared" si="18"/>
        <v>-20565.403033963419</v>
      </c>
      <c r="U88" s="839">
        <v>43682</v>
      </c>
      <c r="V88" s="831" t="s">
        <v>1183</v>
      </c>
      <c r="W88" s="840">
        <v>43677.920176504631</v>
      </c>
      <c r="X88" s="971">
        <f t="shared" si="19"/>
        <v>7.99880077949333E-2</v>
      </c>
      <c r="Y88" s="972" t="str">
        <f>VLOOKUP(V88,'bic broker'!$A$1:$B$14,2,FALSE)</f>
        <v>EMSIITM1XXX</v>
      </c>
      <c r="Z88" s="972" t="str">
        <f>VLOOKUP(AA88,'place of settlement'!A:C,2,FALSE)</f>
        <v>CAETAU21XXX</v>
      </c>
      <c r="AA88" s="972" t="str">
        <f t="shared" si="20"/>
        <v>AU</v>
      </c>
      <c r="AB88" s="972" t="str">
        <f t="shared" si="21"/>
        <v>EquitaAU</v>
      </c>
      <c r="AC88" s="972" t="str">
        <f>VLOOKUP(AB88,sample!$1:$1048576,2,FALSE)</f>
        <v>BCITITMMXXX</v>
      </c>
      <c r="AD88" s="972" t="str">
        <f>VLOOKUP($AB88,sample!$1:$1048576,3,FALSE)</f>
        <v>CAETAU21XXX</v>
      </c>
      <c r="AE88" s="973">
        <f>VLOOKUP($AB88,sample!$1:$1048576,4,FALSE)</f>
        <v>2099100983</v>
      </c>
      <c r="AF88" s="972" t="str">
        <f>VLOOKUP($AB88,sample!$1:$1048576,5,FALSE)</f>
        <v>N</v>
      </c>
      <c r="AL88" s="973" t="str">
        <f>VLOOKUP($AB88,sample!$1:$1048576,11,FALSE)</f>
        <v xml:space="preserve">        </v>
      </c>
      <c r="AM88" s="973" t="str">
        <f>VLOOKUP($AB88,sample!$1:$1048576,12,FALSE)</f>
        <v xml:space="preserve">        </v>
      </c>
      <c r="AN88" s="973" t="str">
        <f>VLOOKUP($AB88,sample!$1:$1048576,13,FALSE)</f>
        <v>CITIAU3XXXX</v>
      </c>
      <c r="AP88" s="988"/>
    </row>
    <row r="89" spans="1:42" ht="14">
      <c r="A89" s="808">
        <v>201900087</v>
      </c>
      <c r="B89" s="830">
        <v>43678</v>
      </c>
      <c r="C89" s="830" t="s">
        <v>133</v>
      </c>
      <c r="D89" s="1130" t="str">
        <f>IFERROR(VLOOKUP(G89,PosAggregate!$B$13:$B$85,1,FALSE),"")</f>
        <v/>
      </c>
      <c r="E89" s="769" t="s">
        <v>1209</v>
      </c>
      <c r="F89" s="1006" t="str">
        <f t="shared" si="15"/>
        <v/>
      </c>
      <c r="G89" s="558" t="s">
        <v>1159</v>
      </c>
      <c r="H89" s="558"/>
      <c r="I89" s="833" t="s">
        <v>1102</v>
      </c>
      <c r="J89" s="833" t="s">
        <v>123</v>
      </c>
      <c r="K89" s="744">
        <v>117978.5714</v>
      </c>
      <c r="L89" s="834"/>
      <c r="M89" s="856">
        <v>420</v>
      </c>
      <c r="N89" s="974">
        <f t="shared" si="16"/>
        <v>-49550999.987999998</v>
      </c>
      <c r="O89" s="835">
        <v>-74327</v>
      </c>
      <c r="P89" s="835"/>
      <c r="Q89" s="835"/>
      <c r="R89" s="978">
        <f t="shared" si="17"/>
        <v>-49625326.987999998</v>
      </c>
      <c r="S89" s="744">
        <v>1317.3250652450322</v>
      </c>
      <c r="T89" s="983">
        <f t="shared" si="18"/>
        <v>-37671.284254178616</v>
      </c>
      <c r="U89" s="839">
        <v>43682</v>
      </c>
      <c r="V89" s="831" t="s">
        <v>1184</v>
      </c>
      <c r="W89" s="840">
        <v>43677.925857754628</v>
      </c>
      <c r="X89" s="971">
        <f t="shared" si="19"/>
        <v>0.15000100909769756</v>
      </c>
      <c r="Y89" s="972" t="e">
        <f>VLOOKUP(V89,'bic broker'!$A$1:$B$14,2,FALSE)</f>
        <v>#N/A</v>
      </c>
      <c r="Z89" s="972" t="str">
        <f>VLOOKUP(AA89,'place of settlement'!A:C,2,FALSE)</f>
        <v>KSDCKRSEXXX</v>
      </c>
      <c r="AA89" s="972" t="str">
        <f t="shared" si="20"/>
        <v>KR</v>
      </c>
      <c r="AB89" s="972" t="str">
        <f t="shared" si="21"/>
        <v>SamsungKR</v>
      </c>
      <c r="AC89" s="972" t="e">
        <f>VLOOKUP(AB89,sample!$1:$1048576,2,FALSE)</f>
        <v>#N/A</v>
      </c>
      <c r="AD89" s="972" t="e">
        <f>VLOOKUP($AB89,sample!$1:$1048576,3,FALSE)</f>
        <v>#N/A</v>
      </c>
      <c r="AE89" s="973" t="e">
        <f>VLOOKUP($AB89,sample!$1:$1048576,4,FALSE)</f>
        <v>#N/A</v>
      </c>
      <c r="AF89" s="972" t="e">
        <f>VLOOKUP($AB89,sample!$1:$1048576,5,FALSE)</f>
        <v>#N/A</v>
      </c>
      <c r="AL89" s="973" t="e">
        <f>VLOOKUP($AB89,sample!$1:$1048576,11,FALSE)</f>
        <v>#N/A</v>
      </c>
      <c r="AM89" s="973" t="e">
        <f>VLOOKUP($AB89,sample!$1:$1048576,12,FALSE)</f>
        <v>#N/A</v>
      </c>
      <c r="AN89" s="973" t="e">
        <f>VLOOKUP($AB89,sample!$1:$1048576,13,FALSE)</f>
        <v>#N/A</v>
      </c>
      <c r="AP89" s="988"/>
    </row>
    <row r="90" spans="1:42" ht="14">
      <c r="A90" s="808">
        <v>201900088</v>
      </c>
      <c r="B90" s="830">
        <v>43682</v>
      </c>
      <c r="C90" s="830" t="s">
        <v>133</v>
      </c>
      <c r="D90" s="1130" t="str">
        <f>IFERROR(VLOOKUP(G90,PosAggregate!$B$13:$B$85,1,FALSE),"")</f>
        <v/>
      </c>
      <c r="E90" s="769" t="s">
        <v>1214</v>
      </c>
      <c r="F90" s="1006" t="str">
        <f t="shared" si="15"/>
        <v/>
      </c>
      <c r="G90" s="558" t="s">
        <v>1165</v>
      </c>
      <c r="H90" s="558"/>
      <c r="I90" s="833" t="s">
        <v>1180</v>
      </c>
      <c r="J90" s="833" t="s">
        <v>2</v>
      </c>
      <c r="K90" s="744">
        <v>36.156799999999997</v>
      </c>
      <c r="L90" s="834"/>
      <c r="M90" s="835">
        <v>500</v>
      </c>
      <c r="N90" s="974">
        <f t="shared" si="16"/>
        <v>-18078.399999999998</v>
      </c>
      <c r="O90" s="835">
        <v>-14.46</v>
      </c>
      <c r="P90" s="835">
        <v>-54.24</v>
      </c>
      <c r="Q90" s="835"/>
      <c r="R90" s="978">
        <f t="shared" si="17"/>
        <v>-18147.099999999999</v>
      </c>
      <c r="S90" s="744">
        <v>1</v>
      </c>
      <c r="T90" s="983">
        <f t="shared" si="18"/>
        <v>-18147.099999999999</v>
      </c>
      <c r="U90" s="839">
        <v>43684</v>
      </c>
      <c r="V90" s="831" t="s">
        <v>1183</v>
      </c>
      <c r="W90" s="842">
        <v>0.43055555555555558</v>
      </c>
      <c r="X90" s="971">
        <f t="shared" si="19"/>
        <v>7.9984954420745213E-2</v>
      </c>
      <c r="Y90" s="972" t="str">
        <f>VLOOKUP(V90,'bic broker'!$A$1:$B$14,2,FALSE)</f>
        <v>EMSIITM1XXX</v>
      </c>
      <c r="Z90" s="972" t="str">
        <f>VLOOKUP(AA90,'place of settlement'!A:C,2,FALSE)</f>
        <v>SICVFRPPXXX</v>
      </c>
      <c r="AA90" s="972" t="str">
        <f t="shared" si="20"/>
        <v>FR</v>
      </c>
      <c r="AB90" s="972" t="str">
        <f t="shared" si="21"/>
        <v>EquitaFR</v>
      </c>
      <c r="AC90" s="972" t="str">
        <f>VLOOKUP(AB90,sample!$1:$1048576,2,FALSE)</f>
        <v>EMSIITM1XXX</v>
      </c>
      <c r="AD90" s="972" t="str">
        <f>VLOOKUP($AB90,sample!$1:$1048576,3,FALSE)</f>
        <v>SICVFRPPXXX</v>
      </c>
      <c r="AE90" s="973" t="str">
        <f>VLOOKUP($AB90,sample!$1:$1048576,4,FALSE)</f>
        <v>SICVBCITITMMD00000L10</v>
      </c>
      <c r="AF90" s="972" t="str">
        <f>VLOOKUP($AB90,sample!$1:$1048576,5,FALSE)</f>
        <v>N</v>
      </c>
      <c r="AL90" s="973" t="str">
        <f>VLOOKUP($AB90,sample!$1:$1048576,11,FALSE)</f>
        <v xml:space="preserve">        </v>
      </c>
      <c r="AM90" s="973" t="str">
        <f>VLOOKUP($AB90,sample!$1:$1048576,12,FALSE)</f>
        <v xml:space="preserve">        </v>
      </c>
      <c r="AN90" s="973" t="str">
        <f>VLOOKUP($AB90,sample!$1:$1048576,13,FALSE)</f>
        <v>BCITITMMD00</v>
      </c>
      <c r="AP90" s="988"/>
    </row>
    <row r="91" spans="1:42" ht="14">
      <c r="A91" s="808">
        <v>201900089</v>
      </c>
      <c r="B91" s="830">
        <v>43682</v>
      </c>
      <c r="C91" s="830" t="s">
        <v>133</v>
      </c>
      <c r="D91" s="1130" t="str">
        <f>IFERROR(VLOOKUP(G91,PosAggregate!$B$13:$B$85,1,FALSE),"")</f>
        <v/>
      </c>
      <c r="E91" s="769" t="s">
        <v>1215</v>
      </c>
      <c r="F91" s="1006" t="str">
        <f t="shared" si="15"/>
        <v/>
      </c>
      <c r="G91" s="558" t="s">
        <v>1166</v>
      </c>
      <c r="H91" s="558"/>
      <c r="I91" s="833" t="s">
        <v>1064</v>
      </c>
      <c r="J91" s="833" t="s">
        <v>2</v>
      </c>
      <c r="K91" s="744">
        <v>38.394300000000001</v>
      </c>
      <c r="L91" s="834"/>
      <c r="M91" s="835">
        <v>500</v>
      </c>
      <c r="N91" s="974">
        <f t="shared" si="16"/>
        <v>-19197.150000000001</v>
      </c>
      <c r="O91" s="835">
        <v>-15.36</v>
      </c>
      <c r="P91" s="835">
        <v>-57.59</v>
      </c>
      <c r="Q91" s="835"/>
      <c r="R91" s="978">
        <f t="shared" si="17"/>
        <v>-19270.100000000002</v>
      </c>
      <c r="S91" s="744">
        <v>1</v>
      </c>
      <c r="T91" s="983">
        <f t="shared" si="18"/>
        <v>-19270.100000000002</v>
      </c>
      <c r="U91" s="839">
        <v>43684</v>
      </c>
      <c r="V91" s="831" t="s">
        <v>1183</v>
      </c>
      <c r="W91" s="842">
        <v>0.43333333333333335</v>
      </c>
      <c r="X91" s="971">
        <f t="shared" si="19"/>
        <v>8.0011876762956985E-2</v>
      </c>
      <c r="Y91" s="972" t="str">
        <f>VLOOKUP(V91,'bic broker'!$A$1:$B$14,2,FALSE)</f>
        <v>EMSIITM1XXX</v>
      </c>
      <c r="Z91" s="972" t="str">
        <f>VLOOKUP(AA91,'place of settlement'!A:C,2,FALSE)</f>
        <v>SICVFRPPXXX</v>
      </c>
      <c r="AA91" s="972" t="str">
        <f t="shared" si="20"/>
        <v>FR</v>
      </c>
      <c r="AB91" s="972" t="str">
        <f t="shared" si="21"/>
        <v>EquitaFR</v>
      </c>
      <c r="AC91" s="972" t="str">
        <f>VLOOKUP(AB91,sample!$1:$1048576,2,FALSE)</f>
        <v>EMSIITM1XXX</v>
      </c>
      <c r="AD91" s="972" t="str">
        <f>VLOOKUP($AB91,sample!$1:$1048576,3,FALSE)</f>
        <v>SICVFRPPXXX</v>
      </c>
      <c r="AE91" s="973" t="str">
        <f>VLOOKUP($AB91,sample!$1:$1048576,4,FALSE)</f>
        <v>SICVBCITITMMD00000L10</v>
      </c>
      <c r="AF91" s="972" t="str">
        <f>VLOOKUP($AB91,sample!$1:$1048576,5,FALSE)</f>
        <v>N</v>
      </c>
      <c r="AL91" s="973" t="str">
        <f>VLOOKUP($AB91,sample!$1:$1048576,11,FALSE)</f>
        <v xml:space="preserve">        </v>
      </c>
      <c r="AM91" s="973" t="str">
        <f>VLOOKUP($AB91,sample!$1:$1048576,12,FALSE)</f>
        <v xml:space="preserve">        </v>
      </c>
      <c r="AN91" s="973" t="str">
        <f>VLOOKUP($AB91,sample!$1:$1048576,13,FALSE)</f>
        <v>BCITITMMD00</v>
      </c>
      <c r="AP91" s="988"/>
    </row>
    <row r="92" spans="1:42" ht="14">
      <c r="A92" s="808">
        <v>201900090</v>
      </c>
      <c r="B92" s="830">
        <v>43682</v>
      </c>
      <c r="C92" s="830" t="s">
        <v>133</v>
      </c>
      <c r="D92" s="1130" t="str">
        <f>IFERROR(VLOOKUP(G92,PosAggregate!$B$13:$B$85,1,FALSE),"")</f>
        <v/>
      </c>
      <c r="E92" s="769" t="s">
        <v>1224</v>
      </c>
      <c r="F92" s="1006" t="str">
        <f t="shared" si="15"/>
        <v/>
      </c>
      <c r="G92" s="558" t="s">
        <v>1175</v>
      </c>
      <c r="H92" s="558"/>
      <c r="I92" s="833" t="s">
        <v>1095</v>
      </c>
      <c r="J92" s="833" t="s">
        <v>3</v>
      </c>
      <c r="K92" s="744">
        <v>65.776700000000005</v>
      </c>
      <c r="L92" s="834"/>
      <c r="M92" s="835">
        <v>300</v>
      </c>
      <c r="N92" s="974">
        <f t="shared" si="16"/>
        <v>-19733.010000000002</v>
      </c>
      <c r="O92" s="835">
        <v>-15.79</v>
      </c>
      <c r="P92" s="835"/>
      <c r="Q92" s="835"/>
      <c r="R92" s="978">
        <f t="shared" si="17"/>
        <v>-19748.800000000003</v>
      </c>
      <c r="S92" s="744">
        <v>1.1197957492553359</v>
      </c>
      <c r="T92" s="983">
        <f t="shared" si="18"/>
        <v>-17636.073376</v>
      </c>
      <c r="U92" s="839">
        <v>43684</v>
      </c>
      <c r="V92" s="831" t="s">
        <v>1183</v>
      </c>
      <c r="W92" s="842">
        <v>0.58958333333333335</v>
      </c>
      <c r="X92" s="971">
        <f t="shared" si="19"/>
        <v>8.0018203000961324E-2</v>
      </c>
      <c r="Y92" s="972" t="str">
        <f>VLOOKUP(V92,'bic broker'!$A$1:$B$14,2,FALSE)</f>
        <v>EMSIITM1XXX</v>
      </c>
      <c r="Z92" s="972" t="str">
        <f>VLOOKUP(AA92,'place of settlement'!A:C,2,FALSE)</f>
        <v>DTCYUS33XXX</v>
      </c>
      <c r="AA92" s="972" t="str">
        <f t="shared" si="20"/>
        <v>US</v>
      </c>
      <c r="AB92" s="972" t="str">
        <f t="shared" si="21"/>
        <v>EquitaUS</v>
      </c>
      <c r="AC92" s="972" t="str">
        <f>VLOOKUP(AB92,sample!$1:$1048576,2,FALSE)</f>
        <v>BCITITMMXXX</v>
      </c>
      <c r="AD92" s="972" t="str">
        <f>VLOOKUP($AB92,sample!$1:$1048576,3,FALSE)</f>
        <v>DTCYUS33XXX</v>
      </c>
      <c r="AE92" s="973">
        <f>VLOOKUP($AB92,sample!$1:$1048576,4,FALSE)</f>
        <v>236707</v>
      </c>
      <c r="AF92" s="972" t="str">
        <f>VLOOKUP($AB92,sample!$1:$1048576,5,FALSE)</f>
        <v>N</v>
      </c>
      <c r="AL92" s="973" t="str">
        <f>VLOOKUP($AB92,sample!$1:$1048576,11,FALSE)</f>
        <v>DTCYID</v>
      </c>
      <c r="AM92" s="973">
        <f>VLOOKUP($AB92,sample!$1:$1048576,12,FALSE)</f>
        <v>908</v>
      </c>
      <c r="AN92" s="973" t="str">
        <f>VLOOKUP($AB92,sample!$1:$1048576,13,FALSE)</f>
        <v xml:space="preserve">        </v>
      </c>
      <c r="AP92" s="988"/>
    </row>
    <row r="93" spans="1:42" ht="14">
      <c r="A93" s="808">
        <v>201900091</v>
      </c>
      <c r="B93" s="830">
        <v>43682</v>
      </c>
      <c r="C93" s="830" t="s">
        <v>133</v>
      </c>
      <c r="D93" s="1130" t="str">
        <f>IFERROR(VLOOKUP(G93,PosAggregate!$B$13:$B$85,1,FALSE),"")</f>
        <v/>
      </c>
      <c r="E93" s="769" t="s">
        <v>1608</v>
      </c>
      <c r="F93" s="1006" t="str">
        <f t="shared" si="15"/>
        <v/>
      </c>
      <c r="G93" s="558" t="s">
        <v>1581</v>
      </c>
      <c r="H93" s="558"/>
      <c r="I93" s="833" t="s">
        <v>1585</v>
      </c>
      <c r="J93" s="833" t="s">
        <v>3</v>
      </c>
      <c r="K93" s="744">
        <v>10.337300000000001</v>
      </c>
      <c r="L93" s="834"/>
      <c r="M93" s="835">
        <v>3500</v>
      </c>
      <c r="N93" s="974">
        <f t="shared" si="16"/>
        <v>-36180.550000000003</v>
      </c>
      <c r="O93" s="835">
        <v>-28.94</v>
      </c>
      <c r="P93" s="835"/>
      <c r="Q93" s="835"/>
      <c r="R93" s="978">
        <f t="shared" si="17"/>
        <v>-36209.490000000005</v>
      </c>
      <c r="S93" s="744">
        <v>1.1197957492553359</v>
      </c>
      <c r="T93" s="983">
        <f t="shared" si="18"/>
        <v>-32335.798759800004</v>
      </c>
      <c r="U93" s="839">
        <v>43684</v>
      </c>
      <c r="V93" s="831" t="s">
        <v>1183</v>
      </c>
      <c r="W93" s="842">
        <v>0.59166666666666667</v>
      </c>
      <c r="X93" s="971">
        <f t="shared" si="19"/>
        <v>7.9987728213086862E-2</v>
      </c>
      <c r="Y93" s="972" t="str">
        <f>VLOOKUP(V93,'bic broker'!$A$1:$B$14,2,FALSE)</f>
        <v>EMSIITM1XXX</v>
      </c>
      <c r="Z93" s="972" t="str">
        <f>VLOOKUP(AA93,'place of settlement'!A:C,2,FALSE)</f>
        <v>DTCYUS33XXX</v>
      </c>
      <c r="AA93" s="972" t="str">
        <f t="shared" si="20"/>
        <v>US</v>
      </c>
      <c r="AB93" s="972" t="str">
        <f t="shared" si="21"/>
        <v>EquitaUS</v>
      </c>
      <c r="AC93" s="972" t="str">
        <f>VLOOKUP(AB93,sample!$1:$1048576,2,FALSE)</f>
        <v>BCITITMMXXX</v>
      </c>
      <c r="AD93" s="972" t="str">
        <f>VLOOKUP($AB93,sample!$1:$1048576,3,FALSE)</f>
        <v>DTCYUS33XXX</v>
      </c>
      <c r="AE93" s="973">
        <f>VLOOKUP($AB93,sample!$1:$1048576,4,FALSE)</f>
        <v>236707</v>
      </c>
      <c r="AF93" s="972" t="str">
        <f>VLOOKUP($AB93,sample!$1:$1048576,5,FALSE)</f>
        <v>N</v>
      </c>
      <c r="AL93" s="973" t="str">
        <f>VLOOKUP($AB93,sample!$1:$1048576,11,FALSE)</f>
        <v>DTCYID</v>
      </c>
      <c r="AM93" s="973">
        <f>VLOOKUP($AB93,sample!$1:$1048576,12,FALSE)</f>
        <v>908</v>
      </c>
      <c r="AN93" s="973" t="str">
        <f>VLOOKUP($AB93,sample!$1:$1048576,13,FALSE)</f>
        <v xml:space="preserve">        </v>
      </c>
      <c r="AP93" s="988"/>
    </row>
    <row r="94" spans="1:42" ht="14">
      <c r="A94" s="808">
        <v>201900092</v>
      </c>
      <c r="B94" s="830">
        <v>43682</v>
      </c>
      <c r="C94" s="830" t="s">
        <v>133</v>
      </c>
      <c r="D94" s="1130" t="str">
        <f>IFERROR(VLOOKUP(G94,PosAggregate!$B$13:$B$85,1,FALSE),"")</f>
        <v/>
      </c>
      <c r="E94" s="769" t="s">
        <v>1225</v>
      </c>
      <c r="F94" s="1006" t="str">
        <f t="shared" si="15"/>
        <v/>
      </c>
      <c r="G94" s="558" t="s">
        <v>1176</v>
      </c>
      <c r="H94" s="558"/>
      <c r="I94" s="833" t="s">
        <v>1182</v>
      </c>
      <c r="J94" s="833" t="s">
        <v>3</v>
      </c>
      <c r="K94" s="744">
        <v>5.7782999999999998</v>
      </c>
      <c r="L94" s="834"/>
      <c r="M94" s="835">
        <v>3300</v>
      </c>
      <c r="N94" s="974">
        <f t="shared" si="16"/>
        <v>-19068.39</v>
      </c>
      <c r="O94" s="835">
        <v>-15.25</v>
      </c>
      <c r="P94" s="835"/>
      <c r="Q94" s="835"/>
      <c r="R94" s="978">
        <f t="shared" si="17"/>
        <v>-19083.64</v>
      </c>
      <c r="S94" s="744">
        <v>1.1197957492553359</v>
      </c>
      <c r="T94" s="983">
        <f t="shared" si="18"/>
        <v>-17042.072192799998</v>
      </c>
      <c r="U94" s="839">
        <v>43684</v>
      </c>
      <c r="V94" s="831" t="s">
        <v>1183</v>
      </c>
      <c r="W94" s="842">
        <v>0.59375</v>
      </c>
      <c r="X94" s="971">
        <f t="shared" si="19"/>
        <v>7.9975288946785753E-2</v>
      </c>
      <c r="Y94" s="972" t="str">
        <f>VLOOKUP(V94,'bic broker'!$A$1:$B$14,2,FALSE)</f>
        <v>EMSIITM1XXX</v>
      </c>
      <c r="Z94" s="972" t="str">
        <f>VLOOKUP(AA94,'place of settlement'!A:C,2,FALSE)</f>
        <v>DTCYUS33XXX</v>
      </c>
      <c r="AA94" s="972" t="str">
        <f t="shared" si="20"/>
        <v>US</v>
      </c>
      <c r="AB94" s="972" t="str">
        <f t="shared" si="21"/>
        <v>EquitaUS</v>
      </c>
      <c r="AC94" s="972" t="str">
        <f>VLOOKUP(AB94,sample!$1:$1048576,2,FALSE)</f>
        <v>BCITITMMXXX</v>
      </c>
      <c r="AD94" s="972" t="str">
        <f>VLOOKUP($AB94,sample!$1:$1048576,3,FALSE)</f>
        <v>DTCYUS33XXX</v>
      </c>
      <c r="AE94" s="973">
        <f>VLOOKUP($AB94,sample!$1:$1048576,4,FALSE)</f>
        <v>236707</v>
      </c>
      <c r="AF94" s="972" t="str">
        <f>VLOOKUP($AB94,sample!$1:$1048576,5,FALSE)</f>
        <v>N</v>
      </c>
      <c r="AL94" s="973" t="str">
        <f>VLOOKUP($AB94,sample!$1:$1048576,11,FALSE)</f>
        <v>DTCYID</v>
      </c>
      <c r="AM94" s="973">
        <f>VLOOKUP($AB94,sample!$1:$1048576,12,FALSE)</f>
        <v>908</v>
      </c>
      <c r="AN94" s="973" t="str">
        <f>VLOOKUP($AB94,sample!$1:$1048576,13,FALSE)</f>
        <v xml:space="preserve">        </v>
      </c>
      <c r="AP94" s="988"/>
    </row>
    <row r="95" spans="1:42" ht="14">
      <c r="A95" s="808">
        <v>201900093</v>
      </c>
      <c r="B95" s="830">
        <v>43682</v>
      </c>
      <c r="C95" s="830" t="s">
        <v>133</v>
      </c>
      <c r="D95" s="1130" t="str">
        <f>IFERROR(VLOOKUP(G95,PosAggregate!$B$13:$B$85,1,FALSE),"")</f>
        <v/>
      </c>
      <c r="E95" s="769" t="s">
        <v>1609</v>
      </c>
      <c r="F95" s="1006" t="str">
        <f t="shared" si="15"/>
        <v/>
      </c>
      <c r="G95" s="558" t="s">
        <v>1582</v>
      </c>
      <c r="H95" s="558"/>
      <c r="I95" s="833" t="s">
        <v>1586</v>
      </c>
      <c r="J95" s="833" t="s">
        <v>3</v>
      </c>
      <c r="K95" s="744">
        <v>21.964200000000002</v>
      </c>
      <c r="L95" s="834"/>
      <c r="M95" s="835">
        <v>2200</v>
      </c>
      <c r="N95" s="974">
        <f t="shared" si="16"/>
        <v>-48321.240000000005</v>
      </c>
      <c r="O95" s="835">
        <v>-38.659999999999997</v>
      </c>
      <c r="P95" s="835"/>
      <c r="Q95" s="835"/>
      <c r="R95" s="978">
        <f t="shared" si="17"/>
        <v>-48359.900000000009</v>
      </c>
      <c r="S95" s="744">
        <v>1.1197957492553359</v>
      </c>
      <c r="T95" s="983">
        <f t="shared" si="18"/>
        <v>-43186.357898000009</v>
      </c>
      <c r="U95" s="839">
        <v>43684</v>
      </c>
      <c r="V95" s="831" t="s">
        <v>1183</v>
      </c>
      <c r="W95" s="842">
        <v>0.59444444444444444</v>
      </c>
      <c r="X95" s="971">
        <f t="shared" si="19"/>
        <v>8.0006225005815224E-2</v>
      </c>
      <c r="Y95" s="972" t="str">
        <f>VLOOKUP(V95,'bic broker'!$A$1:$B$14,2,FALSE)</f>
        <v>EMSIITM1XXX</v>
      </c>
      <c r="Z95" s="972" t="str">
        <f>VLOOKUP(AA95,'place of settlement'!A:C,2,FALSE)</f>
        <v>DTCYUS33XXX</v>
      </c>
      <c r="AA95" s="972" t="str">
        <f t="shared" si="20"/>
        <v>US</v>
      </c>
      <c r="AB95" s="972" t="str">
        <f t="shared" si="21"/>
        <v>EquitaUS</v>
      </c>
      <c r="AC95" s="972" t="str">
        <f>VLOOKUP(AB95,sample!$1:$1048576,2,FALSE)</f>
        <v>BCITITMMXXX</v>
      </c>
      <c r="AD95" s="972" t="str">
        <f>VLOOKUP($AB95,sample!$1:$1048576,3,FALSE)</f>
        <v>DTCYUS33XXX</v>
      </c>
      <c r="AE95" s="973">
        <f>VLOOKUP($AB95,sample!$1:$1048576,4,FALSE)</f>
        <v>236707</v>
      </c>
      <c r="AF95" s="972" t="str">
        <f>VLOOKUP($AB95,sample!$1:$1048576,5,FALSE)</f>
        <v>N</v>
      </c>
      <c r="AL95" s="973" t="str">
        <f>VLOOKUP($AB95,sample!$1:$1048576,11,FALSE)</f>
        <v>DTCYID</v>
      </c>
      <c r="AM95" s="973">
        <f>VLOOKUP($AB95,sample!$1:$1048576,12,FALSE)</f>
        <v>908</v>
      </c>
      <c r="AN95" s="973" t="str">
        <f>VLOOKUP($AB95,sample!$1:$1048576,13,FALSE)</f>
        <v xml:space="preserve">        </v>
      </c>
      <c r="AP95" s="988"/>
    </row>
    <row r="96" spans="1:42" ht="14">
      <c r="A96" s="808">
        <v>201900094</v>
      </c>
      <c r="B96" s="830">
        <v>43683</v>
      </c>
      <c r="C96" s="830" t="s">
        <v>133</v>
      </c>
      <c r="D96" s="1130" t="str">
        <f>IFERROR(VLOOKUP(G96,PosAggregate!$B$13:$B$85,1,FALSE),"")</f>
        <v/>
      </c>
      <c r="E96" s="769" t="s">
        <v>1610</v>
      </c>
      <c r="F96" s="1006" t="str">
        <f t="shared" si="15"/>
        <v/>
      </c>
      <c r="G96" s="558" t="s">
        <v>1583</v>
      </c>
      <c r="H96" s="558"/>
      <c r="I96" s="833" t="s">
        <v>1587</v>
      </c>
      <c r="J96" s="833" t="s">
        <v>125</v>
      </c>
      <c r="K96" s="744">
        <v>1486</v>
      </c>
      <c r="L96" s="834"/>
      <c r="M96" s="835">
        <v>2200</v>
      </c>
      <c r="N96" s="974">
        <f t="shared" si="16"/>
        <v>-3269200</v>
      </c>
      <c r="O96" s="835">
        <v>-2615</v>
      </c>
      <c r="P96" s="835"/>
      <c r="Q96" s="835"/>
      <c r="R96" s="978">
        <f t="shared" si="17"/>
        <v>-3271815</v>
      </c>
      <c r="S96" s="744">
        <v>119.2246534232152</v>
      </c>
      <c r="T96" s="983">
        <f t="shared" si="18"/>
        <v>-27442.43666103137</v>
      </c>
      <c r="U96" s="839">
        <v>43685</v>
      </c>
      <c r="V96" s="831" t="s">
        <v>1183</v>
      </c>
      <c r="W96" s="842">
        <v>0.68194444444444446</v>
      </c>
      <c r="X96" s="971">
        <f t="shared" si="19"/>
        <v>7.9988988131653005E-2</v>
      </c>
      <c r="Y96" s="972" t="str">
        <f>VLOOKUP(V96,'bic broker'!$A$1:$B$14,2,FALSE)</f>
        <v>EMSIITM1XXX</v>
      </c>
      <c r="Z96" s="972" t="str">
        <f>VLOOKUP(AA96,'place of settlement'!A:C,2,FALSE)</f>
        <v>JJSDJPJTXXX</v>
      </c>
      <c r="AA96" s="972" t="str">
        <f t="shared" si="20"/>
        <v>JP</v>
      </c>
      <c r="AB96" s="972" t="str">
        <f t="shared" si="21"/>
        <v>EquitaJP</v>
      </c>
      <c r="AC96" s="972" t="str">
        <f>VLOOKUP(AB96,sample!$1:$1048576,2,FALSE)</f>
        <v>BCITITMMXXX</v>
      </c>
      <c r="AD96" s="972" t="str">
        <f>VLOOKUP($AB96,sample!$1:$1048576,3,FALSE)</f>
        <v>JJSDJPJTXXX</v>
      </c>
      <c r="AE96" s="973">
        <f>VLOOKUP($AB96,sample!$1:$1048576,4,FALSE)</f>
        <v>100502629</v>
      </c>
      <c r="AF96" s="972" t="str">
        <f>VLOOKUP($AB96,sample!$1:$1048576,5,FALSE)</f>
        <v>N</v>
      </c>
      <c r="AL96" s="973" t="str">
        <f>VLOOKUP($AB96,sample!$1:$1048576,11,FALSE)</f>
        <v xml:space="preserve">        </v>
      </c>
      <c r="AM96" s="973" t="str">
        <f>VLOOKUP($AB96,sample!$1:$1048576,12,FALSE)</f>
        <v xml:space="preserve">        </v>
      </c>
      <c r="AN96" s="973" t="str">
        <f>VLOOKUP($AB96,sample!$1:$1048576,13,FALSE)</f>
        <v>BOTKJPJTXXX</v>
      </c>
      <c r="AP96" s="988"/>
    </row>
    <row r="97" spans="1:42" ht="14">
      <c r="A97" s="808">
        <v>201900095</v>
      </c>
      <c r="B97" s="830">
        <v>43683</v>
      </c>
      <c r="C97" s="830" t="s">
        <v>133</v>
      </c>
      <c r="D97" s="1130" t="str">
        <f>IFERROR(VLOOKUP(G97,PosAggregate!$B$13:$B$85,1,FALSE),"")</f>
        <v/>
      </c>
      <c r="E97" s="769" t="s">
        <v>1189</v>
      </c>
      <c r="F97" s="1006" t="str">
        <f t="shared" si="15"/>
        <v/>
      </c>
      <c r="G97" s="558" t="s">
        <v>1584</v>
      </c>
      <c r="H97" s="558"/>
      <c r="I97" s="833" t="s">
        <v>1086</v>
      </c>
      <c r="J97" s="833" t="s">
        <v>125</v>
      </c>
      <c r="K97" s="744">
        <v>1825.4118000000001</v>
      </c>
      <c r="L97" s="834"/>
      <c r="M97" s="835">
        <v>1700</v>
      </c>
      <c r="N97" s="974">
        <f t="shared" si="16"/>
        <v>-3103200.06</v>
      </c>
      <c r="O97" s="835">
        <v>-2483</v>
      </c>
      <c r="P97" s="835"/>
      <c r="Q97" s="835"/>
      <c r="R97" s="978">
        <f t="shared" si="17"/>
        <v>-3105683.06</v>
      </c>
      <c r="S97" s="744">
        <v>119.22465342321564</v>
      </c>
      <c r="T97" s="983">
        <f t="shared" si="18"/>
        <v>-26049.000528235178</v>
      </c>
      <c r="U97" s="839">
        <v>43685</v>
      </c>
      <c r="V97" s="831" t="s">
        <v>1183</v>
      </c>
      <c r="W97" s="842">
        <v>0.68333333333333324</v>
      </c>
      <c r="X97" s="971">
        <f t="shared" si="19"/>
        <v>8.0014177365026209E-2</v>
      </c>
      <c r="Y97" s="972" t="str">
        <f>VLOOKUP(V97,'bic broker'!$A$1:$B$14,2,FALSE)</f>
        <v>EMSIITM1XXX</v>
      </c>
      <c r="Z97" s="972" t="str">
        <f>VLOOKUP(AA97,'place of settlement'!A:C,2,FALSE)</f>
        <v>JJSDJPJTXXX</v>
      </c>
      <c r="AA97" s="972" t="str">
        <f t="shared" si="20"/>
        <v>JP</v>
      </c>
      <c r="AB97" s="972" t="str">
        <f t="shared" si="21"/>
        <v>EquitaJP</v>
      </c>
      <c r="AC97" s="972" t="str">
        <f>VLOOKUP(AB97,sample!$1:$1048576,2,FALSE)</f>
        <v>BCITITMMXXX</v>
      </c>
      <c r="AD97" s="972" t="str">
        <f>VLOOKUP($AB97,sample!$1:$1048576,3,FALSE)</f>
        <v>JJSDJPJTXXX</v>
      </c>
      <c r="AE97" s="973">
        <f>VLOOKUP($AB97,sample!$1:$1048576,4,FALSE)</f>
        <v>100502629</v>
      </c>
      <c r="AF97" s="972" t="str">
        <f>VLOOKUP($AB97,sample!$1:$1048576,5,FALSE)</f>
        <v>N</v>
      </c>
      <c r="AL97" s="973" t="str">
        <f>VLOOKUP($AB97,sample!$1:$1048576,11,FALSE)</f>
        <v xml:space="preserve">        </v>
      </c>
      <c r="AM97" s="973" t="str">
        <f>VLOOKUP($AB97,sample!$1:$1048576,12,FALSE)</f>
        <v xml:space="preserve">        </v>
      </c>
      <c r="AN97" s="973" t="str">
        <f>VLOOKUP($AB97,sample!$1:$1048576,13,FALSE)</f>
        <v>BOTKJPJTXXX</v>
      </c>
      <c r="AP97" s="988"/>
    </row>
    <row r="98" spans="1:42" ht="14">
      <c r="A98" s="808">
        <v>201900096</v>
      </c>
      <c r="B98" s="830">
        <v>43683</v>
      </c>
      <c r="C98" s="830" t="s">
        <v>133</v>
      </c>
      <c r="D98" s="1130" t="str">
        <f>IFERROR(VLOOKUP(G98,PosAggregate!$B$13:$B$85,1,FALSE),"")</f>
        <v/>
      </c>
      <c r="E98" s="769" t="s">
        <v>1196</v>
      </c>
      <c r="F98" s="1006" t="str">
        <f t="shared" si="15"/>
        <v/>
      </c>
      <c r="G98" s="558" t="s">
        <v>1145</v>
      </c>
      <c r="H98" s="558"/>
      <c r="I98" s="833" t="s">
        <v>1088</v>
      </c>
      <c r="J98" s="833" t="s">
        <v>125</v>
      </c>
      <c r="K98" s="744">
        <v>446</v>
      </c>
      <c r="L98" s="834"/>
      <c r="M98" s="835">
        <v>4200</v>
      </c>
      <c r="N98" s="974">
        <f t="shared" si="16"/>
        <v>-1873200</v>
      </c>
      <c r="O98" s="835">
        <v>-1499</v>
      </c>
      <c r="P98" s="835"/>
      <c r="Q98" s="835"/>
      <c r="R98" s="978">
        <f t="shared" si="17"/>
        <v>-1874699</v>
      </c>
      <c r="S98" s="744">
        <v>119.22465342321568</v>
      </c>
      <c r="T98" s="983">
        <f t="shared" si="18"/>
        <v>-15724.088484831398</v>
      </c>
      <c r="U98" s="839">
        <v>43685</v>
      </c>
      <c r="V98" s="831" t="s">
        <v>1183</v>
      </c>
      <c r="W98" s="842">
        <v>0.68402777777777779</v>
      </c>
      <c r="X98" s="971">
        <f t="shared" si="19"/>
        <v>8.0023489216314331E-2</v>
      </c>
      <c r="Y98" s="972" t="str">
        <f>VLOOKUP(V98,'bic broker'!$A$1:$B$14,2,FALSE)</f>
        <v>EMSIITM1XXX</v>
      </c>
      <c r="Z98" s="972" t="str">
        <f>VLOOKUP(AA98,'place of settlement'!A:C,2,FALSE)</f>
        <v>JJSDJPJTXXX</v>
      </c>
      <c r="AA98" s="972" t="str">
        <f t="shared" si="20"/>
        <v>JP</v>
      </c>
      <c r="AB98" s="972" t="str">
        <f t="shared" si="21"/>
        <v>EquitaJP</v>
      </c>
      <c r="AC98" s="972" t="str">
        <f>VLOOKUP(AB98,sample!$1:$1048576,2,FALSE)</f>
        <v>BCITITMMXXX</v>
      </c>
      <c r="AD98" s="972" t="str">
        <f>VLOOKUP($AB98,sample!$1:$1048576,3,FALSE)</f>
        <v>JJSDJPJTXXX</v>
      </c>
      <c r="AE98" s="973">
        <f>VLOOKUP($AB98,sample!$1:$1048576,4,FALSE)</f>
        <v>100502629</v>
      </c>
      <c r="AF98" s="972" t="str">
        <f>VLOOKUP($AB98,sample!$1:$1048576,5,FALSE)</f>
        <v>N</v>
      </c>
      <c r="AL98" s="973" t="str">
        <f>VLOOKUP($AB98,sample!$1:$1048576,11,FALSE)</f>
        <v xml:space="preserve">        </v>
      </c>
      <c r="AM98" s="973" t="str">
        <f>VLOOKUP($AB98,sample!$1:$1048576,12,FALSE)</f>
        <v xml:space="preserve">        </v>
      </c>
      <c r="AN98" s="973" t="str">
        <f>VLOOKUP($AB98,sample!$1:$1048576,13,FALSE)</f>
        <v>BOTKJPJTXXX</v>
      </c>
      <c r="AP98" s="988"/>
    </row>
    <row r="99" spans="1:42" ht="14">
      <c r="A99" s="808">
        <v>201900097</v>
      </c>
      <c r="B99" s="830">
        <v>43686</v>
      </c>
      <c r="C99" s="830" t="s">
        <v>133</v>
      </c>
      <c r="D99" s="1130" t="str">
        <f>IFERROR(VLOOKUP(G99,PosAggregate!$B$13:$B$85,1,FALSE),"")</f>
        <v/>
      </c>
      <c r="E99" s="769" t="s">
        <v>1609</v>
      </c>
      <c r="F99" s="1006" t="str">
        <f t="shared" si="15"/>
        <v/>
      </c>
      <c r="G99" s="558" t="s">
        <v>1589</v>
      </c>
      <c r="H99" s="558"/>
      <c r="I99" s="832" t="s">
        <v>1586</v>
      </c>
      <c r="J99" s="832" t="s">
        <v>3</v>
      </c>
      <c r="K99" s="878">
        <v>19.554300000000001</v>
      </c>
      <c r="L99" s="879"/>
      <c r="M99" s="880">
        <v>1100</v>
      </c>
      <c r="N99" s="974">
        <f t="shared" si="16"/>
        <v>-21509.730000000003</v>
      </c>
      <c r="O99" s="835">
        <v>-17.21</v>
      </c>
      <c r="P99" s="835"/>
      <c r="Q99" s="835"/>
      <c r="R99" s="978">
        <f t="shared" si="17"/>
        <v>-21526.940000000002</v>
      </c>
      <c r="S99" s="744">
        <v>1.1178055241949005</v>
      </c>
      <c r="T99" s="983">
        <f t="shared" si="18"/>
        <v>-19258.215793400002</v>
      </c>
      <c r="U99" s="839">
        <v>43690</v>
      </c>
      <c r="V99" s="831" t="s">
        <v>1183</v>
      </c>
      <c r="W99" s="842">
        <v>43686.751553009257</v>
      </c>
      <c r="X99" s="971">
        <f t="shared" si="19"/>
        <v>8.001030231434797E-2</v>
      </c>
      <c r="Y99" s="972" t="str">
        <f>VLOOKUP(V99,'bic broker'!$A$1:$B$14,2,FALSE)</f>
        <v>EMSIITM1XXX</v>
      </c>
      <c r="Z99" s="972" t="str">
        <f>VLOOKUP(AA99,'place of settlement'!A:C,2,FALSE)</f>
        <v>DTCYUS33XXX</v>
      </c>
      <c r="AA99" s="972" t="str">
        <f t="shared" si="20"/>
        <v>US</v>
      </c>
      <c r="AB99" s="972" t="str">
        <f t="shared" si="21"/>
        <v>EquitaUS</v>
      </c>
      <c r="AC99" s="972" t="str">
        <f>VLOOKUP(AB99,sample!$1:$1048576,2,FALSE)</f>
        <v>BCITITMMXXX</v>
      </c>
      <c r="AD99" s="972" t="str">
        <f>VLOOKUP($AB99,sample!$1:$1048576,3,FALSE)</f>
        <v>DTCYUS33XXX</v>
      </c>
      <c r="AE99" s="973">
        <f>VLOOKUP($AB99,sample!$1:$1048576,4,FALSE)</f>
        <v>236707</v>
      </c>
      <c r="AF99" s="972" t="str">
        <f>VLOOKUP($AB99,sample!$1:$1048576,5,FALSE)</f>
        <v>N</v>
      </c>
      <c r="AL99" s="973" t="str">
        <f>VLOOKUP($AB99,sample!$1:$1048576,11,FALSE)</f>
        <v>DTCYID</v>
      </c>
      <c r="AM99" s="973">
        <f>VLOOKUP($AB99,sample!$1:$1048576,12,FALSE)</f>
        <v>908</v>
      </c>
      <c r="AN99" s="973" t="str">
        <f>VLOOKUP($AB99,sample!$1:$1048576,13,FALSE)</f>
        <v xml:space="preserve">        </v>
      </c>
      <c r="AP99" s="988"/>
    </row>
    <row r="100" spans="1:42" ht="14">
      <c r="A100" s="808">
        <v>201900098</v>
      </c>
      <c r="B100" s="830">
        <v>43689</v>
      </c>
      <c r="C100" s="830" t="s">
        <v>133</v>
      </c>
      <c r="D100" s="1130" t="str">
        <f>IFERROR(VLOOKUP(G100,PosAggregate!$B$13:$B$85,1,FALSE),"")</f>
        <v/>
      </c>
      <c r="E100" s="769" t="s">
        <v>1222</v>
      </c>
      <c r="F100" s="1006" t="str">
        <f t="shared" si="15"/>
        <v/>
      </c>
      <c r="G100" s="558" t="s">
        <v>1173</v>
      </c>
      <c r="H100" s="558"/>
      <c r="I100" s="832" t="s">
        <v>130</v>
      </c>
      <c r="J100" s="832" t="s">
        <v>2</v>
      </c>
      <c r="K100" s="878">
        <v>51.334699999999998</v>
      </c>
      <c r="L100" s="879"/>
      <c r="M100" s="880">
        <v>690</v>
      </c>
      <c r="N100" s="974">
        <f t="shared" si="16"/>
        <v>-35420.942999999999</v>
      </c>
      <c r="O100" s="835">
        <v>-28.34</v>
      </c>
      <c r="P100" s="835">
        <v>-106.26</v>
      </c>
      <c r="Q100" s="835"/>
      <c r="R100" s="978">
        <f t="shared" si="17"/>
        <v>-35555.542999999998</v>
      </c>
      <c r="S100" s="744">
        <v>1</v>
      </c>
      <c r="T100" s="983">
        <f t="shared" si="18"/>
        <v>-35555.542999999998</v>
      </c>
      <c r="U100" s="839">
        <v>43691</v>
      </c>
      <c r="V100" s="831" t="s">
        <v>1183</v>
      </c>
      <c r="W100" s="840">
        <v>43689.38634571759</v>
      </c>
      <c r="X100" s="971">
        <f t="shared" si="19"/>
        <v>8.0009162940693032E-2</v>
      </c>
      <c r="Y100" s="972" t="str">
        <f>VLOOKUP(V100,'bic broker'!$A$1:$B$14,2,FALSE)</f>
        <v>EMSIITM1XXX</v>
      </c>
      <c r="Z100" s="972" t="str">
        <f>VLOOKUP(AA100,'place of settlement'!A:C,2,FALSE)</f>
        <v>SICVFRPPXXX</v>
      </c>
      <c r="AA100" s="972" t="str">
        <f t="shared" si="20"/>
        <v>FR</v>
      </c>
      <c r="AB100" s="972" t="str">
        <f t="shared" si="21"/>
        <v>EquitaFR</v>
      </c>
      <c r="AC100" s="972" t="str">
        <f>VLOOKUP(AB100,sample!$1:$1048576,2,FALSE)</f>
        <v>EMSIITM1XXX</v>
      </c>
      <c r="AD100" s="972" t="str">
        <f>VLOOKUP($AB100,sample!$1:$1048576,3,FALSE)</f>
        <v>SICVFRPPXXX</v>
      </c>
      <c r="AE100" s="973" t="str">
        <f>VLOOKUP($AB100,sample!$1:$1048576,4,FALSE)</f>
        <v>SICVBCITITMMD00000L10</v>
      </c>
      <c r="AF100" s="972" t="str">
        <f>VLOOKUP($AB100,sample!$1:$1048576,5,FALSE)</f>
        <v>N</v>
      </c>
      <c r="AL100" s="973" t="str">
        <f>VLOOKUP($AB100,sample!$1:$1048576,11,FALSE)</f>
        <v xml:space="preserve">        </v>
      </c>
      <c r="AM100" s="973" t="str">
        <f>VLOOKUP($AB100,sample!$1:$1048576,12,FALSE)</f>
        <v xml:space="preserve">        </v>
      </c>
      <c r="AN100" s="973" t="str">
        <f>VLOOKUP($AB100,sample!$1:$1048576,13,FALSE)</f>
        <v>BCITITMMD00</v>
      </c>
      <c r="AP100" s="988"/>
    </row>
    <row r="101" spans="1:42" ht="14">
      <c r="A101" s="808">
        <v>201900099</v>
      </c>
      <c r="B101" s="830">
        <v>43689</v>
      </c>
      <c r="C101" s="830" t="s">
        <v>133</v>
      </c>
      <c r="D101" s="1130" t="str">
        <f>IFERROR(VLOOKUP(G101,PosAggregate!$B$13:$B$85,1,FALSE),"")</f>
        <v/>
      </c>
      <c r="E101" s="769" t="s">
        <v>1604</v>
      </c>
      <c r="F101" s="1006" t="str">
        <f t="shared" si="15"/>
        <v/>
      </c>
      <c r="G101" s="558" t="s">
        <v>1567</v>
      </c>
      <c r="H101" s="558"/>
      <c r="I101" s="832" t="s">
        <v>1577</v>
      </c>
      <c r="J101" s="832" t="s">
        <v>2</v>
      </c>
      <c r="K101" s="878">
        <v>22.830000000000002</v>
      </c>
      <c r="L101" s="879"/>
      <c r="M101" s="880">
        <v>1100</v>
      </c>
      <c r="N101" s="974">
        <f t="shared" si="16"/>
        <v>-25113.000000000004</v>
      </c>
      <c r="O101" s="835">
        <v>-20.100000000000001</v>
      </c>
      <c r="P101" s="835"/>
      <c r="Q101" s="835"/>
      <c r="R101" s="978">
        <f t="shared" si="17"/>
        <v>-25133.100000000002</v>
      </c>
      <c r="S101" s="744">
        <v>1</v>
      </c>
      <c r="T101" s="983">
        <f t="shared" si="18"/>
        <v>-25133.100000000002</v>
      </c>
      <c r="U101" s="839">
        <v>43691</v>
      </c>
      <c r="V101" s="831" t="s">
        <v>1183</v>
      </c>
      <c r="W101" s="840">
        <v>43689.774499189814</v>
      </c>
      <c r="X101" s="971">
        <f t="shared" si="19"/>
        <v>8.0038227212997248E-2</v>
      </c>
      <c r="Y101" s="972" t="str">
        <f>VLOOKUP(V101,'bic broker'!$A$1:$B$14,2,FALSE)</f>
        <v>EMSIITM1XXX</v>
      </c>
      <c r="Z101" s="972" t="str">
        <f>VLOOKUP(AA101,'place of settlement'!A:C,2,FALSE)</f>
        <v>DAKVDEFFXXX</v>
      </c>
      <c r="AA101" s="972" t="str">
        <f t="shared" si="20"/>
        <v>DE</v>
      </c>
      <c r="AB101" s="972" t="str">
        <f t="shared" si="21"/>
        <v>EquitaDE</v>
      </c>
      <c r="AC101" s="972" t="str">
        <f>VLOOKUP(AB101,sample!$1:$1048576,2,FALSE)</f>
        <v>EMSIITM1XXX</v>
      </c>
      <c r="AD101" s="972" t="str">
        <f>VLOOKUP($AB101,sample!$1:$1048576,3,FALSE)</f>
        <v>DAKVDEFFXXX</v>
      </c>
      <c r="AE101" s="973" t="str">
        <f>VLOOKUP($AB101,sample!$1:$1048576,4,FALSE)</f>
        <v>DAKV8135000</v>
      </c>
      <c r="AF101" s="972" t="str">
        <f>VLOOKUP($AB101,sample!$1:$1048576,5,FALSE)</f>
        <v>N</v>
      </c>
      <c r="AL101" s="973" t="str">
        <f>VLOOKUP($AB101,sample!$1:$1048576,11,FALSE)</f>
        <v xml:space="preserve">        </v>
      </c>
      <c r="AM101" s="973" t="str">
        <f>VLOOKUP($AB101,sample!$1:$1048576,12,FALSE)</f>
        <v xml:space="preserve">        </v>
      </c>
      <c r="AN101" s="973" t="str">
        <f>VLOOKUP($AB101,sample!$1:$1048576,13,FALSE)</f>
        <v>BCITITMMD03</v>
      </c>
      <c r="AP101" s="988"/>
    </row>
    <row r="102" spans="1:42" ht="14">
      <c r="A102" s="808">
        <v>201900100</v>
      </c>
      <c r="B102" s="830">
        <v>43689</v>
      </c>
      <c r="C102" s="830" t="s">
        <v>133</v>
      </c>
      <c r="D102" s="1130" t="str">
        <f>IFERROR(VLOOKUP(G102,PosAggregate!$B$13:$B$85,1,FALSE),"")</f>
        <v/>
      </c>
      <c r="E102" s="769" t="s">
        <v>1225</v>
      </c>
      <c r="F102" s="1006" t="str">
        <f t="shared" si="15"/>
        <v/>
      </c>
      <c r="G102" s="558" t="s">
        <v>1176</v>
      </c>
      <c r="H102" s="558"/>
      <c r="I102" s="832" t="s">
        <v>1182</v>
      </c>
      <c r="J102" s="832" t="s">
        <v>3</v>
      </c>
      <c r="K102" s="878">
        <v>6.5266000000000002</v>
      </c>
      <c r="L102" s="879"/>
      <c r="M102" s="880">
        <v>2200</v>
      </c>
      <c r="N102" s="974">
        <f t="shared" si="16"/>
        <v>-14358.52</v>
      </c>
      <c r="O102" s="835">
        <v>-11.49</v>
      </c>
      <c r="P102" s="835"/>
      <c r="Q102" s="835"/>
      <c r="R102" s="978">
        <f t="shared" si="17"/>
        <v>-14370.01</v>
      </c>
      <c r="S102" s="744">
        <v>1.1197957492553359</v>
      </c>
      <c r="T102" s="983">
        <f t="shared" si="18"/>
        <v>-12832.706330200001</v>
      </c>
      <c r="U102" s="839">
        <v>43691</v>
      </c>
      <c r="V102" s="831" t="s">
        <v>1183</v>
      </c>
      <c r="W102" s="840">
        <v>43689.77505462963</v>
      </c>
      <c r="X102" s="971">
        <f t="shared" si="19"/>
        <v>8.0022174987394237E-2</v>
      </c>
      <c r="Y102" s="972" t="str">
        <f>VLOOKUP(V102,'bic broker'!$A$1:$B$14,2,FALSE)</f>
        <v>EMSIITM1XXX</v>
      </c>
      <c r="Z102" s="972" t="str">
        <f>VLOOKUP(AA102,'place of settlement'!A:C,2,FALSE)</f>
        <v>DTCYUS33XXX</v>
      </c>
      <c r="AA102" s="972" t="str">
        <f t="shared" si="20"/>
        <v>US</v>
      </c>
      <c r="AB102" s="972" t="str">
        <f t="shared" si="21"/>
        <v>EquitaUS</v>
      </c>
      <c r="AC102" s="972" t="str">
        <f>VLOOKUP(AB102,sample!$1:$1048576,2,FALSE)</f>
        <v>BCITITMMXXX</v>
      </c>
      <c r="AD102" s="972" t="str">
        <f>VLOOKUP($AB102,sample!$1:$1048576,3,FALSE)</f>
        <v>DTCYUS33XXX</v>
      </c>
      <c r="AE102" s="973">
        <f>VLOOKUP($AB102,sample!$1:$1048576,4,FALSE)</f>
        <v>236707</v>
      </c>
      <c r="AF102" s="972" t="str">
        <f>VLOOKUP($AB102,sample!$1:$1048576,5,FALSE)</f>
        <v>N</v>
      </c>
      <c r="AL102" s="973" t="str">
        <f>VLOOKUP($AB102,sample!$1:$1048576,11,FALSE)</f>
        <v>DTCYID</v>
      </c>
      <c r="AM102" s="973">
        <f>VLOOKUP($AB102,sample!$1:$1048576,12,FALSE)</f>
        <v>908</v>
      </c>
      <c r="AN102" s="973" t="str">
        <f>VLOOKUP($AB102,sample!$1:$1048576,13,FALSE)</f>
        <v xml:space="preserve">        </v>
      </c>
      <c r="AP102" s="988"/>
    </row>
    <row r="103" spans="1:42" ht="14">
      <c r="A103" s="808">
        <v>201900101</v>
      </c>
      <c r="B103" s="830">
        <v>43689</v>
      </c>
      <c r="C103" s="830" t="s">
        <v>133</v>
      </c>
      <c r="D103" s="1130" t="str">
        <f>IFERROR(VLOOKUP(G103,PosAggregate!$B$13:$B$85,1,FALSE),"")</f>
        <v/>
      </c>
      <c r="E103" s="769" t="s">
        <v>1214</v>
      </c>
      <c r="F103" s="1006" t="str">
        <f t="shared" si="15"/>
        <v/>
      </c>
      <c r="G103" s="558" t="s">
        <v>1165</v>
      </c>
      <c r="H103" s="558"/>
      <c r="I103" s="832" t="s">
        <v>1180</v>
      </c>
      <c r="J103" s="832" t="s">
        <v>2</v>
      </c>
      <c r="K103" s="878">
        <v>35.756999999999998</v>
      </c>
      <c r="L103" s="879"/>
      <c r="M103" s="880">
        <v>1000</v>
      </c>
      <c r="N103" s="974">
        <f t="shared" si="16"/>
        <v>-35757</v>
      </c>
      <c r="O103" s="835">
        <v>-28.61</v>
      </c>
      <c r="P103" s="835">
        <v>-107.27</v>
      </c>
      <c r="Q103" s="835"/>
      <c r="R103" s="978">
        <f t="shared" si="17"/>
        <v>-35892.879999999997</v>
      </c>
      <c r="S103" s="744">
        <v>1</v>
      </c>
      <c r="T103" s="983">
        <f t="shared" si="18"/>
        <v>-35892.879999999997</v>
      </c>
      <c r="U103" s="839">
        <v>43691</v>
      </c>
      <c r="V103" s="831" t="s">
        <v>1183</v>
      </c>
      <c r="W103" s="840">
        <v>43689.77560011574</v>
      </c>
      <c r="X103" s="971">
        <f t="shared" si="19"/>
        <v>8.0012305282881682E-2</v>
      </c>
      <c r="Y103" s="972" t="str">
        <f>VLOOKUP(V103,'bic broker'!$A$1:$B$14,2,FALSE)</f>
        <v>EMSIITM1XXX</v>
      </c>
      <c r="Z103" s="972" t="str">
        <f>VLOOKUP(AA103,'place of settlement'!A:C,2,FALSE)</f>
        <v>SICVFRPPXXX</v>
      </c>
      <c r="AA103" s="972" t="str">
        <f t="shared" si="20"/>
        <v>FR</v>
      </c>
      <c r="AB103" s="972" t="str">
        <f t="shared" si="21"/>
        <v>EquitaFR</v>
      </c>
      <c r="AC103" s="972" t="str">
        <f>VLOOKUP(AB103,sample!$1:$1048576,2,FALSE)</f>
        <v>EMSIITM1XXX</v>
      </c>
      <c r="AD103" s="972" t="str">
        <f>VLOOKUP($AB103,sample!$1:$1048576,3,FALSE)</f>
        <v>SICVFRPPXXX</v>
      </c>
      <c r="AE103" s="973" t="str">
        <f>VLOOKUP($AB103,sample!$1:$1048576,4,FALSE)</f>
        <v>SICVBCITITMMD00000L10</v>
      </c>
      <c r="AF103" s="972" t="str">
        <f>VLOOKUP($AB103,sample!$1:$1048576,5,FALSE)</f>
        <v>N</v>
      </c>
      <c r="AL103" s="973" t="str">
        <f>VLOOKUP($AB103,sample!$1:$1048576,11,FALSE)</f>
        <v xml:space="preserve">        </v>
      </c>
      <c r="AM103" s="973" t="str">
        <f>VLOOKUP($AB103,sample!$1:$1048576,12,FALSE)</f>
        <v xml:space="preserve">        </v>
      </c>
      <c r="AN103" s="973" t="str">
        <f>VLOOKUP($AB103,sample!$1:$1048576,13,FALSE)</f>
        <v>BCITITMMD00</v>
      </c>
      <c r="AP103" s="988"/>
    </row>
    <row r="104" spans="1:42" ht="14">
      <c r="A104" s="808">
        <v>201900102</v>
      </c>
      <c r="B104" s="830">
        <v>43689</v>
      </c>
      <c r="C104" s="830" t="s">
        <v>133</v>
      </c>
      <c r="D104" s="1130" t="str">
        <f>IFERROR(VLOOKUP(G104,PosAggregate!$B$13:$B$85,1,FALSE),"")</f>
        <v/>
      </c>
      <c r="E104" s="769" t="s">
        <v>1227</v>
      </c>
      <c r="F104" s="1006" t="str">
        <f t="shared" si="15"/>
        <v/>
      </c>
      <c r="G104" s="558" t="s">
        <v>1163</v>
      </c>
      <c r="H104" s="558"/>
      <c r="I104" s="832" t="s">
        <v>1092</v>
      </c>
      <c r="J104" s="832" t="s">
        <v>1069</v>
      </c>
      <c r="K104" s="878">
        <v>0.78680000000000005</v>
      </c>
      <c r="L104" s="879"/>
      <c r="M104" s="880">
        <v>25000</v>
      </c>
      <c r="N104" s="974">
        <f t="shared" si="16"/>
        <v>-19670</v>
      </c>
      <c r="O104" s="835">
        <v>-15.74</v>
      </c>
      <c r="P104" s="835"/>
      <c r="Q104" s="835"/>
      <c r="R104" s="978">
        <f t="shared" si="17"/>
        <v>-19685.740000000002</v>
      </c>
      <c r="S104" s="744">
        <v>1.6499182549103031</v>
      </c>
      <c r="T104" s="983">
        <f t="shared" si="18"/>
        <v>-11931.342623438157</v>
      </c>
      <c r="U104" s="839">
        <v>43692</v>
      </c>
      <c r="V104" s="831" t="s">
        <v>1183</v>
      </c>
      <c r="W104" s="840">
        <v>43689.776077430557</v>
      </c>
      <c r="X104" s="971">
        <f t="shared" si="19"/>
        <v>8.0020335536349768E-2</v>
      </c>
      <c r="Y104" s="972" t="str">
        <f>VLOOKUP(V104,'bic broker'!$A$1:$B$14,2,FALSE)</f>
        <v>EMSIITM1XXX</v>
      </c>
      <c r="Z104" s="972" t="str">
        <f>VLOOKUP(AA104,'place of settlement'!A:C,2,FALSE)</f>
        <v>CAETAU21XXX</v>
      </c>
      <c r="AA104" s="972" t="str">
        <f t="shared" si="20"/>
        <v>AU</v>
      </c>
      <c r="AB104" s="972" t="str">
        <f t="shared" si="21"/>
        <v>EquitaAU</v>
      </c>
      <c r="AC104" s="972" t="str">
        <f>VLOOKUP(AB104,sample!$1:$1048576,2,FALSE)</f>
        <v>BCITITMMXXX</v>
      </c>
      <c r="AD104" s="972" t="str">
        <f>VLOOKUP($AB104,sample!$1:$1048576,3,FALSE)</f>
        <v>CAETAU21XXX</v>
      </c>
      <c r="AE104" s="973">
        <f>VLOOKUP($AB104,sample!$1:$1048576,4,FALSE)</f>
        <v>2099100983</v>
      </c>
      <c r="AF104" s="972" t="str">
        <f>VLOOKUP($AB104,sample!$1:$1048576,5,FALSE)</f>
        <v>N</v>
      </c>
      <c r="AL104" s="973" t="str">
        <f>VLOOKUP($AB104,sample!$1:$1048576,11,FALSE)</f>
        <v xml:space="preserve">        </v>
      </c>
      <c r="AM104" s="973" t="str">
        <f>VLOOKUP($AB104,sample!$1:$1048576,12,FALSE)</f>
        <v xml:space="preserve">        </v>
      </c>
      <c r="AN104" s="973" t="str">
        <f>VLOOKUP($AB104,sample!$1:$1048576,13,FALSE)</f>
        <v>CITIAU3XXXX</v>
      </c>
      <c r="AP104" s="988"/>
    </row>
    <row r="105" spans="1:42" ht="14">
      <c r="A105" s="808">
        <v>201900103</v>
      </c>
      <c r="B105" s="830">
        <v>43689</v>
      </c>
      <c r="C105" s="830" t="s">
        <v>133</v>
      </c>
      <c r="D105" s="1130" t="str">
        <f>IFERROR(VLOOKUP(G105,PosAggregate!$B$13:$B$85,1,FALSE),"")</f>
        <v/>
      </c>
      <c r="E105" s="769" t="s">
        <v>1190</v>
      </c>
      <c r="F105" s="1006" t="str">
        <f t="shared" si="15"/>
        <v/>
      </c>
      <c r="G105" s="558" t="s">
        <v>1590</v>
      </c>
      <c r="H105" s="558"/>
      <c r="I105" s="832" t="s">
        <v>1085</v>
      </c>
      <c r="J105" s="832" t="s">
        <v>125</v>
      </c>
      <c r="K105" s="878">
        <v>2111.7332999999999</v>
      </c>
      <c r="L105" s="879"/>
      <c r="M105" s="880">
        <v>1500</v>
      </c>
      <c r="N105" s="974">
        <f t="shared" si="16"/>
        <v>-3167599.9499999997</v>
      </c>
      <c r="O105" s="835">
        <v>-2534</v>
      </c>
      <c r="P105" s="835"/>
      <c r="Q105" s="835"/>
      <c r="R105" s="978">
        <f t="shared" si="17"/>
        <v>-3170133.9499999997</v>
      </c>
      <c r="S105" s="744">
        <v>118.31761886631878</v>
      </c>
      <c r="T105" s="983">
        <f t="shared" si="18"/>
        <v>-26793.422487497632</v>
      </c>
      <c r="U105" s="839">
        <v>43692</v>
      </c>
      <c r="V105" s="831" t="s">
        <v>1183</v>
      </c>
      <c r="W105" s="840">
        <v>43689.776572106479</v>
      </c>
      <c r="X105" s="971">
        <f t="shared" si="19"/>
        <v>7.9997475691335335E-2</v>
      </c>
      <c r="Y105" s="972" t="str">
        <f>VLOOKUP(V105,'bic broker'!$A$1:$B$14,2,FALSE)</f>
        <v>EMSIITM1XXX</v>
      </c>
      <c r="Z105" s="972" t="str">
        <f>VLOOKUP(AA105,'place of settlement'!A:C,2,FALSE)</f>
        <v>JJSDJPJTXXX</v>
      </c>
      <c r="AA105" s="972" t="str">
        <f t="shared" si="20"/>
        <v>JP</v>
      </c>
      <c r="AB105" s="972" t="str">
        <f t="shared" si="21"/>
        <v>EquitaJP</v>
      </c>
      <c r="AC105" s="972" t="str">
        <f>VLOOKUP(AB105,sample!$1:$1048576,2,FALSE)</f>
        <v>BCITITMMXXX</v>
      </c>
      <c r="AD105" s="972" t="str">
        <f>VLOOKUP($AB105,sample!$1:$1048576,3,FALSE)</f>
        <v>JJSDJPJTXXX</v>
      </c>
      <c r="AE105" s="973">
        <f>VLOOKUP($AB105,sample!$1:$1048576,4,FALSE)</f>
        <v>100502629</v>
      </c>
      <c r="AF105" s="972" t="str">
        <f>VLOOKUP($AB105,sample!$1:$1048576,5,FALSE)</f>
        <v>N</v>
      </c>
      <c r="AL105" s="973" t="str">
        <f>VLOOKUP($AB105,sample!$1:$1048576,11,FALSE)</f>
        <v xml:space="preserve">        </v>
      </c>
      <c r="AM105" s="973" t="str">
        <f>VLOOKUP($AB105,sample!$1:$1048576,12,FALSE)</f>
        <v xml:space="preserve">        </v>
      </c>
      <c r="AN105" s="973" t="str">
        <f>VLOOKUP($AB105,sample!$1:$1048576,13,FALSE)</f>
        <v>BOTKJPJTXXX</v>
      </c>
      <c r="AP105" s="988"/>
    </row>
    <row r="106" spans="1:42" ht="14">
      <c r="A106" s="808">
        <v>201900104</v>
      </c>
      <c r="B106" s="830">
        <v>43693</v>
      </c>
      <c r="C106" s="881" t="s">
        <v>133</v>
      </c>
      <c r="D106" s="1130" t="str">
        <f>IFERROR(VLOOKUP(G106,PosAggregate!$B$13:$B$85,1,FALSE),"")</f>
        <v/>
      </c>
      <c r="E106" s="769" t="s">
        <v>1611</v>
      </c>
      <c r="F106" s="1006" t="str">
        <f t="shared" si="15"/>
        <v/>
      </c>
      <c r="G106" s="558" t="s">
        <v>1601</v>
      </c>
      <c r="H106" s="558"/>
      <c r="I106" s="882" t="s">
        <v>1602</v>
      </c>
      <c r="J106" s="833" t="s">
        <v>1065</v>
      </c>
      <c r="K106" s="744">
        <v>4.3367164179104503</v>
      </c>
      <c r="L106" s="834"/>
      <c r="M106" s="835">
        <v>67000</v>
      </c>
      <c r="N106" s="836">
        <v>-290560</v>
      </c>
      <c r="O106" s="880">
        <v>-435.84</v>
      </c>
      <c r="P106" s="984">
        <f>-7.85-14.53-291</f>
        <v>-313.38</v>
      </c>
      <c r="Q106" s="835"/>
      <c r="R106" s="978">
        <f t="shared" si="17"/>
        <v>-291309.22000000003</v>
      </c>
      <c r="S106" s="744">
        <v>8.6884864595447784</v>
      </c>
      <c r="T106" s="983">
        <f t="shared" si="18"/>
        <v>-33528.189444316959</v>
      </c>
      <c r="U106" s="839">
        <v>43697</v>
      </c>
      <c r="V106" s="594" t="s">
        <v>1603</v>
      </c>
      <c r="W106" s="883">
        <v>43697.916036342591</v>
      </c>
      <c r="X106" s="971">
        <f t="shared" si="19"/>
        <v>0.15</v>
      </c>
      <c r="Y106" s="972" t="str">
        <f>VLOOKUP(V106,'bic broker'!$A$1:$B$14,2,FALSE)</f>
        <v>DBSVHKH1XXX</v>
      </c>
      <c r="Z106" s="972" t="str">
        <f>VLOOKUP(AA106,'place of settlement'!A:C,2,FALSE)</f>
        <v>XHKCHKH1XXX</v>
      </c>
      <c r="AA106" s="972" t="str">
        <f t="shared" si="20"/>
        <v>CN</v>
      </c>
      <c r="AB106" s="972" t="str">
        <f t="shared" si="21"/>
        <v>DBSCN</v>
      </c>
      <c r="AC106" s="972" t="e">
        <f>VLOOKUP(AB106,sample!$1:$1048576,2,FALSE)</f>
        <v>#N/A</v>
      </c>
      <c r="AD106" s="972" t="e">
        <f>VLOOKUP($AB106,sample!$1:$1048576,3,FALSE)</f>
        <v>#N/A</v>
      </c>
      <c r="AE106" s="973" t="e">
        <f>VLOOKUP($AB106,sample!$1:$1048576,4,FALSE)</f>
        <v>#N/A</v>
      </c>
      <c r="AF106" s="972" t="e">
        <f>VLOOKUP($AB106,sample!$1:$1048576,5,FALSE)</f>
        <v>#N/A</v>
      </c>
      <c r="AL106" s="973" t="e">
        <f>VLOOKUP($AB106,sample!$1:$1048576,11,FALSE)</f>
        <v>#N/A</v>
      </c>
      <c r="AM106" s="973" t="e">
        <f>VLOOKUP($AB106,sample!$1:$1048576,12,FALSE)</f>
        <v>#N/A</v>
      </c>
      <c r="AN106" s="973" t="e">
        <f>VLOOKUP($AB106,sample!$1:$1048576,13,FALSE)</f>
        <v>#N/A</v>
      </c>
      <c r="AP106" s="988"/>
    </row>
    <row r="107" spans="1:42" ht="14">
      <c r="A107" s="808">
        <v>201900105</v>
      </c>
      <c r="B107" s="830">
        <v>43693</v>
      </c>
      <c r="C107" s="830" t="s">
        <v>133</v>
      </c>
      <c r="D107" s="1130" t="str">
        <f>IFERROR(VLOOKUP(G107,PosAggregate!$B$13:$B$85,1,FALSE),"")</f>
        <v/>
      </c>
      <c r="E107" s="769" t="s">
        <v>1222</v>
      </c>
      <c r="F107" s="1006" t="str">
        <f t="shared" si="15"/>
        <v/>
      </c>
      <c r="G107" s="558" t="s">
        <v>1591</v>
      </c>
      <c r="H107" s="558"/>
      <c r="I107" s="832" t="s">
        <v>130</v>
      </c>
      <c r="J107" s="832" t="s">
        <v>2</v>
      </c>
      <c r="K107" s="878">
        <v>47.897599999999997</v>
      </c>
      <c r="L107" s="879"/>
      <c r="M107" s="880">
        <v>690</v>
      </c>
      <c r="N107" s="985">
        <f t="shared" ref="N107:N138" si="22">-K107*M107</f>
        <v>-33049.343999999997</v>
      </c>
      <c r="O107" s="880">
        <v>-26.44</v>
      </c>
      <c r="P107" s="835"/>
      <c r="Q107" s="835"/>
      <c r="R107" s="978">
        <f t="shared" si="17"/>
        <v>-33075.784</v>
      </c>
      <c r="S107" s="744">
        <v>1</v>
      </c>
      <c r="T107" s="983">
        <f t="shared" si="18"/>
        <v>-33075.784</v>
      </c>
      <c r="U107" s="839">
        <v>43697</v>
      </c>
      <c r="V107" s="831" t="s">
        <v>1183</v>
      </c>
      <c r="W107" s="840">
        <v>43693.625288078707</v>
      </c>
      <c r="X107" s="971">
        <f t="shared" si="19"/>
        <v>8.0001587928643925E-2</v>
      </c>
      <c r="Y107" s="972" t="str">
        <f>VLOOKUP(V107,'bic broker'!$A$1:$B$14,2,FALSE)</f>
        <v>EMSIITM1XXX</v>
      </c>
      <c r="Z107" s="972" t="str">
        <f>VLOOKUP(AA107,'place of settlement'!A:C,2,FALSE)</f>
        <v>SICVFRPPXXX</v>
      </c>
      <c r="AA107" s="972" t="str">
        <f t="shared" si="20"/>
        <v>FR</v>
      </c>
      <c r="AB107" s="972" t="str">
        <f t="shared" si="21"/>
        <v>EquitaFR</v>
      </c>
      <c r="AC107" s="972" t="str">
        <f>VLOOKUP(AB107,sample!$1:$1048576,2,FALSE)</f>
        <v>EMSIITM1XXX</v>
      </c>
      <c r="AD107" s="972" t="str">
        <f>VLOOKUP($AB107,sample!$1:$1048576,3,FALSE)</f>
        <v>SICVFRPPXXX</v>
      </c>
      <c r="AE107" s="973" t="str">
        <f>VLOOKUP($AB107,sample!$1:$1048576,4,FALSE)</f>
        <v>SICVBCITITMMD00000L10</v>
      </c>
      <c r="AF107" s="972" t="str">
        <f>VLOOKUP($AB107,sample!$1:$1048576,5,FALSE)</f>
        <v>N</v>
      </c>
      <c r="AL107" s="973" t="str">
        <f>VLOOKUP($AB107,sample!$1:$1048576,11,FALSE)</f>
        <v xml:space="preserve">        </v>
      </c>
      <c r="AM107" s="973" t="str">
        <f>VLOOKUP($AB107,sample!$1:$1048576,12,FALSE)</f>
        <v xml:space="preserve">        </v>
      </c>
      <c r="AN107" s="973" t="str">
        <f>VLOOKUP($AB107,sample!$1:$1048576,13,FALSE)</f>
        <v>BCITITMMD00</v>
      </c>
      <c r="AP107" s="988"/>
    </row>
    <row r="108" spans="1:42" ht="14">
      <c r="A108" s="808">
        <v>201900106</v>
      </c>
      <c r="B108" s="830">
        <v>43693</v>
      </c>
      <c r="C108" s="830" t="s">
        <v>133</v>
      </c>
      <c r="D108" s="1130" t="str">
        <f>IFERROR(VLOOKUP(G108,PosAggregate!$B$13:$B$85,1,FALSE),"")</f>
        <v/>
      </c>
      <c r="E108" s="769" t="s">
        <v>1612</v>
      </c>
      <c r="F108" s="1006" t="str">
        <f t="shared" si="15"/>
        <v/>
      </c>
      <c r="G108" s="558" t="s">
        <v>1592</v>
      </c>
      <c r="H108" s="558"/>
      <c r="I108" s="832" t="s">
        <v>1596</v>
      </c>
      <c r="J108" s="832" t="s">
        <v>2</v>
      </c>
      <c r="K108" s="878">
        <v>59.207299999999996</v>
      </c>
      <c r="L108" s="879"/>
      <c r="M108" s="880">
        <v>1000</v>
      </c>
      <c r="N108" s="985">
        <f t="shared" si="22"/>
        <v>-59207.299999999996</v>
      </c>
      <c r="O108" s="880">
        <v>-47.37</v>
      </c>
      <c r="P108" s="835"/>
      <c r="Q108" s="835"/>
      <c r="R108" s="978">
        <f t="shared" si="17"/>
        <v>-59254.67</v>
      </c>
      <c r="S108" s="744">
        <v>1</v>
      </c>
      <c r="T108" s="983">
        <f t="shared" si="18"/>
        <v>-59254.67</v>
      </c>
      <c r="U108" s="839">
        <v>43697</v>
      </c>
      <c r="V108" s="831" t="s">
        <v>1183</v>
      </c>
      <c r="W108" s="840">
        <v>43693.627879513886</v>
      </c>
      <c r="X108" s="971">
        <f t="shared" si="19"/>
        <v>8.0007026160625466E-2</v>
      </c>
      <c r="Y108" s="972" t="str">
        <f>VLOOKUP(V108,'bic broker'!$A$1:$B$14,2,FALSE)</f>
        <v>EMSIITM1XXX</v>
      </c>
      <c r="Z108" s="972" t="str">
        <f>VLOOKUP(AA108,'place of settlement'!A:C,2,FALSE)</f>
        <v>DAKVDEFFXXX</v>
      </c>
      <c r="AA108" s="972" t="str">
        <f t="shared" si="20"/>
        <v>DE</v>
      </c>
      <c r="AB108" s="972" t="str">
        <f t="shared" si="21"/>
        <v>EquitaDE</v>
      </c>
      <c r="AC108" s="972" t="str">
        <f>VLOOKUP(AB108,sample!$1:$1048576,2,FALSE)</f>
        <v>EMSIITM1XXX</v>
      </c>
      <c r="AD108" s="972" t="str">
        <f>VLOOKUP($AB108,sample!$1:$1048576,3,FALSE)</f>
        <v>DAKVDEFFXXX</v>
      </c>
      <c r="AE108" s="973" t="str">
        <f>VLOOKUP($AB108,sample!$1:$1048576,4,FALSE)</f>
        <v>DAKV8135000</v>
      </c>
      <c r="AF108" s="972" t="str">
        <f>VLOOKUP($AB108,sample!$1:$1048576,5,FALSE)</f>
        <v>N</v>
      </c>
      <c r="AL108" s="973" t="str">
        <f>VLOOKUP($AB108,sample!$1:$1048576,11,FALSE)</f>
        <v xml:space="preserve">        </v>
      </c>
      <c r="AM108" s="973" t="str">
        <f>VLOOKUP($AB108,sample!$1:$1048576,12,FALSE)</f>
        <v xml:space="preserve">        </v>
      </c>
      <c r="AN108" s="973" t="str">
        <f>VLOOKUP($AB108,sample!$1:$1048576,13,FALSE)</f>
        <v>BCITITMMD03</v>
      </c>
      <c r="AP108" s="988"/>
    </row>
    <row r="109" spans="1:42" ht="14">
      <c r="A109" s="808">
        <v>201900107</v>
      </c>
      <c r="B109" s="830">
        <v>43693</v>
      </c>
      <c r="C109" s="830" t="s">
        <v>133</v>
      </c>
      <c r="D109" s="1130" t="str">
        <f>IFERROR(VLOOKUP(G109,PosAggregate!$B$13:$B$85,1,FALSE),"")</f>
        <v/>
      </c>
      <c r="E109" s="769" t="s">
        <v>1218</v>
      </c>
      <c r="F109" s="1006" t="str">
        <f t="shared" si="15"/>
        <v/>
      </c>
      <c r="G109" s="558" t="s">
        <v>1169</v>
      </c>
      <c r="H109" s="558"/>
      <c r="I109" s="833" t="s">
        <v>1060</v>
      </c>
      <c r="J109" s="833" t="s">
        <v>2</v>
      </c>
      <c r="K109" s="744">
        <v>104.3563</v>
      </c>
      <c r="L109" s="834"/>
      <c r="M109" s="835">
        <v>420</v>
      </c>
      <c r="N109" s="974">
        <f t="shared" si="22"/>
        <v>-43829.646000000001</v>
      </c>
      <c r="O109" s="880">
        <v>-35.06</v>
      </c>
      <c r="P109" s="835"/>
      <c r="Q109" s="835"/>
      <c r="R109" s="978">
        <f t="shared" si="17"/>
        <v>-43864.705999999998</v>
      </c>
      <c r="S109" s="744">
        <v>1</v>
      </c>
      <c r="T109" s="983">
        <f t="shared" si="18"/>
        <v>-43864.705999999998</v>
      </c>
      <c r="U109" s="839">
        <v>43697</v>
      </c>
      <c r="V109" s="831" t="s">
        <v>1183</v>
      </c>
      <c r="W109" s="883">
        <v>43697.909058564815</v>
      </c>
      <c r="X109" s="971">
        <f t="shared" si="19"/>
        <v>7.9991519895004401E-2</v>
      </c>
      <c r="Y109" s="972" t="str">
        <f>VLOOKUP(V109,'bic broker'!$A$1:$B$14,2,FALSE)</f>
        <v>EMSIITM1XXX</v>
      </c>
      <c r="Z109" s="972" t="str">
        <f>VLOOKUP(AA109,'place of settlement'!A:C,2,FALSE)</f>
        <v>DAKVDEFFXXX</v>
      </c>
      <c r="AA109" s="972" t="str">
        <f t="shared" si="20"/>
        <v>DE</v>
      </c>
      <c r="AB109" s="972" t="str">
        <f t="shared" si="21"/>
        <v>EquitaDE</v>
      </c>
      <c r="AC109" s="972" t="str">
        <f>VLOOKUP(AB109,sample!$1:$1048576,2,FALSE)</f>
        <v>EMSIITM1XXX</v>
      </c>
      <c r="AD109" s="972" t="str">
        <f>VLOOKUP($AB109,sample!$1:$1048576,3,FALSE)</f>
        <v>DAKVDEFFXXX</v>
      </c>
      <c r="AE109" s="973" t="str">
        <f>VLOOKUP($AB109,sample!$1:$1048576,4,FALSE)</f>
        <v>DAKV8135000</v>
      </c>
      <c r="AF109" s="972" t="str">
        <f>VLOOKUP($AB109,sample!$1:$1048576,5,FALSE)</f>
        <v>N</v>
      </c>
      <c r="AL109" s="973" t="str">
        <f>VLOOKUP($AB109,sample!$1:$1048576,11,FALSE)</f>
        <v xml:space="preserve">        </v>
      </c>
      <c r="AM109" s="973" t="str">
        <f>VLOOKUP($AB109,sample!$1:$1048576,12,FALSE)</f>
        <v xml:space="preserve">        </v>
      </c>
      <c r="AN109" s="973" t="str">
        <f>VLOOKUP($AB109,sample!$1:$1048576,13,FALSE)</f>
        <v>BCITITMMD03</v>
      </c>
      <c r="AP109" s="988"/>
    </row>
    <row r="110" spans="1:42" ht="14">
      <c r="A110" s="808">
        <v>201900108</v>
      </c>
      <c r="B110" s="830">
        <v>43693</v>
      </c>
      <c r="C110" s="830" t="s">
        <v>133</v>
      </c>
      <c r="D110" s="1130" t="str">
        <f>IFERROR(VLOOKUP(G110,PosAggregate!$B$13:$B$85,1,FALSE),"")</f>
        <v/>
      </c>
      <c r="E110" s="769" t="s">
        <v>1613</v>
      </c>
      <c r="F110" s="1006" t="str">
        <f t="shared" si="15"/>
        <v/>
      </c>
      <c r="G110" s="558" t="s">
        <v>1599</v>
      </c>
      <c r="H110" s="558"/>
      <c r="I110" s="833" t="s">
        <v>1600</v>
      </c>
      <c r="J110" s="833" t="s">
        <v>2</v>
      </c>
      <c r="K110" s="744">
        <v>3.9175</v>
      </c>
      <c r="L110" s="834"/>
      <c r="M110" s="835">
        <v>17000</v>
      </c>
      <c r="N110" s="974">
        <f t="shared" si="22"/>
        <v>-66597.5</v>
      </c>
      <c r="O110" s="880">
        <v>-53.28</v>
      </c>
      <c r="P110" s="835"/>
      <c r="Q110" s="835"/>
      <c r="R110" s="978">
        <f t="shared" si="17"/>
        <v>-66650.78</v>
      </c>
      <c r="S110" s="744">
        <v>1</v>
      </c>
      <c r="T110" s="983">
        <f t="shared" si="18"/>
        <v>-66650.78</v>
      </c>
      <c r="U110" s="839">
        <v>43697</v>
      </c>
      <c r="V110" s="831" t="s">
        <v>1183</v>
      </c>
      <c r="W110" s="883">
        <v>43697.910327199075</v>
      </c>
      <c r="X110" s="971">
        <f t="shared" si="19"/>
        <v>8.0003003115732566E-2</v>
      </c>
      <c r="Y110" s="972" t="str">
        <f>VLOOKUP(V110,'bic broker'!$A$1:$B$14,2,FALSE)</f>
        <v>EMSIITM1XXX</v>
      </c>
      <c r="Z110" s="972" t="str">
        <f>VLOOKUP(AA110,'place of settlement'!A:C,2,FALSE)</f>
        <v>DAKVDEFFXXX</v>
      </c>
      <c r="AA110" s="972" t="str">
        <f t="shared" si="20"/>
        <v>DE</v>
      </c>
      <c r="AB110" s="972" t="str">
        <f t="shared" si="21"/>
        <v>EquitaDE</v>
      </c>
      <c r="AC110" s="972" t="str">
        <f>VLOOKUP(AB110,sample!$1:$1048576,2,FALSE)</f>
        <v>EMSIITM1XXX</v>
      </c>
      <c r="AD110" s="972" t="str">
        <f>VLOOKUP($AB110,sample!$1:$1048576,3,FALSE)</f>
        <v>DAKVDEFFXXX</v>
      </c>
      <c r="AE110" s="973" t="str">
        <f>VLOOKUP($AB110,sample!$1:$1048576,4,FALSE)</f>
        <v>DAKV8135000</v>
      </c>
      <c r="AF110" s="972" t="str">
        <f>VLOOKUP($AB110,sample!$1:$1048576,5,FALSE)</f>
        <v>N</v>
      </c>
      <c r="AL110" s="973" t="str">
        <f>VLOOKUP($AB110,sample!$1:$1048576,11,FALSE)</f>
        <v xml:space="preserve">        </v>
      </c>
      <c r="AM110" s="973" t="str">
        <f>VLOOKUP($AB110,sample!$1:$1048576,12,FALSE)</f>
        <v xml:space="preserve">        </v>
      </c>
      <c r="AN110" s="973" t="str">
        <f>VLOOKUP($AB110,sample!$1:$1048576,13,FALSE)</f>
        <v>BCITITMMD03</v>
      </c>
      <c r="AP110" s="988"/>
    </row>
    <row r="111" spans="1:42" ht="14">
      <c r="A111" s="808">
        <v>201900109</v>
      </c>
      <c r="B111" s="830">
        <v>43693</v>
      </c>
      <c r="C111" s="830" t="s">
        <v>133</v>
      </c>
      <c r="D111" s="1130" t="str">
        <f>IFERROR(VLOOKUP(G111,PosAggregate!$B$13:$B$85,1,FALSE),"")</f>
        <v/>
      </c>
      <c r="E111" s="769" t="s">
        <v>1215</v>
      </c>
      <c r="F111" s="1006" t="str">
        <f t="shared" si="15"/>
        <v/>
      </c>
      <c r="G111" s="558" t="s">
        <v>1166</v>
      </c>
      <c r="H111" s="558"/>
      <c r="I111" s="833" t="s">
        <v>1064</v>
      </c>
      <c r="J111" s="833" t="s">
        <v>2</v>
      </c>
      <c r="K111" s="744">
        <v>38.0824</v>
      </c>
      <c r="L111" s="834"/>
      <c r="M111" s="835">
        <v>670</v>
      </c>
      <c r="N111" s="974">
        <f t="shared" si="22"/>
        <v>-25515.207999999999</v>
      </c>
      <c r="O111" s="880">
        <v>-20.41</v>
      </c>
      <c r="P111" s="835">
        <v>-76.55</v>
      </c>
      <c r="Q111" s="835"/>
      <c r="R111" s="978">
        <f t="shared" si="17"/>
        <v>-25612.167999999998</v>
      </c>
      <c r="S111" s="744">
        <v>1</v>
      </c>
      <c r="T111" s="983">
        <f t="shared" si="18"/>
        <v>-25612.167999999998</v>
      </c>
      <c r="U111" s="839">
        <v>43697</v>
      </c>
      <c r="V111" s="831" t="s">
        <v>1183</v>
      </c>
      <c r="W111" s="883">
        <v>43697.911194560184</v>
      </c>
      <c r="X111" s="971">
        <f t="shared" si="19"/>
        <v>7.9991509377466172E-2</v>
      </c>
      <c r="Y111" s="972" t="str">
        <f>VLOOKUP(V111,'bic broker'!$A$1:$B$14,2,FALSE)</f>
        <v>EMSIITM1XXX</v>
      </c>
      <c r="Z111" s="972" t="str">
        <f>VLOOKUP(AA111,'place of settlement'!A:C,2,FALSE)</f>
        <v>SICVFRPPXXX</v>
      </c>
      <c r="AA111" s="972" t="str">
        <f t="shared" si="20"/>
        <v>FR</v>
      </c>
      <c r="AB111" s="972" t="str">
        <f t="shared" si="21"/>
        <v>EquitaFR</v>
      </c>
      <c r="AC111" s="972" t="str">
        <f>VLOOKUP(AB111,sample!$1:$1048576,2,FALSE)</f>
        <v>EMSIITM1XXX</v>
      </c>
      <c r="AD111" s="972" t="str">
        <f>VLOOKUP($AB111,sample!$1:$1048576,3,FALSE)</f>
        <v>SICVFRPPXXX</v>
      </c>
      <c r="AE111" s="973" t="str">
        <f>VLOOKUP($AB111,sample!$1:$1048576,4,FALSE)</f>
        <v>SICVBCITITMMD00000L10</v>
      </c>
      <c r="AF111" s="972" t="str">
        <f>VLOOKUP($AB111,sample!$1:$1048576,5,FALSE)</f>
        <v>N</v>
      </c>
      <c r="AL111" s="973" t="str">
        <f>VLOOKUP($AB111,sample!$1:$1048576,11,FALSE)</f>
        <v xml:space="preserve">        </v>
      </c>
      <c r="AM111" s="973" t="str">
        <f>VLOOKUP($AB111,sample!$1:$1048576,12,FALSE)</f>
        <v xml:space="preserve">        </v>
      </c>
      <c r="AN111" s="973" t="str">
        <f>VLOOKUP($AB111,sample!$1:$1048576,13,FALSE)</f>
        <v>BCITITMMD00</v>
      </c>
      <c r="AP111" s="988"/>
    </row>
    <row r="112" spans="1:42" ht="14">
      <c r="A112" s="808">
        <v>201900110</v>
      </c>
      <c r="B112" s="830">
        <v>43693</v>
      </c>
      <c r="C112" s="830" t="s">
        <v>133</v>
      </c>
      <c r="D112" s="1130" t="str">
        <f>IFERROR(VLOOKUP(G112,PosAggregate!$B$13:$B$85,1,FALSE),"")</f>
        <v/>
      </c>
      <c r="E112" s="769" t="s">
        <v>1214</v>
      </c>
      <c r="F112" s="1006" t="str">
        <f t="shared" si="15"/>
        <v/>
      </c>
      <c r="G112" s="558" t="s">
        <v>1165</v>
      </c>
      <c r="H112" s="558"/>
      <c r="I112" s="833" t="s">
        <v>1180</v>
      </c>
      <c r="J112" s="833" t="s">
        <v>2</v>
      </c>
      <c r="K112" s="744">
        <v>35.528500000000001</v>
      </c>
      <c r="L112" s="834"/>
      <c r="M112" s="835">
        <v>670</v>
      </c>
      <c r="N112" s="974">
        <f t="shared" si="22"/>
        <v>-23804.095000000001</v>
      </c>
      <c r="O112" s="880">
        <v>-19.04</v>
      </c>
      <c r="P112" s="835">
        <v>-71.41</v>
      </c>
      <c r="Q112" s="835"/>
      <c r="R112" s="978">
        <f t="shared" si="17"/>
        <v>-23894.545000000002</v>
      </c>
      <c r="S112" s="744">
        <v>1</v>
      </c>
      <c r="T112" s="983">
        <f t="shared" si="18"/>
        <v>-23894.545000000002</v>
      </c>
      <c r="U112" s="839">
        <v>43697</v>
      </c>
      <c r="V112" s="831" t="s">
        <v>1183</v>
      </c>
      <c r="W112" s="883">
        <v>43697.91184108796</v>
      </c>
      <c r="X112" s="971">
        <f t="shared" si="19"/>
        <v>7.998623766204932E-2</v>
      </c>
      <c r="Y112" s="972" t="str">
        <f>VLOOKUP(V112,'bic broker'!$A$1:$B$14,2,FALSE)</f>
        <v>EMSIITM1XXX</v>
      </c>
      <c r="Z112" s="972" t="str">
        <f>VLOOKUP(AA112,'place of settlement'!A:C,2,FALSE)</f>
        <v>SICVFRPPXXX</v>
      </c>
      <c r="AA112" s="972" t="str">
        <f t="shared" si="20"/>
        <v>FR</v>
      </c>
      <c r="AB112" s="972" t="str">
        <f t="shared" si="21"/>
        <v>EquitaFR</v>
      </c>
      <c r="AC112" s="972" t="str">
        <f>VLOOKUP(AB112,sample!$1:$1048576,2,FALSE)</f>
        <v>EMSIITM1XXX</v>
      </c>
      <c r="AD112" s="972" t="str">
        <f>VLOOKUP($AB112,sample!$1:$1048576,3,FALSE)</f>
        <v>SICVFRPPXXX</v>
      </c>
      <c r="AE112" s="973" t="str">
        <f>VLOOKUP($AB112,sample!$1:$1048576,4,FALSE)</f>
        <v>SICVBCITITMMD00000L10</v>
      </c>
      <c r="AF112" s="972" t="str">
        <f>VLOOKUP($AB112,sample!$1:$1048576,5,FALSE)</f>
        <v>N</v>
      </c>
      <c r="AL112" s="973" t="str">
        <f>VLOOKUP($AB112,sample!$1:$1048576,11,FALSE)</f>
        <v xml:space="preserve">        </v>
      </c>
      <c r="AM112" s="973" t="str">
        <f>VLOOKUP($AB112,sample!$1:$1048576,12,FALSE)</f>
        <v xml:space="preserve">        </v>
      </c>
      <c r="AN112" s="973" t="str">
        <f>VLOOKUP($AB112,sample!$1:$1048576,13,FALSE)</f>
        <v>BCITITMMD00</v>
      </c>
      <c r="AP112" s="988"/>
    </row>
    <row r="113" spans="1:42" ht="14">
      <c r="A113" s="808">
        <v>201900111</v>
      </c>
      <c r="B113" s="830">
        <v>43696</v>
      </c>
      <c r="C113" s="830" t="s">
        <v>133</v>
      </c>
      <c r="D113" s="1130" t="str">
        <f>IFERROR(VLOOKUP(G113,PosAggregate!$B$13:$B$85,1,FALSE),"")</f>
        <v/>
      </c>
      <c r="E113" s="769" t="s">
        <v>1227</v>
      </c>
      <c r="F113" s="1006" t="str">
        <f t="shared" si="15"/>
        <v/>
      </c>
      <c r="G113" s="558" t="s">
        <v>1163</v>
      </c>
      <c r="H113" s="558"/>
      <c r="I113" s="833" t="s">
        <v>1092</v>
      </c>
      <c r="J113" s="833" t="s">
        <v>1069</v>
      </c>
      <c r="K113" s="744">
        <v>0.72240000000000004</v>
      </c>
      <c r="L113" s="834"/>
      <c r="M113" s="835">
        <v>42000</v>
      </c>
      <c r="N113" s="974">
        <f t="shared" si="22"/>
        <v>-30340.800000000003</v>
      </c>
      <c r="O113" s="835">
        <v>-24.27</v>
      </c>
      <c r="P113" s="835"/>
      <c r="Q113" s="835"/>
      <c r="R113" s="978">
        <f t="shared" si="17"/>
        <v>-30365.070000000003</v>
      </c>
      <c r="S113" s="744">
        <v>1.6355581676443511</v>
      </c>
      <c r="T113" s="983">
        <f t="shared" si="18"/>
        <v>-18565.570213705068</v>
      </c>
      <c r="U113" s="839">
        <v>43698</v>
      </c>
      <c r="V113" s="831" t="s">
        <v>1183</v>
      </c>
      <c r="W113" s="840">
        <v>43696.438062384259</v>
      </c>
      <c r="X113" s="971">
        <f t="shared" si="19"/>
        <v>7.9991298845119435E-2</v>
      </c>
      <c r="Y113" s="972" t="str">
        <f>VLOOKUP(V113,'bic broker'!$A$1:$B$14,2,FALSE)</f>
        <v>EMSIITM1XXX</v>
      </c>
      <c r="Z113" s="972" t="str">
        <f>VLOOKUP(AA113,'place of settlement'!A:C,2,FALSE)</f>
        <v>CAETAU21XXX</v>
      </c>
      <c r="AA113" s="972" t="str">
        <f t="shared" si="20"/>
        <v>AU</v>
      </c>
      <c r="AB113" s="972" t="str">
        <f t="shared" si="21"/>
        <v>EquitaAU</v>
      </c>
      <c r="AC113" s="972" t="str">
        <f>VLOOKUP(AB113,sample!$1:$1048576,2,FALSE)</f>
        <v>BCITITMMXXX</v>
      </c>
      <c r="AD113" s="972" t="str">
        <f>VLOOKUP($AB113,sample!$1:$1048576,3,FALSE)</f>
        <v>CAETAU21XXX</v>
      </c>
      <c r="AE113" s="973">
        <f>VLOOKUP($AB113,sample!$1:$1048576,4,FALSE)</f>
        <v>2099100983</v>
      </c>
      <c r="AF113" s="972" t="str">
        <f>VLOOKUP($AB113,sample!$1:$1048576,5,FALSE)</f>
        <v>N</v>
      </c>
      <c r="AL113" s="973" t="str">
        <f>VLOOKUP($AB113,sample!$1:$1048576,11,FALSE)</f>
        <v xml:space="preserve">        </v>
      </c>
      <c r="AM113" s="973" t="str">
        <f>VLOOKUP($AB113,sample!$1:$1048576,12,FALSE)</f>
        <v xml:space="preserve">        </v>
      </c>
      <c r="AN113" s="973" t="str">
        <f>VLOOKUP($AB113,sample!$1:$1048576,13,FALSE)</f>
        <v>CITIAU3XXXX</v>
      </c>
      <c r="AP113" s="988"/>
    </row>
    <row r="114" spans="1:42" ht="14">
      <c r="A114" s="808">
        <v>201900112</v>
      </c>
      <c r="B114" s="830">
        <v>43696</v>
      </c>
      <c r="C114" s="830" t="s">
        <v>133</v>
      </c>
      <c r="D114" s="1130" t="str">
        <f>IFERROR(VLOOKUP(G114,PosAggregate!$B$13:$B$85,1,FALSE),"")</f>
        <v/>
      </c>
      <c r="E114" s="769" t="s">
        <v>1614</v>
      </c>
      <c r="F114" s="1006" t="str">
        <f t="shared" si="15"/>
        <v/>
      </c>
      <c r="G114" s="558" t="s">
        <v>1594</v>
      </c>
      <c r="H114" s="558"/>
      <c r="I114" s="833" t="s">
        <v>1597</v>
      </c>
      <c r="J114" s="833" t="s">
        <v>125</v>
      </c>
      <c r="K114" s="744">
        <v>963.8</v>
      </c>
      <c r="L114" s="834"/>
      <c r="M114" s="835">
        <v>4200</v>
      </c>
      <c r="N114" s="974">
        <f t="shared" si="22"/>
        <v>-4047960</v>
      </c>
      <c r="O114" s="835">
        <v>-3238</v>
      </c>
      <c r="P114" s="835"/>
      <c r="Q114" s="835"/>
      <c r="R114" s="978">
        <f t="shared" si="17"/>
        <v>-4051198</v>
      </c>
      <c r="S114" s="744">
        <v>117.94320185409018</v>
      </c>
      <c r="T114" s="983">
        <f t="shared" si="18"/>
        <v>-34348.719861037993</v>
      </c>
      <c r="U114" s="839">
        <v>43698</v>
      </c>
      <c r="V114" s="831" t="s">
        <v>1183</v>
      </c>
      <c r="W114" s="840">
        <v>43696.773257060187</v>
      </c>
      <c r="X114" s="971">
        <f t="shared" si="19"/>
        <v>7.9990909001077082E-2</v>
      </c>
      <c r="Y114" s="972" t="str">
        <f>VLOOKUP(V114,'bic broker'!$A$1:$B$14,2,FALSE)</f>
        <v>EMSIITM1XXX</v>
      </c>
      <c r="Z114" s="972" t="str">
        <f>VLOOKUP(AA114,'place of settlement'!A:C,2,FALSE)</f>
        <v>JJSDJPJTXXX</v>
      </c>
      <c r="AA114" s="972" t="str">
        <f t="shared" si="20"/>
        <v>JP</v>
      </c>
      <c r="AB114" s="972" t="str">
        <f t="shared" si="21"/>
        <v>EquitaJP</v>
      </c>
      <c r="AC114" s="972" t="str">
        <f>VLOOKUP(AB114,sample!$1:$1048576,2,FALSE)</f>
        <v>BCITITMMXXX</v>
      </c>
      <c r="AD114" s="972" t="str">
        <f>VLOOKUP($AB114,sample!$1:$1048576,3,FALSE)</f>
        <v>JJSDJPJTXXX</v>
      </c>
      <c r="AE114" s="973">
        <f>VLOOKUP($AB114,sample!$1:$1048576,4,FALSE)</f>
        <v>100502629</v>
      </c>
      <c r="AF114" s="972" t="str">
        <f>VLOOKUP($AB114,sample!$1:$1048576,5,FALSE)</f>
        <v>N</v>
      </c>
      <c r="AL114" s="973" t="str">
        <f>VLOOKUP($AB114,sample!$1:$1048576,11,FALSE)</f>
        <v xml:space="preserve">        </v>
      </c>
      <c r="AM114" s="973" t="str">
        <f>VLOOKUP($AB114,sample!$1:$1048576,12,FALSE)</f>
        <v xml:space="preserve">        </v>
      </c>
      <c r="AN114" s="973" t="str">
        <f>VLOOKUP($AB114,sample!$1:$1048576,13,FALSE)</f>
        <v>BOTKJPJTXXX</v>
      </c>
      <c r="AP114" s="988"/>
    </row>
    <row r="115" spans="1:42" ht="14">
      <c r="A115" s="808">
        <v>201900113</v>
      </c>
      <c r="B115" s="830">
        <v>43696</v>
      </c>
      <c r="C115" s="830" t="s">
        <v>133</v>
      </c>
      <c r="D115" s="1130" t="str">
        <f>IFERROR(VLOOKUP(G115,PosAggregate!$B$13:$B$85,1,FALSE),"")</f>
        <v/>
      </c>
      <c r="E115" s="769" t="s">
        <v>1615</v>
      </c>
      <c r="F115" s="1006" t="str">
        <f t="shared" si="15"/>
        <v/>
      </c>
      <c r="G115" s="558" t="s">
        <v>1595</v>
      </c>
      <c r="H115" s="558"/>
      <c r="I115" s="833" t="s">
        <v>1598</v>
      </c>
      <c r="J115" s="833" t="s">
        <v>125</v>
      </c>
      <c r="K115" s="744">
        <v>4297</v>
      </c>
      <c r="L115" s="834"/>
      <c r="M115" s="835">
        <v>1100</v>
      </c>
      <c r="N115" s="974">
        <f t="shared" si="22"/>
        <v>-4726700</v>
      </c>
      <c r="O115" s="835">
        <v>-3781</v>
      </c>
      <c r="P115" s="835"/>
      <c r="Q115" s="835"/>
      <c r="R115" s="978">
        <f t="shared" si="17"/>
        <v>-4730481</v>
      </c>
      <c r="S115" s="744">
        <v>117.94320185409016</v>
      </c>
      <c r="T115" s="983">
        <f t="shared" si="18"/>
        <v>-40108.127688886809</v>
      </c>
      <c r="U115" s="839">
        <v>43698</v>
      </c>
      <c r="V115" s="831" t="s">
        <v>1183</v>
      </c>
      <c r="W115" s="840">
        <v>43696.773765625003</v>
      </c>
      <c r="X115" s="971">
        <f t="shared" si="19"/>
        <v>7.9992383692639682E-2</v>
      </c>
      <c r="Y115" s="972" t="str">
        <f>VLOOKUP(V115,'bic broker'!$A$1:$B$14,2,FALSE)</f>
        <v>EMSIITM1XXX</v>
      </c>
      <c r="Z115" s="972" t="str">
        <f>VLOOKUP(AA115,'place of settlement'!A:C,2,FALSE)</f>
        <v>JJSDJPJTXXX</v>
      </c>
      <c r="AA115" s="972" t="str">
        <f t="shared" si="20"/>
        <v>JP</v>
      </c>
      <c r="AB115" s="972" t="str">
        <f t="shared" si="21"/>
        <v>EquitaJP</v>
      </c>
      <c r="AC115" s="972" t="str">
        <f>VLOOKUP(AB115,sample!$1:$1048576,2,FALSE)</f>
        <v>BCITITMMXXX</v>
      </c>
      <c r="AD115" s="972" t="str">
        <f>VLOOKUP($AB115,sample!$1:$1048576,3,FALSE)</f>
        <v>JJSDJPJTXXX</v>
      </c>
      <c r="AE115" s="973">
        <f>VLOOKUP($AB115,sample!$1:$1048576,4,FALSE)</f>
        <v>100502629</v>
      </c>
      <c r="AF115" s="972" t="str">
        <f>VLOOKUP($AB115,sample!$1:$1048576,5,FALSE)</f>
        <v>N</v>
      </c>
      <c r="AL115" s="973" t="str">
        <f>VLOOKUP($AB115,sample!$1:$1048576,11,FALSE)</f>
        <v xml:space="preserve">        </v>
      </c>
      <c r="AM115" s="973" t="str">
        <f>VLOOKUP($AB115,sample!$1:$1048576,12,FALSE)</f>
        <v xml:space="preserve">        </v>
      </c>
      <c r="AN115" s="973" t="str">
        <f>VLOOKUP($AB115,sample!$1:$1048576,13,FALSE)</f>
        <v>BOTKJPJTXXX</v>
      </c>
      <c r="AP115" s="988"/>
    </row>
    <row r="116" spans="1:42" ht="14">
      <c r="A116" s="808">
        <v>201900114</v>
      </c>
      <c r="B116" s="830">
        <v>43696</v>
      </c>
      <c r="C116" s="830" t="s">
        <v>133</v>
      </c>
      <c r="D116" s="1130" t="str">
        <f>IFERROR(VLOOKUP(G116,PosAggregate!$B$13:$B$85,1,FALSE),"")</f>
        <v/>
      </c>
      <c r="E116" s="769" t="s">
        <v>1186</v>
      </c>
      <c r="F116" s="1006" t="str">
        <f t="shared" si="15"/>
        <v/>
      </c>
      <c r="G116" s="558" t="s">
        <v>1134</v>
      </c>
      <c r="H116" s="558"/>
      <c r="I116" s="833" t="s">
        <v>1081</v>
      </c>
      <c r="J116" s="833" t="s">
        <v>125</v>
      </c>
      <c r="K116" s="744">
        <v>810</v>
      </c>
      <c r="L116" s="834"/>
      <c r="M116" s="835">
        <v>4200</v>
      </c>
      <c r="N116" s="974">
        <f t="shared" si="22"/>
        <v>-3402000</v>
      </c>
      <c r="O116" s="835">
        <v>-2722</v>
      </c>
      <c r="P116" s="835"/>
      <c r="Q116" s="835"/>
      <c r="R116" s="978">
        <f t="shared" si="17"/>
        <v>-3404722</v>
      </c>
      <c r="S116" s="744">
        <v>117.94320185409012</v>
      </c>
      <c r="T116" s="983">
        <f t="shared" si="18"/>
        <v>-28867.471346182796</v>
      </c>
      <c r="U116" s="839">
        <v>43698</v>
      </c>
      <c r="V116" s="831" t="s">
        <v>1183</v>
      </c>
      <c r="W116" s="840">
        <v>43696.776422800926</v>
      </c>
      <c r="X116" s="971">
        <f t="shared" si="19"/>
        <v>8.0011757789535565E-2</v>
      </c>
      <c r="Y116" s="972" t="str">
        <f>VLOOKUP(V116,'bic broker'!$A$1:$B$14,2,FALSE)</f>
        <v>EMSIITM1XXX</v>
      </c>
      <c r="Z116" s="972" t="str">
        <f>VLOOKUP(AA116,'place of settlement'!A:C,2,FALSE)</f>
        <v>JJSDJPJTXXX</v>
      </c>
      <c r="AA116" s="972" t="str">
        <f t="shared" si="20"/>
        <v>JP</v>
      </c>
      <c r="AB116" s="972" t="str">
        <f t="shared" si="21"/>
        <v>EquitaJP</v>
      </c>
      <c r="AC116" s="972" t="str">
        <f>VLOOKUP(AB116,sample!$1:$1048576,2,FALSE)</f>
        <v>BCITITMMXXX</v>
      </c>
      <c r="AD116" s="972" t="str">
        <f>VLOOKUP($AB116,sample!$1:$1048576,3,FALSE)</f>
        <v>JJSDJPJTXXX</v>
      </c>
      <c r="AE116" s="973">
        <f>VLOOKUP($AB116,sample!$1:$1048576,4,FALSE)</f>
        <v>100502629</v>
      </c>
      <c r="AF116" s="972" t="str">
        <f>VLOOKUP($AB116,sample!$1:$1048576,5,FALSE)</f>
        <v>N</v>
      </c>
      <c r="AL116" s="973" t="str">
        <f>VLOOKUP($AB116,sample!$1:$1048576,11,FALSE)</f>
        <v xml:space="preserve">        </v>
      </c>
      <c r="AM116" s="973" t="str">
        <f>VLOOKUP($AB116,sample!$1:$1048576,12,FALSE)</f>
        <v xml:space="preserve">        </v>
      </c>
      <c r="AN116" s="973" t="str">
        <f>VLOOKUP($AB116,sample!$1:$1048576,13,FALSE)</f>
        <v>BOTKJPJTXXX</v>
      </c>
      <c r="AP116" s="988"/>
    </row>
    <row r="117" spans="1:42" ht="14">
      <c r="A117" s="808">
        <v>201900115</v>
      </c>
      <c r="B117" s="830">
        <v>43696</v>
      </c>
      <c r="C117" s="830" t="s">
        <v>133</v>
      </c>
      <c r="D117" s="1130" t="str">
        <f>IFERROR(VLOOKUP(G117,PosAggregate!$B$13:$B$85,1,FALSE),"")</f>
        <v/>
      </c>
      <c r="E117" s="769" t="s">
        <v>1190</v>
      </c>
      <c r="F117" s="1006" t="str">
        <f t="shared" si="15"/>
        <v/>
      </c>
      <c r="G117" s="558" t="s">
        <v>1590</v>
      </c>
      <c r="H117" s="558"/>
      <c r="I117" s="833" t="s">
        <v>1085</v>
      </c>
      <c r="J117" s="833" t="s">
        <v>125</v>
      </c>
      <c r="K117" s="744">
        <v>2142.89</v>
      </c>
      <c r="L117" s="834"/>
      <c r="M117" s="835">
        <v>1000</v>
      </c>
      <c r="N117" s="974">
        <f t="shared" si="22"/>
        <v>-2142890</v>
      </c>
      <c r="O117" s="835">
        <v>-1714</v>
      </c>
      <c r="P117" s="835"/>
      <c r="Q117" s="835"/>
      <c r="R117" s="978">
        <f t="shared" ref="R117:R148" si="23">SUM(N117:Q117)</f>
        <v>-2144604</v>
      </c>
      <c r="S117" s="744">
        <v>117.94320185408995</v>
      </c>
      <c r="T117" s="983">
        <f t="shared" ref="T117:T148" si="24">+R117/S117</f>
        <v>-18183.362553215535</v>
      </c>
      <c r="U117" s="839">
        <v>43698</v>
      </c>
      <c r="V117" s="831" t="s">
        <v>1183</v>
      </c>
      <c r="W117" s="840">
        <v>43696.777423495369</v>
      </c>
      <c r="X117" s="971">
        <f t="shared" ref="X117:X148" si="25">+O117/N117*100</f>
        <v>7.998544022324991E-2</v>
      </c>
      <c r="Y117" s="972" t="str">
        <f>VLOOKUP(V117,'bic broker'!$A$1:$B$14,2,FALSE)</f>
        <v>EMSIITM1XXX</v>
      </c>
      <c r="Z117" s="972" t="str">
        <f>VLOOKUP(AA117,'place of settlement'!A:C,2,FALSE)</f>
        <v>JJSDJPJTXXX</v>
      </c>
      <c r="AA117" s="972" t="str">
        <f t="shared" ref="AA117:AA148" si="26">LEFT(E117,2)</f>
        <v>JP</v>
      </c>
      <c r="AB117" s="972" t="str">
        <f t="shared" ref="AB117:AB148" si="27">CONCATENATE(V117,AA117)</f>
        <v>EquitaJP</v>
      </c>
      <c r="AC117" s="972" t="str">
        <f>VLOOKUP(AB117,sample!$1:$1048576,2,FALSE)</f>
        <v>BCITITMMXXX</v>
      </c>
      <c r="AD117" s="972" t="str">
        <f>VLOOKUP($AB117,sample!$1:$1048576,3,FALSE)</f>
        <v>JJSDJPJTXXX</v>
      </c>
      <c r="AE117" s="973">
        <f>VLOOKUP($AB117,sample!$1:$1048576,4,FALSE)</f>
        <v>100502629</v>
      </c>
      <c r="AF117" s="972" t="str">
        <f>VLOOKUP($AB117,sample!$1:$1048576,5,FALSE)</f>
        <v>N</v>
      </c>
      <c r="AL117" s="973" t="str">
        <f>VLOOKUP($AB117,sample!$1:$1048576,11,FALSE)</f>
        <v xml:space="preserve">        </v>
      </c>
      <c r="AM117" s="973" t="str">
        <f>VLOOKUP($AB117,sample!$1:$1048576,12,FALSE)</f>
        <v xml:space="preserve">        </v>
      </c>
      <c r="AN117" s="973" t="str">
        <f>VLOOKUP($AB117,sample!$1:$1048576,13,FALSE)</f>
        <v>BOTKJPJTXXX</v>
      </c>
      <c r="AP117" s="988"/>
    </row>
    <row r="118" spans="1:42" ht="14">
      <c r="A118" s="808">
        <v>201900116</v>
      </c>
      <c r="B118" s="830">
        <v>43696</v>
      </c>
      <c r="C118" s="830" t="s">
        <v>133</v>
      </c>
      <c r="D118" s="1130" t="str">
        <f>IFERROR(VLOOKUP(G118,PosAggregate!$B$13:$B$85,1,FALSE),"")</f>
        <v/>
      </c>
      <c r="E118" s="769" t="s">
        <v>1206</v>
      </c>
      <c r="F118" s="1006" t="str">
        <f t="shared" si="15"/>
        <v/>
      </c>
      <c r="G118" s="558" t="s">
        <v>1156</v>
      </c>
      <c r="H118" s="558"/>
      <c r="I118" s="833" t="s">
        <v>1080</v>
      </c>
      <c r="J118" s="833" t="s">
        <v>123</v>
      </c>
      <c r="K118" s="744">
        <v>162867.85709999999</v>
      </c>
      <c r="L118" s="834"/>
      <c r="M118" s="835">
        <v>420</v>
      </c>
      <c r="N118" s="974">
        <f t="shared" si="22"/>
        <v>-68404499.981999993</v>
      </c>
      <c r="O118" s="880">
        <v>-102607</v>
      </c>
      <c r="P118" s="835"/>
      <c r="Q118" s="835"/>
      <c r="R118" s="978">
        <f t="shared" si="23"/>
        <v>-68507106.981999993</v>
      </c>
      <c r="S118" s="744">
        <v>1338.9702702403054</v>
      </c>
      <c r="T118" s="983">
        <f t="shared" si="24"/>
        <v>-51164.023955292905</v>
      </c>
      <c r="U118" s="839">
        <v>43698</v>
      </c>
      <c r="V118" s="831" t="s">
        <v>1184</v>
      </c>
      <c r="W118" s="883">
        <v>43696.77998796296</v>
      </c>
      <c r="X118" s="971">
        <f t="shared" si="25"/>
        <v>0.15000036551250295</v>
      </c>
      <c r="Y118" s="972" t="e">
        <f>VLOOKUP(V118,'bic broker'!$A$1:$B$14,2,FALSE)</f>
        <v>#N/A</v>
      </c>
      <c r="Z118" s="972" t="str">
        <f>VLOOKUP(AA118,'place of settlement'!A:C,2,FALSE)</f>
        <v>KSDCKRSEXXX</v>
      </c>
      <c r="AA118" s="972" t="str">
        <f t="shared" si="26"/>
        <v>KR</v>
      </c>
      <c r="AB118" s="972" t="str">
        <f t="shared" si="27"/>
        <v>SamsungKR</v>
      </c>
      <c r="AC118" s="972" t="e">
        <f>VLOOKUP(AB118,sample!$1:$1048576,2,FALSE)</f>
        <v>#N/A</v>
      </c>
      <c r="AD118" s="972" t="e">
        <f>VLOOKUP($AB118,sample!$1:$1048576,3,FALSE)</f>
        <v>#N/A</v>
      </c>
      <c r="AE118" s="973" t="e">
        <f>VLOOKUP($AB118,sample!$1:$1048576,4,FALSE)</f>
        <v>#N/A</v>
      </c>
      <c r="AF118" s="972" t="e">
        <f>VLOOKUP($AB118,sample!$1:$1048576,5,FALSE)</f>
        <v>#N/A</v>
      </c>
      <c r="AL118" s="973" t="e">
        <f>VLOOKUP($AB118,sample!$1:$1048576,11,FALSE)</f>
        <v>#N/A</v>
      </c>
      <c r="AM118" s="973" t="e">
        <f>VLOOKUP($AB118,sample!$1:$1048576,12,FALSE)</f>
        <v>#N/A</v>
      </c>
      <c r="AN118" s="973" t="e">
        <f>VLOOKUP($AB118,sample!$1:$1048576,13,FALSE)</f>
        <v>#N/A</v>
      </c>
      <c r="AP118" s="988"/>
    </row>
    <row r="119" spans="1:42" ht="14">
      <c r="A119" s="808">
        <v>201900117</v>
      </c>
      <c r="B119" s="830">
        <v>43696</v>
      </c>
      <c r="C119" s="830" t="s">
        <v>133</v>
      </c>
      <c r="D119" s="1130" t="str">
        <f>IFERROR(VLOOKUP(G119,PosAggregate!$B$13:$B$85,1,FALSE),"")</f>
        <v/>
      </c>
      <c r="E119" s="769" t="s">
        <v>1209</v>
      </c>
      <c r="F119" s="1006" t="str">
        <f t="shared" si="15"/>
        <v/>
      </c>
      <c r="G119" s="558" t="s">
        <v>1159</v>
      </c>
      <c r="H119" s="558"/>
      <c r="I119" s="833" t="s">
        <v>1102</v>
      </c>
      <c r="J119" s="833" t="s">
        <v>123</v>
      </c>
      <c r="K119" s="744">
        <v>111038.806</v>
      </c>
      <c r="L119" s="834"/>
      <c r="M119" s="856">
        <v>670</v>
      </c>
      <c r="N119" s="974">
        <f t="shared" si="22"/>
        <v>-74396000.019999996</v>
      </c>
      <c r="O119" s="880">
        <v>-111594</v>
      </c>
      <c r="P119" s="835"/>
      <c r="Q119" s="835"/>
      <c r="R119" s="978">
        <f t="shared" si="23"/>
        <v>-74507594.019999996</v>
      </c>
      <c r="S119" s="744">
        <v>1338.9702702402999</v>
      </c>
      <c r="T119" s="983">
        <f t="shared" si="24"/>
        <v>-55645.443125954094</v>
      </c>
      <c r="U119" s="839">
        <v>43698</v>
      </c>
      <c r="V119" s="831" t="s">
        <v>1184</v>
      </c>
      <c r="W119" s="883">
        <v>43696.781007986108</v>
      </c>
      <c r="X119" s="971">
        <f t="shared" si="25"/>
        <v>0.14999999995967525</v>
      </c>
      <c r="Y119" s="972" t="e">
        <f>VLOOKUP(V119,'bic broker'!$A$1:$B$14,2,FALSE)</f>
        <v>#N/A</v>
      </c>
      <c r="Z119" s="972" t="str">
        <f>VLOOKUP(AA119,'place of settlement'!A:C,2,FALSE)</f>
        <v>KSDCKRSEXXX</v>
      </c>
      <c r="AA119" s="972" t="str">
        <f t="shared" si="26"/>
        <v>KR</v>
      </c>
      <c r="AB119" s="972" t="str">
        <f t="shared" si="27"/>
        <v>SamsungKR</v>
      </c>
      <c r="AC119" s="972" t="e">
        <f>VLOOKUP(AB119,sample!$1:$1048576,2,FALSE)</f>
        <v>#N/A</v>
      </c>
      <c r="AD119" s="972" t="e">
        <f>VLOOKUP($AB119,sample!$1:$1048576,3,FALSE)</f>
        <v>#N/A</v>
      </c>
      <c r="AE119" s="973" t="e">
        <f>VLOOKUP($AB119,sample!$1:$1048576,4,FALSE)</f>
        <v>#N/A</v>
      </c>
      <c r="AF119" s="972" t="e">
        <f>VLOOKUP($AB119,sample!$1:$1048576,5,FALSE)</f>
        <v>#N/A</v>
      </c>
      <c r="AL119" s="973" t="e">
        <f>VLOOKUP($AB119,sample!$1:$1048576,11,FALSE)</f>
        <v>#N/A</v>
      </c>
      <c r="AM119" s="973" t="e">
        <f>VLOOKUP($AB119,sample!$1:$1048576,12,FALSE)</f>
        <v>#N/A</v>
      </c>
      <c r="AN119" s="973" t="e">
        <f>VLOOKUP($AB119,sample!$1:$1048576,13,FALSE)</f>
        <v>#N/A</v>
      </c>
      <c r="AP119" s="988"/>
    </row>
    <row r="120" spans="1:42">
      <c r="A120" s="808">
        <v>201900118</v>
      </c>
      <c r="B120" s="830">
        <v>43697</v>
      </c>
      <c r="C120" s="881" t="s">
        <v>133</v>
      </c>
      <c r="D120" s="1130" t="str">
        <f>IFERROR(VLOOKUP(G120,PosAggregate!$B$13:$B$85,1,FALSE),"")</f>
        <v/>
      </c>
      <c r="E120" s="769" t="s">
        <v>1617</v>
      </c>
      <c r="F120" s="1006" t="str">
        <f t="shared" si="15"/>
        <v/>
      </c>
      <c r="G120" s="558" t="s">
        <v>1616</v>
      </c>
      <c r="H120" s="558"/>
      <c r="I120" s="833" t="s">
        <v>1619</v>
      </c>
      <c r="J120" s="833" t="s">
        <v>125</v>
      </c>
      <c r="K120" s="744">
        <v>958.28570000000002</v>
      </c>
      <c r="M120" s="835">
        <v>700</v>
      </c>
      <c r="N120" s="974">
        <f t="shared" si="22"/>
        <v>-670799.99</v>
      </c>
      <c r="O120" s="880">
        <v>-537</v>
      </c>
      <c r="R120" s="978">
        <f t="shared" si="23"/>
        <v>-671336.99</v>
      </c>
      <c r="S120" s="744">
        <v>117.89384892006485</v>
      </c>
      <c r="T120" s="983">
        <f t="shared" si="24"/>
        <v>-5694.4191418772343</v>
      </c>
      <c r="U120" s="839">
        <v>43699</v>
      </c>
      <c r="V120" s="594" t="s">
        <v>1183</v>
      </c>
      <c r="W120" s="883">
        <v>43698.0352369213</v>
      </c>
      <c r="X120" s="971">
        <f t="shared" si="25"/>
        <v>8.0053668456375501E-2</v>
      </c>
      <c r="Y120" s="972" t="str">
        <f>VLOOKUP(V120,'bic broker'!$A$1:$B$14,2,FALSE)</f>
        <v>EMSIITM1XXX</v>
      </c>
      <c r="Z120" s="972" t="str">
        <f>VLOOKUP(AA120,'place of settlement'!A:C,2,FALSE)</f>
        <v>JJSDJPJTXXX</v>
      </c>
      <c r="AA120" s="972" t="str">
        <f t="shared" si="26"/>
        <v>JP</v>
      </c>
      <c r="AB120" s="972" t="str">
        <f t="shared" si="27"/>
        <v>EquitaJP</v>
      </c>
      <c r="AC120" s="972" t="str">
        <f>VLOOKUP(AB120,sample!$1:$1048576,2,FALSE)</f>
        <v>BCITITMMXXX</v>
      </c>
      <c r="AD120" s="972" t="str">
        <f>VLOOKUP($AB120,sample!$1:$1048576,3,FALSE)</f>
        <v>JJSDJPJTXXX</v>
      </c>
      <c r="AE120" s="973">
        <f>VLOOKUP($AB120,sample!$1:$1048576,4,FALSE)</f>
        <v>100502629</v>
      </c>
      <c r="AF120" s="972" t="str">
        <f>VLOOKUP($AB120,sample!$1:$1048576,5,FALSE)</f>
        <v>N</v>
      </c>
      <c r="AL120" s="973" t="str">
        <f>VLOOKUP($AB120,sample!$1:$1048576,11,FALSE)</f>
        <v xml:space="preserve">        </v>
      </c>
      <c r="AM120" s="973" t="str">
        <f>VLOOKUP($AB120,sample!$1:$1048576,12,FALSE)</f>
        <v xml:space="preserve">        </v>
      </c>
      <c r="AN120" s="973" t="str">
        <f>VLOOKUP($AB120,sample!$1:$1048576,13,FALSE)</f>
        <v>BOTKJPJTXXX</v>
      </c>
      <c r="AP120" s="988"/>
    </row>
    <row r="121" spans="1:42" ht="14">
      <c r="A121" s="808">
        <v>201900119</v>
      </c>
      <c r="B121" s="830">
        <v>43698</v>
      </c>
      <c r="C121" s="881" t="s">
        <v>133</v>
      </c>
      <c r="D121" s="1130" t="str">
        <f>IFERROR(VLOOKUP(G121,PosAggregate!$B$13:$B$85,1,FALSE),"")</f>
        <v/>
      </c>
      <c r="E121" s="769" t="s">
        <v>1617</v>
      </c>
      <c r="F121" s="1006" t="str">
        <f t="shared" si="15"/>
        <v/>
      </c>
      <c r="G121" s="558" t="s">
        <v>1616</v>
      </c>
      <c r="H121" s="558"/>
      <c r="I121" s="833" t="s">
        <v>1619</v>
      </c>
      <c r="J121" s="833" t="s">
        <v>125</v>
      </c>
      <c r="K121" s="744">
        <v>966.47500000000002</v>
      </c>
      <c r="L121" s="834"/>
      <c r="M121" s="835">
        <v>400</v>
      </c>
      <c r="N121" s="974">
        <f t="shared" si="22"/>
        <v>-386590</v>
      </c>
      <c r="O121" s="880">
        <v>-309</v>
      </c>
      <c r="P121" s="835"/>
      <c r="Q121" s="835"/>
      <c r="R121" s="978">
        <f t="shared" si="23"/>
        <v>-386899</v>
      </c>
      <c r="S121" s="744">
        <v>117.89384892006485</v>
      </c>
      <c r="T121" s="983">
        <f t="shared" si="24"/>
        <v>-3281.7573057804548</v>
      </c>
      <c r="U121" s="839">
        <v>43700</v>
      </c>
      <c r="V121" s="594" t="s">
        <v>1183</v>
      </c>
      <c r="W121" s="883">
        <v>43698.037979398148</v>
      </c>
      <c r="X121" s="971">
        <f t="shared" si="25"/>
        <v>7.9929641221966427E-2</v>
      </c>
      <c r="Y121" s="972" t="str">
        <f>VLOOKUP(V121,'bic broker'!$A$1:$B$14,2,FALSE)</f>
        <v>EMSIITM1XXX</v>
      </c>
      <c r="Z121" s="972" t="str">
        <f>VLOOKUP(AA121,'place of settlement'!A:C,2,FALSE)</f>
        <v>JJSDJPJTXXX</v>
      </c>
      <c r="AA121" s="972" t="str">
        <f t="shared" si="26"/>
        <v>JP</v>
      </c>
      <c r="AB121" s="972" t="str">
        <f t="shared" si="27"/>
        <v>EquitaJP</v>
      </c>
      <c r="AC121" s="972" t="str">
        <f>VLOOKUP(AB121,sample!$1:$1048576,2,FALSE)</f>
        <v>BCITITMMXXX</v>
      </c>
      <c r="AD121" s="972" t="str">
        <f>VLOOKUP($AB121,sample!$1:$1048576,3,FALSE)</f>
        <v>JJSDJPJTXXX</v>
      </c>
      <c r="AE121" s="973">
        <f>VLOOKUP($AB121,sample!$1:$1048576,4,FALSE)</f>
        <v>100502629</v>
      </c>
      <c r="AF121" s="972" t="str">
        <f>VLOOKUP($AB121,sample!$1:$1048576,5,FALSE)</f>
        <v>N</v>
      </c>
      <c r="AL121" s="973" t="str">
        <f>VLOOKUP($AB121,sample!$1:$1048576,11,FALSE)</f>
        <v xml:space="preserve">        </v>
      </c>
      <c r="AM121" s="973" t="str">
        <f>VLOOKUP($AB121,sample!$1:$1048576,12,FALSE)</f>
        <v xml:space="preserve">        </v>
      </c>
      <c r="AN121" s="973" t="str">
        <f>VLOOKUP($AB121,sample!$1:$1048576,13,FALSE)</f>
        <v>BOTKJPJTXXX</v>
      </c>
      <c r="AP121" s="988"/>
    </row>
    <row r="122" spans="1:42" ht="14">
      <c r="A122" s="808">
        <v>201900120</v>
      </c>
      <c r="B122" s="830">
        <v>43699</v>
      </c>
      <c r="C122" s="881" t="s">
        <v>133</v>
      </c>
      <c r="D122" s="1130" t="str">
        <f>IFERROR(VLOOKUP(G122,PosAggregate!$B$13:$B$85,1,FALSE),"")</f>
        <v/>
      </c>
      <c r="E122" s="769" t="s">
        <v>1629</v>
      </c>
      <c r="F122" s="1006" t="str">
        <f t="shared" si="15"/>
        <v/>
      </c>
      <c r="G122" s="558" t="s">
        <v>1618</v>
      </c>
      <c r="H122" s="558"/>
      <c r="I122" s="833" t="s">
        <v>1620</v>
      </c>
      <c r="J122" s="833" t="s">
        <v>2</v>
      </c>
      <c r="K122" s="744">
        <v>6.7412999999999998</v>
      </c>
      <c r="L122" s="834"/>
      <c r="M122" s="835">
        <v>3300</v>
      </c>
      <c r="N122" s="974">
        <f t="shared" si="22"/>
        <v>-22246.29</v>
      </c>
      <c r="O122" s="880">
        <v>-17.8</v>
      </c>
      <c r="P122" s="835"/>
      <c r="Q122" s="835"/>
      <c r="R122" s="978">
        <f t="shared" si="23"/>
        <v>-22264.09</v>
      </c>
      <c r="S122" s="744">
        <v>1</v>
      </c>
      <c r="T122" s="983">
        <f t="shared" si="24"/>
        <v>-22264.09</v>
      </c>
      <c r="U122" s="839">
        <v>43703</v>
      </c>
      <c r="V122" s="594" t="s">
        <v>1183</v>
      </c>
      <c r="W122" s="883">
        <v>43699.44091435185</v>
      </c>
      <c r="X122" s="971">
        <f t="shared" si="25"/>
        <v>8.0013341550433797E-2</v>
      </c>
      <c r="Y122" s="972" t="str">
        <f>VLOOKUP(V122,'bic broker'!$A$1:$B$14,2,FALSE)</f>
        <v>EMSIITM1XXX</v>
      </c>
      <c r="Z122" s="972" t="str">
        <f>VLOOKUP(AA122,'place of settlement'!A:C,2,FALSE)</f>
        <v>DAKVDEFFXXX</v>
      </c>
      <c r="AA122" s="972" t="str">
        <f t="shared" si="26"/>
        <v>DE</v>
      </c>
      <c r="AB122" s="972" t="str">
        <f t="shared" si="27"/>
        <v>EquitaDE</v>
      </c>
      <c r="AC122" s="972" t="str">
        <f>VLOOKUP(AB122,sample!$1:$1048576,2,FALSE)</f>
        <v>EMSIITM1XXX</v>
      </c>
      <c r="AD122" s="972" t="str">
        <f>VLOOKUP($AB122,sample!$1:$1048576,3,FALSE)</f>
        <v>DAKVDEFFXXX</v>
      </c>
      <c r="AE122" s="973" t="str">
        <f>VLOOKUP($AB122,sample!$1:$1048576,4,FALSE)</f>
        <v>DAKV8135000</v>
      </c>
      <c r="AF122" s="972" t="str">
        <f>VLOOKUP($AB122,sample!$1:$1048576,5,FALSE)</f>
        <v>N</v>
      </c>
      <c r="AL122" s="973" t="str">
        <f>VLOOKUP($AB122,sample!$1:$1048576,11,FALSE)</f>
        <v xml:space="preserve">        </v>
      </c>
      <c r="AM122" s="973" t="str">
        <f>VLOOKUP($AB122,sample!$1:$1048576,12,FALSE)</f>
        <v xml:space="preserve">        </v>
      </c>
      <c r="AN122" s="973" t="str">
        <f>VLOOKUP($AB122,sample!$1:$1048576,13,FALSE)</f>
        <v>BCITITMMD03</v>
      </c>
      <c r="AP122" s="988"/>
    </row>
    <row r="123" spans="1:42" ht="14">
      <c r="A123" s="808">
        <v>201900121</v>
      </c>
      <c r="B123" s="830">
        <v>43700</v>
      </c>
      <c r="C123" s="881" t="s">
        <v>133</v>
      </c>
      <c r="D123" s="1130" t="str">
        <f>IFERROR(VLOOKUP(G123,PosAggregate!$B$13:$B$85,1,FALSE),"")</f>
        <v/>
      </c>
      <c r="E123" s="769" t="s">
        <v>1617</v>
      </c>
      <c r="F123" s="1006" t="str">
        <f t="shared" si="15"/>
        <v/>
      </c>
      <c r="G123" s="558" t="s">
        <v>1616</v>
      </c>
      <c r="H123" s="558"/>
      <c r="I123" s="833" t="s">
        <v>1619</v>
      </c>
      <c r="J123" s="833" t="s">
        <v>125</v>
      </c>
      <c r="K123" s="744">
        <v>943.4</v>
      </c>
      <c r="L123" s="834"/>
      <c r="M123" s="835">
        <v>1500</v>
      </c>
      <c r="N123" s="974">
        <f t="shared" si="22"/>
        <v>-1415100</v>
      </c>
      <c r="O123" s="880">
        <v>-1132</v>
      </c>
      <c r="P123" s="835"/>
      <c r="Q123" s="835"/>
      <c r="R123" s="978">
        <f t="shared" si="23"/>
        <v>-1416232</v>
      </c>
      <c r="S123" s="744">
        <v>117.89207812205744</v>
      </c>
      <c r="T123" s="983">
        <f t="shared" si="24"/>
        <v>-12012.953054688965</v>
      </c>
      <c r="U123" s="839">
        <v>43704</v>
      </c>
      <c r="V123" s="594" t="s">
        <v>1183</v>
      </c>
      <c r="W123" s="883">
        <v>43699.441921296297</v>
      </c>
      <c r="X123" s="971">
        <f t="shared" si="25"/>
        <v>7.9994346689279905E-2</v>
      </c>
      <c r="Y123" s="972" t="str">
        <f>VLOOKUP(V123,'bic broker'!$A$1:$B$14,2,FALSE)</f>
        <v>EMSIITM1XXX</v>
      </c>
      <c r="Z123" s="972" t="str">
        <f>VLOOKUP(AA123,'place of settlement'!A:C,2,FALSE)</f>
        <v>JJSDJPJTXXX</v>
      </c>
      <c r="AA123" s="972" t="str">
        <f t="shared" si="26"/>
        <v>JP</v>
      </c>
      <c r="AB123" s="972" t="str">
        <f t="shared" si="27"/>
        <v>EquitaJP</v>
      </c>
      <c r="AC123" s="972" t="str">
        <f>VLOOKUP(AB123,sample!$1:$1048576,2,FALSE)</f>
        <v>BCITITMMXXX</v>
      </c>
      <c r="AD123" s="972" t="str">
        <f>VLOOKUP($AB123,sample!$1:$1048576,3,FALSE)</f>
        <v>JJSDJPJTXXX</v>
      </c>
      <c r="AE123" s="973">
        <f>VLOOKUP($AB123,sample!$1:$1048576,4,FALSE)</f>
        <v>100502629</v>
      </c>
      <c r="AF123" s="972" t="str">
        <f>VLOOKUP($AB123,sample!$1:$1048576,5,FALSE)</f>
        <v>N</v>
      </c>
      <c r="AL123" s="973" t="str">
        <f>VLOOKUP($AB123,sample!$1:$1048576,11,FALSE)</f>
        <v xml:space="preserve">        </v>
      </c>
      <c r="AM123" s="973" t="str">
        <f>VLOOKUP($AB123,sample!$1:$1048576,12,FALSE)</f>
        <v xml:space="preserve">        </v>
      </c>
      <c r="AN123" s="973" t="str">
        <f>VLOOKUP($AB123,sample!$1:$1048576,13,FALSE)</f>
        <v>BOTKJPJTXXX</v>
      </c>
      <c r="AP123" s="988"/>
    </row>
    <row r="124" spans="1:42" ht="14">
      <c r="A124" s="808">
        <v>201900122</v>
      </c>
      <c r="B124" s="830">
        <v>43700</v>
      </c>
      <c r="C124" s="830" t="s">
        <v>133</v>
      </c>
      <c r="D124" s="1130" t="str">
        <f>IFERROR(VLOOKUP(G124,PosAggregate!$B$13:$B$85,1,FALSE),"")</f>
        <v/>
      </c>
      <c r="E124" s="769" t="s">
        <v>1224</v>
      </c>
      <c r="F124" s="1006" t="str">
        <f t="shared" si="15"/>
        <v/>
      </c>
      <c r="G124" s="558" t="s">
        <v>1175</v>
      </c>
      <c r="H124" s="558"/>
      <c r="I124" s="833" t="s">
        <v>1095</v>
      </c>
      <c r="J124" s="833" t="s">
        <v>3</v>
      </c>
      <c r="K124" s="744">
        <v>60.9559</v>
      </c>
      <c r="L124" s="834"/>
      <c r="M124" s="835">
        <v>420</v>
      </c>
      <c r="N124" s="974">
        <f t="shared" si="22"/>
        <v>-25601.477999999999</v>
      </c>
      <c r="O124" s="880">
        <v>-20.48</v>
      </c>
      <c r="P124" s="835"/>
      <c r="Q124" s="835"/>
      <c r="R124" s="978">
        <f t="shared" si="23"/>
        <v>-25621.957999999999</v>
      </c>
      <c r="S124" s="744">
        <v>1.1078000199404003</v>
      </c>
      <c r="T124" s="983">
        <f t="shared" si="24"/>
        <v>-23128.685267019999</v>
      </c>
      <c r="U124" s="839">
        <v>43704</v>
      </c>
      <c r="V124" s="831" t="s">
        <v>1183</v>
      </c>
      <c r="W124" s="883">
        <v>43700.704092361113</v>
      </c>
      <c r="X124" s="971">
        <f t="shared" si="25"/>
        <v>7.9995381516645259E-2</v>
      </c>
      <c r="Y124" s="972" t="str">
        <f>VLOOKUP(V124,'bic broker'!$A$1:$B$14,2,FALSE)</f>
        <v>EMSIITM1XXX</v>
      </c>
      <c r="Z124" s="972" t="str">
        <f>VLOOKUP(AA124,'place of settlement'!A:C,2,FALSE)</f>
        <v>DTCYUS33XXX</v>
      </c>
      <c r="AA124" s="972" t="str">
        <f t="shared" si="26"/>
        <v>US</v>
      </c>
      <c r="AB124" s="972" t="str">
        <f t="shared" si="27"/>
        <v>EquitaUS</v>
      </c>
      <c r="AC124" s="972" t="str">
        <f>VLOOKUP(AB124,sample!$1:$1048576,2,FALSE)</f>
        <v>BCITITMMXXX</v>
      </c>
      <c r="AD124" s="972" t="str">
        <f>VLOOKUP($AB124,sample!$1:$1048576,3,FALSE)</f>
        <v>DTCYUS33XXX</v>
      </c>
      <c r="AE124" s="973">
        <f>VLOOKUP($AB124,sample!$1:$1048576,4,FALSE)</f>
        <v>236707</v>
      </c>
      <c r="AF124" s="972" t="str">
        <f>VLOOKUP($AB124,sample!$1:$1048576,5,FALSE)</f>
        <v>N</v>
      </c>
      <c r="AL124" s="973" t="str">
        <f>VLOOKUP($AB124,sample!$1:$1048576,11,FALSE)</f>
        <v>DTCYID</v>
      </c>
      <c r="AM124" s="973">
        <f>VLOOKUP($AB124,sample!$1:$1048576,12,FALSE)</f>
        <v>908</v>
      </c>
      <c r="AN124" s="973" t="str">
        <f>VLOOKUP($AB124,sample!$1:$1048576,13,FALSE)</f>
        <v xml:space="preserve">        </v>
      </c>
      <c r="AP124" s="988"/>
    </row>
    <row r="125" spans="1:42" ht="14">
      <c r="A125" s="808">
        <v>201900123</v>
      </c>
      <c r="B125" s="830">
        <v>43703</v>
      </c>
      <c r="C125" s="830" t="s">
        <v>133</v>
      </c>
      <c r="D125" s="1130" t="str">
        <f>IFERROR(VLOOKUP(G125,PosAggregate!$B$13:$B$85,1,FALSE),"")</f>
        <v/>
      </c>
      <c r="E125" s="769" t="s">
        <v>1617</v>
      </c>
      <c r="F125" s="1006" t="str">
        <f t="shared" si="15"/>
        <v/>
      </c>
      <c r="G125" s="558" t="s">
        <v>1616</v>
      </c>
      <c r="H125" s="558"/>
      <c r="I125" s="833" t="s">
        <v>1619</v>
      </c>
      <c r="J125" s="833" t="s">
        <v>125</v>
      </c>
      <c r="K125" s="744">
        <v>935.63639999999998</v>
      </c>
      <c r="L125" s="834"/>
      <c r="M125" s="835">
        <v>1100</v>
      </c>
      <c r="N125" s="974">
        <f t="shared" si="22"/>
        <v>-1029200.0399999999</v>
      </c>
      <c r="O125" s="835">
        <v>-823</v>
      </c>
      <c r="P125" s="835"/>
      <c r="Q125" s="835"/>
      <c r="R125" s="978">
        <f t="shared" si="23"/>
        <v>-1030023.0399999999</v>
      </c>
      <c r="S125" s="744">
        <v>117.89207812205744</v>
      </c>
      <c r="T125" s="983">
        <f t="shared" si="24"/>
        <v>-8736.9996051268517</v>
      </c>
      <c r="U125" s="839">
        <v>43705</v>
      </c>
      <c r="V125" s="831" t="s">
        <v>1183</v>
      </c>
      <c r="W125" s="883">
        <v>43700.412138657404</v>
      </c>
      <c r="X125" s="971">
        <f t="shared" si="25"/>
        <v>7.9965018267974419E-2</v>
      </c>
      <c r="Y125" s="972" t="str">
        <f>VLOOKUP(V125,'bic broker'!$A$1:$B$14,2,FALSE)</f>
        <v>EMSIITM1XXX</v>
      </c>
      <c r="Z125" s="972" t="str">
        <f>VLOOKUP(AA125,'place of settlement'!A:C,2,FALSE)</f>
        <v>JJSDJPJTXXX</v>
      </c>
      <c r="AA125" s="972" t="str">
        <f t="shared" si="26"/>
        <v>JP</v>
      </c>
      <c r="AB125" s="972" t="str">
        <f t="shared" si="27"/>
        <v>EquitaJP</v>
      </c>
      <c r="AC125" s="972" t="str">
        <f>VLOOKUP(AB125,sample!$1:$1048576,2,FALSE)</f>
        <v>BCITITMMXXX</v>
      </c>
      <c r="AD125" s="972" t="str">
        <f>VLOOKUP($AB125,sample!$1:$1048576,3,FALSE)</f>
        <v>JJSDJPJTXXX</v>
      </c>
      <c r="AE125" s="973">
        <f>VLOOKUP($AB125,sample!$1:$1048576,4,FALSE)</f>
        <v>100502629</v>
      </c>
      <c r="AF125" s="972" t="str">
        <f>VLOOKUP($AB125,sample!$1:$1048576,5,FALSE)</f>
        <v>N</v>
      </c>
      <c r="AL125" s="973" t="str">
        <f>VLOOKUP($AB125,sample!$1:$1048576,11,FALSE)</f>
        <v xml:space="preserve">        </v>
      </c>
      <c r="AM125" s="973" t="str">
        <f>VLOOKUP($AB125,sample!$1:$1048576,12,FALSE)</f>
        <v xml:space="preserve">        </v>
      </c>
      <c r="AN125" s="973" t="str">
        <f>VLOOKUP($AB125,sample!$1:$1048576,13,FALSE)</f>
        <v>BOTKJPJTXXX</v>
      </c>
      <c r="AP125" s="988"/>
    </row>
    <row r="126" spans="1:42" ht="14">
      <c r="A126" s="808">
        <v>201900124</v>
      </c>
      <c r="B126" s="830">
        <v>43704</v>
      </c>
      <c r="C126" s="830" t="s">
        <v>133</v>
      </c>
      <c r="D126" s="1130" t="str">
        <f>IFERROR(VLOOKUP(G126,PosAggregate!$B$13:$B$85,1,FALSE),"")</f>
        <v/>
      </c>
      <c r="E126" s="769" t="s">
        <v>1617</v>
      </c>
      <c r="F126" s="1006" t="str">
        <f t="shared" si="15"/>
        <v/>
      </c>
      <c r="G126" s="558" t="s">
        <v>1616</v>
      </c>
      <c r="H126" s="558"/>
      <c r="I126" s="833" t="s">
        <v>1619</v>
      </c>
      <c r="J126" s="833" t="s">
        <v>125</v>
      </c>
      <c r="K126" s="744">
        <v>954.5</v>
      </c>
      <c r="L126" s="834"/>
      <c r="M126" s="835">
        <v>200</v>
      </c>
      <c r="N126" s="974">
        <f t="shared" si="22"/>
        <v>-190900</v>
      </c>
      <c r="O126" s="880">
        <v>-151</v>
      </c>
      <c r="P126" s="835"/>
      <c r="Q126" s="835"/>
      <c r="R126" s="978">
        <f t="shared" si="23"/>
        <v>-191051</v>
      </c>
      <c r="S126" s="744">
        <v>117.79331779331774</v>
      </c>
      <c r="T126" s="983">
        <f t="shared" si="24"/>
        <v>-1621.9171306068608</v>
      </c>
      <c r="U126" s="839">
        <v>43706</v>
      </c>
      <c r="V126" s="831" t="s">
        <v>1183</v>
      </c>
      <c r="W126" s="883">
        <v>43704.694224537037</v>
      </c>
      <c r="X126" s="971">
        <f t="shared" si="25"/>
        <v>7.9099004714510215E-2</v>
      </c>
      <c r="Y126" s="972" t="str">
        <f>VLOOKUP(V126,'bic broker'!$A$1:$B$14,2,FALSE)</f>
        <v>EMSIITM1XXX</v>
      </c>
      <c r="Z126" s="972" t="str">
        <f>VLOOKUP(AA126,'place of settlement'!A:C,2,FALSE)</f>
        <v>JJSDJPJTXXX</v>
      </c>
      <c r="AA126" s="972" t="str">
        <f t="shared" si="26"/>
        <v>JP</v>
      </c>
      <c r="AB126" s="972" t="str">
        <f t="shared" si="27"/>
        <v>EquitaJP</v>
      </c>
      <c r="AC126" s="972" t="str">
        <f>VLOOKUP(AB126,sample!$1:$1048576,2,FALSE)</f>
        <v>BCITITMMXXX</v>
      </c>
      <c r="AD126" s="972" t="str">
        <f>VLOOKUP($AB126,sample!$1:$1048576,3,FALSE)</f>
        <v>JJSDJPJTXXX</v>
      </c>
      <c r="AE126" s="973">
        <f>VLOOKUP($AB126,sample!$1:$1048576,4,FALSE)</f>
        <v>100502629</v>
      </c>
      <c r="AF126" s="972" t="str">
        <f>VLOOKUP($AB126,sample!$1:$1048576,5,FALSE)</f>
        <v>N</v>
      </c>
      <c r="AL126" s="973" t="str">
        <f>VLOOKUP($AB126,sample!$1:$1048576,11,FALSE)</f>
        <v xml:space="preserve">        </v>
      </c>
      <c r="AM126" s="973" t="str">
        <f>VLOOKUP($AB126,sample!$1:$1048576,12,FALSE)</f>
        <v xml:space="preserve">        </v>
      </c>
      <c r="AN126" s="973" t="str">
        <f>VLOOKUP($AB126,sample!$1:$1048576,13,FALSE)</f>
        <v>BOTKJPJTXXX</v>
      </c>
      <c r="AP126" s="988"/>
    </row>
    <row r="127" spans="1:42" ht="14">
      <c r="A127" s="808">
        <v>201900125</v>
      </c>
      <c r="B127" s="830">
        <v>43704</v>
      </c>
      <c r="C127" s="830" t="s">
        <v>133</v>
      </c>
      <c r="D127" s="1130" t="str">
        <f>IFERROR(VLOOKUP(G127,PosAggregate!$B$13:$B$85,1,FALSE),"")</f>
        <v/>
      </c>
      <c r="E127" s="769" t="s">
        <v>1631</v>
      </c>
      <c r="F127" s="1006" t="str">
        <f t="shared" si="15"/>
        <v/>
      </c>
      <c r="G127" s="558" t="s">
        <v>1621</v>
      </c>
      <c r="H127" s="558"/>
      <c r="I127" s="832" t="s">
        <v>1622</v>
      </c>
      <c r="J127" s="832" t="s">
        <v>3</v>
      </c>
      <c r="K127" s="878">
        <v>23.111499999999999</v>
      </c>
      <c r="L127" s="879"/>
      <c r="M127" s="880">
        <v>1700</v>
      </c>
      <c r="N127" s="985">
        <f t="shared" si="22"/>
        <v>-39289.549999999996</v>
      </c>
      <c r="O127" s="880">
        <v>-31.43</v>
      </c>
      <c r="P127" s="835"/>
      <c r="Q127" s="835"/>
      <c r="R127" s="978">
        <f t="shared" si="23"/>
        <v>-39320.979999999996</v>
      </c>
      <c r="S127" s="744">
        <v>1.1144047963982437</v>
      </c>
      <c r="T127" s="983">
        <f t="shared" si="24"/>
        <v>-35284.288193199995</v>
      </c>
      <c r="U127" s="839">
        <v>43706</v>
      </c>
      <c r="V127" s="831" t="s">
        <v>1183</v>
      </c>
      <c r="W127" s="883">
        <v>43703.367658912037</v>
      </c>
      <c r="X127" s="971">
        <f t="shared" si="25"/>
        <v>7.9995825862093112E-2</v>
      </c>
      <c r="Y127" s="972" t="str">
        <f>VLOOKUP(V127,'bic broker'!$A$1:$B$14,2,FALSE)</f>
        <v>EMSIITM1XXX</v>
      </c>
      <c r="Z127" s="972" t="str">
        <f>VLOOKUP(AA127,'place of settlement'!A:C,2,FALSE)</f>
        <v>DTCYUS33XXX</v>
      </c>
      <c r="AA127" s="972" t="str">
        <f t="shared" si="26"/>
        <v>US</v>
      </c>
      <c r="AB127" s="972" t="str">
        <f t="shared" si="27"/>
        <v>EquitaUS</v>
      </c>
      <c r="AC127" s="972" t="str">
        <f>VLOOKUP(AB127,sample!$1:$1048576,2,FALSE)</f>
        <v>BCITITMMXXX</v>
      </c>
      <c r="AD127" s="972" t="str">
        <f>VLOOKUP($AB127,sample!$1:$1048576,3,FALSE)</f>
        <v>DTCYUS33XXX</v>
      </c>
      <c r="AE127" s="973">
        <f>VLOOKUP($AB127,sample!$1:$1048576,4,FALSE)</f>
        <v>236707</v>
      </c>
      <c r="AF127" s="972" t="str">
        <f>VLOOKUP($AB127,sample!$1:$1048576,5,FALSE)</f>
        <v>N</v>
      </c>
      <c r="AL127" s="973" t="str">
        <f>VLOOKUP($AB127,sample!$1:$1048576,11,FALSE)</f>
        <v>DTCYID</v>
      </c>
      <c r="AM127" s="973">
        <f>VLOOKUP($AB127,sample!$1:$1048576,12,FALSE)</f>
        <v>908</v>
      </c>
      <c r="AN127" s="973" t="str">
        <f>VLOOKUP($AB127,sample!$1:$1048576,13,FALSE)</f>
        <v xml:space="preserve">        </v>
      </c>
      <c r="AP127" s="988"/>
    </row>
    <row r="128" spans="1:42" ht="14">
      <c r="A128" s="808">
        <v>201900126</v>
      </c>
      <c r="B128" s="830">
        <v>43705</v>
      </c>
      <c r="C128" s="830" t="s">
        <v>133</v>
      </c>
      <c r="D128" s="1130" t="str">
        <f>IFERROR(VLOOKUP(G128,PosAggregate!$B$13:$B$85,1,FALSE),"")</f>
        <v/>
      </c>
      <c r="E128" s="769" t="s">
        <v>1630</v>
      </c>
      <c r="F128" s="1006" t="str">
        <f t="shared" si="15"/>
        <v/>
      </c>
      <c r="G128" s="558" t="s">
        <v>1623</v>
      </c>
      <c r="H128" s="558"/>
      <c r="I128" s="833" t="s">
        <v>1624</v>
      </c>
      <c r="J128" s="833" t="s">
        <v>125</v>
      </c>
      <c r="K128" s="744">
        <v>2545.9908999999998</v>
      </c>
      <c r="L128" s="834"/>
      <c r="M128" s="835">
        <v>1100</v>
      </c>
      <c r="N128" s="974">
        <f t="shared" si="22"/>
        <v>-2800589.9899999998</v>
      </c>
      <c r="O128" s="835">
        <v>-2240</v>
      </c>
      <c r="P128" s="835"/>
      <c r="Q128" s="835"/>
      <c r="R128" s="978">
        <f t="shared" si="23"/>
        <v>-2802829.9899999998</v>
      </c>
      <c r="S128" s="744">
        <v>117.24390325049072</v>
      </c>
      <c r="T128" s="983">
        <f t="shared" si="24"/>
        <v>-23905.976449895006</v>
      </c>
      <c r="U128" s="839">
        <v>43707</v>
      </c>
      <c r="V128" s="831" t="s">
        <v>1183</v>
      </c>
      <c r="W128" s="883">
        <v>43704.955766666666</v>
      </c>
      <c r="X128" s="971">
        <f t="shared" si="25"/>
        <v>7.9983146694029297E-2</v>
      </c>
      <c r="Y128" s="972" t="str">
        <f>VLOOKUP(V128,'bic broker'!$A$1:$B$14,2,FALSE)</f>
        <v>EMSIITM1XXX</v>
      </c>
      <c r="Z128" s="972" t="str">
        <f>VLOOKUP(AA128,'place of settlement'!A:C,2,FALSE)</f>
        <v>JJSDJPJTXXX</v>
      </c>
      <c r="AA128" s="972" t="str">
        <f t="shared" si="26"/>
        <v>JP</v>
      </c>
      <c r="AB128" s="972" t="str">
        <f t="shared" si="27"/>
        <v>EquitaJP</v>
      </c>
      <c r="AC128" s="972" t="str">
        <f>VLOOKUP(AB128,sample!$1:$1048576,2,FALSE)</f>
        <v>BCITITMMXXX</v>
      </c>
      <c r="AD128" s="972" t="str">
        <f>VLOOKUP($AB128,sample!$1:$1048576,3,FALSE)</f>
        <v>JJSDJPJTXXX</v>
      </c>
      <c r="AE128" s="973">
        <f>VLOOKUP($AB128,sample!$1:$1048576,4,FALSE)</f>
        <v>100502629</v>
      </c>
      <c r="AF128" s="972" t="str">
        <f>VLOOKUP($AB128,sample!$1:$1048576,5,FALSE)</f>
        <v>N</v>
      </c>
      <c r="AL128" s="973" t="str">
        <f>VLOOKUP($AB128,sample!$1:$1048576,11,FALSE)</f>
        <v xml:space="preserve">        </v>
      </c>
      <c r="AM128" s="973" t="str">
        <f>VLOOKUP($AB128,sample!$1:$1048576,12,FALSE)</f>
        <v xml:space="preserve">        </v>
      </c>
      <c r="AN128" s="973" t="str">
        <f>VLOOKUP($AB128,sample!$1:$1048576,13,FALSE)</f>
        <v>BOTKJPJTXXX</v>
      </c>
      <c r="AP128" s="988"/>
    </row>
    <row r="129" spans="1:42" ht="14">
      <c r="A129" s="808">
        <v>201900127</v>
      </c>
      <c r="B129" s="830">
        <v>43705</v>
      </c>
      <c r="C129" s="830" t="s">
        <v>134</v>
      </c>
      <c r="D129" s="1130" t="str">
        <f>IFERROR(VLOOKUP(G129,PosAggregate!$B$13:$B$85,1,FALSE),"")</f>
        <v/>
      </c>
      <c r="E129" s="769" t="s">
        <v>1212</v>
      </c>
      <c r="F129" s="1006" t="str">
        <f t="shared" si="15"/>
        <v/>
      </c>
      <c r="G129" s="558" t="s">
        <v>1162</v>
      </c>
      <c r="H129" s="558"/>
      <c r="I129" s="833" t="s">
        <v>1101</v>
      </c>
      <c r="J129" s="833" t="s">
        <v>123</v>
      </c>
      <c r="K129" s="744">
        <v>72383.913</v>
      </c>
      <c r="L129" s="834"/>
      <c r="M129" s="835">
        <v>-690</v>
      </c>
      <c r="N129" s="974">
        <f t="shared" si="22"/>
        <v>49944899.969999999</v>
      </c>
      <c r="O129" s="835">
        <v>-74917</v>
      </c>
      <c r="P129" s="835">
        <v>-124860</v>
      </c>
      <c r="Q129" s="835"/>
      <c r="R129" s="978">
        <f t="shared" si="23"/>
        <v>49745122.969999999</v>
      </c>
      <c r="S129" s="744">
        <v>1343.8245112064858</v>
      </c>
      <c r="T129" s="983">
        <f t="shared" si="24"/>
        <v>37017.573764403824</v>
      </c>
      <c r="U129" s="839">
        <v>43707</v>
      </c>
      <c r="V129" s="831" t="s">
        <v>1184</v>
      </c>
      <c r="W129" s="883"/>
      <c r="X129" s="971">
        <f t="shared" si="25"/>
        <v>-0.14999929931784786</v>
      </c>
      <c r="Y129" s="972" t="e">
        <f>VLOOKUP(V129,'bic broker'!$A$1:$B$14,2,FALSE)</f>
        <v>#N/A</v>
      </c>
      <c r="Z129" s="972" t="str">
        <f>VLOOKUP(AA129,'place of settlement'!A:C,2,FALSE)</f>
        <v>KSDCKRSEXXX</v>
      </c>
      <c r="AA129" s="972" t="str">
        <f t="shared" si="26"/>
        <v>KR</v>
      </c>
      <c r="AB129" s="972" t="str">
        <f t="shared" si="27"/>
        <v>SamsungKR</v>
      </c>
      <c r="AC129" s="972" t="e">
        <f>VLOOKUP(AB129,sample!$1:$1048576,2,FALSE)</f>
        <v>#N/A</v>
      </c>
      <c r="AD129" s="972" t="e">
        <f>VLOOKUP($AB129,sample!$1:$1048576,3,FALSE)</f>
        <v>#N/A</v>
      </c>
      <c r="AE129" s="973" t="e">
        <f>VLOOKUP($AB129,sample!$1:$1048576,4,FALSE)</f>
        <v>#N/A</v>
      </c>
      <c r="AF129" s="972" t="e">
        <f>VLOOKUP($AB129,sample!$1:$1048576,5,FALSE)</f>
        <v>#N/A</v>
      </c>
      <c r="AL129" s="973" t="e">
        <f>VLOOKUP($AB129,sample!$1:$1048576,11,FALSE)</f>
        <v>#N/A</v>
      </c>
      <c r="AM129" s="973" t="e">
        <f>VLOOKUP($AB129,sample!$1:$1048576,12,FALSE)</f>
        <v>#N/A</v>
      </c>
      <c r="AN129" s="973" t="e">
        <f>VLOOKUP($AB129,sample!$1:$1048576,13,FALSE)</f>
        <v>#N/A</v>
      </c>
      <c r="AP129" s="988"/>
    </row>
    <row r="130" spans="1:42" ht="14">
      <c r="A130" s="808">
        <v>201900128</v>
      </c>
      <c r="B130" s="830">
        <v>43706</v>
      </c>
      <c r="C130" s="830" t="s">
        <v>133</v>
      </c>
      <c r="D130" s="1130" t="str">
        <f>IFERROR(VLOOKUP(G130,PosAggregate!$B$13:$B$85,1,FALSE),"")</f>
        <v/>
      </c>
      <c r="E130" s="769" t="s">
        <v>1214</v>
      </c>
      <c r="F130" s="1006" t="str">
        <f t="shared" si="15"/>
        <v/>
      </c>
      <c r="G130" s="558" t="s">
        <v>1165</v>
      </c>
      <c r="H130" s="558"/>
      <c r="I130" s="833" t="s">
        <v>1180</v>
      </c>
      <c r="J130" s="833" t="s">
        <v>2</v>
      </c>
      <c r="K130" s="744">
        <v>36.426900000000003</v>
      </c>
      <c r="L130" s="834"/>
      <c r="M130" s="835">
        <v>420</v>
      </c>
      <c r="N130" s="974">
        <f t="shared" si="22"/>
        <v>-15299.298000000001</v>
      </c>
      <c r="O130" s="835">
        <v>-12.24</v>
      </c>
      <c r="P130" s="835"/>
      <c r="Q130" s="835"/>
      <c r="R130" s="978">
        <f t="shared" si="23"/>
        <v>-15311.538</v>
      </c>
      <c r="S130" s="744">
        <v>1</v>
      </c>
      <c r="T130" s="983">
        <f t="shared" si="24"/>
        <v>-15311.538</v>
      </c>
      <c r="U130" s="839">
        <v>43710</v>
      </c>
      <c r="V130" s="831" t="s">
        <v>1183</v>
      </c>
      <c r="W130" s="883">
        <v>43706.69808321759</v>
      </c>
      <c r="X130" s="971">
        <f t="shared" si="25"/>
        <v>8.0003670756658249E-2</v>
      </c>
      <c r="Y130" s="972" t="str">
        <f>VLOOKUP(V130,'bic broker'!$A$1:$B$14,2,FALSE)</f>
        <v>EMSIITM1XXX</v>
      </c>
      <c r="Z130" s="972" t="str">
        <f>VLOOKUP(AA130,'place of settlement'!A:C,2,FALSE)</f>
        <v>SICVFRPPXXX</v>
      </c>
      <c r="AA130" s="972" t="str">
        <f t="shared" si="26"/>
        <v>FR</v>
      </c>
      <c r="AB130" s="972" t="str">
        <f t="shared" si="27"/>
        <v>EquitaFR</v>
      </c>
      <c r="AC130" s="972" t="str">
        <f>VLOOKUP(AB130,sample!$1:$1048576,2,FALSE)</f>
        <v>EMSIITM1XXX</v>
      </c>
      <c r="AD130" s="972" t="str">
        <f>VLOOKUP($AB130,sample!$1:$1048576,3,FALSE)</f>
        <v>SICVFRPPXXX</v>
      </c>
      <c r="AE130" s="973" t="str">
        <f>VLOOKUP($AB130,sample!$1:$1048576,4,FALSE)</f>
        <v>SICVBCITITMMD00000L10</v>
      </c>
      <c r="AF130" s="972" t="str">
        <f>VLOOKUP($AB130,sample!$1:$1048576,5,FALSE)</f>
        <v>N</v>
      </c>
      <c r="AL130" s="973" t="str">
        <f>VLOOKUP($AB130,sample!$1:$1048576,11,FALSE)</f>
        <v xml:space="preserve">        </v>
      </c>
      <c r="AM130" s="973" t="str">
        <f>VLOOKUP($AB130,sample!$1:$1048576,12,FALSE)</f>
        <v xml:space="preserve">        </v>
      </c>
      <c r="AN130" s="973" t="str">
        <f>VLOOKUP($AB130,sample!$1:$1048576,13,FALSE)</f>
        <v>BCITITMMD00</v>
      </c>
      <c r="AP130" s="988"/>
    </row>
    <row r="131" spans="1:42" ht="14">
      <c r="A131" s="808">
        <v>201900129</v>
      </c>
      <c r="B131" s="830">
        <v>43707</v>
      </c>
      <c r="C131" s="830" t="s">
        <v>133</v>
      </c>
      <c r="D131" s="1130" t="str">
        <f>IFERROR(VLOOKUP(G131,PosAggregate!$B$13:$B$85,1,FALSE),"")</f>
        <v/>
      </c>
      <c r="E131" s="769" t="s">
        <v>1191</v>
      </c>
      <c r="F131" s="1006" t="str">
        <f t="shared" si="15"/>
        <v/>
      </c>
      <c r="G131" s="558" t="s">
        <v>1625</v>
      </c>
      <c r="H131" s="558"/>
      <c r="I131" s="833" t="s">
        <v>1091</v>
      </c>
      <c r="J131" s="833" t="s">
        <v>125</v>
      </c>
      <c r="K131" s="744">
        <v>2705.1505999999999</v>
      </c>
      <c r="L131" s="834"/>
      <c r="M131" s="835">
        <v>1100</v>
      </c>
      <c r="N131" s="974">
        <f t="shared" si="22"/>
        <v>-2975665.66</v>
      </c>
      <c r="O131" s="835">
        <v>-2381</v>
      </c>
      <c r="P131" s="835"/>
      <c r="Q131" s="835"/>
      <c r="R131" s="978">
        <f t="shared" si="23"/>
        <v>-2978046.66</v>
      </c>
      <c r="S131" s="744">
        <v>116.80219780219767</v>
      </c>
      <c r="T131" s="983">
        <f t="shared" si="24"/>
        <v>-25496.495066328</v>
      </c>
      <c r="U131" s="839">
        <v>43711</v>
      </c>
      <c r="V131" s="831" t="s">
        <v>1183</v>
      </c>
      <c r="W131" s="883">
        <v>43709.979146874997</v>
      </c>
      <c r="X131" s="971">
        <f t="shared" si="25"/>
        <v>8.0015709829443671E-2</v>
      </c>
      <c r="Y131" s="972" t="str">
        <f>VLOOKUP(V131,'bic broker'!$A$1:$B$14,2,FALSE)</f>
        <v>EMSIITM1XXX</v>
      </c>
      <c r="Z131" s="972" t="str">
        <f>VLOOKUP(AA131,'place of settlement'!A:C,2,FALSE)</f>
        <v>JJSDJPJTXXX</v>
      </c>
      <c r="AA131" s="972" t="str">
        <f t="shared" si="26"/>
        <v>JP</v>
      </c>
      <c r="AB131" s="972" t="str">
        <f t="shared" si="27"/>
        <v>EquitaJP</v>
      </c>
      <c r="AC131" s="972" t="str">
        <f>VLOOKUP(AB131,sample!$1:$1048576,2,FALSE)</f>
        <v>BCITITMMXXX</v>
      </c>
      <c r="AD131" s="972" t="str">
        <f>VLOOKUP($AB131,sample!$1:$1048576,3,FALSE)</f>
        <v>JJSDJPJTXXX</v>
      </c>
      <c r="AE131" s="973">
        <f>VLOOKUP($AB131,sample!$1:$1048576,4,FALSE)</f>
        <v>100502629</v>
      </c>
      <c r="AF131" s="972" t="str">
        <f>VLOOKUP($AB131,sample!$1:$1048576,5,FALSE)</f>
        <v>N</v>
      </c>
      <c r="AL131" s="973" t="str">
        <f>VLOOKUP($AB131,sample!$1:$1048576,11,FALSE)</f>
        <v xml:space="preserve">        </v>
      </c>
      <c r="AM131" s="973" t="str">
        <f>VLOOKUP($AB131,sample!$1:$1048576,12,FALSE)</f>
        <v xml:space="preserve">        </v>
      </c>
      <c r="AN131" s="973" t="str">
        <f>VLOOKUP($AB131,sample!$1:$1048576,13,FALSE)</f>
        <v>BOTKJPJTXXX</v>
      </c>
      <c r="AP131" s="988"/>
    </row>
    <row r="132" spans="1:42" ht="14">
      <c r="A132" s="808">
        <v>201900130</v>
      </c>
      <c r="B132" s="830">
        <v>43707</v>
      </c>
      <c r="C132" s="830" t="s">
        <v>133</v>
      </c>
      <c r="D132" s="1130" t="str">
        <f>IFERROR(VLOOKUP(G132,PosAggregate!$B$13:$B$85,1,FALSE),"")</f>
        <v/>
      </c>
      <c r="E132" s="769" t="s">
        <v>1193</v>
      </c>
      <c r="F132" s="1006" t="str">
        <f t="shared" si="15"/>
        <v/>
      </c>
      <c r="G132" s="558" t="s">
        <v>1142</v>
      </c>
      <c r="H132" s="558"/>
      <c r="I132" s="833" t="s">
        <v>1087</v>
      </c>
      <c r="J132" s="833" t="s">
        <v>125</v>
      </c>
      <c r="K132" s="744">
        <v>3540.5882000000001</v>
      </c>
      <c r="L132" s="834"/>
      <c r="M132" s="835">
        <v>1100</v>
      </c>
      <c r="N132" s="974">
        <f t="shared" si="22"/>
        <v>-3894647.02</v>
      </c>
      <c r="O132" s="835">
        <v>-3116</v>
      </c>
      <c r="P132" s="835"/>
      <c r="Q132" s="835"/>
      <c r="R132" s="978">
        <f t="shared" si="23"/>
        <v>-3897763.02</v>
      </c>
      <c r="S132" s="744">
        <v>116.80219780219785</v>
      </c>
      <c r="T132" s="983">
        <f t="shared" si="24"/>
        <v>-33370.630804403037</v>
      </c>
      <c r="U132" s="839">
        <v>43711</v>
      </c>
      <c r="V132" s="831" t="s">
        <v>1183</v>
      </c>
      <c r="W132" s="840">
        <v>43709.980881134259</v>
      </c>
      <c r="X132" s="971">
        <f t="shared" si="25"/>
        <v>8.0007250567215707E-2</v>
      </c>
      <c r="Y132" s="972" t="str">
        <f>VLOOKUP(V132,'bic broker'!$A$1:$B$14,2,FALSE)</f>
        <v>EMSIITM1XXX</v>
      </c>
      <c r="Z132" s="972" t="str">
        <f>VLOOKUP(AA132,'place of settlement'!A:C,2,FALSE)</f>
        <v>JJSDJPJTXXX</v>
      </c>
      <c r="AA132" s="972" t="str">
        <f t="shared" si="26"/>
        <v>JP</v>
      </c>
      <c r="AB132" s="972" t="str">
        <f t="shared" si="27"/>
        <v>EquitaJP</v>
      </c>
      <c r="AC132" s="972" t="str">
        <f>VLOOKUP(AB132,sample!$1:$1048576,2,FALSE)</f>
        <v>BCITITMMXXX</v>
      </c>
      <c r="AD132" s="972" t="str">
        <f>VLOOKUP($AB132,sample!$1:$1048576,3,FALSE)</f>
        <v>JJSDJPJTXXX</v>
      </c>
      <c r="AE132" s="973">
        <f>VLOOKUP($AB132,sample!$1:$1048576,4,FALSE)</f>
        <v>100502629</v>
      </c>
      <c r="AF132" s="972" t="str">
        <f>VLOOKUP($AB132,sample!$1:$1048576,5,FALSE)</f>
        <v>N</v>
      </c>
      <c r="AL132" s="973" t="str">
        <f>VLOOKUP($AB132,sample!$1:$1048576,11,FALSE)</f>
        <v xml:space="preserve">        </v>
      </c>
      <c r="AM132" s="973" t="str">
        <f>VLOOKUP($AB132,sample!$1:$1048576,12,FALSE)</f>
        <v xml:space="preserve">        </v>
      </c>
      <c r="AN132" s="973" t="str">
        <f>VLOOKUP($AB132,sample!$1:$1048576,13,FALSE)</f>
        <v>BOTKJPJTXXX</v>
      </c>
      <c r="AP132" s="988"/>
    </row>
    <row r="133" spans="1:42" ht="14">
      <c r="A133" s="808">
        <v>201900131</v>
      </c>
      <c r="B133" s="830">
        <v>43707</v>
      </c>
      <c r="C133" s="830" t="s">
        <v>134</v>
      </c>
      <c r="D133" s="1130" t="str">
        <f>IFERROR(VLOOKUP(G133,PosAggregate!$B$13:$B$85,1,FALSE),"")</f>
        <v/>
      </c>
      <c r="E133" s="769" t="s">
        <v>1192</v>
      </c>
      <c r="F133" s="1006" t="str">
        <f t="shared" si="15"/>
        <v/>
      </c>
      <c r="G133" s="558" t="s">
        <v>1626</v>
      </c>
      <c r="H133" s="558"/>
      <c r="I133" s="833" t="s">
        <v>1097</v>
      </c>
      <c r="J133" s="833" t="s">
        <v>125</v>
      </c>
      <c r="K133" s="744">
        <v>1015.9118</v>
      </c>
      <c r="L133" s="834"/>
      <c r="M133" s="835">
        <v>-8000</v>
      </c>
      <c r="N133" s="974">
        <f t="shared" si="22"/>
        <v>8127294.3999999994</v>
      </c>
      <c r="O133" s="835">
        <v>-6502</v>
      </c>
      <c r="P133" s="835"/>
      <c r="Q133" s="835"/>
      <c r="R133" s="978">
        <f t="shared" si="23"/>
        <v>8120792.3999999994</v>
      </c>
      <c r="S133" s="744">
        <v>116.80219780219775</v>
      </c>
      <c r="T133" s="983">
        <f t="shared" si="24"/>
        <v>69526.023934518787</v>
      </c>
      <c r="U133" s="839">
        <v>43711</v>
      </c>
      <c r="V133" s="831" t="s">
        <v>1183</v>
      </c>
      <c r="W133" s="840">
        <v>43710.022547800902</v>
      </c>
      <c r="X133" s="971">
        <f t="shared" si="25"/>
        <v>-8.0002023797735203E-2</v>
      </c>
      <c r="Y133" s="972" t="str">
        <f>VLOOKUP(V133,'bic broker'!$A$1:$B$14,2,FALSE)</f>
        <v>EMSIITM1XXX</v>
      </c>
      <c r="Z133" s="972" t="str">
        <f>VLOOKUP(AA133,'place of settlement'!A:C,2,FALSE)</f>
        <v>JJSDJPJTXXX</v>
      </c>
      <c r="AA133" s="972" t="str">
        <f t="shared" si="26"/>
        <v>JP</v>
      </c>
      <c r="AB133" s="972" t="str">
        <f t="shared" si="27"/>
        <v>EquitaJP</v>
      </c>
      <c r="AC133" s="972" t="str">
        <f>VLOOKUP(AB133,sample!$1:$1048576,2,FALSE)</f>
        <v>BCITITMMXXX</v>
      </c>
      <c r="AD133" s="972" t="str">
        <f>VLOOKUP($AB133,sample!$1:$1048576,3,FALSE)</f>
        <v>JJSDJPJTXXX</v>
      </c>
      <c r="AE133" s="973">
        <f>VLOOKUP($AB133,sample!$1:$1048576,4,FALSE)</f>
        <v>100502629</v>
      </c>
      <c r="AF133" s="972" t="str">
        <f>VLOOKUP($AB133,sample!$1:$1048576,5,FALSE)</f>
        <v>N</v>
      </c>
      <c r="AL133" s="973" t="str">
        <f>VLOOKUP($AB133,sample!$1:$1048576,11,FALSE)</f>
        <v xml:space="preserve">        </v>
      </c>
      <c r="AM133" s="973" t="str">
        <f>VLOOKUP($AB133,sample!$1:$1048576,12,FALSE)</f>
        <v xml:space="preserve">        </v>
      </c>
      <c r="AN133" s="973" t="str">
        <f>VLOOKUP($AB133,sample!$1:$1048576,13,FALSE)</f>
        <v>BOTKJPJTXXX</v>
      </c>
      <c r="AP133" s="988"/>
    </row>
    <row r="134" spans="1:42" ht="14">
      <c r="A134" s="808">
        <v>201900132</v>
      </c>
      <c r="B134" s="830">
        <v>43718</v>
      </c>
      <c r="C134" s="830" t="s">
        <v>133</v>
      </c>
      <c r="D134" s="1130" t="str">
        <f>IFERROR(VLOOKUP(G134,PosAggregate!$B$13:$B$85,1,FALSE),"")</f>
        <v/>
      </c>
      <c r="E134" s="769" t="s">
        <v>1227</v>
      </c>
      <c r="F134" s="1006" t="str">
        <f t="shared" si="15"/>
        <v/>
      </c>
      <c r="G134" s="558" t="s">
        <v>1163</v>
      </c>
      <c r="H134" s="558"/>
      <c r="I134" s="833" t="s">
        <v>1092</v>
      </c>
      <c r="J134" s="833" t="s">
        <v>1069</v>
      </c>
      <c r="K134" s="744">
        <v>0.48</v>
      </c>
      <c r="L134" s="834"/>
      <c r="M134" s="835">
        <v>90000</v>
      </c>
      <c r="N134" s="974">
        <f t="shared" si="22"/>
        <v>-43200</v>
      </c>
      <c r="O134" s="880">
        <v>-34.56</v>
      </c>
      <c r="P134" s="835"/>
      <c r="Q134" s="835"/>
      <c r="R134" s="978">
        <f t="shared" si="23"/>
        <v>-43234.559999999998</v>
      </c>
      <c r="S134" s="744">
        <v>1.6099568103743467</v>
      </c>
      <c r="T134" s="983">
        <f t="shared" si="24"/>
        <v>-26854.48436964412</v>
      </c>
      <c r="U134" s="839">
        <v>43721</v>
      </c>
      <c r="V134" s="831" t="s">
        <v>1183</v>
      </c>
      <c r="W134" s="840">
        <v>43717.628078703703</v>
      </c>
      <c r="X134" s="971">
        <f t="shared" si="25"/>
        <v>0.08</v>
      </c>
      <c r="Y134" s="972" t="str">
        <f>VLOOKUP(V134,'bic broker'!$A$1:$B$14,2,FALSE)</f>
        <v>EMSIITM1XXX</v>
      </c>
      <c r="Z134" s="972" t="str">
        <f>VLOOKUP(AA134,'place of settlement'!A:C,2,FALSE)</f>
        <v>CAETAU21XXX</v>
      </c>
      <c r="AA134" s="972" t="str">
        <f t="shared" si="26"/>
        <v>AU</v>
      </c>
      <c r="AB134" s="972" t="str">
        <f t="shared" si="27"/>
        <v>EquitaAU</v>
      </c>
      <c r="AC134" s="972" t="str">
        <f>VLOOKUP(AB134,sample!$1:$1048576,2,FALSE)</f>
        <v>BCITITMMXXX</v>
      </c>
      <c r="AD134" s="972" t="str">
        <f>VLOOKUP($AB134,sample!$1:$1048576,3,FALSE)</f>
        <v>CAETAU21XXX</v>
      </c>
      <c r="AE134" s="973">
        <f>VLOOKUP($AB134,sample!$1:$1048576,4,FALSE)</f>
        <v>2099100983</v>
      </c>
      <c r="AF134" s="972" t="str">
        <f>VLOOKUP($AB134,sample!$1:$1048576,5,FALSE)</f>
        <v>N</v>
      </c>
      <c r="AL134" s="973" t="str">
        <f>VLOOKUP($AB134,sample!$1:$1048576,11,FALSE)</f>
        <v xml:space="preserve">        </v>
      </c>
      <c r="AM134" s="973" t="str">
        <f>VLOOKUP($AB134,sample!$1:$1048576,12,FALSE)</f>
        <v xml:space="preserve">        </v>
      </c>
      <c r="AN134" s="973" t="str">
        <f>VLOOKUP($AB134,sample!$1:$1048576,13,FALSE)</f>
        <v>CITIAU3XXXX</v>
      </c>
      <c r="AP134" s="988"/>
    </row>
    <row r="135" spans="1:42" ht="14">
      <c r="A135" s="808">
        <v>201900133</v>
      </c>
      <c r="B135" s="830">
        <v>43720</v>
      </c>
      <c r="C135" s="830" t="s">
        <v>134</v>
      </c>
      <c r="D135" s="1130" t="str">
        <f>IFERROR(VLOOKUP(G135,PosAggregate!$B$13:$B$85,1,FALSE),"")</f>
        <v/>
      </c>
      <c r="E135" s="769" t="s">
        <v>1216</v>
      </c>
      <c r="F135" s="1006" t="str">
        <f t="shared" si="15"/>
        <v/>
      </c>
      <c r="G135" s="558" t="s">
        <v>1167</v>
      </c>
      <c r="H135" s="558"/>
      <c r="I135" s="833" t="s">
        <v>1061</v>
      </c>
      <c r="J135" s="833" t="s">
        <v>2</v>
      </c>
      <c r="K135" s="744">
        <v>44.3949</v>
      </c>
      <c r="L135" s="834"/>
      <c r="M135" s="835">
        <v>-700</v>
      </c>
      <c r="N135" s="974">
        <f t="shared" si="22"/>
        <v>31076.43</v>
      </c>
      <c r="O135" s="835">
        <v>-24.86</v>
      </c>
      <c r="P135" s="835"/>
      <c r="Q135" s="835"/>
      <c r="R135" s="978">
        <f t="shared" si="23"/>
        <v>31051.57</v>
      </c>
      <c r="S135" s="744">
        <v>1</v>
      </c>
      <c r="T135" s="983">
        <f t="shared" si="24"/>
        <v>31051.57</v>
      </c>
      <c r="U135" s="839">
        <v>43725</v>
      </c>
      <c r="V135" s="831" t="s">
        <v>1183</v>
      </c>
      <c r="W135" s="840">
        <v>43717.621134259258</v>
      </c>
      <c r="X135" s="971">
        <f t="shared" si="25"/>
        <v>-7.9996318753473281E-2</v>
      </c>
      <c r="Y135" s="972" t="str">
        <f>VLOOKUP(V135,'bic broker'!$A$1:$B$14,2,FALSE)</f>
        <v>EMSIITM1XXX</v>
      </c>
      <c r="Z135" s="972" t="str">
        <f>VLOOKUP(AA135,'place of settlement'!A:C,2,FALSE)</f>
        <v>DAKVDEFFXXX</v>
      </c>
      <c r="AA135" s="972" t="str">
        <f t="shared" si="26"/>
        <v>DE</v>
      </c>
      <c r="AB135" s="972" t="str">
        <f t="shared" si="27"/>
        <v>EquitaDE</v>
      </c>
      <c r="AC135" s="972" t="str">
        <f>VLOOKUP(AB135,sample!$1:$1048576,2,FALSE)</f>
        <v>EMSIITM1XXX</v>
      </c>
      <c r="AD135" s="972" t="str">
        <f>VLOOKUP($AB135,sample!$1:$1048576,3,FALSE)</f>
        <v>DAKVDEFFXXX</v>
      </c>
      <c r="AE135" s="973" t="str">
        <f>VLOOKUP($AB135,sample!$1:$1048576,4,FALSE)</f>
        <v>DAKV8135000</v>
      </c>
      <c r="AF135" s="972" t="str">
        <f>VLOOKUP($AB135,sample!$1:$1048576,5,FALSE)</f>
        <v>N</v>
      </c>
      <c r="AL135" s="973" t="str">
        <f>VLOOKUP($AB135,sample!$1:$1048576,11,FALSE)</f>
        <v xml:space="preserve">        </v>
      </c>
      <c r="AM135" s="973" t="str">
        <f>VLOOKUP($AB135,sample!$1:$1048576,12,FALSE)</f>
        <v xml:space="preserve">        </v>
      </c>
      <c r="AN135" s="973" t="str">
        <f>VLOOKUP($AB135,sample!$1:$1048576,13,FALSE)</f>
        <v>BCITITMMD03</v>
      </c>
      <c r="AP135" s="988"/>
    </row>
    <row r="136" spans="1:42" ht="14">
      <c r="A136" s="808">
        <v>201900134</v>
      </c>
      <c r="B136" s="830">
        <v>43755</v>
      </c>
      <c r="C136" s="830" t="s">
        <v>133</v>
      </c>
      <c r="D136" s="1130" t="str">
        <f>IFERROR(VLOOKUP(G136,PosAggregate!$B$13:$B$85,1,FALSE),"")</f>
        <v/>
      </c>
      <c r="E136" s="769" t="s">
        <v>1227</v>
      </c>
      <c r="F136" s="1006" t="str">
        <f t="shared" si="15"/>
        <v/>
      </c>
      <c r="G136" s="558" t="s">
        <v>1163</v>
      </c>
      <c r="H136" s="558"/>
      <c r="I136" s="833" t="s">
        <v>1092</v>
      </c>
      <c r="J136" s="833" t="s">
        <v>1069</v>
      </c>
      <c r="K136" s="878">
        <v>0.45</v>
      </c>
      <c r="L136" s="834"/>
      <c r="M136" s="835">
        <v>70000</v>
      </c>
      <c r="N136" s="974">
        <f t="shared" si="22"/>
        <v>-31500</v>
      </c>
      <c r="O136" s="880">
        <v>-25.2</v>
      </c>
      <c r="P136" s="835"/>
      <c r="Q136" s="835"/>
      <c r="R136" s="978">
        <f t="shared" si="23"/>
        <v>-31525.200000000001</v>
      </c>
      <c r="S136" s="744">
        <v>1.6300716255894638</v>
      </c>
      <c r="T136" s="983">
        <f t="shared" si="24"/>
        <v>-19339.763667501364</v>
      </c>
      <c r="U136" s="839">
        <v>43759</v>
      </c>
      <c r="V136" s="831" t="s">
        <v>1183</v>
      </c>
      <c r="W136" s="840">
        <v>43756.421332986109</v>
      </c>
      <c r="X136" s="971">
        <f t="shared" si="25"/>
        <v>7.9999999999999988E-2</v>
      </c>
      <c r="Y136" s="972" t="str">
        <f>VLOOKUP(V136,'bic broker'!$A$1:$B$14,2,FALSE)</f>
        <v>EMSIITM1XXX</v>
      </c>
      <c r="Z136" s="972" t="str">
        <f>VLOOKUP(AA136,'place of settlement'!A:C,2,FALSE)</f>
        <v>CAETAU21XXX</v>
      </c>
      <c r="AA136" s="972" t="str">
        <f t="shared" si="26"/>
        <v>AU</v>
      </c>
      <c r="AB136" s="972" t="str">
        <f t="shared" si="27"/>
        <v>EquitaAU</v>
      </c>
      <c r="AC136" s="972" t="str">
        <f>VLOOKUP(AB136,sample!$1:$1048576,2,FALSE)</f>
        <v>BCITITMMXXX</v>
      </c>
      <c r="AD136" s="972" t="str">
        <f>VLOOKUP($AB136,sample!$1:$1048576,3,FALSE)</f>
        <v>CAETAU21XXX</v>
      </c>
      <c r="AE136" s="973">
        <f>VLOOKUP($AB136,sample!$1:$1048576,4,FALSE)</f>
        <v>2099100983</v>
      </c>
      <c r="AF136" s="972" t="str">
        <f>VLOOKUP($AB136,sample!$1:$1048576,5,FALSE)</f>
        <v>N</v>
      </c>
      <c r="AL136" s="973" t="str">
        <f>VLOOKUP($AB136,sample!$1:$1048576,11,FALSE)</f>
        <v xml:space="preserve">        </v>
      </c>
      <c r="AM136" s="973" t="str">
        <f>VLOOKUP($AB136,sample!$1:$1048576,12,FALSE)</f>
        <v xml:space="preserve">        </v>
      </c>
      <c r="AN136" s="973" t="str">
        <f>VLOOKUP($AB136,sample!$1:$1048576,13,FALSE)</f>
        <v>CITIAU3XXXX</v>
      </c>
      <c r="AP136" s="988"/>
    </row>
    <row r="137" spans="1:42" ht="14">
      <c r="A137" s="808">
        <v>201900135</v>
      </c>
      <c r="B137" s="830">
        <v>43755</v>
      </c>
      <c r="C137" s="830" t="s">
        <v>133</v>
      </c>
      <c r="D137" s="1130" t="str">
        <f>IFERROR(VLOOKUP(G137,PosAggregate!$B$13:$B$85,1,FALSE),"")</f>
        <v/>
      </c>
      <c r="E137" s="769" t="s">
        <v>1607</v>
      </c>
      <c r="F137" s="1006" t="str">
        <f t="shared" si="15"/>
        <v/>
      </c>
      <c r="G137" s="558" t="s">
        <v>1575</v>
      </c>
      <c r="H137" s="558"/>
      <c r="I137" s="833" t="s">
        <v>1579</v>
      </c>
      <c r="J137" s="833" t="s">
        <v>123</v>
      </c>
      <c r="K137" s="878">
        <v>6298.45</v>
      </c>
      <c r="L137" s="834"/>
      <c r="M137" s="835">
        <v>4300</v>
      </c>
      <c r="N137" s="974">
        <f t="shared" si="22"/>
        <v>-27083335</v>
      </c>
      <c r="O137" s="880">
        <v>-40625</v>
      </c>
      <c r="P137" s="835"/>
      <c r="Q137" s="835"/>
      <c r="R137" s="978">
        <f t="shared" si="23"/>
        <v>-27123960</v>
      </c>
      <c r="S137" s="744">
        <v>1310.8372631016996</v>
      </c>
      <c r="T137" s="983">
        <f t="shared" si="24"/>
        <v>-20692.087998642455</v>
      </c>
      <c r="U137" s="839">
        <v>43759</v>
      </c>
      <c r="V137" s="831" t="s">
        <v>1184</v>
      </c>
      <c r="W137" s="840">
        <v>43756.422031481481</v>
      </c>
      <c r="X137" s="971">
        <f t="shared" si="25"/>
        <v>0.14999999076923135</v>
      </c>
      <c r="Y137" s="972" t="e">
        <f>VLOOKUP(V137,'bic broker'!$A$1:$B$14,2,FALSE)</f>
        <v>#N/A</v>
      </c>
      <c r="Z137" s="972" t="str">
        <f>VLOOKUP(AA137,'place of settlement'!A:C,2,FALSE)</f>
        <v>KSDCKRSEXXX</v>
      </c>
      <c r="AA137" s="972" t="str">
        <f t="shared" si="26"/>
        <v>KR</v>
      </c>
      <c r="AB137" s="972" t="str">
        <f t="shared" si="27"/>
        <v>SamsungKR</v>
      </c>
      <c r="AC137" s="972" t="e">
        <f>VLOOKUP(AB137,sample!$1:$1048576,2,FALSE)</f>
        <v>#N/A</v>
      </c>
      <c r="AD137" s="972" t="e">
        <f>VLOOKUP($AB137,sample!$1:$1048576,3,FALSE)</f>
        <v>#N/A</v>
      </c>
      <c r="AE137" s="973" t="e">
        <f>VLOOKUP($AB137,sample!$1:$1048576,4,FALSE)</f>
        <v>#N/A</v>
      </c>
      <c r="AF137" s="972" t="e">
        <f>VLOOKUP($AB137,sample!$1:$1048576,5,FALSE)</f>
        <v>#N/A</v>
      </c>
      <c r="AL137" s="973" t="e">
        <f>VLOOKUP($AB137,sample!$1:$1048576,11,FALSE)</f>
        <v>#N/A</v>
      </c>
      <c r="AM137" s="973" t="e">
        <f>VLOOKUP($AB137,sample!$1:$1048576,12,FALSE)</f>
        <v>#N/A</v>
      </c>
      <c r="AN137" s="973" t="e">
        <f>VLOOKUP($AB137,sample!$1:$1048576,13,FALSE)</f>
        <v>#N/A</v>
      </c>
      <c r="AP137" s="988"/>
    </row>
    <row r="138" spans="1:42" ht="14">
      <c r="A138" s="808">
        <v>201900136</v>
      </c>
      <c r="B138" s="830">
        <v>43756</v>
      </c>
      <c r="C138" s="830" t="s">
        <v>133</v>
      </c>
      <c r="D138" s="1130" t="str">
        <f>IFERROR(VLOOKUP(G138,PosAggregate!$B$13:$B$85,1,FALSE),"")</f>
        <v/>
      </c>
      <c r="E138" s="769" t="s">
        <v>1222</v>
      </c>
      <c r="F138" s="1006" t="str">
        <f t="shared" si="15"/>
        <v/>
      </c>
      <c r="G138" s="558" t="s">
        <v>1173</v>
      </c>
      <c r="H138" s="558"/>
      <c r="I138" s="833" t="s">
        <v>130</v>
      </c>
      <c r="J138" s="833" t="s">
        <v>2</v>
      </c>
      <c r="K138" s="878">
        <v>48.424050000000001</v>
      </c>
      <c r="L138" s="834"/>
      <c r="M138" s="835">
        <v>550</v>
      </c>
      <c r="N138" s="974">
        <f t="shared" si="22"/>
        <v>-26633.227500000001</v>
      </c>
      <c r="O138" s="880">
        <v>-15.98</v>
      </c>
      <c r="P138" s="835">
        <v>-79.900000000000006</v>
      </c>
      <c r="Q138" s="835"/>
      <c r="R138" s="978">
        <f t="shared" si="23"/>
        <v>-26729.107500000002</v>
      </c>
      <c r="S138" s="744">
        <v>1</v>
      </c>
      <c r="T138" s="983">
        <f t="shared" si="24"/>
        <v>-26729.107500000002</v>
      </c>
      <c r="U138" s="839">
        <v>43760</v>
      </c>
      <c r="V138" s="831" t="s">
        <v>1628</v>
      </c>
      <c r="W138" s="840">
        <v>43756.426748148151</v>
      </c>
      <c r="X138" s="971">
        <f t="shared" si="25"/>
        <v>6.000023842397622E-2</v>
      </c>
      <c r="Y138" s="972" t="str">
        <f>VLOOKUP(V138,'bic broker'!$A$1:$B$14,2,FALSE)</f>
        <v>TAVSGB21XXX</v>
      </c>
      <c r="Z138" s="972" t="str">
        <f>VLOOKUP(AA138,'place of settlement'!A:C,2,FALSE)</f>
        <v>SICVFRPPXXX</v>
      </c>
      <c r="AA138" s="972" t="str">
        <f t="shared" si="26"/>
        <v>FR</v>
      </c>
      <c r="AB138" s="972" t="str">
        <f t="shared" si="27"/>
        <v>TaviraFR</v>
      </c>
      <c r="AC138" s="972" t="e">
        <f>VLOOKUP(AB138,sample!$1:$1048576,2,FALSE)</f>
        <v>#N/A</v>
      </c>
      <c r="AD138" s="972" t="e">
        <f>VLOOKUP($AB138,sample!$1:$1048576,3,FALSE)</f>
        <v>#N/A</v>
      </c>
      <c r="AE138" s="973" t="e">
        <f>VLOOKUP($AB138,sample!$1:$1048576,4,FALSE)</f>
        <v>#N/A</v>
      </c>
      <c r="AF138" s="972" t="e">
        <f>VLOOKUP($AB138,sample!$1:$1048576,5,FALSE)</f>
        <v>#N/A</v>
      </c>
      <c r="AL138" s="973" t="e">
        <f>VLOOKUP($AB138,sample!$1:$1048576,11,FALSE)</f>
        <v>#N/A</v>
      </c>
      <c r="AM138" s="973" t="e">
        <f>VLOOKUP($AB138,sample!$1:$1048576,12,FALSE)</f>
        <v>#N/A</v>
      </c>
      <c r="AN138" s="973" t="e">
        <f>VLOOKUP($AB138,sample!$1:$1048576,13,FALSE)</f>
        <v>#N/A</v>
      </c>
      <c r="AP138" s="988"/>
    </row>
    <row r="139" spans="1:42" ht="14">
      <c r="A139" s="808">
        <v>201900137</v>
      </c>
      <c r="B139" s="830">
        <v>43759</v>
      </c>
      <c r="C139" s="830" t="s">
        <v>133</v>
      </c>
      <c r="D139" s="1130" t="str">
        <f>IFERROR(VLOOKUP(G139,PosAggregate!$B$13:$B$85,1,FALSE),"")</f>
        <v/>
      </c>
      <c r="E139" s="769" t="s">
        <v>1206</v>
      </c>
      <c r="F139" s="1006" t="str">
        <f t="shared" si="15"/>
        <v/>
      </c>
      <c r="G139" s="558" t="s">
        <v>1156</v>
      </c>
      <c r="H139" s="558"/>
      <c r="I139" s="833" t="s">
        <v>1080</v>
      </c>
      <c r="J139" s="833" t="s">
        <v>123</v>
      </c>
      <c r="K139" s="744">
        <v>165748.3333</v>
      </c>
      <c r="L139" s="834"/>
      <c r="M139" s="835">
        <v>600</v>
      </c>
      <c r="N139" s="974">
        <f t="shared" ref="N139:N155" si="28">-K139*M139</f>
        <v>-99448999.980000004</v>
      </c>
      <c r="O139" s="880">
        <v>-59669</v>
      </c>
      <c r="P139" s="835"/>
      <c r="Q139" s="835"/>
      <c r="R139" s="978">
        <f t="shared" si="23"/>
        <v>-99508668.980000004</v>
      </c>
      <c r="S139" s="744">
        <v>1310.8372631016944</v>
      </c>
      <c r="T139" s="983">
        <f t="shared" si="24"/>
        <v>-75912.298025876415</v>
      </c>
      <c r="U139" s="839">
        <v>43761</v>
      </c>
      <c r="V139" s="831" t="s">
        <v>1184</v>
      </c>
      <c r="W139" s="840">
        <v>43756.645654513886</v>
      </c>
      <c r="X139" s="971">
        <f t="shared" si="25"/>
        <v>5.9999597795855078E-2</v>
      </c>
      <c r="Y139" s="972" t="e">
        <f>VLOOKUP(V139,'bic broker'!$A$1:$B$14,2,FALSE)</f>
        <v>#N/A</v>
      </c>
      <c r="Z139" s="972" t="str">
        <f>VLOOKUP(AA139,'place of settlement'!A:C,2,FALSE)</f>
        <v>KSDCKRSEXXX</v>
      </c>
      <c r="AA139" s="972" t="str">
        <f t="shared" si="26"/>
        <v>KR</v>
      </c>
      <c r="AB139" s="972" t="str">
        <f t="shared" si="27"/>
        <v>SamsungKR</v>
      </c>
      <c r="AC139" s="972" t="e">
        <f>VLOOKUP(AB139,sample!$1:$1048576,2,FALSE)</f>
        <v>#N/A</v>
      </c>
      <c r="AD139" s="972" t="e">
        <f>VLOOKUP($AB139,sample!$1:$1048576,3,FALSE)</f>
        <v>#N/A</v>
      </c>
      <c r="AE139" s="973" t="e">
        <f>VLOOKUP($AB139,sample!$1:$1048576,4,FALSE)</f>
        <v>#N/A</v>
      </c>
      <c r="AF139" s="972" t="e">
        <f>VLOOKUP($AB139,sample!$1:$1048576,5,FALSE)</f>
        <v>#N/A</v>
      </c>
      <c r="AL139" s="973" t="e">
        <f>VLOOKUP($AB139,sample!$1:$1048576,11,FALSE)</f>
        <v>#N/A</v>
      </c>
      <c r="AM139" s="973" t="e">
        <f>VLOOKUP($AB139,sample!$1:$1048576,12,FALSE)</f>
        <v>#N/A</v>
      </c>
      <c r="AN139" s="973" t="e">
        <f>VLOOKUP($AB139,sample!$1:$1048576,13,FALSE)</f>
        <v>#N/A</v>
      </c>
      <c r="AP139" s="988"/>
    </row>
    <row r="140" spans="1:42" ht="14">
      <c r="A140" s="808">
        <v>201900138</v>
      </c>
      <c r="B140" s="830">
        <v>43760</v>
      </c>
      <c r="C140" s="830" t="s">
        <v>133</v>
      </c>
      <c r="D140" s="1130" t="str">
        <f>IFERROR(VLOOKUP(G140,PosAggregate!$B$13:$B$87,1,FALSE),"")</f>
        <v/>
      </c>
      <c r="E140" s="769" t="s">
        <v>1214</v>
      </c>
      <c r="F140" s="1006" t="str">
        <f t="shared" ref="F140:F203" si="29">IF(D140=G140,"YES","")</f>
        <v/>
      </c>
      <c r="G140" s="558" t="s">
        <v>1165</v>
      </c>
      <c r="H140" s="558"/>
      <c r="I140" s="833" t="s">
        <v>1180</v>
      </c>
      <c r="J140" s="833" t="s">
        <v>2</v>
      </c>
      <c r="K140" s="744">
        <v>32.761699999999998</v>
      </c>
      <c r="L140" s="834"/>
      <c r="M140" s="835">
        <v>690</v>
      </c>
      <c r="N140" s="974">
        <f t="shared" si="28"/>
        <v>-22605.572999999997</v>
      </c>
      <c r="O140" s="835">
        <v>-18.079999999999998</v>
      </c>
      <c r="P140" s="835">
        <v>-67.819999999999993</v>
      </c>
      <c r="Q140" s="835"/>
      <c r="R140" s="978">
        <f t="shared" si="23"/>
        <v>-22691.472999999998</v>
      </c>
      <c r="S140" s="744">
        <v>1</v>
      </c>
      <c r="T140" s="983">
        <f t="shared" si="24"/>
        <v>-22691.472999999998</v>
      </c>
      <c r="U140" s="839">
        <v>43762</v>
      </c>
      <c r="V140" s="831" t="s">
        <v>1183</v>
      </c>
      <c r="W140" s="840">
        <v>43760.725090856482</v>
      </c>
      <c r="X140" s="971">
        <f t="shared" si="25"/>
        <v>7.9980277429817864E-2</v>
      </c>
      <c r="Y140" s="972" t="str">
        <f>VLOOKUP(V140,'bic broker'!$A$1:$B$14,2,FALSE)</f>
        <v>EMSIITM1XXX</v>
      </c>
      <c r="Z140" s="972" t="str">
        <f>VLOOKUP(AA140,'place of settlement'!A:C,2,FALSE)</f>
        <v>SICVFRPPXXX</v>
      </c>
      <c r="AA140" s="972" t="str">
        <f t="shared" si="26"/>
        <v>FR</v>
      </c>
      <c r="AB140" s="972" t="str">
        <f t="shared" si="27"/>
        <v>EquitaFR</v>
      </c>
      <c r="AC140" s="972" t="str">
        <f>VLOOKUP(AB140,sample!$1:$1048576,2,FALSE)</f>
        <v>EMSIITM1XXX</v>
      </c>
      <c r="AD140" s="972" t="str">
        <f>VLOOKUP($AB140,sample!$1:$1048576,3,FALSE)</f>
        <v>SICVFRPPXXX</v>
      </c>
      <c r="AE140" s="973" t="str">
        <f>VLOOKUP($AB140,sample!$1:$1048576,4,FALSE)</f>
        <v>SICVBCITITMMD00000L10</v>
      </c>
      <c r="AF140" s="972" t="str">
        <f>VLOOKUP($AB140,sample!$1:$1048576,5,FALSE)</f>
        <v>N</v>
      </c>
      <c r="AL140" s="973" t="str">
        <f>VLOOKUP($AB140,sample!$1:$1048576,11,FALSE)</f>
        <v xml:space="preserve">        </v>
      </c>
      <c r="AM140" s="973" t="str">
        <f>VLOOKUP($AB140,sample!$1:$1048576,12,FALSE)</f>
        <v xml:space="preserve">        </v>
      </c>
      <c r="AN140" s="973" t="str">
        <f>VLOOKUP($AB140,sample!$1:$1048576,13,FALSE)</f>
        <v>BCITITMMD00</v>
      </c>
      <c r="AP140" s="988"/>
    </row>
    <row r="141" spans="1:42" ht="14">
      <c r="A141" s="808">
        <v>201900139</v>
      </c>
      <c r="B141" s="830">
        <v>43762</v>
      </c>
      <c r="C141" s="830" t="s">
        <v>134</v>
      </c>
      <c r="D141" s="1130" t="str">
        <f>IFERROR(VLOOKUP(G141,PosAggregate!$B$13:$B$85,1,FALSE),"")</f>
        <v/>
      </c>
      <c r="E141" s="769" t="s">
        <v>1195</v>
      </c>
      <c r="F141" s="1006" t="str">
        <f t="shared" si="29"/>
        <v/>
      </c>
      <c r="G141" s="558" t="s">
        <v>1144</v>
      </c>
      <c r="H141" s="558"/>
      <c r="I141" s="833" t="s">
        <v>1106</v>
      </c>
      <c r="J141" s="833" t="s">
        <v>125</v>
      </c>
      <c r="K141" s="744">
        <v>2387</v>
      </c>
      <c r="L141" s="834"/>
      <c r="M141" s="835">
        <v>-1700</v>
      </c>
      <c r="N141" s="974">
        <f t="shared" si="28"/>
        <v>4057900</v>
      </c>
      <c r="O141" s="835">
        <v>-3246</v>
      </c>
      <c r="P141" s="835"/>
      <c r="Q141" s="835"/>
      <c r="R141" s="978">
        <f t="shared" si="23"/>
        <v>4054654</v>
      </c>
      <c r="S141" s="744">
        <v>120.95042012130651</v>
      </c>
      <c r="T141" s="983">
        <f t="shared" si="24"/>
        <v>33523.273387007743</v>
      </c>
      <c r="U141" s="839">
        <v>43767</v>
      </c>
      <c r="V141" s="831" t="s">
        <v>1183</v>
      </c>
      <c r="W141" s="840"/>
      <c r="X141" s="971">
        <f t="shared" si="25"/>
        <v>-7.9992114147711874E-2</v>
      </c>
      <c r="Y141" s="972" t="str">
        <f>VLOOKUP(V141,'bic broker'!$A$1:$B$14,2,FALSE)</f>
        <v>EMSIITM1XXX</v>
      </c>
      <c r="Z141" s="972" t="str">
        <f>VLOOKUP(AA141,'place of settlement'!A:C,2,FALSE)</f>
        <v>JJSDJPJTXXX</v>
      </c>
      <c r="AA141" s="972" t="str">
        <f t="shared" si="26"/>
        <v>JP</v>
      </c>
      <c r="AB141" s="972" t="str">
        <f t="shared" si="27"/>
        <v>EquitaJP</v>
      </c>
      <c r="AC141" s="972" t="str">
        <f>VLOOKUP(AB141,sample!$1:$1048576,2,FALSE)</f>
        <v>BCITITMMXXX</v>
      </c>
      <c r="AD141" s="972" t="str">
        <f>VLOOKUP($AB141,sample!$1:$1048576,3,FALSE)</f>
        <v>JJSDJPJTXXX</v>
      </c>
      <c r="AE141" s="973">
        <f>VLOOKUP($AB141,sample!$1:$1048576,4,FALSE)</f>
        <v>100502629</v>
      </c>
      <c r="AF141" s="972" t="str">
        <f>VLOOKUP($AB141,sample!$1:$1048576,5,FALSE)</f>
        <v>N</v>
      </c>
      <c r="AL141" s="973" t="str">
        <f>VLOOKUP($AB141,sample!$1:$1048576,11,FALSE)</f>
        <v xml:space="preserve">        </v>
      </c>
      <c r="AM141" s="973" t="str">
        <f>VLOOKUP($AB141,sample!$1:$1048576,12,FALSE)</f>
        <v xml:space="preserve">        </v>
      </c>
      <c r="AN141" s="973" t="str">
        <f>VLOOKUP($AB141,sample!$1:$1048576,13,FALSE)</f>
        <v>BOTKJPJTXXX</v>
      </c>
      <c r="AP141" s="988"/>
    </row>
    <row r="142" spans="1:42" ht="14">
      <c r="A142" s="808">
        <v>201900140</v>
      </c>
      <c r="B142" s="830">
        <v>43762</v>
      </c>
      <c r="C142" s="830" t="s">
        <v>133</v>
      </c>
      <c r="D142" s="1130" t="str">
        <f>IFERROR(VLOOKUP(G142,PosAggregate!$B$13:$B$85,1,FALSE),"")</f>
        <v/>
      </c>
      <c r="E142" s="769" t="s">
        <v>1641</v>
      </c>
      <c r="F142" s="1006" t="str">
        <f t="shared" si="29"/>
        <v/>
      </c>
      <c r="G142" s="558" t="s">
        <v>1633</v>
      </c>
      <c r="H142" s="558"/>
      <c r="I142" s="833" t="s">
        <v>1638</v>
      </c>
      <c r="J142" s="833" t="s">
        <v>3</v>
      </c>
      <c r="K142" s="744">
        <v>9.6992999999999991</v>
      </c>
      <c r="L142" s="834"/>
      <c r="M142" s="835">
        <v>3200</v>
      </c>
      <c r="N142" s="974">
        <f t="shared" si="28"/>
        <v>-31037.759999999998</v>
      </c>
      <c r="O142" s="835">
        <v>24.83</v>
      </c>
      <c r="P142" s="835"/>
      <c r="Q142" s="835"/>
      <c r="R142" s="978">
        <f t="shared" si="23"/>
        <v>-31012.929999999997</v>
      </c>
      <c r="S142" s="744">
        <v>1.1129041233097769</v>
      </c>
      <c r="T142" s="983">
        <f t="shared" si="24"/>
        <v>-27866.668251499996</v>
      </c>
      <c r="U142" s="839">
        <v>43766</v>
      </c>
      <c r="V142" s="831" t="s">
        <v>1183</v>
      </c>
      <c r="W142" s="840">
        <v>43762.697917824073</v>
      </c>
      <c r="X142" s="971">
        <f t="shared" si="25"/>
        <v>-7.9999329848545769E-2</v>
      </c>
      <c r="Y142" s="972" t="str">
        <f>VLOOKUP(V142,'bic broker'!$A$1:$B$14,2,FALSE)</f>
        <v>EMSIITM1XXX</v>
      </c>
      <c r="Z142" s="972" t="str">
        <f>VLOOKUP(AA142,'place of settlement'!A:C,2,FALSE)</f>
        <v>DTCYUS33XXX</v>
      </c>
      <c r="AA142" s="972" t="str">
        <f t="shared" si="26"/>
        <v>US</v>
      </c>
      <c r="AB142" s="972" t="str">
        <f t="shared" si="27"/>
        <v>EquitaUS</v>
      </c>
      <c r="AC142" s="972" t="str">
        <f>VLOOKUP(AB142,sample!$1:$1048576,2,FALSE)</f>
        <v>BCITITMMXXX</v>
      </c>
      <c r="AD142" s="972" t="str">
        <f>VLOOKUP($AB142,sample!$1:$1048576,3,FALSE)</f>
        <v>DTCYUS33XXX</v>
      </c>
      <c r="AE142" s="973">
        <f>VLOOKUP($AB142,sample!$1:$1048576,4,FALSE)</f>
        <v>236707</v>
      </c>
      <c r="AF142" s="972" t="str">
        <f>VLOOKUP($AB142,sample!$1:$1048576,5,FALSE)</f>
        <v>N</v>
      </c>
      <c r="AL142" s="973" t="str">
        <f>VLOOKUP($AB142,sample!$1:$1048576,11,FALSE)</f>
        <v>DTCYID</v>
      </c>
      <c r="AM142" s="973">
        <f>VLOOKUP($AB142,sample!$1:$1048576,12,FALSE)</f>
        <v>908</v>
      </c>
      <c r="AN142" s="973" t="str">
        <f>VLOOKUP($AB142,sample!$1:$1048576,13,FALSE)</f>
        <v xml:space="preserve">        </v>
      </c>
      <c r="AP142" s="988"/>
    </row>
    <row r="143" spans="1:42" ht="14">
      <c r="A143" s="808">
        <v>201900141</v>
      </c>
      <c r="B143" s="830">
        <v>43762</v>
      </c>
      <c r="C143" s="830" t="s">
        <v>133</v>
      </c>
      <c r="D143" s="1130" t="str">
        <f>IFERROR(VLOOKUP(G143,PosAggregate!$B$13:$B$85,1,FALSE),"")</f>
        <v/>
      </c>
      <c r="E143" s="769" t="s">
        <v>1642</v>
      </c>
      <c r="F143" s="1006" t="str">
        <f t="shared" si="29"/>
        <v/>
      </c>
      <c r="G143" s="558" t="s">
        <v>1634</v>
      </c>
      <c r="H143" s="558"/>
      <c r="I143" s="833" t="s">
        <v>1639</v>
      </c>
      <c r="J143" s="833" t="s">
        <v>1069</v>
      </c>
      <c r="K143" s="744">
        <v>0.28289999999999998</v>
      </c>
      <c r="L143" s="834"/>
      <c r="M143" s="835">
        <v>150000</v>
      </c>
      <c r="N143" s="974">
        <f t="shared" si="28"/>
        <v>-42435</v>
      </c>
      <c r="O143" s="835">
        <v>-33.950000000000003</v>
      </c>
      <c r="P143" s="835"/>
      <c r="Q143" s="835"/>
      <c r="R143" s="978">
        <f t="shared" si="23"/>
        <v>-42468.95</v>
      </c>
      <c r="S143" s="744">
        <v>1.6239608257748599</v>
      </c>
      <c r="T143" s="983">
        <f t="shared" si="24"/>
        <v>-26151.462107921401</v>
      </c>
      <c r="U143" s="839">
        <v>43767</v>
      </c>
      <c r="V143" s="831" t="s">
        <v>1183</v>
      </c>
      <c r="W143" s="840">
        <v>43762.710692245368</v>
      </c>
      <c r="X143" s="971">
        <f t="shared" si="25"/>
        <v>8.0004713090609178E-2</v>
      </c>
      <c r="Y143" s="972" t="str">
        <f>VLOOKUP(V143,'bic broker'!$A$1:$B$14,2,FALSE)</f>
        <v>EMSIITM1XXX</v>
      </c>
      <c r="Z143" s="972" t="str">
        <f>VLOOKUP(AA143,'place of settlement'!A:C,2,FALSE)</f>
        <v>CAETAU21XXX</v>
      </c>
      <c r="AA143" s="972" t="str">
        <f t="shared" si="26"/>
        <v>AU</v>
      </c>
      <c r="AB143" s="972" t="str">
        <f t="shared" si="27"/>
        <v>EquitaAU</v>
      </c>
      <c r="AC143" s="972" t="str">
        <f>VLOOKUP(AB143,sample!$1:$1048576,2,FALSE)</f>
        <v>BCITITMMXXX</v>
      </c>
      <c r="AD143" s="972" t="str">
        <f>VLOOKUP($AB143,sample!$1:$1048576,3,FALSE)</f>
        <v>CAETAU21XXX</v>
      </c>
      <c r="AE143" s="973">
        <f>VLOOKUP($AB143,sample!$1:$1048576,4,FALSE)</f>
        <v>2099100983</v>
      </c>
      <c r="AF143" s="972" t="str">
        <f>VLOOKUP($AB143,sample!$1:$1048576,5,FALSE)</f>
        <v>N</v>
      </c>
      <c r="AL143" s="973" t="str">
        <f>VLOOKUP($AB143,sample!$1:$1048576,11,FALSE)</f>
        <v xml:space="preserve">        </v>
      </c>
      <c r="AM143" s="973" t="str">
        <f>VLOOKUP($AB143,sample!$1:$1048576,12,FALSE)</f>
        <v xml:space="preserve">        </v>
      </c>
      <c r="AN143" s="973" t="str">
        <f>VLOOKUP($AB143,sample!$1:$1048576,13,FALSE)</f>
        <v>CITIAU3XXXX</v>
      </c>
      <c r="AP143" s="988"/>
    </row>
    <row r="144" spans="1:42" ht="14">
      <c r="A144" s="808">
        <v>201900142</v>
      </c>
      <c r="B144" s="830">
        <v>43762</v>
      </c>
      <c r="C144" s="830" t="s">
        <v>134</v>
      </c>
      <c r="D144" s="1130" t="str">
        <f>IFERROR(VLOOKUP(G144,PosAggregate!$B$13:$B$85,1,FALSE),"")</f>
        <v/>
      </c>
      <c r="E144" s="769" t="s">
        <v>1202</v>
      </c>
      <c r="F144" s="1006" t="str">
        <f t="shared" si="29"/>
        <v/>
      </c>
      <c r="G144" s="558" t="s">
        <v>1151</v>
      </c>
      <c r="H144" s="558"/>
      <c r="I144" s="833" t="s">
        <v>1105</v>
      </c>
      <c r="J144" s="833" t="s">
        <v>125</v>
      </c>
      <c r="K144" s="744">
        <v>10690</v>
      </c>
      <c r="L144" s="834"/>
      <c r="M144" s="835">
        <v>-600</v>
      </c>
      <c r="N144" s="974">
        <f t="shared" si="28"/>
        <v>6414000</v>
      </c>
      <c r="O144" s="835">
        <v>-5131</v>
      </c>
      <c r="P144" s="835"/>
      <c r="Q144" s="835"/>
      <c r="R144" s="978">
        <f t="shared" si="23"/>
        <v>6408869</v>
      </c>
      <c r="S144" s="744">
        <v>120.95042012130651</v>
      </c>
      <c r="T144" s="983">
        <f t="shared" si="24"/>
        <v>52987.571217795383</v>
      </c>
      <c r="U144" s="839">
        <v>43767</v>
      </c>
      <c r="V144" s="831" t="s">
        <v>1183</v>
      </c>
      <c r="W144" s="840"/>
      <c r="X144" s="971">
        <f t="shared" si="25"/>
        <v>-7.9996881821016524E-2</v>
      </c>
      <c r="Y144" s="972" t="str">
        <f>VLOOKUP(V144,'bic broker'!$A$1:$B$14,2,FALSE)</f>
        <v>EMSIITM1XXX</v>
      </c>
      <c r="Z144" s="972" t="str">
        <f>VLOOKUP(AA144,'place of settlement'!A:C,2,FALSE)</f>
        <v>JJSDJPJTXXX</v>
      </c>
      <c r="AA144" s="972" t="str">
        <f t="shared" si="26"/>
        <v>JP</v>
      </c>
      <c r="AB144" s="972" t="str">
        <f t="shared" si="27"/>
        <v>EquitaJP</v>
      </c>
      <c r="AC144" s="972" t="str">
        <f>VLOOKUP(AB144,sample!$1:$1048576,2,FALSE)</f>
        <v>BCITITMMXXX</v>
      </c>
      <c r="AD144" s="972" t="str">
        <f>VLOOKUP($AB144,sample!$1:$1048576,3,FALSE)</f>
        <v>JJSDJPJTXXX</v>
      </c>
      <c r="AE144" s="973">
        <f>VLOOKUP($AB144,sample!$1:$1048576,4,FALSE)</f>
        <v>100502629</v>
      </c>
      <c r="AF144" s="972" t="str">
        <f>VLOOKUP($AB144,sample!$1:$1048576,5,FALSE)</f>
        <v>N</v>
      </c>
      <c r="AL144" s="973" t="str">
        <f>VLOOKUP($AB144,sample!$1:$1048576,11,FALSE)</f>
        <v xml:space="preserve">        </v>
      </c>
      <c r="AM144" s="973" t="str">
        <f>VLOOKUP($AB144,sample!$1:$1048576,12,FALSE)</f>
        <v xml:space="preserve">        </v>
      </c>
      <c r="AN144" s="973" t="str">
        <f>VLOOKUP($AB144,sample!$1:$1048576,13,FALSE)</f>
        <v>BOTKJPJTXXX</v>
      </c>
      <c r="AP144" s="988"/>
    </row>
    <row r="145" spans="1:42" ht="14">
      <c r="A145" s="808">
        <v>201900143</v>
      </c>
      <c r="B145" s="830">
        <v>43762</v>
      </c>
      <c r="C145" s="830" t="s">
        <v>134</v>
      </c>
      <c r="D145" s="1130" t="str">
        <f>IFERROR(VLOOKUP(G145,PosAggregate!$B$13:$B$85,1,FALSE),"")</f>
        <v/>
      </c>
      <c r="E145" s="769" t="s">
        <v>1189</v>
      </c>
      <c r="F145" s="1006" t="str">
        <f t="shared" si="29"/>
        <v/>
      </c>
      <c r="G145" s="558" t="s">
        <v>1584</v>
      </c>
      <c r="H145" s="558"/>
      <c r="I145" s="833" t="s">
        <v>1086</v>
      </c>
      <c r="J145" s="833" t="s">
        <v>125</v>
      </c>
      <c r="K145" s="744">
        <v>3255</v>
      </c>
      <c r="L145" s="834"/>
      <c r="M145" s="835">
        <v>-2000</v>
      </c>
      <c r="N145" s="974">
        <f t="shared" si="28"/>
        <v>6510000</v>
      </c>
      <c r="O145" s="835">
        <v>-5208</v>
      </c>
      <c r="P145" s="835"/>
      <c r="Q145" s="835"/>
      <c r="R145" s="978">
        <f t="shared" si="23"/>
        <v>6504792</v>
      </c>
      <c r="S145" s="744">
        <v>120.95042012130675</v>
      </c>
      <c r="T145" s="983">
        <f t="shared" si="24"/>
        <v>53780.648248067635</v>
      </c>
      <c r="U145" s="839">
        <v>43767</v>
      </c>
      <c r="V145" s="831" t="s">
        <v>1183</v>
      </c>
      <c r="W145" s="840"/>
      <c r="X145" s="971">
        <f t="shared" si="25"/>
        <v>-0.08</v>
      </c>
      <c r="Y145" s="972" t="str">
        <f>VLOOKUP(V145,'bic broker'!$A$1:$B$14,2,FALSE)</f>
        <v>EMSIITM1XXX</v>
      </c>
      <c r="Z145" s="972" t="str">
        <f>VLOOKUP(AA145,'place of settlement'!A:C,2,FALSE)</f>
        <v>JJSDJPJTXXX</v>
      </c>
      <c r="AA145" s="972" t="str">
        <f t="shared" si="26"/>
        <v>JP</v>
      </c>
      <c r="AB145" s="972" t="str">
        <f t="shared" si="27"/>
        <v>EquitaJP</v>
      </c>
      <c r="AC145" s="972" t="str">
        <f>VLOOKUP(AB145,sample!$1:$1048576,2,FALSE)</f>
        <v>BCITITMMXXX</v>
      </c>
      <c r="AD145" s="972" t="str">
        <f>VLOOKUP($AB145,sample!$1:$1048576,3,FALSE)</f>
        <v>JJSDJPJTXXX</v>
      </c>
      <c r="AE145" s="973">
        <f>VLOOKUP($AB145,sample!$1:$1048576,4,FALSE)</f>
        <v>100502629</v>
      </c>
      <c r="AF145" s="972" t="str">
        <f>VLOOKUP($AB145,sample!$1:$1048576,5,FALSE)</f>
        <v>N</v>
      </c>
      <c r="AL145" s="973" t="str">
        <f>VLOOKUP($AB145,sample!$1:$1048576,11,FALSE)</f>
        <v xml:space="preserve">        </v>
      </c>
      <c r="AM145" s="973" t="str">
        <f>VLOOKUP($AB145,sample!$1:$1048576,12,FALSE)</f>
        <v xml:space="preserve">        </v>
      </c>
      <c r="AN145" s="973" t="str">
        <f>VLOOKUP($AB145,sample!$1:$1048576,13,FALSE)</f>
        <v>BOTKJPJTXXX</v>
      </c>
      <c r="AP145" s="988"/>
    </row>
    <row r="146" spans="1:42" ht="14">
      <c r="A146" s="808">
        <v>201900144</v>
      </c>
      <c r="B146" s="830">
        <v>43763</v>
      </c>
      <c r="C146" s="830" t="s">
        <v>133</v>
      </c>
      <c r="D146" s="1130" t="str">
        <f>IFERROR(VLOOKUP(G146,PosAggregate!$B$13:$B$85,1,FALSE),"")</f>
        <v/>
      </c>
      <c r="E146" s="769" t="s">
        <v>1224</v>
      </c>
      <c r="F146" s="1006" t="str">
        <f t="shared" si="29"/>
        <v/>
      </c>
      <c r="G146" s="558" t="s">
        <v>1175</v>
      </c>
      <c r="H146" s="558"/>
      <c r="I146" s="833" t="s">
        <v>1095</v>
      </c>
      <c r="J146" s="833" t="s">
        <v>3</v>
      </c>
      <c r="K146" s="744">
        <v>64.81</v>
      </c>
      <c r="L146" s="834"/>
      <c r="M146" s="835">
        <v>475</v>
      </c>
      <c r="N146" s="974">
        <f t="shared" si="28"/>
        <v>-30784.75</v>
      </c>
      <c r="O146" s="835">
        <v>-64.879099999999994</v>
      </c>
      <c r="P146" s="835"/>
      <c r="Q146" s="835"/>
      <c r="R146" s="978">
        <f t="shared" si="23"/>
        <v>-30849.629099999998</v>
      </c>
      <c r="S146" s="744">
        <v>1.1103955228852518</v>
      </c>
      <c r="T146" s="983">
        <f t="shared" si="24"/>
        <v>-27782.558974877997</v>
      </c>
      <c r="U146" s="839">
        <v>43767</v>
      </c>
      <c r="V146" s="831" t="s">
        <v>1183</v>
      </c>
      <c r="W146" s="840">
        <v>43763.650407986112</v>
      </c>
      <c r="X146" s="971">
        <f t="shared" si="25"/>
        <v>0.21075077757655983</v>
      </c>
      <c r="Y146" s="972" t="str">
        <f>VLOOKUP(V146,'bic broker'!$A$1:$B$14,2,FALSE)</f>
        <v>EMSIITM1XXX</v>
      </c>
      <c r="Z146" s="972" t="str">
        <f>VLOOKUP(AA146,'place of settlement'!A:C,2,FALSE)</f>
        <v>DTCYUS33XXX</v>
      </c>
      <c r="AA146" s="972" t="str">
        <f t="shared" si="26"/>
        <v>US</v>
      </c>
      <c r="AB146" s="972" t="str">
        <f t="shared" si="27"/>
        <v>EquitaUS</v>
      </c>
      <c r="AC146" s="972" t="str">
        <f>VLOOKUP(AB146,sample!$1:$1048576,2,FALSE)</f>
        <v>BCITITMMXXX</v>
      </c>
      <c r="AD146" s="972" t="str">
        <f>VLOOKUP($AB146,sample!$1:$1048576,3,FALSE)</f>
        <v>DTCYUS33XXX</v>
      </c>
      <c r="AE146" s="973">
        <f>VLOOKUP($AB146,sample!$1:$1048576,4,FALSE)</f>
        <v>236707</v>
      </c>
      <c r="AF146" s="972" t="str">
        <f>VLOOKUP($AB146,sample!$1:$1048576,5,FALSE)</f>
        <v>N</v>
      </c>
      <c r="AL146" s="973" t="str">
        <f>VLOOKUP($AB146,sample!$1:$1048576,11,FALSE)</f>
        <v>DTCYID</v>
      </c>
      <c r="AM146" s="973">
        <f>VLOOKUP($AB146,sample!$1:$1048576,12,FALSE)</f>
        <v>908</v>
      </c>
      <c r="AN146" s="973" t="str">
        <f>VLOOKUP($AB146,sample!$1:$1048576,13,FALSE)</f>
        <v xml:space="preserve">        </v>
      </c>
      <c r="AP146" s="988"/>
    </row>
    <row r="147" spans="1:42" ht="14">
      <c r="A147" s="808">
        <v>201900145</v>
      </c>
      <c r="B147" s="830">
        <v>43763</v>
      </c>
      <c r="C147" s="830" t="s">
        <v>134</v>
      </c>
      <c r="D147" s="1130" t="str">
        <f>IFERROR(VLOOKUP(G147,PosAggregate!$B$13:$B$85,1,FALSE),"")</f>
        <v/>
      </c>
      <c r="E147" s="769" t="s">
        <v>1220</v>
      </c>
      <c r="F147" s="1006" t="str">
        <f t="shared" si="29"/>
        <v/>
      </c>
      <c r="G147" s="558" t="s">
        <v>1171</v>
      </c>
      <c r="H147" s="558"/>
      <c r="I147" s="833" t="s">
        <v>1063</v>
      </c>
      <c r="J147" s="833" t="s">
        <v>2</v>
      </c>
      <c r="K147" s="744">
        <v>65.827100000000002</v>
      </c>
      <c r="L147" s="834"/>
      <c r="M147" s="835">
        <v>-900</v>
      </c>
      <c r="N147" s="974">
        <f t="shared" si="28"/>
        <v>59244.39</v>
      </c>
      <c r="O147" s="835">
        <v>-47.4</v>
      </c>
      <c r="P147" s="835"/>
      <c r="Q147" s="835"/>
      <c r="R147" s="978">
        <f t="shared" si="23"/>
        <v>59196.99</v>
      </c>
      <c r="S147" s="744">
        <v>1</v>
      </c>
      <c r="T147" s="983">
        <f t="shared" si="24"/>
        <v>59196.99</v>
      </c>
      <c r="U147" s="839">
        <v>43767</v>
      </c>
      <c r="V147" s="831" t="s">
        <v>1183</v>
      </c>
      <c r="W147" s="840"/>
      <c r="X147" s="971">
        <f t="shared" si="25"/>
        <v>-8.0007575400810105E-2</v>
      </c>
      <c r="Y147" s="972" t="str">
        <f>VLOOKUP(V147,'bic broker'!$A$1:$B$14,2,FALSE)</f>
        <v>EMSIITM1XXX</v>
      </c>
      <c r="Z147" s="972" t="str">
        <f>VLOOKUP(AA147,'place of settlement'!A:C,2,FALSE)</f>
        <v>DAKVDEFFXXX</v>
      </c>
      <c r="AA147" s="972" t="str">
        <f t="shared" si="26"/>
        <v>DE</v>
      </c>
      <c r="AB147" s="972" t="str">
        <f t="shared" si="27"/>
        <v>EquitaDE</v>
      </c>
      <c r="AC147" s="972" t="str">
        <f>VLOOKUP(AB147,sample!$1:$1048576,2,FALSE)</f>
        <v>EMSIITM1XXX</v>
      </c>
      <c r="AD147" s="972" t="str">
        <f>VLOOKUP($AB147,sample!$1:$1048576,3,FALSE)</f>
        <v>DAKVDEFFXXX</v>
      </c>
      <c r="AE147" s="973" t="str">
        <f>VLOOKUP($AB147,sample!$1:$1048576,4,FALSE)</f>
        <v>DAKV8135000</v>
      </c>
      <c r="AF147" s="972" t="str">
        <f>VLOOKUP($AB147,sample!$1:$1048576,5,FALSE)</f>
        <v>N</v>
      </c>
      <c r="AL147" s="973" t="str">
        <f>VLOOKUP($AB147,sample!$1:$1048576,11,FALSE)</f>
        <v xml:space="preserve">        </v>
      </c>
      <c r="AM147" s="973" t="str">
        <f>VLOOKUP($AB147,sample!$1:$1048576,12,FALSE)</f>
        <v xml:space="preserve">        </v>
      </c>
      <c r="AN147" s="973" t="str">
        <f>VLOOKUP($AB147,sample!$1:$1048576,13,FALSE)</f>
        <v>BCITITMMD03</v>
      </c>
      <c r="AP147" s="988"/>
    </row>
    <row r="148" spans="1:42" ht="14">
      <c r="A148" s="808">
        <v>201900146</v>
      </c>
      <c r="B148" s="830">
        <v>43763</v>
      </c>
      <c r="C148" s="830" t="s">
        <v>133</v>
      </c>
      <c r="D148" s="1130" t="str">
        <f>IFERROR(VLOOKUP(G148,PosAggregate!$B$13:$B$85,1,FALSE),"")</f>
        <v/>
      </c>
      <c r="E148" s="769" t="s">
        <v>1643</v>
      </c>
      <c r="F148" s="1006" t="str">
        <f t="shared" si="29"/>
        <v/>
      </c>
      <c r="G148" s="558" t="s">
        <v>1637</v>
      </c>
      <c r="H148" s="558"/>
      <c r="I148" s="833" t="s">
        <v>1636</v>
      </c>
      <c r="J148" s="833" t="s">
        <v>2</v>
      </c>
      <c r="K148" s="744">
        <v>170.82990000000001</v>
      </c>
      <c r="L148" s="834"/>
      <c r="M148" s="835">
        <v>370</v>
      </c>
      <c r="N148" s="974">
        <f t="shared" si="28"/>
        <v>-63207.063000000002</v>
      </c>
      <c r="O148" s="835">
        <v>-50.57</v>
      </c>
      <c r="P148" s="835"/>
      <c r="Q148" s="835"/>
      <c r="R148" s="978">
        <f t="shared" si="23"/>
        <v>-63257.633000000002</v>
      </c>
      <c r="S148" s="744">
        <v>1</v>
      </c>
      <c r="T148" s="983">
        <f t="shared" si="24"/>
        <v>-63257.633000000002</v>
      </c>
      <c r="U148" s="839">
        <v>43767</v>
      </c>
      <c r="V148" s="831" t="s">
        <v>1183</v>
      </c>
      <c r="W148" s="840">
        <v>43763.677882638891</v>
      </c>
      <c r="X148" s="971">
        <f t="shared" si="25"/>
        <v>8.0006881509428779E-2</v>
      </c>
      <c r="Y148" s="972" t="str">
        <f>VLOOKUP(V148,'bic broker'!$A$1:$B$14,2,FALSE)</f>
        <v>EMSIITM1XXX</v>
      </c>
      <c r="Z148" s="972" t="str">
        <f>VLOOKUP(AA148,'place of settlement'!A:C,2,FALSE)</f>
        <v>DAKVDEFFXXX</v>
      </c>
      <c r="AA148" s="972" t="str">
        <f t="shared" si="26"/>
        <v>DE</v>
      </c>
      <c r="AB148" s="972" t="str">
        <f t="shared" si="27"/>
        <v>EquitaDE</v>
      </c>
      <c r="AC148" s="972" t="str">
        <f>VLOOKUP(AB148,sample!$1:$1048576,2,FALSE)</f>
        <v>EMSIITM1XXX</v>
      </c>
      <c r="AD148" s="972" t="str">
        <f>VLOOKUP($AB148,sample!$1:$1048576,3,FALSE)</f>
        <v>DAKVDEFFXXX</v>
      </c>
      <c r="AE148" s="973" t="str">
        <f>VLOOKUP($AB148,sample!$1:$1048576,4,FALSE)</f>
        <v>DAKV8135000</v>
      </c>
      <c r="AF148" s="972" t="str">
        <f>VLOOKUP($AB148,sample!$1:$1048576,5,FALSE)</f>
        <v>N</v>
      </c>
      <c r="AL148" s="973" t="str">
        <f>VLOOKUP($AB148,sample!$1:$1048576,11,FALSE)</f>
        <v xml:space="preserve">        </v>
      </c>
      <c r="AM148" s="973" t="str">
        <f>VLOOKUP($AB148,sample!$1:$1048576,12,FALSE)</f>
        <v xml:space="preserve">        </v>
      </c>
      <c r="AN148" s="973" t="str">
        <f>VLOOKUP($AB148,sample!$1:$1048576,13,FALSE)</f>
        <v>BCITITMMD03</v>
      </c>
      <c r="AP148" s="988"/>
    </row>
    <row r="149" spans="1:42" ht="14">
      <c r="A149" s="808">
        <v>201900147</v>
      </c>
      <c r="B149" s="830">
        <v>43766</v>
      </c>
      <c r="C149" s="830" t="s">
        <v>134</v>
      </c>
      <c r="D149" s="1130" t="str">
        <f>IFERROR(VLOOKUP(G149,PosAggregate!$B$13:$B$85,1,FALSE),"")</f>
        <v/>
      </c>
      <c r="E149" s="769" t="s">
        <v>1604</v>
      </c>
      <c r="F149" s="1006" t="str">
        <f t="shared" si="29"/>
        <v/>
      </c>
      <c r="G149" s="558" t="s">
        <v>1567</v>
      </c>
      <c r="H149" s="558"/>
      <c r="I149" s="833" t="s">
        <v>1577</v>
      </c>
      <c r="J149" s="833" t="s">
        <v>2</v>
      </c>
      <c r="K149" s="886">
        <v>28.058800000000002</v>
      </c>
      <c r="L149" s="834"/>
      <c r="M149" s="835">
        <v>-2220</v>
      </c>
      <c r="N149" s="974">
        <f t="shared" si="28"/>
        <v>62290.536</v>
      </c>
      <c r="O149" s="880">
        <v>-49.83</v>
      </c>
      <c r="P149" s="835"/>
      <c r="Q149" s="835"/>
      <c r="R149" s="978">
        <f t="shared" ref="R149:R155" si="30">SUM(N149:Q149)</f>
        <v>62240.705999999998</v>
      </c>
      <c r="S149" s="744">
        <v>1</v>
      </c>
      <c r="T149" s="983">
        <f t="shared" ref="T149:T155" si="31">+R149/S149</f>
        <v>62240.705999999998</v>
      </c>
      <c r="U149" s="839">
        <v>43768</v>
      </c>
      <c r="V149" s="831" t="s">
        <v>1183</v>
      </c>
      <c r="W149" s="840"/>
      <c r="X149" s="971">
        <f t="shared" ref="X149:X155" si="32">+O149/N149*100</f>
        <v>-7.9996100852302826E-2</v>
      </c>
      <c r="Y149" s="972" t="str">
        <f>VLOOKUP(V149,'bic broker'!$A$1:$B$14,2,FALSE)</f>
        <v>EMSIITM1XXX</v>
      </c>
      <c r="Z149" s="972" t="str">
        <f>VLOOKUP(AA149,'place of settlement'!A:C,2,FALSE)</f>
        <v>DAKVDEFFXXX</v>
      </c>
      <c r="AA149" s="972" t="str">
        <f t="shared" ref="AA149:AA155" si="33">LEFT(E149,2)</f>
        <v>DE</v>
      </c>
      <c r="AB149" s="972" t="str">
        <f t="shared" ref="AB149:AB155" si="34">CONCATENATE(V149,AA149)</f>
        <v>EquitaDE</v>
      </c>
      <c r="AC149" s="972" t="str">
        <f>VLOOKUP(AB149,sample!$1:$1048576,2,FALSE)</f>
        <v>EMSIITM1XXX</v>
      </c>
      <c r="AD149" s="972" t="str">
        <f>VLOOKUP($AB149,sample!$1:$1048576,3,FALSE)</f>
        <v>DAKVDEFFXXX</v>
      </c>
      <c r="AE149" s="973" t="str">
        <f>VLOOKUP($AB149,sample!$1:$1048576,4,FALSE)</f>
        <v>DAKV8135000</v>
      </c>
      <c r="AF149" s="972" t="str">
        <f>VLOOKUP($AB149,sample!$1:$1048576,5,FALSE)</f>
        <v>N</v>
      </c>
      <c r="AL149" s="973" t="str">
        <f>VLOOKUP($AB149,sample!$1:$1048576,11,FALSE)</f>
        <v xml:space="preserve">        </v>
      </c>
      <c r="AM149" s="973" t="str">
        <f>VLOOKUP($AB149,sample!$1:$1048576,12,FALSE)</f>
        <v xml:space="preserve">        </v>
      </c>
      <c r="AN149" s="973" t="str">
        <f>VLOOKUP($AB149,sample!$1:$1048576,13,FALSE)</f>
        <v>BCITITMMD03</v>
      </c>
      <c r="AP149" s="988"/>
    </row>
    <row r="150" spans="1:42" ht="14">
      <c r="A150" s="808">
        <v>201900148</v>
      </c>
      <c r="B150" s="830">
        <v>43769</v>
      </c>
      <c r="C150" s="830" t="s">
        <v>133</v>
      </c>
      <c r="D150" s="1130" t="str">
        <f>IFERROR(VLOOKUP(G150,PosAggregate!$B$13:$B$85,1,FALSE),"")</f>
        <v/>
      </c>
      <c r="E150" s="769" t="s">
        <v>1227</v>
      </c>
      <c r="F150" s="1006" t="str">
        <f t="shared" si="29"/>
        <v/>
      </c>
      <c r="G150" s="558" t="s">
        <v>1163</v>
      </c>
      <c r="H150" s="558"/>
      <c r="I150" s="833" t="s">
        <v>1092</v>
      </c>
      <c r="J150" s="833" t="s">
        <v>1069</v>
      </c>
      <c r="K150" s="744">
        <v>0.40450000000000003</v>
      </c>
      <c r="L150" s="834"/>
      <c r="M150" s="835">
        <v>91000</v>
      </c>
      <c r="N150" s="974">
        <f t="shared" si="28"/>
        <v>-36809.5</v>
      </c>
      <c r="O150" s="835">
        <v>-29.45</v>
      </c>
      <c r="P150" s="835"/>
      <c r="Q150" s="835"/>
      <c r="R150" s="978">
        <f t="shared" si="30"/>
        <v>-36838.949999999997</v>
      </c>
      <c r="S150" s="744">
        <v>1.6151925263650699</v>
      </c>
      <c r="T150" s="983">
        <f t="shared" si="31"/>
        <v>-22807.776409729104</v>
      </c>
      <c r="U150" s="839">
        <v>43774</v>
      </c>
      <c r="V150" s="831" t="s">
        <v>1183</v>
      </c>
      <c r="W150" s="840">
        <v>43769.445779398149</v>
      </c>
      <c r="X150" s="971">
        <f t="shared" si="32"/>
        <v>8.0006520055963815E-2</v>
      </c>
      <c r="Y150" s="972" t="str">
        <f>VLOOKUP(V150,'bic broker'!$A$1:$B$14,2,FALSE)</f>
        <v>EMSIITM1XXX</v>
      </c>
      <c r="Z150" s="972" t="str">
        <f>VLOOKUP(AA150,'place of settlement'!A:C,2,FALSE)</f>
        <v>CAETAU21XXX</v>
      </c>
      <c r="AA150" s="972" t="str">
        <f t="shared" si="33"/>
        <v>AU</v>
      </c>
      <c r="AB150" s="972" t="str">
        <f t="shared" si="34"/>
        <v>EquitaAU</v>
      </c>
      <c r="AC150" s="972" t="str">
        <f>VLOOKUP(AB150,sample!$1:$1048576,2,FALSE)</f>
        <v>BCITITMMXXX</v>
      </c>
      <c r="AD150" s="972" t="str">
        <f>VLOOKUP($AB150,sample!$1:$1048576,3,FALSE)</f>
        <v>CAETAU21XXX</v>
      </c>
      <c r="AE150" s="973">
        <f>VLOOKUP($AB150,sample!$1:$1048576,4,FALSE)</f>
        <v>2099100983</v>
      </c>
      <c r="AF150" s="972" t="str">
        <f>VLOOKUP($AB150,sample!$1:$1048576,5,FALSE)</f>
        <v>N</v>
      </c>
      <c r="AL150" s="973" t="str">
        <f>VLOOKUP($AB150,sample!$1:$1048576,11,FALSE)</f>
        <v xml:space="preserve">        </v>
      </c>
      <c r="AM150" s="973" t="str">
        <f>VLOOKUP($AB150,sample!$1:$1048576,12,FALSE)</f>
        <v xml:space="preserve">        </v>
      </c>
      <c r="AN150" s="973" t="str">
        <f>VLOOKUP($AB150,sample!$1:$1048576,13,FALSE)</f>
        <v>CITIAU3XXXX</v>
      </c>
      <c r="AP150" s="988"/>
    </row>
    <row r="151" spans="1:42" ht="14">
      <c r="A151" s="808">
        <v>201900149</v>
      </c>
      <c r="B151" s="830">
        <v>43770</v>
      </c>
      <c r="C151" s="830" t="s">
        <v>133</v>
      </c>
      <c r="D151" s="1130" t="str">
        <f>IFERROR(VLOOKUP(G151,PosAggregate!$B$13:$B$85,1,FALSE),"")</f>
        <v/>
      </c>
      <c r="E151" s="769" t="s">
        <v>1609</v>
      </c>
      <c r="F151" s="1006" t="str">
        <f t="shared" si="29"/>
        <v/>
      </c>
      <c r="G151" s="558" t="s">
        <v>1582</v>
      </c>
      <c r="H151" s="558"/>
      <c r="I151" s="833" t="s">
        <v>1586</v>
      </c>
      <c r="J151" s="833" t="s">
        <v>3</v>
      </c>
      <c r="K151" s="744">
        <v>17.2302</v>
      </c>
      <c r="L151" s="834"/>
      <c r="M151" s="835">
        <v>1250</v>
      </c>
      <c r="N151" s="974">
        <f t="shared" si="28"/>
        <v>-21537.75</v>
      </c>
      <c r="O151" s="835">
        <v>-17.23</v>
      </c>
      <c r="P151" s="835"/>
      <c r="Q151" s="835"/>
      <c r="R151" s="978">
        <f t="shared" si="30"/>
        <v>-21554.98</v>
      </c>
      <c r="S151" s="744">
        <v>1.1150012265013491</v>
      </c>
      <c r="T151" s="983">
        <f t="shared" si="31"/>
        <v>-19331.7993628</v>
      </c>
      <c r="U151" s="839">
        <v>43774</v>
      </c>
      <c r="V151" s="831" t="s">
        <v>1183</v>
      </c>
      <c r="W151" s="840">
        <v>43770.436891319441</v>
      </c>
      <c r="X151" s="971">
        <f t="shared" si="32"/>
        <v>7.9999071397894403E-2</v>
      </c>
      <c r="Y151" s="972" t="str">
        <f>VLOOKUP(V151,'bic broker'!$A$1:$B$14,2,FALSE)</f>
        <v>EMSIITM1XXX</v>
      </c>
      <c r="Z151" s="972" t="str">
        <f>VLOOKUP(AA151,'place of settlement'!A:C,2,FALSE)</f>
        <v>DTCYUS33XXX</v>
      </c>
      <c r="AA151" s="972" t="str">
        <f t="shared" si="33"/>
        <v>US</v>
      </c>
      <c r="AB151" s="972" t="str">
        <f t="shared" si="34"/>
        <v>EquitaUS</v>
      </c>
      <c r="AC151" s="972" t="str">
        <f>VLOOKUP(AB151,sample!$1:$1048576,2,FALSE)</f>
        <v>BCITITMMXXX</v>
      </c>
      <c r="AD151" s="972" t="str">
        <f>VLOOKUP($AB151,sample!$1:$1048576,3,FALSE)</f>
        <v>DTCYUS33XXX</v>
      </c>
      <c r="AE151" s="973">
        <f>VLOOKUP($AB151,sample!$1:$1048576,4,FALSE)</f>
        <v>236707</v>
      </c>
      <c r="AF151" s="972" t="str">
        <f>VLOOKUP($AB151,sample!$1:$1048576,5,FALSE)</f>
        <v>N</v>
      </c>
      <c r="AL151" s="973" t="str">
        <f>VLOOKUP($AB151,sample!$1:$1048576,11,FALSE)</f>
        <v>DTCYID</v>
      </c>
      <c r="AM151" s="973">
        <f>VLOOKUP($AB151,sample!$1:$1048576,12,FALSE)</f>
        <v>908</v>
      </c>
      <c r="AN151" s="973" t="str">
        <f>VLOOKUP($AB151,sample!$1:$1048576,13,FALSE)</f>
        <v xml:space="preserve">        </v>
      </c>
      <c r="AP151" s="988"/>
    </row>
    <row r="152" spans="1:42" ht="14">
      <c r="A152" s="808">
        <v>201900150</v>
      </c>
      <c r="B152" s="830">
        <v>43774</v>
      </c>
      <c r="C152" s="830" t="s">
        <v>134</v>
      </c>
      <c r="D152" s="1130" t="str">
        <f>IFERROR(VLOOKUP(G152,PosAggregate!$B$13:$B$85,1,FALSE),"")</f>
        <v/>
      </c>
      <c r="E152" s="769" t="s">
        <v>1213</v>
      </c>
      <c r="F152" s="1006" t="str">
        <f t="shared" si="29"/>
        <v/>
      </c>
      <c r="G152" s="558" t="s">
        <v>1164</v>
      </c>
      <c r="H152" s="558"/>
      <c r="I152" s="833" t="s">
        <v>1179</v>
      </c>
      <c r="J152" s="833" t="s">
        <v>2</v>
      </c>
      <c r="K152" s="744">
        <v>39.218000000000004</v>
      </c>
      <c r="L152" s="834"/>
      <c r="M152" s="835">
        <v>-900</v>
      </c>
      <c r="N152" s="974">
        <f t="shared" si="28"/>
        <v>35296.200000000004</v>
      </c>
      <c r="O152" s="835">
        <v>-28.24</v>
      </c>
      <c r="P152" s="835"/>
      <c r="Q152" s="835"/>
      <c r="R152" s="978">
        <f t="shared" si="30"/>
        <v>35267.960000000006</v>
      </c>
      <c r="S152" s="744">
        <v>1</v>
      </c>
      <c r="T152" s="983">
        <f t="shared" si="31"/>
        <v>35267.960000000006</v>
      </c>
      <c r="U152" s="839">
        <v>43776</v>
      </c>
      <c r="V152" s="831" t="s">
        <v>1183</v>
      </c>
      <c r="W152" s="840"/>
      <c r="X152" s="971">
        <f t="shared" si="32"/>
        <v>-8.0008612825176628E-2</v>
      </c>
      <c r="Y152" s="972" t="str">
        <f>VLOOKUP(V152,'bic broker'!$A$1:$B$14,2,FALSE)</f>
        <v>EMSIITM1XXX</v>
      </c>
      <c r="Z152" s="972" t="str">
        <f>VLOOKUP(AA152,'place of settlement'!A:C,2,FALSE)</f>
        <v>CIKBBEBBXXX</v>
      </c>
      <c r="AA152" s="972" t="str">
        <f t="shared" si="33"/>
        <v>BE</v>
      </c>
      <c r="AB152" s="972" t="str">
        <f t="shared" si="34"/>
        <v>EquitaBE</v>
      </c>
      <c r="AC152" s="972" t="str">
        <f>VLOOKUP(AB152,sample!$1:$1048576,2,FALSE)</f>
        <v>EMSIITM1XXX</v>
      </c>
      <c r="AD152" s="972" t="str">
        <f>VLOOKUP($AB152,sample!$1:$1048576,3,FALSE)</f>
        <v>CIKBBEBBXXX</v>
      </c>
      <c r="AE152" s="973" t="str">
        <f>VLOOKUP($AB152,sample!$1:$1048576,4,FALSE)</f>
        <v>CIKBBCITITMMD00000L10</v>
      </c>
      <c r="AF152" s="972" t="str">
        <f>VLOOKUP($AB152,sample!$1:$1048576,5,FALSE)</f>
        <v>N</v>
      </c>
      <c r="AL152" s="973" t="str">
        <f>VLOOKUP($AB152,sample!$1:$1048576,11,FALSE)</f>
        <v xml:space="preserve">        </v>
      </c>
      <c r="AM152" s="973" t="str">
        <f>VLOOKUP($AB152,sample!$1:$1048576,12,FALSE)</f>
        <v xml:space="preserve">        </v>
      </c>
      <c r="AN152" s="973" t="str">
        <f>VLOOKUP($AB152,sample!$1:$1048576,13,FALSE)</f>
        <v>BCITITMMD00</v>
      </c>
      <c r="AP152" s="988"/>
    </row>
    <row r="153" spans="1:42" ht="14">
      <c r="A153" s="808">
        <v>201900151</v>
      </c>
      <c r="B153" s="830">
        <v>43774</v>
      </c>
      <c r="C153" s="830" t="s">
        <v>134</v>
      </c>
      <c r="D153" s="1130" t="str">
        <f>IFERROR(VLOOKUP(G153,PosAggregate!$B$13:$B$85,1,FALSE),"")</f>
        <v/>
      </c>
      <c r="E153" s="769" t="s">
        <v>1202</v>
      </c>
      <c r="F153" s="1006" t="str">
        <f t="shared" si="29"/>
        <v/>
      </c>
      <c r="G153" s="558" t="s">
        <v>1151</v>
      </c>
      <c r="H153" s="558"/>
      <c r="I153" s="833" t="s">
        <v>1105</v>
      </c>
      <c r="J153" s="833" t="s">
        <v>125</v>
      </c>
      <c r="K153" s="744">
        <v>11400</v>
      </c>
      <c r="L153" s="834"/>
      <c r="M153" s="835">
        <v>-900</v>
      </c>
      <c r="N153" s="974">
        <f t="shared" si="28"/>
        <v>10260000</v>
      </c>
      <c r="O153" s="835">
        <v>8208</v>
      </c>
      <c r="P153" s="835"/>
      <c r="Q153" s="835"/>
      <c r="R153" s="978">
        <f t="shared" si="30"/>
        <v>10268208</v>
      </c>
      <c r="S153" s="744">
        <v>120.78326657765905</v>
      </c>
      <c r="T153" s="983">
        <f t="shared" si="31"/>
        <v>85013.498069270485</v>
      </c>
      <c r="U153" s="839">
        <v>43777</v>
      </c>
      <c r="V153" s="831" t="s">
        <v>1183</v>
      </c>
      <c r="W153" s="840"/>
      <c r="X153" s="971">
        <f t="shared" si="32"/>
        <v>0.08</v>
      </c>
      <c r="Y153" s="972" t="str">
        <f>VLOOKUP(V153,'bic broker'!$A$1:$B$14,2,FALSE)</f>
        <v>EMSIITM1XXX</v>
      </c>
      <c r="Z153" s="972" t="str">
        <f>VLOOKUP(AA153,'place of settlement'!A:C,2,FALSE)</f>
        <v>JJSDJPJTXXX</v>
      </c>
      <c r="AA153" s="972" t="str">
        <f t="shared" si="33"/>
        <v>JP</v>
      </c>
      <c r="AB153" s="972" t="str">
        <f t="shared" si="34"/>
        <v>EquitaJP</v>
      </c>
      <c r="AC153" s="972" t="str">
        <f>VLOOKUP(AB153,sample!$1:$1048576,2,FALSE)</f>
        <v>BCITITMMXXX</v>
      </c>
      <c r="AD153" s="972" t="str">
        <f>VLOOKUP($AB153,sample!$1:$1048576,3,FALSE)</f>
        <v>JJSDJPJTXXX</v>
      </c>
      <c r="AE153" s="973">
        <f>VLOOKUP($AB153,sample!$1:$1048576,4,FALSE)</f>
        <v>100502629</v>
      </c>
      <c r="AF153" s="972" t="str">
        <f>VLOOKUP($AB153,sample!$1:$1048576,5,FALSE)</f>
        <v>N</v>
      </c>
      <c r="AL153" s="973" t="str">
        <f>VLOOKUP($AB153,sample!$1:$1048576,11,FALSE)</f>
        <v xml:space="preserve">        </v>
      </c>
      <c r="AM153" s="973" t="str">
        <f>VLOOKUP($AB153,sample!$1:$1048576,12,FALSE)</f>
        <v xml:space="preserve">        </v>
      </c>
      <c r="AN153" s="973" t="str">
        <f>VLOOKUP($AB153,sample!$1:$1048576,13,FALSE)</f>
        <v>BOTKJPJTXXX</v>
      </c>
      <c r="AP153" s="988"/>
    </row>
    <row r="154" spans="1:42" ht="14">
      <c r="A154" s="808">
        <v>201900152</v>
      </c>
      <c r="B154" s="887">
        <v>43796</v>
      </c>
      <c r="C154" s="830" t="s">
        <v>133</v>
      </c>
      <c r="D154" s="1130" t="str">
        <f>IFERROR(VLOOKUP(G154,PosAggregate!$B$13:$B$85,1,FALSE),"")</f>
        <v/>
      </c>
      <c r="E154" s="769" t="s">
        <v>1206</v>
      </c>
      <c r="F154" s="1006" t="str">
        <f t="shared" si="29"/>
        <v/>
      </c>
      <c r="G154" s="558" t="s">
        <v>1156</v>
      </c>
      <c r="H154" s="558"/>
      <c r="I154" s="833" t="s">
        <v>1080</v>
      </c>
      <c r="J154" s="833" t="s">
        <v>123</v>
      </c>
      <c r="K154" s="744">
        <v>168408.92860000001</v>
      </c>
      <c r="L154" s="834"/>
      <c r="M154" s="835">
        <v>280</v>
      </c>
      <c r="N154" s="974">
        <f t="shared" si="28"/>
        <v>-47154500.008000001</v>
      </c>
      <c r="O154" s="880">
        <v>-70732</v>
      </c>
      <c r="P154" s="835"/>
      <c r="Q154" s="835"/>
      <c r="R154" s="978">
        <f t="shared" si="30"/>
        <v>-47225232.008000001</v>
      </c>
      <c r="S154" s="744">
        <v>1291.7116363075659</v>
      </c>
      <c r="T154" s="983">
        <f t="shared" si="31"/>
        <v>-36560.197090889509</v>
      </c>
      <c r="U154" s="839">
        <v>43798</v>
      </c>
      <c r="V154" s="888" t="s">
        <v>1184</v>
      </c>
      <c r="W154" s="840">
        <v>43795.726104629626</v>
      </c>
      <c r="X154" s="971">
        <f t="shared" si="32"/>
        <v>0.15000053014664552</v>
      </c>
      <c r="Y154" s="972" t="e">
        <f>VLOOKUP(V154,'bic broker'!$A$1:$B$14,2,FALSE)</f>
        <v>#N/A</v>
      </c>
      <c r="Z154" s="972" t="str">
        <f>VLOOKUP(AA154,'place of settlement'!A:C,2,FALSE)</f>
        <v>KSDCKRSEXXX</v>
      </c>
      <c r="AA154" s="972" t="str">
        <f t="shared" si="33"/>
        <v>KR</v>
      </c>
      <c r="AB154" s="972" t="str">
        <f t="shared" si="34"/>
        <v>SamsungKR</v>
      </c>
      <c r="AC154" s="972" t="e">
        <f>VLOOKUP(AB154,sample!$1:$1048576,2,FALSE)</f>
        <v>#N/A</v>
      </c>
      <c r="AD154" s="972" t="e">
        <f>VLOOKUP($AB154,sample!$1:$1048576,3,FALSE)</f>
        <v>#N/A</v>
      </c>
      <c r="AE154" s="973" t="e">
        <f>VLOOKUP($AB154,sample!$1:$1048576,4,FALSE)</f>
        <v>#N/A</v>
      </c>
      <c r="AF154" s="972" t="e">
        <f>VLOOKUP($AB154,sample!$1:$1048576,5,FALSE)</f>
        <v>#N/A</v>
      </c>
      <c r="AL154" s="973" t="e">
        <f>VLOOKUP($AB154,sample!$1:$1048576,11,FALSE)</f>
        <v>#N/A</v>
      </c>
      <c r="AM154" s="973" t="e">
        <f>VLOOKUP($AB154,sample!$1:$1048576,12,FALSE)</f>
        <v>#N/A</v>
      </c>
      <c r="AN154" s="973" t="e">
        <f>VLOOKUP($AB154,sample!$1:$1048576,13,FALSE)</f>
        <v>#N/A</v>
      </c>
      <c r="AP154" s="988"/>
    </row>
    <row r="155" spans="1:42" ht="14">
      <c r="A155" s="808">
        <v>201900153</v>
      </c>
      <c r="B155" s="887">
        <v>43796</v>
      </c>
      <c r="C155" s="830" t="s">
        <v>133</v>
      </c>
      <c r="D155" s="1130" t="str">
        <f>IFERROR(VLOOKUP(G155,PosAggregate!$B$13:$B$89,1,FALSE),"")</f>
        <v/>
      </c>
      <c r="E155" s="769" t="s">
        <v>1227</v>
      </c>
      <c r="F155" s="1006" t="str">
        <f t="shared" si="29"/>
        <v/>
      </c>
      <c r="G155" s="558" t="s">
        <v>1163</v>
      </c>
      <c r="H155" s="558"/>
      <c r="I155" s="833" t="s">
        <v>1092</v>
      </c>
      <c r="J155" s="833" t="s">
        <v>1069</v>
      </c>
      <c r="K155" s="744">
        <v>0.37295</v>
      </c>
      <c r="L155" s="834"/>
      <c r="M155" s="835">
        <v>160000</v>
      </c>
      <c r="N155" s="974">
        <f t="shared" si="28"/>
        <v>-59672</v>
      </c>
      <c r="O155" s="880">
        <v>-8.73</v>
      </c>
      <c r="P155" s="835"/>
      <c r="Q155" s="835"/>
      <c r="R155" s="978">
        <f t="shared" si="30"/>
        <v>-59680.73</v>
      </c>
      <c r="S155" s="744">
        <v>1.6250523116230919</v>
      </c>
      <c r="T155" s="983">
        <f t="shared" si="31"/>
        <v>-36725.420820694242</v>
      </c>
      <c r="U155" s="839">
        <v>43798</v>
      </c>
      <c r="V155" s="888" t="s">
        <v>1628</v>
      </c>
      <c r="W155" s="840">
        <v>43795.727863194443</v>
      </c>
      <c r="X155" s="971">
        <f t="shared" si="32"/>
        <v>1.4629977208741119E-2</v>
      </c>
      <c r="Y155" s="972" t="str">
        <f>VLOOKUP(V155,'bic broker'!$A$1:$B$14,2,FALSE)</f>
        <v>TAVSGB21XXX</v>
      </c>
      <c r="Z155" s="972" t="str">
        <f>VLOOKUP(AA155,'place of settlement'!A:C,2,FALSE)</f>
        <v>CAETAU21XXX</v>
      </c>
      <c r="AA155" s="972" t="str">
        <f t="shared" si="33"/>
        <v>AU</v>
      </c>
      <c r="AB155" s="972" t="str">
        <f t="shared" si="34"/>
        <v>TaviraAU</v>
      </c>
      <c r="AC155" s="972" t="e">
        <f>VLOOKUP(AB155,sample!$1:$1048576,2,FALSE)</f>
        <v>#N/A</v>
      </c>
      <c r="AD155" s="972" t="e">
        <f>VLOOKUP($AB155,sample!$1:$1048576,3,FALSE)</f>
        <v>#N/A</v>
      </c>
      <c r="AE155" s="973" t="e">
        <f>VLOOKUP($AB155,sample!$1:$1048576,4,FALSE)</f>
        <v>#N/A</v>
      </c>
      <c r="AF155" s="972" t="e">
        <f>VLOOKUP($AB155,sample!$1:$1048576,5,FALSE)</f>
        <v>#N/A</v>
      </c>
      <c r="AL155" s="973" t="e">
        <f>VLOOKUP($AB155,sample!$1:$1048576,11,FALSE)</f>
        <v>#N/A</v>
      </c>
      <c r="AM155" s="973" t="e">
        <f>VLOOKUP($AB155,sample!$1:$1048576,12,FALSE)</f>
        <v>#N/A</v>
      </c>
      <c r="AN155" s="973" t="e">
        <f>VLOOKUP($AB155,sample!$1:$1048576,13,FALSE)</f>
        <v>#N/A</v>
      </c>
      <c r="AP155" s="988"/>
    </row>
    <row r="156" spans="1:42" s="902" customFormat="1" ht="14">
      <c r="A156" s="889" t="s">
        <v>2035</v>
      </c>
      <c r="B156" s="890">
        <v>43796</v>
      </c>
      <c r="C156" s="891"/>
      <c r="D156" s="1132" t="str">
        <f>IFERROR(VLOOKUP(G156,PosAggregate!$B$13:$B$89,1,FALSE),"")</f>
        <v/>
      </c>
      <c r="E156" s="892" t="s">
        <v>1227</v>
      </c>
      <c r="F156" s="1006" t="str">
        <f t="shared" si="29"/>
        <v/>
      </c>
      <c r="G156" s="893" t="s">
        <v>1163</v>
      </c>
      <c r="H156" s="893"/>
      <c r="I156" s="894"/>
      <c r="J156" s="894"/>
      <c r="K156" s="895"/>
      <c r="L156" s="896"/>
      <c r="M156" s="897">
        <v>11480</v>
      </c>
      <c r="N156" s="836"/>
      <c r="O156" s="898"/>
      <c r="P156" s="897"/>
      <c r="Q156" s="897"/>
      <c r="R156" s="899"/>
      <c r="S156" s="895"/>
      <c r="T156" s="838"/>
      <c r="U156" s="900"/>
      <c r="V156" s="888"/>
      <c r="W156" s="840"/>
      <c r="X156" s="901"/>
      <c r="AE156" s="903"/>
      <c r="AL156" s="903"/>
      <c r="AM156" s="903"/>
      <c r="AN156" s="903"/>
      <c r="AP156" s="988"/>
    </row>
    <row r="157" spans="1:42" ht="14">
      <c r="A157" s="808">
        <v>201900154</v>
      </c>
      <c r="B157" s="887">
        <v>43796</v>
      </c>
      <c r="C157" s="830" t="s">
        <v>133</v>
      </c>
      <c r="D157" s="1130" t="str">
        <f>IFERROR(VLOOKUP(G157,PosAggregate!$B$13:$B$89,1,FALSE),"")</f>
        <v/>
      </c>
      <c r="E157" s="769" t="s">
        <v>1196</v>
      </c>
      <c r="F157" s="1006" t="str">
        <f t="shared" si="29"/>
        <v/>
      </c>
      <c r="G157" s="558" t="s">
        <v>1145</v>
      </c>
      <c r="H157" s="558"/>
      <c r="I157" s="833" t="s">
        <v>1088</v>
      </c>
      <c r="J157" s="833" t="s">
        <v>125</v>
      </c>
      <c r="K157" s="744">
        <v>504</v>
      </c>
      <c r="L157" s="834"/>
      <c r="M157" s="835">
        <v>8900</v>
      </c>
      <c r="N157" s="974">
        <f t="shared" ref="N157:N188" si="35">-K157*M157</f>
        <v>-4485600</v>
      </c>
      <c r="O157" s="880">
        <v>-1346</v>
      </c>
      <c r="P157" s="835"/>
      <c r="Q157" s="835"/>
      <c r="R157" s="978">
        <f t="shared" ref="R157:R188" si="36">SUM(N157:Q157)</f>
        <v>-4486946</v>
      </c>
      <c r="S157" s="744">
        <v>119.93127904671694</v>
      </c>
      <c r="T157" s="983">
        <f t="shared" ref="T157:T188" si="37">+R157/S157</f>
        <v>-37412.641936822802</v>
      </c>
      <c r="U157" s="839">
        <v>43798</v>
      </c>
      <c r="V157" s="888" t="s">
        <v>1628</v>
      </c>
      <c r="W157" s="840">
        <v>43795.728642476854</v>
      </c>
      <c r="X157" s="971">
        <f t="shared" ref="X157:X188" si="38">+O157/N157*100</f>
        <v>3.0007133939718208E-2</v>
      </c>
      <c r="Y157" s="972" t="str">
        <f>VLOOKUP(V157,'bic broker'!$A$1:$B$14,2,FALSE)</f>
        <v>TAVSGB21XXX</v>
      </c>
      <c r="Z157" s="972" t="str">
        <f>VLOOKUP(AA157,'place of settlement'!A:C,2,FALSE)</f>
        <v>JJSDJPJTXXX</v>
      </c>
      <c r="AA157" s="972" t="str">
        <f t="shared" ref="AA157:AA188" si="39">LEFT(E157,2)</f>
        <v>JP</v>
      </c>
      <c r="AB157" s="972" t="str">
        <f t="shared" ref="AB157:AB188" si="40">CONCATENATE(V157,AA157)</f>
        <v>TaviraJP</v>
      </c>
      <c r="AC157" s="972" t="e">
        <f>VLOOKUP(AB157,sample!$1:$1048576,2,FALSE)</f>
        <v>#N/A</v>
      </c>
      <c r="AD157" s="972" t="e">
        <f>VLOOKUP($AB157,sample!$1:$1048576,3,FALSE)</f>
        <v>#N/A</v>
      </c>
      <c r="AE157" s="973" t="e">
        <f>VLOOKUP($AB157,sample!$1:$1048576,4,FALSE)</f>
        <v>#N/A</v>
      </c>
      <c r="AF157" s="972" t="e">
        <f>VLOOKUP($AB157,sample!$1:$1048576,5,FALSE)</f>
        <v>#N/A</v>
      </c>
      <c r="AL157" s="973" t="e">
        <f>VLOOKUP($AB157,sample!$1:$1048576,11,FALSE)</f>
        <v>#N/A</v>
      </c>
      <c r="AM157" s="973" t="e">
        <f>VLOOKUP($AB157,sample!$1:$1048576,12,FALSE)</f>
        <v>#N/A</v>
      </c>
      <c r="AN157" s="973" t="e">
        <f>VLOOKUP($AB157,sample!$1:$1048576,13,FALSE)</f>
        <v>#N/A</v>
      </c>
      <c r="AP157" s="988"/>
    </row>
    <row r="158" spans="1:42" ht="14">
      <c r="A158" s="808">
        <v>201900155</v>
      </c>
      <c r="B158" s="887">
        <v>43796</v>
      </c>
      <c r="C158" s="830" t="s">
        <v>133</v>
      </c>
      <c r="D158" s="1130" t="str">
        <f>IFERROR(VLOOKUP(G158,PosAggregate!$B$13:$B$89,1,FALSE),"")</f>
        <v/>
      </c>
      <c r="E158" s="769" t="s">
        <v>1200</v>
      </c>
      <c r="F158" s="1006" t="str">
        <f t="shared" si="29"/>
        <v/>
      </c>
      <c r="G158" s="558" t="s">
        <v>1149</v>
      </c>
      <c r="H158" s="558"/>
      <c r="I158" s="833" t="s">
        <v>1098</v>
      </c>
      <c r="J158" s="833" t="s">
        <v>125</v>
      </c>
      <c r="K158" s="744">
        <v>2353.1667000000002</v>
      </c>
      <c r="L158" s="834"/>
      <c r="M158" s="835">
        <v>1920</v>
      </c>
      <c r="N158" s="974">
        <f t="shared" si="35"/>
        <v>-4518080.0640000002</v>
      </c>
      <c r="O158" s="880">
        <v>-1355</v>
      </c>
      <c r="P158" s="835"/>
      <c r="Q158" s="835"/>
      <c r="R158" s="978">
        <f t="shared" si="36"/>
        <v>-4519435.0640000002</v>
      </c>
      <c r="S158" s="744">
        <v>119.93127904671688</v>
      </c>
      <c r="T158" s="983">
        <f t="shared" si="37"/>
        <v>-37683.539272849266</v>
      </c>
      <c r="U158" s="839">
        <v>43798</v>
      </c>
      <c r="V158" s="888" t="s">
        <v>1628</v>
      </c>
      <c r="W158" s="840">
        <v>43795.72945810185</v>
      </c>
      <c r="X158" s="971">
        <f t="shared" si="38"/>
        <v>2.9990615057856575E-2</v>
      </c>
      <c r="Y158" s="972" t="str">
        <f>VLOOKUP(V158,'bic broker'!$A$1:$B$14,2,FALSE)</f>
        <v>TAVSGB21XXX</v>
      </c>
      <c r="Z158" s="972" t="str">
        <f>VLOOKUP(AA158,'place of settlement'!A:C,2,FALSE)</f>
        <v>JJSDJPJTXXX</v>
      </c>
      <c r="AA158" s="972" t="str">
        <f t="shared" si="39"/>
        <v>JP</v>
      </c>
      <c r="AB158" s="972" t="str">
        <f t="shared" si="40"/>
        <v>TaviraJP</v>
      </c>
      <c r="AC158" s="972" t="e">
        <f>VLOOKUP(AB158,sample!$1:$1048576,2,FALSE)</f>
        <v>#N/A</v>
      </c>
      <c r="AD158" s="972" t="e">
        <f>VLOOKUP($AB158,sample!$1:$1048576,3,FALSE)</f>
        <v>#N/A</v>
      </c>
      <c r="AE158" s="973" t="e">
        <f>VLOOKUP($AB158,sample!$1:$1048576,4,FALSE)</f>
        <v>#N/A</v>
      </c>
      <c r="AF158" s="972" t="e">
        <f>VLOOKUP($AB158,sample!$1:$1048576,5,FALSE)</f>
        <v>#N/A</v>
      </c>
      <c r="AL158" s="973" t="e">
        <f>VLOOKUP($AB158,sample!$1:$1048576,11,FALSE)</f>
        <v>#N/A</v>
      </c>
      <c r="AM158" s="973" t="e">
        <f>VLOOKUP($AB158,sample!$1:$1048576,12,FALSE)</f>
        <v>#N/A</v>
      </c>
      <c r="AN158" s="973" t="e">
        <f>VLOOKUP($AB158,sample!$1:$1048576,13,FALSE)</f>
        <v>#N/A</v>
      </c>
      <c r="AP158" s="988"/>
    </row>
    <row r="159" spans="1:42" ht="14">
      <c r="A159" s="808">
        <v>201900156</v>
      </c>
      <c r="B159" s="887">
        <v>43796</v>
      </c>
      <c r="C159" s="830" t="s">
        <v>133</v>
      </c>
      <c r="D159" s="1130" t="str">
        <f>IFERROR(VLOOKUP(G159,PosAggregate!$B$13:$B$89,1,FALSE),"")</f>
        <v/>
      </c>
      <c r="E159" s="769" t="s">
        <v>1199</v>
      </c>
      <c r="F159" s="1006" t="str">
        <f t="shared" si="29"/>
        <v/>
      </c>
      <c r="G159" s="558" t="s">
        <v>1148</v>
      </c>
      <c r="H159" s="558"/>
      <c r="I159" s="833" t="s">
        <v>1084</v>
      </c>
      <c r="J159" s="833" t="s">
        <v>125</v>
      </c>
      <c r="K159" s="744">
        <v>827.3</v>
      </c>
      <c r="L159" s="834"/>
      <c r="M159" s="835">
        <v>5500</v>
      </c>
      <c r="N159" s="974">
        <f t="shared" si="35"/>
        <v>-4550150</v>
      </c>
      <c r="O159" s="880">
        <v>-1365</v>
      </c>
      <c r="P159" s="835"/>
      <c r="Q159" s="835"/>
      <c r="R159" s="978">
        <f t="shared" si="36"/>
        <v>-4551515</v>
      </c>
      <c r="S159" s="744">
        <v>119.93127904671699</v>
      </c>
      <c r="T159" s="983">
        <f t="shared" si="37"/>
        <v>-37951.025255280088</v>
      </c>
      <c r="U159" s="839">
        <v>43798</v>
      </c>
      <c r="V159" s="888" t="s">
        <v>1628</v>
      </c>
      <c r="W159" s="840">
        <v>43795.730583449076</v>
      </c>
      <c r="X159" s="971">
        <f t="shared" si="38"/>
        <v>2.9999011021614674E-2</v>
      </c>
      <c r="Y159" s="972" t="str">
        <f>VLOOKUP(V159,'bic broker'!$A$1:$B$14,2,FALSE)</f>
        <v>TAVSGB21XXX</v>
      </c>
      <c r="Z159" s="972" t="str">
        <f>VLOOKUP(AA159,'place of settlement'!A:C,2,FALSE)</f>
        <v>JJSDJPJTXXX</v>
      </c>
      <c r="AA159" s="972" t="str">
        <f t="shared" si="39"/>
        <v>JP</v>
      </c>
      <c r="AB159" s="972" t="str">
        <f t="shared" si="40"/>
        <v>TaviraJP</v>
      </c>
      <c r="AC159" s="972" t="e">
        <f>VLOOKUP(AB159,sample!$1:$1048576,2,FALSE)</f>
        <v>#N/A</v>
      </c>
      <c r="AD159" s="972" t="e">
        <f>VLOOKUP($AB159,sample!$1:$1048576,3,FALSE)</f>
        <v>#N/A</v>
      </c>
      <c r="AE159" s="973" t="e">
        <f>VLOOKUP($AB159,sample!$1:$1048576,4,FALSE)</f>
        <v>#N/A</v>
      </c>
      <c r="AF159" s="972" t="e">
        <f>VLOOKUP($AB159,sample!$1:$1048576,5,FALSE)</f>
        <v>#N/A</v>
      </c>
      <c r="AL159" s="973" t="e">
        <f>VLOOKUP($AB159,sample!$1:$1048576,11,FALSE)</f>
        <v>#N/A</v>
      </c>
      <c r="AM159" s="973" t="e">
        <f>VLOOKUP($AB159,sample!$1:$1048576,12,FALSE)</f>
        <v>#N/A</v>
      </c>
      <c r="AN159" s="973" t="e">
        <f>VLOOKUP($AB159,sample!$1:$1048576,13,FALSE)</f>
        <v>#N/A</v>
      </c>
      <c r="AP159" s="988"/>
    </row>
    <row r="160" spans="1:42" ht="14">
      <c r="A160" s="808">
        <v>201900157</v>
      </c>
      <c r="B160" s="887">
        <v>43796</v>
      </c>
      <c r="C160" s="830" t="s">
        <v>133</v>
      </c>
      <c r="D160" s="1130" t="str">
        <f>IFERROR(VLOOKUP(G160,PosAggregate!$B$13:$B$89,1,FALSE),"")</f>
        <v/>
      </c>
      <c r="E160" s="769" t="s">
        <v>1208</v>
      </c>
      <c r="F160" s="1006" t="str">
        <f t="shared" si="29"/>
        <v/>
      </c>
      <c r="G160" s="558" t="s">
        <v>1158</v>
      </c>
      <c r="H160" s="558"/>
      <c r="I160" s="833" t="s">
        <v>1082</v>
      </c>
      <c r="J160" s="833" t="s">
        <v>123</v>
      </c>
      <c r="K160" s="744">
        <v>89581.25</v>
      </c>
      <c r="L160" s="834"/>
      <c r="M160" s="835">
        <v>240</v>
      </c>
      <c r="N160" s="974">
        <f t="shared" si="35"/>
        <v>-21499500</v>
      </c>
      <c r="O160" s="880">
        <v>-32249</v>
      </c>
      <c r="P160" s="835"/>
      <c r="Q160" s="835"/>
      <c r="R160" s="978">
        <f t="shared" si="36"/>
        <v>-21531749</v>
      </c>
      <c r="S160" s="744">
        <v>1291.7116363075697</v>
      </c>
      <c r="T160" s="983">
        <f t="shared" si="37"/>
        <v>-16669.16082102482</v>
      </c>
      <c r="U160" s="839">
        <v>43798</v>
      </c>
      <c r="V160" s="888" t="s">
        <v>1184</v>
      </c>
      <c r="W160" s="840">
        <v>43795.732494212964</v>
      </c>
      <c r="X160" s="971">
        <f t="shared" si="38"/>
        <v>0.14999883718226006</v>
      </c>
      <c r="Y160" s="972" t="e">
        <f>VLOOKUP(V160,'bic broker'!$A$1:$B$14,2,FALSE)</f>
        <v>#N/A</v>
      </c>
      <c r="Z160" s="972" t="str">
        <f>VLOOKUP(AA160,'place of settlement'!A:C,2,FALSE)</f>
        <v>KSDCKRSEXXX</v>
      </c>
      <c r="AA160" s="972" t="str">
        <f t="shared" si="39"/>
        <v>KR</v>
      </c>
      <c r="AB160" s="972" t="str">
        <f t="shared" si="40"/>
        <v>SamsungKR</v>
      </c>
      <c r="AC160" s="972" t="e">
        <f>VLOOKUP(AB160,sample!$1:$1048576,2,FALSE)</f>
        <v>#N/A</v>
      </c>
      <c r="AD160" s="972" t="e">
        <f>VLOOKUP($AB160,sample!$1:$1048576,3,FALSE)</f>
        <v>#N/A</v>
      </c>
      <c r="AE160" s="973" t="e">
        <f>VLOOKUP($AB160,sample!$1:$1048576,4,FALSE)</f>
        <v>#N/A</v>
      </c>
      <c r="AF160" s="972" t="e">
        <f>VLOOKUP($AB160,sample!$1:$1048576,5,FALSE)</f>
        <v>#N/A</v>
      </c>
      <c r="AL160" s="973" t="e">
        <f>VLOOKUP($AB160,sample!$1:$1048576,11,FALSE)</f>
        <v>#N/A</v>
      </c>
      <c r="AM160" s="973" t="e">
        <f>VLOOKUP($AB160,sample!$1:$1048576,12,FALSE)</f>
        <v>#N/A</v>
      </c>
      <c r="AN160" s="973" t="e">
        <f>VLOOKUP($AB160,sample!$1:$1048576,13,FALSE)</f>
        <v>#N/A</v>
      </c>
      <c r="AP160" s="988"/>
    </row>
    <row r="161" spans="1:42" ht="14">
      <c r="A161" s="808">
        <v>201900158</v>
      </c>
      <c r="B161" s="887">
        <v>43796</v>
      </c>
      <c r="C161" s="830" t="s">
        <v>133</v>
      </c>
      <c r="D161" s="1130" t="str">
        <f>IFERROR(VLOOKUP(G161,PosAggregate!$B$13:$B$89,1,FALSE),"")</f>
        <v/>
      </c>
      <c r="E161" s="769" t="s">
        <v>1209</v>
      </c>
      <c r="F161" s="1006" t="str">
        <f t="shared" si="29"/>
        <v/>
      </c>
      <c r="G161" s="558" t="s">
        <v>1159</v>
      </c>
      <c r="H161" s="558"/>
      <c r="I161" s="833" t="s">
        <v>1102</v>
      </c>
      <c r="J161" s="833" t="s">
        <v>123</v>
      </c>
      <c r="K161" s="744">
        <v>111374.7126</v>
      </c>
      <c r="L161" s="834"/>
      <c r="M161" s="856">
        <v>435</v>
      </c>
      <c r="N161" s="974">
        <f t="shared" si="35"/>
        <v>-48447999.980999999</v>
      </c>
      <c r="O161" s="880">
        <v>-72672</v>
      </c>
      <c r="P161" s="835"/>
      <c r="Q161" s="835"/>
      <c r="R161" s="978">
        <f t="shared" si="36"/>
        <v>-48520671.980999999</v>
      </c>
      <c r="S161" s="744">
        <v>1291.7116363075704</v>
      </c>
      <c r="T161" s="983">
        <f t="shared" si="37"/>
        <v>-37563.083444613876</v>
      </c>
      <c r="U161" s="839">
        <v>43798</v>
      </c>
      <c r="V161" s="888" t="s">
        <v>1184</v>
      </c>
      <c r="W161" s="840">
        <v>43795.733664467596</v>
      </c>
      <c r="X161" s="971">
        <f t="shared" si="38"/>
        <v>0.15000000005882597</v>
      </c>
      <c r="Y161" s="972" t="e">
        <f>VLOOKUP(V161,'bic broker'!$A$1:$B$14,2,FALSE)</f>
        <v>#N/A</v>
      </c>
      <c r="Z161" s="972" t="str">
        <f>VLOOKUP(AA161,'place of settlement'!A:C,2,FALSE)</f>
        <v>KSDCKRSEXXX</v>
      </c>
      <c r="AA161" s="972" t="str">
        <f t="shared" si="39"/>
        <v>KR</v>
      </c>
      <c r="AB161" s="972" t="str">
        <f t="shared" si="40"/>
        <v>SamsungKR</v>
      </c>
      <c r="AC161" s="972" t="e">
        <f>VLOOKUP(AB161,sample!$1:$1048576,2,FALSE)</f>
        <v>#N/A</v>
      </c>
      <c r="AD161" s="972" t="e">
        <f>VLOOKUP($AB161,sample!$1:$1048576,3,FALSE)</f>
        <v>#N/A</v>
      </c>
      <c r="AE161" s="973" t="e">
        <f>VLOOKUP($AB161,sample!$1:$1048576,4,FALSE)</f>
        <v>#N/A</v>
      </c>
      <c r="AF161" s="972" t="e">
        <f>VLOOKUP($AB161,sample!$1:$1048576,5,FALSE)</f>
        <v>#N/A</v>
      </c>
      <c r="AL161" s="973" t="e">
        <f>VLOOKUP($AB161,sample!$1:$1048576,11,FALSE)</f>
        <v>#N/A</v>
      </c>
      <c r="AM161" s="973" t="e">
        <f>VLOOKUP($AB161,sample!$1:$1048576,12,FALSE)</f>
        <v>#N/A</v>
      </c>
      <c r="AN161" s="973" t="e">
        <f>VLOOKUP($AB161,sample!$1:$1048576,13,FALSE)</f>
        <v>#N/A</v>
      </c>
      <c r="AP161" s="988"/>
    </row>
    <row r="162" spans="1:42" ht="14">
      <c r="A162" s="808">
        <v>201900159</v>
      </c>
      <c r="B162" s="887">
        <v>43796</v>
      </c>
      <c r="C162" s="830" t="s">
        <v>133</v>
      </c>
      <c r="D162" s="1130" t="str">
        <f>IFERROR(VLOOKUP(G162,PosAggregate!$B$13:$B$89,1,FALSE),"")</f>
        <v/>
      </c>
      <c r="E162" s="769" t="s">
        <v>1186</v>
      </c>
      <c r="F162" s="1006" t="str">
        <f t="shared" si="29"/>
        <v/>
      </c>
      <c r="G162" s="558" t="s">
        <v>1134</v>
      </c>
      <c r="H162" s="558"/>
      <c r="I162" s="833" t="s">
        <v>1081</v>
      </c>
      <c r="J162" s="833" t="s">
        <v>125</v>
      </c>
      <c r="K162" s="744">
        <v>984.59892000000002</v>
      </c>
      <c r="L162" s="834"/>
      <c r="M162" s="835">
        <v>4650</v>
      </c>
      <c r="N162" s="974">
        <f t="shared" si="35"/>
        <v>-4578384.9780000001</v>
      </c>
      <c r="O162" s="880">
        <v>-1374</v>
      </c>
      <c r="P162" s="835"/>
      <c r="Q162" s="835"/>
      <c r="R162" s="978">
        <f t="shared" si="36"/>
        <v>-4579758.9780000001</v>
      </c>
      <c r="S162" s="744">
        <v>119.93127904671704</v>
      </c>
      <c r="T162" s="983">
        <f t="shared" si="37"/>
        <v>-38186.526604256745</v>
      </c>
      <c r="U162" s="839">
        <v>43798</v>
      </c>
      <c r="V162" s="888" t="s">
        <v>1628</v>
      </c>
      <c r="W162" s="840">
        <v>43795.734506597226</v>
      </c>
      <c r="X162" s="971">
        <f t="shared" si="38"/>
        <v>3.0010582478370167E-2</v>
      </c>
      <c r="Y162" s="972" t="str">
        <f>VLOOKUP(V162,'bic broker'!$A$1:$B$14,2,FALSE)</f>
        <v>TAVSGB21XXX</v>
      </c>
      <c r="Z162" s="972" t="str">
        <f>VLOOKUP(AA162,'place of settlement'!A:C,2,FALSE)</f>
        <v>JJSDJPJTXXX</v>
      </c>
      <c r="AA162" s="972" t="str">
        <f t="shared" si="39"/>
        <v>JP</v>
      </c>
      <c r="AB162" s="972" t="str">
        <f t="shared" si="40"/>
        <v>TaviraJP</v>
      </c>
      <c r="AC162" s="972" t="e">
        <f>VLOOKUP(AB162,sample!$1:$1048576,2,FALSE)</f>
        <v>#N/A</v>
      </c>
      <c r="AD162" s="972" t="e">
        <f>VLOOKUP($AB162,sample!$1:$1048576,3,FALSE)</f>
        <v>#N/A</v>
      </c>
      <c r="AE162" s="973" t="e">
        <f>VLOOKUP($AB162,sample!$1:$1048576,4,FALSE)</f>
        <v>#N/A</v>
      </c>
      <c r="AF162" s="972" t="e">
        <f>VLOOKUP($AB162,sample!$1:$1048576,5,FALSE)</f>
        <v>#N/A</v>
      </c>
      <c r="AL162" s="973" t="e">
        <f>VLOOKUP($AB162,sample!$1:$1048576,11,FALSE)</f>
        <v>#N/A</v>
      </c>
      <c r="AM162" s="973" t="e">
        <f>VLOOKUP($AB162,sample!$1:$1048576,12,FALSE)</f>
        <v>#N/A</v>
      </c>
      <c r="AN162" s="973" t="e">
        <f>VLOOKUP($AB162,sample!$1:$1048576,13,FALSE)</f>
        <v>#N/A</v>
      </c>
      <c r="AP162" s="988"/>
    </row>
    <row r="163" spans="1:42" ht="14">
      <c r="A163" s="808">
        <v>201900160</v>
      </c>
      <c r="B163" s="887">
        <v>43796</v>
      </c>
      <c r="C163" s="830" t="s">
        <v>133</v>
      </c>
      <c r="D163" s="1130" t="str">
        <f>IFERROR(VLOOKUP(G163,PosAggregate!$B$13:$B$89,1,FALSE),"")</f>
        <v/>
      </c>
      <c r="E163" s="769" t="s">
        <v>1642</v>
      </c>
      <c r="F163" s="1006" t="str">
        <f t="shared" si="29"/>
        <v/>
      </c>
      <c r="G163" s="558" t="s">
        <v>1634</v>
      </c>
      <c r="H163" s="558"/>
      <c r="I163" s="833" t="s">
        <v>1639</v>
      </c>
      <c r="J163" s="833" t="s">
        <v>1069</v>
      </c>
      <c r="K163" s="744">
        <v>0.30499999999999999</v>
      </c>
      <c r="L163" s="834"/>
      <c r="M163" s="835">
        <v>110000</v>
      </c>
      <c r="N163" s="974">
        <f t="shared" si="35"/>
        <v>-33550</v>
      </c>
      <c r="O163" s="880">
        <v>-10.07</v>
      </c>
      <c r="P163" s="835"/>
      <c r="Q163" s="835"/>
      <c r="R163" s="978">
        <f t="shared" si="36"/>
        <v>-33560.07</v>
      </c>
      <c r="S163" s="744">
        <v>1.6250523116230884</v>
      </c>
      <c r="T163" s="983">
        <f t="shared" si="37"/>
        <v>-20651.685954946573</v>
      </c>
      <c r="U163" s="839">
        <v>43798</v>
      </c>
      <c r="V163" s="888" t="s">
        <v>1628</v>
      </c>
      <c r="W163" s="840">
        <v>43795.735314467594</v>
      </c>
      <c r="X163" s="971">
        <f t="shared" si="38"/>
        <v>3.0014903129657232E-2</v>
      </c>
      <c r="Y163" s="972" t="str">
        <f>VLOOKUP(V163,'bic broker'!$A$1:$B$14,2,FALSE)</f>
        <v>TAVSGB21XXX</v>
      </c>
      <c r="Z163" s="972" t="str">
        <f>VLOOKUP(AA163,'place of settlement'!A:C,2,FALSE)</f>
        <v>CAETAU21XXX</v>
      </c>
      <c r="AA163" s="972" t="str">
        <f t="shared" si="39"/>
        <v>AU</v>
      </c>
      <c r="AB163" s="972" t="str">
        <f t="shared" si="40"/>
        <v>TaviraAU</v>
      </c>
      <c r="AC163" s="972" t="e">
        <f>VLOOKUP(AB163,sample!$1:$1048576,2,FALSE)</f>
        <v>#N/A</v>
      </c>
      <c r="AD163" s="972" t="e">
        <f>VLOOKUP($AB163,sample!$1:$1048576,3,FALSE)</f>
        <v>#N/A</v>
      </c>
      <c r="AE163" s="973" t="e">
        <f>VLOOKUP($AB163,sample!$1:$1048576,4,FALSE)</f>
        <v>#N/A</v>
      </c>
      <c r="AF163" s="972" t="e">
        <f>VLOOKUP($AB163,sample!$1:$1048576,5,FALSE)</f>
        <v>#N/A</v>
      </c>
      <c r="AL163" s="973" t="e">
        <f>VLOOKUP($AB163,sample!$1:$1048576,11,FALSE)</f>
        <v>#N/A</v>
      </c>
      <c r="AM163" s="973" t="e">
        <f>VLOOKUP($AB163,sample!$1:$1048576,12,FALSE)</f>
        <v>#N/A</v>
      </c>
      <c r="AN163" s="973" t="e">
        <f>VLOOKUP($AB163,sample!$1:$1048576,13,FALSE)</f>
        <v>#N/A</v>
      </c>
      <c r="AP163" s="988"/>
    </row>
    <row r="164" spans="1:42" ht="14">
      <c r="A164" s="808">
        <v>201900161</v>
      </c>
      <c r="B164" s="887">
        <v>43795</v>
      </c>
      <c r="C164" s="881" t="s">
        <v>133</v>
      </c>
      <c r="D164" s="1130" t="str">
        <f>IFERROR(VLOOKUP(G164,PosAggregate!$B$13:$B$89,1,FALSE),"")</f>
        <v/>
      </c>
      <c r="E164" s="769" t="s">
        <v>1224</v>
      </c>
      <c r="F164" s="1006" t="str">
        <f t="shared" si="29"/>
        <v/>
      </c>
      <c r="G164" s="594" t="s">
        <v>1175</v>
      </c>
      <c r="I164" s="833" t="s">
        <v>1095</v>
      </c>
      <c r="J164" s="833" t="s">
        <v>3</v>
      </c>
      <c r="K164" s="744">
        <v>65.498260000000002</v>
      </c>
      <c r="L164" s="834"/>
      <c r="M164" s="835">
        <v>690</v>
      </c>
      <c r="N164" s="974">
        <f t="shared" si="35"/>
        <v>-45193.799400000004</v>
      </c>
      <c r="O164" s="880">
        <v>-13.56</v>
      </c>
      <c r="P164" s="835"/>
      <c r="Q164" s="835"/>
      <c r="R164" s="978">
        <f t="shared" si="36"/>
        <v>-45207.359400000001</v>
      </c>
      <c r="S164" s="744">
        <v>1.101794823767918</v>
      </c>
      <c r="T164" s="983">
        <f t="shared" si="37"/>
        <v>-41030.651465033996</v>
      </c>
      <c r="U164" s="839">
        <v>43798</v>
      </c>
      <c r="V164" s="888" t="s">
        <v>1628</v>
      </c>
      <c r="W164" s="840">
        <v>43796.453060648149</v>
      </c>
      <c r="X164" s="971">
        <f t="shared" si="38"/>
        <v>3.0004116007117557E-2</v>
      </c>
      <c r="Y164" s="972" t="str">
        <f>VLOOKUP(V164,'bic broker'!$A$1:$B$14,2,FALSE)</f>
        <v>TAVSGB21XXX</v>
      </c>
      <c r="Z164" s="972" t="str">
        <f>VLOOKUP(AA164,'place of settlement'!A:C,2,FALSE)</f>
        <v>DTCYUS33XXX</v>
      </c>
      <c r="AA164" s="972" t="str">
        <f t="shared" si="39"/>
        <v>US</v>
      </c>
      <c r="AB164" s="972" t="str">
        <f t="shared" si="40"/>
        <v>TaviraUS</v>
      </c>
      <c r="AC164" s="972" t="e">
        <f>VLOOKUP(AB164,sample!$1:$1048576,2,FALSE)</f>
        <v>#N/A</v>
      </c>
      <c r="AD164" s="972" t="e">
        <f>VLOOKUP($AB164,sample!$1:$1048576,3,FALSE)</f>
        <v>#N/A</v>
      </c>
      <c r="AE164" s="973" t="e">
        <f>VLOOKUP($AB164,sample!$1:$1048576,4,FALSE)</f>
        <v>#N/A</v>
      </c>
      <c r="AF164" s="972" t="e">
        <f>VLOOKUP($AB164,sample!$1:$1048576,5,FALSE)</f>
        <v>#N/A</v>
      </c>
      <c r="AL164" s="973" t="e">
        <f>VLOOKUP($AB164,sample!$1:$1048576,11,FALSE)</f>
        <v>#N/A</v>
      </c>
      <c r="AM164" s="973" t="e">
        <f>VLOOKUP($AB164,sample!$1:$1048576,12,FALSE)</f>
        <v>#N/A</v>
      </c>
      <c r="AN164" s="973" t="e">
        <f>VLOOKUP($AB164,sample!$1:$1048576,13,FALSE)</f>
        <v>#N/A</v>
      </c>
      <c r="AP164" s="988"/>
    </row>
    <row r="165" spans="1:42" ht="14">
      <c r="A165" s="808">
        <v>201900162</v>
      </c>
      <c r="B165" s="887">
        <v>43795</v>
      </c>
      <c r="C165" s="881" t="s">
        <v>133</v>
      </c>
      <c r="D165" s="1130" t="str">
        <f>IFERROR(VLOOKUP(G165,PosAggregate!$B$13:$B$89,1,FALSE),"")</f>
        <v/>
      </c>
      <c r="E165" s="769" t="s">
        <v>1223</v>
      </c>
      <c r="F165" s="1006" t="str">
        <f t="shared" si="29"/>
        <v/>
      </c>
      <c r="G165" s="594" t="s">
        <v>1174</v>
      </c>
      <c r="I165" s="833" t="s">
        <v>1096</v>
      </c>
      <c r="J165" s="833" t="s">
        <v>3</v>
      </c>
      <c r="K165" s="744">
        <v>23.223179999999999</v>
      </c>
      <c r="L165" s="834"/>
      <c r="M165" s="835">
        <v>1100</v>
      </c>
      <c r="N165" s="974">
        <f t="shared" si="35"/>
        <v>-25545.498</v>
      </c>
      <c r="O165" s="880">
        <v>-7.66</v>
      </c>
      <c r="P165" s="835"/>
      <c r="Q165" s="835"/>
      <c r="R165" s="978">
        <f t="shared" si="36"/>
        <v>-25553.157999999999</v>
      </c>
      <c r="S165" s="744">
        <v>1.101794823767918</v>
      </c>
      <c r="T165" s="983">
        <f t="shared" si="37"/>
        <v>-23192.301732379998</v>
      </c>
      <c r="U165" s="839">
        <v>43798</v>
      </c>
      <c r="V165" s="888" t="s">
        <v>1628</v>
      </c>
      <c r="W165" s="840">
        <v>43796.453653819444</v>
      </c>
      <c r="X165" s="971">
        <f t="shared" si="38"/>
        <v>2.9985714116827943E-2</v>
      </c>
      <c r="Y165" s="972" t="str">
        <f>VLOOKUP(V165,'bic broker'!$A$1:$B$14,2,FALSE)</f>
        <v>TAVSGB21XXX</v>
      </c>
      <c r="Z165" s="972" t="str">
        <f>VLOOKUP(AA165,'place of settlement'!A:C,2,FALSE)</f>
        <v>DTCYUS33XXX</v>
      </c>
      <c r="AA165" s="972" t="str">
        <f t="shared" si="39"/>
        <v>US</v>
      </c>
      <c r="AB165" s="972" t="str">
        <f t="shared" si="40"/>
        <v>TaviraUS</v>
      </c>
      <c r="AC165" s="972" t="e">
        <f>VLOOKUP(AB165,sample!$1:$1048576,2,FALSE)</f>
        <v>#N/A</v>
      </c>
      <c r="AD165" s="972" t="e">
        <f>VLOOKUP($AB165,sample!$1:$1048576,3,FALSE)</f>
        <v>#N/A</v>
      </c>
      <c r="AE165" s="973" t="e">
        <f>VLOOKUP($AB165,sample!$1:$1048576,4,FALSE)</f>
        <v>#N/A</v>
      </c>
      <c r="AF165" s="972" t="e">
        <f>VLOOKUP($AB165,sample!$1:$1048576,5,FALSE)</f>
        <v>#N/A</v>
      </c>
      <c r="AL165" s="973" t="e">
        <f>VLOOKUP($AB165,sample!$1:$1048576,11,FALSE)</f>
        <v>#N/A</v>
      </c>
      <c r="AM165" s="973" t="e">
        <f>VLOOKUP($AB165,sample!$1:$1048576,12,FALSE)</f>
        <v>#N/A</v>
      </c>
      <c r="AN165" s="973" t="e">
        <f>VLOOKUP($AB165,sample!$1:$1048576,13,FALSE)</f>
        <v>#N/A</v>
      </c>
      <c r="AP165" s="988"/>
    </row>
    <row r="166" spans="1:42" ht="14">
      <c r="A166" s="808">
        <v>201900163</v>
      </c>
      <c r="B166" s="887">
        <v>43795</v>
      </c>
      <c r="C166" s="881" t="s">
        <v>133</v>
      </c>
      <c r="D166" s="1130" t="str">
        <f>IFERROR(VLOOKUP(G166,PosAggregate!$B$13:$B$89,1,FALSE),"")</f>
        <v/>
      </c>
      <c r="E166" s="769" t="s">
        <v>1609</v>
      </c>
      <c r="F166" s="1006" t="str">
        <f t="shared" si="29"/>
        <v/>
      </c>
      <c r="G166" s="594" t="s">
        <v>1582</v>
      </c>
      <c r="I166" s="833" t="s">
        <v>1586</v>
      </c>
      <c r="J166" s="833" t="s">
        <v>3</v>
      </c>
      <c r="K166" s="744">
        <v>17.716000000000001</v>
      </c>
      <c r="L166" s="834"/>
      <c r="M166" s="835">
        <v>2500</v>
      </c>
      <c r="N166" s="974">
        <f t="shared" si="35"/>
        <v>-44290</v>
      </c>
      <c r="O166" s="880">
        <v>-13.29</v>
      </c>
      <c r="P166" s="835"/>
      <c r="Q166" s="835"/>
      <c r="R166" s="978">
        <f t="shared" si="36"/>
        <v>-44303.29</v>
      </c>
      <c r="S166" s="744">
        <v>1.101794823767918</v>
      </c>
      <c r="T166" s="983">
        <f t="shared" si="37"/>
        <v>-40210.109036899994</v>
      </c>
      <c r="U166" s="839">
        <v>43798</v>
      </c>
      <c r="V166" s="888" t="s">
        <v>1628</v>
      </c>
      <c r="W166" s="840">
        <v>43796.453947569447</v>
      </c>
      <c r="X166" s="971">
        <f t="shared" si="38"/>
        <v>3.0006773538044703E-2</v>
      </c>
      <c r="Y166" s="972" t="str">
        <f>VLOOKUP(V166,'bic broker'!$A$1:$B$14,2,FALSE)</f>
        <v>TAVSGB21XXX</v>
      </c>
      <c r="Z166" s="972" t="str">
        <f>VLOOKUP(AA166,'place of settlement'!A:C,2,FALSE)</f>
        <v>DTCYUS33XXX</v>
      </c>
      <c r="AA166" s="972" t="str">
        <f t="shared" si="39"/>
        <v>US</v>
      </c>
      <c r="AB166" s="972" t="str">
        <f t="shared" si="40"/>
        <v>TaviraUS</v>
      </c>
      <c r="AC166" s="972" t="e">
        <f>VLOOKUP(AB166,sample!$1:$1048576,2,FALSE)</f>
        <v>#N/A</v>
      </c>
      <c r="AD166" s="972" t="e">
        <f>VLOOKUP($AB166,sample!$1:$1048576,3,FALSE)</f>
        <v>#N/A</v>
      </c>
      <c r="AE166" s="973" t="e">
        <f>VLOOKUP($AB166,sample!$1:$1048576,4,FALSE)</f>
        <v>#N/A</v>
      </c>
      <c r="AF166" s="972" t="e">
        <f>VLOOKUP($AB166,sample!$1:$1048576,5,FALSE)</f>
        <v>#N/A</v>
      </c>
      <c r="AL166" s="973" t="e">
        <f>VLOOKUP($AB166,sample!$1:$1048576,11,FALSE)</f>
        <v>#N/A</v>
      </c>
      <c r="AM166" s="973" t="e">
        <f>VLOOKUP($AB166,sample!$1:$1048576,12,FALSE)</f>
        <v>#N/A</v>
      </c>
      <c r="AN166" s="973" t="e">
        <f>VLOOKUP($AB166,sample!$1:$1048576,13,FALSE)</f>
        <v>#N/A</v>
      </c>
      <c r="AP166" s="988"/>
    </row>
    <row r="167" spans="1:42" ht="14">
      <c r="A167" s="808">
        <v>201900164</v>
      </c>
      <c r="B167" s="887">
        <v>43795</v>
      </c>
      <c r="C167" s="881" t="s">
        <v>133</v>
      </c>
      <c r="D167" s="1130" t="str">
        <f>IFERROR(VLOOKUP(G167,PosAggregate!$B$13:$B$89,1,FALSE),"")</f>
        <v/>
      </c>
      <c r="E167" s="769" t="s">
        <v>1226</v>
      </c>
      <c r="F167" s="1006" t="str">
        <f t="shared" si="29"/>
        <v/>
      </c>
      <c r="G167" s="594" t="s">
        <v>1178</v>
      </c>
      <c r="I167" s="833" t="s">
        <v>1089</v>
      </c>
      <c r="J167" s="833" t="s">
        <v>3</v>
      </c>
      <c r="K167" s="744">
        <v>16.718409999999999</v>
      </c>
      <c r="L167" s="834"/>
      <c r="M167" s="835">
        <v>2200</v>
      </c>
      <c r="N167" s="974">
        <f t="shared" si="35"/>
        <v>-36780.502</v>
      </c>
      <c r="O167" s="880">
        <v>-11.03</v>
      </c>
      <c r="P167" s="835"/>
      <c r="Q167" s="835"/>
      <c r="R167" s="978">
        <f t="shared" si="36"/>
        <v>-36791.531999999999</v>
      </c>
      <c r="S167" s="744">
        <v>1.101794823767918</v>
      </c>
      <c r="T167" s="983">
        <f t="shared" si="37"/>
        <v>-33392.362358519997</v>
      </c>
      <c r="U167" s="839">
        <v>43798</v>
      </c>
      <c r="V167" s="888" t="s">
        <v>1628</v>
      </c>
      <c r="W167" s="840">
        <v>43796.454254861113</v>
      </c>
      <c r="X167" s="971">
        <f t="shared" si="38"/>
        <v>2.9988715216556858E-2</v>
      </c>
      <c r="Y167" s="972" t="str">
        <f>VLOOKUP(V167,'bic broker'!$A$1:$B$14,2,FALSE)</f>
        <v>TAVSGB21XXX</v>
      </c>
      <c r="Z167" s="972" t="str">
        <f>VLOOKUP(AA167,'place of settlement'!A:C,2,FALSE)</f>
        <v>DTCYUS33XXX</v>
      </c>
      <c r="AA167" s="972" t="str">
        <f t="shared" si="39"/>
        <v>US</v>
      </c>
      <c r="AB167" s="972" t="str">
        <f t="shared" si="40"/>
        <v>TaviraUS</v>
      </c>
      <c r="AC167" s="972" t="e">
        <f>VLOOKUP(AB167,sample!$1:$1048576,2,FALSE)</f>
        <v>#N/A</v>
      </c>
      <c r="AD167" s="972" t="e">
        <f>VLOOKUP($AB167,sample!$1:$1048576,3,FALSE)</f>
        <v>#N/A</v>
      </c>
      <c r="AE167" s="973" t="e">
        <f>VLOOKUP($AB167,sample!$1:$1048576,4,FALSE)</f>
        <v>#N/A</v>
      </c>
      <c r="AF167" s="972" t="e">
        <f>VLOOKUP($AB167,sample!$1:$1048576,5,FALSE)</f>
        <v>#N/A</v>
      </c>
      <c r="AL167" s="973" t="e">
        <f>VLOOKUP($AB167,sample!$1:$1048576,11,FALSE)</f>
        <v>#N/A</v>
      </c>
      <c r="AM167" s="973" t="e">
        <f>VLOOKUP($AB167,sample!$1:$1048576,12,FALSE)</f>
        <v>#N/A</v>
      </c>
      <c r="AN167" s="973" t="e">
        <f>VLOOKUP($AB167,sample!$1:$1048576,13,FALSE)</f>
        <v>#N/A</v>
      </c>
      <c r="AP167" s="988"/>
    </row>
    <row r="168" spans="1:42" ht="14">
      <c r="A168" s="808">
        <v>201900165</v>
      </c>
      <c r="B168" s="887">
        <v>43795</v>
      </c>
      <c r="C168" s="830" t="s">
        <v>134</v>
      </c>
      <c r="D168" s="1130" t="str">
        <f>IFERROR(VLOOKUP(G168,PosAggregate!$B$13:$B$89,1,FALSE),"")</f>
        <v/>
      </c>
      <c r="E168" s="769" t="s">
        <v>12605</v>
      </c>
      <c r="F168" s="1006" t="str">
        <f t="shared" si="29"/>
        <v/>
      </c>
      <c r="G168" s="558" t="s">
        <v>1576</v>
      </c>
      <c r="H168" s="558"/>
      <c r="I168" s="833" t="s">
        <v>1580</v>
      </c>
      <c r="J168" s="833" t="s">
        <v>3</v>
      </c>
      <c r="K168" s="744">
        <v>26.515879999999999</v>
      </c>
      <c r="L168" s="834"/>
      <c r="M168" s="835">
        <v>-1700</v>
      </c>
      <c r="N168" s="974">
        <f t="shared" si="35"/>
        <v>45076.995999999999</v>
      </c>
      <c r="O168" s="880">
        <v>-13.52</v>
      </c>
      <c r="P168" s="835">
        <v>-0.93</v>
      </c>
      <c r="Q168" s="835"/>
      <c r="R168" s="978">
        <f t="shared" si="36"/>
        <v>45062.546000000002</v>
      </c>
      <c r="S168" s="744">
        <v>1.1012973282526817</v>
      </c>
      <c r="T168" s="983">
        <f t="shared" si="37"/>
        <v>40917.693018919999</v>
      </c>
      <c r="U168" s="839">
        <v>43798</v>
      </c>
      <c r="V168" s="888" t="s">
        <v>1628</v>
      </c>
      <c r="W168" s="840"/>
      <c r="X168" s="971">
        <f t="shared" si="38"/>
        <v>-2.999312554013138E-2</v>
      </c>
      <c r="Y168" s="972" t="str">
        <f>VLOOKUP(V168,'bic broker'!$A$1:$B$14,2,FALSE)</f>
        <v>TAVSGB21XXX</v>
      </c>
      <c r="Z168" s="972" t="e">
        <f>VLOOKUP(AA168,'place of settlement'!A:C,2,FALSE)</f>
        <v>#N/A</v>
      </c>
      <c r="AA168" s="972" t="str">
        <f t="shared" si="39"/>
        <v>NU</v>
      </c>
      <c r="AB168" s="972" t="str">
        <f t="shared" si="40"/>
        <v>TaviraNU</v>
      </c>
      <c r="AC168" s="972" t="e">
        <f>VLOOKUP(AB168,sample!$1:$1048576,2,FALSE)</f>
        <v>#N/A</v>
      </c>
      <c r="AD168" s="972" t="e">
        <f>VLOOKUP($AB168,sample!$1:$1048576,3,FALSE)</f>
        <v>#N/A</v>
      </c>
      <c r="AE168" s="973" t="e">
        <f>VLOOKUP($AB168,sample!$1:$1048576,4,FALSE)</f>
        <v>#N/A</v>
      </c>
      <c r="AF168" s="972" t="e">
        <f>VLOOKUP($AB168,sample!$1:$1048576,5,FALSE)</f>
        <v>#N/A</v>
      </c>
      <c r="AL168" s="973" t="e">
        <f>VLOOKUP($AB168,sample!$1:$1048576,11,FALSE)</f>
        <v>#N/A</v>
      </c>
      <c r="AM168" s="973" t="e">
        <f>VLOOKUP($AB168,sample!$1:$1048576,12,FALSE)</f>
        <v>#N/A</v>
      </c>
      <c r="AN168" s="973" t="e">
        <f>VLOOKUP($AB168,sample!$1:$1048576,13,FALSE)</f>
        <v>#N/A</v>
      </c>
      <c r="AP168" s="988"/>
    </row>
    <row r="169" spans="1:42" ht="14">
      <c r="A169" s="808">
        <v>201900166</v>
      </c>
      <c r="B169" s="887">
        <v>43796</v>
      </c>
      <c r="C169" s="830" t="s">
        <v>134</v>
      </c>
      <c r="D169" s="1130" t="str">
        <f>IFERROR(VLOOKUP(G169,PosAggregate!$B$13:$B$89,1,FALSE),"")</f>
        <v/>
      </c>
      <c r="E169" s="769" t="s">
        <v>1204</v>
      </c>
      <c r="F169" s="1006" t="str">
        <f t="shared" si="29"/>
        <v/>
      </c>
      <c r="G169" s="558" t="s">
        <v>1153</v>
      </c>
      <c r="H169" s="558"/>
      <c r="I169" s="833" t="s">
        <v>1155</v>
      </c>
      <c r="J169" s="833" t="s">
        <v>125</v>
      </c>
      <c r="K169" s="744">
        <v>6399</v>
      </c>
      <c r="L169" s="834"/>
      <c r="M169" s="835">
        <v>-1500</v>
      </c>
      <c r="N169" s="974">
        <f t="shared" si="35"/>
        <v>9598500</v>
      </c>
      <c r="O169" s="880">
        <v>-2880</v>
      </c>
      <c r="P169" s="835"/>
      <c r="Q169" s="835"/>
      <c r="R169" s="978">
        <f t="shared" si="36"/>
        <v>9595620</v>
      </c>
      <c r="S169" s="744">
        <v>119.93127904671695</v>
      </c>
      <c r="T169" s="983">
        <f t="shared" si="37"/>
        <v>80009.319305785175</v>
      </c>
      <c r="U169" s="839">
        <v>43798</v>
      </c>
      <c r="V169" s="888" t="s">
        <v>1628</v>
      </c>
      <c r="W169" s="840"/>
      <c r="X169" s="971">
        <f t="shared" si="38"/>
        <v>-3.0004688232536332E-2</v>
      </c>
      <c r="Y169" s="972" t="str">
        <f>VLOOKUP(V169,'bic broker'!$A$1:$B$14,2,FALSE)</f>
        <v>TAVSGB21XXX</v>
      </c>
      <c r="Z169" s="972" t="str">
        <f>VLOOKUP(AA169,'place of settlement'!A:C,2,FALSE)</f>
        <v>JJSDJPJTXXX</v>
      </c>
      <c r="AA169" s="972" t="str">
        <f t="shared" si="39"/>
        <v>JP</v>
      </c>
      <c r="AB169" s="972" t="str">
        <f t="shared" si="40"/>
        <v>TaviraJP</v>
      </c>
      <c r="AC169" s="972" t="e">
        <f>VLOOKUP(AB169,sample!$1:$1048576,2,FALSE)</f>
        <v>#N/A</v>
      </c>
      <c r="AD169" s="972" t="e">
        <f>VLOOKUP($AB169,sample!$1:$1048576,3,FALSE)</f>
        <v>#N/A</v>
      </c>
      <c r="AE169" s="973" t="e">
        <f>VLOOKUP($AB169,sample!$1:$1048576,4,FALSE)</f>
        <v>#N/A</v>
      </c>
      <c r="AF169" s="972" t="e">
        <f>VLOOKUP($AB169,sample!$1:$1048576,5,FALSE)</f>
        <v>#N/A</v>
      </c>
      <c r="AL169" s="973" t="e">
        <f>VLOOKUP($AB169,sample!$1:$1048576,11,FALSE)</f>
        <v>#N/A</v>
      </c>
      <c r="AM169" s="973" t="e">
        <f>VLOOKUP($AB169,sample!$1:$1048576,12,FALSE)</f>
        <v>#N/A</v>
      </c>
      <c r="AN169" s="973" t="e">
        <f>VLOOKUP($AB169,sample!$1:$1048576,13,FALSE)</f>
        <v>#N/A</v>
      </c>
      <c r="AP169" s="988"/>
    </row>
    <row r="170" spans="1:42" ht="14">
      <c r="A170" s="808">
        <v>201900167</v>
      </c>
      <c r="B170" s="887">
        <v>43796</v>
      </c>
      <c r="C170" s="830" t="s">
        <v>133</v>
      </c>
      <c r="D170" s="1130" t="str">
        <f>IFERROR(VLOOKUP(G170,PosAggregate!$B$13:$B$89,1,FALSE),"")</f>
        <v/>
      </c>
      <c r="E170" s="769" t="s">
        <v>1198</v>
      </c>
      <c r="F170" s="1006" t="str">
        <f t="shared" si="29"/>
        <v/>
      </c>
      <c r="G170" s="855" t="s">
        <v>1147</v>
      </c>
      <c r="H170" s="558"/>
      <c r="I170" s="833" t="s">
        <v>1093</v>
      </c>
      <c r="J170" s="833" t="s">
        <v>125</v>
      </c>
      <c r="K170" s="744">
        <v>1348.5909099999999</v>
      </c>
      <c r="L170" s="834"/>
      <c r="M170" s="835">
        <v>2200</v>
      </c>
      <c r="N170" s="974">
        <f t="shared" si="35"/>
        <v>-2966900.0019999999</v>
      </c>
      <c r="O170" s="880">
        <v>-890</v>
      </c>
      <c r="P170" s="835"/>
      <c r="Q170" s="835"/>
      <c r="R170" s="978">
        <f t="shared" si="36"/>
        <v>-2967790.0019999999</v>
      </c>
      <c r="S170" s="744">
        <v>119.93127904671695</v>
      </c>
      <c r="T170" s="983">
        <f t="shared" si="37"/>
        <v>-24745.754615390648</v>
      </c>
      <c r="U170" s="839">
        <v>43798</v>
      </c>
      <c r="V170" s="888" t="s">
        <v>1628</v>
      </c>
      <c r="W170" s="840"/>
      <c r="X170" s="971">
        <f t="shared" si="38"/>
        <v>2.9997640614784698E-2</v>
      </c>
      <c r="Y170" s="972" t="str">
        <f>VLOOKUP(V170,'bic broker'!$A$1:$B$14,2,FALSE)</f>
        <v>TAVSGB21XXX</v>
      </c>
      <c r="Z170" s="972" t="str">
        <f>VLOOKUP(AA170,'place of settlement'!A:C,2,FALSE)</f>
        <v>JJSDJPJTXXX</v>
      </c>
      <c r="AA170" s="972" t="str">
        <f t="shared" si="39"/>
        <v>JP</v>
      </c>
      <c r="AB170" s="972" t="str">
        <f t="shared" si="40"/>
        <v>TaviraJP</v>
      </c>
      <c r="AC170" s="972" t="e">
        <f>VLOOKUP(AB170,sample!$1:$1048576,2,FALSE)</f>
        <v>#N/A</v>
      </c>
      <c r="AD170" s="972" t="e">
        <f>VLOOKUP($AB170,sample!$1:$1048576,3,FALSE)</f>
        <v>#N/A</v>
      </c>
      <c r="AE170" s="973" t="e">
        <f>VLOOKUP($AB170,sample!$1:$1048576,4,FALSE)</f>
        <v>#N/A</v>
      </c>
      <c r="AF170" s="972" t="e">
        <f>VLOOKUP($AB170,sample!$1:$1048576,5,FALSE)</f>
        <v>#N/A</v>
      </c>
      <c r="AL170" s="973" t="e">
        <f>VLOOKUP($AB170,sample!$1:$1048576,11,FALSE)</f>
        <v>#N/A</v>
      </c>
      <c r="AM170" s="973" t="e">
        <f>VLOOKUP($AB170,sample!$1:$1048576,12,FALSE)</f>
        <v>#N/A</v>
      </c>
      <c r="AN170" s="973" t="e">
        <f>VLOOKUP($AB170,sample!$1:$1048576,13,FALSE)</f>
        <v>#N/A</v>
      </c>
      <c r="AP170" s="988"/>
    </row>
    <row r="171" spans="1:42" ht="14">
      <c r="A171" s="808">
        <v>201900168</v>
      </c>
      <c r="B171" s="887">
        <v>43796</v>
      </c>
      <c r="C171" s="830" t="s">
        <v>133</v>
      </c>
      <c r="D171" s="1130" t="str">
        <f>IFERROR(VLOOKUP(G171,PosAggregate!$B$13:$B$89,1,FALSE),"")</f>
        <v/>
      </c>
      <c r="E171" s="769" t="s">
        <v>1190</v>
      </c>
      <c r="F171" s="1006" t="str">
        <f t="shared" si="29"/>
        <v/>
      </c>
      <c r="G171" s="855" t="s">
        <v>1590</v>
      </c>
      <c r="H171" s="558"/>
      <c r="I171" s="833" t="s">
        <v>1085</v>
      </c>
      <c r="J171" s="833" t="s">
        <v>125</v>
      </c>
      <c r="K171" s="744">
        <v>2235.645</v>
      </c>
      <c r="L171" s="834"/>
      <c r="M171" s="835">
        <v>2000</v>
      </c>
      <c r="N171" s="974">
        <f t="shared" si="35"/>
        <v>-4471290</v>
      </c>
      <c r="O171" s="880">
        <v>-1341</v>
      </c>
      <c r="P171" s="835"/>
      <c r="Q171" s="835"/>
      <c r="R171" s="978">
        <f t="shared" si="36"/>
        <v>-4472631</v>
      </c>
      <c r="S171" s="744">
        <v>119.93127904671695</v>
      </c>
      <c r="T171" s="983">
        <f t="shared" si="37"/>
        <v>-37293.281915702508</v>
      </c>
      <c r="U171" s="839">
        <v>43798</v>
      </c>
      <c r="V171" s="888" t="s">
        <v>1628</v>
      </c>
      <c r="W171" s="840"/>
      <c r="X171" s="971">
        <f t="shared" si="38"/>
        <v>2.9991344779694451E-2</v>
      </c>
      <c r="Y171" s="972" t="str">
        <f>VLOOKUP(V171,'bic broker'!$A$1:$B$14,2,FALSE)</f>
        <v>TAVSGB21XXX</v>
      </c>
      <c r="Z171" s="972" t="str">
        <f>VLOOKUP(AA171,'place of settlement'!A:C,2,FALSE)</f>
        <v>JJSDJPJTXXX</v>
      </c>
      <c r="AA171" s="972" t="str">
        <f t="shared" si="39"/>
        <v>JP</v>
      </c>
      <c r="AB171" s="972" t="str">
        <f t="shared" si="40"/>
        <v>TaviraJP</v>
      </c>
      <c r="AC171" s="972" t="e">
        <f>VLOOKUP(AB171,sample!$1:$1048576,2,FALSE)</f>
        <v>#N/A</v>
      </c>
      <c r="AD171" s="972" t="e">
        <f>VLOOKUP($AB171,sample!$1:$1048576,3,FALSE)</f>
        <v>#N/A</v>
      </c>
      <c r="AE171" s="973" t="e">
        <f>VLOOKUP($AB171,sample!$1:$1048576,4,FALSE)</f>
        <v>#N/A</v>
      </c>
      <c r="AF171" s="972" t="e">
        <f>VLOOKUP($AB171,sample!$1:$1048576,5,FALSE)</f>
        <v>#N/A</v>
      </c>
      <c r="AL171" s="973" t="e">
        <f>VLOOKUP($AB171,sample!$1:$1048576,11,FALSE)</f>
        <v>#N/A</v>
      </c>
      <c r="AM171" s="973" t="e">
        <f>VLOOKUP($AB171,sample!$1:$1048576,12,FALSE)</f>
        <v>#N/A</v>
      </c>
      <c r="AN171" s="973" t="e">
        <f>VLOOKUP($AB171,sample!$1:$1048576,13,FALSE)</f>
        <v>#N/A</v>
      </c>
      <c r="AP171" s="988"/>
    </row>
    <row r="172" spans="1:42" ht="14">
      <c r="A172" s="808">
        <v>201900169</v>
      </c>
      <c r="B172" s="887">
        <v>43796</v>
      </c>
      <c r="C172" s="830" t="s">
        <v>133</v>
      </c>
      <c r="D172" s="1130" t="str">
        <f>IFERROR(VLOOKUP(G172,PosAggregate!$B$13:$B$89,1,FALSE),"")</f>
        <v/>
      </c>
      <c r="E172" s="769" t="s">
        <v>1188</v>
      </c>
      <c r="F172" s="1006" t="str">
        <f t="shared" si="29"/>
        <v/>
      </c>
      <c r="G172" s="855" t="s">
        <v>1646</v>
      </c>
      <c r="H172" s="558"/>
      <c r="I172" s="833" t="s">
        <v>1138</v>
      </c>
      <c r="J172" s="833" t="s">
        <v>125</v>
      </c>
      <c r="K172" s="744">
        <v>943</v>
      </c>
      <c r="L172" s="834"/>
      <c r="M172" s="835">
        <v>4200</v>
      </c>
      <c r="N172" s="974">
        <f t="shared" si="35"/>
        <v>-3960600</v>
      </c>
      <c r="O172" s="880">
        <v>-1188</v>
      </c>
      <c r="P172" s="835"/>
      <c r="Q172" s="835"/>
      <c r="R172" s="978">
        <f t="shared" si="36"/>
        <v>-3961788</v>
      </c>
      <c r="S172" s="744">
        <v>119.93127904671695</v>
      </c>
      <c r="T172" s="983">
        <f t="shared" si="37"/>
        <v>-33033.817628650162</v>
      </c>
      <c r="U172" s="839">
        <v>43798</v>
      </c>
      <c r="V172" s="888" t="s">
        <v>1628</v>
      </c>
      <c r="W172" s="840"/>
      <c r="X172" s="971">
        <f t="shared" si="38"/>
        <v>2.9995455234055449E-2</v>
      </c>
      <c r="Y172" s="972" t="str">
        <f>VLOOKUP(V172,'bic broker'!$A$1:$B$14,2,FALSE)</f>
        <v>TAVSGB21XXX</v>
      </c>
      <c r="Z172" s="972" t="str">
        <f>VLOOKUP(AA172,'place of settlement'!A:C,2,FALSE)</f>
        <v>JJSDJPJTXXX</v>
      </c>
      <c r="AA172" s="972" t="str">
        <f t="shared" si="39"/>
        <v>JP</v>
      </c>
      <c r="AB172" s="972" t="str">
        <f t="shared" si="40"/>
        <v>TaviraJP</v>
      </c>
      <c r="AC172" s="972" t="e">
        <f>VLOOKUP(AB172,sample!$1:$1048576,2,FALSE)</f>
        <v>#N/A</v>
      </c>
      <c r="AD172" s="972" t="e">
        <f>VLOOKUP($AB172,sample!$1:$1048576,3,FALSE)</f>
        <v>#N/A</v>
      </c>
      <c r="AE172" s="973" t="e">
        <f>VLOOKUP($AB172,sample!$1:$1048576,4,FALSE)</f>
        <v>#N/A</v>
      </c>
      <c r="AF172" s="972" t="e">
        <f>VLOOKUP($AB172,sample!$1:$1048576,5,FALSE)</f>
        <v>#N/A</v>
      </c>
      <c r="AL172" s="973" t="e">
        <f>VLOOKUP($AB172,sample!$1:$1048576,11,FALSE)</f>
        <v>#N/A</v>
      </c>
      <c r="AM172" s="973" t="e">
        <f>VLOOKUP($AB172,sample!$1:$1048576,12,FALSE)</f>
        <v>#N/A</v>
      </c>
      <c r="AN172" s="973" t="e">
        <f>VLOOKUP($AB172,sample!$1:$1048576,13,FALSE)</f>
        <v>#N/A</v>
      </c>
      <c r="AP172" s="988"/>
    </row>
    <row r="173" spans="1:42" ht="14">
      <c r="A173" s="808">
        <v>201900170</v>
      </c>
      <c r="B173" s="887">
        <v>43796</v>
      </c>
      <c r="C173" s="830" t="s">
        <v>133</v>
      </c>
      <c r="D173" s="1130" t="str">
        <f>IFERROR(VLOOKUP(G173,PosAggregate!$B$13:$B$89,1,FALSE),"")</f>
        <v/>
      </c>
      <c r="E173" s="769" t="s">
        <v>1654</v>
      </c>
      <c r="F173" s="1006" t="str">
        <f t="shared" si="29"/>
        <v/>
      </c>
      <c r="G173" s="855" t="s">
        <v>1647</v>
      </c>
      <c r="H173" s="558"/>
      <c r="I173" s="833" t="s">
        <v>1649</v>
      </c>
      <c r="J173" s="833" t="s">
        <v>1069</v>
      </c>
      <c r="K173" s="744">
        <v>2.9037000000000002</v>
      </c>
      <c r="L173" s="834"/>
      <c r="M173" s="835">
        <v>22000</v>
      </c>
      <c r="N173" s="974">
        <f t="shared" si="35"/>
        <v>-63881.4</v>
      </c>
      <c r="O173" s="880">
        <v>-19.16</v>
      </c>
      <c r="P173" s="835"/>
      <c r="Q173" s="835"/>
      <c r="R173" s="978">
        <f t="shared" si="36"/>
        <v>-63900.560000000005</v>
      </c>
      <c r="S173" s="744">
        <v>1.1012973282526817</v>
      </c>
      <c r="T173" s="983">
        <f t="shared" si="37"/>
        <v>-58022.986491200005</v>
      </c>
      <c r="U173" s="839">
        <v>43798</v>
      </c>
      <c r="V173" s="888" t="s">
        <v>1628</v>
      </c>
      <c r="W173" s="840"/>
      <c r="X173" s="971">
        <f t="shared" si="38"/>
        <v>2.9993080928094874E-2</v>
      </c>
      <c r="Y173" s="972" t="str">
        <f>VLOOKUP(V173,'bic broker'!$A$1:$B$14,2,FALSE)</f>
        <v>TAVSGB21XXX</v>
      </c>
      <c r="Z173" s="972" t="str">
        <f>VLOOKUP(AA173,'place of settlement'!A:C,2,FALSE)</f>
        <v>CAETAU21XXX</v>
      </c>
      <c r="AA173" s="972" t="str">
        <f t="shared" si="39"/>
        <v>AU</v>
      </c>
      <c r="AB173" s="972" t="str">
        <f t="shared" si="40"/>
        <v>TaviraAU</v>
      </c>
      <c r="AC173" s="972" t="e">
        <f>VLOOKUP(AB173,sample!$1:$1048576,2,FALSE)</f>
        <v>#N/A</v>
      </c>
      <c r="AD173" s="972" t="e">
        <f>VLOOKUP($AB173,sample!$1:$1048576,3,FALSE)</f>
        <v>#N/A</v>
      </c>
      <c r="AE173" s="973" t="e">
        <f>VLOOKUP($AB173,sample!$1:$1048576,4,FALSE)</f>
        <v>#N/A</v>
      </c>
      <c r="AF173" s="972" t="e">
        <f>VLOOKUP($AB173,sample!$1:$1048576,5,FALSE)</f>
        <v>#N/A</v>
      </c>
      <c r="AL173" s="973" t="e">
        <f>VLOOKUP($AB173,sample!$1:$1048576,11,FALSE)</f>
        <v>#N/A</v>
      </c>
      <c r="AM173" s="973" t="e">
        <f>VLOOKUP($AB173,sample!$1:$1048576,12,FALSE)</f>
        <v>#N/A</v>
      </c>
      <c r="AN173" s="973" t="e">
        <f>VLOOKUP($AB173,sample!$1:$1048576,13,FALSE)</f>
        <v>#N/A</v>
      </c>
      <c r="AP173" s="988"/>
    </row>
    <row r="174" spans="1:42" ht="14">
      <c r="A174" s="808">
        <v>201900171</v>
      </c>
      <c r="B174" s="887">
        <v>43796</v>
      </c>
      <c r="C174" s="830" t="s">
        <v>133</v>
      </c>
      <c r="D174" s="1130" t="str">
        <f>IFERROR(VLOOKUP(G174,PosAggregate!$B$13:$B$89,1,FALSE),"")</f>
        <v/>
      </c>
      <c r="E174" s="769" t="s">
        <v>1607</v>
      </c>
      <c r="F174" s="1006" t="str">
        <f t="shared" si="29"/>
        <v/>
      </c>
      <c r="G174" s="855" t="s">
        <v>1575</v>
      </c>
      <c r="H174" s="558"/>
      <c r="I174" s="833" t="s">
        <v>1579</v>
      </c>
      <c r="J174" s="833" t="s">
        <v>123</v>
      </c>
      <c r="K174" s="744">
        <v>4910.9537</v>
      </c>
      <c r="L174" s="834"/>
      <c r="M174" s="835">
        <v>6700</v>
      </c>
      <c r="N174" s="974">
        <f t="shared" si="35"/>
        <v>-32903389.789999999</v>
      </c>
      <c r="O174" s="880">
        <v>-49657</v>
      </c>
      <c r="P174" s="835"/>
      <c r="Q174" s="835"/>
      <c r="R174" s="978">
        <f t="shared" si="36"/>
        <v>-32953046.789999999</v>
      </c>
      <c r="S174" s="744">
        <v>1291.7116363075697</v>
      </c>
      <c r="T174" s="983">
        <f t="shared" si="37"/>
        <v>-25511.148048645078</v>
      </c>
      <c r="U174" s="839">
        <v>43798</v>
      </c>
      <c r="V174" s="888" t="s">
        <v>1184</v>
      </c>
      <c r="W174" s="840"/>
      <c r="X174" s="971">
        <f t="shared" si="38"/>
        <v>0.1509175811882208</v>
      </c>
      <c r="Y174" s="972" t="e">
        <f>VLOOKUP(V174,'bic broker'!$A$1:$B$14,2,FALSE)</f>
        <v>#N/A</v>
      </c>
      <c r="Z174" s="972" t="str">
        <f>VLOOKUP(AA174,'place of settlement'!A:C,2,FALSE)</f>
        <v>KSDCKRSEXXX</v>
      </c>
      <c r="AA174" s="972" t="str">
        <f t="shared" si="39"/>
        <v>KR</v>
      </c>
      <c r="AB174" s="972" t="str">
        <f t="shared" si="40"/>
        <v>SamsungKR</v>
      </c>
      <c r="AC174" s="972" t="e">
        <f>VLOOKUP(AB174,sample!$1:$1048576,2,FALSE)</f>
        <v>#N/A</v>
      </c>
      <c r="AD174" s="972" t="e">
        <f>VLOOKUP($AB174,sample!$1:$1048576,3,FALSE)</f>
        <v>#N/A</v>
      </c>
      <c r="AE174" s="973" t="e">
        <f>VLOOKUP($AB174,sample!$1:$1048576,4,FALSE)</f>
        <v>#N/A</v>
      </c>
      <c r="AF174" s="972" t="e">
        <f>VLOOKUP($AB174,sample!$1:$1048576,5,FALSE)</f>
        <v>#N/A</v>
      </c>
      <c r="AL174" s="973" t="e">
        <f>VLOOKUP($AB174,sample!$1:$1048576,11,FALSE)</f>
        <v>#N/A</v>
      </c>
      <c r="AM174" s="973" t="e">
        <f>VLOOKUP($AB174,sample!$1:$1048576,12,FALSE)</f>
        <v>#N/A</v>
      </c>
      <c r="AN174" s="973" t="e">
        <f>VLOOKUP($AB174,sample!$1:$1048576,13,FALSE)</f>
        <v>#N/A</v>
      </c>
      <c r="AP174" s="988"/>
    </row>
    <row r="175" spans="1:42" ht="14">
      <c r="A175" s="808">
        <v>201900172</v>
      </c>
      <c r="B175" s="887">
        <v>43796</v>
      </c>
      <c r="C175" s="830" t="s">
        <v>133</v>
      </c>
      <c r="D175" s="1130" t="str">
        <f>IFERROR(VLOOKUP(G175,PosAggregate!$B$13:$B$89,1,FALSE),"")</f>
        <v/>
      </c>
      <c r="E175" s="769" t="s">
        <v>1606</v>
      </c>
      <c r="F175" s="1006" t="str">
        <f t="shared" si="29"/>
        <v/>
      </c>
      <c r="G175" s="855" t="s">
        <v>1574</v>
      </c>
      <c r="H175" s="558"/>
      <c r="I175" s="833" t="s">
        <v>1578</v>
      </c>
      <c r="J175" s="833" t="s">
        <v>123</v>
      </c>
      <c r="K175" s="744">
        <v>7799.9452000000001</v>
      </c>
      <c r="L175" s="834"/>
      <c r="M175" s="835">
        <v>4200</v>
      </c>
      <c r="N175" s="974">
        <f t="shared" si="35"/>
        <v>-32759769.84</v>
      </c>
      <c r="O175" s="880">
        <v>-49140</v>
      </c>
      <c r="P175" s="835"/>
      <c r="Q175" s="835"/>
      <c r="R175" s="978">
        <f t="shared" si="36"/>
        <v>-32808909.84</v>
      </c>
      <c r="S175" s="744">
        <v>1291.7116363075697</v>
      </c>
      <c r="T175" s="983">
        <f t="shared" si="37"/>
        <v>-25399.562036760861</v>
      </c>
      <c r="U175" s="839">
        <v>43798</v>
      </c>
      <c r="V175" s="888" t="s">
        <v>1184</v>
      </c>
      <c r="W175" s="840"/>
      <c r="X175" s="971">
        <f t="shared" si="38"/>
        <v>0.15000105385355786</v>
      </c>
      <c r="Y175" s="972" t="e">
        <f>VLOOKUP(V175,'bic broker'!$A$1:$B$14,2,FALSE)</f>
        <v>#N/A</v>
      </c>
      <c r="Z175" s="972" t="str">
        <f>VLOOKUP(AA175,'place of settlement'!A:C,2,FALSE)</f>
        <v>KSDCKRSEXXX</v>
      </c>
      <c r="AA175" s="972" t="str">
        <f t="shared" si="39"/>
        <v>KR</v>
      </c>
      <c r="AB175" s="972" t="str">
        <f t="shared" si="40"/>
        <v>SamsungKR</v>
      </c>
      <c r="AC175" s="972" t="e">
        <f>VLOOKUP(AB175,sample!$1:$1048576,2,FALSE)</f>
        <v>#N/A</v>
      </c>
      <c r="AD175" s="972" t="e">
        <f>VLOOKUP($AB175,sample!$1:$1048576,3,FALSE)</f>
        <v>#N/A</v>
      </c>
      <c r="AE175" s="973" t="e">
        <f>VLOOKUP($AB175,sample!$1:$1048576,4,FALSE)</f>
        <v>#N/A</v>
      </c>
      <c r="AF175" s="972" t="e">
        <f>VLOOKUP($AB175,sample!$1:$1048576,5,FALSE)</f>
        <v>#N/A</v>
      </c>
      <c r="AL175" s="973" t="e">
        <f>VLOOKUP($AB175,sample!$1:$1048576,11,FALSE)</f>
        <v>#N/A</v>
      </c>
      <c r="AM175" s="973" t="e">
        <f>VLOOKUP($AB175,sample!$1:$1048576,12,FALSE)</f>
        <v>#N/A</v>
      </c>
      <c r="AN175" s="973" t="e">
        <f>VLOOKUP($AB175,sample!$1:$1048576,13,FALSE)</f>
        <v>#N/A</v>
      </c>
      <c r="AP175" s="988"/>
    </row>
    <row r="176" spans="1:42" ht="14">
      <c r="A176" s="808">
        <v>201900173</v>
      </c>
      <c r="B176" s="887">
        <v>43796</v>
      </c>
      <c r="C176" s="830" t="s">
        <v>133</v>
      </c>
      <c r="D176" s="1130" t="str">
        <f>IFERROR(VLOOKUP(G176,PosAggregate!$B$13:$B$89,1,FALSE),"")</f>
        <v/>
      </c>
      <c r="E176" s="769" t="s">
        <v>1210</v>
      </c>
      <c r="F176" s="1006" t="str">
        <f t="shared" si="29"/>
        <v/>
      </c>
      <c r="G176" s="855" t="s">
        <v>1160</v>
      </c>
      <c r="H176" s="558"/>
      <c r="I176" s="833" t="s">
        <v>1108</v>
      </c>
      <c r="J176" s="833" t="s">
        <v>123</v>
      </c>
      <c r="K176" s="744">
        <v>3667.8216000000002</v>
      </c>
      <c r="L176" s="834"/>
      <c r="M176" s="835">
        <v>482</v>
      </c>
      <c r="N176" s="974">
        <f t="shared" si="35"/>
        <v>-1767890.0112000001</v>
      </c>
      <c r="O176" s="880">
        <v>-2652</v>
      </c>
      <c r="P176" s="835"/>
      <c r="Q176" s="835"/>
      <c r="R176" s="978">
        <f t="shared" si="36"/>
        <v>-1770542.0112000001</v>
      </c>
      <c r="S176" s="744">
        <v>1291.7116363075697</v>
      </c>
      <c r="T176" s="983">
        <f t="shared" si="37"/>
        <v>-1370.6944812088198</v>
      </c>
      <c r="U176" s="839">
        <v>43798</v>
      </c>
      <c r="V176" s="888" t="s">
        <v>1184</v>
      </c>
      <c r="W176" s="840"/>
      <c r="X176" s="971">
        <f t="shared" si="38"/>
        <v>0.15000933220952406</v>
      </c>
      <c r="Y176" s="972" t="e">
        <f>VLOOKUP(V176,'bic broker'!$A$1:$B$14,2,FALSE)</f>
        <v>#N/A</v>
      </c>
      <c r="Z176" s="972" t="str">
        <f>VLOOKUP(AA176,'place of settlement'!A:C,2,FALSE)</f>
        <v>KSDCKRSEXXX</v>
      </c>
      <c r="AA176" s="972" t="str">
        <f t="shared" si="39"/>
        <v>KR</v>
      </c>
      <c r="AB176" s="972" t="str">
        <f t="shared" si="40"/>
        <v>SamsungKR</v>
      </c>
      <c r="AC176" s="972" t="e">
        <f>VLOOKUP(AB176,sample!$1:$1048576,2,FALSE)</f>
        <v>#N/A</v>
      </c>
      <c r="AD176" s="972" t="e">
        <f>VLOOKUP($AB176,sample!$1:$1048576,3,FALSE)</f>
        <v>#N/A</v>
      </c>
      <c r="AE176" s="973" t="e">
        <f>VLOOKUP($AB176,sample!$1:$1048576,4,FALSE)</f>
        <v>#N/A</v>
      </c>
      <c r="AF176" s="972" t="e">
        <f>VLOOKUP($AB176,sample!$1:$1048576,5,FALSE)</f>
        <v>#N/A</v>
      </c>
      <c r="AL176" s="973" t="e">
        <f>VLOOKUP($AB176,sample!$1:$1048576,11,FALSE)</f>
        <v>#N/A</v>
      </c>
      <c r="AM176" s="973" t="e">
        <f>VLOOKUP($AB176,sample!$1:$1048576,12,FALSE)</f>
        <v>#N/A</v>
      </c>
      <c r="AN176" s="973" t="e">
        <f>VLOOKUP($AB176,sample!$1:$1048576,13,FALSE)</f>
        <v>#N/A</v>
      </c>
      <c r="AP176" s="988"/>
    </row>
    <row r="177" spans="1:42" ht="14">
      <c r="A177" s="808">
        <v>201900174</v>
      </c>
      <c r="B177" s="887">
        <v>43796</v>
      </c>
      <c r="C177" s="830" t="s">
        <v>133</v>
      </c>
      <c r="D177" s="1130" t="str">
        <f>IFERROR(VLOOKUP(G177,PosAggregate!$B$13:$B$89,1,FALSE),"")</f>
        <v/>
      </c>
      <c r="E177" s="769" t="s">
        <v>1215</v>
      </c>
      <c r="F177" s="1006" t="str">
        <f t="shared" si="29"/>
        <v/>
      </c>
      <c r="G177" s="855" t="s">
        <v>1166</v>
      </c>
      <c r="H177" s="558"/>
      <c r="I177" s="833" t="s">
        <v>1064</v>
      </c>
      <c r="J177" s="833" t="s">
        <v>2</v>
      </c>
      <c r="K177" s="744">
        <v>42.64</v>
      </c>
      <c r="L177" s="834"/>
      <c r="M177" s="835">
        <v>1100</v>
      </c>
      <c r="N177" s="974">
        <f t="shared" si="35"/>
        <v>-46904</v>
      </c>
      <c r="O177" s="880">
        <v>-23.45</v>
      </c>
      <c r="P177" s="835">
        <v>-140.71</v>
      </c>
      <c r="Q177" s="835"/>
      <c r="R177" s="978">
        <f t="shared" si="36"/>
        <v>-47068.159999999996</v>
      </c>
      <c r="S177" s="744">
        <v>1</v>
      </c>
      <c r="T177" s="983">
        <f t="shared" si="37"/>
        <v>-47068.159999999996</v>
      </c>
      <c r="U177" s="839">
        <v>43798</v>
      </c>
      <c r="V177" s="888" t="s">
        <v>2041</v>
      </c>
      <c r="W177" s="840"/>
      <c r="X177" s="971">
        <f t="shared" si="38"/>
        <v>4.9995735971345726E-2</v>
      </c>
      <c r="Y177" s="972" t="str">
        <f>VLOOKUP(V177,'bic broker'!$A$1:$B$14,2,FALSE)</f>
        <v>JBBRFRPPXXX</v>
      </c>
      <c r="Z177" s="972" t="str">
        <f>VLOOKUP(AA177,'place of settlement'!A:C,2,FALSE)</f>
        <v>SICVFRPPXXX</v>
      </c>
      <c r="AA177" s="972" t="str">
        <f t="shared" si="39"/>
        <v>FR</v>
      </c>
      <c r="AB177" s="972" t="str">
        <f t="shared" si="40"/>
        <v>keplerFR</v>
      </c>
      <c r="AC177" s="972" t="str">
        <f>VLOOKUP(AB177,sample!$1:$1048576,2,FALSE)</f>
        <v>JBBRFRPPXXX</v>
      </c>
      <c r="AD177" s="972" t="str">
        <f>VLOOKUP($AB177,sample!$1:$1048576,3,FALSE)</f>
        <v>SICVFRPPXXX</v>
      </c>
      <c r="AE177" s="973" t="str">
        <f>VLOOKUP($AB177,sample!$1:$1048576,4,FALSE)</f>
        <v>SICVPAREFRPPKCH000L10</v>
      </c>
      <c r="AF177" s="972" t="str">
        <f>VLOOKUP($AB177,sample!$1:$1048576,5,FALSE)</f>
        <v>N</v>
      </c>
      <c r="AL177" s="973" t="str">
        <f>VLOOKUP($AB177,sample!$1:$1048576,11,FALSE)</f>
        <v xml:space="preserve">        </v>
      </c>
      <c r="AM177" s="973" t="str">
        <f>VLOOKUP($AB177,sample!$1:$1048576,12,FALSE)</f>
        <v xml:space="preserve">        </v>
      </c>
      <c r="AN177" s="973" t="str">
        <f>VLOOKUP($AB177,sample!$1:$1048576,13,FALSE)</f>
        <v>PAREFRPPKCH</v>
      </c>
      <c r="AP177" s="988"/>
    </row>
    <row r="178" spans="1:42" ht="14">
      <c r="A178" s="808">
        <v>201900175</v>
      </c>
      <c r="B178" s="887">
        <v>43796</v>
      </c>
      <c r="C178" s="830" t="s">
        <v>133</v>
      </c>
      <c r="D178" s="1130" t="str">
        <f>IFERROR(VLOOKUP(G178,PosAggregate!$B$13:$B$89,1,FALSE),"")</f>
        <v/>
      </c>
      <c r="E178" s="769" t="s">
        <v>1214</v>
      </c>
      <c r="F178" s="1006" t="str">
        <f t="shared" si="29"/>
        <v/>
      </c>
      <c r="G178" s="855" t="s">
        <v>1165</v>
      </c>
      <c r="H178" s="558"/>
      <c r="I178" s="833" t="s">
        <v>1180</v>
      </c>
      <c r="J178" s="833" t="s">
        <v>2</v>
      </c>
      <c r="K178" s="744">
        <v>37.78</v>
      </c>
      <c r="L178" s="834"/>
      <c r="M178" s="835">
        <v>1170</v>
      </c>
      <c r="N178" s="974">
        <f t="shared" si="35"/>
        <v>-44202.6</v>
      </c>
      <c r="O178" s="880">
        <v>-22.1</v>
      </c>
      <c r="P178" s="835">
        <v>-132.61000000000001</v>
      </c>
      <c r="Q178" s="835"/>
      <c r="R178" s="978">
        <f t="shared" si="36"/>
        <v>-44357.31</v>
      </c>
      <c r="S178" s="744">
        <v>1</v>
      </c>
      <c r="T178" s="983">
        <f t="shared" si="37"/>
        <v>-44357.31</v>
      </c>
      <c r="U178" s="839">
        <v>43798</v>
      </c>
      <c r="V178" s="888" t="s">
        <v>2041</v>
      </c>
      <c r="W178" s="840"/>
      <c r="X178" s="971">
        <f t="shared" si="38"/>
        <v>4.999705899652962E-2</v>
      </c>
      <c r="Y178" s="972" t="str">
        <f>VLOOKUP(V178,'bic broker'!$A$1:$B$14,2,FALSE)</f>
        <v>JBBRFRPPXXX</v>
      </c>
      <c r="Z178" s="972" t="str">
        <f>VLOOKUP(AA178,'place of settlement'!A:C,2,FALSE)</f>
        <v>SICVFRPPXXX</v>
      </c>
      <c r="AA178" s="972" t="str">
        <f t="shared" si="39"/>
        <v>FR</v>
      </c>
      <c r="AB178" s="972" t="str">
        <f t="shared" si="40"/>
        <v>keplerFR</v>
      </c>
      <c r="AC178" s="972" t="str">
        <f>VLOOKUP(AB178,sample!$1:$1048576,2,FALSE)</f>
        <v>JBBRFRPPXXX</v>
      </c>
      <c r="AD178" s="972" t="str">
        <f>VLOOKUP($AB178,sample!$1:$1048576,3,FALSE)</f>
        <v>SICVFRPPXXX</v>
      </c>
      <c r="AE178" s="973" t="str">
        <f>VLOOKUP($AB178,sample!$1:$1048576,4,FALSE)</f>
        <v>SICVPAREFRPPKCH000L10</v>
      </c>
      <c r="AF178" s="972" t="str">
        <f>VLOOKUP($AB178,sample!$1:$1048576,5,FALSE)</f>
        <v>N</v>
      </c>
      <c r="AL178" s="973" t="str">
        <f>VLOOKUP($AB178,sample!$1:$1048576,11,FALSE)</f>
        <v xml:space="preserve">        </v>
      </c>
      <c r="AM178" s="973" t="str">
        <f>VLOOKUP($AB178,sample!$1:$1048576,12,FALSE)</f>
        <v xml:space="preserve">        </v>
      </c>
      <c r="AN178" s="973" t="str">
        <f>VLOOKUP($AB178,sample!$1:$1048576,13,FALSE)</f>
        <v>PAREFRPPKCH</v>
      </c>
      <c r="AP178" s="988"/>
    </row>
    <row r="179" spans="1:42" ht="14">
      <c r="A179" s="808">
        <v>201900176</v>
      </c>
      <c r="B179" s="887">
        <v>43796</v>
      </c>
      <c r="C179" s="830" t="s">
        <v>133</v>
      </c>
      <c r="D179" s="1130" t="str">
        <f>IFERROR(VLOOKUP(G179,PosAggregate!$B$13:$B$89,1,FALSE),"")</f>
        <v/>
      </c>
      <c r="E179" s="769" t="s">
        <v>1635</v>
      </c>
      <c r="F179" s="1006" t="str">
        <f t="shared" si="29"/>
        <v/>
      </c>
      <c r="G179" s="855" t="s">
        <v>1648</v>
      </c>
      <c r="H179" s="558"/>
      <c r="I179" s="833" t="s">
        <v>1636</v>
      </c>
      <c r="J179" s="833" t="s">
        <v>2</v>
      </c>
      <c r="K179" s="744">
        <v>176.68700000000001</v>
      </c>
      <c r="L179" s="834"/>
      <c r="M179" s="835">
        <v>220</v>
      </c>
      <c r="N179" s="974">
        <f t="shared" si="35"/>
        <v>-38871.14</v>
      </c>
      <c r="O179" s="880">
        <v>-19.440000000000001</v>
      </c>
      <c r="P179" s="835"/>
      <c r="Q179" s="835"/>
      <c r="R179" s="978">
        <f t="shared" si="36"/>
        <v>-38890.58</v>
      </c>
      <c r="S179" s="744">
        <v>1</v>
      </c>
      <c r="T179" s="983">
        <f t="shared" si="37"/>
        <v>-38890.58</v>
      </c>
      <c r="U179" s="839">
        <v>43798</v>
      </c>
      <c r="V179" s="888" t="s">
        <v>2041</v>
      </c>
      <c r="W179" s="840"/>
      <c r="X179" s="971">
        <f t="shared" si="38"/>
        <v>5.0011396629993356E-2</v>
      </c>
      <c r="Y179" s="972" t="str">
        <f>VLOOKUP(V179,'bic broker'!$A$1:$B$14,2,FALSE)</f>
        <v>JBBRFRPPXXX</v>
      </c>
      <c r="Z179" s="972" t="str">
        <f>VLOOKUP(AA179,'place of settlement'!A:C,2,FALSE)</f>
        <v>DAKVDEFFXXX</v>
      </c>
      <c r="AA179" s="972" t="str">
        <f t="shared" si="39"/>
        <v>DE</v>
      </c>
      <c r="AB179" s="972" t="str">
        <f t="shared" si="40"/>
        <v>keplerDE</v>
      </c>
      <c r="AC179" s="972" t="str">
        <f>VLOOKUP(AB179,sample!$1:$1048576,2,FALSE)</f>
        <v>PAREFRPPXXX</v>
      </c>
      <c r="AD179" s="972" t="str">
        <f>VLOOKUP($AB179,sample!$1:$1048576,3,FALSE)</f>
        <v>DAKVDEFFXXX</v>
      </c>
      <c r="AE179" s="973" t="str">
        <f>VLOOKUP($AB179,sample!$1:$1048576,4,FALSE)</f>
        <v>DAKV 8448</v>
      </c>
      <c r="AF179" s="972" t="str">
        <f>VLOOKUP($AB179,sample!$1:$1048576,5,FALSE)</f>
        <v>N</v>
      </c>
      <c r="AL179" s="973" t="str">
        <f>VLOOKUP($AB179,sample!$1:$1048576,11,FALSE)</f>
        <v xml:space="preserve">        </v>
      </c>
      <c r="AM179" s="973" t="str">
        <f>VLOOKUP($AB179,sample!$1:$1048576,12,FALSE)</f>
        <v xml:space="preserve">        </v>
      </c>
      <c r="AN179" s="973" t="str">
        <f>VLOOKUP($AB179,sample!$1:$1048576,13,FALSE)</f>
        <v>SGABCHZZ448</v>
      </c>
      <c r="AP179" s="988"/>
    </row>
    <row r="180" spans="1:42" ht="14">
      <c r="A180" s="808">
        <v>201900177</v>
      </c>
      <c r="B180" s="887">
        <v>43796</v>
      </c>
      <c r="C180" s="881" t="s">
        <v>133</v>
      </c>
      <c r="D180" s="1130" t="str">
        <f>IFERROR(VLOOKUP(G180,PosAggregate!$B$13:$B$89,1,FALSE),"")</f>
        <v/>
      </c>
      <c r="E180" s="769" t="s">
        <v>1222</v>
      </c>
      <c r="F180" s="1006" t="str">
        <f t="shared" si="29"/>
        <v/>
      </c>
      <c r="G180" s="594" t="s">
        <v>1173</v>
      </c>
      <c r="I180" s="833" t="s">
        <v>130</v>
      </c>
      <c r="J180" s="833" t="s">
        <v>2</v>
      </c>
      <c r="K180" s="744">
        <v>43.7834</v>
      </c>
      <c r="L180" s="834"/>
      <c r="M180" s="835">
        <v>1170</v>
      </c>
      <c r="N180" s="974">
        <f t="shared" si="35"/>
        <v>-51226.578000000001</v>
      </c>
      <c r="O180" s="880">
        <v>-25.31</v>
      </c>
      <c r="P180" s="835">
        <v>-153.68</v>
      </c>
      <c r="Q180" s="835"/>
      <c r="R180" s="978">
        <f t="shared" si="36"/>
        <v>-51405.567999999999</v>
      </c>
      <c r="S180" s="744">
        <v>1</v>
      </c>
      <c r="T180" s="983">
        <f t="shared" si="37"/>
        <v>-51405.567999999999</v>
      </c>
      <c r="U180" s="839">
        <v>43798</v>
      </c>
      <c r="V180" s="888" t="s">
        <v>2041</v>
      </c>
      <c r="W180" s="840">
        <v>43796.44989398148</v>
      </c>
      <c r="X180" s="971">
        <f t="shared" si="38"/>
        <v>4.9407946008027316E-2</v>
      </c>
      <c r="Y180" s="972" t="str">
        <f>VLOOKUP(V180,'bic broker'!$A$1:$B$14,2,FALSE)</f>
        <v>JBBRFRPPXXX</v>
      </c>
      <c r="Z180" s="972" t="str">
        <f>VLOOKUP(AA180,'place of settlement'!A:C,2,FALSE)</f>
        <v>SICVFRPPXXX</v>
      </c>
      <c r="AA180" s="972" t="str">
        <f t="shared" si="39"/>
        <v>FR</v>
      </c>
      <c r="AB180" s="972" t="str">
        <f t="shared" si="40"/>
        <v>keplerFR</v>
      </c>
      <c r="AC180" s="972" t="str">
        <f>VLOOKUP(AB180,sample!$1:$1048576,2,FALSE)</f>
        <v>JBBRFRPPXXX</v>
      </c>
      <c r="AD180" s="972" t="str">
        <f>VLOOKUP($AB180,sample!$1:$1048576,3,FALSE)</f>
        <v>SICVFRPPXXX</v>
      </c>
      <c r="AE180" s="973" t="str">
        <f>VLOOKUP($AB180,sample!$1:$1048576,4,FALSE)</f>
        <v>SICVPAREFRPPKCH000L10</v>
      </c>
      <c r="AF180" s="972" t="str">
        <f>VLOOKUP($AB180,sample!$1:$1048576,5,FALSE)</f>
        <v>N</v>
      </c>
      <c r="AL180" s="973" t="str">
        <f>VLOOKUP($AB180,sample!$1:$1048576,11,FALSE)</f>
        <v xml:space="preserve">        </v>
      </c>
      <c r="AM180" s="973" t="str">
        <f>VLOOKUP($AB180,sample!$1:$1048576,12,FALSE)</f>
        <v xml:space="preserve">        </v>
      </c>
      <c r="AN180" s="973" t="str">
        <f>VLOOKUP($AB180,sample!$1:$1048576,13,FALSE)</f>
        <v>PAREFRPPKCH</v>
      </c>
      <c r="AP180" s="988"/>
    </row>
    <row r="181" spans="1:42" ht="14">
      <c r="A181" s="808">
        <v>201900178</v>
      </c>
      <c r="B181" s="887">
        <v>43797</v>
      </c>
      <c r="C181" s="881" t="s">
        <v>133</v>
      </c>
      <c r="D181" s="1130" t="str">
        <f>IFERROR(VLOOKUP(G181,PosAggregate!$B$13:$B$89,1,FALSE),"")</f>
        <v/>
      </c>
      <c r="E181" s="769" t="s">
        <v>1206</v>
      </c>
      <c r="F181" s="1006" t="str">
        <f t="shared" si="29"/>
        <v/>
      </c>
      <c r="G181" s="594" t="s">
        <v>1156</v>
      </c>
      <c r="I181" s="833" t="s">
        <v>1080</v>
      </c>
      <c r="J181" s="833" t="s">
        <v>123</v>
      </c>
      <c r="K181" s="744">
        <v>170420</v>
      </c>
      <c r="L181" s="834"/>
      <c r="M181" s="835">
        <v>300</v>
      </c>
      <c r="N181" s="974">
        <f t="shared" si="35"/>
        <v>-51126000</v>
      </c>
      <c r="O181" s="880">
        <v>-76689</v>
      </c>
      <c r="R181" s="978">
        <f t="shared" si="36"/>
        <v>-51202689</v>
      </c>
      <c r="S181" s="744">
        <v>1296.7276089421171</v>
      </c>
      <c r="T181" s="983">
        <f t="shared" si="37"/>
        <v>-39486.079147934273</v>
      </c>
      <c r="U181" s="839">
        <v>43801</v>
      </c>
      <c r="V181" s="888" t="s">
        <v>1184</v>
      </c>
      <c r="W181" s="840">
        <v>43798.527963194443</v>
      </c>
      <c r="X181" s="971">
        <f t="shared" si="38"/>
        <v>0.15</v>
      </c>
      <c r="Y181" s="972" t="e">
        <f>VLOOKUP(V181,'bic broker'!$A$1:$B$14,2,FALSE)</f>
        <v>#N/A</v>
      </c>
      <c r="Z181" s="972" t="str">
        <f>VLOOKUP(AA181,'place of settlement'!A:C,2,FALSE)</f>
        <v>KSDCKRSEXXX</v>
      </c>
      <c r="AA181" s="972" t="str">
        <f t="shared" si="39"/>
        <v>KR</v>
      </c>
      <c r="AB181" s="972" t="str">
        <f t="shared" si="40"/>
        <v>SamsungKR</v>
      </c>
      <c r="AC181" s="972" t="e">
        <f>VLOOKUP(AB181,sample!$1:$1048576,2,FALSE)</f>
        <v>#N/A</v>
      </c>
      <c r="AD181" s="972" t="e">
        <f>VLOOKUP($AB181,sample!$1:$1048576,3,FALSE)</f>
        <v>#N/A</v>
      </c>
      <c r="AE181" s="973" t="e">
        <f>VLOOKUP($AB181,sample!$1:$1048576,4,FALSE)</f>
        <v>#N/A</v>
      </c>
      <c r="AF181" s="972" t="e">
        <f>VLOOKUP($AB181,sample!$1:$1048576,5,FALSE)</f>
        <v>#N/A</v>
      </c>
      <c r="AL181" s="973" t="e">
        <f>VLOOKUP($AB181,sample!$1:$1048576,11,FALSE)</f>
        <v>#N/A</v>
      </c>
      <c r="AM181" s="973" t="e">
        <f>VLOOKUP($AB181,sample!$1:$1048576,12,FALSE)</f>
        <v>#N/A</v>
      </c>
      <c r="AN181" s="973" t="e">
        <f>VLOOKUP($AB181,sample!$1:$1048576,13,FALSE)</f>
        <v>#N/A</v>
      </c>
      <c r="AP181" s="988"/>
    </row>
    <row r="182" spans="1:42" ht="14">
      <c r="A182" s="808">
        <v>201900179</v>
      </c>
      <c r="B182" s="887">
        <v>43797</v>
      </c>
      <c r="C182" s="881" t="s">
        <v>133</v>
      </c>
      <c r="D182" s="1130" t="str">
        <f>IFERROR(VLOOKUP(G182,PosAggregate!$B$13:$B$89,1,FALSE),"")</f>
        <v/>
      </c>
      <c r="E182" s="769" t="s">
        <v>1208</v>
      </c>
      <c r="F182" s="1006" t="str">
        <f t="shared" si="29"/>
        <v/>
      </c>
      <c r="G182" s="594" t="s">
        <v>1158</v>
      </c>
      <c r="I182" s="833" t="s">
        <v>1082</v>
      </c>
      <c r="J182" s="833" t="s">
        <v>123</v>
      </c>
      <c r="K182" s="744">
        <v>90097</v>
      </c>
      <c r="L182" s="834"/>
      <c r="M182" s="835">
        <v>500</v>
      </c>
      <c r="N182" s="974">
        <f t="shared" si="35"/>
        <v>-45048500</v>
      </c>
      <c r="O182" s="880">
        <v>-67573</v>
      </c>
      <c r="R182" s="978">
        <f t="shared" si="36"/>
        <v>-45116073</v>
      </c>
      <c r="S182" s="744">
        <v>1296.7276089421148</v>
      </c>
      <c r="T182" s="983">
        <f t="shared" si="37"/>
        <v>-34792.251424959024</v>
      </c>
      <c r="U182" s="839">
        <v>43801</v>
      </c>
      <c r="V182" s="888" t="s">
        <v>1184</v>
      </c>
      <c r="W182" s="840">
        <v>43798.528320254627</v>
      </c>
      <c r="X182" s="971">
        <f t="shared" si="38"/>
        <v>0.15000055495743475</v>
      </c>
      <c r="Y182" s="972" t="e">
        <f>VLOOKUP(V182,'bic broker'!$A$1:$B$14,2,FALSE)</f>
        <v>#N/A</v>
      </c>
      <c r="Z182" s="972" t="str">
        <f>VLOOKUP(AA182,'place of settlement'!A:C,2,FALSE)</f>
        <v>KSDCKRSEXXX</v>
      </c>
      <c r="AA182" s="972" t="str">
        <f t="shared" si="39"/>
        <v>KR</v>
      </c>
      <c r="AB182" s="972" t="str">
        <f t="shared" si="40"/>
        <v>SamsungKR</v>
      </c>
      <c r="AC182" s="972" t="e">
        <f>VLOOKUP(AB182,sample!$1:$1048576,2,FALSE)</f>
        <v>#N/A</v>
      </c>
      <c r="AD182" s="972" t="e">
        <f>VLOOKUP($AB182,sample!$1:$1048576,3,FALSE)</f>
        <v>#N/A</v>
      </c>
      <c r="AE182" s="973" t="e">
        <f>VLOOKUP($AB182,sample!$1:$1048576,4,FALSE)</f>
        <v>#N/A</v>
      </c>
      <c r="AF182" s="972" t="e">
        <f>VLOOKUP($AB182,sample!$1:$1048576,5,FALSE)</f>
        <v>#N/A</v>
      </c>
      <c r="AL182" s="973" t="e">
        <f>VLOOKUP($AB182,sample!$1:$1048576,11,FALSE)</f>
        <v>#N/A</v>
      </c>
      <c r="AM182" s="973" t="e">
        <f>VLOOKUP($AB182,sample!$1:$1048576,12,FALSE)</f>
        <v>#N/A</v>
      </c>
      <c r="AN182" s="973" t="e">
        <f>VLOOKUP($AB182,sample!$1:$1048576,13,FALSE)</f>
        <v>#N/A</v>
      </c>
      <c r="AP182" s="988"/>
    </row>
    <row r="183" spans="1:42" ht="14">
      <c r="A183" s="808">
        <v>201900180</v>
      </c>
      <c r="B183" s="887">
        <v>43797</v>
      </c>
      <c r="C183" s="881" t="s">
        <v>133</v>
      </c>
      <c r="D183" s="1130" t="str">
        <f>IFERROR(VLOOKUP(G183,PosAggregate!$B$13:$B$89,1,FALSE),"")</f>
        <v/>
      </c>
      <c r="E183" s="769" t="s">
        <v>1209</v>
      </c>
      <c r="F183" s="1006" t="str">
        <f t="shared" si="29"/>
        <v/>
      </c>
      <c r="G183" s="594" t="s">
        <v>1650</v>
      </c>
      <c r="I183" s="833" t="s">
        <v>1102</v>
      </c>
      <c r="J183" s="833" t="s">
        <v>123</v>
      </c>
      <c r="K183" s="744">
        <v>112594.04760000001</v>
      </c>
      <c r="L183" s="834"/>
      <c r="M183" s="856">
        <v>420</v>
      </c>
      <c r="N183" s="974">
        <f t="shared" si="35"/>
        <v>-47289499.991999999</v>
      </c>
      <c r="O183" s="880">
        <v>-70934</v>
      </c>
      <c r="R183" s="978">
        <f t="shared" si="36"/>
        <v>-47360433.991999999</v>
      </c>
      <c r="S183" s="744">
        <v>1296.7276089421146</v>
      </c>
      <c r="T183" s="983">
        <f t="shared" si="37"/>
        <v>-36523.039738960433</v>
      </c>
      <c r="U183" s="839">
        <v>43801</v>
      </c>
      <c r="V183" s="888" t="s">
        <v>1184</v>
      </c>
      <c r="W183" s="840">
        <v>43798.5287537037</v>
      </c>
      <c r="X183" s="971">
        <f t="shared" si="38"/>
        <v>0.14999947136679381</v>
      </c>
      <c r="Y183" s="972" t="e">
        <f>VLOOKUP(V183,'bic broker'!$A$1:$B$14,2,FALSE)</f>
        <v>#N/A</v>
      </c>
      <c r="Z183" s="972" t="str">
        <f>VLOOKUP(AA183,'place of settlement'!A:C,2,FALSE)</f>
        <v>KSDCKRSEXXX</v>
      </c>
      <c r="AA183" s="972" t="str">
        <f t="shared" si="39"/>
        <v>KR</v>
      </c>
      <c r="AB183" s="972" t="str">
        <f t="shared" si="40"/>
        <v>SamsungKR</v>
      </c>
      <c r="AC183" s="972" t="e">
        <f>VLOOKUP(AB183,sample!$1:$1048576,2,FALSE)</f>
        <v>#N/A</v>
      </c>
      <c r="AD183" s="972" t="e">
        <f>VLOOKUP($AB183,sample!$1:$1048576,3,FALSE)</f>
        <v>#N/A</v>
      </c>
      <c r="AE183" s="973" t="e">
        <f>VLOOKUP($AB183,sample!$1:$1048576,4,FALSE)</f>
        <v>#N/A</v>
      </c>
      <c r="AF183" s="972" t="e">
        <f>VLOOKUP($AB183,sample!$1:$1048576,5,FALSE)</f>
        <v>#N/A</v>
      </c>
      <c r="AL183" s="973" t="e">
        <f>VLOOKUP($AB183,sample!$1:$1048576,11,FALSE)</f>
        <v>#N/A</v>
      </c>
      <c r="AM183" s="973" t="e">
        <f>VLOOKUP($AB183,sample!$1:$1048576,12,FALSE)</f>
        <v>#N/A</v>
      </c>
      <c r="AN183" s="973" t="e">
        <f>VLOOKUP($AB183,sample!$1:$1048576,13,FALSE)</f>
        <v>#N/A</v>
      </c>
      <c r="AP183" s="988"/>
    </row>
    <row r="184" spans="1:42" ht="14">
      <c r="A184" s="808">
        <v>201900181</v>
      </c>
      <c r="B184" s="887">
        <v>43797</v>
      </c>
      <c r="C184" s="881" t="s">
        <v>133</v>
      </c>
      <c r="D184" s="1130" t="str">
        <f>IFERROR(VLOOKUP(G184,PosAggregate!$B$13:$B$89,1,FALSE),"")</f>
        <v/>
      </c>
      <c r="E184" s="769" t="s">
        <v>1607</v>
      </c>
      <c r="F184" s="1006" t="str">
        <f t="shared" si="29"/>
        <v/>
      </c>
      <c r="G184" s="594" t="s">
        <v>1575</v>
      </c>
      <c r="I184" s="833" t="s">
        <v>1579</v>
      </c>
      <c r="J184" s="833" t="s">
        <v>123</v>
      </c>
      <c r="K184" s="744">
        <v>4608.7475999999997</v>
      </c>
      <c r="L184" s="834"/>
      <c r="M184" s="835">
        <v>4200</v>
      </c>
      <c r="N184" s="974">
        <f t="shared" si="35"/>
        <v>-19356739.919999998</v>
      </c>
      <c r="O184" s="880">
        <v>-29035</v>
      </c>
      <c r="R184" s="978">
        <f t="shared" si="36"/>
        <v>-19385774.919999998</v>
      </c>
      <c r="S184" s="744">
        <v>1296.7276089421143</v>
      </c>
      <c r="T184" s="983">
        <f t="shared" si="37"/>
        <v>-14949.766463147293</v>
      </c>
      <c r="U184" s="839">
        <v>43801</v>
      </c>
      <c r="V184" s="888" t="s">
        <v>1184</v>
      </c>
      <c r="W184" s="840">
        <v>43798.529049074074</v>
      </c>
      <c r="X184" s="971">
        <f t="shared" si="38"/>
        <v>0.14999943234242724</v>
      </c>
      <c r="Y184" s="972" t="e">
        <f>VLOOKUP(V184,'bic broker'!$A$1:$B$14,2,FALSE)</f>
        <v>#N/A</v>
      </c>
      <c r="Z184" s="972" t="str">
        <f>VLOOKUP(AA184,'place of settlement'!A:C,2,FALSE)</f>
        <v>KSDCKRSEXXX</v>
      </c>
      <c r="AA184" s="972" t="str">
        <f t="shared" si="39"/>
        <v>KR</v>
      </c>
      <c r="AB184" s="972" t="str">
        <f t="shared" si="40"/>
        <v>SamsungKR</v>
      </c>
      <c r="AC184" s="972" t="e">
        <f>VLOOKUP(AB184,sample!$1:$1048576,2,FALSE)</f>
        <v>#N/A</v>
      </c>
      <c r="AD184" s="972" t="e">
        <f>VLOOKUP($AB184,sample!$1:$1048576,3,FALSE)</f>
        <v>#N/A</v>
      </c>
      <c r="AE184" s="973" t="e">
        <f>VLOOKUP($AB184,sample!$1:$1048576,4,FALSE)</f>
        <v>#N/A</v>
      </c>
      <c r="AF184" s="972" t="e">
        <f>VLOOKUP($AB184,sample!$1:$1048576,5,FALSE)</f>
        <v>#N/A</v>
      </c>
      <c r="AL184" s="973" t="e">
        <f>VLOOKUP($AB184,sample!$1:$1048576,11,FALSE)</f>
        <v>#N/A</v>
      </c>
      <c r="AM184" s="973" t="e">
        <f>VLOOKUP($AB184,sample!$1:$1048576,12,FALSE)</f>
        <v>#N/A</v>
      </c>
      <c r="AN184" s="973" t="e">
        <f>VLOOKUP($AB184,sample!$1:$1048576,13,FALSE)</f>
        <v>#N/A</v>
      </c>
      <c r="AP184" s="988"/>
    </row>
    <row r="185" spans="1:42" ht="14">
      <c r="A185" s="808">
        <v>201900182</v>
      </c>
      <c r="B185" s="887">
        <v>43797</v>
      </c>
      <c r="C185" s="881" t="s">
        <v>133</v>
      </c>
      <c r="D185" s="1130" t="str">
        <f>IFERROR(VLOOKUP(G185,PosAggregate!$B$13:$B$89,1,FALSE),"")</f>
        <v/>
      </c>
      <c r="E185" s="769" t="s">
        <v>1210</v>
      </c>
      <c r="F185" s="1006" t="str">
        <f t="shared" si="29"/>
        <v/>
      </c>
      <c r="G185" s="594" t="s">
        <v>1160</v>
      </c>
      <c r="I185" s="833" t="s">
        <v>1108</v>
      </c>
      <c r="J185" s="833" t="s">
        <v>123</v>
      </c>
      <c r="K185" s="744">
        <v>3642.1055999999999</v>
      </c>
      <c r="L185" s="834"/>
      <c r="M185" s="835">
        <v>729</v>
      </c>
      <c r="N185" s="974">
        <f t="shared" si="35"/>
        <v>-2655094.9824000001</v>
      </c>
      <c r="O185" s="880">
        <v>-3983</v>
      </c>
      <c r="R185" s="978">
        <f t="shared" si="36"/>
        <v>-2659077.9824000001</v>
      </c>
      <c r="S185" s="744">
        <v>1296.7276089421123</v>
      </c>
      <c r="T185" s="983">
        <f t="shared" si="37"/>
        <v>-2050.6064373606664</v>
      </c>
      <c r="U185" s="839">
        <v>43801</v>
      </c>
      <c r="V185" s="888" t="s">
        <v>1184</v>
      </c>
      <c r="W185" s="840">
        <v>43798.529292129628</v>
      </c>
      <c r="X185" s="971">
        <f t="shared" si="38"/>
        <v>0.1500134656726923</v>
      </c>
      <c r="Y185" s="972" t="e">
        <f>VLOOKUP(V185,'bic broker'!$A$1:$B$14,2,FALSE)</f>
        <v>#N/A</v>
      </c>
      <c r="Z185" s="972" t="str">
        <f>VLOOKUP(AA185,'place of settlement'!A:C,2,FALSE)</f>
        <v>KSDCKRSEXXX</v>
      </c>
      <c r="AA185" s="972" t="str">
        <f t="shared" si="39"/>
        <v>KR</v>
      </c>
      <c r="AB185" s="972" t="str">
        <f t="shared" si="40"/>
        <v>SamsungKR</v>
      </c>
      <c r="AC185" s="972" t="e">
        <f>VLOOKUP(AB185,sample!$1:$1048576,2,FALSE)</f>
        <v>#N/A</v>
      </c>
      <c r="AD185" s="972" t="e">
        <f>VLOOKUP($AB185,sample!$1:$1048576,3,FALSE)</f>
        <v>#N/A</v>
      </c>
      <c r="AE185" s="973" t="e">
        <f>VLOOKUP($AB185,sample!$1:$1048576,4,FALSE)</f>
        <v>#N/A</v>
      </c>
      <c r="AF185" s="972" t="e">
        <f>VLOOKUP($AB185,sample!$1:$1048576,5,FALSE)</f>
        <v>#N/A</v>
      </c>
      <c r="AL185" s="973" t="e">
        <f>VLOOKUP($AB185,sample!$1:$1048576,11,FALSE)</f>
        <v>#N/A</v>
      </c>
      <c r="AM185" s="973" t="e">
        <f>VLOOKUP($AB185,sample!$1:$1048576,12,FALSE)</f>
        <v>#N/A</v>
      </c>
      <c r="AN185" s="973" t="e">
        <f>VLOOKUP($AB185,sample!$1:$1048576,13,FALSE)</f>
        <v>#N/A</v>
      </c>
      <c r="AP185" s="988"/>
    </row>
    <row r="186" spans="1:42" ht="14">
      <c r="A186" s="808">
        <v>201900183</v>
      </c>
      <c r="B186" s="887">
        <v>43812</v>
      </c>
      <c r="C186" s="881" t="s">
        <v>133</v>
      </c>
      <c r="D186" s="1130" t="str">
        <f>IFERROR(VLOOKUP(G186,PosAggregate!$B$13:$B$89,1,FALSE),"")</f>
        <v/>
      </c>
      <c r="E186" s="769" t="s">
        <v>1642</v>
      </c>
      <c r="F186" s="1006" t="str">
        <f t="shared" si="29"/>
        <v/>
      </c>
      <c r="G186" s="594" t="s">
        <v>1634</v>
      </c>
      <c r="I186" s="833" t="s">
        <v>1639</v>
      </c>
      <c r="J186" s="833" t="s">
        <v>1069</v>
      </c>
      <c r="K186" s="744">
        <v>0.26663999999999999</v>
      </c>
      <c r="L186" s="834"/>
      <c r="M186" s="835">
        <v>230000</v>
      </c>
      <c r="N186" s="974">
        <f t="shared" si="35"/>
        <v>-61327.199999999997</v>
      </c>
      <c r="O186" s="880">
        <v>-49.06</v>
      </c>
      <c r="R186" s="978">
        <f t="shared" si="36"/>
        <v>-61376.259999999995</v>
      </c>
      <c r="S186" s="744">
        <v>1.6188642711683332</v>
      </c>
      <c r="T186" s="983">
        <f t="shared" si="37"/>
        <v>-37913.15991902446</v>
      </c>
      <c r="U186" s="839">
        <v>43816</v>
      </c>
      <c r="V186" s="888" t="s">
        <v>1628</v>
      </c>
      <c r="W186" s="840">
        <v>43811.648815740744</v>
      </c>
      <c r="X186" s="971">
        <f t="shared" si="38"/>
        <v>7.9997130147797399E-2</v>
      </c>
      <c r="Y186" s="972" t="str">
        <f>VLOOKUP(V186,'bic broker'!$A$1:$B$14,2,FALSE)</f>
        <v>TAVSGB21XXX</v>
      </c>
      <c r="Z186" s="972" t="str">
        <f>VLOOKUP(AA186,'place of settlement'!A:C,2,FALSE)</f>
        <v>CAETAU21XXX</v>
      </c>
      <c r="AA186" s="972" t="str">
        <f t="shared" si="39"/>
        <v>AU</v>
      </c>
      <c r="AB186" s="972" t="str">
        <f t="shared" si="40"/>
        <v>TaviraAU</v>
      </c>
      <c r="AC186" s="972" t="e">
        <f>VLOOKUP(AB186,sample!$1:$1048576,2,FALSE)</f>
        <v>#N/A</v>
      </c>
      <c r="AD186" s="972" t="e">
        <f>VLOOKUP($AB186,sample!$1:$1048576,3,FALSE)</f>
        <v>#N/A</v>
      </c>
      <c r="AE186" s="973" t="e">
        <f>VLOOKUP($AB186,sample!$1:$1048576,4,FALSE)</f>
        <v>#N/A</v>
      </c>
      <c r="AF186" s="972" t="e">
        <f>VLOOKUP($AB186,sample!$1:$1048576,5,FALSE)</f>
        <v>#N/A</v>
      </c>
      <c r="AL186" s="973" t="e">
        <f>VLOOKUP($AB186,sample!$1:$1048576,11,FALSE)</f>
        <v>#N/A</v>
      </c>
      <c r="AM186" s="973" t="e">
        <f>VLOOKUP($AB186,sample!$1:$1048576,12,FALSE)</f>
        <v>#N/A</v>
      </c>
      <c r="AN186" s="973" t="e">
        <f>VLOOKUP($AB186,sample!$1:$1048576,13,FALSE)</f>
        <v>#N/A</v>
      </c>
      <c r="AP186" s="988"/>
    </row>
    <row r="187" spans="1:42" ht="14">
      <c r="A187" s="808">
        <v>201900184</v>
      </c>
      <c r="B187" s="887">
        <v>43812</v>
      </c>
      <c r="C187" s="881" t="s">
        <v>133</v>
      </c>
      <c r="D187" s="1130" t="str">
        <f>IFERROR(VLOOKUP(G187,PosAggregate!$B$13:$B$89,1,FALSE),"")</f>
        <v/>
      </c>
      <c r="E187" s="769" t="s">
        <v>1208</v>
      </c>
      <c r="F187" s="1006" t="str">
        <f t="shared" si="29"/>
        <v/>
      </c>
      <c r="G187" s="594" t="s">
        <v>1652</v>
      </c>
      <c r="I187" s="833" t="s">
        <v>1082</v>
      </c>
      <c r="J187" s="833" t="s">
        <v>123</v>
      </c>
      <c r="K187" s="744">
        <v>91435.6</v>
      </c>
      <c r="L187" s="834"/>
      <c r="M187" s="835">
        <v>750</v>
      </c>
      <c r="N187" s="974">
        <f t="shared" si="35"/>
        <v>-68576700</v>
      </c>
      <c r="O187" s="880">
        <v>-102865</v>
      </c>
      <c r="R187" s="978">
        <f t="shared" si="36"/>
        <v>-68679565</v>
      </c>
      <c r="S187" s="744">
        <v>1322.6912077273173</v>
      </c>
      <c r="T187" s="983">
        <f t="shared" si="37"/>
        <v>-51924.110932896445</v>
      </c>
      <c r="U187" s="839">
        <v>43816</v>
      </c>
      <c r="V187" s="888" t="s">
        <v>1184</v>
      </c>
      <c r="W187" s="840">
        <v>43811.657576967591</v>
      </c>
      <c r="X187" s="971">
        <f t="shared" si="38"/>
        <v>0.14999992708893836</v>
      </c>
      <c r="Y187" s="972" t="e">
        <f>VLOOKUP(V187,'bic broker'!$A$1:$B$14,2,FALSE)</f>
        <v>#N/A</v>
      </c>
      <c r="Z187" s="972" t="str">
        <f>VLOOKUP(AA187,'place of settlement'!A:C,2,FALSE)</f>
        <v>KSDCKRSEXXX</v>
      </c>
      <c r="AA187" s="972" t="str">
        <f t="shared" si="39"/>
        <v>KR</v>
      </c>
      <c r="AB187" s="972" t="str">
        <f t="shared" si="40"/>
        <v>SamsungKR</v>
      </c>
      <c r="AC187" s="972" t="e">
        <f>VLOOKUP(AB187,sample!$1:$1048576,2,FALSE)</f>
        <v>#N/A</v>
      </c>
      <c r="AD187" s="972" t="e">
        <f>VLOOKUP($AB187,sample!$1:$1048576,3,FALSE)</f>
        <v>#N/A</v>
      </c>
      <c r="AE187" s="973" t="e">
        <f>VLOOKUP($AB187,sample!$1:$1048576,4,FALSE)</f>
        <v>#N/A</v>
      </c>
      <c r="AF187" s="972" t="e">
        <f>VLOOKUP($AB187,sample!$1:$1048576,5,FALSE)</f>
        <v>#N/A</v>
      </c>
      <c r="AL187" s="973" t="e">
        <f>VLOOKUP($AB187,sample!$1:$1048576,11,FALSE)</f>
        <v>#N/A</v>
      </c>
      <c r="AM187" s="973" t="e">
        <f>VLOOKUP($AB187,sample!$1:$1048576,12,FALSE)</f>
        <v>#N/A</v>
      </c>
      <c r="AN187" s="973" t="e">
        <f>VLOOKUP($AB187,sample!$1:$1048576,13,FALSE)</f>
        <v>#N/A</v>
      </c>
      <c r="AP187" s="988"/>
    </row>
    <row r="188" spans="1:42" ht="14">
      <c r="A188" s="808">
        <v>201900185</v>
      </c>
      <c r="B188" s="887">
        <v>43812</v>
      </c>
      <c r="C188" s="881" t="s">
        <v>133</v>
      </c>
      <c r="D188" s="1130" t="str">
        <f>IFERROR(VLOOKUP(G188,PosAggregate!$B$13:$B$89,1,FALSE),"")</f>
        <v/>
      </c>
      <c r="E188" s="769" t="s">
        <v>1654</v>
      </c>
      <c r="F188" s="1006" t="str">
        <f t="shared" si="29"/>
        <v/>
      </c>
      <c r="G188" s="594" t="s">
        <v>1647</v>
      </c>
      <c r="I188" s="833" t="s">
        <v>1655</v>
      </c>
      <c r="J188" s="833" t="s">
        <v>1069</v>
      </c>
      <c r="K188" s="744">
        <v>3.0557699999999999</v>
      </c>
      <c r="L188" s="834"/>
      <c r="M188" s="835">
        <v>23500</v>
      </c>
      <c r="N188" s="974">
        <f t="shared" si="35"/>
        <v>-71810.595000000001</v>
      </c>
      <c r="O188" s="880">
        <v>-57.45</v>
      </c>
      <c r="R188" s="978">
        <f t="shared" si="36"/>
        <v>-71868.044999999998</v>
      </c>
      <c r="S188" s="744">
        <v>1.6188642711683294</v>
      </c>
      <c r="T188" s="983">
        <f t="shared" si="37"/>
        <v>-44394.113997051187</v>
      </c>
      <c r="U188" s="839">
        <v>43816</v>
      </c>
      <c r="V188" s="888" t="s">
        <v>1628</v>
      </c>
      <c r="W188" s="840">
        <v>43811.661746180558</v>
      </c>
      <c r="X188" s="971">
        <f t="shared" si="38"/>
        <v>8.0002122249509283E-2</v>
      </c>
      <c r="Y188" s="972" t="str">
        <f>VLOOKUP(V188,'bic broker'!$A$1:$B$14,2,FALSE)</f>
        <v>TAVSGB21XXX</v>
      </c>
      <c r="Z188" s="972" t="str">
        <f>VLOOKUP(AA188,'place of settlement'!A:C,2,FALSE)</f>
        <v>CAETAU21XXX</v>
      </c>
      <c r="AA188" s="972" t="str">
        <f t="shared" si="39"/>
        <v>AU</v>
      </c>
      <c r="AB188" s="972" t="str">
        <f t="shared" si="40"/>
        <v>TaviraAU</v>
      </c>
      <c r="AC188" s="972" t="e">
        <f>VLOOKUP(AB188,sample!$1:$1048576,2,FALSE)</f>
        <v>#N/A</v>
      </c>
      <c r="AD188" s="972" t="e">
        <f>VLOOKUP($AB188,sample!$1:$1048576,3,FALSE)</f>
        <v>#N/A</v>
      </c>
      <c r="AE188" s="973" t="e">
        <f>VLOOKUP($AB188,sample!$1:$1048576,4,FALSE)</f>
        <v>#N/A</v>
      </c>
      <c r="AF188" s="972" t="e">
        <f>VLOOKUP($AB188,sample!$1:$1048576,5,FALSE)</f>
        <v>#N/A</v>
      </c>
      <c r="AL188" s="973" t="e">
        <f>VLOOKUP($AB188,sample!$1:$1048576,11,FALSE)</f>
        <v>#N/A</v>
      </c>
      <c r="AM188" s="973" t="e">
        <f>VLOOKUP($AB188,sample!$1:$1048576,12,FALSE)</f>
        <v>#N/A</v>
      </c>
      <c r="AN188" s="973" t="e">
        <f>VLOOKUP($AB188,sample!$1:$1048576,13,FALSE)</f>
        <v>#N/A</v>
      </c>
      <c r="AP188" s="988"/>
    </row>
    <row r="189" spans="1:42" ht="14">
      <c r="A189" s="808">
        <v>201900186</v>
      </c>
      <c r="B189" s="887">
        <v>43833</v>
      </c>
      <c r="C189" s="881" t="s">
        <v>133</v>
      </c>
      <c r="D189" s="1130" t="str">
        <f>IFERROR(VLOOKUP(G189,PosAggregate!$B$13:$B$89,1,FALSE),"")</f>
        <v/>
      </c>
      <c r="E189" s="769" t="s">
        <v>1654</v>
      </c>
      <c r="F189" s="1006" t="str">
        <f t="shared" si="29"/>
        <v/>
      </c>
      <c r="G189" s="594" t="s">
        <v>1647</v>
      </c>
      <c r="I189" s="833" t="s">
        <v>1655</v>
      </c>
      <c r="J189" s="833" t="s">
        <v>1069</v>
      </c>
      <c r="K189" s="744">
        <v>3.04392</v>
      </c>
      <c r="L189" s="834"/>
      <c r="M189" s="835">
        <v>40000</v>
      </c>
      <c r="N189" s="974">
        <f t="shared" ref="N189:N220" si="41">-K189*M189</f>
        <v>-121756.8</v>
      </c>
      <c r="O189" s="880">
        <v>-36.53</v>
      </c>
      <c r="R189" s="978">
        <f t="shared" ref="R189:R220" si="42">SUM(N189:Q189)</f>
        <v>-121793.33</v>
      </c>
      <c r="S189" s="744">
        <v>1.5975494921866287</v>
      </c>
      <c r="T189" s="983">
        <f t="shared" ref="T189:T220" si="43">+R189/S189</f>
        <v>-76237.594262758459</v>
      </c>
      <c r="U189" s="839">
        <v>43837</v>
      </c>
      <c r="V189" s="831" t="s">
        <v>1628</v>
      </c>
      <c r="W189" s="840">
        <v>43832.973064583333</v>
      </c>
      <c r="X189" s="971">
        <f t="shared" ref="X189:X220" si="44">+O189/N189*100</f>
        <v>3.000243107571815E-2</v>
      </c>
      <c r="Y189" s="972" t="str">
        <f>VLOOKUP(V189,'bic broker'!$A$1:$B$14,2,FALSE)</f>
        <v>TAVSGB21XXX</v>
      </c>
      <c r="Z189" s="972" t="str">
        <f>VLOOKUP(AA189,'place of settlement'!A:C,2,FALSE)</f>
        <v>CAETAU21XXX</v>
      </c>
      <c r="AA189" s="972" t="str">
        <f t="shared" ref="AA189:AA220" si="45">LEFT(E189,2)</f>
        <v>AU</v>
      </c>
      <c r="AB189" s="972" t="str">
        <f t="shared" ref="AB189:AB220" si="46">CONCATENATE(V189,AA189)</f>
        <v>TaviraAU</v>
      </c>
      <c r="AC189" s="972" t="e">
        <f>VLOOKUP(AB189,sample!$1:$1048576,2,FALSE)</f>
        <v>#N/A</v>
      </c>
      <c r="AD189" s="972" t="e">
        <f>VLOOKUP($AB189,sample!$1:$1048576,3,FALSE)</f>
        <v>#N/A</v>
      </c>
      <c r="AE189" s="973" t="e">
        <f>VLOOKUP($AB189,sample!$1:$1048576,4,FALSE)</f>
        <v>#N/A</v>
      </c>
      <c r="AF189" s="972" t="e">
        <f>VLOOKUP($AB189,sample!$1:$1048576,5,FALSE)</f>
        <v>#N/A</v>
      </c>
      <c r="AL189" s="973" t="e">
        <f>VLOOKUP($AB189,sample!$1:$1048576,11,FALSE)</f>
        <v>#N/A</v>
      </c>
      <c r="AM189" s="973" t="e">
        <f>VLOOKUP($AB189,sample!$1:$1048576,12,FALSE)</f>
        <v>#N/A</v>
      </c>
      <c r="AN189" s="973" t="e">
        <f>VLOOKUP($AB189,sample!$1:$1048576,13,FALSE)</f>
        <v>#N/A</v>
      </c>
      <c r="AP189" s="988"/>
    </row>
    <row r="190" spans="1:42" ht="14">
      <c r="A190" s="808">
        <v>201900187</v>
      </c>
      <c r="B190" s="887">
        <v>43833</v>
      </c>
      <c r="C190" s="881" t="s">
        <v>133</v>
      </c>
      <c r="D190" s="1130" t="str">
        <f>IFERROR(VLOOKUP(G190,PosAggregate!$B$13:$B$89,1,FALSE),"")</f>
        <v/>
      </c>
      <c r="E190" s="769" t="s">
        <v>1611</v>
      </c>
      <c r="F190" s="1006" t="str">
        <f t="shared" si="29"/>
        <v/>
      </c>
      <c r="G190" s="594" t="s">
        <v>1601</v>
      </c>
      <c r="I190" s="882" t="s">
        <v>1602</v>
      </c>
      <c r="J190" s="833" t="s">
        <v>1065</v>
      </c>
      <c r="K190" s="744">
        <v>4.4669717999999996</v>
      </c>
      <c r="L190" s="834"/>
      <c r="M190" s="835">
        <v>142000</v>
      </c>
      <c r="N190" s="974">
        <f t="shared" si="41"/>
        <v>-634309.99559999991</v>
      </c>
      <c r="O190" s="880">
        <v>-951.47</v>
      </c>
      <c r="R190" s="978">
        <f t="shared" si="42"/>
        <v>-635261.46559999988</v>
      </c>
      <c r="S190" s="744">
        <v>8.6994839487970061</v>
      </c>
      <c r="T190" s="983">
        <f t="shared" si="43"/>
        <v>-73022.890706964972</v>
      </c>
      <c r="U190" s="839">
        <v>43837</v>
      </c>
      <c r="V190" s="831" t="s">
        <v>1603</v>
      </c>
      <c r="W190" s="840">
        <v>43833.408938078705</v>
      </c>
      <c r="X190" s="971">
        <f t="shared" si="44"/>
        <v>0.15000078929861344</v>
      </c>
      <c r="Y190" s="972" t="str">
        <f>VLOOKUP(V190,'bic broker'!$A$1:$B$14,2,FALSE)</f>
        <v>DBSVHKH1XXX</v>
      </c>
      <c r="Z190" s="972" t="str">
        <f>VLOOKUP(AA190,'place of settlement'!A:C,2,FALSE)</f>
        <v>XHKCHKH1XXX</v>
      </c>
      <c r="AA190" s="972" t="str">
        <f t="shared" si="45"/>
        <v>CN</v>
      </c>
      <c r="AB190" s="972" t="str">
        <f t="shared" si="46"/>
        <v>DBSCN</v>
      </c>
      <c r="AC190" s="972" t="e">
        <f>VLOOKUP(AB190,sample!$1:$1048576,2,FALSE)</f>
        <v>#N/A</v>
      </c>
      <c r="AD190" s="972" t="e">
        <f>VLOOKUP($AB190,sample!$1:$1048576,3,FALSE)</f>
        <v>#N/A</v>
      </c>
      <c r="AE190" s="973" t="e">
        <f>VLOOKUP($AB190,sample!$1:$1048576,4,FALSE)</f>
        <v>#N/A</v>
      </c>
      <c r="AF190" s="972" t="e">
        <f>VLOOKUP($AB190,sample!$1:$1048576,5,FALSE)</f>
        <v>#N/A</v>
      </c>
      <c r="AL190" s="973" t="e">
        <f>VLOOKUP($AB190,sample!$1:$1048576,11,FALSE)</f>
        <v>#N/A</v>
      </c>
      <c r="AM190" s="973" t="e">
        <f>VLOOKUP($AB190,sample!$1:$1048576,12,FALSE)</f>
        <v>#N/A</v>
      </c>
      <c r="AN190" s="973" t="e">
        <f>VLOOKUP($AB190,sample!$1:$1048576,13,FALSE)</f>
        <v>#N/A</v>
      </c>
      <c r="AP190" s="988"/>
    </row>
    <row r="191" spans="1:42" ht="14">
      <c r="A191" s="808">
        <v>201900188</v>
      </c>
      <c r="B191" s="887">
        <v>43833</v>
      </c>
      <c r="C191" s="881" t="s">
        <v>133</v>
      </c>
      <c r="D191" s="1130" t="str">
        <f>IFERROR(VLOOKUP(G191,PosAggregate!$B$13:$B$89,1,FALSE),"")</f>
        <v/>
      </c>
      <c r="E191" s="769" t="s">
        <v>1208</v>
      </c>
      <c r="F191" s="1006" t="str">
        <f t="shared" si="29"/>
        <v/>
      </c>
      <c r="G191" s="594" t="s">
        <v>1158</v>
      </c>
      <c r="I191" s="833" t="s">
        <v>1082</v>
      </c>
      <c r="J191" s="833" t="s">
        <v>123</v>
      </c>
      <c r="K191" s="744">
        <v>92826.59</v>
      </c>
      <c r="L191" s="834"/>
      <c r="M191" s="835">
        <v>1700</v>
      </c>
      <c r="N191" s="974">
        <f t="shared" si="41"/>
        <v>-157805203</v>
      </c>
      <c r="O191" s="880">
        <v>-236708</v>
      </c>
      <c r="R191" s="978">
        <f t="shared" si="42"/>
        <v>-158041911</v>
      </c>
      <c r="S191" s="744">
        <v>1292.7529432790479</v>
      </c>
      <c r="T191" s="983">
        <f t="shared" si="43"/>
        <v>-122252.21518284007</v>
      </c>
      <c r="U191" s="839">
        <v>43837</v>
      </c>
      <c r="V191" s="831" t="s">
        <v>1184</v>
      </c>
      <c r="W191" s="840">
        <v>43833.41056689815</v>
      </c>
      <c r="X191" s="971">
        <f t="shared" si="44"/>
        <v>0.15000012388691647</v>
      </c>
      <c r="Y191" s="972" t="e">
        <f>VLOOKUP(V191,'bic broker'!$A$1:$B$14,2,FALSE)</f>
        <v>#N/A</v>
      </c>
      <c r="Z191" s="972" t="str">
        <f>VLOOKUP(AA191,'place of settlement'!A:C,2,FALSE)</f>
        <v>KSDCKRSEXXX</v>
      </c>
      <c r="AA191" s="972" t="str">
        <f t="shared" si="45"/>
        <v>KR</v>
      </c>
      <c r="AB191" s="972" t="str">
        <f t="shared" si="46"/>
        <v>SamsungKR</v>
      </c>
      <c r="AC191" s="972" t="e">
        <f>VLOOKUP(AB191,sample!$1:$1048576,2,FALSE)</f>
        <v>#N/A</v>
      </c>
      <c r="AD191" s="972" t="e">
        <f>VLOOKUP($AB191,sample!$1:$1048576,3,FALSE)</f>
        <v>#N/A</v>
      </c>
      <c r="AE191" s="973" t="e">
        <f>VLOOKUP($AB191,sample!$1:$1048576,4,FALSE)</f>
        <v>#N/A</v>
      </c>
      <c r="AF191" s="972" t="e">
        <f>VLOOKUP($AB191,sample!$1:$1048576,5,FALSE)</f>
        <v>#N/A</v>
      </c>
      <c r="AL191" s="973" t="e">
        <f>VLOOKUP($AB191,sample!$1:$1048576,11,FALSE)</f>
        <v>#N/A</v>
      </c>
      <c r="AM191" s="973" t="e">
        <f>VLOOKUP($AB191,sample!$1:$1048576,12,FALSE)</f>
        <v>#N/A</v>
      </c>
      <c r="AN191" s="973" t="e">
        <f>VLOOKUP($AB191,sample!$1:$1048576,13,FALSE)</f>
        <v>#N/A</v>
      </c>
      <c r="AP191" s="988"/>
    </row>
    <row r="192" spans="1:42" ht="14">
      <c r="A192" s="808">
        <v>201900189</v>
      </c>
      <c r="B192" s="887">
        <v>43833</v>
      </c>
      <c r="C192" s="881" t="s">
        <v>133</v>
      </c>
      <c r="D192" s="1130" t="str">
        <f>IFERROR(VLOOKUP(G192,PosAggregate!$B$13:$B$89,1,FALSE),"")</f>
        <v/>
      </c>
      <c r="E192" s="769" t="s">
        <v>1209</v>
      </c>
      <c r="F192" s="1006" t="str">
        <f t="shared" si="29"/>
        <v/>
      </c>
      <c r="G192" s="594" t="s">
        <v>1159</v>
      </c>
      <c r="I192" s="833" t="s">
        <v>1102</v>
      </c>
      <c r="J192" s="833" t="s">
        <v>123</v>
      </c>
      <c r="K192" s="744">
        <v>111414.29</v>
      </c>
      <c r="L192" s="834"/>
      <c r="M192" s="856">
        <v>420</v>
      </c>
      <c r="N192" s="974">
        <f t="shared" si="41"/>
        <v>-46794001.799999997</v>
      </c>
      <c r="O192" s="880">
        <v>-70191</v>
      </c>
      <c r="R192" s="978">
        <f t="shared" si="42"/>
        <v>-46864192.799999997</v>
      </c>
      <c r="S192" s="744">
        <v>1292.7529432790473</v>
      </c>
      <c r="T192" s="983">
        <f t="shared" si="43"/>
        <v>-36251.468653499811</v>
      </c>
      <c r="U192" s="839">
        <v>43837</v>
      </c>
      <c r="V192" s="831" t="s">
        <v>1184</v>
      </c>
      <c r="W192" s="840">
        <v>43833.410884375</v>
      </c>
      <c r="X192" s="971">
        <f t="shared" si="44"/>
        <v>0.14999999423002972</v>
      </c>
      <c r="Y192" s="972" t="e">
        <f>VLOOKUP(V192,'bic broker'!$A$1:$B$14,2,FALSE)</f>
        <v>#N/A</v>
      </c>
      <c r="Z192" s="972" t="str">
        <f>VLOOKUP(AA192,'place of settlement'!A:C,2,FALSE)</f>
        <v>KSDCKRSEXXX</v>
      </c>
      <c r="AA192" s="972" t="str">
        <f t="shared" si="45"/>
        <v>KR</v>
      </c>
      <c r="AB192" s="972" t="str">
        <f t="shared" si="46"/>
        <v>SamsungKR</v>
      </c>
      <c r="AC192" s="972" t="e">
        <f>VLOOKUP(AB192,sample!$1:$1048576,2,FALSE)</f>
        <v>#N/A</v>
      </c>
      <c r="AD192" s="972" t="e">
        <f>VLOOKUP($AB192,sample!$1:$1048576,3,FALSE)</f>
        <v>#N/A</v>
      </c>
      <c r="AE192" s="973" t="e">
        <f>VLOOKUP($AB192,sample!$1:$1048576,4,FALSE)</f>
        <v>#N/A</v>
      </c>
      <c r="AF192" s="972" t="e">
        <f>VLOOKUP($AB192,sample!$1:$1048576,5,FALSE)</f>
        <v>#N/A</v>
      </c>
      <c r="AL192" s="973" t="e">
        <f>VLOOKUP($AB192,sample!$1:$1048576,11,FALSE)</f>
        <v>#N/A</v>
      </c>
      <c r="AM192" s="973" t="e">
        <f>VLOOKUP($AB192,sample!$1:$1048576,12,FALSE)</f>
        <v>#N/A</v>
      </c>
      <c r="AN192" s="973" t="e">
        <f>VLOOKUP($AB192,sample!$1:$1048576,13,FALSE)</f>
        <v>#N/A</v>
      </c>
      <c r="AP192" s="988"/>
    </row>
    <row r="193" spans="1:42" ht="14">
      <c r="A193" s="808">
        <v>201900190</v>
      </c>
      <c r="B193" s="887">
        <v>43833</v>
      </c>
      <c r="C193" s="881" t="s">
        <v>133</v>
      </c>
      <c r="D193" s="1130" t="str">
        <f>IFERROR(VLOOKUP(G193,PosAggregate!$B$13:$B$89,1,FALSE),"")</f>
        <v/>
      </c>
      <c r="E193" s="769" t="s">
        <v>1210</v>
      </c>
      <c r="F193" s="1006" t="str">
        <f t="shared" si="29"/>
        <v/>
      </c>
      <c r="G193" s="594" t="s">
        <v>1160</v>
      </c>
      <c r="I193" s="833" t="s">
        <v>1108</v>
      </c>
      <c r="J193" s="833" t="s">
        <v>123</v>
      </c>
      <c r="K193" s="744">
        <v>3569.5182</v>
      </c>
      <c r="L193" s="834"/>
      <c r="M193" s="835">
        <v>11000</v>
      </c>
      <c r="N193" s="974">
        <f t="shared" si="41"/>
        <v>-39264700.200000003</v>
      </c>
      <c r="O193" s="880">
        <v>-58897</v>
      </c>
      <c r="R193" s="978">
        <f t="shared" si="42"/>
        <v>-39323597.200000003</v>
      </c>
      <c r="S193" s="744">
        <v>1292.7529432790461</v>
      </c>
      <c r="T193" s="983">
        <f t="shared" si="43"/>
        <v>-30418.493652976227</v>
      </c>
      <c r="U193" s="839">
        <v>43837</v>
      </c>
      <c r="V193" s="831" t="s">
        <v>1184</v>
      </c>
      <c r="W193" s="840">
        <v>43833.411221064816</v>
      </c>
      <c r="X193" s="971">
        <f t="shared" si="44"/>
        <v>0.14999987189511255</v>
      </c>
      <c r="Y193" s="972" t="e">
        <f>VLOOKUP(V193,'bic broker'!$A$1:$B$14,2,FALSE)</f>
        <v>#N/A</v>
      </c>
      <c r="Z193" s="972" t="str">
        <f>VLOOKUP(AA193,'place of settlement'!A:C,2,FALSE)</f>
        <v>KSDCKRSEXXX</v>
      </c>
      <c r="AA193" s="972" t="str">
        <f t="shared" si="45"/>
        <v>KR</v>
      </c>
      <c r="AB193" s="972" t="str">
        <f t="shared" si="46"/>
        <v>SamsungKR</v>
      </c>
      <c r="AC193" s="972" t="e">
        <f>VLOOKUP(AB193,sample!$1:$1048576,2,FALSE)</f>
        <v>#N/A</v>
      </c>
      <c r="AD193" s="972" t="e">
        <f>VLOOKUP($AB193,sample!$1:$1048576,3,FALSE)</f>
        <v>#N/A</v>
      </c>
      <c r="AE193" s="973" t="e">
        <f>VLOOKUP($AB193,sample!$1:$1048576,4,FALSE)</f>
        <v>#N/A</v>
      </c>
      <c r="AF193" s="972" t="e">
        <f>VLOOKUP($AB193,sample!$1:$1048576,5,FALSE)</f>
        <v>#N/A</v>
      </c>
      <c r="AL193" s="973" t="e">
        <f>VLOOKUP($AB193,sample!$1:$1048576,11,FALSE)</f>
        <v>#N/A</v>
      </c>
      <c r="AM193" s="973" t="e">
        <f>VLOOKUP($AB193,sample!$1:$1048576,12,FALSE)</f>
        <v>#N/A</v>
      </c>
      <c r="AN193" s="973" t="e">
        <f>VLOOKUP($AB193,sample!$1:$1048576,13,FALSE)</f>
        <v>#N/A</v>
      </c>
      <c r="AP193" s="988"/>
    </row>
    <row r="194" spans="1:42" ht="14">
      <c r="A194" s="808">
        <v>201900191</v>
      </c>
      <c r="B194" s="887">
        <v>43833</v>
      </c>
      <c r="C194" s="881" t="s">
        <v>134</v>
      </c>
      <c r="D194" s="594" t="s">
        <v>1599</v>
      </c>
      <c r="E194" s="769" t="s">
        <v>1613</v>
      </c>
      <c r="F194" s="1006" t="str">
        <f t="shared" si="29"/>
        <v>YES</v>
      </c>
      <c r="G194" s="594" t="s">
        <v>1599</v>
      </c>
      <c r="I194" s="833" t="s">
        <v>1600</v>
      </c>
      <c r="J194" s="833" t="s">
        <v>2</v>
      </c>
      <c r="K194" s="744">
        <v>4.7443600000000004</v>
      </c>
      <c r="L194" s="834"/>
      <c r="M194" s="835">
        <v>-17000</v>
      </c>
      <c r="N194" s="974">
        <f t="shared" si="41"/>
        <v>80654.12000000001</v>
      </c>
      <c r="O194" s="880">
        <v>-24.2</v>
      </c>
      <c r="R194" s="978">
        <f t="shared" si="42"/>
        <v>80629.920000000013</v>
      </c>
      <c r="S194" s="744">
        <v>1</v>
      </c>
      <c r="T194" s="983">
        <f t="shared" si="43"/>
        <v>80629.920000000013</v>
      </c>
      <c r="U194" s="839">
        <v>43837</v>
      </c>
      <c r="V194" s="831" t="s">
        <v>1628</v>
      </c>
      <c r="W194" s="840">
        <v>43833.457060185188</v>
      </c>
      <c r="X194" s="971">
        <f t="shared" si="44"/>
        <v>-3.0004666841569896E-2</v>
      </c>
      <c r="Y194" s="972" t="str">
        <f>VLOOKUP(V194,'bic broker'!$A$1:$B$14,2,FALSE)</f>
        <v>TAVSGB21XXX</v>
      </c>
      <c r="Z194" s="972" t="str">
        <f>VLOOKUP(AA194,'place of settlement'!A:C,2,FALSE)</f>
        <v>DAKVDEFFXXX</v>
      </c>
      <c r="AA194" s="972" t="str">
        <f t="shared" si="45"/>
        <v>DE</v>
      </c>
      <c r="AB194" s="972" t="str">
        <f t="shared" si="46"/>
        <v>TaviraDE</v>
      </c>
      <c r="AC194" s="972" t="e">
        <f>VLOOKUP(AB194,sample!$1:$1048576,2,FALSE)</f>
        <v>#N/A</v>
      </c>
      <c r="AD194" s="972" t="e">
        <f>VLOOKUP($AB194,sample!$1:$1048576,3,FALSE)</f>
        <v>#N/A</v>
      </c>
      <c r="AE194" s="973" t="e">
        <f>VLOOKUP($AB194,sample!$1:$1048576,4,FALSE)</f>
        <v>#N/A</v>
      </c>
      <c r="AF194" s="972" t="e">
        <f>VLOOKUP($AB194,sample!$1:$1048576,5,FALSE)</f>
        <v>#N/A</v>
      </c>
      <c r="AL194" s="973" t="e">
        <f>VLOOKUP($AB194,sample!$1:$1048576,11,FALSE)</f>
        <v>#N/A</v>
      </c>
      <c r="AM194" s="973" t="e">
        <f>VLOOKUP($AB194,sample!$1:$1048576,12,FALSE)</f>
        <v>#N/A</v>
      </c>
      <c r="AN194" s="973" t="e">
        <f>VLOOKUP($AB194,sample!$1:$1048576,13,FALSE)</f>
        <v>#N/A</v>
      </c>
      <c r="AP194" s="988"/>
    </row>
    <row r="195" spans="1:42" ht="14">
      <c r="A195" s="808">
        <v>201900192</v>
      </c>
      <c r="B195" s="887">
        <v>43833</v>
      </c>
      <c r="C195" s="881" t="s">
        <v>133</v>
      </c>
      <c r="D195" s="1130" t="str">
        <f>IFERROR(VLOOKUP(G195,PosAggregate!$B$13:$B$89,1,FALSE),"")</f>
        <v/>
      </c>
      <c r="E195" s="769" t="s">
        <v>1218</v>
      </c>
      <c r="F195" s="1006" t="str">
        <f t="shared" si="29"/>
        <v/>
      </c>
      <c r="G195" s="594" t="s">
        <v>1169</v>
      </c>
      <c r="I195" s="833" t="s">
        <v>1060</v>
      </c>
      <c r="J195" s="833" t="s">
        <v>2</v>
      </c>
      <c r="K195" s="744">
        <v>114.184268656716</v>
      </c>
      <c r="L195" s="834"/>
      <c r="M195" s="835">
        <v>670</v>
      </c>
      <c r="N195" s="974">
        <f t="shared" si="41"/>
        <v>-76503.459999999715</v>
      </c>
      <c r="O195" s="880">
        <v>-22.95</v>
      </c>
      <c r="R195" s="978">
        <f t="shared" si="42"/>
        <v>-76526.409999999712</v>
      </c>
      <c r="S195" s="744">
        <v>1</v>
      </c>
      <c r="T195" s="983">
        <f t="shared" si="43"/>
        <v>-76526.409999999712</v>
      </c>
      <c r="U195" s="839">
        <v>43837</v>
      </c>
      <c r="V195" s="831" t="s">
        <v>1628</v>
      </c>
      <c r="W195" s="840">
        <v>43833.45717361111</v>
      </c>
      <c r="X195" s="971">
        <f t="shared" si="44"/>
        <v>2.9998643198621458E-2</v>
      </c>
      <c r="Y195" s="972" t="str">
        <f>VLOOKUP(V195,'bic broker'!$A$1:$B$14,2,FALSE)</f>
        <v>TAVSGB21XXX</v>
      </c>
      <c r="Z195" s="972" t="str">
        <f>VLOOKUP(AA195,'place of settlement'!A:C,2,FALSE)</f>
        <v>DAKVDEFFXXX</v>
      </c>
      <c r="AA195" s="972" t="str">
        <f t="shared" si="45"/>
        <v>DE</v>
      </c>
      <c r="AB195" s="972" t="str">
        <f t="shared" si="46"/>
        <v>TaviraDE</v>
      </c>
      <c r="AC195" s="972" t="e">
        <f>VLOOKUP(AB195,sample!$1:$1048576,2,FALSE)</f>
        <v>#N/A</v>
      </c>
      <c r="AD195" s="972" t="e">
        <f>VLOOKUP($AB195,sample!$1:$1048576,3,FALSE)</f>
        <v>#N/A</v>
      </c>
      <c r="AE195" s="973" t="e">
        <f>VLOOKUP($AB195,sample!$1:$1048576,4,FALSE)</f>
        <v>#N/A</v>
      </c>
      <c r="AF195" s="972" t="e">
        <f>VLOOKUP($AB195,sample!$1:$1048576,5,FALSE)</f>
        <v>#N/A</v>
      </c>
      <c r="AL195" s="973" t="e">
        <f>VLOOKUP($AB195,sample!$1:$1048576,11,FALSE)</f>
        <v>#N/A</v>
      </c>
      <c r="AM195" s="973" t="e">
        <f>VLOOKUP($AB195,sample!$1:$1048576,12,FALSE)</f>
        <v>#N/A</v>
      </c>
      <c r="AN195" s="973" t="e">
        <f>VLOOKUP($AB195,sample!$1:$1048576,13,FALSE)</f>
        <v>#N/A</v>
      </c>
      <c r="AP195" s="988"/>
    </row>
    <row r="196" spans="1:42" s="584" customFormat="1" ht="14">
      <c r="A196" s="808">
        <v>201900193</v>
      </c>
      <c r="B196" s="887">
        <v>43837</v>
      </c>
      <c r="C196" s="816" t="s">
        <v>133</v>
      </c>
      <c r="D196" s="1133" t="str">
        <f>IFERROR(VLOOKUP(G196,PosAggregate!$B$13:$B$89,1,FALSE),"")</f>
        <v/>
      </c>
      <c r="E196" s="905" t="s">
        <v>1208</v>
      </c>
      <c r="F196" s="1006" t="str">
        <f t="shared" si="29"/>
        <v/>
      </c>
      <c r="G196" s="561" t="s">
        <v>1158</v>
      </c>
      <c r="I196" s="832" t="s">
        <v>1082</v>
      </c>
      <c r="J196" s="832" t="s">
        <v>123</v>
      </c>
      <c r="K196" s="878">
        <v>92521.926900000006</v>
      </c>
      <c r="L196" s="879"/>
      <c r="M196" s="880">
        <v>301</v>
      </c>
      <c r="N196" s="985">
        <f t="shared" si="41"/>
        <v>-27849099.996900003</v>
      </c>
      <c r="O196" s="880">
        <v>-41774</v>
      </c>
      <c r="R196" s="982">
        <f t="shared" si="42"/>
        <v>-27890873.996900003</v>
      </c>
      <c r="S196" s="878">
        <v>1306.1494034160862</v>
      </c>
      <c r="T196" s="995">
        <f t="shared" si="43"/>
        <v>-21353.509731700349</v>
      </c>
      <c r="U196" s="907">
        <v>43839</v>
      </c>
      <c r="V196" s="908" t="s">
        <v>1657</v>
      </c>
      <c r="W196" s="842">
        <v>43837.120826967592</v>
      </c>
      <c r="X196" s="971">
        <f t="shared" si="44"/>
        <v>0.15000125678980664</v>
      </c>
      <c r="Y196" s="988" t="e">
        <f>VLOOKUP(V196,'bic broker'!$A$1:$B$14,2,FALSE)</f>
        <v>#N/A</v>
      </c>
      <c r="Z196" s="972" t="str">
        <f>VLOOKUP(AA196,'place of settlement'!A:C,2,FALSE)</f>
        <v>KSDCKRSEXXX</v>
      </c>
      <c r="AA196" s="972" t="str">
        <f t="shared" si="45"/>
        <v>KR</v>
      </c>
      <c r="AB196" s="972" t="str">
        <f t="shared" si="46"/>
        <v>samsungKR</v>
      </c>
      <c r="AC196" s="972" t="e">
        <f>VLOOKUP(AB196,sample!$1:$1048576,2,FALSE)</f>
        <v>#N/A</v>
      </c>
      <c r="AD196" s="972" t="e">
        <f>VLOOKUP($AB196,sample!$1:$1048576,3,FALSE)</f>
        <v>#N/A</v>
      </c>
      <c r="AE196" s="973" t="e">
        <f>VLOOKUP($AB196,sample!$1:$1048576,4,FALSE)</f>
        <v>#N/A</v>
      </c>
      <c r="AF196" s="972" t="e">
        <f>VLOOKUP($AB196,sample!$1:$1048576,5,FALSE)</f>
        <v>#N/A</v>
      </c>
      <c r="AL196" s="973" t="e">
        <f>VLOOKUP($AB196,sample!$1:$1048576,11,FALSE)</f>
        <v>#N/A</v>
      </c>
      <c r="AM196" s="973" t="e">
        <f>VLOOKUP($AB196,sample!$1:$1048576,12,FALSE)</f>
        <v>#N/A</v>
      </c>
      <c r="AN196" s="973" t="e">
        <f>VLOOKUP($AB196,sample!$1:$1048576,13,FALSE)</f>
        <v>#N/A</v>
      </c>
      <c r="AP196" s="988"/>
    </row>
    <row r="197" spans="1:42" s="584" customFormat="1" ht="14">
      <c r="A197" s="808">
        <v>201900194</v>
      </c>
      <c r="B197" s="887">
        <v>43838</v>
      </c>
      <c r="C197" s="816" t="s">
        <v>133</v>
      </c>
      <c r="D197" s="1133" t="str">
        <f>IFERROR(VLOOKUP(G197,PosAggregate!$B$13:$B$89,1,FALSE),"")</f>
        <v/>
      </c>
      <c r="E197" s="905" t="s">
        <v>1208</v>
      </c>
      <c r="F197" s="1006" t="str">
        <f t="shared" si="29"/>
        <v/>
      </c>
      <c r="G197" s="561" t="s">
        <v>1158</v>
      </c>
      <c r="I197" s="832" t="s">
        <v>1082</v>
      </c>
      <c r="J197" s="832" t="s">
        <v>123</v>
      </c>
      <c r="K197" s="878">
        <v>91347.164199999999</v>
      </c>
      <c r="L197" s="879"/>
      <c r="M197" s="880">
        <v>670</v>
      </c>
      <c r="N197" s="985">
        <f t="shared" si="41"/>
        <v>-61202600.013999999</v>
      </c>
      <c r="O197" s="880">
        <v>-91804</v>
      </c>
      <c r="R197" s="982">
        <f t="shared" si="42"/>
        <v>-61294404.013999999</v>
      </c>
      <c r="S197" s="878">
        <v>1301.6570396306793</v>
      </c>
      <c r="T197" s="995">
        <f t="shared" si="43"/>
        <v>-47089.519088216308</v>
      </c>
      <c r="U197" s="907">
        <v>43840</v>
      </c>
      <c r="V197" s="908" t="s">
        <v>1184</v>
      </c>
      <c r="W197" s="842">
        <v>43838.050056250002</v>
      </c>
      <c r="X197" s="971">
        <f t="shared" si="44"/>
        <v>0.15000016335743904</v>
      </c>
      <c r="Y197" s="988" t="e">
        <f>VLOOKUP(V197,'bic broker'!$A$1:$B$14,2,FALSE)</f>
        <v>#N/A</v>
      </c>
      <c r="Z197" s="972" t="str">
        <f>VLOOKUP(AA197,'place of settlement'!A:C,2,FALSE)</f>
        <v>KSDCKRSEXXX</v>
      </c>
      <c r="AA197" s="972" t="str">
        <f t="shared" si="45"/>
        <v>KR</v>
      </c>
      <c r="AB197" s="972" t="str">
        <f t="shared" si="46"/>
        <v>SamsungKR</v>
      </c>
      <c r="AC197" s="972" t="e">
        <f>VLOOKUP(AB197,sample!$1:$1048576,2,FALSE)</f>
        <v>#N/A</v>
      </c>
      <c r="AD197" s="972" t="e">
        <f>VLOOKUP($AB197,sample!$1:$1048576,3,FALSE)</f>
        <v>#N/A</v>
      </c>
      <c r="AE197" s="973" t="e">
        <f>VLOOKUP($AB197,sample!$1:$1048576,4,FALSE)</f>
        <v>#N/A</v>
      </c>
      <c r="AF197" s="972" t="e">
        <f>VLOOKUP($AB197,sample!$1:$1048576,5,FALSE)</f>
        <v>#N/A</v>
      </c>
      <c r="AL197" s="973" t="e">
        <f>VLOOKUP($AB197,sample!$1:$1048576,11,FALSE)</f>
        <v>#N/A</v>
      </c>
      <c r="AM197" s="973" t="e">
        <f>VLOOKUP($AB197,sample!$1:$1048576,12,FALSE)</f>
        <v>#N/A</v>
      </c>
      <c r="AN197" s="973" t="e">
        <f>VLOOKUP($AB197,sample!$1:$1048576,13,FALSE)</f>
        <v>#N/A</v>
      </c>
      <c r="AP197" s="988"/>
    </row>
    <row r="198" spans="1:42" s="584" customFormat="1" ht="14">
      <c r="A198" s="808">
        <v>201900195</v>
      </c>
      <c r="B198" s="887">
        <v>43838</v>
      </c>
      <c r="C198" s="816" t="s">
        <v>133</v>
      </c>
      <c r="D198" s="1133" t="str">
        <f>IFERROR(VLOOKUP(G198,PosAggregate!$B$13:$B$89,1,FALSE),"")</f>
        <v/>
      </c>
      <c r="E198" s="905" t="s">
        <v>1209</v>
      </c>
      <c r="F198" s="1006" t="str">
        <f t="shared" si="29"/>
        <v/>
      </c>
      <c r="G198" s="561" t="s">
        <v>1159</v>
      </c>
      <c r="I198" s="832" t="s">
        <v>1102</v>
      </c>
      <c r="J198" s="832" t="s">
        <v>123</v>
      </c>
      <c r="K198" s="878">
        <v>103358.9552</v>
      </c>
      <c r="L198" s="879"/>
      <c r="M198" s="856">
        <v>670</v>
      </c>
      <c r="N198" s="985">
        <f t="shared" si="41"/>
        <v>-69250499.983999997</v>
      </c>
      <c r="O198" s="880">
        <v>-103876</v>
      </c>
      <c r="R198" s="982">
        <f t="shared" si="42"/>
        <v>-69354375.983999997</v>
      </c>
      <c r="S198" s="878">
        <v>1301.6570396306788</v>
      </c>
      <c r="T198" s="995">
        <f t="shared" si="43"/>
        <v>-53281.604810187193</v>
      </c>
      <c r="U198" s="907">
        <v>43840</v>
      </c>
      <c r="V198" s="908" t="s">
        <v>1184</v>
      </c>
      <c r="W198" s="842">
        <v>43838.544846990742</v>
      </c>
      <c r="X198" s="971">
        <f t="shared" si="44"/>
        <v>0.15000036104288064</v>
      </c>
      <c r="Y198" s="988" t="e">
        <f>VLOOKUP(V198,'bic broker'!$A$1:$B$14,2,FALSE)</f>
        <v>#N/A</v>
      </c>
      <c r="Z198" s="972" t="str">
        <f>VLOOKUP(AA198,'place of settlement'!A:C,2,FALSE)</f>
        <v>KSDCKRSEXXX</v>
      </c>
      <c r="AA198" s="972" t="str">
        <f t="shared" si="45"/>
        <v>KR</v>
      </c>
      <c r="AB198" s="972" t="str">
        <f t="shared" si="46"/>
        <v>SamsungKR</v>
      </c>
      <c r="AC198" s="972" t="e">
        <f>VLOOKUP(AB198,sample!$1:$1048576,2,FALSE)</f>
        <v>#N/A</v>
      </c>
      <c r="AD198" s="972" t="e">
        <f>VLOOKUP($AB198,sample!$1:$1048576,3,FALSE)</f>
        <v>#N/A</v>
      </c>
      <c r="AE198" s="973" t="e">
        <f>VLOOKUP($AB198,sample!$1:$1048576,4,FALSE)</f>
        <v>#N/A</v>
      </c>
      <c r="AF198" s="972" t="e">
        <f>VLOOKUP($AB198,sample!$1:$1048576,5,FALSE)</f>
        <v>#N/A</v>
      </c>
      <c r="AL198" s="973" t="e">
        <f>VLOOKUP($AB198,sample!$1:$1048576,11,FALSE)</f>
        <v>#N/A</v>
      </c>
      <c r="AM198" s="973" t="e">
        <f>VLOOKUP($AB198,sample!$1:$1048576,12,FALSE)</f>
        <v>#N/A</v>
      </c>
      <c r="AN198" s="973" t="e">
        <f>VLOOKUP($AB198,sample!$1:$1048576,13,FALSE)</f>
        <v>#N/A</v>
      </c>
      <c r="AP198" s="988"/>
    </row>
    <row r="199" spans="1:42" s="584" customFormat="1" ht="14">
      <c r="A199" s="808">
        <v>201900196</v>
      </c>
      <c r="B199" s="887">
        <v>43838</v>
      </c>
      <c r="C199" s="816" t="s">
        <v>133</v>
      </c>
      <c r="D199" s="1133" t="str">
        <f>IFERROR(VLOOKUP(G199,PosAggregate!$B$13:$B$89,1,FALSE),"")</f>
        <v/>
      </c>
      <c r="E199" s="905" t="s">
        <v>1210</v>
      </c>
      <c r="F199" s="1006" t="str">
        <f t="shared" si="29"/>
        <v/>
      </c>
      <c r="G199" s="561" t="s">
        <v>1160</v>
      </c>
      <c r="I199" s="832" t="s">
        <v>1108</v>
      </c>
      <c r="J199" s="832" t="s">
        <v>123</v>
      </c>
      <c r="K199" s="878">
        <v>3538.5877</v>
      </c>
      <c r="L199" s="879"/>
      <c r="M199" s="880">
        <v>6900</v>
      </c>
      <c r="N199" s="985">
        <f t="shared" si="41"/>
        <v>-24416255.129999999</v>
      </c>
      <c r="O199" s="880">
        <v>-36624</v>
      </c>
      <c r="R199" s="982">
        <f t="shared" si="42"/>
        <v>-24452879.129999999</v>
      </c>
      <c r="S199" s="878">
        <v>1301.6570396306795</v>
      </c>
      <c r="T199" s="995">
        <f t="shared" si="43"/>
        <v>-18785.961574746325</v>
      </c>
      <c r="U199" s="907">
        <v>43840</v>
      </c>
      <c r="V199" s="908" t="s">
        <v>1184</v>
      </c>
      <c r="W199" s="842">
        <v>43838.545520717591</v>
      </c>
      <c r="X199" s="971">
        <f t="shared" si="44"/>
        <v>0.14999843262204643</v>
      </c>
      <c r="Y199" s="988" t="e">
        <f>VLOOKUP(V199,'bic broker'!$A$1:$B$14,2,FALSE)</f>
        <v>#N/A</v>
      </c>
      <c r="Z199" s="972" t="str">
        <f>VLOOKUP(AA199,'place of settlement'!A:C,2,FALSE)</f>
        <v>KSDCKRSEXXX</v>
      </c>
      <c r="AA199" s="972" t="str">
        <f t="shared" si="45"/>
        <v>KR</v>
      </c>
      <c r="AB199" s="972" t="str">
        <f t="shared" si="46"/>
        <v>SamsungKR</v>
      </c>
      <c r="AC199" s="972" t="e">
        <f>VLOOKUP(AB199,sample!$1:$1048576,2,FALSE)</f>
        <v>#N/A</v>
      </c>
      <c r="AD199" s="972" t="e">
        <f>VLOOKUP($AB199,sample!$1:$1048576,3,FALSE)</f>
        <v>#N/A</v>
      </c>
      <c r="AE199" s="973" t="e">
        <f>VLOOKUP($AB199,sample!$1:$1048576,4,FALSE)</f>
        <v>#N/A</v>
      </c>
      <c r="AF199" s="972" t="e">
        <f>VLOOKUP($AB199,sample!$1:$1048576,5,FALSE)</f>
        <v>#N/A</v>
      </c>
      <c r="AL199" s="973" t="e">
        <f>VLOOKUP($AB199,sample!$1:$1048576,11,FALSE)</f>
        <v>#N/A</v>
      </c>
      <c r="AM199" s="973" t="e">
        <f>VLOOKUP($AB199,sample!$1:$1048576,12,FALSE)</f>
        <v>#N/A</v>
      </c>
      <c r="AN199" s="973" t="e">
        <f>VLOOKUP($AB199,sample!$1:$1048576,13,FALSE)</f>
        <v>#N/A</v>
      </c>
      <c r="AP199" s="988"/>
    </row>
    <row r="200" spans="1:42" s="584" customFormat="1" ht="14">
      <c r="A200" s="808">
        <v>201900197</v>
      </c>
      <c r="B200" s="887">
        <v>43838</v>
      </c>
      <c r="C200" s="816" t="s">
        <v>133</v>
      </c>
      <c r="D200" s="1133" t="str">
        <f>IFERROR(VLOOKUP(G200,PosAggregate!$B$13:$B$89,1,FALSE),"")</f>
        <v/>
      </c>
      <c r="E200" s="905" t="s">
        <v>1206</v>
      </c>
      <c r="F200" s="1006" t="str">
        <f t="shared" si="29"/>
        <v/>
      </c>
      <c r="G200" s="561" t="s">
        <v>1156</v>
      </c>
      <c r="I200" s="833" t="s">
        <v>1080</v>
      </c>
      <c r="J200" s="832" t="s">
        <v>123</v>
      </c>
      <c r="K200" s="878">
        <v>164832.08960000001</v>
      </c>
      <c r="L200" s="879"/>
      <c r="M200" s="880">
        <v>670</v>
      </c>
      <c r="N200" s="985">
        <f t="shared" si="41"/>
        <v>-110437500.03200001</v>
      </c>
      <c r="O200" s="880">
        <v>-165656</v>
      </c>
      <c r="R200" s="982">
        <f t="shared" si="42"/>
        <v>-110603156.03200001</v>
      </c>
      <c r="S200" s="878">
        <v>1301.6570396306811</v>
      </c>
      <c r="T200" s="995">
        <f t="shared" si="43"/>
        <v>-84971.042805085905</v>
      </c>
      <c r="U200" s="907">
        <v>43840</v>
      </c>
      <c r="V200" s="908" t="s">
        <v>1184</v>
      </c>
      <c r="W200" s="842">
        <v>43838.546578472226</v>
      </c>
      <c r="X200" s="971">
        <f t="shared" si="44"/>
        <v>0.14999977358415401</v>
      </c>
      <c r="Y200" s="988" t="e">
        <f>VLOOKUP(V200,'bic broker'!$A$1:$B$14,2,FALSE)</f>
        <v>#N/A</v>
      </c>
      <c r="Z200" s="972" t="str">
        <f>VLOOKUP(AA200,'place of settlement'!A:C,2,FALSE)</f>
        <v>KSDCKRSEXXX</v>
      </c>
      <c r="AA200" s="972" t="str">
        <f t="shared" si="45"/>
        <v>KR</v>
      </c>
      <c r="AB200" s="972" t="str">
        <f t="shared" si="46"/>
        <v>SamsungKR</v>
      </c>
      <c r="AC200" s="972" t="e">
        <f>VLOOKUP(AB200,sample!$1:$1048576,2,FALSE)</f>
        <v>#N/A</v>
      </c>
      <c r="AD200" s="972" t="e">
        <f>VLOOKUP($AB200,sample!$1:$1048576,3,FALSE)</f>
        <v>#N/A</v>
      </c>
      <c r="AE200" s="973" t="e">
        <f>VLOOKUP($AB200,sample!$1:$1048576,4,FALSE)</f>
        <v>#N/A</v>
      </c>
      <c r="AF200" s="972" t="e">
        <f>VLOOKUP($AB200,sample!$1:$1048576,5,FALSE)</f>
        <v>#N/A</v>
      </c>
      <c r="AL200" s="973" t="e">
        <f>VLOOKUP($AB200,sample!$1:$1048576,11,FALSE)</f>
        <v>#N/A</v>
      </c>
      <c r="AM200" s="973" t="e">
        <f>VLOOKUP($AB200,sample!$1:$1048576,12,FALSE)</f>
        <v>#N/A</v>
      </c>
      <c r="AN200" s="973" t="e">
        <f>VLOOKUP($AB200,sample!$1:$1048576,13,FALSE)</f>
        <v>#N/A</v>
      </c>
      <c r="AP200" s="988"/>
    </row>
    <row r="201" spans="1:42" s="584" customFormat="1" ht="14">
      <c r="A201" s="808">
        <v>201900198</v>
      </c>
      <c r="B201" s="887">
        <v>43840</v>
      </c>
      <c r="C201" s="816" t="s">
        <v>133</v>
      </c>
      <c r="D201" s="1133" t="str">
        <f>IFERROR(VLOOKUP(G201,PosAggregate!$B$13:$B$89,1,FALSE),"")</f>
        <v/>
      </c>
      <c r="E201" s="905" t="s">
        <v>1206</v>
      </c>
      <c r="F201" s="1006" t="str">
        <f t="shared" si="29"/>
        <v/>
      </c>
      <c r="G201" s="561" t="s">
        <v>1156</v>
      </c>
      <c r="I201" s="832" t="s">
        <v>1080</v>
      </c>
      <c r="J201" s="832" t="s">
        <v>123</v>
      </c>
      <c r="K201" s="878">
        <v>174220.23809999999</v>
      </c>
      <c r="L201" s="879"/>
      <c r="M201" s="880">
        <v>420</v>
      </c>
      <c r="N201" s="985">
        <f t="shared" si="41"/>
        <v>-73172500.001999989</v>
      </c>
      <c r="O201" s="817">
        <v>-109759</v>
      </c>
      <c r="R201" s="982">
        <f t="shared" si="42"/>
        <v>-73282259.001999989</v>
      </c>
      <c r="S201" s="878">
        <v>1286.751804553031</v>
      </c>
      <c r="T201" s="995">
        <f t="shared" si="43"/>
        <v>-56951.35514300326</v>
      </c>
      <c r="U201" s="907">
        <v>43844</v>
      </c>
      <c r="V201" s="908" t="s">
        <v>1184</v>
      </c>
      <c r="W201" s="842">
        <v>43840.035303240744</v>
      </c>
      <c r="X201" s="971">
        <f t="shared" si="44"/>
        <v>0.15000034165431003</v>
      </c>
      <c r="Y201" s="988" t="e">
        <f>VLOOKUP(V201,'bic broker'!$A$1:$B$14,2,FALSE)</f>
        <v>#N/A</v>
      </c>
      <c r="Z201" s="972" t="str">
        <f>VLOOKUP(AA201,'place of settlement'!A:C,2,FALSE)</f>
        <v>KSDCKRSEXXX</v>
      </c>
      <c r="AA201" s="972" t="str">
        <f t="shared" si="45"/>
        <v>KR</v>
      </c>
      <c r="AB201" s="972" t="str">
        <f t="shared" si="46"/>
        <v>SamsungKR</v>
      </c>
      <c r="AC201" s="972" t="e">
        <f>VLOOKUP(AB201,sample!$1:$1048576,2,FALSE)</f>
        <v>#N/A</v>
      </c>
      <c r="AD201" s="972" t="e">
        <f>VLOOKUP($AB201,sample!$1:$1048576,3,FALSE)</f>
        <v>#N/A</v>
      </c>
      <c r="AE201" s="973" t="e">
        <f>VLOOKUP($AB201,sample!$1:$1048576,4,FALSE)</f>
        <v>#N/A</v>
      </c>
      <c r="AF201" s="972" t="e">
        <f>VLOOKUP($AB201,sample!$1:$1048576,5,FALSE)</f>
        <v>#N/A</v>
      </c>
      <c r="AL201" s="973" t="e">
        <f>VLOOKUP($AB201,sample!$1:$1048576,11,FALSE)</f>
        <v>#N/A</v>
      </c>
      <c r="AM201" s="973" t="e">
        <f>VLOOKUP($AB201,sample!$1:$1048576,12,FALSE)</f>
        <v>#N/A</v>
      </c>
      <c r="AN201" s="973" t="e">
        <f>VLOOKUP($AB201,sample!$1:$1048576,13,FALSE)</f>
        <v>#N/A</v>
      </c>
      <c r="AP201" s="988"/>
    </row>
    <row r="202" spans="1:42" ht="14">
      <c r="A202" s="808">
        <v>201900199</v>
      </c>
      <c r="B202" s="887">
        <v>43840</v>
      </c>
      <c r="C202" s="881" t="s">
        <v>133</v>
      </c>
      <c r="D202" s="1130" t="str">
        <f>IFERROR(VLOOKUP(G202,PosAggregate!$B$13:$B$89,1,FALSE),"")</f>
        <v/>
      </c>
      <c r="E202" s="769" t="s">
        <v>1209</v>
      </c>
      <c r="F202" s="1006" t="str">
        <f t="shared" si="29"/>
        <v/>
      </c>
      <c r="G202" s="594" t="s">
        <v>1159</v>
      </c>
      <c r="I202" s="833" t="s">
        <v>1102</v>
      </c>
      <c r="J202" s="833" t="s">
        <v>123</v>
      </c>
      <c r="K202" s="744">
        <v>104702.38099999999</v>
      </c>
      <c r="L202" s="834"/>
      <c r="M202" s="856">
        <v>420</v>
      </c>
      <c r="N202" s="974">
        <f t="shared" si="41"/>
        <v>-43975000.019999996</v>
      </c>
      <c r="O202" s="885">
        <v>-65963</v>
      </c>
      <c r="R202" s="978">
        <f t="shared" si="42"/>
        <v>-44040963.019999996</v>
      </c>
      <c r="S202" s="744">
        <v>1286.751804553026</v>
      </c>
      <c r="T202" s="983">
        <f t="shared" si="43"/>
        <v>-34226.462993225286</v>
      </c>
      <c r="U202" s="839">
        <v>43844</v>
      </c>
      <c r="V202" s="831" t="s">
        <v>1184</v>
      </c>
      <c r="W202" s="840">
        <v>43840.035945023148</v>
      </c>
      <c r="X202" s="971">
        <f t="shared" si="44"/>
        <v>0.15000113694144349</v>
      </c>
      <c r="Y202" s="972" t="e">
        <f>VLOOKUP(V202,'bic broker'!$A$1:$B$14,2,FALSE)</f>
        <v>#N/A</v>
      </c>
      <c r="Z202" s="972" t="str">
        <f>VLOOKUP(AA202,'place of settlement'!A:C,2,FALSE)</f>
        <v>KSDCKRSEXXX</v>
      </c>
      <c r="AA202" s="972" t="str">
        <f t="shared" si="45"/>
        <v>KR</v>
      </c>
      <c r="AB202" s="972" t="str">
        <f t="shared" si="46"/>
        <v>SamsungKR</v>
      </c>
      <c r="AC202" s="972" t="e">
        <f>VLOOKUP(AB202,sample!$1:$1048576,2,FALSE)</f>
        <v>#N/A</v>
      </c>
      <c r="AD202" s="972" t="e">
        <f>VLOOKUP($AB202,sample!$1:$1048576,3,FALSE)</f>
        <v>#N/A</v>
      </c>
      <c r="AE202" s="973" t="e">
        <f>VLOOKUP($AB202,sample!$1:$1048576,4,FALSE)</f>
        <v>#N/A</v>
      </c>
      <c r="AF202" s="972" t="e">
        <f>VLOOKUP($AB202,sample!$1:$1048576,5,FALSE)</f>
        <v>#N/A</v>
      </c>
      <c r="AL202" s="973" t="e">
        <f>VLOOKUP($AB202,sample!$1:$1048576,11,FALSE)</f>
        <v>#N/A</v>
      </c>
      <c r="AM202" s="973" t="e">
        <f>VLOOKUP($AB202,sample!$1:$1048576,12,FALSE)</f>
        <v>#N/A</v>
      </c>
      <c r="AN202" s="973" t="e">
        <f>VLOOKUP($AB202,sample!$1:$1048576,13,FALSE)</f>
        <v>#N/A</v>
      </c>
      <c r="AP202" s="988"/>
    </row>
    <row r="203" spans="1:42" ht="14">
      <c r="A203" s="808">
        <v>201900200</v>
      </c>
      <c r="B203" s="887">
        <v>43843</v>
      </c>
      <c r="C203" s="881" t="s">
        <v>133</v>
      </c>
      <c r="D203" s="1130" t="str">
        <f>IFERROR(VLOOKUP(G203,PosAggregate!$B$13:$B$89,1,FALSE),"")</f>
        <v/>
      </c>
      <c r="E203" s="769" t="s">
        <v>1186</v>
      </c>
      <c r="F203" s="1006" t="str">
        <f t="shared" si="29"/>
        <v/>
      </c>
      <c r="G203" s="594" t="s">
        <v>1134</v>
      </c>
      <c r="I203" s="833" t="s">
        <v>1081</v>
      </c>
      <c r="J203" s="833" t="s">
        <v>125</v>
      </c>
      <c r="K203" s="744">
        <v>1055.7</v>
      </c>
      <c r="L203" s="834"/>
      <c r="M203" s="835">
        <v>6700</v>
      </c>
      <c r="N203" s="974">
        <f t="shared" si="41"/>
        <v>-7073190</v>
      </c>
      <c r="O203" s="885">
        <v>-2122</v>
      </c>
      <c r="R203" s="978">
        <f t="shared" si="42"/>
        <v>-7075312</v>
      </c>
      <c r="S203" s="744">
        <v>121.71959790054272</v>
      </c>
      <c r="T203" s="983">
        <f t="shared" si="43"/>
        <v>-58127.960673853428</v>
      </c>
      <c r="U203" s="839">
        <v>43846</v>
      </c>
      <c r="V203" s="831" t="s">
        <v>1628</v>
      </c>
      <c r="W203" s="840">
        <v>43843.914539583333</v>
      </c>
      <c r="X203" s="971">
        <f t="shared" si="44"/>
        <v>3.0000607929378399E-2</v>
      </c>
      <c r="Y203" s="972" t="str">
        <f>VLOOKUP(V203,'bic broker'!$A$1:$B$14,2,FALSE)</f>
        <v>TAVSGB21XXX</v>
      </c>
      <c r="Z203" s="972" t="str">
        <f>VLOOKUP(AA203,'place of settlement'!A:C,2,FALSE)</f>
        <v>JJSDJPJTXXX</v>
      </c>
      <c r="AA203" s="972" t="str">
        <f t="shared" si="45"/>
        <v>JP</v>
      </c>
      <c r="AB203" s="972" t="str">
        <f t="shared" si="46"/>
        <v>TaviraJP</v>
      </c>
      <c r="AC203" s="972" t="e">
        <f>VLOOKUP(AB203,sample!$1:$1048576,2,FALSE)</f>
        <v>#N/A</v>
      </c>
      <c r="AD203" s="972" t="e">
        <f>VLOOKUP($AB203,sample!$1:$1048576,3,FALSE)</f>
        <v>#N/A</v>
      </c>
      <c r="AE203" s="973" t="e">
        <f>VLOOKUP($AB203,sample!$1:$1048576,4,FALSE)</f>
        <v>#N/A</v>
      </c>
      <c r="AF203" s="972" t="e">
        <f>VLOOKUP($AB203,sample!$1:$1048576,5,FALSE)</f>
        <v>#N/A</v>
      </c>
      <c r="AL203" s="973" t="e">
        <f>VLOOKUP($AB203,sample!$1:$1048576,11,FALSE)</f>
        <v>#N/A</v>
      </c>
      <c r="AM203" s="973" t="e">
        <f>VLOOKUP($AB203,sample!$1:$1048576,12,FALSE)</f>
        <v>#N/A</v>
      </c>
      <c r="AN203" s="973" t="e">
        <f>VLOOKUP($AB203,sample!$1:$1048576,13,FALSE)</f>
        <v>#N/A</v>
      </c>
      <c r="AP203" s="988"/>
    </row>
    <row r="204" spans="1:42" ht="14">
      <c r="A204" s="808">
        <v>201900201</v>
      </c>
      <c r="B204" s="887">
        <v>43843</v>
      </c>
      <c r="C204" s="881" t="s">
        <v>133</v>
      </c>
      <c r="D204" s="1130" t="str">
        <f>IFERROR(VLOOKUP(G204,PosAggregate!$B$13:$B$89,1,FALSE),"")</f>
        <v/>
      </c>
      <c r="E204" s="769" t="s">
        <v>1196</v>
      </c>
      <c r="F204" s="1006" t="str">
        <f t="shared" ref="F204:F267" si="47">IF(D204=G204,"YES","")</f>
        <v/>
      </c>
      <c r="G204" s="594" t="s">
        <v>1145</v>
      </c>
      <c r="I204" s="833" t="s">
        <v>1088</v>
      </c>
      <c r="J204" s="833" t="s">
        <v>125</v>
      </c>
      <c r="K204" s="744">
        <v>485.78679</v>
      </c>
      <c r="L204" s="834"/>
      <c r="M204" s="835">
        <v>15900</v>
      </c>
      <c r="N204" s="974">
        <f t="shared" si="41"/>
        <v>-7724009.9610000001</v>
      </c>
      <c r="O204" s="885">
        <v>-2317</v>
      </c>
      <c r="R204" s="978">
        <f t="shared" si="42"/>
        <v>-7726326.9610000001</v>
      </c>
      <c r="S204" s="744">
        <v>121.71959790054262</v>
      </c>
      <c r="T204" s="983">
        <f t="shared" si="43"/>
        <v>-63476.44170919132</v>
      </c>
      <c r="U204" s="839">
        <v>43846</v>
      </c>
      <c r="V204" s="831" t="s">
        <v>1628</v>
      </c>
      <c r="W204" s="840">
        <v>43843.93230335648</v>
      </c>
      <c r="X204" s="971">
        <f t="shared" si="44"/>
        <v>2.9997371982933414E-2</v>
      </c>
      <c r="Y204" s="972" t="str">
        <f>VLOOKUP(V204,'bic broker'!$A$1:$B$14,2,FALSE)</f>
        <v>TAVSGB21XXX</v>
      </c>
      <c r="Z204" s="972" t="str">
        <f>VLOOKUP(AA204,'place of settlement'!A:C,2,FALSE)</f>
        <v>JJSDJPJTXXX</v>
      </c>
      <c r="AA204" s="972" t="str">
        <f t="shared" si="45"/>
        <v>JP</v>
      </c>
      <c r="AB204" s="972" t="str">
        <f t="shared" si="46"/>
        <v>TaviraJP</v>
      </c>
      <c r="AC204" s="972" t="e">
        <f>VLOOKUP(AB204,sample!$1:$1048576,2,FALSE)</f>
        <v>#N/A</v>
      </c>
      <c r="AD204" s="972" t="e">
        <f>VLOOKUP($AB204,sample!$1:$1048576,3,FALSE)</f>
        <v>#N/A</v>
      </c>
      <c r="AE204" s="973" t="e">
        <f>VLOOKUP($AB204,sample!$1:$1048576,4,FALSE)</f>
        <v>#N/A</v>
      </c>
      <c r="AF204" s="972" t="e">
        <f>VLOOKUP($AB204,sample!$1:$1048576,5,FALSE)</f>
        <v>#N/A</v>
      </c>
      <c r="AL204" s="973" t="e">
        <f>VLOOKUP($AB204,sample!$1:$1048576,11,FALSE)</f>
        <v>#N/A</v>
      </c>
      <c r="AM204" s="973" t="e">
        <f>VLOOKUP($AB204,sample!$1:$1048576,12,FALSE)</f>
        <v>#N/A</v>
      </c>
      <c r="AN204" s="973" t="e">
        <f>VLOOKUP($AB204,sample!$1:$1048576,13,FALSE)</f>
        <v>#N/A</v>
      </c>
      <c r="AP204" s="988"/>
    </row>
    <row r="205" spans="1:42" ht="14">
      <c r="A205" s="808">
        <v>201900202</v>
      </c>
      <c r="B205" s="887">
        <v>43843</v>
      </c>
      <c r="C205" s="881" t="s">
        <v>133</v>
      </c>
      <c r="D205" s="1130" t="str">
        <f>IFERROR(VLOOKUP(G205,PosAggregate!$B$13:$B$89,1,FALSE),"")</f>
        <v/>
      </c>
      <c r="E205" s="769" t="s">
        <v>1190</v>
      </c>
      <c r="F205" s="1006" t="str">
        <f t="shared" si="47"/>
        <v/>
      </c>
      <c r="G205" s="594" t="s">
        <v>1590</v>
      </c>
      <c r="I205" s="833" t="s">
        <v>1085</v>
      </c>
      <c r="J205" s="833" t="s">
        <v>125</v>
      </c>
      <c r="K205" s="744">
        <v>2150.5250000000001</v>
      </c>
      <c r="L205" s="834"/>
      <c r="M205" s="835">
        <v>2000</v>
      </c>
      <c r="N205" s="974">
        <f t="shared" si="41"/>
        <v>-4301050</v>
      </c>
      <c r="O205" s="885">
        <v>-1290</v>
      </c>
      <c r="R205" s="978">
        <f t="shared" si="42"/>
        <v>-4302340</v>
      </c>
      <c r="S205" s="744">
        <v>121.71959790054248</v>
      </c>
      <c r="T205" s="983">
        <f t="shared" si="43"/>
        <v>-35346.321169376992</v>
      </c>
      <c r="U205" s="839">
        <v>43846</v>
      </c>
      <c r="V205" s="831" t="s">
        <v>1628</v>
      </c>
      <c r="W205" s="840">
        <v>43843.937213425925</v>
      </c>
      <c r="X205" s="971">
        <f t="shared" si="44"/>
        <v>2.9992676206972716E-2</v>
      </c>
      <c r="Y205" s="972" t="str">
        <f>VLOOKUP(V205,'bic broker'!$A$1:$B$14,2,FALSE)</f>
        <v>TAVSGB21XXX</v>
      </c>
      <c r="Z205" s="972" t="str">
        <f>VLOOKUP(AA205,'place of settlement'!A:C,2,FALSE)</f>
        <v>JJSDJPJTXXX</v>
      </c>
      <c r="AA205" s="972" t="str">
        <f t="shared" si="45"/>
        <v>JP</v>
      </c>
      <c r="AB205" s="972" t="str">
        <f t="shared" si="46"/>
        <v>TaviraJP</v>
      </c>
      <c r="AC205" s="972" t="e">
        <f>VLOOKUP(AB205,sample!$1:$1048576,2,FALSE)</f>
        <v>#N/A</v>
      </c>
      <c r="AD205" s="972" t="e">
        <f>VLOOKUP($AB205,sample!$1:$1048576,3,FALSE)</f>
        <v>#N/A</v>
      </c>
      <c r="AE205" s="973" t="e">
        <f>VLOOKUP($AB205,sample!$1:$1048576,4,FALSE)</f>
        <v>#N/A</v>
      </c>
      <c r="AF205" s="972" t="e">
        <f>VLOOKUP($AB205,sample!$1:$1048576,5,FALSE)</f>
        <v>#N/A</v>
      </c>
      <c r="AL205" s="973" t="e">
        <f>VLOOKUP($AB205,sample!$1:$1048576,11,FALSE)</f>
        <v>#N/A</v>
      </c>
      <c r="AM205" s="973" t="e">
        <f>VLOOKUP($AB205,sample!$1:$1048576,12,FALSE)</f>
        <v>#N/A</v>
      </c>
      <c r="AN205" s="973" t="e">
        <f>VLOOKUP($AB205,sample!$1:$1048576,13,FALSE)</f>
        <v>#N/A</v>
      </c>
      <c r="AP205" s="988"/>
    </row>
    <row r="206" spans="1:42" ht="14">
      <c r="A206" s="808">
        <v>201900203</v>
      </c>
      <c r="B206" s="887">
        <v>43843</v>
      </c>
      <c r="C206" s="881" t="s">
        <v>133</v>
      </c>
      <c r="D206" s="1130" t="str">
        <f>IFERROR(VLOOKUP(G206,PosAggregate!$B$13:$B$89,1,FALSE),"")</f>
        <v/>
      </c>
      <c r="E206" s="769" t="s">
        <v>1654</v>
      </c>
      <c r="F206" s="1006" t="str">
        <f t="shared" si="47"/>
        <v/>
      </c>
      <c r="G206" s="594" t="s">
        <v>1647</v>
      </c>
      <c r="I206" s="833" t="s">
        <v>1655</v>
      </c>
      <c r="J206" s="833" t="s">
        <v>1069</v>
      </c>
      <c r="K206" s="744">
        <v>3.0045600000000001</v>
      </c>
      <c r="L206" s="834"/>
      <c r="M206" s="835">
        <v>17000</v>
      </c>
      <c r="N206" s="974">
        <f t="shared" si="41"/>
        <v>-51077.520000000004</v>
      </c>
      <c r="O206" s="885">
        <v>-15.32</v>
      </c>
      <c r="R206" s="978">
        <f t="shared" si="42"/>
        <v>-51092.840000000004</v>
      </c>
      <c r="S206" s="744">
        <v>1.6127829175155552</v>
      </c>
      <c r="T206" s="983">
        <f t="shared" si="43"/>
        <v>-31679.923841645734</v>
      </c>
      <c r="U206" s="839">
        <v>43846</v>
      </c>
      <c r="V206" s="831" t="s">
        <v>1628</v>
      </c>
      <c r="W206" s="840">
        <v>43843.947643865744</v>
      </c>
      <c r="X206" s="971">
        <f t="shared" si="44"/>
        <v>2.9993625375703437E-2</v>
      </c>
      <c r="Y206" s="972" t="str">
        <f>VLOOKUP(V206,'bic broker'!$A$1:$B$14,2,FALSE)</f>
        <v>TAVSGB21XXX</v>
      </c>
      <c r="Z206" s="972" t="str">
        <f>VLOOKUP(AA206,'place of settlement'!A:C,2,FALSE)</f>
        <v>CAETAU21XXX</v>
      </c>
      <c r="AA206" s="972" t="str">
        <f t="shared" si="45"/>
        <v>AU</v>
      </c>
      <c r="AB206" s="972" t="str">
        <f t="shared" si="46"/>
        <v>TaviraAU</v>
      </c>
      <c r="AC206" s="972" t="e">
        <f>VLOOKUP(AB206,sample!$1:$1048576,2,FALSE)</f>
        <v>#N/A</v>
      </c>
      <c r="AD206" s="972" t="e">
        <f>VLOOKUP($AB206,sample!$1:$1048576,3,FALSE)</f>
        <v>#N/A</v>
      </c>
      <c r="AE206" s="973" t="e">
        <f>VLOOKUP($AB206,sample!$1:$1048576,4,FALSE)</f>
        <v>#N/A</v>
      </c>
      <c r="AF206" s="972" t="e">
        <f>VLOOKUP($AB206,sample!$1:$1048576,5,FALSE)</f>
        <v>#N/A</v>
      </c>
      <c r="AL206" s="973" t="e">
        <f>VLOOKUP($AB206,sample!$1:$1048576,11,FALSE)</f>
        <v>#N/A</v>
      </c>
      <c r="AM206" s="973" t="e">
        <f>VLOOKUP($AB206,sample!$1:$1048576,12,FALSE)</f>
        <v>#N/A</v>
      </c>
      <c r="AN206" s="973" t="e">
        <f>VLOOKUP($AB206,sample!$1:$1048576,13,FALSE)</f>
        <v>#N/A</v>
      </c>
      <c r="AP206" s="988"/>
    </row>
    <row r="207" spans="1:42" ht="14">
      <c r="A207" s="808">
        <v>201900204</v>
      </c>
      <c r="B207" s="887">
        <v>43850</v>
      </c>
      <c r="C207" s="881" t="s">
        <v>133</v>
      </c>
      <c r="D207" s="1130" t="str">
        <f>IFERROR(VLOOKUP(G207,PosAggregate!$B$13:$B$89,1,FALSE),"")</f>
        <v/>
      </c>
      <c r="E207" s="769" t="s">
        <v>1654</v>
      </c>
      <c r="F207" s="1006" t="str">
        <f t="shared" si="47"/>
        <v/>
      </c>
      <c r="G207" s="594" t="s">
        <v>1647</v>
      </c>
      <c r="I207" s="833" t="s">
        <v>1655</v>
      </c>
      <c r="J207" s="833" t="s">
        <v>1069</v>
      </c>
      <c r="K207" s="744">
        <v>2.8706999999999998</v>
      </c>
      <c r="L207" s="834"/>
      <c r="M207" s="835">
        <v>22000</v>
      </c>
      <c r="N207" s="974">
        <f t="shared" si="41"/>
        <v>-63155.399999999994</v>
      </c>
      <c r="O207" s="885">
        <v>-31.58</v>
      </c>
      <c r="R207" s="978">
        <f t="shared" si="42"/>
        <v>-63186.979999999996</v>
      </c>
      <c r="S207" s="744">
        <v>1.6134962522730258</v>
      </c>
      <c r="T207" s="983">
        <f t="shared" si="43"/>
        <v>-39161.528829698138</v>
      </c>
      <c r="U207" s="839">
        <v>43853</v>
      </c>
      <c r="V207" s="831" t="s">
        <v>1072</v>
      </c>
      <c r="W207" s="840">
        <v>43850.691771759259</v>
      </c>
      <c r="X207" s="971">
        <f t="shared" si="44"/>
        <v>5.0003641810518182E-2</v>
      </c>
      <c r="Y207" s="972" t="str">
        <f>VLOOKUP(V207,'bic broker'!$A$1:$B$14,2,FALSE)</f>
        <v>JBBRFRPPXXX</v>
      </c>
      <c r="Z207" s="972" t="str">
        <f>VLOOKUP(AA207,'place of settlement'!A:C,2,FALSE)</f>
        <v>CAETAU21XXX</v>
      </c>
      <c r="AA207" s="972" t="str">
        <f t="shared" si="45"/>
        <v>AU</v>
      </c>
      <c r="AB207" s="972" t="str">
        <f t="shared" si="46"/>
        <v>KeplerAU</v>
      </c>
      <c r="AC207" s="972" t="str">
        <f>VLOOKUP(AB207,sample!$1:$1048576,2,FALSE)</f>
        <v>SOGEFRPPTIT</v>
      </c>
      <c r="AD207" s="972" t="str">
        <f>VLOOKUP($AB207,sample!$1:$1048576,3,FALSE)</f>
        <v>CAETAU21</v>
      </c>
      <c r="AE207" s="973">
        <f>VLOOKUP($AB207,sample!$1:$1048576,4,FALSE)</f>
        <v>2063630000</v>
      </c>
      <c r="AF207" s="972" t="str">
        <f>VLOOKUP($AB207,sample!$1:$1048576,5,FALSE)</f>
        <v>N</v>
      </c>
      <c r="AL207" s="973" t="str">
        <f>VLOOKUP($AB207,sample!$1:$1048576,11,FALSE)</f>
        <v xml:space="preserve">        </v>
      </c>
      <c r="AM207" s="973" t="str">
        <f>VLOOKUP($AB207,sample!$1:$1048576,12,FALSE)</f>
        <v xml:space="preserve">        </v>
      </c>
      <c r="AN207" s="973" t="str">
        <f>VLOOKUP($AB207,sample!$1:$1048576,13,FALSE)</f>
        <v>CITIAU3XXXX</v>
      </c>
      <c r="AP207" s="988"/>
    </row>
    <row r="208" spans="1:42" ht="14">
      <c r="A208" s="808">
        <v>201900205</v>
      </c>
      <c r="B208" s="887">
        <v>43850</v>
      </c>
      <c r="C208" s="881" t="s">
        <v>133</v>
      </c>
      <c r="D208" s="1130" t="str">
        <f>IFERROR(VLOOKUP(G208,PosAggregate!$B$13:$B$89,1,FALSE),"")</f>
        <v/>
      </c>
      <c r="E208" s="769" t="s">
        <v>1610</v>
      </c>
      <c r="F208" s="1006" t="str">
        <f t="shared" si="47"/>
        <v/>
      </c>
      <c r="G208" s="594" t="s">
        <v>1583</v>
      </c>
      <c r="I208" s="833" t="s">
        <v>1587</v>
      </c>
      <c r="J208" s="833" t="s">
        <v>125</v>
      </c>
      <c r="K208" s="744">
        <v>1673</v>
      </c>
      <c r="L208" s="834"/>
      <c r="M208" s="835">
        <v>4200</v>
      </c>
      <c r="N208" s="974">
        <f t="shared" si="41"/>
        <v>-7026600</v>
      </c>
      <c r="O208" s="885">
        <v>-3513</v>
      </c>
      <c r="R208" s="978">
        <f t="shared" si="42"/>
        <v>-7030113</v>
      </c>
      <c r="S208" s="744">
        <v>122.12267707455554</v>
      </c>
      <c r="T208" s="983">
        <f t="shared" si="43"/>
        <v>-57565.99157835474</v>
      </c>
      <c r="U208" s="839">
        <v>43853</v>
      </c>
      <c r="V208" s="831" t="s">
        <v>1072</v>
      </c>
      <c r="W208" s="840">
        <v>43850.69378854167</v>
      </c>
      <c r="X208" s="971">
        <f t="shared" si="44"/>
        <v>4.9995730509777139E-2</v>
      </c>
      <c r="Y208" s="972" t="str">
        <f>VLOOKUP(V208,'bic broker'!$A$1:$B$14,2,FALSE)</f>
        <v>JBBRFRPPXXX</v>
      </c>
      <c r="Z208" s="972" t="str">
        <f>VLOOKUP(AA208,'place of settlement'!A:C,2,FALSE)</f>
        <v>JJSDJPJTXXX</v>
      </c>
      <c r="AA208" s="972" t="str">
        <f t="shared" si="45"/>
        <v>JP</v>
      </c>
      <c r="AB208" s="972" t="str">
        <f t="shared" si="46"/>
        <v>KeplerJP</v>
      </c>
      <c r="AC208" s="972" t="str">
        <f>VLOOKUP(AB208,sample!$1:$1048576,2,FALSE)</f>
        <v>SOGEFRPPTIT</v>
      </c>
      <c r="AD208" s="972" t="str">
        <f>VLOOKUP($AB208,sample!$1:$1048576,3,FALSE)</f>
        <v>JJSDJPJTXXX</v>
      </c>
      <c r="AE208" s="973">
        <f>VLOOKUP($AB208,sample!$1:$1048576,4,FALSE)</f>
        <v>222446</v>
      </c>
      <c r="AF208" s="972" t="str">
        <f>VLOOKUP($AB208,sample!$1:$1048576,5,FALSE)</f>
        <v>N</v>
      </c>
      <c r="AL208" s="973" t="str">
        <f>VLOOKUP($AB208,sample!$1:$1048576,11,FALSE)</f>
        <v xml:space="preserve">        </v>
      </c>
      <c r="AM208" s="973" t="str">
        <f>VLOOKUP($AB208,sample!$1:$1048576,12,FALSE)</f>
        <v xml:space="preserve">        </v>
      </c>
      <c r="AN208" s="973" t="str">
        <f>VLOOKUP($AB208,sample!$1:$1048576,13,FALSE)</f>
        <v>CITIJPJTXXX</v>
      </c>
      <c r="AP208" s="988"/>
    </row>
    <row r="209" spans="1:42" ht="14">
      <c r="A209" s="808">
        <v>201900206</v>
      </c>
      <c r="B209" s="887">
        <v>43851</v>
      </c>
      <c r="C209" s="881" t="s">
        <v>133</v>
      </c>
      <c r="D209" s="1130" t="str">
        <f>IFERROR(VLOOKUP(G209,PosAggregate!$B$13:$B$89,1,FALSE),"")</f>
        <v/>
      </c>
      <c r="E209" s="769" t="s">
        <v>1190</v>
      </c>
      <c r="F209" s="1006" t="str">
        <f t="shared" si="47"/>
        <v/>
      </c>
      <c r="G209" s="594" t="s">
        <v>1590</v>
      </c>
      <c r="I209" s="833" t="s">
        <v>1085</v>
      </c>
      <c r="J209" s="833" t="s">
        <v>125</v>
      </c>
      <c r="K209" s="744">
        <v>2157.9090999999999</v>
      </c>
      <c r="L209" s="834"/>
      <c r="M209" s="835">
        <v>1100</v>
      </c>
      <c r="N209" s="974">
        <f t="shared" si="41"/>
        <v>-2373700.0099999998</v>
      </c>
      <c r="O209" s="885">
        <v>-1187</v>
      </c>
      <c r="R209" s="978">
        <f t="shared" si="42"/>
        <v>-2374887.0099999998</v>
      </c>
      <c r="S209" s="744">
        <v>121.34317952672721</v>
      </c>
      <c r="T209" s="983">
        <f t="shared" si="43"/>
        <v>-19571.656349064961</v>
      </c>
      <c r="U209" s="839">
        <v>43853</v>
      </c>
      <c r="V209" s="831" t="s">
        <v>1072</v>
      </c>
      <c r="W209" s="840">
        <v>43851.70028125</v>
      </c>
      <c r="X209" s="971">
        <f t="shared" si="44"/>
        <v>5.0006319037762495E-2</v>
      </c>
      <c r="Y209" s="972" t="str">
        <f>VLOOKUP(V209,'bic broker'!$A$1:$B$14,2,FALSE)</f>
        <v>JBBRFRPPXXX</v>
      </c>
      <c r="Z209" s="972" t="str">
        <f>VLOOKUP(AA209,'place of settlement'!A:C,2,FALSE)</f>
        <v>JJSDJPJTXXX</v>
      </c>
      <c r="AA209" s="972" t="str">
        <f t="shared" si="45"/>
        <v>JP</v>
      </c>
      <c r="AB209" s="972" t="str">
        <f t="shared" si="46"/>
        <v>KeplerJP</v>
      </c>
      <c r="AC209" s="972" t="str">
        <f>VLOOKUP(AB209,sample!$1:$1048576,2,FALSE)</f>
        <v>SOGEFRPPTIT</v>
      </c>
      <c r="AD209" s="972" t="str">
        <f>VLOOKUP($AB209,sample!$1:$1048576,3,FALSE)</f>
        <v>JJSDJPJTXXX</v>
      </c>
      <c r="AE209" s="973">
        <f>VLOOKUP($AB209,sample!$1:$1048576,4,FALSE)</f>
        <v>222446</v>
      </c>
      <c r="AF209" s="972" t="str">
        <f>VLOOKUP($AB209,sample!$1:$1048576,5,FALSE)</f>
        <v>N</v>
      </c>
      <c r="AL209" s="973" t="str">
        <f>VLOOKUP($AB209,sample!$1:$1048576,11,FALSE)</f>
        <v xml:space="preserve">        </v>
      </c>
      <c r="AM209" s="973" t="str">
        <f>VLOOKUP($AB209,sample!$1:$1048576,12,FALSE)</f>
        <v xml:space="preserve">        </v>
      </c>
      <c r="AN209" s="973" t="str">
        <f>VLOOKUP($AB209,sample!$1:$1048576,13,FALSE)</f>
        <v>CITIJPJTXXX</v>
      </c>
      <c r="AP209" s="988"/>
    </row>
    <row r="210" spans="1:42" ht="14">
      <c r="A210" s="808">
        <v>201900207</v>
      </c>
      <c r="B210" s="887">
        <v>43852</v>
      </c>
      <c r="C210" s="881" t="s">
        <v>133</v>
      </c>
      <c r="D210" s="1130" t="str">
        <f>IFERROR(VLOOKUP(G210,PosAggregate!$B$13:$B$89,1,FALSE),"")</f>
        <v/>
      </c>
      <c r="E210" s="769" t="s">
        <v>1635</v>
      </c>
      <c r="F210" s="1006" t="str">
        <f t="shared" si="47"/>
        <v/>
      </c>
      <c r="G210" s="594" t="s">
        <v>1648</v>
      </c>
      <c r="I210" s="833" t="s">
        <v>1636</v>
      </c>
      <c r="J210" s="833" t="s">
        <v>2</v>
      </c>
      <c r="K210" s="744">
        <v>179.63229999999999</v>
      </c>
      <c r="L210" s="834"/>
      <c r="M210" s="835">
        <v>320</v>
      </c>
      <c r="N210" s="974">
        <f t="shared" si="41"/>
        <v>-57482.335999999996</v>
      </c>
      <c r="O210" s="885">
        <v>-28.74</v>
      </c>
      <c r="R210" s="978">
        <f t="shared" si="42"/>
        <v>-57511.075999999994</v>
      </c>
      <c r="S210" s="744">
        <v>1</v>
      </c>
      <c r="T210" s="983">
        <f t="shared" si="43"/>
        <v>-57511.075999999994</v>
      </c>
      <c r="U210" s="839">
        <v>43854</v>
      </c>
      <c r="V210" s="831" t="s">
        <v>1072</v>
      </c>
      <c r="W210" s="840">
        <v>43852.484681712966</v>
      </c>
      <c r="X210" s="971">
        <f t="shared" si="44"/>
        <v>4.9997968071443716E-2</v>
      </c>
      <c r="Y210" s="972" t="str">
        <f>VLOOKUP(V210,'bic broker'!$A$1:$B$14,2,FALSE)</f>
        <v>JBBRFRPPXXX</v>
      </c>
      <c r="Z210" s="972" t="str">
        <f>VLOOKUP(AA210,'place of settlement'!A:C,2,FALSE)</f>
        <v>DAKVDEFFXXX</v>
      </c>
      <c r="AA210" s="972" t="str">
        <f t="shared" si="45"/>
        <v>DE</v>
      </c>
      <c r="AB210" s="972" t="str">
        <f t="shared" si="46"/>
        <v>KeplerDE</v>
      </c>
      <c r="AC210" s="972" t="str">
        <f>VLOOKUP(AB210,sample!$1:$1048576,2,FALSE)</f>
        <v>PAREFRPPXXX</v>
      </c>
      <c r="AD210" s="972" t="str">
        <f>VLOOKUP($AB210,sample!$1:$1048576,3,FALSE)</f>
        <v>DAKVDEFFXXX</v>
      </c>
      <c r="AE210" s="973" t="str">
        <f>VLOOKUP($AB210,sample!$1:$1048576,4,FALSE)</f>
        <v>DAKV 8448</v>
      </c>
      <c r="AF210" s="972" t="str">
        <f>VLOOKUP($AB210,sample!$1:$1048576,5,FALSE)</f>
        <v>N</v>
      </c>
      <c r="AL210" s="973" t="str">
        <f>VLOOKUP($AB210,sample!$1:$1048576,11,FALSE)</f>
        <v xml:space="preserve">        </v>
      </c>
      <c r="AM210" s="973" t="str">
        <f>VLOOKUP($AB210,sample!$1:$1048576,12,FALSE)</f>
        <v xml:space="preserve">        </v>
      </c>
      <c r="AN210" s="973" t="str">
        <f>VLOOKUP($AB210,sample!$1:$1048576,13,FALSE)</f>
        <v>SGABCHZZ448</v>
      </c>
      <c r="AP210" s="988"/>
    </row>
    <row r="211" spans="1:42" ht="14">
      <c r="A211" s="808">
        <v>201900208</v>
      </c>
      <c r="B211" s="887">
        <v>43852</v>
      </c>
      <c r="C211" s="881" t="s">
        <v>133</v>
      </c>
      <c r="D211" s="1130" t="str">
        <f>IFERROR(VLOOKUP(G211,PosAggregate!$B$13:$B$89,1,FALSE),"")</f>
        <v/>
      </c>
      <c r="E211" s="769" t="s">
        <v>1190</v>
      </c>
      <c r="F211" s="1006" t="str">
        <f t="shared" si="47"/>
        <v/>
      </c>
      <c r="G211" s="594" t="s">
        <v>1590</v>
      </c>
      <c r="I211" s="833" t="s">
        <v>1085</v>
      </c>
      <c r="J211" s="833" t="s">
        <v>125</v>
      </c>
      <c r="K211" s="744">
        <v>2169.7647000000002</v>
      </c>
      <c r="L211" s="834"/>
      <c r="M211" s="835">
        <v>1700</v>
      </c>
      <c r="N211" s="974">
        <f t="shared" si="41"/>
        <v>-3688599.99</v>
      </c>
      <c r="O211" s="885">
        <v>-1844</v>
      </c>
      <c r="R211" s="978">
        <f t="shared" si="42"/>
        <v>-3690443.99</v>
      </c>
      <c r="S211" s="744">
        <v>121.74741788199846</v>
      </c>
      <c r="T211" s="983">
        <f t="shared" si="43"/>
        <v>-30312.297822832661</v>
      </c>
      <c r="U211" s="839">
        <v>43854</v>
      </c>
      <c r="V211" s="831" t="s">
        <v>1072</v>
      </c>
      <c r="W211" s="840">
        <v>43852.702439930552</v>
      </c>
      <c r="X211" s="971">
        <f t="shared" si="44"/>
        <v>4.9991866968475483E-2</v>
      </c>
      <c r="Y211" s="972" t="str">
        <f>VLOOKUP(V211,'bic broker'!$A$1:$B$14,2,FALSE)</f>
        <v>JBBRFRPPXXX</v>
      </c>
      <c r="Z211" s="972" t="str">
        <f>VLOOKUP(AA211,'place of settlement'!A:C,2,FALSE)</f>
        <v>JJSDJPJTXXX</v>
      </c>
      <c r="AA211" s="972" t="str">
        <f t="shared" si="45"/>
        <v>JP</v>
      </c>
      <c r="AB211" s="972" t="str">
        <f t="shared" si="46"/>
        <v>KeplerJP</v>
      </c>
      <c r="AC211" s="972" t="str">
        <f>VLOOKUP(AB211,sample!$1:$1048576,2,FALSE)</f>
        <v>SOGEFRPPTIT</v>
      </c>
      <c r="AD211" s="972" t="str">
        <f>VLOOKUP($AB211,sample!$1:$1048576,3,FALSE)</f>
        <v>JJSDJPJTXXX</v>
      </c>
      <c r="AE211" s="973">
        <f>VLOOKUP($AB211,sample!$1:$1048576,4,FALSE)</f>
        <v>222446</v>
      </c>
      <c r="AF211" s="972" t="str">
        <f>VLOOKUP($AB211,sample!$1:$1048576,5,FALSE)</f>
        <v>N</v>
      </c>
      <c r="AL211" s="973" t="str">
        <f>VLOOKUP($AB211,sample!$1:$1048576,11,FALSE)</f>
        <v xml:space="preserve">        </v>
      </c>
      <c r="AM211" s="973" t="str">
        <f>VLOOKUP($AB211,sample!$1:$1048576,12,FALSE)</f>
        <v xml:space="preserve">        </v>
      </c>
      <c r="AN211" s="973" t="str">
        <f>VLOOKUP($AB211,sample!$1:$1048576,13,FALSE)</f>
        <v>CITIJPJTXXX</v>
      </c>
      <c r="AP211" s="988"/>
    </row>
    <row r="212" spans="1:42" ht="14">
      <c r="A212" s="909">
        <v>2019200230</v>
      </c>
      <c r="B212" s="887">
        <v>43852</v>
      </c>
      <c r="C212" s="881" t="s">
        <v>133</v>
      </c>
      <c r="D212" s="1130" t="str">
        <f>IFERROR(VLOOKUP(G212,PosAggregate!$B$13:$B$89,1,FALSE),"")</f>
        <v/>
      </c>
      <c r="E212" s="769" t="s">
        <v>1188</v>
      </c>
      <c r="F212" s="1006" t="str">
        <f t="shared" si="47"/>
        <v/>
      </c>
      <c r="G212" s="594" t="s">
        <v>1646</v>
      </c>
      <c r="I212" s="833" t="s">
        <v>1138</v>
      </c>
      <c r="J212" s="833" t="s">
        <v>125</v>
      </c>
      <c r="K212" s="744">
        <v>865.91039999999998</v>
      </c>
      <c r="L212" s="834"/>
      <c r="M212" s="835">
        <v>6700</v>
      </c>
      <c r="N212" s="974">
        <f t="shared" si="41"/>
        <v>-5801599.6799999997</v>
      </c>
      <c r="O212" s="885">
        <v>-2901</v>
      </c>
      <c r="R212" s="978">
        <f t="shared" si="42"/>
        <v>-5804500.6799999997</v>
      </c>
      <c r="S212" s="744">
        <v>121.74741788199835</v>
      </c>
      <c r="T212" s="983">
        <f t="shared" si="43"/>
        <v>-47676.581409109764</v>
      </c>
      <c r="U212" s="839">
        <v>43854</v>
      </c>
      <c r="V212" s="831" t="s">
        <v>1072</v>
      </c>
      <c r="W212" s="840">
        <v>43852.711632523147</v>
      </c>
      <c r="X212" s="971">
        <f t="shared" si="44"/>
        <v>5.0003450082926101E-2</v>
      </c>
      <c r="Y212" s="972" t="str">
        <f>VLOOKUP(V212,'bic broker'!$A$1:$B$14,2,FALSE)</f>
        <v>JBBRFRPPXXX</v>
      </c>
      <c r="Z212" s="972" t="str">
        <f>VLOOKUP(AA212,'place of settlement'!A:C,2,FALSE)</f>
        <v>JJSDJPJTXXX</v>
      </c>
      <c r="AA212" s="972" t="str">
        <f t="shared" si="45"/>
        <v>JP</v>
      </c>
      <c r="AB212" s="972" t="str">
        <f t="shared" si="46"/>
        <v>KeplerJP</v>
      </c>
      <c r="AC212" s="972" t="str">
        <f>VLOOKUP(AB212,sample!$1:$1048576,2,FALSE)</f>
        <v>SOGEFRPPTIT</v>
      </c>
      <c r="AD212" s="972" t="str">
        <f>VLOOKUP($AB212,sample!$1:$1048576,3,FALSE)</f>
        <v>JJSDJPJTXXX</v>
      </c>
      <c r="AE212" s="973">
        <f>VLOOKUP($AB212,sample!$1:$1048576,4,FALSE)</f>
        <v>222446</v>
      </c>
      <c r="AF212" s="972" t="str">
        <f>VLOOKUP($AB212,sample!$1:$1048576,5,FALSE)</f>
        <v>N</v>
      </c>
      <c r="AG212" s="885"/>
      <c r="AL212" s="973" t="str">
        <f>VLOOKUP($AB212,sample!$1:$1048576,11,FALSE)</f>
        <v xml:space="preserve">        </v>
      </c>
      <c r="AM212" s="973" t="str">
        <f>VLOOKUP($AB212,sample!$1:$1048576,12,FALSE)</f>
        <v xml:space="preserve">        </v>
      </c>
      <c r="AN212" s="973" t="str">
        <f>VLOOKUP($AB212,sample!$1:$1048576,13,FALSE)</f>
        <v>CITIJPJTXXX</v>
      </c>
      <c r="AP212" s="988"/>
    </row>
    <row r="213" spans="1:42" ht="14">
      <c r="A213" s="909">
        <v>2019200231</v>
      </c>
      <c r="B213" s="910">
        <v>43854</v>
      </c>
      <c r="C213" s="881" t="s">
        <v>133</v>
      </c>
      <c r="D213" s="1130" t="str">
        <f>IFERROR(VLOOKUP(G213,PosAggregate!$B$13:$B$89,1,FALSE),"")</f>
        <v/>
      </c>
      <c r="E213" s="769" t="s">
        <v>2031</v>
      </c>
      <c r="F213" s="1006" t="str">
        <f t="shared" si="47"/>
        <v/>
      </c>
      <c r="G213" s="594" t="s">
        <v>1660</v>
      </c>
      <c r="I213" s="833" t="s">
        <v>12697</v>
      </c>
      <c r="J213" s="833" t="s">
        <v>124</v>
      </c>
      <c r="K213" s="744">
        <v>8.7573000000000008</v>
      </c>
      <c r="L213" s="834"/>
      <c r="M213" s="835">
        <v>4800</v>
      </c>
      <c r="N213" s="974">
        <f t="shared" si="41"/>
        <v>-42035.040000000001</v>
      </c>
      <c r="O213" s="885">
        <v>-25.22</v>
      </c>
      <c r="P213" s="885">
        <v>-211.2</v>
      </c>
      <c r="R213" s="978">
        <f t="shared" si="42"/>
        <v>-42271.46</v>
      </c>
      <c r="S213" s="744">
        <v>0.84232048717410501</v>
      </c>
      <c r="T213" s="983">
        <f t="shared" si="43"/>
        <v>-50184.532661453144</v>
      </c>
      <c r="U213" s="839">
        <v>43858</v>
      </c>
      <c r="V213" s="831" t="s">
        <v>12600</v>
      </c>
      <c r="W213" s="840">
        <v>43854.368278587965</v>
      </c>
      <c r="X213" s="971">
        <f t="shared" si="44"/>
        <v>5.9997563937134353E-2</v>
      </c>
      <c r="Y213" s="972" t="e">
        <f>VLOOKUP(V213,'bic broker'!$A$1:$B$14,2,FALSE)</f>
        <v>#N/A</v>
      </c>
      <c r="Z213" s="972" t="str">
        <f>VLOOKUP(AA213,'place of settlement'!A:C,2,FALSE)</f>
        <v>CRSTGB22XXX</v>
      </c>
      <c r="AA213" s="972" t="str">
        <f t="shared" si="45"/>
        <v>GB</v>
      </c>
      <c r="AB213" s="716" t="s">
        <v>12599</v>
      </c>
      <c r="AC213" s="972" t="e">
        <f>VLOOKUP(AB213,sample!$1:$1048576,2,FALSE)</f>
        <v>#N/A</v>
      </c>
      <c r="AD213" s="972" t="e">
        <f>VLOOKUP($AB213,sample!$1:$1048576,3,FALSE)</f>
        <v>#N/A</v>
      </c>
      <c r="AE213" s="973" t="e">
        <f>VLOOKUP($AB213,sample!$1:$1048576,4,FALSE)</f>
        <v>#N/A</v>
      </c>
      <c r="AF213" s="972" t="e">
        <f>VLOOKUP($AB213,sample!$1:$1048576,5,FALSE)</f>
        <v>#N/A</v>
      </c>
      <c r="AG213" s="885"/>
      <c r="AL213" s="973" t="e">
        <f>VLOOKUP($AB213,sample!$1:$1048576,11,FALSE)</f>
        <v>#N/A</v>
      </c>
      <c r="AM213" s="973" t="e">
        <f>VLOOKUP($AB213,sample!$1:$1048576,12,FALSE)</f>
        <v>#N/A</v>
      </c>
      <c r="AN213" s="973" t="e">
        <f>VLOOKUP($AB213,sample!$1:$1048576,13,FALSE)</f>
        <v>#N/A</v>
      </c>
      <c r="AP213" s="988"/>
    </row>
    <row r="214" spans="1:42" ht="14">
      <c r="A214" s="909">
        <v>2019200232</v>
      </c>
      <c r="B214" s="887">
        <v>43854</v>
      </c>
      <c r="C214" s="881" t="s">
        <v>133</v>
      </c>
      <c r="D214" s="1130" t="str">
        <f>IFERROR(VLOOKUP(G214,PosAggregate!$B$13:$B$89,1,FALSE),"")</f>
        <v/>
      </c>
      <c r="E214" s="769" t="s">
        <v>1222</v>
      </c>
      <c r="F214" s="1006" t="str">
        <f t="shared" si="47"/>
        <v/>
      </c>
      <c r="G214" s="594" t="s">
        <v>1173</v>
      </c>
      <c r="I214" s="833" t="s">
        <v>130</v>
      </c>
      <c r="J214" s="833" t="s">
        <v>2</v>
      </c>
      <c r="K214" s="744">
        <v>36.413049999999998</v>
      </c>
      <c r="L214" s="834"/>
      <c r="M214" s="835">
        <v>1100</v>
      </c>
      <c r="N214" s="974">
        <f t="shared" si="41"/>
        <v>-40054.354999999996</v>
      </c>
      <c r="O214" s="885">
        <v>-12.02</v>
      </c>
      <c r="P214" s="885">
        <v>-120.16</v>
      </c>
      <c r="R214" s="978">
        <f t="shared" si="42"/>
        <v>-40186.534999999996</v>
      </c>
      <c r="S214" s="744">
        <v>1</v>
      </c>
      <c r="T214" s="983">
        <f t="shared" si="43"/>
        <v>-40186.534999999996</v>
      </c>
      <c r="U214" s="839">
        <v>43858</v>
      </c>
      <c r="V214" s="831" t="s">
        <v>1656</v>
      </c>
      <c r="W214" s="840">
        <v>43854.679037615744</v>
      </c>
      <c r="X214" s="971">
        <f t="shared" si="44"/>
        <v>3.0009221219515332E-2</v>
      </c>
      <c r="Y214" s="972" t="str">
        <f>VLOOKUP(V214,'bic broker'!$A$1:$B$14,2,FALSE)</f>
        <v>TAVSGB21XXX</v>
      </c>
      <c r="Z214" s="972" t="str">
        <f>VLOOKUP(AA214,'place of settlement'!A:C,2,FALSE)</f>
        <v>SICVFRPPXXX</v>
      </c>
      <c r="AA214" s="972" t="str">
        <f t="shared" si="45"/>
        <v>FR</v>
      </c>
      <c r="AB214" s="972" t="str">
        <f t="shared" si="46"/>
        <v>Tavira SecuritiesFR</v>
      </c>
      <c r="AC214" s="972" t="str">
        <f>VLOOKUP(AB214,sample!$1:$1048576,2,FALSE)</f>
        <v>GSILGB2XXXX</v>
      </c>
      <c r="AD214" s="972" t="str">
        <f>VLOOKUP($AB214,sample!$1:$1048576,3,FALSE)</f>
        <v>SICVFRPPXXX</v>
      </c>
      <c r="AE214" s="973" t="str">
        <f>VLOOKUP($AB214,sample!$1:$1048576,4,FALSE)</f>
        <v>SICVPARBFRPPXXX000L10</v>
      </c>
      <c r="AF214" s="972" t="str">
        <f>VLOOKUP($AB214,sample!$1:$1048576,5,FALSE)</f>
        <v>N</v>
      </c>
      <c r="AL214" s="973" t="str">
        <f>VLOOKUP($AB214,sample!$1:$1048576,11,FALSE)</f>
        <v xml:space="preserve">        </v>
      </c>
      <c r="AM214" s="973" t="str">
        <f>VLOOKUP($AB214,sample!$1:$1048576,12,FALSE)</f>
        <v xml:space="preserve">        </v>
      </c>
      <c r="AN214" s="973" t="str">
        <f>VLOOKUP($AB214,sample!$1:$1048576,13,FALSE)</f>
        <v>PARBFRPPXXX</v>
      </c>
      <c r="AP214" s="988"/>
    </row>
    <row r="215" spans="1:42" ht="14">
      <c r="A215" s="909">
        <v>2019200233</v>
      </c>
      <c r="B215" s="910">
        <v>43854</v>
      </c>
      <c r="C215" s="881" t="s">
        <v>133</v>
      </c>
      <c r="D215" s="1130" t="str">
        <f>IFERROR(VLOOKUP(G215,PosAggregate!$B$13:$B$89,1,FALSE),"")</f>
        <v/>
      </c>
      <c r="E215" s="769" t="s">
        <v>2032</v>
      </c>
      <c r="F215" s="1006" t="str">
        <f t="shared" si="47"/>
        <v/>
      </c>
      <c r="G215" s="594" t="s">
        <v>1661</v>
      </c>
      <c r="I215" s="833" t="s">
        <v>12607</v>
      </c>
      <c r="J215" s="833" t="s">
        <v>124</v>
      </c>
      <c r="K215" s="744">
        <v>2.30457</v>
      </c>
      <c r="L215" s="834"/>
      <c r="M215" s="835">
        <v>17000</v>
      </c>
      <c r="N215" s="974">
        <f t="shared" si="41"/>
        <v>-39177.69</v>
      </c>
      <c r="O215" s="885">
        <v>-12.75</v>
      </c>
      <c r="R215" s="978">
        <f t="shared" si="42"/>
        <v>-39190.44</v>
      </c>
      <c r="S215" s="744">
        <v>0.84232048717410402</v>
      </c>
      <c r="T215" s="983">
        <f t="shared" si="43"/>
        <v>-46526.756260529502</v>
      </c>
      <c r="U215" s="839">
        <v>43858</v>
      </c>
      <c r="V215" s="831" t="s">
        <v>1656</v>
      </c>
      <c r="W215" s="840">
        <v>43854.680190277781</v>
      </c>
      <c r="X215" s="971">
        <f t="shared" si="44"/>
        <v>3.2544032075398008E-2</v>
      </c>
      <c r="Y215" s="972" t="str">
        <f>VLOOKUP(V215,'bic broker'!$A$1:$B$14,2,FALSE)</f>
        <v>TAVSGB21XXX</v>
      </c>
      <c r="Z215" s="972" t="str">
        <f>VLOOKUP(AA215,'place of settlement'!A:C,2,FALSE)</f>
        <v>CRSTGB22XXX</v>
      </c>
      <c r="AA215" s="972" t="str">
        <f t="shared" si="45"/>
        <v>JE</v>
      </c>
      <c r="AB215" s="972" t="str">
        <f t="shared" si="46"/>
        <v>Tavira SecuritiesJE</v>
      </c>
      <c r="AC215" s="972" t="str">
        <f>VLOOKUP(AB215,sample!$1:$1048576,2,FALSE)</f>
        <v>GSILGB2XXXX</v>
      </c>
      <c r="AD215" s="972" t="str">
        <f>VLOOKUP($AB215,sample!$1:$1048576,3,FALSE)</f>
        <v>CRSTGB22</v>
      </c>
      <c r="AE215" s="973" t="str">
        <f>VLOOKUP($AB215,sample!$1:$1048576,4,FALSE)</f>
        <v xml:space="preserve">        </v>
      </c>
      <c r="AF215" s="972" t="str">
        <f>VLOOKUP($AB215,sample!$1:$1048576,5,FALSE)</f>
        <v>N</v>
      </c>
      <c r="AL215" s="973" t="str">
        <f>VLOOKUP($AB215,sample!$1:$1048576,11,FALSE)</f>
        <v>CRST</v>
      </c>
      <c r="AM215" s="973">
        <f>VLOOKUP($AB215,sample!$1:$1048576,12,FALSE)</f>
        <v>303</v>
      </c>
      <c r="AN215" s="973" t="str">
        <f>VLOOKUP($AB215,sample!$1:$1048576,13,FALSE)</f>
        <v>GSILGB2XXXX</v>
      </c>
      <c r="AP215" s="988"/>
    </row>
    <row r="216" spans="1:42" ht="14">
      <c r="A216" s="909">
        <v>2019200234</v>
      </c>
      <c r="B216" s="887">
        <v>43854</v>
      </c>
      <c r="C216" s="881" t="s">
        <v>133</v>
      </c>
      <c r="D216" s="1130" t="str">
        <f>IFERROR(VLOOKUP(G216,PosAggregate!$B$13:$B$89,1,FALSE),"")</f>
        <v/>
      </c>
      <c r="E216" s="769" t="s">
        <v>1608</v>
      </c>
      <c r="F216" s="1006" t="str">
        <f t="shared" si="47"/>
        <v/>
      </c>
      <c r="G216" s="594" t="s">
        <v>1581</v>
      </c>
      <c r="I216" s="833" t="s">
        <v>1585</v>
      </c>
      <c r="J216" s="833" t="s">
        <v>3</v>
      </c>
      <c r="K216" s="744">
        <v>11.164400000000001</v>
      </c>
      <c r="L216" s="834"/>
      <c r="M216" s="835">
        <v>4200</v>
      </c>
      <c r="N216" s="974">
        <f t="shared" si="41"/>
        <v>-46890.48</v>
      </c>
      <c r="O216" s="885">
        <v>-23.45</v>
      </c>
      <c r="R216" s="978">
        <f t="shared" si="42"/>
        <v>-46913.93</v>
      </c>
      <c r="S216" s="744">
        <v>1.1052044075551775</v>
      </c>
      <c r="T216" s="983">
        <f t="shared" si="43"/>
        <v>-42448.193003299995</v>
      </c>
      <c r="U216" s="839">
        <v>43858</v>
      </c>
      <c r="V216" s="831" t="s">
        <v>1656</v>
      </c>
      <c r="W216" s="840">
        <v>43854.877661458333</v>
      </c>
      <c r="X216" s="971">
        <f t="shared" si="44"/>
        <v>5.0010151314296626E-2</v>
      </c>
      <c r="Y216" s="972" t="str">
        <f>VLOOKUP(V216,'bic broker'!$A$1:$B$14,2,FALSE)</f>
        <v>TAVSGB21XXX</v>
      </c>
      <c r="Z216" s="972" t="str">
        <f>VLOOKUP(AA216,'place of settlement'!A:C,2,FALSE)</f>
        <v>DTCYUS33XXX</v>
      </c>
      <c r="AA216" s="972" t="str">
        <f t="shared" si="45"/>
        <v>US</v>
      </c>
      <c r="AB216" s="972" t="str">
        <f t="shared" si="46"/>
        <v>Tavira SecuritiesUS</v>
      </c>
      <c r="AC216" s="972" t="str">
        <f>VLOOKUP(AB216,sample!$1:$1048576,2,FALSE)</f>
        <v>GSILGB2XXXX</v>
      </c>
      <c r="AD216" s="972" t="str">
        <f>VLOOKUP($AB216,sample!$1:$1048576,3,FALSE)</f>
        <v>DTCYUS33</v>
      </c>
      <c r="AE216" s="973" t="str">
        <f>VLOOKUP($AB216,sample!$1:$1048576,4,FALSE)</f>
        <v xml:space="preserve">        </v>
      </c>
      <c r="AF216" s="972" t="str">
        <f>VLOOKUP($AB216,sample!$1:$1048576,5,FALSE)</f>
        <v>N</v>
      </c>
      <c r="AL216" s="973" t="str">
        <f>VLOOKUP($AB216,sample!$1:$1048576,11,FALSE)</f>
        <v>DTCYID</v>
      </c>
      <c r="AM216" s="973">
        <f>VLOOKUP($AB216,sample!$1:$1048576,12,FALSE)</f>
        <v>5208</v>
      </c>
      <c r="AN216" s="973" t="str">
        <f>VLOOKUP($AB216,sample!$1:$1048576,13,FALSE)</f>
        <v xml:space="preserve">        </v>
      </c>
      <c r="AP216" s="988"/>
    </row>
    <row r="217" spans="1:42" ht="14">
      <c r="A217" s="909">
        <v>2019200235</v>
      </c>
      <c r="B217" s="887">
        <v>43857</v>
      </c>
      <c r="C217" s="881" t="s">
        <v>133</v>
      </c>
      <c r="D217" s="1130" t="str">
        <f>IFERROR(VLOOKUP(G217,PosAggregate!$B$13:$B$89,1,FALSE),"")</f>
        <v/>
      </c>
      <c r="E217" s="769" t="s">
        <v>1187</v>
      </c>
      <c r="F217" s="1006" t="str">
        <f t="shared" si="47"/>
        <v/>
      </c>
      <c r="G217" s="594" t="s">
        <v>2028</v>
      </c>
      <c r="I217" s="833" t="s">
        <v>1090</v>
      </c>
      <c r="J217" s="833" t="s">
        <v>125</v>
      </c>
      <c r="K217" s="744">
        <v>3208.88042</v>
      </c>
      <c r="L217" s="834"/>
      <c r="M217" s="835">
        <v>3300</v>
      </c>
      <c r="N217" s="974">
        <f t="shared" si="41"/>
        <v>-10589305.386</v>
      </c>
      <c r="O217" s="885">
        <v>-3177</v>
      </c>
      <c r="R217" s="978">
        <f t="shared" si="42"/>
        <v>-10592482.386</v>
      </c>
      <c r="S217" s="744">
        <v>120.44885856325565</v>
      </c>
      <c r="T217" s="983">
        <f t="shared" si="43"/>
        <v>-87941.741518764058</v>
      </c>
      <c r="U217" s="839">
        <v>43859</v>
      </c>
      <c r="V217" s="831" t="s">
        <v>1656</v>
      </c>
      <c r="W217" s="840">
        <v>43857.081628935186</v>
      </c>
      <c r="X217" s="971">
        <f t="shared" si="44"/>
        <v>3.000196787411831E-2</v>
      </c>
      <c r="Y217" s="972" t="str">
        <f>VLOOKUP(V217,'bic broker'!$A$1:$B$14,2,FALSE)</f>
        <v>TAVSGB21XXX</v>
      </c>
      <c r="Z217" s="972" t="str">
        <f>VLOOKUP(AA217,'place of settlement'!A:C,2,FALSE)</f>
        <v>JJSDJPJTXXX</v>
      </c>
      <c r="AA217" s="972" t="str">
        <f t="shared" si="45"/>
        <v>JP</v>
      </c>
      <c r="AB217" s="972" t="str">
        <f t="shared" si="46"/>
        <v>Tavira SecuritiesJP</v>
      </c>
      <c r="AC217" s="972" t="str">
        <f>VLOOKUP(AB217,sample!$1:$1048576,2,FALSE)</f>
        <v>GSILGB2XXXX</v>
      </c>
      <c r="AD217" s="972" t="str">
        <f>VLOOKUP($AB217,sample!$1:$1048576,3,FALSE)</f>
        <v>JJSDJPJTXXX</v>
      </c>
      <c r="AE217" s="973">
        <f>VLOOKUP($AB217,sample!$1:$1048576,4,FALSE)</f>
        <v>6530490016</v>
      </c>
      <c r="AF217" s="972" t="str">
        <f>VLOOKUP($AB217,sample!$1:$1048576,5,FALSE)</f>
        <v>N</v>
      </c>
      <c r="AL217" s="973" t="str">
        <f>VLOOKUP($AB217,sample!$1:$1048576,11,FALSE)</f>
        <v xml:space="preserve">                  </v>
      </c>
      <c r="AM217" s="973" t="str">
        <f>VLOOKUP($AB217,sample!$1:$1048576,12,FALSE)</f>
        <v xml:space="preserve">                          </v>
      </c>
      <c r="AN217" s="973" t="str">
        <f>VLOOKUP($AB217,sample!$1:$1048576,13,FALSE)</f>
        <v>GOLDJPJXXXX</v>
      </c>
      <c r="AP217" s="988"/>
    </row>
    <row r="218" spans="1:42" ht="14">
      <c r="A218" s="909">
        <v>2019200236</v>
      </c>
      <c r="B218" s="887">
        <v>43857</v>
      </c>
      <c r="C218" s="881" t="s">
        <v>133</v>
      </c>
      <c r="D218" s="1130" t="str">
        <f>IFERROR(VLOOKUP(G218,PosAggregate!$B$13:$B$89,1,FALSE),"")</f>
        <v/>
      </c>
      <c r="E218" s="769" t="s">
        <v>1186</v>
      </c>
      <c r="F218" s="1006" t="str">
        <f t="shared" si="47"/>
        <v/>
      </c>
      <c r="G218" s="594" t="s">
        <v>1134</v>
      </c>
      <c r="I218" s="833" t="s">
        <v>1081</v>
      </c>
      <c r="J218" s="833" t="s">
        <v>125</v>
      </c>
      <c r="K218" s="744">
        <v>1104.7809500000001</v>
      </c>
      <c r="L218" s="834"/>
      <c r="M218" s="835">
        <v>4200</v>
      </c>
      <c r="N218" s="974">
        <f t="shared" si="41"/>
        <v>-4640079.99</v>
      </c>
      <c r="O218" s="885">
        <v>-1392</v>
      </c>
      <c r="R218" s="978">
        <f t="shared" si="42"/>
        <v>-4641471.99</v>
      </c>
      <c r="S218" s="744">
        <v>120.44885856325583</v>
      </c>
      <c r="T218" s="983">
        <f t="shared" si="43"/>
        <v>-38534.794313243328</v>
      </c>
      <c r="U218" s="839">
        <v>43859</v>
      </c>
      <c r="V218" s="831" t="s">
        <v>1656</v>
      </c>
      <c r="W218" s="840">
        <v>43857.083069328706</v>
      </c>
      <c r="X218" s="971">
        <f t="shared" si="44"/>
        <v>2.9999482832191431E-2</v>
      </c>
      <c r="Y218" s="972" t="str">
        <f>VLOOKUP(V218,'bic broker'!$A$1:$B$14,2,FALSE)</f>
        <v>TAVSGB21XXX</v>
      </c>
      <c r="Z218" s="972" t="str">
        <f>VLOOKUP(AA218,'place of settlement'!A:C,2,FALSE)</f>
        <v>JJSDJPJTXXX</v>
      </c>
      <c r="AA218" s="972" t="str">
        <f t="shared" si="45"/>
        <v>JP</v>
      </c>
      <c r="AB218" s="972" t="str">
        <f t="shared" si="46"/>
        <v>Tavira SecuritiesJP</v>
      </c>
      <c r="AC218" s="972" t="str">
        <f>VLOOKUP(AB218,sample!$1:$1048576,2,FALSE)</f>
        <v>GSILGB2XXXX</v>
      </c>
      <c r="AD218" s="972" t="str">
        <f>VLOOKUP($AB218,sample!$1:$1048576,3,FALSE)</f>
        <v>JJSDJPJTXXX</v>
      </c>
      <c r="AE218" s="973">
        <f>VLOOKUP($AB218,sample!$1:$1048576,4,FALSE)</f>
        <v>6530490016</v>
      </c>
      <c r="AF218" s="972" t="str">
        <f>VLOOKUP($AB218,sample!$1:$1048576,5,FALSE)</f>
        <v>N</v>
      </c>
      <c r="AL218" s="973" t="str">
        <f>VLOOKUP($AB218,sample!$1:$1048576,11,FALSE)</f>
        <v xml:space="preserve">                  </v>
      </c>
      <c r="AM218" s="973" t="str">
        <f>VLOOKUP($AB218,sample!$1:$1048576,12,FALSE)</f>
        <v xml:space="preserve">                          </v>
      </c>
      <c r="AN218" s="973" t="str">
        <f>VLOOKUP($AB218,sample!$1:$1048576,13,FALSE)</f>
        <v>GOLDJPJXXXX</v>
      </c>
      <c r="AP218" s="988"/>
    </row>
    <row r="219" spans="1:42" ht="14">
      <c r="A219" s="911">
        <v>2019200237</v>
      </c>
      <c r="B219" s="887">
        <v>43858</v>
      </c>
      <c r="C219" s="881" t="s">
        <v>133</v>
      </c>
      <c r="D219" s="1130" t="str">
        <f>IFERROR(VLOOKUP(G219,PosAggregate!$B$13:$B$89,1,FALSE),"")</f>
        <v/>
      </c>
      <c r="E219" s="769" t="s">
        <v>1654</v>
      </c>
      <c r="F219" s="1006" t="str">
        <f t="shared" si="47"/>
        <v/>
      </c>
      <c r="G219" s="594" t="s">
        <v>1647</v>
      </c>
      <c r="I219" s="833" t="s">
        <v>1655</v>
      </c>
      <c r="J219" s="833" t="s">
        <v>1069</v>
      </c>
      <c r="K219" s="744">
        <v>2.6299700000000001</v>
      </c>
      <c r="L219" s="834"/>
      <c r="M219" s="835">
        <v>22000</v>
      </c>
      <c r="N219" s="974">
        <f t="shared" si="41"/>
        <v>-57859.340000000004</v>
      </c>
      <c r="O219" s="885">
        <v>-17.36</v>
      </c>
      <c r="R219" s="978">
        <f t="shared" si="42"/>
        <v>-57876.700000000004</v>
      </c>
      <c r="S219" s="744">
        <v>1.6143916930301216</v>
      </c>
      <c r="T219" s="983">
        <f t="shared" si="43"/>
        <v>-35850.469405828473</v>
      </c>
      <c r="U219" s="839">
        <v>43860</v>
      </c>
      <c r="V219" s="831" t="s">
        <v>1656</v>
      </c>
      <c r="W219" s="840">
        <v>43858.050773842595</v>
      </c>
      <c r="X219" s="971">
        <f t="shared" si="44"/>
        <v>3.0003798868082489E-2</v>
      </c>
      <c r="Y219" s="972" t="str">
        <f>VLOOKUP(V219,'bic broker'!$A$1:$B$14,2,FALSE)</f>
        <v>TAVSGB21XXX</v>
      </c>
      <c r="Z219" s="972" t="str">
        <f>VLOOKUP(AA219,'place of settlement'!A:C,2,FALSE)</f>
        <v>CAETAU21XXX</v>
      </c>
      <c r="AA219" s="972" t="str">
        <f t="shared" si="45"/>
        <v>AU</v>
      </c>
      <c r="AB219" s="972" t="str">
        <f t="shared" si="46"/>
        <v>Tavira SecuritiesAU</v>
      </c>
      <c r="AC219" s="972" t="str">
        <f>VLOOKUP(AB219,sample!$1:$1048576,2,FALSE)</f>
        <v>GSILGB2XXXX</v>
      </c>
      <c r="AD219" s="972" t="str">
        <f>VLOOKUP($AB219,sample!$1:$1048576,3,FALSE)</f>
        <v>CAETAU21</v>
      </c>
      <c r="AE219" s="973" t="str">
        <f>VLOOKUP($AB219,sample!$1:$1048576,4,FALSE)</f>
        <v>011-109048-061</v>
      </c>
      <c r="AF219" s="972" t="str">
        <f>VLOOKUP($AB219,sample!$1:$1048576,5,FALSE)</f>
        <v>N</v>
      </c>
      <c r="AL219" s="973" t="str">
        <f>VLOOKUP($AB219,sample!$1:$1048576,11,FALSE)</f>
        <v xml:space="preserve">        </v>
      </c>
      <c r="AM219" s="973" t="str">
        <f>VLOOKUP($AB219,sample!$1:$1048576,12,FALSE)</f>
        <v xml:space="preserve">        </v>
      </c>
      <c r="AN219" s="973" t="str">
        <f>VLOOKUP($AB219,sample!$1:$1048576,13,FALSE)</f>
        <v>HKBAAU2SSYD</v>
      </c>
      <c r="AP219" s="988"/>
    </row>
    <row r="220" spans="1:42" ht="14">
      <c r="A220" s="911">
        <v>2019200238</v>
      </c>
      <c r="B220" s="887">
        <v>43858</v>
      </c>
      <c r="C220" s="881" t="s">
        <v>133</v>
      </c>
      <c r="D220" s="1130" t="str">
        <f>IFERROR(VLOOKUP(G220,PosAggregate!$B$13:$B$89,1,FALSE),"")</f>
        <v/>
      </c>
      <c r="E220" s="769" t="s">
        <v>1197</v>
      </c>
      <c r="F220" s="1006" t="str">
        <f t="shared" si="47"/>
        <v/>
      </c>
      <c r="G220" s="594" t="s">
        <v>1146</v>
      </c>
      <c r="I220" s="833" t="s">
        <v>1103</v>
      </c>
      <c r="J220" s="833" t="s">
        <v>125</v>
      </c>
      <c r="K220" s="744">
        <v>1955.3227300000001</v>
      </c>
      <c r="L220" s="834"/>
      <c r="M220" s="835">
        <v>2200</v>
      </c>
      <c r="N220" s="974">
        <f t="shared" si="41"/>
        <v>-4301710.0060000001</v>
      </c>
      <c r="O220" s="885">
        <v>-1291</v>
      </c>
      <c r="R220" s="978">
        <f t="shared" si="42"/>
        <v>-4303001.0060000001</v>
      </c>
      <c r="S220" s="744">
        <v>119.9532921334699</v>
      </c>
      <c r="T220" s="983">
        <f t="shared" si="43"/>
        <v>-35872.304373373321</v>
      </c>
      <c r="U220" s="839">
        <v>43860</v>
      </c>
      <c r="V220" s="831" t="s">
        <v>1656</v>
      </c>
      <c r="W220" s="840">
        <v>43858.052674999999</v>
      </c>
      <c r="X220" s="971">
        <f t="shared" si="44"/>
        <v>3.0011321037432107E-2</v>
      </c>
      <c r="Y220" s="972" t="str">
        <f>VLOOKUP(V220,'bic broker'!$A$1:$B$14,2,FALSE)</f>
        <v>TAVSGB21XXX</v>
      </c>
      <c r="Z220" s="972" t="str">
        <f>VLOOKUP(AA220,'place of settlement'!A:C,2,FALSE)</f>
        <v>JJSDJPJTXXX</v>
      </c>
      <c r="AA220" s="972" t="str">
        <f t="shared" si="45"/>
        <v>JP</v>
      </c>
      <c r="AB220" s="972" t="str">
        <f t="shared" si="46"/>
        <v>Tavira SecuritiesJP</v>
      </c>
      <c r="AC220" s="972" t="str">
        <f>VLOOKUP(AB220,sample!$1:$1048576,2,FALSE)</f>
        <v>GSILGB2XXXX</v>
      </c>
      <c r="AD220" s="972" t="str">
        <f>VLOOKUP($AB220,sample!$1:$1048576,3,FALSE)</f>
        <v>JJSDJPJTXXX</v>
      </c>
      <c r="AE220" s="973">
        <f>VLOOKUP($AB220,sample!$1:$1048576,4,FALSE)</f>
        <v>6530490016</v>
      </c>
      <c r="AF220" s="972" t="str">
        <f>VLOOKUP($AB220,sample!$1:$1048576,5,FALSE)</f>
        <v>N</v>
      </c>
      <c r="AL220" s="973" t="str">
        <f>VLOOKUP($AB220,sample!$1:$1048576,11,FALSE)</f>
        <v xml:space="preserve">                  </v>
      </c>
      <c r="AM220" s="973" t="str">
        <f>VLOOKUP($AB220,sample!$1:$1048576,12,FALSE)</f>
        <v xml:space="preserve">                          </v>
      </c>
      <c r="AN220" s="973" t="str">
        <f>VLOOKUP($AB220,sample!$1:$1048576,13,FALSE)</f>
        <v>GOLDJPJXXXX</v>
      </c>
      <c r="AP220" s="988"/>
    </row>
    <row r="221" spans="1:42" ht="14">
      <c r="A221" s="911">
        <v>2019200239</v>
      </c>
      <c r="B221" s="887">
        <v>43858</v>
      </c>
      <c r="C221" s="881" t="s">
        <v>133</v>
      </c>
      <c r="D221" s="1130" t="str">
        <f>IFERROR(VLOOKUP(G221,PosAggregate!$B$13:$B$89,1,FALSE),"")</f>
        <v/>
      </c>
      <c r="E221" s="769" t="s">
        <v>1190</v>
      </c>
      <c r="F221" s="1006" t="str">
        <f t="shared" si="47"/>
        <v/>
      </c>
      <c r="G221" s="594" t="s">
        <v>1590</v>
      </c>
      <c r="I221" s="833" t="s">
        <v>1085</v>
      </c>
      <c r="J221" s="833" t="s">
        <v>125</v>
      </c>
      <c r="K221" s="744">
        <v>2094.9888900000001</v>
      </c>
      <c r="L221" s="834"/>
      <c r="M221" s="835">
        <v>900</v>
      </c>
      <c r="N221" s="974">
        <f t="shared" ref="N221:N252" si="48">-K221*M221</f>
        <v>-1885490.0010000002</v>
      </c>
      <c r="O221" s="885">
        <v>-566</v>
      </c>
      <c r="R221" s="978">
        <f t="shared" ref="R221:R252" si="49">SUM(N221:Q221)</f>
        <v>-1886056.0010000002</v>
      </c>
      <c r="S221" s="744">
        <v>119.9532921334696</v>
      </c>
      <c r="T221" s="983">
        <f t="shared" ref="T221:T252" si="50">+R221/S221</f>
        <v>-15723.253338486315</v>
      </c>
      <c r="U221" s="839">
        <v>43860</v>
      </c>
      <c r="V221" s="831" t="s">
        <v>1656</v>
      </c>
      <c r="W221" s="840">
        <v>43858.059005439813</v>
      </c>
      <c r="X221" s="971">
        <f t="shared" ref="X221:X252" si="51">+O221/N221*100</f>
        <v>3.0018721907823044E-2</v>
      </c>
      <c r="Y221" s="972" t="str">
        <f>VLOOKUP(V221,'bic broker'!$A$1:$B$14,2,FALSE)</f>
        <v>TAVSGB21XXX</v>
      </c>
      <c r="Z221" s="972" t="str">
        <f>VLOOKUP(AA221,'place of settlement'!A:C,2,FALSE)</f>
        <v>JJSDJPJTXXX</v>
      </c>
      <c r="AA221" s="972" t="str">
        <f t="shared" ref="AA221:AA252" si="52">LEFT(E221,2)</f>
        <v>JP</v>
      </c>
      <c r="AB221" s="972" t="str">
        <f t="shared" ref="AB221:AB252" si="53">CONCATENATE(V221,AA221)</f>
        <v>Tavira SecuritiesJP</v>
      </c>
      <c r="AC221" s="972" t="str">
        <f>VLOOKUP(AB221,sample!$1:$1048576,2,FALSE)</f>
        <v>GSILGB2XXXX</v>
      </c>
      <c r="AD221" s="972" t="str">
        <f>VLOOKUP($AB221,sample!$1:$1048576,3,FALSE)</f>
        <v>JJSDJPJTXXX</v>
      </c>
      <c r="AE221" s="973">
        <f>VLOOKUP($AB221,sample!$1:$1048576,4,FALSE)</f>
        <v>6530490016</v>
      </c>
      <c r="AF221" s="972" t="str">
        <f>VLOOKUP($AB221,sample!$1:$1048576,5,FALSE)</f>
        <v>N</v>
      </c>
      <c r="AL221" s="973" t="str">
        <f>VLOOKUP($AB221,sample!$1:$1048576,11,FALSE)</f>
        <v xml:space="preserve">                  </v>
      </c>
      <c r="AM221" s="973" t="str">
        <f>VLOOKUP($AB221,sample!$1:$1048576,12,FALSE)</f>
        <v xml:space="preserve">                          </v>
      </c>
      <c r="AN221" s="973" t="str">
        <f>VLOOKUP($AB221,sample!$1:$1048576,13,FALSE)</f>
        <v>GOLDJPJXXXX</v>
      </c>
      <c r="AP221" s="988"/>
    </row>
    <row r="222" spans="1:42" ht="14">
      <c r="A222" s="911">
        <v>2019200240</v>
      </c>
      <c r="B222" s="887">
        <v>43858</v>
      </c>
      <c r="C222" s="881" t="s">
        <v>133</v>
      </c>
      <c r="D222" s="1130" t="str">
        <f>IFERROR(VLOOKUP(G222,PosAggregate!$B$13:$B$89,1,FALSE),"")</f>
        <v/>
      </c>
      <c r="E222" s="769" t="s">
        <v>1209</v>
      </c>
      <c r="F222" s="1006" t="str">
        <f t="shared" si="47"/>
        <v/>
      </c>
      <c r="G222" s="594" t="s">
        <v>1159</v>
      </c>
      <c r="I222" s="833" t="s">
        <v>1102</v>
      </c>
      <c r="J222" s="833" t="s">
        <v>123</v>
      </c>
      <c r="K222" s="744">
        <v>93516.865699999995</v>
      </c>
      <c r="L222" s="834"/>
      <c r="M222" s="856">
        <v>670</v>
      </c>
      <c r="N222" s="974">
        <f t="shared" si="48"/>
        <v>-62656300.018999994</v>
      </c>
      <c r="O222" s="885">
        <v>-93984</v>
      </c>
      <c r="R222" s="978">
        <f t="shared" si="49"/>
        <v>-62750284.018999994</v>
      </c>
      <c r="S222" s="744">
        <v>1291.4755584045265</v>
      </c>
      <c r="T222" s="983">
        <f t="shared" si="50"/>
        <v>-48588.053881965017</v>
      </c>
      <c r="U222" s="839">
        <v>43860</v>
      </c>
      <c r="V222" s="831" t="s">
        <v>1184</v>
      </c>
      <c r="W222" s="840">
        <v>43858.068090509259</v>
      </c>
      <c r="X222" s="971">
        <f t="shared" si="51"/>
        <v>0.14999928175059835</v>
      </c>
      <c r="Y222" s="972" t="e">
        <f>VLOOKUP(V222,'bic broker'!$A$1:$B$14,2,FALSE)</f>
        <v>#N/A</v>
      </c>
      <c r="Z222" s="972" t="str">
        <f>VLOOKUP(AA222,'place of settlement'!A:C,2,FALSE)</f>
        <v>KSDCKRSEXXX</v>
      </c>
      <c r="AA222" s="972" t="str">
        <f t="shared" si="52"/>
        <v>KR</v>
      </c>
      <c r="AB222" s="972" t="str">
        <f t="shared" si="53"/>
        <v>SamsungKR</v>
      </c>
      <c r="AC222" s="972" t="e">
        <f>VLOOKUP(AB222,sample!$1:$1048576,2,FALSE)</f>
        <v>#N/A</v>
      </c>
      <c r="AD222" s="972" t="e">
        <f>VLOOKUP($AB222,sample!$1:$1048576,3,FALSE)</f>
        <v>#N/A</v>
      </c>
      <c r="AE222" s="973" t="e">
        <f>VLOOKUP($AB222,sample!$1:$1048576,4,FALSE)</f>
        <v>#N/A</v>
      </c>
      <c r="AF222" s="972" t="e">
        <f>VLOOKUP($AB222,sample!$1:$1048576,5,FALSE)</f>
        <v>#N/A</v>
      </c>
      <c r="AL222" s="973" t="e">
        <f>VLOOKUP($AB222,sample!$1:$1048576,11,FALSE)</f>
        <v>#N/A</v>
      </c>
      <c r="AM222" s="973" t="e">
        <f>VLOOKUP($AB222,sample!$1:$1048576,12,FALSE)</f>
        <v>#N/A</v>
      </c>
      <c r="AN222" s="973" t="e">
        <f>VLOOKUP($AB222,sample!$1:$1048576,13,FALSE)</f>
        <v>#N/A</v>
      </c>
      <c r="AP222" s="988"/>
    </row>
    <row r="223" spans="1:42" ht="14">
      <c r="A223" s="911">
        <v>2019200241</v>
      </c>
      <c r="B223" s="887">
        <v>43860</v>
      </c>
      <c r="C223" s="881" t="s">
        <v>133</v>
      </c>
      <c r="D223" s="1130" t="str">
        <f>IFERROR(VLOOKUP(G223,PosAggregate!$B$13:$B$89,1,FALSE),"")</f>
        <v/>
      </c>
      <c r="E223" s="769" t="s">
        <v>1190</v>
      </c>
      <c r="F223" s="1006" t="str">
        <f t="shared" si="47"/>
        <v/>
      </c>
      <c r="G223" s="594" t="s">
        <v>1590</v>
      </c>
      <c r="I223" s="833" t="s">
        <v>1085</v>
      </c>
      <c r="J223" s="833" t="s">
        <v>125</v>
      </c>
      <c r="K223" s="744">
        <v>2077.4058799999998</v>
      </c>
      <c r="L223" s="834"/>
      <c r="M223" s="835">
        <v>1700</v>
      </c>
      <c r="N223" s="974">
        <f t="shared" si="48"/>
        <v>-3531589.9959999998</v>
      </c>
      <c r="O223" s="885">
        <v>-1059</v>
      </c>
      <c r="R223" s="978">
        <f t="shared" si="49"/>
        <v>-3532648.9959999998</v>
      </c>
      <c r="S223" s="744">
        <v>119.98678923322522</v>
      </c>
      <c r="T223" s="983">
        <f t="shared" si="50"/>
        <v>-29441.982893078228</v>
      </c>
      <c r="U223" s="839">
        <v>43864</v>
      </c>
      <c r="V223" s="831" t="s">
        <v>1656</v>
      </c>
      <c r="W223" s="840">
        <v>43860.10386516204</v>
      </c>
      <c r="X223" s="971">
        <f t="shared" si="51"/>
        <v>2.9986493369826617E-2</v>
      </c>
      <c r="Y223" s="972" t="str">
        <f>VLOOKUP(V223,'bic broker'!$A$1:$B$14,2,FALSE)</f>
        <v>TAVSGB21XXX</v>
      </c>
      <c r="Z223" s="972" t="str">
        <f>VLOOKUP(AA223,'place of settlement'!A:C,2,FALSE)</f>
        <v>JJSDJPJTXXX</v>
      </c>
      <c r="AA223" s="972" t="str">
        <f t="shared" si="52"/>
        <v>JP</v>
      </c>
      <c r="AB223" s="972" t="str">
        <f t="shared" si="53"/>
        <v>Tavira SecuritiesJP</v>
      </c>
      <c r="AC223" s="972" t="str">
        <f>VLOOKUP(AB223,sample!$1:$1048576,2,FALSE)</f>
        <v>GSILGB2XXXX</v>
      </c>
      <c r="AD223" s="972" t="str">
        <f>VLOOKUP($AB223,sample!$1:$1048576,3,FALSE)</f>
        <v>JJSDJPJTXXX</v>
      </c>
      <c r="AE223" s="973">
        <f>VLOOKUP($AB223,sample!$1:$1048576,4,FALSE)</f>
        <v>6530490016</v>
      </c>
      <c r="AF223" s="972" t="str">
        <f>VLOOKUP($AB223,sample!$1:$1048576,5,FALSE)</f>
        <v>N</v>
      </c>
      <c r="AL223" s="973" t="str">
        <f>VLOOKUP($AB223,sample!$1:$1048576,11,FALSE)</f>
        <v xml:space="preserve">                  </v>
      </c>
      <c r="AM223" s="973" t="str">
        <f>VLOOKUP($AB223,sample!$1:$1048576,12,FALSE)</f>
        <v xml:space="preserve">                          </v>
      </c>
      <c r="AN223" s="973" t="str">
        <f>VLOOKUP($AB223,sample!$1:$1048576,13,FALSE)</f>
        <v>GOLDJPJXXXX</v>
      </c>
      <c r="AP223" s="988"/>
    </row>
    <row r="224" spans="1:42" ht="14">
      <c r="A224" s="911">
        <v>2019200242</v>
      </c>
      <c r="B224" s="887">
        <v>43860</v>
      </c>
      <c r="C224" s="881" t="s">
        <v>133</v>
      </c>
      <c r="D224" s="1130" t="str">
        <f>IFERROR(VLOOKUP(G224,PosAggregate!$B$13:$B$89,1,FALSE),"")</f>
        <v/>
      </c>
      <c r="E224" s="769" t="s">
        <v>1654</v>
      </c>
      <c r="F224" s="1006" t="str">
        <f t="shared" si="47"/>
        <v/>
      </c>
      <c r="G224" s="594" t="s">
        <v>1647</v>
      </c>
      <c r="I224" s="833" t="s">
        <v>1655</v>
      </c>
      <c r="J224" s="833" t="s">
        <v>1069</v>
      </c>
      <c r="K224" s="744">
        <v>2.6088399999999998</v>
      </c>
      <c r="L224" s="834"/>
      <c r="M224" s="835">
        <v>22000</v>
      </c>
      <c r="N224" s="974">
        <f t="shared" si="48"/>
        <v>-57394.479999999996</v>
      </c>
      <c r="O224" s="885">
        <v>-17.22</v>
      </c>
      <c r="R224" s="978">
        <f t="shared" si="49"/>
        <v>-57411.7</v>
      </c>
      <c r="S224" s="744">
        <v>1.6302306379699476</v>
      </c>
      <c r="T224" s="983">
        <f t="shared" si="50"/>
        <v>-35216.918798368424</v>
      </c>
      <c r="U224" s="839">
        <v>43864</v>
      </c>
      <c r="V224" s="831" t="s">
        <v>1656</v>
      </c>
      <c r="W224" s="840">
        <v>43860.104826157411</v>
      </c>
      <c r="X224" s="971">
        <f t="shared" si="51"/>
        <v>3.0002885294892468E-2</v>
      </c>
      <c r="Y224" s="972" t="str">
        <f>VLOOKUP(V224,'bic broker'!$A$1:$B$14,2,FALSE)</f>
        <v>TAVSGB21XXX</v>
      </c>
      <c r="Z224" s="972" t="str">
        <f>VLOOKUP(AA224,'place of settlement'!A:C,2,FALSE)</f>
        <v>CAETAU21XXX</v>
      </c>
      <c r="AA224" s="972" t="str">
        <f t="shared" si="52"/>
        <v>AU</v>
      </c>
      <c r="AB224" s="972" t="str">
        <f t="shared" si="53"/>
        <v>Tavira SecuritiesAU</v>
      </c>
      <c r="AC224" s="972" t="str">
        <f>VLOOKUP(AB224,sample!$1:$1048576,2,FALSE)</f>
        <v>GSILGB2XXXX</v>
      </c>
      <c r="AD224" s="972" t="str">
        <f>VLOOKUP($AB224,sample!$1:$1048576,3,FALSE)</f>
        <v>CAETAU21</v>
      </c>
      <c r="AE224" s="973" t="str">
        <f>VLOOKUP($AB224,sample!$1:$1048576,4,FALSE)</f>
        <v>011-109048-061</v>
      </c>
      <c r="AF224" s="972" t="str">
        <f>VLOOKUP($AB224,sample!$1:$1048576,5,FALSE)</f>
        <v>N</v>
      </c>
      <c r="AL224" s="973" t="str">
        <f>VLOOKUP($AB224,sample!$1:$1048576,11,FALSE)</f>
        <v xml:space="preserve">        </v>
      </c>
      <c r="AM224" s="973" t="str">
        <f>VLOOKUP($AB224,sample!$1:$1048576,12,FALSE)</f>
        <v xml:space="preserve">        </v>
      </c>
      <c r="AN224" s="973" t="str">
        <f>VLOOKUP($AB224,sample!$1:$1048576,13,FALSE)</f>
        <v>HKBAAU2SSYD</v>
      </c>
      <c r="AP224" s="988"/>
    </row>
    <row r="225" spans="1:42" ht="14">
      <c r="A225" s="911">
        <v>2019200243</v>
      </c>
      <c r="B225" s="887">
        <v>43860</v>
      </c>
      <c r="C225" s="881" t="s">
        <v>133</v>
      </c>
      <c r="D225" s="1130" t="str">
        <f>IFERROR(VLOOKUP(G225,PosAggregate!$B$13:$B$89,1,FALSE),"")</f>
        <v/>
      </c>
      <c r="E225" s="769" t="s">
        <v>1641</v>
      </c>
      <c r="F225" s="1006" t="str">
        <f t="shared" si="47"/>
        <v/>
      </c>
      <c r="G225" s="594" t="s">
        <v>1633</v>
      </c>
      <c r="I225" s="833" t="s">
        <v>1638</v>
      </c>
      <c r="J225" s="833" t="s">
        <v>3</v>
      </c>
      <c r="K225" s="744">
        <v>11.138999999999999</v>
      </c>
      <c r="L225" s="834"/>
      <c r="M225" s="835">
        <v>4200</v>
      </c>
      <c r="N225" s="974">
        <f t="shared" si="48"/>
        <v>-46783.799999999996</v>
      </c>
      <c r="O225" s="885">
        <v>-11.7</v>
      </c>
      <c r="R225" s="978">
        <f t="shared" si="49"/>
        <v>-46795.499999999993</v>
      </c>
      <c r="S225" s="744">
        <v>1.1008972312434635</v>
      </c>
      <c r="T225" s="983">
        <f t="shared" si="50"/>
        <v>-42506.692424999994</v>
      </c>
      <c r="U225" s="839">
        <v>43864</v>
      </c>
      <c r="V225" s="831" t="s">
        <v>1656</v>
      </c>
      <c r="W225" s="840">
        <v>43860.68221053241</v>
      </c>
      <c r="X225" s="971">
        <f t="shared" si="51"/>
        <v>2.5008656842753264E-2</v>
      </c>
      <c r="Y225" s="972" t="str">
        <f>VLOOKUP(V225,'bic broker'!$A$1:$B$14,2,FALSE)</f>
        <v>TAVSGB21XXX</v>
      </c>
      <c r="Z225" s="972" t="str">
        <f>VLOOKUP(AA225,'place of settlement'!A:C,2,FALSE)</f>
        <v>DTCYUS33XXX</v>
      </c>
      <c r="AA225" s="972" t="str">
        <f t="shared" si="52"/>
        <v>US</v>
      </c>
      <c r="AB225" s="972" t="str">
        <f t="shared" si="53"/>
        <v>Tavira SecuritiesUS</v>
      </c>
      <c r="AC225" s="972" t="str">
        <f>VLOOKUP(AB225,sample!$1:$1048576,2,FALSE)</f>
        <v>GSILGB2XXXX</v>
      </c>
      <c r="AD225" s="972" t="str">
        <f>VLOOKUP($AB225,sample!$1:$1048576,3,FALSE)</f>
        <v>DTCYUS33</v>
      </c>
      <c r="AE225" s="973" t="str">
        <f>VLOOKUP($AB225,sample!$1:$1048576,4,FALSE)</f>
        <v xml:space="preserve">        </v>
      </c>
      <c r="AF225" s="972" t="str">
        <f>VLOOKUP($AB225,sample!$1:$1048576,5,FALSE)</f>
        <v>N</v>
      </c>
      <c r="AL225" s="973" t="str">
        <f>VLOOKUP($AB225,sample!$1:$1048576,11,FALSE)</f>
        <v>DTCYID</v>
      </c>
      <c r="AM225" s="973">
        <f>VLOOKUP($AB225,sample!$1:$1048576,12,FALSE)</f>
        <v>5208</v>
      </c>
      <c r="AN225" s="973" t="str">
        <f>VLOOKUP($AB225,sample!$1:$1048576,13,FALSE)</f>
        <v xml:space="preserve">        </v>
      </c>
      <c r="AP225" s="988"/>
    </row>
    <row r="226" spans="1:42" ht="14">
      <c r="A226" s="911">
        <v>2019200244</v>
      </c>
      <c r="B226" s="887">
        <v>43868</v>
      </c>
      <c r="C226" s="881" t="s">
        <v>134</v>
      </c>
      <c r="D226" s="1130" t="str">
        <f>IFERROR(VLOOKUP(G226,PosAggregate!$B$13:$B$89,1,FALSE),"")</f>
        <v/>
      </c>
      <c r="E226" s="769" t="s">
        <v>1208</v>
      </c>
      <c r="F226" s="1006" t="str">
        <f t="shared" si="47"/>
        <v/>
      </c>
      <c r="G226" s="594" t="s">
        <v>1158</v>
      </c>
      <c r="I226" s="912" t="s">
        <v>1082</v>
      </c>
      <c r="J226" s="833" t="s">
        <v>123</v>
      </c>
      <c r="K226" s="744">
        <v>156500</v>
      </c>
      <c r="L226" s="834"/>
      <c r="M226" s="835">
        <v>-840</v>
      </c>
      <c r="N226" s="974">
        <f t="shared" si="48"/>
        <v>131460000</v>
      </c>
      <c r="O226" s="885">
        <v>-197190</v>
      </c>
      <c r="P226" s="885">
        <v>-328642</v>
      </c>
      <c r="R226" s="978">
        <f t="shared" si="49"/>
        <v>130934168</v>
      </c>
      <c r="S226" s="744">
        <v>1301.3834209426657</v>
      </c>
      <c r="T226" s="983">
        <f t="shared" si="50"/>
        <v>100611.52300922734</v>
      </c>
      <c r="U226" s="839">
        <v>43872</v>
      </c>
      <c r="V226" s="831" t="s">
        <v>1184</v>
      </c>
      <c r="W226" s="840">
        <v>43867.857933101855</v>
      </c>
      <c r="X226" s="971">
        <f t="shared" si="51"/>
        <v>-0.15</v>
      </c>
      <c r="Y226" s="972" t="e">
        <f>VLOOKUP(V226,'bic broker'!$A$1:$B$14,2,FALSE)</f>
        <v>#N/A</v>
      </c>
      <c r="Z226" s="972" t="str">
        <f>VLOOKUP(AA226,'place of settlement'!A:C,2,FALSE)</f>
        <v>KSDCKRSEXXX</v>
      </c>
      <c r="AA226" s="972" t="str">
        <f t="shared" si="52"/>
        <v>KR</v>
      </c>
      <c r="AB226" s="972" t="str">
        <f t="shared" si="53"/>
        <v>SamsungKR</v>
      </c>
      <c r="AC226" s="972" t="e">
        <f>VLOOKUP(AB226,sample!$1:$1048576,2,FALSE)</f>
        <v>#N/A</v>
      </c>
      <c r="AD226" s="972" t="e">
        <f>VLOOKUP($AB226,sample!$1:$1048576,3,FALSE)</f>
        <v>#N/A</v>
      </c>
      <c r="AE226" s="973" t="e">
        <f>VLOOKUP($AB226,sample!$1:$1048576,4,FALSE)</f>
        <v>#N/A</v>
      </c>
      <c r="AF226" s="972" t="e">
        <f>VLOOKUP($AB226,sample!$1:$1048576,5,FALSE)</f>
        <v>#N/A</v>
      </c>
      <c r="AL226" s="973" t="e">
        <f>VLOOKUP($AB226,sample!$1:$1048576,11,FALSE)</f>
        <v>#N/A</v>
      </c>
      <c r="AM226" s="973" t="e">
        <f>VLOOKUP($AB226,sample!$1:$1048576,12,FALSE)</f>
        <v>#N/A</v>
      </c>
      <c r="AN226" s="973" t="e">
        <f>VLOOKUP($AB226,sample!$1:$1048576,13,FALSE)</f>
        <v>#N/A</v>
      </c>
      <c r="AP226" s="988"/>
    </row>
    <row r="227" spans="1:42" ht="14">
      <c r="A227" s="911">
        <v>2019200245</v>
      </c>
      <c r="B227" s="887">
        <v>43871</v>
      </c>
      <c r="C227" s="881" t="s">
        <v>134</v>
      </c>
      <c r="D227" s="1130" t="str">
        <f>IFERROR(VLOOKUP(G227,PosAggregate!$B$13:$B$89,1,FALSE),"")</f>
        <v/>
      </c>
      <c r="E227" s="769" t="s">
        <v>1219</v>
      </c>
      <c r="F227" s="1006" t="str">
        <f t="shared" si="47"/>
        <v/>
      </c>
      <c r="G227" s="594" t="s">
        <v>1170</v>
      </c>
      <c r="I227" s="912" t="s">
        <v>1181</v>
      </c>
      <c r="J227" s="833" t="s">
        <v>2</v>
      </c>
      <c r="K227" s="744">
        <v>21.685009999999998</v>
      </c>
      <c r="L227" s="834"/>
      <c r="M227" s="835">
        <v>-2000</v>
      </c>
      <c r="N227" s="974">
        <f t="shared" si="48"/>
        <v>43370.02</v>
      </c>
      <c r="O227" s="913">
        <v>-26.02</v>
      </c>
      <c r="R227" s="978">
        <f t="shared" si="49"/>
        <v>43344</v>
      </c>
      <c r="S227" s="744">
        <v>1</v>
      </c>
      <c r="T227" s="983">
        <f t="shared" si="50"/>
        <v>43344</v>
      </c>
      <c r="U227" s="839">
        <v>43873</v>
      </c>
      <c r="V227" s="831" t="s">
        <v>1656</v>
      </c>
      <c r="W227" s="840">
        <v>43871.51514826389</v>
      </c>
      <c r="X227" s="971">
        <f t="shared" si="51"/>
        <v>-5.9995360850652137E-2</v>
      </c>
      <c r="Y227" s="972" t="str">
        <f>VLOOKUP(V227,'bic broker'!$A$1:$B$14,2,FALSE)</f>
        <v>TAVSGB21XXX</v>
      </c>
      <c r="Z227" s="972" t="str">
        <f>VLOOKUP(AA227,'place of settlement'!A:C,2,FALSE)</f>
        <v>DAKVDEFFXXX</v>
      </c>
      <c r="AA227" s="972" t="str">
        <f t="shared" si="52"/>
        <v>DE</v>
      </c>
      <c r="AB227" s="972" t="str">
        <f t="shared" si="53"/>
        <v>Tavira SecuritiesDE</v>
      </c>
      <c r="AC227" s="972" t="str">
        <f>VLOOKUP(AB227,sample!$1:$1048576,2,FALSE)</f>
        <v>GSILGB2XXXX</v>
      </c>
      <c r="AD227" s="972" t="str">
        <f>VLOOKUP($AB227,sample!$1:$1048576,3,FALSE)</f>
        <v>DAKVDEFFXXX</v>
      </c>
      <c r="AE227" s="973" t="str">
        <f>VLOOKUP($AB227,sample!$1:$1048576,4,FALSE)</f>
        <v>DAKV7372000</v>
      </c>
      <c r="AF227" s="972" t="str">
        <f>VLOOKUP($AB227,sample!$1:$1048576,5,FALSE)</f>
        <v>N</v>
      </c>
      <c r="AL227" s="973" t="str">
        <f>VLOOKUP($AB227,sample!$1:$1048576,11,FALSE)</f>
        <v xml:space="preserve">        </v>
      </c>
      <c r="AM227" s="973" t="str">
        <f>VLOOKUP($AB227,sample!$1:$1048576,12,FALSE)</f>
        <v xml:space="preserve">        </v>
      </c>
      <c r="AN227" s="973" t="str">
        <f>VLOOKUP($AB227,sample!$1:$1048576,13,FALSE)</f>
        <v>CITIDEFFXXX</v>
      </c>
      <c r="AP227" s="988"/>
    </row>
    <row r="228" spans="1:42" ht="14">
      <c r="A228" s="911">
        <v>2019200246</v>
      </c>
      <c r="B228" s="887">
        <v>43871</v>
      </c>
      <c r="C228" s="881" t="s">
        <v>133</v>
      </c>
      <c r="D228" s="1130" t="str">
        <f>IFERROR(VLOOKUP(G228,PosAggregate!$B$13:$B$89,1,FALSE),"")</f>
        <v/>
      </c>
      <c r="E228" s="769" t="s">
        <v>1217</v>
      </c>
      <c r="F228" s="1006" t="str">
        <f t="shared" si="47"/>
        <v/>
      </c>
      <c r="G228" s="594" t="s">
        <v>1168</v>
      </c>
      <c r="I228" s="912" t="s">
        <v>12626</v>
      </c>
      <c r="J228" s="833" t="s">
        <v>2</v>
      </c>
      <c r="K228" s="744">
        <v>26.95439</v>
      </c>
      <c r="L228" s="834"/>
      <c r="M228" s="835">
        <v>2500</v>
      </c>
      <c r="N228" s="974">
        <f t="shared" si="48"/>
        <v>-67385.975000000006</v>
      </c>
      <c r="O228" s="913">
        <v>-40.43</v>
      </c>
      <c r="P228" s="885">
        <v>-202.16</v>
      </c>
      <c r="R228" s="978">
        <f t="shared" si="49"/>
        <v>-67628.565000000002</v>
      </c>
      <c r="S228" s="744">
        <v>1</v>
      </c>
      <c r="T228" s="983">
        <f t="shared" si="50"/>
        <v>-67628.565000000002</v>
      </c>
      <c r="U228" s="839">
        <v>43873</v>
      </c>
      <c r="V228" s="831" t="s">
        <v>1656</v>
      </c>
      <c r="W228" s="840">
        <v>43871.524733101855</v>
      </c>
      <c r="X228" s="971">
        <f t="shared" si="51"/>
        <v>5.9997647878508843E-2</v>
      </c>
      <c r="Y228" s="972" t="str">
        <f>VLOOKUP(V228,'bic broker'!$A$1:$B$14,2,FALSE)</f>
        <v>TAVSGB21XXX</v>
      </c>
      <c r="Z228" s="972" t="str">
        <f>VLOOKUP(AA228,'place of settlement'!A:C,2,FALSE)</f>
        <v>SICVFRPPXXX</v>
      </c>
      <c r="AA228" s="972" t="str">
        <f t="shared" si="52"/>
        <v>FR</v>
      </c>
      <c r="AB228" s="972" t="str">
        <f t="shared" si="53"/>
        <v>Tavira SecuritiesFR</v>
      </c>
      <c r="AC228" s="972" t="str">
        <f>VLOOKUP(AB228,sample!$1:$1048576,2,FALSE)</f>
        <v>GSILGB2XXXX</v>
      </c>
      <c r="AD228" s="972" t="str">
        <f>VLOOKUP($AB228,sample!$1:$1048576,3,FALSE)</f>
        <v>SICVFRPPXXX</v>
      </c>
      <c r="AE228" s="973" t="str">
        <f>VLOOKUP($AB228,sample!$1:$1048576,4,FALSE)</f>
        <v>SICVPARBFRPPXXX000L10</v>
      </c>
      <c r="AF228" s="972" t="str">
        <f>VLOOKUP($AB228,sample!$1:$1048576,5,FALSE)</f>
        <v>N</v>
      </c>
      <c r="AL228" s="973" t="str">
        <f>VLOOKUP($AB228,sample!$1:$1048576,11,FALSE)</f>
        <v xml:space="preserve">        </v>
      </c>
      <c r="AM228" s="973" t="str">
        <f>VLOOKUP($AB228,sample!$1:$1048576,12,FALSE)</f>
        <v xml:space="preserve">        </v>
      </c>
      <c r="AN228" s="973" t="str">
        <f>VLOOKUP($AB228,sample!$1:$1048576,13,FALSE)</f>
        <v>PARBFRPPXXX</v>
      </c>
      <c r="AP228" s="988"/>
    </row>
    <row r="229" spans="1:42" ht="14">
      <c r="A229" s="911">
        <v>2019200247</v>
      </c>
      <c r="B229" s="887">
        <v>43872</v>
      </c>
      <c r="C229" s="881" t="s">
        <v>133</v>
      </c>
      <c r="D229" s="1130" t="str">
        <f>IFERROR(VLOOKUP(G229,PosAggregate!$B$13:$B$89,1,FALSE),"")</f>
        <v/>
      </c>
      <c r="E229" s="769" t="s">
        <v>1654</v>
      </c>
      <c r="F229" s="1006" t="str">
        <f t="shared" si="47"/>
        <v/>
      </c>
      <c r="G229" s="594" t="s">
        <v>1647</v>
      </c>
      <c r="I229" s="912" t="s">
        <v>1655</v>
      </c>
      <c r="J229" s="833" t="s">
        <v>1069</v>
      </c>
      <c r="K229" s="744">
        <v>2.5236999999999998</v>
      </c>
      <c r="L229" s="834"/>
      <c r="M229" s="835">
        <v>22000</v>
      </c>
      <c r="N229" s="974">
        <f t="shared" si="48"/>
        <v>-55521.399999999994</v>
      </c>
      <c r="O229" s="885">
        <v>-33.31</v>
      </c>
      <c r="R229" s="978">
        <f t="shared" si="49"/>
        <v>-55554.709999999992</v>
      </c>
      <c r="S229" s="744">
        <v>1.6401300022980165</v>
      </c>
      <c r="T229" s="983">
        <f t="shared" si="50"/>
        <v>-33872.138136709444</v>
      </c>
      <c r="U229" s="839">
        <v>43874</v>
      </c>
      <c r="V229" s="594" t="s">
        <v>1656</v>
      </c>
      <c r="W229" s="840">
        <v>43871.933359490744</v>
      </c>
      <c r="X229" s="971">
        <f t="shared" si="51"/>
        <v>5.9994884855208992E-2</v>
      </c>
      <c r="Y229" s="972" t="str">
        <f>VLOOKUP(V229,'bic broker'!$A$1:$B$14,2,FALSE)</f>
        <v>TAVSGB21XXX</v>
      </c>
      <c r="Z229" s="972" t="str">
        <f>VLOOKUP(AA229,'place of settlement'!A:C,2,FALSE)</f>
        <v>CAETAU21XXX</v>
      </c>
      <c r="AA229" s="972" t="str">
        <f t="shared" si="52"/>
        <v>AU</v>
      </c>
      <c r="AB229" s="972" t="str">
        <f t="shared" si="53"/>
        <v>Tavira SecuritiesAU</v>
      </c>
      <c r="AC229" s="972" t="str">
        <f>VLOOKUP(AB229,sample!$1:$1048576,2,FALSE)</f>
        <v>GSILGB2XXXX</v>
      </c>
      <c r="AD229" s="972" t="str">
        <f>VLOOKUP($AB229,sample!$1:$1048576,3,FALSE)</f>
        <v>CAETAU21</v>
      </c>
      <c r="AE229" s="973" t="str">
        <f>VLOOKUP($AB229,sample!$1:$1048576,4,FALSE)</f>
        <v>011-109048-061</v>
      </c>
      <c r="AF229" s="972" t="str">
        <f>VLOOKUP($AB229,sample!$1:$1048576,5,FALSE)</f>
        <v>N</v>
      </c>
      <c r="AL229" s="973" t="str">
        <f>VLOOKUP($AB229,sample!$1:$1048576,11,FALSE)</f>
        <v xml:space="preserve">        </v>
      </c>
      <c r="AM229" s="973" t="str">
        <f>VLOOKUP($AB229,sample!$1:$1048576,12,FALSE)</f>
        <v xml:space="preserve">        </v>
      </c>
      <c r="AN229" s="973" t="str">
        <f>VLOOKUP($AB229,sample!$1:$1048576,13,FALSE)</f>
        <v>HKBAAU2SSYD</v>
      </c>
      <c r="AP229" s="988"/>
    </row>
    <row r="230" spans="1:42" ht="14">
      <c r="A230" s="911">
        <v>2019200248</v>
      </c>
      <c r="B230" s="887">
        <v>43872</v>
      </c>
      <c r="C230" s="881" t="s">
        <v>133</v>
      </c>
      <c r="D230" s="1130" t="str">
        <f>IFERROR(VLOOKUP(G230,PosAggregate!$B$13:$B$89,1,FALSE),"")</f>
        <v/>
      </c>
      <c r="E230" s="769" t="s">
        <v>1210</v>
      </c>
      <c r="F230" s="1006" t="str">
        <f t="shared" si="47"/>
        <v/>
      </c>
      <c r="G230" s="594" t="s">
        <v>1160</v>
      </c>
      <c r="I230" s="912" t="s">
        <v>1108</v>
      </c>
      <c r="J230" s="833" t="s">
        <v>123</v>
      </c>
      <c r="K230" s="744">
        <v>3418.7653</v>
      </c>
      <c r="L230" s="834"/>
      <c r="M230" s="835">
        <v>17000</v>
      </c>
      <c r="N230" s="974">
        <f t="shared" si="48"/>
        <v>-58119010.100000001</v>
      </c>
      <c r="O230" s="885">
        <v>-87179</v>
      </c>
      <c r="R230" s="978">
        <f t="shared" si="49"/>
        <v>-58206189.100000001</v>
      </c>
      <c r="S230" s="744">
        <v>1303.7326417386168</v>
      </c>
      <c r="T230" s="983">
        <f t="shared" si="50"/>
        <v>-44645.801782164526</v>
      </c>
      <c r="U230" s="839">
        <v>43874</v>
      </c>
      <c r="V230" s="594" t="s">
        <v>1184</v>
      </c>
      <c r="W230" s="840">
        <v>43871.936795833331</v>
      </c>
      <c r="X230" s="971">
        <f t="shared" si="51"/>
        <v>0.15000083423650742</v>
      </c>
      <c r="Y230" s="972" t="e">
        <f>VLOOKUP(V230,'bic broker'!$A$1:$B$14,2,FALSE)</f>
        <v>#N/A</v>
      </c>
      <c r="Z230" s="972" t="str">
        <f>VLOOKUP(AA230,'place of settlement'!A:C,2,FALSE)</f>
        <v>KSDCKRSEXXX</v>
      </c>
      <c r="AA230" s="972" t="str">
        <f t="shared" si="52"/>
        <v>KR</v>
      </c>
      <c r="AB230" s="972" t="str">
        <f t="shared" si="53"/>
        <v>SamsungKR</v>
      </c>
      <c r="AC230" s="972" t="e">
        <f>VLOOKUP(AB230,sample!$1:$1048576,2,FALSE)</f>
        <v>#N/A</v>
      </c>
      <c r="AD230" s="972" t="e">
        <f>VLOOKUP($AB230,sample!$1:$1048576,3,FALSE)</f>
        <v>#N/A</v>
      </c>
      <c r="AE230" s="973" t="e">
        <f>VLOOKUP($AB230,sample!$1:$1048576,4,FALSE)</f>
        <v>#N/A</v>
      </c>
      <c r="AF230" s="972" t="e">
        <f>VLOOKUP($AB230,sample!$1:$1048576,5,FALSE)</f>
        <v>#N/A</v>
      </c>
      <c r="AL230" s="973" t="e">
        <f>VLOOKUP($AB230,sample!$1:$1048576,11,FALSE)</f>
        <v>#N/A</v>
      </c>
      <c r="AM230" s="973" t="e">
        <f>VLOOKUP($AB230,sample!$1:$1048576,12,FALSE)</f>
        <v>#N/A</v>
      </c>
      <c r="AN230" s="973" t="e">
        <f>VLOOKUP($AB230,sample!$1:$1048576,13,FALSE)</f>
        <v>#N/A</v>
      </c>
      <c r="AP230" s="988"/>
    </row>
    <row r="231" spans="1:42" ht="14">
      <c r="A231" s="911">
        <v>2019200249</v>
      </c>
      <c r="B231" s="887">
        <v>43872</v>
      </c>
      <c r="C231" s="881" t="s">
        <v>133</v>
      </c>
      <c r="D231" s="1130" t="str">
        <f>IFERROR(VLOOKUP(G231,PosAggregate!$B$13:$B$89,1,FALSE),"")</f>
        <v/>
      </c>
      <c r="E231" s="769" t="s">
        <v>1210</v>
      </c>
      <c r="F231" s="1006" t="str">
        <f t="shared" si="47"/>
        <v/>
      </c>
      <c r="G231" s="594" t="s">
        <v>1160</v>
      </c>
      <c r="I231" s="912" t="s">
        <v>1108</v>
      </c>
      <c r="J231" s="833" t="s">
        <v>123</v>
      </c>
      <c r="K231" s="744">
        <v>3390</v>
      </c>
      <c r="L231" s="834"/>
      <c r="M231" s="835">
        <v>580</v>
      </c>
      <c r="N231" s="974">
        <f t="shared" si="48"/>
        <v>-1966200</v>
      </c>
      <c r="O231" s="885">
        <v>-2949</v>
      </c>
      <c r="R231" s="978">
        <f t="shared" si="49"/>
        <v>-1969149</v>
      </c>
      <c r="S231" s="744">
        <v>1303.7326417386168</v>
      </c>
      <c r="T231" s="983">
        <f t="shared" si="50"/>
        <v>-1510.393263893435</v>
      </c>
      <c r="U231" s="839">
        <v>43874</v>
      </c>
      <c r="V231" s="594" t="s">
        <v>1184</v>
      </c>
      <c r="W231" s="840">
        <v>43871.936805555553</v>
      </c>
      <c r="X231" s="971">
        <f t="shared" si="51"/>
        <v>0.14998474214220323</v>
      </c>
      <c r="Y231" s="972" t="e">
        <f>VLOOKUP(V231,'bic broker'!$A$1:$B$14,2,FALSE)</f>
        <v>#N/A</v>
      </c>
      <c r="Z231" s="972" t="str">
        <f>VLOOKUP(AA231,'place of settlement'!A:C,2,FALSE)</f>
        <v>KSDCKRSEXXX</v>
      </c>
      <c r="AA231" s="972" t="str">
        <f t="shared" si="52"/>
        <v>KR</v>
      </c>
      <c r="AB231" s="972" t="str">
        <f t="shared" si="53"/>
        <v>SamsungKR</v>
      </c>
      <c r="AC231" s="972" t="e">
        <f>VLOOKUP(AB231,sample!$1:$1048576,2,FALSE)</f>
        <v>#N/A</v>
      </c>
      <c r="AD231" s="972" t="e">
        <f>VLOOKUP($AB231,sample!$1:$1048576,3,FALSE)</f>
        <v>#N/A</v>
      </c>
      <c r="AE231" s="973" t="e">
        <f>VLOOKUP($AB231,sample!$1:$1048576,4,FALSE)</f>
        <v>#N/A</v>
      </c>
      <c r="AF231" s="972" t="e">
        <f>VLOOKUP($AB231,sample!$1:$1048576,5,FALSE)</f>
        <v>#N/A</v>
      </c>
      <c r="AL231" s="973" t="e">
        <f>VLOOKUP($AB231,sample!$1:$1048576,11,FALSE)</f>
        <v>#N/A</v>
      </c>
      <c r="AM231" s="973" t="e">
        <f>VLOOKUP($AB231,sample!$1:$1048576,12,FALSE)</f>
        <v>#N/A</v>
      </c>
      <c r="AN231" s="973" t="e">
        <f>VLOOKUP($AB231,sample!$1:$1048576,13,FALSE)</f>
        <v>#N/A</v>
      </c>
      <c r="AP231" s="988"/>
    </row>
    <row r="232" spans="1:42" ht="14">
      <c r="A232" s="911">
        <v>2019200250</v>
      </c>
      <c r="B232" s="887">
        <v>43872</v>
      </c>
      <c r="C232" s="881" t="s">
        <v>133</v>
      </c>
      <c r="D232" s="1130" t="str">
        <f>IFERROR(VLOOKUP(G232,PosAggregate!$B$13:$B$89,1,FALSE),"")</f>
        <v/>
      </c>
      <c r="E232" s="769" t="s">
        <v>1218</v>
      </c>
      <c r="F232" s="1006" t="str">
        <f t="shared" si="47"/>
        <v/>
      </c>
      <c r="G232" s="594" t="s">
        <v>1169</v>
      </c>
      <c r="I232" s="912" t="s">
        <v>1060</v>
      </c>
      <c r="J232" s="833" t="s">
        <v>2</v>
      </c>
      <c r="K232" s="744">
        <v>103.9361</v>
      </c>
      <c r="L232" s="834"/>
      <c r="M232" s="835">
        <v>420</v>
      </c>
      <c r="N232" s="974">
        <f t="shared" si="48"/>
        <v>-43653.161999999997</v>
      </c>
      <c r="O232" s="885">
        <v>-26.19</v>
      </c>
      <c r="R232" s="978">
        <f t="shared" si="49"/>
        <v>-43679.351999999999</v>
      </c>
      <c r="S232" s="744">
        <v>1</v>
      </c>
      <c r="T232" s="983">
        <f t="shared" si="50"/>
        <v>-43679.351999999999</v>
      </c>
      <c r="U232" s="839">
        <v>43874</v>
      </c>
      <c r="V232" s="594" t="s">
        <v>1656</v>
      </c>
      <c r="W232" s="840">
        <v>43872.698958564812</v>
      </c>
      <c r="X232" s="971">
        <f t="shared" si="51"/>
        <v>5.9995653923076653E-2</v>
      </c>
      <c r="Y232" s="972" t="str">
        <f>VLOOKUP(V232,'bic broker'!$A$1:$B$14,2,FALSE)</f>
        <v>TAVSGB21XXX</v>
      </c>
      <c r="Z232" s="972" t="str">
        <f>VLOOKUP(AA232,'place of settlement'!A:C,2,FALSE)</f>
        <v>DAKVDEFFXXX</v>
      </c>
      <c r="AA232" s="972" t="str">
        <f t="shared" si="52"/>
        <v>DE</v>
      </c>
      <c r="AB232" s="972" t="str">
        <f t="shared" si="53"/>
        <v>Tavira SecuritiesDE</v>
      </c>
      <c r="AC232" s="972" t="str">
        <f>VLOOKUP(AB232,sample!$1:$1048576,2,FALSE)</f>
        <v>GSILGB2XXXX</v>
      </c>
      <c r="AD232" s="972" t="str">
        <f>VLOOKUP($AB232,sample!$1:$1048576,3,FALSE)</f>
        <v>DAKVDEFFXXX</v>
      </c>
      <c r="AE232" s="973" t="str">
        <f>VLOOKUP($AB232,sample!$1:$1048576,4,FALSE)</f>
        <v>DAKV7372000</v>
      </c>
      <c r="AF232" s="972" t="str">
        <f>VLOOKUP($AB232,sample!$1:$1048576,5,FALSE)</f>
        <v>N</v>
      </c>
      <c r="AL232" s="973" t="str">
        <f>VLOOKUP($AB232,sample!$1:$1048576,11,FALSE)</f>
        <v xml:space="preserve">        </v>
      </c>
      <c r="AM232" s="973" t="str">
        <f>VLOOKUP($AB232,sample!$1:$1048576,12,FALSE)</f>
        <v xml:space="preserve">        </v>
      </c>
      <c r="AN232" s="973" t="str">
        <f>VLOOKUP($AB232,sample!$1:$1048576,13,FALSE)</f>
        <v>CITIDEFFXXX</v>
      </c>
      <c r="AP232" s="988"/>
    </row>
    <row r="233" spans="1:42" ht="14">
      <c r="A233" s="911">
        <v>2019200251</v>
      </c>
      <c r="B233" s="887">
        <v>43873</v>
      </c>
      <c r="C233" s="881" t="s">
        <v>134</v>
      </c>
      <c r="D233" s="1130" t="str">
        <f>IFERROR(VLOOKUP(G233,PosAggregate!$B$13:$B$89,1,FALSE),"")</f>
        <v/>
      </c>
      <c r="E233" s="769" t="s">
        <v>1208</v>
      </c>
      <c r="F233" s="1006" t="str">
        <f t="shared" si="47"/>
        <v/>
      </c>
      <c r="G233" s="594" t="s">
        <v>1158</v>
      </c>
      <c r="I233" s="912" t="s">
        <v>1082</v>
      </c>
      <c r="J233" s="833" t="s">
        <v>123</v>
      </c>
      <c r="K233" s="744">
        <v>182000</v>
      </c>
      <c r="L233" s="834"/>
      <c r="M233" s="835">
        <v>-321</v>
      </c>
      <c r="N233" s="974">
        <f t="shared" si="48"/>
        <v>58422000</v>
      </c>
      <c r="O233" s="885">
        <v>-87633</v>
      </c>
      <c r="P233" s="885">
        <v>-146055</v>
      </c>
      <c r="R233" s="978">
        <f t="shared" si="49"/>
        <v>58188312</v>
      </c>
      <c r="S233" s="744">
        <v>1289.222373806271</v>
      </c>
      <c r="T233" s="983">
        <f t="shared" si="50"/>
        <v>45134.426133333494</v>
      </c>
      <c r="U233" s="839">
        <v>43875</v>
      </c>
      <c r="V233" s="594" t="s">
        <v>1657</v>
      </c>
      <c r="W233" s="840">
        <v>43873.040099652775</v>
      </c>
      <c r="X233" s="971">
        <f t="shared" si="51"/>
        <v>-0.15</v>
      </c>
      <c r="Y233" s="972" t="e">
        <f>VLOOKUP(V233,'bic broker'!$A$1:$B$14,2,FALSE)</f>
        <v>#N/A</v>
      </c>
      <c r="Z233" s="972" t="str">
        <f>VLOOKUP(AA233,'place of settlement'!A:C,2,FALSE)</f>
        <v>KSDCKRSEXXX</v>
      </c>
      <c r="AA233" s="972" t="str">
        <f t="shared" si="52"/>
        <v>KR</v>
      </c>
      <c r="AB233" s="972" t="str">
        <f t="shared" si="53"/>
        <v>samsungKR</v>
      </c>
      <c r="AC233" s="972" t="e">
        <f>VLOOKUP(AB233,sample!$1:$1048576,2,FALSE)</f>
        <v>#N/A</v>
      </c>
      <c r="AD233" s="972" t="e">
        <f>VLOOKUP($AB233,sample!$1:$1048576,3,FALSE)</f>
        <v>#N/A</v>
      </c>
      <c r="AE233" s="973" t="e">
        <f>VLOOKUP($AB233,sample!$1:$1048576,4,FALSE)</f>
        <v>#N/A</v>
      </c>
      <c r="AF233" s="972" t="e">
        <f>VLOOKUP($AB233,sample!$1:$1048576,5,FALSE)</f>
        <v>#N/A</v>
      </c>
      <c r="AL233" s="973" t="e">
        <f>VLOOKUP($AB233,sample!$1:$1048576,11,FALSE)</f>
        <v>#N/A</v>
      </c>
      <c r="AM233" s="973" t="e">
        <f>VLOOKUP($AB233,sample!$1:$1048576,12,FALSE)</f>
        <v>#N/A</v>
      </c>
      <c r="AN233" s="973" t="e">
        <f>VLOOKUP($AB233,sample!$1:$1048576,13,FALSE)</f>
        <v>#N/A</v>
      </c>
      <c r="AP233" s="988"/>
    </row>
    <row r="234" spans="1:42" ht="14">
      <c r="A234" s="911">
        <v>2019200252</v>
      </c>
      <c r="B234" s="887">
        <v>43873</v>
      </c>
      <c r="C234" s="881" t="s">
        <v>133</v>
      </c>
      <c r="D234" s="1130" t="str">
        <f>IFERROR(VLOOKUP(G234,PosAggregate!$B$13:$B$89,1,FALSE),"")</f>
        <v/>
      </c>
      <c r="E234" s="769" t="s">
        <v>1617</v>
      </c>
      <c r="F234" s="1006" t="str">
        <f t="shared" si="47"/>
        <v/>
      </c>
      <c r="G234" s="594" t="s">
        <v>1616</v>
      </c>
      <c r="I234" s="833" t="s">
        <v>1619</v>
      </c>
      <c r="J234" s="833" t="s">
        <v>125</v>
      </c>
      <c r="K234" s="744">
        <v>1026.25</v>
      </c>
      <c r="L234" s="834"/>
      <c r="M234" s="835">
        <v>1200</v>
      </c>
      <c r="N234" s="974">
        <f t="shared" si="48"/>
        <v>-1231500</v>
      </c>
      <c r="O234" s="885">
        <v>-739</v>
      </c>
      <c r="R234" s="978">
        <f t="shared" si="49"/>
        <v>-1232239</v>
      </c>
      <c r="S234" s="744">
        <v>119.80354706684855</v>
      </c>
      <c r="T234" s="983">
        <f t="shared" si="50"/>
        <v>-10285.496800127541</v>
      </c>
      <c r="U234" s="839">
        <v>43875</v>
      </c>
      <c r="V234" s="594" t="s">
        <v>1656</v>
      </c>
      <c r="W234" s="840">
        <v>43873.483091203707</v>
      </c>
      <c r="X234" s="971">
        <f t="shared" si="51"/>
        <v>6.0008120178643924E-2</v>
      </c>
      <c r="Y234" s="972" t="str">
        <f>VLOOKUP(V234,'bic broker'!$A$1:$B$14,2,FALSE)</f>
        <v>TAVSGB21XXX</v>
      </c>
      <c r="Z234" s="972" t="str">
        <f>VLOOKUP(AA234,'place of settlement'!A:C,2,FALSE)</f>
        <v>JJSDJPJTXXX</v>
      </c>
      <c r="AA234" s="972" t="str">
        <f t="shared" si="52"/>
        <v>JP</v>
      </c>
      <c r="AB234" s="972" t="str">
        <f t="shared" si="53"/>
        <v>Tavira SecuritiesJP</v>
      </c>
      <c r="AC234" s="972" t="str">
        <f>VLOOKUP(AB234,sample!$1:$1048576,2,FALSE)</f>
        <v>GSILGB2XXXX</v>
      </c>
      <c r="AD234" s="972" t="str">
        <f>VLOOKUP($AB234,sample!$1:$1048576,3,FALSE)</f>
        <v>JJSDJPJTXXX</v>
      </c>
      <c r="AE234" s="973">
        <f>VLOOKUP($AB234,sample!$1:$1048576,4,FALSE)</f>
        <v>6530490016</v>
      </c>
      <c r="AF234" s="972" t="str">
        <f>VLOOKUP($AB234,sample!$1:$1048576,5,FALSE)</f>
        <v>N</v>
      </c>
      <c r="AL234" s="973" t="str">
        <f>VLOOKUP($AB234,sample!$1:$1048576,11,FALSE)</f>
        <v xml:space="preserve">                  </v>
      </c>
      <c r="AM234" s="973" t="str">
        <f>VLOOKUP($AB234,sample!$1:$1048576,12,FALSE)</f>
        <v xml:space="preserve">                          </v>
      </c>
      <c r="AN234" s="973" t="str">
        <f>VLOOKUP($AB234,sample!$1:$1048576,13,FALSE)</f>
        <v>GOLDJPJXXXX</v>
      </c>
      <c r="AP234" s="988"/>
    </row>
    <row r="235" spans="1:42" ht="14">
      <c r="A235" s="911">
        <v>2019200253</v>
      </c>
      <c r="B235" s="887">
        <v>43873</v>
      </c>
      <c r="C235" s="881" t="s">
        <v>133</v>
      </c>
      <c r="D235" s="1130" t="str">
        <f>IFERROR(VLOOKUP(G235,PosAggregate!$B$13:$B$89,1,FALSE),"")</f>
        <v/>
      </c>
      <c r="E235" s="769" t="s">
        <v>1614</v>
      </c>
      <c r="F235" s="1006" t="str">
        <f t="shared" si="47"/>
        <v/>
      </c>
      <c r="G235" s="594" t="s">
        <v>2034</v>
      </c>
      <c r="I235" s="833" t="s">
        <v>1597</v>
      </c>
      <c r="J235" s="833" t="s">
        <v>125</v>
      </c>
      <c r="K235" s="744">
        <v>1070</v>
      </c>
      <c r="L235" s="834"/>
      <c r="M235" s="835">
        <v>6700</v>
      </c>
      <c r="N235" s="974">
        <f t="shared" si="48"/>
        <v>-7169000</v>
      </c>
      <c r="O235" s="885">
        <v>-4301</v>
      </c>
      <c r="R235" s="978">
        <f t="shared" si="49"/>
        <v>-7173301</v>
      </c>
      <c r="S235" s="744">
        <v>119.80354706684852</v>
      </c>
      <c r="T235" s="983">
        <f t="shared" si="50"/>
        <v>-59875.531030791681</v>
      </c>
      <c r="U235" s="839">
        <v>43875</v>
      </c>
      <c r="V235" s="594" t="s">
        <v>1656</v>
      </c>
      <c r="W235" s="840">
        <v>43873.48372384259</v>
      </c>
      <c r="X235" s="971">
        <f t="shared" si="51"/>
        <v>5.9994420421258202E-2</v>
      </c>
      <c r="Y235" s="972" t="str">
        <f>VLOOKUP(V235,'bic broker'!$A$1:$B$14,2,FALSE)</f>
        <v>TAVSGB21XXX</v>
      </c>
      <c r="Z235" s="972" t="str">
        <f>VLOOKUP(AA235,'place of settlement'!A:C,2,FALSE)</f>
        <v>JJSDJPJTXXX</v>
      </c>
      <c r="AA235" s="972" t="str">
        <f t="shared" si="52"/>
        <v>JP</v>
      </c>
      <c r="AB235" s="972" t="str">
        <f t="shared" si="53"/>
        <v>Tavira SecuritiesJP</v>
      </c>
      <c r="AC235" s="972" t="str">
        <f>VLOOKUP(AB235,sample!$1:$1048576,2,FALSE)</f>
        <v>GSILGB2XXXX</v>
      </c>
      <c r="AD235" s="972" t="str">
        <f>VLOOKUP($AB235,sample!$1:$1048576,3,FALSE)</f>
        <v>JJSDJPJTXXX</v>
      </c>
      <c r="AE235" s="973">
        <f>VLOOKUP($AB235,sample!$1:$1048576,4,FALSE)</f>
        <v>6530490016</v>
      </c>
      <c r="AF235" s="972" t="str">
        <f>VLOOKUP($AB235,sample!$1:$1048576,5,FALSE)</f>
        <v>N</v>
      </c>
      <c r="AL235" s="973" t="str">
        <f>VLOOKUP($AB235,sample!$1:$1048576,11,FALSE)</f>
        <v xml:space="preserve">                  </v>
      </c>
      <c r="AM235" s="973" t="str">
        <f>VLOOKUP($AB235,sample!$1:$1048576,12,FALSE)</f>
        <v xml:space="preserve">                          </v>
      </c>
      <c r="AN235" s="973" t="str">
        <f>VLOOKUP($AB235,sample!$1:$1048576,13,FALSE)</f>
        <v>GOLDJPJXXXX</v>
      </c>
      <c r="AP235" s="988"/>
    </row>
    <row r="236" spans="1:42" ht="14">
      <c r="A236" s="911">
        <v>2019200254</v>
      </c>
      <c r="B236" s="887">
        <v>43874</v>
      </c>
      <c r="C236" s="881" t="s">
        <v>133</v>
      </c>
      <c r="D236" s="1130" t="str">
        <f>IFERROR(VLOOKUP(G236,PosAggregate!$B$13:$B$89,1,FALSE),"")</f>
        <v/>
      </c>
      <c r="E236" s="769" t="s">
        <v>1617</v>
      </c>
      <c r="F236" s="1006" t="str">
        <f t="shared" si="47"/>
        <v/>
      </c>
      <c r="G236" s="594" t="s">
        <v>1616</v>
      </c>
      <c r="I236" s="833" t="s">
        <v>1619</v>
      </c>
      <c r="J236" s="833" t="s">
        <v>125</v>
      </c>
      <c r="K236" s="744">
        <v>1014.2381</v>
      </c>
      <c r="L236" s="834"/>
      <c r="M236" s="835">
        <v>2100</v>
      </c>
      <c r="N236" s="974">
        <f t="shared" si="48"/>
        <v>-2129900.0100000002</v>
      </c>
      <c r="O236" s="885">
        <v>-1278</v>
      </c>
      <c r="R236" s="978">
        <f t="shared" si="49"/>
        <v>-2131178.0100000002</v>
      </c>
      <c r="S236" s="744">
        <v>119.80354706684855</v>
      </c>
      <c r="T236" s="983">
        <f t="shared" si="50"/>
        <v>-17788.939160631326</v>
      </c>
      <c r="U236" s="839">
        <v>43878</v>
      </c>
      <c r="V236" s="594" t="s">
        <v>1656</v>
      </c>
      <c r="W236" s="840">
        <v>43873.833059027776</v>
      </c>
      <c r="X236" s="971">
        <f t="shared" si="51"/>
        <v>6.000281675194695E-2</v>
      </c>
      <c r="Y236" s="972" t="str">
        <f>VLOOKUP(V236,'bic broker'!$A$1:$B$14,2,FALSE)</f>
        <v>TAVSGB21XXX</v>
      </c>
      <c r="Z236" s="972" t="str">
        <f>VLOOKUP(AA236,'place of settlement'!A:C,2,FALSE)</f>
        <v>JJSDJPJTXXX</v>
      </c>
      <c r="AA236" s="972" t="str">
        <f t="shared" si="52"/>
        <v>JP</v>
      </c>
      <c r="AB236" s="972" t="str">
        <f t="shared" si="53"/>
        <v>Tavira SecuritiesJP</v>
      </c>
      <c r="AC236" s="972" t="str">
        <f>VLOOKUP(AB236,sample!$1:$1048576,2,FALSE)</f>
        <v>GSILGB2XXXX</v>
      </c>
      <c r="AD236" s="972" t="str">
        <f>VLOOKUP($AB236,sample!$1:$1048576,3,FALSE)</f>
        <v>JJSDJPJTXXX</v>
      </c>
      <c r="AE236" s="973">
        <f>VLOOKUP($AB236,sample!$1:$1048576,4,FALSE)</f>
        <v>6530490016</v>
      </c>
      <c r="AF236" s="972" t="str">
        <f>VLOOKUP($AB236,sample!$1:$1048576,5,FALSE)</f>
        <v>N</v>
      </c>
      <c r="AL236" s="973" t="str">
        <f>VLOOKUP($AB236,sample!$1:$1048576,11,FALSE)</f>
        <v xml:space="preserve">                  </v>
      </c>
      <c r="AM236" s="973" t="str">
        <f>VLOOKUP($AB236,sample!$1:$1048576,12,FALSE)</f>
        <v xml:space="preserve">                          </v>
      </c>
      <c r="AN236" s="973" t="str">
        <f>VLOOKUP($AB236,sample!$1:$1048576,13,FALSE)</f>
        <v>GOLDJPJXXXX</v>
      </c>
      <c r="AP236" s="988"/>
    </row>
    <row r="237" spans="1:42" ht="14">
      <c r="A237" s="911">
        <v>2019200255</v>
      </c>
      <c r="B237" s="887">
        <v>43875</v>
      </c>
      <c r="C237" s="881" t="s">
        <v>133</v>
      </c>
      <c r="D237" s="1130" t="str">
        <f>IFERROR(VLOOKUP(G237,PosAggregate!$B$13:$B$89,1,FALSE),"")</f>
        <v/>
      </c>
      <c r="E237" s="769" t="s">
        <v>1617</v>
      </c>
      <c r="F237" s="1006" t="str">
        <f t="shared" si="47"/>
        <v/>
      </c>
      <c r="G237" s="594" t="s">
        <v>1616</v>
      </c>
      <c r="I237" s="833" t="s">
        <v>1619</v>
      </c>
      <c r="J237" s="833" t="s">
        <v>125</v>
      </c>
      <c r="K237" s="744">
        <v>991.44047999999998</v>
      </c>
      <c r="L237" s="834"/>
      <c r="M237" s="835">
        <v>4200</v>
      </c>
      <c r="N237" s="974">
        <f t="shared" si="48"/>
        <v>-4164050.0159999998</v>
      </c>
      <c r="O237" s="885">
        <v>-2498</v>
      </c>
      <c r="R237" s="978">
        <f t="shared" si="49"/>
        <v>-4166548.0159999998</v>
      </c>
      <c r="S237" s="744">
        <v>119.66778275427232</v>
      </c>
      <c r="T237" s="983">
        <f t="shared" si="50"/>
        <v>-34817.625263063943</v>
      </c>
      <c r="U237" s="839">
        <v>43879</v>
      </c>
      <c r="V237" s="594" t="s">
        <v>1656</v>
      </c>
      <c r="W237" s="840">
        <v>43874.895068518519</v>
      </c>
      <c r="X237" s="971">
        <f t="shared" si="51"/>
        <v>5.9989673284462301E-2</v>
      </c>
      <c r="Y237" s="972" t="str">
        <f>VLOOKUP(V237,'bic broker'!$A$1:$B$14,2,FALSE)</f>
        <v>TAVSGB21XXX</v>
      </c>
      <c r="Z237" s="972" t="str">
        <f>VLOOKUP(AA237,'place of settlement'!A:C,2,FALSE)</f>
        <v>JJSDJPJTXXX</v>
      </c>
      <c r="AA237" s="972" t="str">
        <f t="shared" si="52"/>
        <v>JP</v>
      </c>
      <c r="AB237" s="972" t="str">
        <f t="shared" si="53"/>
        <v>Tavira SecuritiesJP</v>
      </c>
      <c r="AC237" s="972" t="str">
        <f>VLOOKUP(AB237,sample!$1:$1048576,2,FALSE)</f>
        <v>GSILGB2XXXX</v>
      </c>
      <c r="AD237" s="972" t="str">
        <f>VLOOKUP($AB237,sample!$1:$1048576,3,FALSE)</f>
        <v>JJSDJPJTXXX</v>
      </c>
      <c r="AE237" s="973">
        <f>VLOOKUP($AB237,sample!$1:$1048576,4,FALSE)</f>
        <v>6530490016</v>
      </c>
      <c r="AF237" s="972" t="str">
        <f>VLOOKUP($AB237,sample!$1:$1048576,5,FALSE)</f>
        <v>N</v>
      </c>
      <c r="AL237" s="973" t="str">
        <f>VLOOKUP($AB237,sample!$1:$1048576,11,FALSE)</f>
        <v xml:space="preserve">                  </v>
      </c>
      <c r="AM237" s="973" t="str">
        <f>VLOOKUP($AB237,sample!$1:$1048576,12,FALSE)</f>
        <v xml:space="preserve">                          </v>
      </c>
      <c r="AN237" s="973" t="str">
        <f>VLOOKUP($AB237,sample!$1:$1048576,13,FALSE)</f>
        <v>GOLDJPJXXXX</v>
      </c>
      <c r="AP237" s="988"/>
    </row>
    <row r="238" spans="1:42" ht="14">
      <c r="A238" s="911">
        <v>2019200256</v>
      </c>
      <c r="B238" s="887">
        <v>43881</v>
      </c>
      <c r="C238" s="881" t="s">
        <v>133</v>
      </c>
      <c r="D238" s="1130" t="str">
        <f>IFERROR(VLOOKUP(G238,PosAggregate!$B$13:$B$89,1,FALSE),"")</f>
        <v/>
      </c>
      <c r="E238" s="769" t="s">
        <v>1215</v>
      </c>
      <c r="F238" s="1006" t="str">
        <f t="shared" si="47"/>
        <v/>
      </c>
      <c r="G238" s="594" t="s">
        <v>1166</v>
      </c>
      <c r="I238" s="833" t="s">
        <v>1064</v>
      </c>
      <c r="J238" s="833" t="s">
        <v>2</v>
      </c>
      <c r="K238" s="744">
        <v>32.887500000000003</v>
      </c>
      <c r="L238" s="834"/>
      <c r="M238" s="835">
        <v>1300</v>
      </c>
      <c r="N238" s="974">
        <f t="shared" si="48"/>
        <v>-42753.750000000007</v>
      </c>
      <c r="O238" s="885">
        <v>-25.65</v>
      </c>
      <c r="P238" s="885">
        <v>-128.26</v>
      </c>
      <c r="R238" s="978">
        <f t="shared" si="49"/>
        <v>-42907.660000000011</v>
      </c>
      <c r="S238" s="744">
        <v>1</v>
      </c>
      <c r="T238" s="983">
        <f t="shared" si="50"/>
        <v>-42907.660000000011</v>
      </c>
      <c r="U238" s="839">
        <v>43885</v>
      </c>
      <c r="V238" s="594" t="s">
        <v>1656</v>
      </c>
      <c r="W238" s="840">
        <v>43881.536782523151</v>
      </c>
      <c r="X238" s="971">
        <f t="shared" si="51"/>
        <v>5.9994737303745271E-2</v>
      </c>
      <c r="Y238" s="972" t="str">
        <f>VLOOKUP(V238,'bic broker'!$A$1:$B$14,2,FALSE)</f>
        <v>TAVSGB21XXX</v>
      </c>
      <c r="Z238" s="972" t="str">
        <f>VLOOKUP(AA238,'place of settlement'!A:C,2,FALSE)</f>
        <v>SICVFRPPXXX</v>
      </c>
      <c r="AA238" s="972" t="str">
        <f t="shared" si="52"/>
        <v>FR</v>
      </c>
      <c r="AB238" s="972" t="str">
        <f t="shared" si="53"/>
        <v>Tavira SecuritiesFR</v>
      </c>
      <c r="AC238" s="972" t="str">
        <f>VLOOKUP(AB238,sample!$1:$1048576,2,FALSE)</f>
        <v>GSILGB2XXXX</v>
      </c>
      <c r="AD238" s="972" t="str">
        <f>VLOOKUP($AB238,sample!$1:$1048576,3,FALSE)</f>
        <v>SICVFRPPXXX</v>
      </c>
      <c r="AE238" s="973" t="str">
        <f>VLOOKUP($AB238,sample!$1:$1048576,4,FALSE)</f>
        <v>SICVPARBFRPPXXX000L10</v>
      </c>
      <c r="AF238" s="972" t="str">
        <f>VLOOKUP($AB238,sample!$1:$1048576,5,FALSE)</f>
        <v>N</v>
      </c>
      <c r="AL238" s="973" t="str">
        <f>VLOOKUP($AB238,sample!$1:$1048576,11,FALSE)</f>
        <v xml:space="preserve">        </v>
      </c>
      <c r="AM238" s="973" t="str">
        <f>VLOOKUP($AB238,sample!$1:$1048576,12,FALSE)</f>
        <v xml:space="preserve">        </v>
      </c>
      <c r="AN238" s="973" t="str">
        <f>VLOOKUP($AB238,sample!$1:$1048576,13,FALSE)</f>
        <v>PARBFRPPXXX</v>
      </c>
      <c r="AP238" s="988"/>
    </row>
    <row r="239" spans="1:42" ht="14">
      <c r="A239" s="911">
        <v>2019200257</v>
      </c>
      <c r="B239" s="887">
        <v>43885</v>
      </c>
      <c r="C239" s="881" t="s">
        <v>133</v>
      </c>
      <c r="D239" s="1130" t="str">
        <f>IFERROR(VLOOKUP(G239,PosAggregate!$B$13:$B$89,1,FALSE),"")</f>
        <v/>
      </c>
      <c r="E239" s="769" t="s">
        <v>1635</v>
      </c>
      <c r="F239" s="1006" t="str">
        <f t="shared" si="47"/>
        <v/>
      </c>
      <c r="G239" s="594" t="s">
        <v>1648</v>
      </c>
      <c r="I239" s="833" t="s">
        <v>1636</v>
      </c>
      <c r="J239" s="833" t="s">
        <v>2</v>
      </c>
      <c r="K239" s="744">
        <v>158.07650000000001</v>
      </c>
      <c r="L239" s="834"/>
      <c r="M239" s="835">
        <v>400</v>
      </c>
      <c r="N239" s="974">
        <f t="shared" si="48"/>
        <v>-63230.600000000006</v>
      </c>
      <c r="O239" s="885">
        <v>-31.62</v>
      </c>
      <c r="R239" s="978">
        <f t="shared" si="49"/>
        <v>-63262.220000000008</v>
      </c>
      <c r="S239" s="744">
        <v>1</v>
      </c>
      <c r="T239" s="983">
        <f t="shared" si="50"/>
        <v>-63262.220000000008</v>
      </c>
      <c r="U239" s="839">
        <v>43887</v>
      </c>
      <c r="V239" s="594" t="s">
        <v>1072</v>
      </c>
      <c r="W239" s="840">
        <v>43885.53717476852</v>
      </c>
      <c r="X239" s="971">
        <f t="shared" si="51"/>
        <v>5.0007433109918301E-2</v>
      </c>
      <c r="Y239" s="972" t="str">
        <f>VLOOKUP(V239,'bic broker'!$A$1:$B$14,2,FALSE)</f>
        <v>JBBRFRPPXXX</v>
      </c>
      <c r="Z239" s="972" t="str">
        <f>VLOOKUP(AA239,'place of settlement'!A:C,2,FALSE)</f>
        <v>DAKVDEFFXXX</v>
      </c>
      <c r="AA239" s="972" t="str">
        <f t="shared" si="52"/>
        <v>DE</v>
      </c>
      <c r="AB239" s="972" t="str">
        <f t="shared" si="53"/>
        <v>KeplerDE</v>
      </c>
      <c r="AC239" s="972" t="str">
        <f>VLOOKUP(AB239,sample!$1:$1048576,2,FALSE)</f>
        <v>PAREFRPPXXX</v>
      </c>
      <c r="AD239" s="972" t="str">
        <f>VLOOKUP($AB239,sample!$1:$1048576,3,FALSE)</f>
        <v>DAKVDEFFXXX</v>
      </c>
      <c r="AE239" s="973" t="str">
        <f>VLOOKUP($AB239,sample!$1:$1048576,4,FALSE)</f>
        <v>DAKV 8448</v>
      </c>
      <c r="AF239" s="972" t="str">
        <f>VLOOKUP($AB239,sample!$1:$1048576,5,FALSE)</f>
        <v>N</v>
      </c>
      <c r="AL239" s="973" t="str">
        <f>VLOOKUP($AB239,sample!$1:$1048576,11,FALSE)</f>
        <v xml:space="preserve">        </v>
      </c>
      <c r="AM239" s="973" t="str">
        <f>VLOOKUP($AB239,sample!$1:$1048576,12,FALSE)</f>
        <v xml:space="preserve">        </v>
      </c>
      <c r="AN239" s="973" t="str">
        <f>VLOOKUP($AB239,sample!$1:$1048576,13,FALSE)</f>
        <v>SGABCHZZ448</v>
      </c>
      <c r="AP239" s="988"/>
    </row>
    <row r="240" spans="1:42" ht="14">
      <c r="A240" s="911">
        <v>2019200258</v>
      </c>
      <c r="B240" s="887">
        <v>43885</v>
      </c>
      <c r="C240" s="881" t="s">
        <v>133</v>
      </c>
      <c r="D240" s="1130" t="str">
        <f>IFERROR(VLOOKUP(G240,PosAggregate!$B$13:$B$89,1,FALSE),"")</f>
        <v/>
      </c>
      <c r="E240" s="769" t="s">
        <v>1217</v>
      </c>
      <c r="F240" s="1006" t="str">
        <f t="shared" si="47"/>
        <v/>
      </c>
      <c r="G240" s="594" t="s">
        <v>1168</v>
      </c>
      <c r="I240" s="833" t="s">
        <v>12626</v>
      </c>
      <c r="J240" s="833" t="s">
        <v>2</v>
      </c>
      <c r="K240" s="744">
        <v>25.2135</v>
      </c>
      <c r="L240" s="834"/>
      <c r="M240" s="835">
        <v>1300</v>
      </c>
      <c r="N240" s="974">
        <f t="shared" si="48"/>
        <v>-32777.550000000003</v>
      </c>
      <c r="O240" s="885">
        <v>-16.39</v>
      </c>
      <c r="P240" s="885">
        <v>-98.33</v>
      </c>
      <c r="R240" s="978">
        <f t="shared" si="49"/>
        <v>-32892.270000000004</v>
      </c>
      <c r="S240" s="744">
        <v>1</v>
      </c>
      <c r="T240" s="983">
        <f t="shared" si="50"/>
        <v>-32892.270000000004</v>
      </c>
      <c r="U240" s="839">
        <v>43887</v>
      </c>
      <c r="V240" s="594" t="s">
        <v>1072</v>
      </c>
      <c r="W240" s="840">
        <v>43885.54159872685</v>
      </c>
      <c r="X240" s="971">
        <f t="shared" si="51"/>
        <v>5.0003737314106761E-2</v>
      </c>
      <c r="Y240" s="972" t="str">
        <f>VLOOKUP(V240,'bic broker'!$A$1:$B$14,2,FALSE)</f>
        <v>JBBRFRPPXXX</v>
      </c>
      <c r="Z240" s="972" t="str">
        <f>VLOOKUP(AA240,'place of settlement'!A:C,2,FALSE)</f>
        <v>SICVFRPPXXX</v>
      </c>
      <c r="AA240" s="972" t="str">
        <f t="shared" si="52"/>
        <v>FR</v>
      </c>
      <c r="AB240" s="972" t="str">
        <f t="shared" si="53"/>
        <v>KeplerFR</v>
      </c>
      <c r="AC240" s="972" t="str">
        <f>VLOOKUP(AB240,sample!$1:$1048576,2,FALSE)</f>
        <v>JBBRFRPPXXX</v>
      </c>
      <c r="AD240" s="972" t="str">
        <f>VLOOKUP($AB240,sample!$1:$1048576,3,FALSE)</f>
        <v>SICVFRPPXXX</v>
      </c>
      <c r="AE240" s="973" t="str">
        <f>VLOOKUP($AB240,sample!$1:$1048576,4,FALSE)</f>
        <v>SICVPAREFRPPKCH000L10</v>
      </c>
      <c r="AF240" s="972" t="str">
        <f>VLOOKUP($AB240,sample!$1:$1048576,5,FALSE)</f>
        <v>N</v>
      </c>
      <c r="AL240" s="973" t="str">
        <f>VLOOKUP($AB240,sample!$1:$1048576,11,FALSE)</f>
        <v xml:space="preserve">        </v>
      </c>
      <c r="AM240" s="973" t="str">
        <f>VLOOKUP($AB240,sample!$1:$1048576,12,FALSE)</f>
        <v xml:space="preserve">        </v>
      </c>
      <c r="AN240" s="973" t="str">
        <f>VLOOKUP($AB240,sample!$1:$1048576,13,FALSE)</f>
        <v>PAREFRPPKCH</v>
      </c>
      <c r="AP240" s="988"/>
    </row>
    <row r="241" spans="1:42" ht="14">
      <c r="A241" s="911">
        <v>2019200259</v>
      </c>
      <c r="B241" s="887">
        <v>43886</v>
      </c>
      <c r="C241" s="881" t="s">
        <v>133</v>
      </c>
      <c r="D241" s="1130" t="str">
        <f>IFERROR(VLOOKUP(G241,PosAggregate!$B$13:$B$89,1,FALSE),"")</f>
        <v/>
      </c>
      <c r="E241" s="769" t="s">
        <v>1609</v>
      </c>
      <c r="F241" s="1006" t="str">
        <f t="shared" si="47"/>
        <v/>
      </c>
      <c r="G241" s="594" t="s">
        <v>1582</v>
      </c>
      <c r="I241" s="833" t="s">
        <v>1586</v>
      </c>
      <c r="J241" s="833" t="s">
        <v>3</v>
      </c>
      <c r="K241" s="744">
        <v>12.64432</v>
      </c>
      <c r="L241" s="834"/>
      <c r="M241" s="835">
        <v>2200</v>
      </c>
      <c r="N241" s="974">
        <f t="shared" si="48"/>
        <v>-27817.504000000001</v>
      </c>
      <c r="O241" s="885">
        <v>-13.91</v>
      </c>
      <c r="R241" s="978">
        <f t="shared" si="49"/>
        <v>-27831.414000000001</v>
      </c>
      <c r="S241" s="744">
        <v>1.0851989712313752</v>
      </c>
      <c r="T241" s="983">
        <f t="shared" si="50"/>
        <v>-25646.369686860002</v>
      </c>
      <c r="U241" s="839">
        <v>43888</v>
      </c>
      <c r="V241" s="594" t="s">
        <v>1656</v>
      </c>
      <c r="W241" s="840">
        <v>43886.823459490741</v>
      </c>
      <c r="X241" s="971">
        <f t="shared" si="51"/>
        <v>5.0004486383825091E-2</v>
      </c>
      <c r="Y241" s="972" t="str">
        <f>VLOOKUP(V241,'bic broker'!$A$1:$B$14,2,FALSE)</f>
        <v>TAVSGB21XXX</v>
      </c>
      <c r="Z241" s="972" t="str">
        <f>VLOOKUP(AA241,'place of settlement'!A:C,2,FALSE)</f>
        <v>DTCYUS33XXX</v>
      </c>
      <c r="AA241" s="972" t="str">
        <f t="shared" si="52"/>
        <v>US</v>
      </c>
      <c r="AB241" s="972" t="str">
        <f t="shared" si="53"/>
        <v>Tavira SecuritiesUS</v>
      </c>
      <c r="AC241" s="972" t="str">
        <f>VLOOKUP(AB241,sample!$1:$1048576,2,FALSE)</f>
        <v>GSILGB2XXXX</v>
      </c>
      <c r="AD241" s="972" t="str">
        <f>VLOOKUP($AB241,sample!$1:$1048576,3,FALSE)</f>
        <v>DTCYUS33</v>
      </c>
      <c r="AE241" s="973" t="str">
        <f>VLOOKUP($AB241,sample!$1:$1048576,4,FALSE)</f>
        <v xml:space="preserve">        </v>
      </c>
      <c r="AF241" s="972" t="str">
        <f>VLOOKUP($AB241,sample!$1:$1048576,5,FALSE)</f>
        <v>N</v>
      </c>
      <c r="AL241" s="973" t="str">
        <f>VLOOKUP($AB241,sample!$1:$1048576,11,FALSE)</f>
        <v>DTCYID</v>
      </c>
      <c r="AM241" s="973">
        <f>VLOOKUP($AB241,sample!$1:$1048576,12,FALSE)</f>
        <v>5208</v>
      </c>
      <c r="AN241" s="973" t="str">
        <f>VLOOKUP($AB241,sample!$1:$1048576,13,FALSE)</f>
        <v xml:space="preserve">        </v>
      </c>
      <c r="AP241" s="988"/>
    </row>
    <row r="242" spans="1:42" ht="14">
      <c r="A242" s="911">
        <v>2019200260</v>
      </c>
      <c r="B242" s="887">
        <v>43888</v>
      </c>
      <c r="C242" s="881" t="s">
        <v>133</v>
      </c>
      <c r="D242" s="1130" t="str">
        <f>IFERROR(VLOOKUP(G242,PosAggregate!$B$13:$B$89,1,FALSE),"")</f>
        <v/>
      </c>
      <c r="E242" s="769" t="s">
        <v>1609</v>
      </c>
      <c r="F242" s="1006" t="str">
        <f t="shared" si="47"/>
        <v/>
      </c>
      <c r="G242" s="594" t="s">
        <v>1582</v>
      </c>
      <c r="I242" s="833" t="s">
        <v>1586</v>
      </c>
      <c r="J242" s="833" t="s">
        <v>3</v>
      </c>
      <c r="K242" s="744">
        <v>9.99512</v>
      </c>
      <c r="L242" s="834"/>
      <c r="M242" s="835">
        <v>4200</v>
      </c>
      <c r="N242" s="974">
        <f t="shared" si="48"/>
        <v>-41979.504000000001</v>
      </c>
      <c r="O242" s="885">
        <v>-20.99</v>
      </c>
      <c r="R242" s="978">
        <f t="shared" si="49"/>
        <v>-42000.493999999999</v>
      </c>
      <c r="S242" s="744">
        <v>1.0879025239338556</v>
      </c>
      <c r="T242" s="983">
        <f t="shared" si="50"/>
        <v>-38606.854084799998</v>
      </c>
      <c r="U242" s="839">
        <v>43892</v>
      </c>
      <c r="V242" s="594" t="s">
        <v>1656</v>
      </c>
      <c r="W242" s="840">
        <v>43888.868312037041</v>
      </c>
      <c r="X242" s="971">
        <f t="shared" si="51"/>
        <v>5.0000590764483537E-2</v>
      </c>
      <c r="Y242" s="972" t="str">
        <f>VLOOKUP(V242,'bic broker'!$A$1:$B$14,2,FALSE)</f>
        <v>TAVSGB21XXX</v>
      </c>
      <c r="Z242" s="972" t="str">
        <f>VLOOKUP(AA242,'place of settlement'!A:C,2,FALSE)</f>
        <v>DTCYUS33XXX</v>
      </c>
      <c r="AA242" s="972" t="str">
        <f t="shared" si="52"/>
        <v>US</v>
      </c>
      <c r="AB242" s="972" t="str">
        <f t="shared" si="53"/>
        <v>Tavira SecuritiesUS</v>
      </c>
      <c r="AC242" s="972" t="str">
        <f>VLOOKUP(AB242,sample!$1:$1048576,2,FALSE)</f>
        <v>GSILGB2XXXX</v>
      </c>
      <c r="AD242" s="972" t="str">
        <f>VLOOKUP($AB242,sample!$1:$1048576,3,FALSE)</f>
        <v>DTCYUS33</v>
      </c>
      <c r="AE242" s="973" t="str">
        <f>VLOOKUP($AB242,sample!$1:$1048576,4,FALSE)</f>
        <v xml:space="preserve">        </v>
      </c>
      <c r="AF242" s="972" t="str">
        <f>VLOOKUP($AB242,sample!$1:$1048576,5,FALSE)</f>
        <v>N</v>
      </c>
      <c r="AL242" s="973" t="str">
        <f>VLOOKUP($AB242,sample!$1:$1048576,11,FALSE)</f>
        <v>DTCYID</v>
      </c>
      <c r="AM242" s="973">
        <f>VLOOKUP($AB242,sample!$1:$1048576,12,FALSE)</f>
        <v>5208</v>
      </c>
      <c r="AN242" s="973" t="str">
        <f>VLOOKUP($AB242,sample!$1:$1048576,13,FALSE)</f>
        <v xml:space="preserve">        </v>
      </c>
      <c r="AP242" s="988"/>
    </row>
    <row r="243" spans="1:42" ht="14">
      <c r="A243" s="911">
        <v>2019200261</v>
      </c>
      <c r="B243" s="887">
        <v>43889</v>
      </c>
      <c r="C243" s="881" t="s">
        <v>133</v>
      </c>
      <c r="D243" s="1130" t="str">
        <f>IFERROR(VLOOKUP(G243,PosAggregate!$B$13:$B$89,1,FALSE),"")</f>
        <v/>
      </c>
      <c r="E243" s="769" t="s">
        <v>1635</v>
      </c>
      <c r="F243" s="1006" t="str">
        <f t="shared" si="47"/>
        <v/>
      </c>
      <c r="G243" s="594" t="s">
        <v>1648</v>
      </c>
      <c r="I243" s="833" t="s">
        <v>1636</v>
      </c>
      <c r="J243" s="833" t="s">
        <v>2</v>
      </c>
      <c r="K243" s="744">
        <v>143.66499999999999</v>
      </c>
      <c r="L243" s="834"/>
      <c r="M243" s="835">
        <v>370</v>
      </c>
      <c r="N243" s="974">
        <f t="shared" si="48"/>
        <v>-53156.049999999996</v>
      </c>
      <c r="O243" s="885">
        <v>-26.58</v>
      </c>
      <c r="R243" s="978">
        <f t="shared" si="49"/>
        <v>-53182.63</v>
      </c>
      <c r="S243" s="744">
        <v>1</v>
      </c>
      <c r="T243" s="983">
        <f t="shared" si="50"/>
        <v>-53182.63</v>
      </c>
      <c r="U243" s="839">
        <v>43893</v>
      </c>
      <c r="V243" s="594" t="s">
        <v>1072</v>
      </c>
      <c r="W243" s="840">
        <v>43889.457901504633</v>
      </c>
      <c r="X243" s="971">
        <f t="shared" si="51"/>
        <v>5.0003715475472686E-2</v>
      </c>
      <c r="Y243" s="972" t="str">
        <f>VLOOKUP(V243,'bic broker'!$A$1:$B$14,2,FALSE)</f>
        <v>JBBRFRPPXXX</v>
      </c>
      <c r="Z243" s="972" t="str">
        <f>VLOOKUP(AA243,'place of settlement'!A:C,2,FALSE)</f>
        <v>DAKVDEFFXXX</v>
      </c>
      <c r="AA243" s="972" t="str">
        <f t="shared" si="52"/>
        <v>DE</v>
      </c>
      <c r="AB243" s="972" t="str">
        <f t="shared" si="53"/>
        <v>KeplerDE</v>
      </c>
      <c r="AC243" s="972" t="str">
        <f>VLOOKUP(AB243,sample!$1:$1048576,2,FALSE)</f>
        <v>PAREFRPPXXX</v>
      </c>
      <c r="AD243" s="972" t="str">
        <f>VLOOKUP($AB243,sample!$1:$1048576,3,FALSE)</f>
        <v>DAKVDEFFXXX</v>
      </c>
      <c r="AE243" s="973" t="str">
        <f>VLOOKUP($AB243,sample!$1:$1048576,4,FALSE)</f>
        <v>DAKV 8448</v>
      </c>
      <c r="AF243" s="972" t="str">
        <f>VLOOKUP($AB243,sample!$1:$1048576,5,FALSE)</f>
        <v>N</v>
      </c>
      <c r="AL243" s="973" t="str">
        <f>VLOOKUP($AB243,sample!$1:$1048576,11,FALSE)</f>
        <v xml:space="preserve">        </v>
      </c>
      <c r="AM243" s="973" t="str">
        <f>VLOOKUP($AB243,sample!$1:$1048576,12,FALSE)</f>
        <v xml:space="preserve">        </v>
      </c>
      <c r="AN243" s="973" t="str">
        <f>VLOOKUP($AB243,sample!$1:$1048576,13,FALSE)</f>
        <v>SGABCHZZ448</v>
      </c>
      <c r="AP243" s="988"/>
    </row>
    <row r="244" spans="1:42" ht="14">
      <c r="A244" s="911">
        <v>2019200262</v>
      </c>
      <c r="B244" s="887">
        <v>43889</v>
      </c>
      <c r="C244" s="881" t="s">
        <v>133</v>
      </c>
      <c r="D244" s="1130" t="str">
        <f>IFERROR(VLOOKUP(G244,PosAggregate!$B$13:$B$89,1,FALSE),"")</f>
        <v/>
      </c>
      <c r="E244" s="769" t="s">
        <v>1222</v>
      </c>
      <c r="F244" s="1006" t="str">
        <f t="shared" si="47"/>
        <v/>
      </c>
      <c r="G244" s="594" t="s">
        <v>1173</v>
      </c>
      <c r="I244" s="833" t="s">
        <v>130</v>
      </c>
      <c r="J244" s="833" t="s">
        <v>2</v>
      </c>
      <c r="K244" s="744">
        <v>26.145900000000001</v>
      </c>
      <c r="L244" s="834"/>
      <c r="M244" s="835">
        <v>2000</v>
      </c>
      <c r="N244" s="974">
        <f t="shared" si="48"/>
        <v>-52291.8</v>
      </c>
      <c r="O244" s="885">
        <v>-26.15</v>
      </c>
      <c r="P244" s="885">
        <v>-156.88</v>
      </c>
      <c r="R244" s="978">
        <f t="shared" si="49"/>
        <v>-52474.83</v>
      </c>
      <c r="S244" s="744">
        <v>1</v>
      </c>
      <c r="T244" s="983">
        <f t="shared" si="50"/>
        <v>-52474.83</v>
      </c>
      <c r="U244" s="839">
        <v>43893</v>
      </c>
      <c r="V244" s="594" t="s">
        <v>1072</v>
      </c>
      <c r="W244" s="840">
        <v>43889.459537615738</v>
      </c>
      <c r="X244" s="971">
        <f t="shared" si="51"/>
        <v>5.0007840617458187E-2</v>
      </c>
      <c r="Y244" s="972" t="str">
        <f>VLOOKUP(V244,'bic broker'!$A$1:$B$14,2,FALSE)</f>
        <v>JBBRFRPPXXX</v>
      </c>
      <c r="Z244" s="972" t="str">
        <f>VLOOKUP(AA244,'place of settlement'!A:C,2,FALSE)</f>
        <v>SICVFRPPXXX</v>
      </c>
      <c r="AA244" s="972" t="str">
        <f t="shared" si="52"/>
        <v>FR</v>
      </c>
      <c r="AB244" s="972" t="str">
        <f t="shared" si="53"/>
        <v>KeplerFR</v>
      </c>
      <c r="AC244" s="972" t="str">
        <f>VLOOKUP(AB244,sample!$1:$1048576,2,FALSE)</f>
        <v>JBBRFRPPXXX</v>
      </c>
      <c r="AD244" s="972" t="str">
        <f>VLOOKUP($AB244,sample!$1:$1048576,3,FALSE)</f>
        <v>SICVFRPPXXX</v>
      </c>
      <c r="AE244" s="973" t="str">
        <f>VLOOKUP($AB244,sample!$1:$1048576,4,FALSE)</f>
        <v>SICVPAREFRPPKCH000L10</v>
      </c>
      <c r="AF244" s="972" t="str">
        <f>VLOOKUP($AB244,sample!$1:$1048576,5,FALSE)</f>
        <v>N</v>
      </c>
      <c r="AL244" s="973" t="str">
        <f>VLOOKUP($AB244,sample!$1:$1048576,11,FALSE)</f>
        <v xml:space="preserve">        </v>
      </c>
      <c r="AM244" s="973" t="str">
        <f>VLOOKUP($AB244,sample!$1:$1048576,12,FALSE)</f>
        <v xml:space="preserve">        </v>
      </c>
      <c r="AN244" s="973" t="str">
        <f>VLOOKUP($AB244,sample!$1:$1048576,13,FALSE)</f>
        <v>PAREFRPPKCH</v>
      </c>
      <c r="AP244" s="988"/>
    </row>
    <row r="245" spans="1:42" ht="14">
      <c r="A245" s="911">
        <v>2019200263</v>
      </c>
      <c r="B245" s="887">
        <v>43889</v>
      </c>
      <c r="C245" s="881" t="s">
        <v>134</v>
      </c>
      <c r="D245" s="1130" t="str">
        <f>IFERROR(VLOOKUP(G245,PosAggregate!$B$13:$B$89,1,FALSE),"")</f>
        <v/>
      </c>
      <c r="E245" s="769" t="s">
        <v>1612</v>
      </c>
      <c r="F245" s="1006" t="str">
        <f t="shared" si="47"/>
        <v/>
      </c>
      <c r="G245" s="594" t="s">
        <v>2037</v>
      </c>
      <c r="I245" s="833" t="s">
        <v>1596</v>
      </c>
      <c r="J245" s="833" t="s">
        <v>2</v>
      </c>
      <c r="K245" s="744">
        <v>57.8249</v>
      </c>
      <c r="L245" s="834"/>
      <c r="M245" s="835">
        <v>-1000</v>
      </c>
      <c r="N245" s="974">
        <f t="shared" si="48"/>
        <v>57824.9</v>
      </c>
      <c r="O245" s="885">
        <v>-28.91</v>
      </c>
      <c r="R245" s="978">
        <f t="shared" si="49"/>
        <v>57795.99</v>
      </c>
      <c r="S245" s="744">
        <v>1</v>
      </c>
      <c r="T245" s="983">
        <f t="shared" si="50"/>
        <v>57795.99</v>
      </c>
      <c r="U245" s="839">
        <v>43893</v>
      </c>
      <c r="V245" s="594" t="s">
        <v>1072</v>
      </c>
      <c r="W245" s="840">
        <v>43889.466879282409</v>
      </c>
      <c r="X245" s="971">
        <f t="shared" si="51"/>
        <v>-4.9995763070926194E-2</v>
      </c>
      <c r="Y245" s="972" t="str">
        <f>VLOOKUP(V245,'bic broker'!$A$1:$B$14,2,FALSE)</f>
        <v>JBBRFRPPXXX</v>
      </c>
      <c r="Z245" s="972" t="str">
        <f>VLOOKUP(AA245,'place of settlement'!A:C,2,FALSE)</f>
        <v>DAKVDEFFXXX</v>
      </c>
      <c r="AA245" s="972" t="str">
        <f t="shared" si="52"/>
        <v>DE</v>
      </c>
      <c r="AB245" s="972" t="str">
        <f t="shared" si="53"/>
        <v>KeplerDE</v>
      </c>
      <c r="AC245" s="972" t="str">
        <f>VLOOKUP(AB245,sample!$1:$1048576,2,FALSE)</f>
        <v>PAREFRPPXXX</v>
      </c>
      <c r="AD245" s="972" t="str">
        <f>VLOOKUP($AB245,sample!$1:$1048576,3,FALSE)</f>
        <v>DAKVDEFFXXX</v>
      </c>
      <c r="AE245" s="973" t="str">
        <f>VLOOKUP($AB245,sample!$1:$1048576,4,FALSE)</f>
        <v>DAKV 8448</v>
      </c>
      <c r="AF245" s="972" t="str">
        <f>VLOOKUP($AB245,sample!$1:$1048576,5,FALSE)</f>
        <v>N</v>
      </c>
      <c r="AL245" s="973" t="str">
        <f>VLOOKUP($AB245,sample!$1:$1048576,11,FALSE)</f>
        <v xml:space="preserve">        </v>
      </c>
      <c r="AM245" s="973" t="str">
        <f>VLOOKUP($AB245,sample!$1:$1048576,12,FALSE)</f>
        <v xml:space="preserve">        </v>
      </c>
      <c r="AN245" s="973" t="str">
        <f>VLOOKUP($AB245,sample!$1:$1048576,13,FALSE)</f>
        <v>SGABCHZZ448</v>
      </c>
      <c r="AP245" s="988"/>
    </row>
    <row r="246" spans="1:42" ht="14">
      <c r="A246" s="911">
        <v>2019200264</v>
      </c>
      <c r="B246" s="887">
        <v>43894</v>
      </c>
      <c r="C246" s="881" t="s">
        <v>133</v>
      </c>
      <c r="D246" s="1130" t="str">
        <f>IFERROR(VLOOKUP(G246,PosAggregate!$B$13:$B$89,1,FALSE),"")</f>
        <v/>
      </c>
      <c r="E246" s="769" t="s">
        <v>1654</v>
      </c>
      <c r="F246" s="1006" t="str">
        <f t="shared" si="47"/>
        <v/>
      </c>
      <c r="G246" s="594" t="s">
        <v>1647</v>
      </c>
      <c r="I246" s="833" t="s">
        <v>1655</v>
      </c>
      <c r="J246" s="833" t="s">
        <v>1069</v>
      </c>
      <c r="K246" s="744">
        <v>2.4169200000000002</v>
      </c>
      <c r="L246" s="834"/>
      <c r="M246" s="835">
        <v>17000</v>
      </c>
      <c r="N246" s="974">
        <f t="shared" si="48"/>
        <v>-41087.64</v>
      </c>
      <c r="O246" s="885">
        <v>-24.65</v>
      </c>
      <c r="R246" s="978">
        <f t="shared" si="49"/>
        <v>-41112.29</v>
      </c>
      <c r="S246" s="744">
        <v>1.6972005630152565</v>
      </c>
      <c r="T246" s="983">
        <f t="shared" si="50"/>
        <v>-24223.589654577809</v>
      </c>
      <c r="U246" s="839">
        <v>43896</v>
      </c>
      <c r="V246" s="594" t="s">
        <v>1656</v>
      </c>
      <c r="W246" s="840">
        <v>43894.432877546293</v>
      </c>
      <c r="X246" s="971">
        <f t="shared" si="51"/>
        <v>5.9993711004087846E-2</v>
      </c>
      <c r="Y246" s="972" t="str">
        <f>VLOOKUP(V246,'bic broker'!$A$1:$B$14,2,FALSE)</f>
        <v>TAVSGB21XXX</v>
      </c>
      <c r="Z246" s="972" t="str">
        <f>VLOOKUP(AA246,'place of settlement'!A:C,2,FALSE)</f>
        <v>CAETAU21XXX</v>
      </c>
      <c r="AA246" s="972" t="str">
        <f t="shared" si="52"/>
        <v>AU</v>
      </c>
      <c r="AB246" s="972" t="str">
        <f t="shared" si="53"/>
        <v>Tavira SecuritiesAU</v>
      </c>
      <c r="AC246" s="972" t="str">
        <f>VLOOKUP(AB246,sample!$1:$1048576,2,FALSE)</f>
        <v>GSILGB2XXXX</v>
      </c>
      <c r="AD246" s="972" t="str">
        <f>VLOOKUP($AB246,sample!$1:$1048576,3,FALSE)</f>
        <v>CAETAU21</v>
      </c>
      <c r="AE246" s="973" t="str">
        <f>VLOOKUP($AB246,sample!$1:$1048576,4,FALSE)</f>
        <v>011-109048-061</v>
      </c>
      <c r="AF246" s="972" t="str">
        <f>VLOOKUP($AB246,sample!$1:$1048576,5,FALSE)</f>
        <v>N</v>
      </c>
      <c r="AL246" s="973" t="str">
        <f>VLOOKUP($AB246,sample!$1:$1048576,11,FALSE)</f>
        <v xml:space="preserve">        </v>
      </c>
      <c r="AM246" s="973" t="str">
        <f>VLOOKUP($AB246,sample!$1:$1048576,12,FALSE)</f>
        <v xml:space="preserve">        </v>
      </c>
      <c r="AN246" s="973" t="str">
        <f>VLOOKUP($AB246,sample!$1:$1048576,13,FALSE)</f>
        <v>HKBAAU2SSYD</v>
      </c>
      <c r="AP246" s="988"/>
    </row>
    <row r="247" spans="1:42" ht="14">
      <c r="A247" s="911">
        <v>2019200265</v>
      </c>
      <c r="B247" s="887">
        <v>43894</v>
      </c>
      <c r="C247" s="881" t="s">
        <v>133</v>
      </c>
      <c r="D247" s="1130" t="str">
        <f>IFERROR(VLOOKUP(G247,PosAggregate!$B$13:$B$89,1,FALSE),"")</f>
        <v/>
      </c>
      <c r="E247" s="769" t="s">
        <v>1187</v>
      </c>
      <c r="F247" s="1006" t="str">
        <f t="shared" si="47"/>
        <v/>
      </c>
      <c r="G247" s="594" t="s">
        <v>2028</v>
      </c>
      <c r="I247" s="833" t="s">
        <v>1090</v>
      </c>
      <c r="J247" s="833" t="s">
        <v>125</v>
      </c>
      <c r="K247" s="744">
        <v>2625</v>
      </c>
      <c r="L247" s="834"/>
      <c r="M247" s="835">
        <v>4200</v>
      </c>
      <c r="N247" s="974">
        <f t="shared" si="48"/>
        <v>-11025000</v>
      </c>
      <c r="O247" s="885">
        <v>-6615</v>
      </c>
      <c r="R247" s="978">
        <f t="shared" si="49"/>
        <v>-11031615</v>
      </c>
      <c r="S247" s="744">
        <v>119.66308451931455</v>
      </c>
      <c r="T247" s="983">
        <f t="shared" si="50"/>
        <v>-92188.957390776704</v>
      </c>
      <c r="U247" s="839">
        <v>43896</v>
      </c>
      <c r="V247" s="594" t="s">
        <v>1656</v>
      </c>
      <c r="W247" s="840">
        <v>43894.47167071759</v>
      </c>
      <c r="X247" s="971">
        <f t="shared" si="51"/>
        <v>0.06</v>
      </c>
      <c r="Y247" s="972" t="str">
        <f>VLOOKUP(V247,'bic broker'!$A$1:$B$14,2,FALSE)</f>
        <v>TAVSGB21XXX</v>
      </c>
      <c r="Z247" s="972" t="str">
        <f>VLOOKUP(AA247,'place of settlement'!A:C,2,FALSE)</f>
        <v>JJSDJPJTXXX</v>
      </c>
      <c r="AA247" s="972" t="str">
        <f t="shared" si="52"/>
        <v>JP</v>
      </c>
      <c r="AB247" s="972" t="str">
        <f t="shared" si="53"/>
        <v>Tavira SecuritiesJP</v>
      </c>
      <c r="AC247" s="972" t="str">
        <f>VLOOKUP(AB247,sample!$1:$1048576,2,FALSE)</f>
        <v>GSILGB2XXXX</v>
      </c>
      <c r="AD247" s="972" t="str">
        <f>VLOOKUP($AB247,sample!$1:$1048576,3,FALSE)</f>
        <v>JJSDJPJTXXX</v>
      </c>
      <c r="AE247" s="973">
        <f>VLOOKUP($AB247,sample!$1:$1048576,4,FALSE)</f>
        <v>6530490016</v>
      </c>
      <c r="AF247" s="972" t="str">
        <f>VLOOKUP($AB247,sample!$1:$1048576,5,FALSE)</f>
        <v>N</v>
      </c>
      <c r="AL247" s="973" t="str">
        <f>VLOOKUP($AB247,sample!$1:$1048576,11,FALSE)</f>
        <v xml:space="preserve">                  </v>
      </c>
      <c r="AM247" s="973" t="str">
        <f>VLOOKUP($AB247,sample!$1:$1048576,12,FALSE)</f>
        <v xml:space="preserve">                          </v>
      </c>
      <c r="AN247" s="973" t="str">
        <f>VLOOKUP($AB247,sample!$1:$1048576,13,FALSE)</f>
        <v>GOLDJPJXXXX</v>
      </c>
      <c r="AP247" s="988"/>
    </row>
    <row r="248" spans="1:42" ht="14">
      <c r="A248" s="911">
        <v>2019200266</v>
      </c>
      <c r="B248" s="887">
        <v>43899</v>
      </c>
      <c r="C248" s="881" t="s">
        <v>134</v>
      </c>
      <c r="D248" s="1130" t="str">
        <f>IFERROR(VLOOKUP(G248,PosAggregate!$B$13:$B$89,1,FALSE),"")</f>
        <v/>
      </c>
      <c r="E248" s="769" t="s">
        <v>1207</v>
      </c>
      <c r="F248" s="1006" t="str">
        <f t="shared" si="47"/>
        <v/>
      </c>
      <c r="G248" s="594" t="s">
        <v>1157</v>
      </c>
      <c r="I248" s="833" t="s">
        <v>1082</v>
      </c>
      <c r="J248" s="833" t="s">
        <v>123</v>
      </c>
      <c r="K248" s="744">
        <v>289000</v>
      </c>
      <c r="L248" s="834"/>
      <c r="M248" s="835">
        <v>-400</v>
      </c>
      <c r="N248" s="974">
        <f t="shared" si="48"/>
        <v>115600000</v>
      </c>
      <c r="O248" s="885">
        <v>-173400</v>
      </c>
      <c r="P248" s="885">
        <v>-289000</v>
      </c>
      <c r="R248" s="978">
        <f t="shared" si="49"/>
        <v>115137600</v>
      </c>
      <c r="S248" s="744">
        <v>1374</v>
      </c>
      <c r="T248" s="983">
        <f t="shared" si="50"/>
        <v>83797.37991266376</v>
      </c>
      <c r="U248" s="839">
        <v>43902</v>
      </c>
      <c r="V248" s="594" t="s">
        <v>1184</v>
      </c>
      <c r="W248" s="840">
        <v>43899.970605787035</v>
      </c>
      <c r="X248" s="971">
        <f t="shared" si="51"/>
        <v>-0.15</v>
      </c>
      <c r="Y248" s="972" t="e">
        <f>VLOOKUP(V248,'bic broker'!$A$1:$B$14,2,FALSE)</f>
        <v>#N/A</v>
      </c>
      <c r="Z248" s="972" t="str">
        <f>VLOOKUP(AA248,'place of settlement'!A:C,2,FALSE)</f>
        <v>KSDCKRSEXXX</v>
      </c>
      <c r="AA248" s="972" t="str">
        <f t="shared" si="52"/>
        <v>KR</v>
      </c>
      <c r="AB248" s="972" t="str">
        <f t="shared" si="53"/>
        <v>SamsungKR</v>
      </c>
      <c r="AC248" s="972" t="e">
        <f>VLOOKUP(AB248,sample!$1:$1048576,2,FALSE)</f>
        <v>#N/A</v>
      </c>
      <c r="AD248" s="972" t="e">
        <f>VLOOKUP($AB248,sample!$1:$1048576,3,FALSE)</f>
        <v>#N/A</v>
      </c>
      <c r="AE248" s="973" t="e">
        <f>VLOOKUP($AB248,sample!$1:$1048576,4,FALSE)</f>
        <v>#N/A</v>
      </c>
      <c r="AF248" s="972" t="e">
        <f>VLOOKUP($AB248,sample!$1:$1048576,5,FALSE)</f>
        <v>#N/A</v>
      </c>
      <c r="AL248" s="973" t="e">
        <f>VLOOKUP($AB248,sample!$1:$1048576,11,FALSE)</f>
        <v>#N/A</v>
      </c>
      <c r="AM248" s="973" t="e">
        <f>VLOOKUP($AB248,sample!$1:$1048576,12,FALSE)</f>
        <v>#N/A</v>
      </c>
      <c r="AN248" s="973" t="e">
        <f>VLOOKUP($AB248,sample!$1:$1048576,13,FALSE)</f>
        <v>#N/A</v>
      </c>
      <c r="AP248" s="988"/>
    </row>
    <row r="249" spans="1:42" ht="14">
      <c r="A249" s="911">
        <v>2019200267</v>
      </c>
      <c r="B249" s="887">
        <v>43915</v>
      </c>
      <c r="C249" s="881" t="s">
        <v>133</v>
      </c>
      <c r="D249" s="1130" t="str">
        <f>IFERROR(VLOOKUP(G249,PosAggregate!$B$13:$B$89,1,FALSE),"")</f>
        <v/>
      </c>
      <c r="E249" s="769" t="s">
        <v>1631</v>
      </c>
      <c r="F249" s="1006" t="str">
        <f t="shared" si="47"/>
        <v/>
      </c>
      <c r="G249" s="594" t="s">
        <v>1621</v>
      </c>
      <c r="I249" s="833" t="s">
        <v>1622</v>
      </c>
      <c r="J249" s="833" t="s">
        <v>3</v>
      </c>
      <c r="K249" s="744">
        <v>24.22437</v>
      </c>
      <c r="L249" s="834"/>
      <c r="M249" s="835">
        <v>1970</v>
      </c>
      <c r="N249" s="974">
        <f t="shared" si="48"/>
        <v>-47722.008900000001</v>
      </c>
      <c r="O249" s="885">
        <v>-28.63</v>
      </c>
      <c r="R249" s="978">
        <f t="shared" si="49"/>
        <v>-47750.638899999998</v>
      </c>
      <c r="S249" s="744">
        <v>1.0787021056265103</v>
      </c>
      <c r="T249" s="983">
        <f t="shared" si="50"/>
        <v>-44266.752285855997</v>
      </c>
      <c r="U249" s="839">
        <v>43918</v>
      </c>
      <c r="V249" s="594" t="s">
        <v>1656</v>
      </c>
      <c r="W249" s="840">
        <v>43915.548448379632</v>
      </c>
      <c r="X249" s="971">
        <f t="shared" si="51"/>
        <v>5.9993283308741846E-2</v>
      </c>
      <c r="Y249" s="972" t="str">
        <f>VLOOKUP(V249,'bic broker'!$A$1:$B$14,2,FALSE)</f>
        <v>TAVSGB21XXX</v>
      </c>
      <c r="Z249" s="972" t="str">
        <f>VLOOKUP(AA249,'place of settlement'!A:C,2,FALSE)</f>
        <v>DTCYUS33XXX</v>
      </c>
      <c r="AA249" s="972" t="str">
        <f t="shared" si="52"/>
        <v>US</v>
      </c>
      <c r="AB249" s="972" t="str">
        <f t="shared" si="53"/>
        <v>Tavira SecuritiesUS</v>
      </c>
      <c r="AC249" s="972" t="str">
        <f>VLOOKUP(AB249,sample!$1:$1048576,2,FALSE)</f>
        <v>GSILGB2XXXX</v>
      </c>
      <c r="AD249" s="972" t="str">
        <f>VLOOKUP($AB249,sample!$1:$1048576,3,FALSE)</f>
        <v>DTCYUS33</v>
      </c>
      <c r="AE249" s="973" t="str">
        <f>VLOOKUP($AB249,sample!$1:$1048576,4,FALSE)</f>
        <v xml:space="preserve">        </v>
      </c>
      <c r="AF249" s="972" t="str">
        <f>VLOOKUP($AB249,sample!$1:$1048576,5,FALSE)</f>
        <v>N</v>
      </c>
      <c r="AL249" s="973" t="str">
        <f>VLOOKUP($AB249,sample!$1:$1048576,11,FALSE)</f>
        <v>DTCYID</v>
      </c>
      <c r="AM249" s="973">
        <f>VLOOKUP($AB249,sample!$1:$1048576,12,FALSE)</f>
        <v>5208</v>
      </c>
      <c r="AN249" s="973" t="str">
        <f>VLOOKUP($AB249,sample!$1:$1048576,13,FALSE)</f>
        <v xml:space="preserve">        </v>
      </c>
      <c r="AP249" s="988"/>
    </row>
    <row r="250" spans="1:42" ht="14">
      <c r="A250" s="911">
        <v>2019200268</v>
      </c>
      <c r="B250" s="887">
        <v>43931</v>
      </c>
      <c r="C250" s="881" t="s">
        <v>133</v>
      </c>
      <c r="D250" s="1130" t="str">
        <f>IFERROR(VLOOKUP(G250,PosAggregate!$B$13:$B$89,1,FALSE),"")</f>
        <v/>
      </c>
      <c r="E250" s="769" t="s">
        <v>1614</v>
      </c>
      <c r="F250" s="1006" t="str">
        <f t="shared" si="47"/>
        <v/>
      </c>
      <c r="G250" s="594" t="s">
        <v>2034</v>
      </c>
      <c r="I250" s="833" t="s">
        <v>1597</v>
      </c>
      <c r="J250" s="833" t="s">
        <v>125</v>
      </c>
      <c r="K250" s="744">
        <v>718.54055000000005</v>
      </c>
      <c r="L250" s="834"/>
      <c r="M250" s="835">
        <v>6700</v>
      </c>
      <c r="N250" s="974">
        <f t="shared" si="48"/>
        <v>-4814221.6850000005</v>
      </c>
      <c r="O250" s="885">
        <v>-1444</v>
      </c>
      <c r="R250" s="978">
        <f t="shared" si="49"/>
        <v>-4815665.6850000005</v>
      </c>
      <c r="S250" s="744">
        <v>118.51479522706417</v>
      </c>
      <c r="T250" s="983">
        <f t="shared" si="50"/>
        <v>-40633.455728237124</v>
      </c>
      <c r="U250" s="839">
        <v>43935</v>
      </c>
      <c r="V250" s="594" t="s">
        <v>1656</v>
      </c>
      <c r="W250" s="840">
        <v>43931.081108217593</v>
      </c>
      <c r="X250" s="971">
        <f t="shared" si="51"/>
        <v>2.9994464203822797E-2</v>
      </c>
      <c r="Y250" s="972" t="str">
        <f>VLOOKUP(V250,'bic broker'!$A$1:$B$14,2,FALSE)</f>
        <v>TAVSGB21XXX</v>
      </c>
      <c r="Z250" s="972" t="str">
        <f>VLOOKUP(AA250,'place of settlement'!A:C,2,FALSE)</f>
        <v>JJSDJPJTXXX</v>
      </c>
      <c r="AA250" s="972" t="str">
        <f t="shared" si="52"/>
        <v>JP</v>
      </c>
      <c r="AB250" s="972" t="str">
        <f t="shared" si="53"/>
        <v>Tavira SecuritiesJP</v>
      </c>
      <c r="AC250" s="972" t="str">
        <f>VLOOKUP(AB250,sample!$1:$1048576,2,FALSE)</f>
        <v>GSILGB2XXXX</v>
      </c>
      <c r="AD250" s="972" t="str">
        <f>VLOOKUP($AB250,sample!$1:$1048576,3,FALSE)</f>
        <v>JJSDJPJTXXX</v>
      </c>
      <c r="AE250" s="973">
        <f>VLOOKUP($AB250,sample!$1:$1048576,4,FALSE)</f>
        <v>6530490016</v>
      </c>
      <c r="AF250" s="972" t="str">
        <f>VLOOKUP($AB250,sample!$1:$1048576,5,FALSE)</f>
        <v>N</v>
      </c>
      <c r="AL250" s="973" t="str">
        <f>VLOOKUP($AB250,sample!$1:$1048576,11,FALSE)</f>
        <v xml:space="preserve">                  </v>
      </c>
      <c r="AM250" s="973" t="str">
        <f>VLOOKUP($AB250,sample!$1:$1048576,12,FALSE)</f>
        <v xml:space="preserve">                          </v>
      </c>
      <c r="AN250" s="973" t="str">
        <f>VLOOKUP($AB250,sample!$1:$1048576,13,FALSE)</f>
        <v>GOLDJPJXXXX</v>
      </c>
      <c r="AP250" s="988"/>
    </row>
    <row r="251" spans="1:42" ht="14">
      <c r="A251" s="911" t="s">
        <v>1707</v>
      </c>
      <c r="B251" s="887">
        <v>43935</v>
      </c>
      <c r="C251" s="881" t="s">
        <v>1707</v>
      </c>
      <c r="D251" s="1130" t="str">
        <f>IFERROR(VLOOKUP(G251,PosAggregate!$B$13:$B$89,1,FALSE),"")</f>
        <v/>
      </c>
      <c r="E251" s="769" t="s">
        <v>1654</v>
      </c>
      <c r="F251" s="1006" t="str">
        <f t="shared" si="47"/>
        <v/>
      </c>
      <c r="G251" s="594" t="s">
        <v>1647</v>
      </c>
      <c r="I251" s="833" t="s">
        <v>1655</v>
      </c>
      <c r="J251" s="833" t="s">
        <v>1069</v>
      </c>
      <c r="K251" s="744"/>
      <c r="L251" s="834"/>
      <c r="M251" s="835">
        <v>1154</v>
      </c>
      <c r="N251" s="974">
        <f t="shared" si="48"/>
        <v>0</v>
      </c>
      <c r="O251" s="885"/>
      <c r="R251" s="978">
        <f t="shared" si="49"/>
        <v>0</v>
      </c>
      <c r="S251" s="744"/>
      <c r="T251" s="983" t="e">
        <f t="shared" si="50"/>
        <v>#DIV/0!</v>
      </c>
      <c r="U251" s="839"/>
      <c r="W251" s="840"/>
      <c r="X251" s="971" t="e">
        <f t="shared" si="51"/>
        <v>#DIV/0!</v>
      </c>
      <c r="Y251" s="972" t="e">
        <f>VLOOKUP(V251,'bic broker'!$A$1:$B$14,2,FALSE)</f>
        <v>#N/A</v>
      </c>
      <c r="Z251" s="972" t="str">
        <f>VLOOKUP(AA251,'place of settlement'!A:C,2,FALSE)</f>
        <v>CAETAU21XXX</v>
      </c>
      <c r="AA251" s="972" t="str">
        <f t="shared" si="52"/>
        <v>AU</v>
      </c>
      <c r="AB251" s="972" t="str">
        <f t="shared" si="53"/>
        <v>AU</v>
      </c>
      <c r="AC251" s="972" t="e">
        <f>VLOOKUP(AB251,sample!$1:$1048576,2,FALSE)</f>
        <v>#N/A</v>
      </c>
      <c r="AD251" s="972" t="e">
        <f>VLOOKUP($AB251,sample!$1:$1048576,3,FALSE)</f>
        <v>#N/A</v>
      </c>
      <c r="AE251" s="973" t="e">
        <f>VLOOKUP($AB251,sample!$1:$1048576,4,FALSE)</f>
        <v>#N/A</v>
      </c>
      <c r="AF251" s="972" t="e">
        <f>VLOOKUP($AB251,sample!$1:$1048576,5,FALSE)</f>
        <v>#N/A</v>
      </c>
      <c r="AL251" s="973" t="e">
        <f>VLOOKUP($AB251,sample!$1:$1048576,11,FALSE)</f>
        <v>#N/A</v>
      </c>
      <c r="AM251" s="973" t="e">
        <f>VLOOKUP($AB251,sample!$1:$1048576,12,FALSE)</f>
        <v>#N/A</v>
      </c>
      <c r="AN251" s="973" t="e">
        <f>VLOOKUP($AB251,sample!$1:$1048576,13,FALSE)</f>
        <v>#N/A</v>
      </c>
      <c r="AP251" s="988"/>
    </row>
    <row r="252" spans="1:42" ht="14">
      <c r="A252" s="911">
        <v>2019200269</v>
      </c>
      <c r="B252" s="887">
        <v>43949</v>
      </c>
      <c r="C252" s="881" t="s">
        <v>133</v>
      </c>
      <c r="D252" s="1130" t="str">
        <f>IFERROR(VLOOKUP(G252,PosAggregate!$B$13:$B$89,1,FALSE),"")</f>
        <v/>
      </c>
      <c r="E252" s="769" t="s">
        <v>1227</v>
      </c>
      <c r="F252" s="1006" t="str">
        <f t="shared" si="47"/>
        <v/>
      </c>
      <c r="G252" s="594" t="s">
        <v>1163</v>
      </c>
      <c r="I252" s="833" t="s">
        <v>1092</v>
      </c>
      <c r="J252" s="833" t="s">
        <v>1069</v>
      </c>
      <c r="K252" s="744">
        <v>0.23427999999999999</v>
      </c>
      <c r="L252" s="834"/>
      <c r="M252" s="835">
        <v>220000</v>
      </c>
      <c r="N252" s="974">
        <f t="shared" si="48"/>
        <v>-51541.599999999999</v>
      </c>
      <c r="O252" s="885">
        <v>-30.93</v>
      </c>
      <c r="R252" s="978">
        <f t="shared" si="49"/>
        <v>-51572.53</v>
      </c>
      <c r="S252" s="744">
        <v>1.6751269585178588</v>
      </c>
      <c r="T252" s="983">
        <f t="shared" si="50"/>
        <v>-30787.236595864371</v>
      </c>
      <c r="U252" s="839">
        <v>43952</v>
      </c>
      <c r="V252" s="594" t="s">
        <v>1656</v>
      </c>
      <c r="W252" s="914">
        <v>43949.490571296294</v>
      </c>
      <c r="X252" s="971">
        <f t="shared" si="51"/>
        <v>6.0009778509010195E-2</v>
      </c>
      <c r="Y252" s="972" t="str">
        <f>VLOOKUP(V252,'bic broker'!$A$1:$B$14,2,FALSE)</f>
        <v>TAVSGB21XXX</v>
      </c>
      <c r="Z252" s="972" t="str">
        <f>VLOOKUP(AA252,'place of settlement'!A:C,2,FALSE)</f>
        <v>CAETAU21XXX</v>
      </c>
      <c r="AA252" s="972" t="str">
        <f t="shared" si="52"/>
        <v>AU</v>
      </c>
      <c r="AB252" s="972" t="str">
        <f t="shared" si="53"/>
        <v>Tavira SecuritiesAU</v>
      </c>
      <c r="AC252" s="972" t="str">
        <f>VLOOKUP(AB252,sample!$1:$1048576,2,FALSE)</f>
        <v>GSILGB2XXXX</v>
      </c>
      <c r="AD252" s="972" t="str">
        <f>VLOOKUP($AB252,sample!$1:$1048576,3,FALSE)</f>
        <v>CAETAU21</v>
      </c>
      <c r="AE252" s="973" t="str">
        <f>VLOOKUP($AB252,sample!$1:$1048576,4,FALSE)</f>
        <v>011-109048-061</v>
      </c>
      <c r="AF252" s="972" t="str">
        <f>VLOOKUP($AB252,sample!$1:$1048576,5,FALSE)</f>
        <v>N</v>
      </c>
      <c r="AL252" s="973" t="str">
        <f>VLOOKUP($AB252,sample!$1:$1048576,11,FALSE)</f>
        <v xml:space="preserve">        </v>
      </c>
      <c r="AM252" s="973" t="str">
        <f>VLOOKUP($AB252,sample!$1:$1048576,12,FALSE)</f>
        <v xml:space="preserve">        </v>
      </c>
      <c r="AN252" s="973" t="str">
        <f>VLOOKUP($AB252,sample!$1:$1048576,13,FALSE)</f>
        <v>HKBAAU2SSYD</v>
      </c>
      <c r="AP252" s="988"/>
    </row>
    <row r="253" spans="1:42" ht="14">
      <c r="A253" s="911">
        <v>2019200270</v>
      </c>
      <c r="B253" s="887">
        <v>43971</v>
      </c>
      <c r="C253" s="881" t="s">
        <v>133</v>
      </c>
      <c r="D253" s="1130" t="str">
        <f>IFERROR(VLOOKUP(G253,PosAggregate!$B$13:$B$89,1,FALSE),"")</f>
        <v/>
      </c>
      <c r="E253" s="769" t="s">
        <v>1654</v>
      </c>
      <c r="F253" s="1006" t="str">
        <f t="shared" si="47"/>
        <v/>
      </c>
      <c r="G253" s="594" t="s">
        <v>1647</v>
      </c>
      <c r="I253" s="833" t="s">
        <v>1655</v>
      </c>
      <c r="J253" s="833" t="s">
        <v>1069</v>
      </c>
      <c r="K253" s="744">
        <v>2.2915899999999998</v>
      </c>
      <c r="L253" s="834"/>
      <c r="M253" s="835">
        <v>42000</v>
      </c>
      <c r="N253" s="974">
        <f t="shared" ref="N253:N263" si="54">-K253*M253</f>
        <v>-96246.779999999984</v>
      </c>
      <c r="O253" s="885">
        <v>-57.75</v>
      </c>
      <c r="R253" s="978">
        <f t="shared" ref="R253:R263" si="55">SUM(N253:Q253)</f>
        <v>-96304.529999999984</v>
      </c>
      <c r="S253" s="744">
        <v>1.6708967204342142</v>
      </c>
      <c r="T253" s="983">
        <f t="shared" ref="T253:T273" si="56">+R253/S253</f>
        <v>-57636.43486892082</v>
      </c>
      <c r="U253" s="839">
        <v>43973</v>
      </c>
      <c r="V253" s="594" t="s">
        <v>1656</v>
      </c>
      <c r="W253" s="914">
        <v>43971.130711805556</v>
      </c>
      <c r="X253" s="971">
        <f t="shared" ref="X253:X263" si="57">+O253/N253*100</f>
        <v>6.0002007339881931E-2</v>
      </c>
      <c r="Y253" s="972" t="str">
        <f>VLOOKUP(V253,'bic broker'!$A$1:$B$14,2,FALSE)</f>
        <v>TAVSGB21XXX</v>
      </c>
      <c r="Z253" s="972" t="str">
        <f>VLOOKUP(AA253,'place of settlement'!A:C,2,FALSE)</f>
        <v>CAETAU21XXX</v>
      </c>
      <c r="AA253" s="972" t="str">
        <f t="shared" ref="AA253:AA263" si="58">LEFT(E253,2)</f>
        <v>AU</v>
      </c>
      <c r="AB253" s="972" t="str">
        <f t="shared" ref="AB253:AB263" si="59">CONCATENATE(V253,AA253)</f>
        <v>Tavira SecuritiesAU</v>
      </c>
      <c r="AC253" s="972" t="str">
        <f>VLOOKUP(AB253,sample!$1:$1048576,2,FALSE)</f>
        <v>GSILGB2XXXX</v>
      </c>
      <c r="AD253" s="972" t="str">
        <f>VLOOKUP($AB253,sample!$1:$1048576,3,FALSE)</f>
        <v>CAETAU21</v>
      </c>
      <c r="AE253" s="973" t="str">
        <f>VLOOKUP($AB253,sample!$1:$1048576,4,FALSE)</f>
        <v>011-109048-061</v>
      </c>
      <c r="AF253" s="972" t="str">
        <f>VLOOKUP($AB253,sample!$1:$1048576,5,FALSE)</f>
        <v>N</v>
      </c>
      <c r="AL253" s="973" t="str">
        <f>VLOOKUP($AB253,sample!$1:$1048576,11,FALSE)</f>
        <v xml:space="preserve">        </v>
      </c>
      <c r="AM253" s="973" t="str">
        <f>VLOOKUP($AB253,sample!$1:$1048576,12,FALSE)</f>
        <v xml:space="preserve">        </v>
      </c>
      <c r="AN253" s="973" t="str">
        <f>VLOOKUP($AB253,sample!$1:$1048576,13,FALSE)</f>
        <v>HKBAAU2SSYD</v>
      </c>
      <c r="AP253" s="988"/>
    </row>
    <row r="254" spans="1:42" ht="14">
      <c r="A254" s="911">
        <v>2019200271</v>
      </c>
      <c r="B254" s="887">
        <v>43971</v>
      </c>
      <c r="C254" s="881" t="s">
        <v>134</v>
      </c>
      <c r="D254" s="1130" t="str">
        <f>IFERROR(VLOOKUP(G254,PosAggregate!$B$13:$B$89,1,FALSE),"")</f>
        <v/>
      </c>
      <c r="E254" s="769" t="s">
        <v>1208</v>
      </c>
      <c r="F254" s="1006" t="str">
        <f t="shared" si="47"/>
        <v/>
      </c>
      <c r="G254" s="594" t="s">
        <v>1158</v>
      </c>
      <c r="I254" s="833" t="s">
        <v>1082</v>
      </c>
      <c r="J254" s="833" t="s">
        <v>123</v>
      </c>
      <c r="K254" s="744">
        <v>168690</v>
      </c>
      <c r="L254" s="834"/>
      <c r="M254" s="835">
        <v>-400</v>
      </c>
      <c r="N254" s="974">
        <f t="shared" si="54"/>
        <v>67476000</v>
      </c>
      <c r="O254" s="885">
        <v>-101214</v>
      </c>
      <c r="P254" s="885">
        <v>-168653</v>
      </c>
      <c r="R254" s="978">
        <f t="shared" si="55"/>
        <v>67206133</v>
      </c>
      <c r="S254" s="744">
        <v>1374</v>
      </c>
      <c r="T254" s="983">
        <f t="shared" si="56"/>
        <v>48912.760553129548</v>
      </c>
      <c r="U254" s="839">
        <v>43973</v>
      </c>
      <c r="V254" s="594" t="s">
        <v>1184</v>
      </c>
      <c r="W254" s="914">
        <v>43971.132098842594</v>
      </c>
      <c r="X254" s="971">
        <f t="shared" si="57"/>
        <v>-0.15</v>
      </c>
      <c r="Y254" s="972" t="e">
        <f>VLOOKUP(V254,'bic broker'!$A$1:$B$14,2,FALSE)</f>
        <v>#N/A</v>
      </c>
      <c r="Z254" s="972" t="str">
        <f>VLOOKUP(AA254,'place of settlement'!A:C,2,FALSE)</f>
        <v>KSDCKRSEXXX</v>
      </c>
      <c r="AA254" s="972" t="str">
        <f t="shared" si="58"/>
        <v>KR</v>
      </c>
      <c r="AB254" s="972" t="str">
        <f t="shared" si="59"/>
        <v>SamsungKR</v>
      </c>
      <c r="AC254" s="972" t="e">
        <f>VLOOKUP(AB254,sample!$1:$1048576,2,FALSE)</f>
        <v>#N/A</v>
      </c>
      <c r="AD254" s="972" t="e">
        <f>VLOOKUP($AB254,sample!$1:$1048576,3,FALSE)</f>
        <v>#N/A</v>
      </c>
      <c r="AE254" s="973" t="e">
        <f>VLOOKUP($AB254,sample!$1:$1048576,4,FALSE)</f>
        <v>#N/A</v>
      </c>
      <c r="AF254" s="972" t="e">
        <f>VLOOKUP($AB254,sample!$1:$1048576,5,FALSE)</f>
        <v>#N/A</v>
      </c>
      <c r="AL254" s="973" t="e">
        <f>VLOOKUP($AB254,sample!$1:$1048576,11,FALSE)</f>
        <v>#N/A</v>
      </c>
      <c r="AM254" s="973" t="e">
        <f>VLOOKUP($AB254,sample!$1:$1048576,12,FALSE)</f>
        <v>#N/A</v>
      </c>
      <c r="AN254" s="973" t="e">
        <f>VLOOKUP($AB254,sample!$1:$1048576,13,FALSE)</f>
        <v>#N/A</v>
      </c>
      <c r="AP254" s="988"/>
    </row>
    <row r="255" spans="1:42" ht="14">
      <c r="A255" s="911">
        <v>2019200272</v>
      </c>
      <c r="B255" s="887">
        <v>43973</v>
      </c>
      <c r="C255" s="881" t="s">
        <v>133</v>
      </c>
      <c r="D255" s="1130" t="str">
        <f>IFERROR(VLOOKUP(G255,PosAggregate!$B$13:$B$89,1,FALSE),"")</f>
        <v/>
      </c>
      <c r="E255" s="769" t="s">
        <v>1654</v>
      </c>
      <c r="F255" s="1006" t="str">
        <f t="shared" si="47"/>
        <v/>
      </c>
      <c r="G255" s="594" t="s">
        <v>1647</v>
      </c>
      <c r="I255" s="833" t="s">
        <v>1655</v>
      </c>
      <c r="J255" s="833" t="s">
        <v>1069</v>
      </c>
      <c r="K255" s="744">
        <v>2.2707000000000002</v>
      </c>
      <c r="L255" s="834"/>
      <c r="M255" s="835">
        <v>22000</v>
      </c>
      <c r="N255" s="974">
        <f t="shared" si="54"/>
        <v>-49955.4</v>
      </c>
      <c r="O255" s="885">
        <v>-29.97</v>
      </c>
      <c r="R255" s="978">
        <f t="shared" si="55"/>
        <v>-49985.37</v>
      </c>
      <c r="S255" s="744">
        <v>1.6680279855035984</v>
      </c>
      <c r="T255" s="983">
        <f t="shared" si="56"/>
        <v>-29966.745422984492</v>
      </c>
      <c r="U255" s="839">
        <v>43977</v>
      </c>
      <c r="V255" s="594" t="s">
        <v>1656</v>
      </c>
      <c r="W255" s="914">
        <v>43972.996930208334</v>
      </c>
      <c r="X255" s="971">
        <f t="shared" si="57"/>
        <v>5.9993514214679487E-2</v>
      </c>
      <c r="Y255" s="972" t="str">
        <f>VLOOKUP(V255,'bic broker'!$A$1:$B$14,2,FALSE)</f>
        <v>TAVSGB21XXX</v>
      </c>
      <c r="Z255" s="972" t="str">
        <f>VLOOKUP(AA255,'place of settlement'!A:C,2,FALSE)</f>
        <v>CAETAU21XXX</v>
      </c>
      <c r="AA255" s="972" t="str">
        <f t="shared" si="58"/>
        <v>AU</v>
      </c>
      <c r="AB255" s="972" t="str">
        <f t="shared" si="59"/>
        <v>Tavira SecuritiesAU</v>
      </c>
      <c r="AC255" s="972" t="str">
        <f>VLOOKUP(AB255,sample!$1:$1048576,2,FALSE)</f>
        <v>GSILGB2XXXX</v>
      </c>
      <c r="AD255" s="972" t="str">
        <f>VLOOKUP($AB255,sample!$1:$1048576,3,FALSE)</f>
        <v>CAETAU21</v>
      </c>
      <c r="AE255" s="973" t="str">
        <f>VLOOKUP($AB255,sample!$1:$1048576,4,FALSE)</f>
        <v>011-109048-061</v>
      </c>
      <c r="AF255" s="972" t="str">
        <f>VLOOKUP($AB255,sample!$1:$1048576,5,FALSE)</f>
        <v>N</v>
      </c>
      <c r="AL255" s="973" t="str">
        <f>VLOOKUP($AB255,sample!$1:$1048576,11,FALSE)</f>
        <v xml:space="preserve">        </v>
      </c>
      <c r="AM255" s="973" t="str">
        <f>VLOOKUP($AB255,sample!$1:$1048576,12,FALSE)</f>
        <v xml:space="preserve">        </v>
      </c>
      <c r="AN255" s="973" t="str">
        <f>VLOOKUP($AB255,sample!$1:$1048576,13,FALSE)</f>
        <v>HKBAAU2SSYD</v>
      </c>
      <c r="AP255" s="988"/>
    </row>
    <row r="256" spans="1:42" ht="14">
      <c r="A256" s="911">
        <v>2019200273</v>
      </c>
      <c r="B256" s="887">
        <v>43973</v>
      </c>
      <c r="C256" s="881" t="s">
        <v>133</v>
      </c>
      <c r="D256" s="1130" t="str">
        <f>IFERROR(VLOOKUP(G256,PosAggregate!$B$13:$B$89,1,FALSE),"")</f>
        <v/>
      </c>
      <c r="E256" s="769" t="s">
        <v>1227</v>
      </c>
      <c r="F256" s="1006" t="str">
        <f t="shared" si="47"/>
        <v/>
      </c>
      <c r="G256" s="594" t="s">
        <v>1163</v>
      </c>
      <c r="I256" s="833" t="s">
        <v>1092</v>
      </c>
      <c r="J256" s="833" t="s">
        <v>1069</v>
      </c>
      <c r="K256" s="744">
        <v>0.30391000000000001</v>
      </c>
      <c r="L256" s="834"/>
      <c r="M256" s="835">
        <v>260000</v>
      </c>
      <c r="N256" s="974">
        <f t="shared" si="54"/>
        <v>-79016.600000000006</v>
      </c>
      <c r="O256" s="885">
        <v>-47.41</v>
      </c>
      <c r="R256" s="978">
        <f t="shared" si="55"/>
        <v>-79064.010000000009</v>
      </c>
      <c r="S256" s="744">
        <v>1.6680279855035978</v>
      </c>
      <c r="T256" s="983">
        <f t="shared" si="56"/>
        <v>-47399.69034520103</v>
      </c>
      <c r="U256" s="839">
        <v>43977</v>
      </c>
      <c r="V256" s="594" t="s">
        <v>1656</v>
      </c>
      <c r="W256" s="914">
        <v>43972.998083217593</v>
      </c>
      <c r="X256" s="971">
        <f t="shared" si="57"/>
        <v>6.0000050622274301E-2</v>
      </c>
      <c r="Y256" s="972" t="str">
        <f>VLOOKUP(V256,'bic broker'!$A$1:$B$14,2,FALSE)</f>
        <v>TAVSGB21XXX</v>
      </c>
      <c r="Z256" s="972" t="str">
        <f>VLOOKUP(AA256,'place of settlement'!A:C,2,FALSE)</f>
        <v>CAETAU21XXX</v>
      </c>
      <c r="AA256" s="972" t="str">
        <f t="shared" si="58"/>
        <v>AU</v>
      </c>
      <c r="AB256" s="972" t="str">
        <f t="shared" si="59"/>
        <v>Tavira SecuritiesAU</v>
      </c>
      <c r="AC256" s="972" t="str">
        <f>VLOOKUP(AB256,sample!$1:$1048576,2,FALSE)</f>
        <v>GSILGB2XXXX</v>
      </c>
      <c r="AD256" s="972" t="str">
        <f>VLOOKUP($AB256,sample!$1:$1048576,3,FALSE)</f>
        <v>CAETAU21</v>
      </c>
      <c r="AE256" s="973" t="str">
        <f>VLOOKUP($AB256,sample!$1:$1048576,4,FALSE)</f>
        <v>011-109048-061</v>
      </c>
      <c r="AF256" s="972" t="str">
        <f>VLOOKUP($AB256,sample!$1:$1048576,5,FALSE)</f>
        <v>N</v>
      </c>
      <c r="AL256" s="973" t="str">
        <f>VLOOKUP($AB256,sample!$1:$1048576,11,FALSE)</f>
        <v xml:space="preserve">        </v>
      </c>
      <c r="AM256" s="973" t="str">
        <f>VLOOKUP($AB256,sample!$1:$1048576,12,FALSE)</f>
        <v xml:space="preserve">        </v>
      </c>
      <c r="AN256" s="973" t="str">
        <f>VLOOKUP($AB256,sample!$1:$1048576,13,FALSE)</f>
        <v>HKBAAU2SSYD</v>
      </c>
      <c r="AP256" s="988"/>
    </row>
    <row r="257" spans="1:42" s="584" customFormat="1" ht="14">
      <c r="A257" s="911">
        <v>2019200274</v>
      </c>
      <c r="B257" s="887">
        <v>43979</v>
      </c>
      <c r="C257" s="816" t="s">
        <v>133</v>
      </c>
      <c r="D257" s="1133" t="str">
        <f>IFERROR(VLOOKUP(G257,PosAggregate!$B$13:$B$89,1,FALSE),"")</f>
        <v/>
      </c>
      <c r="E257" s="905" t="s">
        <v>1186</v>
      </c>
      <c r="F257" s="1006" t="str">
        <f t="shared" si="47"/>
        <v/>
      </c>
      <c r="G257" s="561" t="s">
        <v>1134</v>
      </c>
      <c r="I257" s="832" t="s">
        <v>1081</v>
      </c>
      <c r="J257" s="832" t="s">
        <v>125</v>
      </c>
      <c r="K257" s="878">
        <v>961.1</v>
      </c>
      <c r="L257" s="879"/>
      <c r="M257" s="880">
        <v>11000</v>
      </c>
      <c r="N257" s="985">
        <f t="shared" si="54"/>
        <v>-10572100</v>
      </c>
      <c r="O257" s="817">
        <v>-6343</v>
      </c>
      <c r="R257" s="982">
        <f t="shared" si="55"/>
        <v>-10578443</v>
      </c>
      <c r="S257" s="878">
        <v>118.51370978390042</v>
      </c>
      <c r="T257" s="995">
        <f t="shared" si="56"/>
        <v>-89259.2343897502</v>
      </c>
      <c r="U257" s="907">
        <v>43984</v>
      </c>
      <c r="V257" s="561" t="s">
        <v>1656</v>
      </c>
      <c r="W257" s="819">
        <v>43979.856964583334</v>
      </c>
      <c r="X257" s="971">
        <f t="shared" si="57"/>
        <v>5.9997540696739529E-2</v>
      </c>
      <c r="Y257" s="988" t="str">
        <f>VLOOKUP(V257,'bic broker'!$A$1:$B$14,2,FALSE)</f>
        <v>TAVSGB21XXX</v>
      </c>
      <c r="Z257" s="988" t="str">
        <f>VLOOKUP(AA257,'place of settlement'!A:C,2,FALSE)</f>
        <v>JJSDJPJTXXX</v>
      </c>
      <c r="AA257" s="988" t="str">
        <f t="shared" si="58"/>
        <v>JP</v>
      </c>
      <c r="AB257" s="988" t="str">
        <f t="shared" si="59"/>
        <v>Tavira SecuritiesJP</v>
      </c>
      <c r="AC257" s="988" t="str">
        <f>VLOOKUP(AB257,sample!$1:$1048576,2,FALSE)</f>
        <v>GSILGB2XXXX</v>
      </c>
      <c r="AD257" s="988" t="str">
        <f>VLOOKUP($AB257,sample!$1:$1048576,3,FALSE)</f>
        <v>JJSDJPJTXXX</v>
      </c>
      <c r="AE257" s="986">
        <f>VLOOKUP($AB257,sample!$1:$1048576,4,FALSE)</f>
        <v>6530490016</v>
      </c>
      <c r="AF257" s="988" t="str">
        <f>VLOOKUP($AB257,sample!$1:$1048576,5,FALSE)</f>
        <v>N</v>
      </c>
      <c r="AL257" s="986" t="str">
        <f>VLOOKUP($AB257,sample!$1:$1048576,11,FALSE)</f>
        <v xml:space="preserve">                  </v>
      </c>
      <c r="AM257" s="986" t="str">
        <f>VLOOKUP($AB257,sample!$1:$1048576,12,FALSE)</f>
        <v xml:space="preserve">                          </v>
      </c>
      <c r="AN257" s="986" t="str">
        <f>VLOOKUP($AB257,sample!$1:$1048576,13,FALSE)</f>
        <v>GOLDJPJXXXX</v>
      </c>
      <c r="AP257" s="988"/>
    </row>
    <row r="258" spans="1:42" s="584" customFormat="1" ht="14">
      <c r="A258" s="911">
        <v>2019200275</v>
      </c>
      <c r="B258" s="887">
        <v>43979</v>
      </c>
      <c r="C258" s="816" t="s">
        <v>134</v>
      </c>
      <c r="D258" s="1133" t="str">
        <f>IFERROR(VLOOKUP(G258,PosAggregate!$B$13:$B$89,1,FALSE),"")</f>
        <v/>
      </c>
      <c r="E258" s="905" t="s">
        <v>1201</v>
      </c>
      <c r="F258" s="1006" t="str">
        <f t="shared" si="47"/>
        <v/>
      </c>
      <c r="G258" s="561" t="s">
        <v>1150</v>
      </c>
      <c r="I258" s="832" t="s">
        <v>1104</v>
      </c>
      <c r="J258" s="832" t="s">
        <v>125</v>
      </c>
      <c r="K258" s="878">
        <v>1600</v>
      </c>
      <c r="L258" s="879"/>
      <c r="M258" s="880">
        <v>-4000</v>
      </c>
      <c r="N258" s="985">
        <f t="shared" si="54"/>
        <v>6400000</v>
      </c>
      <c r="O258" s="817">
        <v>-3840</v>
      </c>
      <c r="R258" s="982">
        <f t="shared" si="55"/>
        <v>6396160</v>
      </c>
      <c r="S258" s="878">
        <v>118.51370978390042</v>
      </c>
      <c r="T258" s="995">
        <f t="shared" si="56"/>
        <v>53969.789753968958</v>
      </c>
      <c r="U258" s="907">
        <v>43984</v>
      </c>
      <c r="V258" s="561" t="s">
        <v>1656</v>
      </c>
      <c r="W258" s="819">
        <v>43979.859993865743</v>
      </c>
      <c r="X258" s="971">
        <f t="shared" si="57"/>
        <v>-0.06</v>
      </c>
      <c r="Y258" s="988" t="str">
        <f>VLOOKUP(V258,'bic broker'!$A$1:$B$14,2,FALSE)</f>
        <v>TAVSGB21XXX</v>
      </c>
      <c r="Z258" s="988" t="str">
        <f>VLOOKUP(AA258,'place of settlement'!A:C,2,FALSE)</f>
        <v>JJSDJPJTXXX</v>
      </c>
      <c r="AA258" s="988" t="str">
        <f t="shared" si="58"/>
        <v>JP</v>
      </c>
      <c r="AB258" s="988" t="str">
        <f t="shared" si="59"/>
        <v>Tavira SecuritiesJP</v>
      </c>
      <c r="AC258" s="988" t="str">
        <f>VLOOKUP(AB258,sample!$1:$1048576,2,FALSE)</f>
        <v>GSILGB2XXXX</v>
      </c>
      <c r="AD258" s="988" t="str">
        <f>VLOOKUP($AB258,sample!$1:$1048576,3,FALSE)</f>
        <v>JJSDJPJTXXX</v>
      </c>
      <c r="AE258" s="986">
        <f>VLOOKUP($AB258,sample!$1:$1048576,4,FALSE)</f>
        <v>6530490016</v>
      </c>
      <c r="AF258" s="988" t="str">
        <f>VLOOKUP($AB258,sample!$1:$1048576,5,FALSE)</f>
        <v>N</v>
      </c>
      <c r="AL258" s="986" t="str">
        <f>VLOOKUP($AB258,sample!$1:$1048576,11,FALSE)</f>
        <v xml:space="preserve">                  </v>
      </c>
      <c r="AM258" s="986" t="str">
        <f>VLOOKUP($AB258,sample!$1:$1048576,12,FALSE)</f>
        <v xml:space="preserve">                          </v>
      </c>
      <c r="AN258" s="986" t="str">
        <f>VLOOKUP($AB258,sample!$1:$1048576,13,FALSE)</f>
        <v>GOLDJPJXXXX</v>
      </c>
      <c r="AP258" s="988"/>
    </row>
    <row r="259" spans="1:42" s="584" customFormat="1" ht="14">
      <c r="A259" s="911">
        <v>2019200277</v>
      </c>
      <c r="B259" s="887">
        <v>43986</v>
      </c>
      <c r="C259" s="816" t="s">
        <v>133</v>
      </c>
      <c r="D259" s="1133" t="str">
        <f>IFERROR(VLOOKUP(G259,PosAggregate!$B$13:$B$89,1,FALSE),"")</f>
        <v/>
      </c>
      <c r="E259" s="905" t="s">
        <v>1608</v>
      </c>
      <c r="F259" s="1006" t="str">
        <f t="shared" si="47"/>
        <v/>
      </c>
      <c r="G259" s="561" t="s">
        <v>1581</v>
      </c>
      <c r="I259" s="832" t="s">
        <v>1585</v>
      </c>
      <c r="J259" s="832" t="s">
        <v>3</v>
      </c>
      <c r="K259" s="878">
        <v>8.1206300000000002</v>
      </c>
      <c r="L259" s="879"/>
      <c r="M259" s="880">
        <v>6700</v>
      </c>
      <c r="N259" s="985">
        <f t="shared" si="54"/>
        <v>-54408.221000000005</v>
      </c>
      <c r="O259" s="817">
        <v>-27.2</v>
      </c>
      <c r="R259" s="982">
        <f t="shared" si="55"/>
        <v>-54435.421000000002</v>
      </c>
      <c r="S259" s="878">
        <v>1.1232042771618875</v>
      </c>
      <c r="T259" s="995">
        <f t="shared" si="56"/>
        <v>-48464.39967051</v>
      </c>
      <c r="U259" s="907">
        <v>43990</v>
      </c>
      <c r="V259" s="561" t="s">
        <v>1656</v>
      </c>
      <c r="W259" s="819">
        <v>43986.86677951389</v>
      </c>
      <c r="X259" s="971">
        <f t="shared" si="57"/>
        <v>4.9992445075533701E-2</v>
      </c>
      <c r="Y259" s="988" t="str">
        <f>VLOOKUP(V259,'bic broker'!$A$1:$B$14,2,FALSE)</f>
        <v>TAVSGB21XXX</v>
      </c>
      <c r="Z259" s="988" t="str">
        <f>VLOOKUP(AA259,'place of settlement'!A:C,2,FALSE)</f>
        <v>DTCYUS33XXX</v>
      </c>
      <c r="AA259" s="988" t="str">
        <f t="shared" si="58"/>
        <v>US</v>
      </c>
      <c r="AB259" s="988" t="str">
        <f t="shared" si="59"/>
        <v>Tavira SecuritiesUS</v>
      </c>
      <c r="AC259" s="988" t="str">
        <f>VLOOKUP(AB259,sample!$1:$1048576,2,FALSE)</f>
        <v>GSILGB2XXXX</v>
      </c>
      <c r="AD259" s="988" t="str">
        <f>VLOOKUP($AB259,sample!$1:$1048576,3,FALSE)</f>
        <v>DTCYUS33</v>
      </c>
      <c r="AE259" s="986" t="str">
        <f>VLOOKUP($AB259,sample!$1:$1048576,4,FALSE)</f>
        <v xml:space="preserve">        </v>
      </c>
      <c r="AF259" s="988" t="str">
        <f>VLOOKUP($AB259,sample!$1:$1048576,5,FALSE)</f>
        <v>N</v>
      </c>
      <c r="AL259" s="986" t="str">
        <f>VLOOKUP($AB259,sample!$1:$1048576,11,FALSE)</f>
        <v>DTCYID</v>
      </c>
      <c r="AM259" s="986">
        <f>VLOOKUP($AB259,sample!$1:$1048576,12,FALSE)</f>
        <v>5208</v>
      </c>
      <c r="AN259" s="986" t="str">
        <f>VLOOKUP($AB259,sample!$1:$1048576,13,FALSE)</f>
        <v xml:space="preserve">        </v>
      </c>
      <c r="AP259" s="988"/>
    </row>
    <row r="260" spans="1:42" ht="14">
      <c r="A260" s="994">
        <f t="shared" ref="A260" si="60">(A259+1)</f>
        <v>2019200278</v>
      </c>
      <c r="B260" s="887">
        <v>43987</v>
      </c>
      <c r="C260" s="881" t="s">
        <v>133</v>
      </c>
      <c r="D260" s="1130" t="str">
        <f>IFERROR(VLOOKUP(G260,PosAggregate!$B$13:$B$89,1,FALSE),"")</f>
        <v/>
      </c>
      <c r="E260" s="769" t="s">
        <v>1191</v>
      </c>
      <c r="F260" s="1006" t="str">
        <f t="shared" si="47"/>
        <v/>
      </c>
      <c r="G260" s="594" t="s">
        <v>1625</v>
      </c>
      <c r="I260" s="833" t="s">
        <v>1091</v>
      </c>
      <c r="J260" s="833" t="s">
        <v>125</v>
      </c>
      <c r="K260" s="744">
        <v>2238.92976</v>
      </c>
      <c r="L260" s="834"/>
      <c r="M260" s="835">
        <v>2200</v>
      </c>
      <c r="N260" s="974">
        <f t="shared" si="54"/>
        <v>-4925645.4720000001</v>
      </c>
      <c r="O260" s="817">
        <v>-5642</v>
      </c>
      <c r="P260" s="817"/>
      <c r="R260" s="978">
        <f t="shared" si="55"/>
        <v>-4931287.4720000001</v>
      </c>
      <c r="S260" s="878">
        <v>124.72565076817818</v>
      </c>
      <c r="T260" s="995">
        <f t="shared" ref="T260" si="61">+R260/S260</f>
        <v>-39537.075506349182</v>
      </c>
      <c r="U260" s="839">
        <v>44054</v>
      </c>
      <c r="V260" s="594" t="s">
        <v>1656</v>
      </c>
      <c r="W260" s="914">
        <v>44048.751605671299</v>
      </c>
      <c r="X260" s="971">
        <f t="shared" si="57"/>
        <v>0.11454336354640507</v>
      </c>
      <c r="Y260" s="972" t="str">
        <f>VLOOKUP(V260,'bic broker'!$A$1:$B$14,2,FALSE)</f>
        <v>TAVSGB21XXX</v>
      </c>
      <c r="Z260" s="972" t="str">
        <f>VLOOKUP(AA260,'place of settlement'!A:C,2,FALSE)</f>
        <v>JJSDJPJTXXX</v>
      </c>
      <c r="AA260" s="972" t="str">
        <f t="shared" si="58"/>
        <v>JP</v>
      </c>
      <c r="AB260" s="972" t="str">
        <f t="shared" si="59"/>
        <v>Tavira SecuritiesJP</v>
      </c>
      <c r="AC260" s="972" t="str">
        <f>VLOOKUP(AB260,sample!$1:$1048576,2,FALSE)</f>
        <v>GSILGB2XXXX</v>
      </c>
      <c r="AD260" s="972" t="str">
        <f>VLOOKUP($AB260,sample!$1:$1048576,3,FALSE)</f>
        <v>JJSDJPJTXXX</v>
      </c>
      <c r="AE260" s="973">
        <f>VLOOKUP($AB260,sample!$1:$1048576,4,FALSE)</f>
        <v>6530490016</v>
      </c>
      <c r="AF260" s="972" t="str">
        <f>VLOOKUP($AB260,sample!$1:$1048576,5,FALSE)</f>
        <v>N</v>
      </c>
      <c r="AL260" s="973" t="str">
        <f>VLOOKUP($AB260,sample!$1:$1048576,11,FALSE)</f>
        <v xml:space="preserve">                  </v>
      </c>
      <c r="AM260" s="973" t="str">
        <f>VLOOKUP($AB260,sample!$1:$1048576,12,FALSE)</f>
        <v xml:space="preserve">                          </v>
      </c>
      <c r="AN260" s="973" t="str">
        <f>VLOOKUP($AB260,sample!$1:$1048576,13,FALSE)</f>
        <v>GOLDJPJXXXX</v>
      </c>
      <c r="AP260" s="988"/>
    </row>
    <row r="261" spans="1:42" s="584" customFormat="1" ht="14">
      <c r="A261" s="911">
        <v>2019200279</v>
      </c>
      <c r="B261" s="887">
        <v>43987</v>
      </c>
      <c r="C261" s="816" t="s">
        <v>133</v>
      </c>
      <c r="D261" s="1133" t="str">
        <f>IFERROR(VLOOKUP(G261,PosAggregate!$B$13:$B$89,1,FALSE),"")</f>
        <v/>
      </c>
      <c r="E261" s="905" t="s">
        <v>1227</v>
      </c>
      <c r="F261" s="1006" t="str">
        <f t="shared" si="47"/>
        <v/>
      </c>
      <c r="G261" s="561" t="s">
        <v>1163</v>
      </c>
      <c r="I261" s="832" t="s">
        <v>1092</v>
      </c>
      <c r="J261" s="832" t="s">
        <v>1069</v>
      </c>
      <c r="K261" s="878">
        <v>0.33176</v>
      </c>
      <c r="L261" s="879"/>
      <c r="M261" s="880">
        <v>170000</v>
      </c>
      <c r="N261" s="985">
        <f t="shared" si="54"/>
        <v>-56399.199999999997</v>
      </c>
      <c r="O261" s="817">
        <v>-33.840000000000003</v>
      </c>
      <c r="R261" s="982">
        <f t="shared" si="55"/>
        <v>-56433.039999999994</v>
      </c>
      <c r="S261" s="878">
        <v>1.6233671417820779</v>
      </c>
      <c r="T261" s="995">
        <f t="shared" si="56"/>
        <v>-34762.955678682578</v>
      </c>
      <c r="U261" s="907">
        <v>43992</v>
      </c>
      <c r="V261" s="561" t="s">
        <v>1656</v>
      </c>
      <c r="W261" s="819">
        <v>43986.888601157407</v>
      </c>
      <c r="X261" s="971">
        <f t="shared" si="57"/>
        <v>6.0000851075901793E-2</v>
      </c>
      <c r="Y261" s="988" t="str">
        <f>VLOOKUP(V261,'bic broker'!$A$1:$B$14,2,FALSE)</f>
        <v>TAVSGB21XXX</v>
      </c>
      <c r="Z261" s="988" t="str">
        <f>VLOOKUP(AA261,'place of settlement'!A:C,2,FALSE)</f>
        <v>CAETAU21XXX</v>
      </c>
      <c r="AA261" s="988" t="str">
        <f t="shared" si="58"/>
        <v>AU</v>
      </c>
      <c r="AB261" s="988" t="str">
        <f t="shared" si="59"/>
        <v>Tavira SecuritiesAU</v>
      </c>
      <c r="AC261" s="988" t="str">
        <f>VLOOKUP(AB261,sample!$1:$1048576,2,FALSE)</f>
        <v>GSILGB2XXXX</v>
      </c>
      <c r="AD261" s="988" t="str">
        <f>VLOOKUP($AB261,sample!$1:$1048576,3,FALSE)</f>
        <v>CAETAU21</v>
      </c>
      <c r="AE261" s="986" t="str">
        <f>VLOOKUP($AB261,sample!$1:$1048576,4,FALSE)</f>
        <v>011-109048-061</v>
      </c>
      <c r="AF261" s="988" t="str">
        <f>VLOOKUP($AB261,sample!$1:$1048576,5,FALSE)</f>
        <v>N</v>
      </c>
      <c r="AL261" s="986" t="str">
        <f>VLOOKUP($AB261,sample!$1:$1048576,11,FALSE)</f>
        <v xml:space="preserve">        </v>
      </c>
      <c r="AM261" s="986" t="str">
        <f>VLOOKUP($AB261,sample!$1:$1048576,12,FALSE)</f>
        <v xml:space="preserve">        </v>
      </c>
      <c r="AN261" s="986" t="str">
        <f>VLOOKUP($AB261,sample!$1:$1048576,13,FALSE)</f>
        <v>HKBAAU2SSYD</v>
      </c>
      <c r="AP261" s="988"/>
    </row>
    <row r="262" spans="1:42" s="584" customFormat="1" ht="14">
      <c r="A262" s="911">
        <v>2019200280</v>
      </c>
      <c r="B262" s="887">
        <v>43987</v>
      </c>
      <c r="C262" s="816" t="s">
        <v>133</v>
      </c>
      <c r="D262" s="1133" t="str">
        <f>IFERROR(VLOOKUP(G262,PosAggregate!$B$13:$B$89,1,FALSE),"")</f>
        <v/>
      </c>
      <c r="E262" s="905" t="s">
        <v>1654</v>
      </c>
      <c r="F262" s="1006" t="str">
        <f t="shared" si="47"/>
        <v/>
      </c>
      <c r="G262" s="561" t="s">
        <v>1647</v>
      </c>
      <c r="I262" s="832" t="s">
        <v>1655</v>
      </c>
      <c r="J262" s="832" t="s">
        <v>1069</v>
      </c>
      <c r="K262" s="878">
        <v>2.3755199999999999</v>
      </c>
      <c r="L262" s="879"/>
      <c r="M262" s="880">
        <v>22000</v>
      </c>
      <c r="N262" s="985">
        <f t="shared" si="54"/>
        <v>-52261.439999999995</v>
      </c>
      <c r="O262" s="817">
        <v>-31.36</v>
      </c>
      <c r="R262" s="982">
        <f t="shared" si="55"/>
        <v>-52292.799999999996</v>
      </c>
      <c r="S262" s="878">
        <v>1.6233671417820779</v>
      </c>
      <c r="T262" s="995">
        <f t="shared" si="56"/>
        <v>-32212.552942641625</v>
      </c>
      <c r="U262" s="907">
        <v>43992</v>
      </c>
      <c r="V262" s="561" t="s">
        <v>1656</v>
      </c>
      <c r="W262" s="819">
        <v>43986.890627893517</v>
      </c>
      <c r="X262" s="971">
        <f t="shared" si="57"/>
        <v>6.0006000600060012E-2</v>
      </c>
      <c r="Y262" s="988" t="str">
        <f>VLOOKUP(V262,'bic broker'!$A$1:$B$14,2,FALSE)</f>
        <v>TAVSGB21XXX</v>
      </c>
      <c r="Z262" s="988" t="str">
        <f>VLOOKUP(AA262,'place of settlement'!A:C,2,FALSE)</f>
        <v>CAETAU21XXX</v>
      </c>
      <c r="AA262" s="988" t="str">
        <f t="shared" si="58"/>
        <v>AU</v>
      </c>
      <c r="AB262" s="988" t="str">
        <f t="shared" si="59"/>
        <v>Tavira SecuritiesAU</v>
      </c>
      <c r="AC262" s="988" t="str">
        <f>VLOOKUP(AB262,sample!$1:$1048576,2,FALSE)</f>
        <v>GSILGB2XXXX</v>
      </c>
      <c r="AD262" s="988" t="str">
        <f>VLOOKUP($AB262,sample!$1:$1048576,3,FALSE)</f>
        <v>CAETAU21</v>
      </c>
      <c r="AE262" s="986" t="str">
        <f>VLOOKUP($AB262,sample!$1:$1048576,4,FALSE)</f>
        <v>011-109048-061</v>
      </c>
      <c r="AF262" s="988" t="str">
        <f>VLOOKUP($AB262,sample!$1:$1048576,5,FALSE)</f>
        <v>N</v>
      </c>
      <c r="AL262" s="986" t="str">
        <f>VLOOKUP($AB262,sample!$1:$1048576,11,FALSE)</f>
        <v xml:space="preserve">        </v>
      </c>
      <c r="AM262" s="986" t="str">
        <f>VLOOKUP($AB262,sample!$1:$1048576,12,FALSE)</f>
        <v xml:space="preserve">        </v>
      </c>
      <c r="AN262" s="986" t="str">
        <f>VLOOKUP($AB262,sample!$1:$1048576,13,FALSE)</f>
        <v>HKBAAU2SSYD</v>
      </c>
      <c r="AP262" s="988"/>
    </row>
    <row r="263" spans="1:42" s="920" customFormat="1" ht="14">
      <c r="A263" s="915">
        <v>2019200282</v>
      </c>
      <c r="B263" s="916">
        <v>43993</v>
      </c>
      <c r="C263" s="917" t="s">
        <v>134</v>
      </c>
      <c r="D263" s="1134" t="str">
        <f>IFERROR(VLOOKUP(G263,PosAggregate!$B$13:$B$89,1,FALSE),"")</f>
        <v/>
      </c>
      <c r="E263" s="918" t="s">
        <v>1208</v>
      </c>
      <c r="F263" s="1006" t="str">
        <f t="shared" si="47"/>
        <v/>
      </c>
      <c r="G263" s="919" t="s">
        <v>1158</v>
      </c>
      <c r="I263" s="921" t="s">
        <v>1082</v>
      </c>
      <c r="J263" s="921" t="s">
        <v>123</v>
      </c>
      <c r="K263" s="922">
        <v>254000</v>
      </c>
      <c r="L263" s="923"/>
      <c r="M263" s="924">
        <v>-690</v>
      </c>
      <c r="N263" s="990">
        <f t="shared" si="54"/>
        <v>175260000</v>
      </c>
      <c r="O263" s="925">
        <v>-262890</v>
      </c>
      <c r="P263" s="925">
        <v>-438150</v>
      </c>
      <c r="R263" s="991">
        <f t="shared" si="55"/>
        <v>174558960</v>
      </c>
      <c r="S263" s="922">
        <v>1374</v>
      </c>
      <c r="T263" s="995">
        <f t="shared" si="56"/>
        <v>127044.36681222708</v>
      </c>
      <c r="U263" s="926">
        <v>43998</v>
      </c>
      <c r="V263" s="919" t="s">
        <v>1184</v>
      </c>
      <c r="W263" s="927">
        <v>43993.861408449076</v>
      </c>
      <c r="X263" s="992">
        <f t="shared" si="57"/>
        <v>-0.15</v>
      </c>
      <c r="Y263" s="988" t="e">
        <f>VLOOKUP(V263,'bic broker'!$A$1:$B$14,2,FALSE)</f>
        <v>#N/A</v>
      </c>
      <c r="Z263" s="989" t="str">
        <f>VLOOKUP(AA263,'place of settlement'!A:C,2,FALSE)</f>
        <v>KSDCKRSEXXX</v>
      </c>
      <c r="AA263" s="989" t="str">
        <f t="shared" si="58"/>
        <v>KR</v>
      </c>
      <c r="AB263" s="989" t="str">
        <f t="shared" si="59"/>
        <v>SamsungKR</v>
      </c>
      <c r="AC263" s="989" t="e">
        <f>VLOOKUP(AB263,sample!$1:$1048576,2,FALSE)</f>
        <v>#N/A</v>
      </c>
      <c r="AD263" s="989" t="e">
        <f>VLOOKUP($AB263,sample!$1:$1048576,3,FALSE)</f>
        <v>#N/A</v>
      </c>
      <c r="AE263" s="987" t="e">
        <f>VLOOKUP($AB263,sample!$1:$1048576,4,FALSE)</f>
        <v>#N/A</v>
      </c>
      <c r="AF263" s="989" t="e">
        <f>VLOOKUP($AB263,sample!$1:$1048576,5,FALSE)</f>
        <v>#N/A</v>
      </c>
      <c r="AL263" s="987" t="e">
        <f>VLOOKUP($AB263,sample!$1:$1048576,11,FALSE)</f>
        <v>#N/A</v>
      </c>
      <c r="AM263" s="987" t="e">
        <f>VLOOKUP($AB263,sample!$1:$1048576,12,FALSE)</f>
        <v>#N/A</v>
      </c>
      <c r="AN263" s="987" t="e">
        <f>VLOOKUP($AB263,sample!$1:$1048576,13,FALSE)</f>
        <v>#N/A</v>
      </c>
      <c r="AP263" s="988"/>
    </row>
    <row r="264" spans="1:42" ht="14">
      <c r="A264" s="928" t="s">
        <v>1707</v>
      </c>
      <c r="B264" s="916">
        <v>43902</v>
      </c>
      <c r="C264" s="881" t="s">
        <v>2056</v>
      </c>
      <c r="D264" s="1134" t="str">
        <f>IFERROR(VLOOKUP(G264,PosAggregate!$B$13:$B$89,1,FALSE),"")</f>
        <v/>
      </c>
      <c r="E264" s="769" t="s">
        <v>1214</v>
      </c>
      <c r="F264" s="1006" t="str">
        <f t="shared" si="47"/>
        <v/>
      </c>
      <c r="G264" s="558" t="s">
        <v>1165</v>
      </c>
      <c r="I264" s="833" t="s">
        <v>1180</v>
      </c>
      <c r="J264" s="833" t="s">
        <v>2</v>
      </c>
      <c r="K264" s="744"/>
      <c r="L264" s="834"/>
      <c r="M264" s="835">
        <v>525</v>
      </c>
      <c r="N264" s="836">
        <v>0</v>
      </c>
      <c r="R264" s="837">
        <v>0</v>
      </c>
      <c r="T264" s="995" t="e">
        <f t="shared" si="56"/>
        <v>#DIV/0!</v>
      </c>
      <c r="U264" s="839"/>
      <c r="X264" s="841" t="e">
        <v>#DIV/0!</v>
      </c>
      <c r="Y264" s="988" t="e">
        <f>VLOOKUP(V264,'bic broker'!$A$1:$B$14,2,FALSE)</f>
        <v>#N/A</v>
      </c>
      <c r="AA264" s="716" t="s">
        <v>1755</v>
      </c>
      <c r="AB264" s="716" t="s">
        <v>1755</v>
      </c>
      <c r="AC264" s="716" t="e">
        <v>#N/A</v>
      </c>
      <c r="AD264" s="716" t="e">
        <v>#N/A</v>
      </c>
      <c r="AE264" s="808" t="e">
        <v>#N/A</v>
      </c>
      <c r="AF264" s="716" t="e">
        <v>#N/A</v>
      </c>
      <c r="AL264" s="808" t="e">
        <v>#N/A</v>
      </c>
      <c r="AM264" s="808" t="e">
        <v>#N/A</v>
      </c>
      <c r="AN264" s="808" t="e">
        <v>#N/A</v>
      </c>
      <c r="AP264" s="988"/>
    </row>
    <row r="265" spans="1:42" ht="14">
      <c r="A265" s="915">
        <v>2019200283</v>
      </c>
      <c r="B265" s="916">
        <v>44000</v>
      </c>
      <c r="C265" s="881" t="s">
        <v>133</v>
      </c>
      <c r="D265" s="1134" t="str">
        <f>IFERROR(VLOOKUP(G265,PosAggregate!$B$13:$B$89,1,FALSE),"")</f>
        <v/>
      </c>
      <c r="E265" s="769" t="s">
        <v>12670</v>
      </c>
      <c r="F265" s="1006" t="str">
        <f t="shared" si="47"/>
        <v/>
      </c>
      <c r="G265" s="594" t="s">
        <v>2057</v>
      </c>
      <c r="I265" s="833" t="s">
        <v>12625</v>
      </c>
      <c r="J265" s="833" t="s">
        <v>123</v>
      </c>
      <c r="K265" s="744">
        <v>41466.9545</v>
      </c>
      <c r="L265" s="834"/>
      <c r="M265" s="835">
        <v>2200</v>
      </c>
      <c r="N265" s="974">
        <f t="shared" ref="N265:N296" si="62">-K265*M265</f>
        <v>-91227299.900000006</v>
      </c>
      <c r="O265" s="925">
        <v>-136841</v>
      </c>
      <c r="R265" s="978">
        <f t="shared" ref="R265:R296" si="63">SUM(N265:Q265)</f>
        <v>-91364140.900000006</v>
      </c>
      <c r="S265" s="922">
        <v>1366.4890268033807</v>
      </c>
      <c r="T265" s="995">
        <f t="shared" si="56"/>
        <v>-66860.500968476539</v>
      </c>
      <c r="U265" s="926">
        <v>44004</v>
      </c>
      <c r="V265" s="594" t="s">
        <v>2059</v>
      </c>
      <c r="W265" s="914">
        <v>44000.177494328702</v>
      </c>
      <c r="X265" s="971">
        <f t="shared" ref="X265:X296" si="64">+O265/N265*100</f>
        <v>0.15000005497257954</v>
      </c>
      <c r="Y265" s="584" t="s">
        <v>1695</v>
      </c>
      <c r="Z265" s="716" t="s">
        <v>1738</v>
      </c>
      <c r="AA265" s="716" t="s">
        <v>1737</v>
      </c>
      <c r="AB265" s="716" t="s">
        <v>1902</v>
      </c>
      <c r="AC265" s="716" t="s">
        <v>1695</v>
      </c>
      <c r="AD265" s="716" t="s">
        <v>1738</v>
      </c>
      <c r="AE265" s="808" t="s">
        <v>1903</v>
      </c>
      <c r="AF265" s="716" t="s">
        <v>1794</v>
      </c>
      <c r="AL265" s="808">
        <v>0</v>
      </c>
      <c r="AM265" s="808">
        <v>0</v>
      </c>
      <c r="AN265" s="808" t="s">
        <v>1695</v>
      </c>
      <c r="AP265" s="988"/>
    </row>
    <row r="266" spans="1:42" ht="14">
      <c r="A266" s="915">
        <v>2019200284</v>
      </c>
      <c r="B266" s="916">
        <v>44000</v>
      </c>
      <c r="C266" s="881" t="s">
        <v>134</v>
      </c>
      <c r="D266" s="1134" t="str">
        <f>IFERROR(VLOOKUP(G266,PosAggregate!$B$13:$B$89,1,FALSE),"")</f>
        <v/>
      </c>
      <c r="E266" s="769" t="s">
        <v>1201</v>
      </c>
      <c r="F266" s="1006" t="str">
        <f t="shared" si="47"/>
        <v/>
      </c>
      <c r="G266" s="594" t="s">
        <v>1150</v>
      </c>
      <c r="I266" s="833" t="s">
        <v>1104</v>
      </c>
      <c r="J266" s="833" t="s">
        <v>125</v>
      </c>
      <c r="K266" s="744">
        <v>1767.5625</v>
      </c>
      <c r="L266" s="834"/>
      <c r="M266" s="835">
        <v>-4000</v>
      </c>
      <c r="N266" s="974">
        <f t="shared" si="62"/>
        <v>7070250</v>
      </c>
      <c r="O266" s="925">
        <v>-4242</v>
      </c>
      <c r="R266" s="978">
        <f t="shared" si="63"/>
        <v>7066008</v>
      </c>
      <c r="S266" s="878">
        <v>118.51370978390042</v>
      </c>
      <c r="T266" s="995">
        <f t="shared" si="56"/>
        <v>59621.8615794262</v>
      </c>
      <c r="U266" s="926">
        <v>44004</v>
      </c>
      <c r="V266" s="594" t="s">
        <v>1656</v>
      </c>
      <c r="W266" s="914">
        <v>44000.267936574077</v>
      </c>
      <c r="X266" s="971">
        <f t="shared" si="64"/>
        <v>-5.9997878434284502E-2</v>
      </c>
      <c r="Y266" s="972" t="str">
        <f>VLOOKUP(V266,'bic broker'!$A$1:$B$14,2,FALSE)</f>
        <v>TAVSGB21XXX</v>
      </c>
      <c r="Z266" s="972" t="str">
        <f>VLOOKUP(AA266,'place of settlement'!A:C,2,FALSE)</f>
        <v>JJSDJPJTXXX</v>
      </c>
      <c r="AA266" s="972" t="str">
        <f t="shared" ref="AA266:AA294" si="65">LEFT(E266,2)</f>
        <v>JP</v>
      </c>
      <c r="AB266" s="972" t="str">
        <f t="shared" ref="AB266:AB294" si="66">CONCATENATE(V266,AA266)</f>
        <v>Tavira SecuritiesJP</v>
      </c>
      <c r="AC266" s="972" t="str">
        <f>VLOOKUP(AB266,sample!$1:$1048576,2,FALSE)</f>
        <v>GSILGB2XXXX</v>
      </c>
      <c r="AD266" s="972" t="str">
        <f>VLOOKUP($AB266,sample!$1:$1048576,3,FALSE)</f>
        <v>JJSDJPJTXXX</v>
      </c>
      <c r="AE266" s="973">
        <f>VLOOKUP($AB266,sample!$1:$1048576,4,FALSE)</f>
        <v>6530490016</v>
      </c>
      <c r="AF266" s="972" t="str">
        <f>VLOOKUP($AB266,sample!$1:$1048576,5,FALSE)</f>
        <v>N</v>
      </c>
      <c r="AL266" s="973" t="str">
        <f>VLOOKUP($AB266,sample!$1:$1048576,11,FALSE)</f>
        <v xml:space="preserve">                  </v>
      </c>
      <c r="AM266" s="973" t="str">
        <f>VLOOKUP($AB266,sample!$1:$1048576,12,FALSE)</f>
        <v xml:space="preserve">                          </v>
      </c>
      <c r="AN266" s="973" t="str">
        <f>VLOOKUP($AB266,sample!$1:$1048576,13,FALSE)</f>
        <v>GOLDJPJXXXX</v>
      </c>
      <c r="AP266" s="988"/>
    </row>
    <row r="267" spans="1:42" ht="14">
      <c r="A267" s="915">
        <v>2019200285</v>
      </c>
      <c r="B267" s="916">
        <v>44000</v>
      </c>
      <c r="C267" s="881" t="s">
        <v>133</v>
      </c>
      <c r="D267" s="1134" t="str">
        <f>IFERROR(VLOOKUP(G267,PosAggregate!$B$13:$B$89,1,FALSE),"")</f>
        <v/>
      </c>
      <c r="E267" s="769" t="s">
        <v>12690</v>
      </c>
      <c r="F267" s="1006" t="str">
        <f t="shared" si="47"/>
        <v/>
      </c>
      <c r="G267" s="594" t="s">
        <v>2058</v>
      </c>
      <c r="I267" s="833" t="s">
        <v>12698</v>
      </c>
      <c r="J267" s="833" t="s">
        <v>1065</v>
      </c>
      <c r="K267" s="744">
        <v>58.329549999999998</v>
      </c>
      <c r="L267" s="834"/>
      <c r="M267" s="835">
        <v>11000</v>
      </c>
      <c r="N267" s="974">
        <f t="shared" si="62"/>
        <v>-641625.04999999993</v>
      </c>
      <c r="O267" s="925">
        <v>-384.98</v>
      </c>
      <c r="P267" s="925">
        <v>-691.4</v>
      </c>
      <c r="R267" s="978">
        <f t="shared" si="63"/>
        <v>-642701.42999999993</v>
      </c>
      <c r="S267" s="878">
        <v>8.7133477244108697</v>
      </c>
      <c r="T267" s="995">
        <f t="shared" si="56"/>
        <v>-73760.56256763867</v>
      </c>
      <c r="U267" s="926">
        <v>44004</v>
      </c>
      <c r="V267" s="594" t="s">
        <v>1656</v>
      </c>
      <c r="W267" s="914">
        <v>44000.271048032409</v>
      </c>
      <c r="X267" s="971">
        <f t="shared" si="64"/>
        <v>6.000077459569262E-2</v>
      </c>
      <c r="Y267" s="972" t="str">
        <f>VLOOKUP(V267,'bic broker'!$A$1:$B$14,2,FALSE)</f>
        <v>TAVSGB21XXX</v>
      </c>
      <c r="Z267" s="972" t="str">
        <f>VLOOKUP(AA267,'place of settlement'!A:C,2,FALSE)</f>
        <v>XHKCHKH1XXX</v>
      </c>
      <c r="AA267" s="972" t="str">
        <f t="shared" si="65"/>
        <v>CN</v>
      </c>
      <c r="AB267" s="972" t="str">
        <f t="shared" si="66"/>
        <v>Tavira SecuritiesCN</v>
      </c>
      <c r="AC267" s="972" t="e">
        <f>VLOOKUP(AB267,sample!$1:$1048576,2,FALSE)</f>
        <v>#N/A</v>
      </c>
      <c r="AD267" s="972" t="e">
        <f>VLOOKUP($AB267,sample!$1:$1048576,3,FALSE)</f>
        <v>#N/A</v>
      </c>
      <c r="AE267" s="973" t="e">
        <f>VLOOKUP($AB267,sample!$1:$1048576,4,FALSE)</f>
        <v>#N/A</v>
      </c>
      <c r="AF267" s="972" t="e">
        <f>VLOOKUP($AB267,sample!$1:$1048576,5,FALSE)</f>
        <v>#N/A</v>
      </c>
      <c r="AL267" s="973" t="e">
        <f>VLOOKUP($AB267,sample!$1:$1048576,11,FALSE)</f>
        <v>#N/A</v>
      </c>
      <c r="AM267" s="973" t="e">
        <f>VLOOKUP($AB267,sample!$1:$1048576,12,FALSE)</f>
        <v>#N/A</v>
      </c>
      <c r="AN267" s="973" t="e">
        <f>VLOOKUP($AB267,sample!$1:$1048576,13,FALSE)</f>
        <v>#N/A</v>
      </c>
      <c r="AP267" s="988"/>
    </row>
    <row r="268" spans="1:42" ht="14">
      <c r="A268" s="993">
        <f t="shared" ref="A268:A273" si="67">(A267+1)</f>
        <v>2019200286</v>
      </c>
      <c r="B268" s="916">
        <v>44001</v>
      </c>
      <c r="C268" s="881" t="s">
        <v>133</v>
      </c>
      <c r="D268" s="1134" t="str">
        <f>IFERROR(VLOOKUP(G268,PosAggregate!$B$13:$B$89,1,FALSE),"")</f>
        <v/>
      </c>
      <c r="E268" s="769" t="s">
        <v>1186</v>
      </c>
      <c r="F268" s="1006" t="str">
        <f t="shared" ref="F268:F331" si="68">IF(D268=G268,"YES","")</f>
        <v/>
      </c>
      <c r="G268" s="594" t="s">
        <v>1134</v>
      </c>
      <c r="I268" s="833" t="s">
        <v>1081</v>
      </c>
      <c r="J268" s="833" t="s">
        <v>125</v>
      </c>
      <c r="K268" s="744">
        <v>965.13670000000002</v>
      </c>
      <c r="L268" s="834"/>
      <c r="M268" s="835">
        <v>11000</v>
      </c>
      <c r="N268" s="974">
        <f t="shared" si="62"/>
        <v>-10616503.700000001</v>
      </c>
      <c r="O268" s="925">
        <v>-6370</v>
      </c>
      <c r="P268" s="925"/>
      <c r="R268" s="978">
        <f t="shared" si="63"/>
        <v>-10622873.700000001</v>
      </c>
      <c r="S268" s="878">
        <v>120.30041374347901</v>
      </c>
      <c r="T268" s="995">
        <f t="shared" si="56"/>
        <v>-88302.885829233681</v>
      </c>
      <c r="U268" s="926">
        <v>44005</v>
      </c>
      <c r="V268" s="594" t="s">
        <v>1656</v>
      </c>
      <c r="W268" s="914">
        <v>44000.882628009262</v>
      </c>
      <c r="X268" s="971">
        <f t="shared" si="64"/>
        <v>6.0000921018847284E-2</v>
      </c>
      <c r="Y268" s="972" t="str">
        <f>VLOOKUP(V268,'bic broker'!$A$1:$B$14,2,FALSE)</f>
        <v>TAVSGB21XXX</v>
      </c>
      <c r="Z268" s="972" t="str">
        <f>VLOOKUP(AA268,'place of settlement'!A:C,2,FALSE)</f>
        <v>JJSDJPJTXXX</v>
      </c>
      <c r="AA268" s="972" t="str">
        <f t="shared" si="65"/>
        <v>JP</v>
      </c>
      <c r="AB268" s="972" t="str">
        <f t="shared" si="66"/>
        <v>Tavira SecuritiesJP</v>
      </c>
      <c r="AC268" s="972" t="str">
        <f>VLOOKUP(AB268,sample!$1:$1048576,2,FALSE)</f>
        <v>GSILGB2XXXX</v>
      </c>
      <c r="AD268" s="972" t="str">
        <f>VLOOKUP($AB268,sample!$1:$1048576,3,FALSE)</f>
        <v>JJSDJPJTXXX</v>
      </c>
      <c r="AE268" s="973">
        <f>VLOOKUP($AB268,sample!$1:$1048576,4,FALSE)</f>
        <v>6530490016</v>
      </c>
      <c r="AF268" s="972" t="str">
        <f>VLOOKUP($AB268,sample!$1:$1048576,5,FALSE)</f>
        <v>N</v>
      </c>
      <c r="AL268" s="973" t="str">
        <f>VLOOKUP($AB268,sample!$1:$1048576,11,FALSE)</f>
        <v xml:space="preserve">                  </v>
      </c>
      <c r="AM268" s="973" t="str">
        <f>VLOOKUP($AB268,sample!$1:$1048576,12,FALSE)</f>
        <v xml:space="preserve">                          </v>
      </c>
      <c r="AN268" s="973" t="str">
        <f>VLOOKUP($AB268,sample!$1:$1048576,13,FALSE)</f>
        <v>GOLDJPJXXXX</v>
      </c>
      <c r="AP268" s="988"/>
    </row>
    <row r="269" spans="1:42" ht="14">
      <c r="A269" s="993">
        <f t="shared" si="67"/>
        <v>2019200287</v>
      </c>
      <c r="B269" s="916">
        <v>44008</v>
      </c>
      <c r="C269" s="881" t="s">
        <v>133</v>
      </c>
      <c r="D269" s="1134" t="str">
        <f>IFERROR(VLOOKUP(G269,PosAggregate!$B$13:$B$89,1,FALSE),"")</f>
        <v/>
      </c>
      <c r="E269" s="769" t="s">
        <v>1186</v>
      </c>
      <c r="F269" s="1006" t="str">
        <f t="shared" si="68"/>
        <v/>
      </c>
      <c r="G269" s="594" t="s">
        <v>1134</v>
      </c>
      <c r="I269" s="833" t="s">
        <v>1081</v>
      </c>
      <c r="J269" s="833" t="s">
        <v>125</v>
      </c>
      <c r="K269" s="744">
        <v>928.7</v>
      </c>
      <c r="L269" s="834"/>
      <c r="M269" s="835">
        <v>11000</v>
      </c>
      <c r="N269" s="974">
        <f t="shared" si="62"/>
        <v>-10215700</v>
      </c>
      <c r="O269" s="925">
        <v>-6129</v>
      </c>
      <c r="P269" s="925"/>
      <c r="R269" s="978">
        <f t="shared" si="63"/>
        <v>-10221829</v>
      </c>
      <c r="S269" s="878">
        <v>120.39734950331308</v>
      </c>
      <c r="T269" s="995">
        <f t="shared" si="56"/>
        <v>-84900.780973743254</v>
      </c>
      <c r="U269" s="926">
        <v>44012</v>
      </c>
      <c r="V269" s="594" t="s">
        <v>1656</v>
      </c>
      <c r="W269" s="914">
        <v>44007.873458449074</v>
      </c>
      <c r="X269" s="971">
        <f t="shared" si="64"/>
        <v>5.9995888681147642E-2</v>
      </c>
      <c r="Y269" s="972" t="str">
        <f>VLOOKUP(V269,'bic broker'!$A$1:$B$14,2,FALSE)</f>
        <v>TAVSGB21XXX</v>
      </c>
      <c r="Z269" s="972" t="str">
        <f>VLOOKUP(AA269,'place of settlement'!A:C,2,FALSE)</f>
        <v>JJSDJPJTXXX</v>
      </c>
      <c r="AA269" s="972" t="str">
        <f t="shared" si="65"/>
        <v>JP</v>
      </c>
      <c r="AB269" s="972" t="str">
        <f t="shared" si="66"/>
        <v>Tavira SecuritiesJP</v>
      </c>
      <c r="AC269" s="972" t="str">
        <f>VLOOKUP(AB269,sample!$1:$1048576,2,FALSE)</f>
        <v>GSILGB2XXXX</v>
      </c>
      <c r="AD269" s="972" t="str">
        <f>VLOOKUP($AB269,sample!$1:$1048576,3,FALSE)</f>
        <v>JJSDJPJTXXX</v>
      </c>
      <c r="AE269" s="973">
        <f>VLOOKUP($AB269,sample!$1:$1048576,4,FALSE)</f>
        <v>6530490016</v>
      </c>
      <c r="AF269" s="972" t="str">
        <f>VLOOKUP($AB269,sample!$1:$1048576,5,FALSE)</f>
        <v>N</v>
      </c>
      <c r="AL269" s="973" t="str">
        <f>VLOOKUP($AB269,sample!$1:$1048576,11,FALSE)</f>
        <v xml:space="preserve">                  </v>
      </c>
      <c r="AM269" s="973" t="str">
        <f>VLOOKUP($AB269,sample!$1:$1048576,12,FALSE)</f>
        <v xml:space="preserve">                          </v>
      </c>
      <c r="AN269" s="973" t="str">
        <f>VLOOKUP($AB269,sample!$1:$1048576,13,FALSE)</f>
        <v>GOLDJPJXXXX</v>
      </c>
      <c r="AP269" s="988"/>
    </row>
    <row r="270" spans="1:42" ht="14">
      <c r="A270" s="994">
        <f t="shared" si="67"/>
        <v>2019200288</v>
      </c>
      <c r="B270" s="887">
        <v>44048</v>
      </c>
      <c r="C270" s="881" t="s">
        <v>134</v>
      </c>
      <c r="D270" s="1130" t="str">
        <f>IFERROR(VLOOKUP(G270,PosAggregate!$B$13:$B$89,1,FALSE),"")</f>
        <v/>
      </c>
      <c r="E270" s="769" t="s">
        <v>1206</v>
      </c>
      <c r="F270" s="1006" t="str">
        <f t="shared" si="68"/>
        <v/>
      </c>
      <c r="G270" s="594" t="s">
        <v>1156</v>
      </c>
      <c r="I270" s="833" t="s">
        <v>1080</v>
      </c>
      <c r="J270" s="833" t="s">
        <v>123</v>
      </c>
      <c r="K270" s="744">
        <v>373000</v>
      </c>
      <c r="L270" s="834"/>
      <c r="M270" s="835">
        <v>-450</v>
      </c>
      <c r="N270" s="974">
        <f t="shared" si="62"/>
        <v>167850000</v>
      </c>
      <c r="O270" s="817">
        <v>-251775</v>
      </c>
      <c r="P270" s="817">
        <v>-419624</v>
      </c>
      <c r="R270" s="978">
        <f t="shared" si="63"/>
        <v>167178601</v>
      </c>
      <c r="S270" s="878">
        <v>1407.9720576782354</v>
      </c>
      <c r="T270" s="995">
        <f t="shared" si="56"/>
        <v>118737.15823286986</v>
      </c>
      <c r="U270" s="839">
        <v>44053</v>
      </c>
      <c r="V270" s="594" t="s">
        <v>1184</v>
      </c>
      <c r="W270" s="914">
        <v>44048.376063888885</v>
      </c>
      <c r="X270" s="971">
        <f t="shared" si="64"/>
        <v>-0.15</v>
      </c>
      <c r="Y270" s="972" t="e">
        <f>VLOOKUP(V270,'bic broker'!$A$1:$B$14,2,FALSE)</f>
        <v>#N/A</v>
      </c>
      <c r="Z270" s="972" t="str">
        <f>VLOOKUP(AA270,'place of settlement'!A:C,2,FALSE)</f>
        <v>KSDCKRSEXXX</v>
      </c>
      <c r="AA270" s="972" t="str">
        <f t="shared" si="65"/>
        <v>KR</v>
      </c>
      <c r="AB270" s="972" t="str">
        <f t="shared" si="66"/>
        <v>SamsungKR</v>
      </c>
      <c r="AC270" s="972" t="e">
        <f>VLOOKUP(AB270,sample!$1:$1048576,2,FALSE)</f>
        <v>#N/A</v>
      </c>
      <c r="AD270" s="972" t="e">
        <f>VLOOKUP($AB270,sample!$1:$1048576,3,FALSE)</f>
        <v>#N/A</v>
      </c>
      <c r="AE270" s="973" t="e">
        <f>VLOOKUP($AB270,sample!$1:$1048576,4,FALSE)</f>
        <v>#N/A</v>
      </c>
      <c r="AF270" s="972" t="e">
        <f>VLOOKUP($AB270,sample!$1:$1048576,5,FALSE)</f>
        <v>#N/A</v>
      </c>
      <c r="AL270" s="973" t="e">
        <f>VLOOKUP($AB270,sample!$1:$1048576,11,FALSE)</f>
        <v>#N/A</v>
      </c>
      <c r="AM270" s="973" t="e">
        <f>VLOOKUP($AB270,sample!$1:$1048576,12,FALSE)</f>
        <v>#N/A</v>
      </c>
      <c r="AN270" s="973" t="e">
        <f>VLOOKUP($AB270,sample!$1:$1048576,13,FALSE)</f>
        <v>#N/A</v>
      </c>
      <c r="AP270" s="988"/>
    </row>
    <row r="271" spans="1:42" ht="14">
      <c r="A271" s="994">
        <f t="shared" si="67"/>
        <v>2019200289</v>
      </c>
      <c r="B271" s="887">
        <v>44048</v>
      </c>
      <c r="C271" s="881" t="s">
        <v>133</v>
      </c>
      <c r="D271" s="1130" t="str">
        <f>IFERROR(VLOOKUP(G271,PosAggregate!$B$13:$B$89,1,FALSE),"")</f>
        <v/>
      </c>
      <c r="E271" s="769" t="s">
        <v>1629</v>
      </c>
      <c r="F271" s="1006" t="str">
        <f t="shared" si="68"/>
        <v/>
      </c>
      <c r="G271" s="594" t="s">
        <v>1618</v>
      </c>
      <c r="I271" s="833" t="s">
        <v>1620</v>
      </c>
      <c r="J271" s="833" t="s">
        <v>2</v>
      </c>
      <c r="K271" s="744">
        <v>3.3862000000000001</v>
      </c>
      <c r="L271" s="834"/>
      <c r="M271" s="835">
        <v>6680</v>
      </c>
      <c r="N271" s="974">
        <f t="shared" si="62"/>
        <v>-22619.815999999999</v>
      </c>
      <c r="O271" s="817">
        <v>-13.57</v>
      </c>
      <c r="P271" s="817"/>
      <c r="R271" s="978">
        <f t="shared" si="63"/>
        <v>-22633.385999999999</v>
      </c>
      <c r="S271" s="878">
        <v>1</v>
      </c>
      <c r="T271" s="995">
        <f t="shared" si="56"/>
        <v>-22633.385999999999</v>
      </c>
      <c r="U271" s="839">
        <v>44050</v>
      </c>
      <c r="V271" s="594" t="s">
        <v>1183</v>
      </c>
      <c r="W271" s="914">
        <v>44048.384266666668</v>
      </c>
      <c r="X271" s="971">
        <f t="shared" si="64"/>
        <v>5.9991646262728224E-2</v>
      </c>
      <c r="Y271" s="972" t="str">
        <f>VLOOKUP(V271,'bic broker'!$A$1:$B$14,2,FALSE)</f>
        <v>EMSIITM1XXX</v>
      </c>
      <c r="Z271" s="972" t="str">
        <f>VLOOKUP(AA271,'place of settlement'!A:C,2,FALSE)</f>
        <v>DAKVDEFFXXX</v>
      </c>
      <c r="AA271" s="972" t="str">
        <f t="shared" si="65"/>
        <v>DE</v>
      </c>
      <c r="AB271" s="972" t="str">
        <f t="shared" si="66"/>
        <v>EquitaDE</v>
      </c>
      <c r="AC271" s="972" t="str">
        <f>VLOOKUP(AB271,sample!$1:$1048576,2,FALSE)</f>
        <v>EMSIITM1XXX</v>
      </c>
      <c r="AD271" s="972" t="str">
        <f>VLOOKUP($AB271,sample!$1:$1048576,3,FALSE)</f>
        <v>DAKVDEFFXXX</v>
      </c>
      <c r="AE271" s="973" t="str">
        <f>VLOOKUP($AB271,sample!$1:$1048576,4,FALSE)</f>
        <v>DAKV8135000</v>
      </c>
      <c r="AF271" s="972" t="str">
        <f>VLOOKUP($AB271,sample!$1:$1048576,5,FALSE)</f>
        <v>N</v>
      </c>
      <c r="AL271" s="973" t="str">
        <f>VLOOKUP($AB271,sample!$1:$1048576,11,FALSE)</f>
        <v xml:space="preserve">        </v>
      </c>
      <c r="AM271" s="973" t="str">
        <f>VLOOKUP($AB271,sample!$1:$1048576,12,FALSE)</f>
        <v xml:space="preserve">        </v>
      </c>
      <c r="AN271" s="973" t="str">
        <f>VLOOKUP($AB271,sample!$1:$1048576,13,FALSE)</f>
        <v>BCITITMMD03</v>
      </c>
      <c r="AP271" s="988"/>
    </row>
    <row r="272" spans="1:42" ht="14">
      <c r="A272" s="994">
        <f t="shared" si="67"/>
        <v>2019200290</v>
      </c>
      <c r="B272" s="887">
        <v>44048</v>
      </c>
      <c r="C272" s="881" t="s">
        <v>133</v>
      </c>
      <c r="D272" s="1130" t="str">
        <f>IFERROR(VLOOKUP(G272,PosAggregate!$B$13:$B$89,1,FALSE),"")</f>
        <v/>
      </c>
      <c r="E272" s="769" t="s">
        <v>1191</v>
      </c>
      <c r="F272" s="1006" t="str">
        <f t="shared" si="68"/>
        <v/>
      </c>
      <c r="G272" s="594" t="s">
        <v>1625</v>
      </c>
      <c r="I272" s="833" t="s">
        <v>1091</v>
      </c>
      <c r="J272" s="833" t="s">
        <v>125</v>
      </c>
      <c r="K272" s="744">
        <v>2238.92976</v>
      </c>
      <c r="L272" s="834"/>
      <c r="M272" s="835">
        <v>4200</v>
      </c>
      <c r="N272" s="974">
        <f t="shared" si="62"/>
        <v>-9403504.9920000006</v>
      </c>
      <c r="O272" s="817">
        <v>-5642</v>
      </c>
      <c r="P272" s="817"/>
      <c r="R272" s="978">
        <f t="shared" si="63"/>
        <v>-9409146.9920000006</v>
      </c>
      <c r="S272" s="878">
        <v>124.72565076817818</v>
      </c>
      <c r="T272" s="995">
        <f t="shared" si="56"/>
        <v>-75438.748437467351</v>
      </c>
      <c r="U272" s="839">
        <v>44054</v>
      </c>
      <c r="V272" s="594" t="s">
        <v>1656</v>
      </c>
      <c r="W272" s="914">
        <v>44048.751605671299</v>
      </c>
      <c r="X272" s="971">
        <f t="shared" si="64"/>
        <v>5.9998904714783606E-2</v>
      </c>
      <c r="Y272" s="972" t="str">
        <f>VLOOKUP(V272,'bic broker'!$A$1:$B$14,2,FALSE)</f>
        <v>TAVSGB21XXX</v>
      </c>
      <c r="Z272" s="972" t="str">
        <f>VLOOKUP(AA272,'place of settlement'!A:C,2,FALSE)</f>
        <v>JJSDJPJTXXX</v>
      </c>
      <c r="AA272" s="972" t="str">
        <f t="shared" si="65"/>
        <v>JP</v>
      </c>
      <c r="AB272" s="972" t="str">
        <f t="shared" si="66"/>
        <v>Tavira SecuritiesJP</v>
      </c>
      <c r="AC272" s="972" t="str">
        <f>VLOOKUP(AB272,sample!$1:$1048576,2,FALSE)</f>
        <v>GSILGB2XXXX</v>
      </c>
      <c r="AD272" s="972" t="str">
        <f>VLOOKUP($AB272,sample!$1:$1048576,3,FALSE)</f>
        <v>JJSDJPJTXXX</v>
      </c>
      <c r="AE272" s="973">
        <f>VLOOKUP($AB272,sample!$1:$1048576,4,FALSE)</f>
        <v>6530490016</v>
      </c>
      <c r="AF272" s="972" t="str">
        <f>VLOOKUP($AB272,sample!$1:$1048576,5,FALSE)</f>
        <v>N</v>
      </c>
      <c r="AL272" s="973" t="str">
        <f>VLOOKUP($AB272,sample!$1:$1048576,11,FALSE)</f>
        <v xml:space="preserve">                  </v>
      </c>
      <c r="AM272" s="973" t="str">
        <f>VLOOKUP($AB272,sample!$1:$1048576,12,FALSE)</f>
        <v xml:space="preserve">                          </v>
      </c>
      <c r="AN272" s="973" t="str">
        <f>VLOOKUP($AB272,sample!$1:$1048576,13,FALSE)</f>
        <v>GOLDJPJXXXX</v>
      </c>
      <c r="AP272" s="988"/>
    </row>
    <row r="273" spans="1:42" ht="14">
      <c r="A273" s="994">
        <f t="shared" si="67"/>
        <v>2019200291</v>
      </c>
      <c r="B273" s="887">
        <v>44049</v>
      </c>
      <c r="C273" s="881" t="s">
        <v>133</v>
      </c>
      <c r="D273" s="1130" t="str">
        <f>IFERROR(VLOOKUP(G273,PosAggregate!$B$13:$B$89,1,FALSE),"")</f>
        <v/>
      </c>
      <c r="E273" s="769" t="s">
        <v>1629</v>
      </c>
      <c r="F273" s="1006" t="str">
        <f t="shared" si="68"/>
        <v/>
      </c>
      <c r="G273" s="594" t="s">
        <v>1618</v>
      </c>
      <c r="I273" s="833" t="s">
        <v>1620</v>
      </c>
      <c r="J273" s="833" t="s">
        <v>2</v>
      </c>
      <c r="K273" s="744">
        <v>3.4358</v>
      </c>
      <c r="L273" s="834"/>
      <c r="M273" s="835">
        <v>6320</v>
      </c>
      <c r="N273" s="974">
        <f t="shared" si="62"/>
        <v>-21714.256000000001</v>
      </c>
      <c r="O273" s="817">
        <v>-13.03</v>
      </c>
      <c r="R273" s="978">
        <f t="shared" si="63"/>
        <v>-21727.286</v>
      </c>
      <c r="S273" s="878">
        <v>1</v>
      </c>
      <c r="T273" s="995">
        <f t="shared" si="56"/>
        <v>-21727.286</v>
      </c>
      <c r="U273" s="839">
        <v>44053</v>
      </c>
      <c r="V273" s="594" t="s">
        <v>2061</v>
      </c>
      <c r="W273" s="914">
        <v>44049.710107175924</v>
      </c>
      <c r="X273" s="971">
        <f t="shared" si="64"/>
        <v>6.0006661061746708E-2</v>
      </c>
      <c r="Y273" s="972" t="str">
        <f>VLOOKUP(V273,'bic broker'!$A$1:$B$14,2,FALSE)</f>
        <v>EMSIITM1XXX</v>
      </c>
      <c r="Z273" s="972" t="str">
        <f>VLOOKUP(AA273,'place of settlement'!A:C,2,FALSE)</f>
        <v>DAKVDEFFXXX</v>
      </c>
      <c r="AA273" s="972" t="str">
        <f t="shared" si="65"/>
        <v>DE</v>
      </c>
      <c r="AB273" s="972" t="str">
        <f t="shared" si="66"/>
        <v>equitaDE</v>
      </c>
      <c r="AC273" s="972" t="str">
        <f>VLOOKUP(AB273,sample!$1:$1048576,2,FALSE)</f>
        <v>EMSIITM1XXX</v>
      </c>
      <c r="AD273" s="972" t="str">
        <f>VLOOKUP($AB273,sample!$1:$1048576,3,FALSE)</f>
        <v>DAKVDEFFXXX</v>
      </c>
      <c r="AE273" s="973" t="str">
        <f>VLOOKUP($AB273,sample!$1:$1048576,4,FALSE)</f>
        <v>DAKV8135000</v>
      </c>
      <c r="AF273" s="972" t="str">
        <f>VLOOKUP($AB273,sample!$1:$1048576,5,FALSE)</f>
        <v>N</v>
      </c>
      <c r="AL273" s="973" t="str">
        <f>VLOOKUP($AB273,sample!$1:$1048576,11,FALSE)</f>
        <v xml:space="preserve">        </v>
      </c>
      <c r="AM273" s="973" t="str">
        <f>VLOOKUP($AB273,sample!$1:$1048576,12,FALSE)</f>
        <v xml:space="preserve">        </v>
      </c>
      <c r="AN273" s="973" t="str">
        <f>VLOOKUP($AB273,sample!$1:$1048576,13,FALSE)</f>
        <v>BCITITMMD03</v>
      </c>
      <c r="AP273" s="988"/>
    </row>
    <row r="274" spans="1:42" ht="14">
      <c r="A274" s="911" t="s">
        <v>2062</v>
      </c>
      <c r="B274" s="887">
        <v>44049</v>
      </c>
      <c r="C274" s="881" t="s">
        <v>2063</v>
      </c>
      <c r="D274" s="1130" t="str">
        <f>IFERROR(VLOOKUP(G274,PosAggregate!$B$13:$B$89,1,FALSE),"")</f>
        <v/>
      </c>
      <c r="E274" s="769" t="s">
        <v>12671</v>
      </c>
      <c r="F274" s="1006" t="str">
        <f t="shared" si="68"/>
        <v/>
      </c>
      <c r="G274" s="594" t="s">
        <v>2064</v>
      </c>
      <c r="I274" s="833" t="s">
        <v>2065</v>
      </c>
      <c r="J274" s="833" t="s">
        <v>123</v>
      </c>
      <c r="K274" s="744"/>
      <c r="L274" s="834"/>
      <c r="M274" s="835">
        <v>585</v>
      </c>
      <c r="N274" s="974">
        <f t="shared" si="62"/>
        <v>0</v>
      </c>
      <c r="R274" s="978">
        <f t="shared" si="63"/>
        <v>0</v>
      </c>
      <c r="T274" s="906"/>
      <c r="U274" s="839">
        <v>44049</v>
      </c>
      <c r="X274" s="971" t="e">
        <f t="shared" si="64"/>
        <v>#DIV/0!</v>
      </c>
      <c r="Y274" s="972" t="e">
        <f>VLOOKUP(V274,'bic broker'!$A$1:$B$14,2,FALSE)</f>
        <v>#N/A</v>
      </c>
      <c r="Z274" s="972" t="str">
        <f>VLOOKUP(AA274,'place of settlement'!A:C,2,FALSE)</f>
        <v>KSDCKRSEXXX</v>
      </c>
      <c r="AA274" s="972" t="str">
        <f t="shared" si="65"/>
        <v>KR</v>
      </c>
      <c r="AB274" s="972" t="str">
        <f t="shared" si="66"/>
        <v>KR</v>
      </c>
      <c r="AC274" s="972" t="e">
        <f>VLOOKUP(AB274,sample!$1:$1048576,2,FALSE)</f>
        <v>#N/A</v>
      </c>
      <c r="AD274" s="972" t="e">
        <f>VLOOKUP($AB274,sample!$1:$1048576,3,FALSE)</f>
        <v>#N/A</v>
      </c>
      <c r="AE274" s="973" t="e">
        <f>VLOOKUP($AB274,sample!$1:$1048576,4,FALSE)</f>
        <v>#N/A</v>
      </c>
      <c r="AF274" s="972" t="e">
        <f>VLOOKUP($AB274,sample!$1:$1048576,5,FALSE)</f>
        <v>#N/A</v>
      </c>
      <c r="AL274" s="973" t="e">
        <f>VLOOKUP($AB274,sample!$1:$1048576,11,FALSE)</f>
        <v>#N/A</v>
      </c>
      <c r="AM274" s="973" t="e">
        <f>VLOOKUP($AB274,sample!$1:$1048576,12,FALSE)</f>
        <v>#N/A</v>
      </c>
      <c r="AN274" s="973" t="e">
        <f>VLOOKUP($AB274,sample!$1:$1048576,13,FALSE)</f>
        <v>#N/A</v>
      </c>
      <c r="AP274" s="988"/>
    </row>
    <row r="275" spans="1:42" ht="14">
      <c r="A275" s="911" t="s">
        <v>2062</v>
      </c>
      <c r="B275" s="887">
        <v>44049</v>
      </c>
      <c r="C275" s="881" t="s">
        <v>2063</v>
      </c>
      <c r="D275" s="1130" t="str">
        <f>IFERROR(VLOOKUP(G275,PosAggregate!$B$13:$B$89,1,FALSE),"")</f>
        <v/>
      </c>
      <c r="E275" s="769" t="s">
        <v>1212</v>
      </c>
      <c r="F275" s="1006" t="str">
        <f t="shared" si="68"/>
        <v/>
      </c>
      <c r="G275" s="778" t="s">
        <v>1162</v>
      </c>
      <c r="I275" s="833" t="s">
        <v>12699</v>
      </c>
      <c r="J275" s="833" t="s">
        <v>123</v>
      </c>
      <c r="K275" s="744"/>
      <c r="L275" s="834"/>
      <c r="M275" s="835">
        <v>-586</v>
      </c>
      <c r="N275" s="974">
        <f t="shared" si="62"/>
        <v>0</v>
      </c>
      <c r="R275" s="978">
        <f t="shared" si="63"/>
        <v>0</v>
      </c>
      <c r="T275" s="906"/>
      <c r="U275" s="839">
        <v>44049</v>
      </c>
      <c r="X275" s="971" t="e">
        <f t="shared" si="64"/>
        <v>#DIV/0!</v>
      </c>
      <c r="Y275" s="972" t="e">
        <f>VLOOKUP(V275,'bic broker'!$A$1:$B$14,2,FALSE)</f>
        <v>#N/A</v>
      </c>
      <c r="Z275" s="972" t="str">
        <f>VLOOKUP(AA275,'place of settlement'!A:C,2,FALSE)</f>
        <v>KSDCKRSEXXX</v>
      </c>
      <c r="AA275" s="972" t="str">
        <f t="shared" si="65"/>
        <v>KR</v>
      </c>
      <c r="AB275" s="972" t="str">
        <f t="shared" si="66"/>
        <v>KR</v>
      </c>
      <c r="AC275" s="972" t="e">
        <f>VLOOKUP(AB275,sample!$1:$1048576,2,FALSE)</f>
        <v>#N/A</v>
      </c>
      <c r="AD275" s="972" t="e">
        <f>VLOOKUP($AB275,sample!$1:$1048576,3,FALSE)</f>
        <v>#N/A</v>
      </c>
      <c r="AE275" s="973" t="e">
        <f>VLOOKUP($AB275,sample!$1:$1048576,4,FALSE)</f>
        <v>#N/A</v>
      </c>
      <c r="AF275" s="972" t="e">
        <f>VLOOKUP($AB275,sample!$1:$1048576,5,FALSE)</f>
        <v>#N/A</v>
      </c>
      <c r="AL275" s="973" t="e">
        <f>VLOOKUP($AB275,sample!$1:$1048576,11,FALSE)</f>
        <v>#N/A</v>
      </c>
      <c r="AM275" s="973" t="e">
        <f>VLOOKUP($AB275,sample!$1:$1048576,12,FALSE)</f>
        <v>#N/A</v>
      </c>
      <c r="AN275" s="973" t="e">
        <f>VLOOKUP($AB275,sample!$1:$1048576,13,FALSE)</f>
        <v>#N/A</v>
      </c>
      <c r="AP275" s="988"/>
    </row>
    <row r="276" spans="1:42" ht="14">
      <c r="A276" s="911">
        <v>2019200292</v>
      </c>
      <c r="B276" s="887">
        <v>44050</v>
      </c>
      <c r="C276" s="881" t="s">
        <v>134</v>
      </c>
      <c r="D276" s="1130" t="str">
        <f>IFERROR(VLOOKUP(G276,PosAggregate!$B$13:$B$89,1,FALSE),"")</f>
        <v/>
      </c>
      <c r="E276" s="769" t="s">
        <v>1206</v>
      </c>
      <c r="F276" s="1006" t="str">
        <f t="shared" si="68"/>
        <v/>
      </c>
      <c r="G276" s="594" t="s">
        <v>1156</v>
      </c>
      <c r="I276" s="833" t="s">
        <v>1080</v>
      </c>
      <c r="J276" s="833" t="s">
        <v>123</v>
      </c>
      <c r="K276" s="744">
        <v>439000</v>
      </c>
      <c r="L276" s="834"/>
      <c r="M276" s="835">
        <v>-380</v>
      </c>
      <c r="N276" s="974">
        <f t="shared" si="62"/>
        <v>166820000</v>
      </c>
      <c r="O276" s="817">
        <v>-250230</v>
      </c>
      <c r="P276" s="817">
        <v>-417050</v>
      </c>
      <c r="R276" s="978">
        <f t="shared" si="63"/>
        <v>166152720</v>
      </c>
      <c r="S276" s="878">
        <v>1407.97</v>
      </c>
      <c r="T276" s="995">
        <f t="shared" ref="T276:T316" si="69">+R276/S276</f>
        <v>118008.70757189428</v>
      </c>
      <c r="U276" s="839">
        <v>44055</v>
      </c>
      <c r="V276" s="594" t="s">
        <v>1184</v>
      </c>
      <c r="W276" s="914">
        <v>44050.659427777777</v>
      </c>
      <c r="X276" s="971">
        <f t="shared" si="64"/>
        <v>-0.15</v>
      </c>
      <c r="Y276" s="972" t="e">
        <f>VLOOKUP(V276,'bic broker'!$A$1:$B$14,2,FALSE)</f>
        <v>#N/A</v>
      </c>
      <c r="Z276" s="972" t="str">
        <f>VLOOKUP(AA276,'place of settlement'!A:C,2,FALSE)</f>
        <v>KSDCKRSEXXX</v>
      </c>
      <c r="AA276" s="972" t="str">
        <f t="shared" si="65"/>
        <v>KR</v>
      </c>
      <c r="AB276" s="972" t="str">
        <f t="shared" si="66"/>
        <v>SamsungKR</v>
      </c>
      <c r="AC276" s="972" t="e">
        <f>VLOOKUP(AB276,sample!$1:$1048576,2,FALSE)</f>
        <v>#N/A</v>
      </c>
      <c r="AD276" s="972" t="e">
        <f>VLOOKUP($AB276,sample!$1:$1048576,3,FALSE)</f>
        <v>#N/A</v>
      </c>
      <c r="AE276" s="973" t="e">
        <f>VLOOKUP($AB276,sample!$1:$1048576,4,FALSE)</f>
        <v>#N/A</v>
      </c>
      <c r="AF276" s="972" t="e">
        <f>VLOOKUP($AB276,sample!$1:$1048576,5,FALSE)</f>
        <v>#N/A</v>
      </c>
      <c r="AL276" s="973" t="e">
        <f>VLOOKUP($AB276,sample!$1:$1048576,11,FALSE)</f>
        <v>#N/A</v>
      </c>
      <c r="AM276" s="973" t="e">
        <f>VLOOKUP($AB276,sample!$1:$1048576,12,FALSE)</f>
        <v>#N/A</v>
      </c>
      <c r="AN276" s="973" t="e">
        <f>VLOOKUP($AB276,sample!$1:$1048576,13,FALSE)</f>
        <v>#N/A</v>
      </c>
      <c r="AP276" s="988"/>
    </row>
    <row r="277" spans="1:42" ht="14">
      <c r="A277" s="929">
        <v>2019200293</v>
      </c>
      <c r="B277" s="887">
        <v>44055</v>
      </c>
      <c r="C277" s="881" t="s">
        <v>134</v>
      </c>
      <c r="D277" s="1130" t="str">
        <f>IFERROR(VLOOKUP(G277,PosAggregate!$B$13:$B$89,1,FALSE),"")</f>
        <v/>
      </c>
      <c r="E277" s="769" t="s">
        <v>1206</v>
      </c>
      <c r="F277" s="1006" t="str">
        <f t="shared" si="68"/>
        <v/>
      </c>
      <c r="G277" s="594" t="s">
        <v>1156</v>
      </c>
      <c r="I277" s="833" t="s">
        <v>1080</v>
      </c>
      <c r="J277" s="833" t="s">
        <v>123</v>
      </c>
      <c r="K277" s="744">
        <v>406500</v>
      </c>
      <c r="L277" s="834"/>
      <c r="M277" s="835">
        <v>-420</v>
      </c>
      <c r="N277" s="974">
        <f t="shared" si="62"/>
        <v>170730000</v>
      </c>
      <c r="O277" s="817">
        <v>-256095</v>
      </c>
      <c r="P277" s="817">
        <v>-426825</v>
      </c>
      <c r="R277" s="978">
        <f t="shared" si="63"/>
        <v>170047080</v>
      </c>
      <c r="S277" s="878">
        <v>1391.8014697250721</v>
      </c>
      <c r="T277" s="995">
        <f t="shared" si="69"/>
        <v>122177.68388589937</v>
      </c>
      <c r="U277" s="839">
        <v>44061</v>
      </c>
      <c r="V277" s="594" t="s">
        <v>1184</v>
      </c>
      <c r="W277" s="914">
        <v>44055.738361689815</v>
      </c>
      <c r="X277" s="971">
        <f t="shared" si="64"/>
        <v>-0.15</v>
      </c>
      <c r="Y277" s="972" t="e">
        <f>VLOOKUP(V277,'bic broker'!$A$1:$B$14,2,FALSE)</f>
        <v>#N/A</v>
      </c>
      <c r="Z277" s="972" t="str">
        <f>VLOOKUP(AA277,'place of settlement'!A:C,2,FALSE)</f>
        <v>KSDCKRSEXXX</v>
      </c>
      <c r="AA277" s="972" t="str">
        <f t="shared" si="65"/>
        <v>KR</v>
      </c>
      <c r="AB277" s="972" t="str">
        <f t="shared" si="66"/>
        <v>SamsungKR</v>
      </c>
      <c r="AC277" s="972" t="e">
        <f>VLOOKUP(AB277,sample!$1:$1048576,2,FALSE)</f>
        <v>#N/A</v>
      </c>
      <c r="AD277" s="972" t="e">
        <f>VLOOKUP($AB277,sample!$1:$1048576,3,FALSE)</f>
        <v>#N/A</v>
      </c>
      <c r="AE277" s="973" t="e">
        <f>VLOOKUP($AB277,sample!$1:$1048576,4,FALSE)</f>
        <v>#N/A</v>
      </c>
      <c r="AF277" s="972" t="e">
        <f>VLOOKUP($AB277,sample!$1:$1048576,5,FALSE)</f>
        <v>#N/A</v>
      </c>
      <c r="AL277" s="973" t="e">
        <f>VLOOKUP($AB277,sample!$1:$1048576,11,FALSE)</f>
        <v>#N/A</v>
      </c>
      <c r="AM277" s="973" t="e">
        <f>VLOOKUP($AB277,sample!$1:$1048576,12,FALSE)</f>
        <v>#N/A</v>
      </c>
      <c r="AN277" s="973" t="e">
        <f>VLOOKUP($AB277,sample!$1:$1048576,13,FALSE)</f>
        <v>#N/A</v>
      </c>
      <c r="AP277" s="988"/>
    </row>
    <row r="278" spans="1:42" ht="14">
      <c r="A278" s="929">
        <v>2019200294</v>
      </c>
      <c r="B278" s="887">
        <v>44055</v>
      </c>
      <c r="C278" s="881" t="s">
        <v>133</v>
      </c>
      <c r="D278" s="1130" t="str">
        <f>IFERROR(VLOOKUP(G278,PosAggregate!$B$13:$B$89,1,FALSE),"")</f>
        <v/>
      </c>
      <c r="E278" s="769" t="s">
        <v>1191</v>
      </c>
      <c r="F278" s="1006" t="str">
        <f t="shared" si="68"/>
        <v/>
      </c>
      <c r="G278" s="594" t="s">
        <v>1625</v>
      </c>
      <c r="I278" s="833" t="s">
        <v>1091</v>
      </c>
      <c r="J278" s="833" t="s">
        <v>125</v>
      </c>
      <c r="K278" s="744">
        <v>2307.0651800000001</v>
      </c>
      <c r="L278" s="834"/>
      <c r="M278" s="835">
        <v>4200</v>
      </c>
      <c r="N278" s="974">
        <f t="shared" si="62"/>
        <v>-9689673.756000001</v>
      </c>
      <c r="O278" s="817">
        <v>-5814</v>
      </c>
      <c r="P278" s="817"/>
      <c r="R278" s="978">
        <f t="shared" si="63"/>
        <v>-9695487.756000001</v>
      </c>
      <c r="S278" s="878">
        <v>125.93814432989664</v>
      </c>
      <c r="T278" s="995">
        <f t="shared" si="69"/>
        <v>-76986.109391945152</v>
      </c>
      <c r="U278" s="839">
        <v>44060</v>
      </c>
      <c r="V278" s="594" t="s">
        <v>1656</v>
      </c>
      <c r="W278" s="914">
        <v>44056.410989236108</v>
      </c>
      <c r="X278" s="971">
        <f t="shared" si="64"/>
        <v>6.0002020154702101E-2</v>
      </c>
      <c r="Y278" s="972" t="str">
        <f>VLOOKUP(V278,'bic broker'!$A$1:$B$14,2,FALSE)</f>
        <v>TAVSGB21XXX</v>
      </c>
      <c r="Z278" s="972" t="str">
        <f>VLOOKUP(AA278,'place of settlement'!A:C,2,FALSE)</f>
        <v>JJSDJPJTXXX</v>
      </c>
      <c r="AA278" s="972" t="str">
        <f t="shared" si="65"/>
        <v>JP</v>
      </c>
      <c r="AB278" s="972" t="str">
        <f t="shared" si="66"/>
        <v>Tavira SecuritiesJP</v>
      </c>
      <c r="AC278" s="972" t="str">
        <f>VLOOKUP(AB278,sample!$1:$1048576,2,FALSE)</f>
        <v>GSILGB2XXXX</v>
      </c>
      <c r="AD278" s="972" t="str">
        <f>VLOOKUP($AB278,sample!$1:$1048576,3,FALSE)</f>
        <v>JJSDJPJTXXX</v>
      </c>
      <c r="AE278" s="973">
        <f>VLOOKUP($AB278,sample!$1:$1048576,4,FALSE)</f>
        <v>6530490016</v>
      </c>
      <c r="AF278" s="972" t="str">
        <f>VLOOKUP($AB278,sample!$1:$1048576,5,FALSE)</f>
        <v>N</v>
      </c>
      <c r="AL278" s="973" t="str">
        <f>VLOOKUP($AB278,sample!$1:$1048576,11,FALSE)</f>
        <v xml:space="preserve">                  </v>
      </c>
      <c r="AM278" s="973" t="str">
        <f>VLOOKUP($AB278,sample!$1:$1048576,12,FALSE)</f>
        <v xml:space="preserve">                          </v>
      </c>
      <c r="AN278" s="973" t="str">
        <f>VLOOKUP($AB278,sample!$1:$1048576,13,FALSE)</f>
        <v>GOLDJPJXXXX</v>
      </c>
      <c r="AP278" s="988"/>
    </row>
    <row r="279" spans="1:42" ht="14">
      <c r="A279" s="929">
        <v>2019200295</v>
      </c>
      <c r="B279" s="887">
        <v>44055</v>
      </c>
      <c r="C279" s="881" t="s">
        <v>133</v>
      </c>
      <c r="D279" s="1130" t="str">
        <f>IFERROR(VLOOKUP(G279,PosAggregate!$B$13:$B$89,1,FALSE),"")</f>
        <v/>
      </c>
      <c r="E279" s="769" t="s">
        <v>1187</v>
      </c>
      <c r="F279" s="1006" t="str">
        <f t="shared" si="68"/>
        <v/>
      </c>
      <c r="G279" s="594" t="s">
        <v>2028</v>
      </c>
      <c r="I279" s="833" t="s">
        <v>1090</v>
      </c>
      <c r="J279" s="833" t="s">
        <v>125</v>
      </c>
      <c r="K279" s="744">
        <v>3375</v>
      </c>
      <c r="L279" s="834"/>
      <c r="M279" s="835">
        <v>2200</v>
      </c>
      <c r="N279" s="974">
        <f t="shared" si="62"/>
        <v>-7425000</v>
      </c>
      <c r="O279" s="817">
        <v>-4455</v>
      </c>
      <c r="P279" s="817"/>
      <c r="R279" s="978">
        <f t="shared" si="63"/>
        <v>-7429455</v>
      </c>
      <c r="S279" s="878">
        <v>125.9381443298971</v>
      </c>
      <c r="T279" s="995">
        <f t="shared" si="69"/>
        <v>-58992.889243614838</v>
      </c>
      <c r="U279" s="839">
        <v>44060</v>
      </c>
      <c r="V279" s="594" t="s">
        <v>1656</v>
      </c>
      <c r="W279" s="914">
        <v>44056.411356712961</v>
      </c>
      <c r="X279" s="971">
        <f t="shared" si="64"/>
        <v>0.06</v>
      </c>
      <c r="Y279" s="972" t="str">
        <f>VLOOKUP(V279,'bic broker'!$A$1:$B$14,2,FALSE)</f>
        <v>TAVSGB21XXX</v>
      </c>
      <c r="Z279" s="972" t="str">
        <f>VLOOKUP(AA279,'place of settlement'!A:C,2,FALSE)</f>
        <v>JJSDJPJTXXX</v>
      </c>
      <c r="AA279" s="972" t="str">
        <f t="shared" si="65"/>
        <v>JP</v>
      </c>
      <c r="AB279" s="972" t="str">
        <f t="shared" si="66"/>
        <v>Tavira SecuritiesJP</v>
      </c>
      <c r="AC279" s="972" t="str">
        <f>VLOOKUP(AB279,sample!$1:$1048576,2,FALSE)</f>
        <v>GSILGB2XXXX</v>
      </c>
      <c r="AD279" s="972" t="str">
        <f>VLOOKUP($AB279,sample!$1:$1048576,3,FALSE)</f>
        <v>JJSDJPJTXXX</v>
      </c>
      <c r="AE279" s="973">
        <f>VLOOKUP($AB279,sample!$1:$1048576,4,FALSE)</f>
        <v>6530490016</v>
      </c>
      <c r="AF279" s="972" t="str">
        <f>VLOOKUP($AB279,sample!$1:$1048576,5,FALSE)</f>
        <v>N</v>
      </c>
      <c r="AL279" s="973" t="str">
        <f>VLOOKUP($AB279,sample!$1:$1048576,11,FALSE)</f>
        <v xml:space="preserve">                  </v>
      </c>
      <c r="AM279" s="973" t="str">
        <f>VLOOKUP($AB279,sample!$1:$1048576,12,FALSE)</f>
        <v xml:space="preserve">                          </v>
      </c>
      <c r="AN279" s="973" t="str">
        <f>VLOOKUP($AB279,sample!$1:$1048576,13,FALSE)</f>
        <v>GOLDJPJXXXX</v>
      </c>
      <c r="AP279" s="988"/>
    </row>
    <row r="280" spans="1:42" ht="14">
      <c r="A280" s="929">
        <v>2019200296</v>
      </c>
      <c r="B280" s="887">
        <v>44055</v>
      </c>
      <c r="C280" s="881" t="s">
        <v>134</v>
      </c>
      <c r="D280" s="1130" t="str">
        <f>IFERROR(VLOOKUP(G280,PosAggregate!$B$13:$B$89,1,FALSE),"")</f>
        <v/>
      </c>
      <c r="E280" s="769" t="s">
        <v>1208</v>
      </c>
      <c r="F280" s="1006" t="str">
        <f t="shared" si="68"/>
        <v/>
      </c>
      <c r="G280" s="594" t="s">
        <v>1158</v>
      </c>
      <c r="I280" s="833" t="s">
        <v>1082</v>
      </c>
      <c r="J280" s="833" t="s">
        <v>123</v>
      </c>
      <c r="K280" s="744">
        <v>301597.76119400002</v>
      </c>
      <c r="L280" s="834"/>
      <c r="M280" s="835">
        <v>-670</v>
      </c>
      <c r="N280" s="974">
        <f t="shared" si="62"/>
        <v>202070499.99998</v>
      </c>
      <c r="O280" s="817">
        <v>-303106</v>
      </c>
      <c r="P280" s="817">
        <v>-504973</v>
      </c>
      <c r="R280" s="978">
        <f t="shared" si="63"/>
        <v>201262420.99998</v>
      </c>
      <c r="S280" s="878">
        <v>1394.085419734907</v>
      </c>
      <c r="T280" s="995">
        <f t="shared" si="69"/>
        <v>144368.78698455304</v>
      </c>
      <c r="U280" s="839">
        <v>44061</v>
      </c>
      <c r="V280" s="594" t="s">
        <v>1184</v>
      </c>
      <c r="W280" s="914">
        <v>44056.414398611108</v>
      </c>
      <c r="X280" s="971">
        <f t="shared" si="64"/>
        <v>-0.15000012371921184</v>
      </c>
      <c r="Y280" s="972" t="e">
        <f>VLOOKUP(V280,'bic broker'!$A$1:$B$14,2,FALSE)</f>
        <v>#N/A</v>
      </c>
      <c r="Z280" s="972" t="str">
        <f>VLOOKUP(AA280,'place of settlement'!A:C,2,FALSE)</f>
        <v>KSDCKRSEXXX</v>
      </c>
      <c r="AA280" s="972" t="str">
        <f t="shared" si="65"/>
        <v>KR</v>
      </c>
      <c r="AB280" s="972" t="str">
        <f t="shared" si="66"/>
        <v>SamsungKR</v>
      </c>
      <c r="AC280" s="972" t="e">
        <f>VLOOKUP(Z280,'bic broker'!$A$1:$B$14,2,FALSE)</f>
        <v>#N/A</v>
      </c>
      <c r="AD280" s="972" t="e">
        <f>VLOOKUP($AB280,sample!$1:$1048576,3,FALSE)</f>
        <v>#N/A</v>
      </c>
      <c r="AE280" s="973" t="e">
        <f>VLOOKUP($AB280,sample!$1:$1048576,4,FALSE)</f>
        <v>#N/A</v>
      </c>
      <c r="AF280" s="972" t="e">
        <f>VLOOKUP($AB280,sample!$1:$1048576,5,FALSE)</f>
        <v>#N/A</v>
      </c>
      <c r="AL280" s="973" t="e">
        <f>VLOOKUP($AB280,sample!$1:$1048576,11,FALSE)</f>
        <v>#N/A</v>
      </c>
      <c r="AM280" s="973" t="e">
        <f>VLOOKUP($AB280,sample!$1:$1048576,12,FALSE)</f>
        <v>#N/A</v>
      </c>
      <c r="AN280" s="973" t="e">
        <f>VLOOKUP($AB280,sample!$1:$1048576,13,FALSE)</f>
        <v>#N/A</v>
      </c>
      <c r="AP280" s="988"/>
    </row>
    <row r="281" spans="1:42" ht="14">
      <c r="A281" s="929">
        <v>2019200297</v>
      </c>
      <c r="B281" s="887">
        <v>44055</v>
      </c>
      <c r="C281" s="881" t="s">
        <v>134</v>
      </c>
      <c r="D281" s="1130" t="str">
        <f>IFERROR(VLOOKUP(G281,PosAggregate!$B$13:$B$89,1,FALSE),"")</f>
        <v/>
      </c>
      <c r="E281" s="769" t="s">
        <v>1607</v>
      </c>
      <c r="F281" s="1006" t="str">
        <f t="shared" si="68"/>
        <v/>
      </c>
      <c r="G281" s="594" t="s">
        <v>1575</v>
      </c>
      <c r="I281" s="833" t="s">
        <v>1579</v>
      </c>
      <c r="J281" s="833" t="s">
        <v>123</v>
      </c>
      <c r="K281" s="744">
        <v>12328.886399999999</v>
      </c>
      <c r="L281" s="834"/>
      <c r="M281" s="835">
        <v>-11000</v>
      </c>
      <c r="N281" s="974">
        <f t="shared" si="62"/>
        <v>135617750.40000001</v>
      </c>
      <c r="O281" s="817">
        <v>-203427</v>
      </c>
      <c r="P281" s="817">
        <v>-338980</v>
      </c>
      <c r="R281" s="978">
        <f t="shared" si="63"/>
        <v>135075343.40000001</v>
      </c>
      <c r="S281" s="878">
        <v>1394.0854197349045</v>
      </c>
      <c r="T281" s="995">
        <f t="shared" si="69"/>
        <v>96891.726638734646</v>
      </c>
      <c r="U281" s="839">
        <v>44061</v>
      </c>
      <c r="V281" s="594" t="s">
        <v>1184</v>
      </c>
      <c r="W281" s="914">
        <v>44056.414727430558</v>
      </c>
      <c r="X281" s="971">
        <f t="shared" si="64"/>
        <v>-0.15000027607005639</v>
      </c>
      <c r="Y281" s="972" t="e">
        <f>VLOOKUP(V281,'bic broker'!$A$1:$B$14,2,FALSE)</f>
        <v>#N/A</v>
      </c>
      <c r="Z281" s="972" t="str">
        <f>VLOOKUP(AA281,'place of settlement'!A:C,2,FALSE)</f>
        <v>KSDCKRSEXXX</v>
      </c>
      <c r="AA281" s="972" t="str">
        <f t="shared" si="65"/>
        <v>KR</v>
      </c>
      <c r="AB281" s="972" t="str">
        <f t="shared" si="66"/>
        <v>SamsungKR</v>
      </c>
      <c r="AC281" s="972" t="e">
        <f>VLOOKUP(AB281,sample!$1:$1048576,2,FALSE)</f>
        <v>#N/A</v>
      </c>
      <c r="AD281" s="972" t="e">
        <f>VLOOKUP($AB281,sample!$1:$1048576,3,FALSE)</f>
        <v>#N/A</v>
      </c>
      <c r="AE281" s="973" t="e">
        <f>VLOOKUP($AB281,sample!$1:$1048576,4,FALSE)</f>
        <v>#N/A</v>
      </c>
      <c r="AF281" s="972" t="e">
        <f>VLOOKUP($AB281,sample!$1:$1048576,5,FALSE)</f>
        <v>#N/A</v>
      </c>
      <c r="AL281" s="973" t="e">
        <f>VLOOKUP($AB281,sample!$1:$1048576,11,FALSE)</f>
        <v>#N/A</v>
      </c>
      <c r="AM281" s="973" t="e">
        <f>VLOOKUP($AB281,sample!$1:$1048576,12,FALSE)</f>
        <v>#N/A</v>
      </c>
      <c r="AN281" s="973" t="e">
        <f>VLOOKUP($AB281,sample!$1:$1048576,13,FALSE)</f>
        <v>#N/A</v>
      </c>
      <c r="AP281" s="988"/>
    </row>
    <row r="282" spans="1:42" ht="14">
      <c r="A282" s="929">
        <v>2019200298</v>
      </c>
      <c r="B282" s="887">
        <v>44055</v>
      </c>
      <c r="C282" s="881" t="s">
        <v>134</v>
      </c>
      <c r="D282" s="1130" t="str">
        <f>IFERROR(VLOOKUP(G282,PosAggregate!$B$13:$B$89,1,FALSE),"")</f>
        <v/>
      </c>
      <c r="E282" s="769" t="s">
        <v>1641</v>
      </c>
      <c r="F282" s="1006" t="str">
        <f t="shared" si="68"/>
        <v/>
      </c>
      <c r="G282" s="594" t="s">
        <v>1633</v>
      </c>
      <c r="I282" s="833" t="s">
        <v>1638</v>
      </c>
      <c r="J282" s="833" t="s">
        <v>3</v>
      </c>
      <c r="K282" s="744">
        <v>14.09831</v>
      </c>
      <c r="L282" s="834"/>
      <c r="M282" s="835">
        <v>-7400</v>
      </c>
      <c r="N282" s="974">
        <f t="shared" si="62"/>
        <v>104327.49399999999</v>
      </c>
      <c r="O282" s="817">
        <v>-52.16</v>
      </c>
      <c r="P282" s="817">
        <v>-2.31</v>
      </c>
      <c r="R282" s="978">
        <f t="shared" si="63"/>
        <v>104273.02399999999</v>
      </c>
      <c r="S282" s="878">
        <v>1.1782032400589102</v>
      </c>
      <c r="T282" s="995">
        <f t="shared" si="69"/>
        <v>88501.729119999989</v>
      </c>
      <c r="U282" s="839">
        <v>44057</v>
      </c>
      <c r="V282" s="594" t="s">
        <v>1656</v>
      </c>
      <c r="W282" s="914">
        <v>44056.416248379632</v>
      </c>
      <c r="X282" s="971">
        <f t="shared" si="64"/>
        <v>-4.9996408425184637E-2</v>
      </c>
      <c r="Y282" s="972" t="str">
        <f>VLOOKUP(V282,'bic broker'!$A$1:$B$14,2,FALSE)</f>
        <v>TAVSGB21XXX</v>
      </c>
      <c r="Z282" s="972" t="str">
        <f>VLOOKUP(AA282,'place of settlement'!A:C,2,FALSE)</f>
        <v>DTCYUS33XXX</v>
      </c>
      <c r="AA282" s="972" t="str">
        <f t="shared" si="65"/>
        <v>US</v>
      </c>
      <c r="AB282" s="972" t="str">
        <f t="shared" si="66"/>
        <v>Tavira SecuritiesUS</v>
      </c>
      <c r="AC282" s="972" t="str">
        <f>VLOOKUP(AB282,sample!$1:$1048576,2,FALSE)</f>
        <v>GSILGB2XXXX</v>
      </c>
      <c r="AD282" s="972" t="str">
        <f>VLOOKUP($AB282,sample!$1:$1048576,3,FALSE)</f>
        <v>DTCYUS33</v>
      </c>
      <c r="AE282" s="973" t="str">
        <f>VLOOKUP($AB282,sample!$1:$1048576,4,FALSE)</f>
        <v xml:space="preserve">        </v>
      </c>
      <c r="AF282" s="972" t="str">
        <f>VLOOKUP($AB282,sample!$1:$1048576,5,FALSE)</f>
        <v>N</v>
      </c>
      <c r="AL282" s="973" t="str">
        <f>VLOOKUP($AB282,sample!$1:$1048576,11,FALSE)</f>
        <v>DTCYID</v>
      </c>
      <c r="AM282" s="973">
        <f>VLOOKUP($AB282,sample!$1:$1048576,12,FALSE)</f>
        <v>5208</v>
      </c>
      <c r="AN282" s="973" t="str">
        <f>VLOOKUP($AB282,sample!$1:$1048576,13,FALSE)</f>
        <v xml:space="preserve">        </v>
      </c>
      <c r="AP282" s="988"/>
    </row>
    <row r="283" spans="1:42" ht="14">
      <c r="A283" s="929">
        <v>2019200299</v>
      </c>
      <c r="B283" s="887">
        <v>44055</v>
      </c>
      <c r="C283" s="881" t="s">
        <v>133</v>
      </c>
      <c r="D283" s="1130" t="str">
        <f>IFERROR(VLOOKUP(G283,PosAggregate!$B$13:$B$89,1,FALSE),"")</f>
        <v/>
      </c>
      <c r="E283" s="769" t="s">
        <v>1654</v>
      </c>
      <c r="F283" s="1006" t="str">
        <f t="shared" si="68"/>
        <v/>
      </c>
      <c r="G283" s="594" t="s">
        <v>1647</v>
      </c>
      <c r="I283" s="833" t="s">
        <v>1655</v>
      </c>
      <c r="J283" s="833" t="s">
        <v>1069</v>
      </c>
      <c r="K283" s="744">
        <v>2.46611</v>
      </c>
      <c r="L283" s="834"/>
      <c r="M283" s="835">
        <v>42000</v>
      </c>
      <c r="N283" s="974">
        <f t="shared" si="62"/>
        <v>-103576.62</v>
      </c>
      <c r="O283" s="817">
        <v>-62.15</v>
      </c>
      <c r="P283" s="817"/>
      <c r="R283" s="978">
        <f t="shared" si="63"/>
        <v>-103638.76999999999</v>
      </c>
      <c r="S283" s="878">
        <v>1.6450780559646523</v>
      </c>
      <c r="T283" s="995">
        <f t="shared" si="69"/>
        <v>-62999.302449042494</v>
      </c>
      <c r="U283" s="839">
        <v>44060</v>
      </c>
      <c r="V283" s="594" t="s">
        <v>1656</v>
      </c>
      <c r="W283" s="914">
        <v>44056.416647106482</v>
      </c>
      <c r="X283" s="971">
        <f t="shared" si="64"/>
        <v>6.0003888908520084E-2</v>
      </c>
      <c r="Y283" s="972" t="str">
        <f>VLOOKUP(V283,'bic broker'!$A$1:$B$14,2,FALSE)</f>
        <v>TAVSGB21XXX</v>
      </c>
      <c r="Z283" s="972" t="str">
        <f>VLOOKUP(AA283,'place of settlement'!A:C,2,FALSE)</f>
        <v>CAETAU21XXX</v>
      </c>
      <c r="AA283" s="972" t="str">
        <f t="shared" si="65"/>
        <v>AU</v>
      </c>
      <c r="AB283" s="972" t="str">
        <f t="shared" si="66"/>
        <v>Tavira SecuritiesAU</v>
      </c>
      <c r="AC283" s="972" t="str">
        <f>VLOOKUP(AB283,sample!$1:$1048576,2,FALSE)</f>
        <v>GSILGB2XXXX</v>
      </c>
      <c r="AD283" s="972" t="str">
        <f>VLOOKUP($AB283,sample!$1:$1048576,3,FALSE)</f>
        <v>CAETAU21</v>
      </c>
      <c r="AE283" s="973" t="str">
        <f>VLOOKUP($AB283,sample!$1:$1048576,4,FALSE)</f>
        <v>011-109048-061</v>
      </c>
      <c r="AF283" s="972" t="str">
        <f>VLOOKUP($AB283,sample!$1:$1048576,5,FALSE)</f>
        <v>N</v>
      </c>
      <c r="AL283" s="973" t="str">
        <f>VLOOKUP($AB283,sample!$1:$1048576,11,FALSE)</f>
        <v xml:space="preserve">        </v>
      </c>
      <c r="AM283" s="973" t="str">
        <f>VLOOKUP($AB283,sample!$1:$1048576,12,FALSE)</f>
        <v xml:space="preserve">        </v>
      </c>
      <c r="AN283" s="973" t="str">
        <f>VLOOKUP($AB283,sample!$1:$1048576,13,FALSE)</f>
        <v>HKBAAU2SSYD</v>
      </c>
      <c r="AP283" s="988"/>
    </row>
    <row r="284" spans="1:42" ht="14">
      <c r="A284" s="929">
        <v>2019200300</v>
      </c>
      <c r="B284" s="887">
        <v>44055</v>
      </c>
      <c r="C284" s="881" t="s">
        <v>133</v>
      </c>
      <c r="D284" s="1130" t="str">
        <f>IFERROR(VLOOKUP(G284,PosAggregate!$B$13:$B$89,1,FALSE),"")</f>
        <v/>
      </c>
      <c r="E284" s="769" t="s">
        <v>12691</v>
      </c>
      <c r="F284" s="1006" t="str">
        <f t="shared" si="68"/>
        <v/>
      </c>
      <c r="G284" s="881" t="s">
        <v>2066</v>
      </c>
      <c r="I284" s="833" t="s">
        <v>12700</v>
      </c>
      <c r="J284" s="833" t="s">
        <v>125</v>
      </c>
      <c r="K284" s="744">
        <v>1832.15824</v>
      </c>
      <c r="L284" s="834"/>
      <c r="M284" s="835">
        <v>17000</v>
      </c>
      <c r="N284" s="974">
        <f t="shared" si="62"/>
        <v>-31146690.079999998</v>
      </c>
      <c r="O284" s="817">
        <v>-18688</v>
      </c>
      <c r="P284" s="817"/>
      <c r="R284" s="978">
        <f t="shared" si="63"/>
        <v>-31165378.079999998</v>
      </c>
      <c r="S284" s="878">
        <v>125.9381443298971</v>
      </c>
      <c r="T284" s="995">
        <f t="shared" si="69"/>
        <v>-247465.75587426286</v>
      </c>
      <c r="U284" s="839">
        <v>44060</v>
      </c>
      <c r="V284" s="594" t="s">
        <v>1656</v>
      </c>
      <c r="X284" s="971">
        <f t="shared" si="64"/>
        <v>5.9999954897294178E-2</v>
      </c>
      <c r="Y284" s="972" t="str">
        <f>VLOOKUP(V284,'bic broker'!$A$1:$B$14,2,FALSE)</f>
        <v>TAVSGB21XXX</v>
      </c>
      <c r="Z284" s="972" t="str">
        <f>VLOOKUP(AA284,'place of settlement'!A:C,2,FALSE)</f>
        <v>JJSDJPJTXXX</v>
      </c>
      <c r="AA284" s="972" t="str">
        <f t="shared" si="65"/>
        <v>JP</v>
      </c>
      <c r="AB284" s="972" t="str">
        <f t="shared" si="66"/>
        <v>Tavira SecuritiesJP</v>
      </c>
      <c r="AC284" s="972" t="str">
        <f>VLOOKUP(AB284,sample!$1:$1048576,2,FALSE)</f>
        <v>GSILGB2XXXX</v>
      </c>
      <c r="AD284" s="972" t="str">
        <f>VLOOKUP($AB284,sample!$1:$1048576,3,FALSE)</f>
        <v>JJSDJPJTXXX</v>
      </c>
      <c r="AE284" s="973">
        <f>VLOOKUP($AB284,sample!$1:$1048576,4,FALSE)</f>
        <v>6530490016</v>
      </c>
      <c r="AF284" s="972" t="str">
        <f>VLOOKUP($AB284,sample!$1:$1048576,5,FALSE)</f>
        <v>N</v>
      </c>
      <c r="AL284" s="973" t="str">
        <f>VLOOKUP($AB284,sample!$1:$1048576,11,FALSE)</f>
        <v xml:space="preserve">                  </v>
      </c>
      <c r="AM284" s="973" t="str">
        <f>VLOOKUP($AB284,sample!$1:$1048576,12,FALSE)</f>
        <v xml:space="preserve">                          </v>
      </c>
      <c r="AN284" s="973" t="str">
        <f>VLOOKUP($AB284,sample!$1:$1048576,13,FALSE)</f>
        <v>GOLDJPJXXXX</v>
      </c>
      <c r="AP284" s="988"/>
    </row>
    <row r="285" spans="1:42" ht="14">
      <c r="A285" s="929">
        <v>2019200301</v>
      </c>
      <c r="B285" s="887">
        <v>44060</v>
      </c>
      <c r="C285" s="881" t="s">
        <v>133</v>
      </c>
      <c r="D285" s="1130" t="str">
        <f>IFERROR(VLOOKUP(G285,PosAggregate!$B$13:$B$89,1,FALSE),"")</f>
        <v/>
      </c>
      <c r="E285" s="769" t="s">
        <v>1222</v>
      </c>
      <c r="F285" s="1006" t="str">
        <f t="shared" si="68"/>
        <v/>
      </c>
      <c r="G285" s="594" t="s">
        <v>1173</v>
      </c>
      <c r="I285" s="833" t="s">
        <v>130</v>
      </c>
      <c r="J285" s="833" t="s">
        <v>2</v>
      </c>
      <c r="K285" s="744">
        <v>24.21339</v>
      </c>
      <c r="L285" s="834"/>
      <c r="M285" s="930">
        <v>2200</v>
      </c>
      <c r="N285" s="974">
        <f t="shared" si="62"/>
        <v>-53269.457999999999</v>
      </c>
      <c r="O285" s="817">
        <v>-31.96</v>
      </c>
      <c r="P285" s="817">
        <v>-159.81</v>
      </c>
      <c r="R285" s="978">
        <f t="shared" si="63"/>
        <v>-53461.227999999996</v>
      </c>
      <c r="S285" s="878">
        <v>1</v>
      </c>
      <c r="T285" s="995">
        <f t="shared" si="69"/>
        <v>-53461.227999999996</v>
      </c>
      <c r="U285" s="839">
        <v>44062</v>
      </c>
      <c r="V285" s="594" t="s">
        <v>1656</v>
      </c>
      <c r="W285" s="914">
        <v>44060.625721296296</v>
      </c>
      <c r="X285" s="971">
        <f t="shared" si="64"/>
        <v>5.999685598453057E-2</v>
      </c>
      <c r="Y285" s="972" t="str">
        <f>VLOOKUP(V285,'bic broker'!$A$1:$B$14,2,FALSE)</f>
        <v>TAVSGB21XXX</v>
      </c>
      <c r="Z285" s="972" t="str">
        <f>VLOOKUP(AA285,'place of settlement'!A:C,2,FALSE)</f>
        <v>SICVFRPPXXX</v>
      </c>
      <c r="AA285" s="972" t="str">
        <f t="shared" si="65"/>
        <v>FR</v>
      </c>
      <c r="AB285" s="972" t="str">
        <f t="shared" si="66"/>
        <v>Tavira SecuritiesFR</v>
      </c>
      <c r="AC285" s="972" t="str">
        <f>VLOOKUP(AB285,sample!$1:$1048576,2,FALSE)</f>
        <v>GSILGB2XXXX</v>
      </c>
      <c r="AD285" s="972" t="str">
        <f>VLOOKUP($AB285,sample!$1:$1048576,3,FALSE)</f>
        <v>SICVFRPPXXX</v>
      </c>
      <c r="AE285" s="973" t="str">
        <f>VLOOKUP($AB285,sample!$1:$1048576,4,FALSE)</f>
        <v>SICVPARBFRPPXXX000L10</v>
      </c>
      <c r="AF285" s="972" t="str">
        <f>VLOOKUP($AB285,sample!$1:$1048576,5,FALSE)</f>
        <v>N</v>
      </c>
      <c r="AL285" s="973" t="str">
        <f>VLOOKUP($AB285,sample!$1:$1048576,11,FALSE)</f>
        <v xml:space="preserve">        </v>
      </c>
      <c r="AM285" s="973" t="str">
        <f>VLOOKUP($AB285,sample!$1:$1048576,12,FALSE)</f>
        <v xml:space="preserve">        </v>
      </c>
      <c r="AN285" s="973" t="str">
        <f>VLOOKUP($AB285,sample!$1:$1048576,13,FALSE)</f>
        <v>PARBFRPPXXX</v>
      </c>
      <c r="AP285" s="988"/>
    </row>
    <row r="286" spans="1:42" ht="14">
      <c r="A286" s="929">
        <v>2019200302</v>
      </c>
      <c r="B286" s="887">
        <v>44060</v>
      </c>
      <c r="C286" s="881" t="s">
        <v>133</v>
      </c>
      <c r="D286" s="1130" t="str">
        <f>IFERROR(VLOOKUP(G286,PosAggregate!$B$13:$B$89,1,FALSE),"")</f>
        <v/>
      </c>
      <c r="E286" s="769" t="s">
        <v>1643</v>
      </c>
      <c r="F286" s="1006" t="str">
        <f t="shared" si="68"/>
        <v/>
      </c>
      <c r="G286" s="594" t="s">
        <v>1637</v>
      </c>
      <c r="I286" s="833" t="s">
        <v>1636</v>
      </c>
      <c r="J286" s="833" t="s">
        <v>2</v>
      </c>
      <c r="K286" s="744">
        <v>151.15607</v>
      </c>
      <c r="L286" s="834"/>
      <c r="M286" s="930">
        <v>420</v>
      </c>
      <c r="N286" s="974">
        <f t="shared" si="62"/>
        <v>-63485.549400000004</v>
      </c>
      <c r="O286" s="817">
        <v>-38.090000000000003</v>
      </c>
      <c r="P286" s="817"/>
      <c r="R286" s="978">
        <f t="shared" si="63"/>
        <v>-63523.6394</v>
      </c>
      <c r="S286" s="878">
        <v>1</v>
      </c>
      <c r="T286" s="995">
        <f t="shared" si="69"/>
        <v>-63523.6394</v>
      </c>
      <c r="U286" s="839">
        <v>44062</v>
      </c>
      <c r="V286" s="594" t="s">
        <v>1656</v>
      </c>
      <c r="W286" s="914">
        <v>44060.627225462966</v>
      </c>
      <c r="X286" s="971">
        <f t="shared" si="64"/>
        <v>5.999790560212117E-2</v>
      </c>
      <c r="Y286" s="972" t="str">
        <f>VLOOKUP(V286,'bic broker'!$A$1:$B$14,2,FALSE)</f>
        <v>TAVSGB21XXX</v>
      </c>
      <c r="Z286" s="972" t="str">
        <f>VLOOKUP(AA286,'place of settlement'!A:C,2,FALSE)</f>
        <v>DAKVDEFFXXX</v>
      </c>
      <c r="AA286" s="972" t="str">
        <f t="shared" si="65"/>
        <v>DE</v>
      </c>
      <c r="AB286" s="972" t="str">
        <f t="shared" si="66"/>
        <v>Tavira SecuritiesDE</v>
      </c>
      <c r="AC286" s="972" t="str">
        <f>VLOOKUP(AB286,sample!$1:$1048576,2,FALSE)</f>
        <v>GSILGB2XXXX</v>
      </c>
      <c r="AD286" s="972" t="str">
        <f>VLOOKUP($AB286,sample!$1:$1048576,3,FALSE)</f>
        <v>DAKVDEFFXXX</v>
      </c>
      <c r="AE286" s="973" t="str">
        <f>VLOOKUP($AB286,sample!$1:$1048576,4,FALSE)</f>
        <v>DAKV7372000</v>
      </c>
      <c r="AF286" s="972" t="str">
        <f>VLOOKUP($AB286,sample!$1:$1048576,5,FALSE)</f>
        <v>N</v>
      </c>
      <c r="AL286" s="973" t="str">
        <f>VLOOKUP($AB286,sample!$1:$1048576,11,FALSE)</f>
        <v xml:space="preserve">        </v>
      </c>
      <c r="AM286" s="973" t="str">
        <f>VLOOKUP($AB286,sample!$1:$1048576,12,FALSE)</f>
        <v xml:space="preserve">        </v>
      </c>
      <c r="AN286" s="973" t="str">
        <f>VLOOKUP($AB286,sample!$1:$1048576,13,FALSE)</f>
        <v>CITIDEFFXXX</v>
      </c>
      <c r="AP286" s="988"/>
    </row>
    <row r="287" spans="1:42" ht="14">
      <c r="A287" s="929">
        <v>2019200303</v>
      </c>
      <c r="B287" s="887">
        <v>44060</v>
      </c>
      <c r="C287" s="881" t="s">
        <v>133</v>
      </c>
      <c r="D287" s="1130" t="str">
        <f>IFERROR(VLOOKUP(G287,PosAggregate!$B$13:$B$89,1,FALSE),"")</f>
        <v/>
      </c>
      <c r="E287" s="769" t="s">
        <v>2032</v>
      </c>
      <c r="F287" s="1006" t="str">
        <f t="shared" si="68"/>
        <v/>
      </c>
      <c r="G287" s="594" t="s">
        <v>1661</v>
      </c>
      <c r="I287" s="833" t="s">
        <v>12607</v>
      </c>
      <c r="J287" s="833" t="s">
        <v>124</v>
      </c>
      <c r="K287" s="744">
        <v>1.7412799999999999</v>
      </c>
      <c r="L287" s="834"/>
      <c r="M287" s="930">
        <v>22000</v>
      </c>
      <c r="N287" s="974">
        <f t="shared" si="62"/>
        <v>-38308.159999999996</v>
      </c>
      <c r="O287" s="817">
        <v>-23.98</v>
      </c>
      <c r="P287" s="817"/>
      <c r="R287" s="978">
        <f t="shared" si="63"/>
        <v>-38332.14</v>
      </c>
      <c r="S287" s="878">
        <v>0.90499928953725195</v>
      </c>
      <c r="T287" s="995">
        <f t="shared" si="69"/>
        <v>-42355.989052323072</v>
      </c>
      <c r="U287" s="839">
        <v>44062</v>
      </c>
      <c r="V287" s="594" t="s">
        <v>1656</v>
      </c>
      <c r="W287" s="914">
        <v>44060.631537499998</v>
      </c>
      <c r="X287" s="971">
        <f t="shared" si="64"/>
        <v>6.2597629330147939E-2</v>
      </c>
      <c r="Y287" s="972" t="str">
        <f>VLOOKUP(V287,'bic broker'!$A$1:$B$14,2,FALSE)</f>
        <v>TAVSGB21XXX</v>
      </c>
      <c r="Z287" s="972" t="str">
        <f>VLOOKUP(AA287,'place of settlement'!A:C,2,FALSE)</f>
        <v>CRSTGB22XXX</v>
      </c>
      <c r="AA287" s="972" t="str">
        <f t="shared" si="65"/>
        <v>JE</v>
      </c>
      <c r="AB287" s="972" t="str">
        <f t="shared" si="66"/>
        <v>Tavira SecuritiesJE</v>
      </c>
      <c r="AC287" s="972" t="str">
        <f>VLOOKUP(AB287,sample!$1:$1048576,2,FALSE)</f>
        <v>GSILGB2XXXX</v>
      </c>
      <c r="AD287" s="972" t="str">
        <f>VLOOKUP($AB287,sample!$1:$1048576,3,FALSE)</f>
        <v>CRSTGB22</v>
      </c>
      <c r="AE287" s="973" t="str">
        <f>VLOOKUP($AB287,sample!$1:$1048576,4,FALSE)</f>
        <v xml:space="preserve">        </v>
      </c>
      <c r="AF287" s="972" t="str">
        <f>VLOOKUP($AB287,sample!$1:$1048576,5,FALSE)</f>
        <v>N</v>
      </c>
      <c r="AL287" s="973" t="str">
        <f>VLOOKUP($AB287,sample!$1:$1048576,11,FALSE)</f>
        <v>CRST</v>
      </c>
      <c r="AM287" s="973">
        <f>VLOOKUP($AB287,sample!$1:$1048576,12,FALSE)</f>
        <v>303</v>
      </c>
      <c r="AN287" s="973" t="str">
        <f>VLOOKUP($AB287,sample!$1:$1048576,13,FALSE)</f>
        <v>GSILGB2XXXX</v>
      </c>
      <c r="AP287" s="988"/>
    </row>
    <row r="288" spans="1:42" ht="14">
      <c r="A288" s="929">
        <v>2019200304</v>
      </c>
      <c r="B288" s="887">
        <v>44060</v>
      </c>
      <c r="C288" s="881" t="s">
        <v>134</v>
      </c>
      <c r="D288" s="1130" t="str">
        <f>IFERROR(VLOOKUP(G288,PosAggregate!$B$13:$B$89,1,FALSE),"")</f>
        <v/>
      </c>
      <c r="E288" s="769" t="s">
        <v>2031</v>
      </c>
      <c r="F288" s="1006" t="str">
        <f t="shared" si="68"/>
        <v/>
      </c>
      <c r="G288" s="594" t="s">
        <v>1660</v>
      </c>
      <c r="I288" s="833" t="s">
        <v>12697</v>
      </c>
      <c r="J288" s="833" t="s">
        <v>124</v>
      </c>
      <c r="K288" s="744">
        <v>11.205399999999999</v>
      </c>
      <c r="L288" s="834"/>
      <c r="M288" s="930">
        <v>-4800</v>
      </c>
      <c r="N288" s="974">
        <f t="shared" si="62"/>
        <v>53785.919999999998</v>
      </c>
      <c r="O288" s="817">
        <v>-33.270000000000003</v>
      </c>
      <c r="P288" s="817"/>
      <c r="R288" s="978">
        <f t="shared" si="63"/>
        <v>53752.65</v>
      </c>
      <c r="S288" s="878">
        <v>0.90499928953725195</v>
      </c>
      <c r="T288" s="995">
        <f t="shared" si="69"/>
        <v>59395.239997906552</v>
      </c>
      <c r="U288" s="839">
        <v>44062</v>
      </c>
      <c r="V288" s="594" t="s">
        <v>1656</v>
      </c>
      <c r="W288" s="914">
        <v>44060.632573842595</v>
      </c>
      <c r="X288" s="971">
        <f t="shared" si="64"/>
        <v>-6.1856337123172768E-2</v>
      </c>
      <c r="Y288" s="972" t="str">
        <f>VLOOKUP(V288,'bic broker'!$A$1:$B$14,2,FALSE)</f>
        <v>TAVSGB21XXX</v>
      </c>
      <c r="Z288" s="972" t="str">
        <f>VLOOKUP(AA288,'place of settlement'!A:C,2,FALSE)</f>
        <v>CRSTGB22XXX</v>
      </c>
      <c r="AA288" s="972" t="str">
        <f t="shared" si="65"/>
        <v>GB</v>
      </c>
      <c r="AB288" s="972" t="str">
        <f t="shared" si="66"/>
        <v>Tavira SecuritiesGB</v>
      </c>
      <c r="AC288" s="972" t="str">
        <f>VLOOKUP(AB288,sample!$1:$1048576,2,FALSE)</f>
        <v>GSILGB2XXXX</v>
      </c>
      <c r="AD288" s="972" t="str">
        <f>VLOOKUP($AB288,sample!$1:$1048576,3,FALSE)</f>
        <v>CRSTGB22</v>
      </c>
      <c r="AE288" s="973" t="str">
        <f>VLOOKUP($AB288,sample!$1:$1048576,4,FALSE)</f>
        <v xml:space="preserve">        </v>
      </c>
      <c r="AF288" s="972" t="str">
        <f>VLOOKUP($AB288,sample!$1:$1048576,5,FALSE)</f>
        <v>N</v>
      </c>
      <c r="AL288" s="973" t="str">
        <f>VLOOKUP($AB288,sample!$1:$1048576,11,FALSE)</f>
        <v>CRST</v>
      </c>
      <c r="AM288" s="973">
        <f>VLOOKUP($AB288,sample!$1:$1048576,12,FALSE)</f>
        <v>303</v>
      </c>
      <c r="AN288" s="973" t="str">
        <f>VLOOKUP($AB288,sample!$1:$1048576,13,FALSE)</f>
        <v>GSILGB2XXXX</v>
      </c>
      <c r="AP288" s="988"/>
    </row>
    <row r="289" spans="1:42" ht="14">
      <c r="A289" s="929">
        <v>2019200305</v>
      </c>
      <c r="B289" s="887">
        <v>44060</v>
      </c>
      <c r="C289" s="881" t="s">
        <v>133</v>
      </c>
      <c r="D289" s="1130" t="str">
        <f>IFERROR(VLOOKUP(G289,PosAggregate!$B$13:$B$89,1,FALSE),"")</f>
        <v/>
      </c>
      <c r="E289" s="769" t="s">
        <v>1630</v>
      </c>
      <c r="F289" s="1006" t="str">
        <f t="shared" si="68"/>
        <v/>
      </c>
      <c r="G289" s="594" t="s">
        <v>1623</v>
      </c>
      <c r="I289" s="833" t="s">
        <v>1624</v>
      </c>
      <c r="J289" s="833" t="s">
        <v>125</v>
      </c>
      <c r="K289" s="744">
        <v>2641.70714</v>
      </c>
      <c r="L289" s="834"/>
      <c r="M289" s="930">
        <v>4200</v>
      </c>
      <c r="N289" s="974">
        <f t="shared" si="62"/>
        <v>-11095169.988</v>
      </c>
      <c r="O289" s="817">
        <v>-6657</v>
      </c>
      <c r="P289" s="817"/>
      <c r="R289" s="978">
        <f t="shared" si="63"/>
        <v>-11101826.988</v>
      </c>
      <c r="S289" s="878">
        <v>126.21370719461952</v>
      </c>
      <c r="T289" s="995">
        <f t="shared" si="69"/>
        <v>-87960.54909377759</v>
      </c>
      <c r="U289" s="839">
        <v>44063</v>
      </c>
      <c r="V289" s="594" t="s">
        <v>1656</v>
      </c>
      <c r="W289" s="914">
        <v>44060.646972916664</v>
      </c>
      <c r="X289" s="971">
        <f t="shared" si="64"/>
        <v>5.9999080745945219E-2</v>
      </c>
      <c r="Y289" s="972" t="str">
        <f>VLOOKUP(V289,'bic broker'!$A$1:$B$14,2,FALSE)</f>
        <v>TAVSGB21XXX</v>
      </c>
      <c r="Z289" s="972" t="str">
        <f>VLOOKUP(AA289,'place of settlement'!A:C,2,FALSE)</f>
        <v>JJSDJPJTXXX</v>
      </c>
      <c r="AA289" s="972" t="str">
        <f t="shared" si="65"/>
        <v>JP</v>
      </c>
      <c r="AB289" s="972" t="str">
        <f t="shared" si="66"/>
        <v>Tavira SecuritiesJP</v>
      </c>
      <c r="AC289" s="972" t="str">
        <f>VLOOKUP(AB289,sample!$1:$1048576,2,FALSE)</f>
        <v>GSILGB2XXXX</v>
      </c>
      <c r="AD289" s="972" t="str">
        <f>VLOOKUP($AB289,sample!$1:$1048576,3,FALSE)</f>
        <v>JJSDJPJTXXX</v>
      </c>
      <c r="AE289" s="973">
        <f>VLOOKUP($AB289,sample!$1:$1048576,4,FALSE)</f>
        <v>6530490016</v>
      </c>
      <c r="AF289" s="972" t="str">
        <f>VLOOKUP($AB289,sample!$1:$1048576,5,FALSE)</f>
        <v>N</v>
      </c>
      <c r="AL289" s="973" t="str">
        <f>VLOOKUP($AB289,sample!$1:$1048576,11,FALSE)</f>
        <v xml:space="preserve">                  </v>
      </c>
      <c r="AM289" s="973" t="str">
        <f>VLOOKUP($AB289,sample!$1:$1048576,12,FALSE)</f>
        <v xml:space="preserve">                          </v>
      </c>
      <c r="AN289" s="973" t="str">
        <f>VLOOKUP($AB289,sample!$1:$1048576,13,FALSE)</f>
        <v>GOLDJPJXXXX</v>
      </c>
      <c r="AP289" s="988"/>
    </row>
    <row r="290" spans="1:42" ht="14">
      <c r="A290" s="929">
        <v>2019200306</v>
      </c>
      <c r="B290" s="887">
        <v>44060</v>
      </c>
      <c r="C290" s="881" t="s">
        <v>134</v>
      </c>
      <c r="D290" s="1130" t="str">
        <f>IFERROR(VLOOKUP(G290,PosAggregate!$B$13:$B$89,1,FALSE),"")</f>
        <v/>
      </c>
      <c r="E290" s="769" t="s">
        <v>1209</v>
      </c>
      <c r="F290" s="1006" t="str">
        <f t="shared" si="68"/>
        <v/>
      </c>
      <c r="G290" s="594" t="s">
        <v>1159</v>
      </c>
      <c r="I290" s="833" t="s">
        <v>1102</v>
      </c>
      <c r="J290" s="833" t="s">
        <v>123</v>
      </c>
      <c r="K290" s="744">
        <v>143880.6452</v>
      </c>
      <c r="L290" s="834"/>
      <c r="M290" s="930">
        <v>-1085</v>
      </c>
      <c r="N290" s="974">
        <f t="shared" si="62"/>
        <v>156110500.042</v>
      </c>
      <c r="O290" s="817">
        <v>-234166</v>
      </c>
      <c r="P290" s="817">
        <v>-390210</v>
      </c>
      <c r="R290" s="978">
        <f t="shared" si="63"/>
        <v>155486124.042</v>
      </c>
      <c r="S290" s="878">
        <v>1405.4610903234936</v>
      </c>
      <c r="T290" s="995">
        <f t="shared" si="69"/>
        <v>110629.97411490908</v>
      </c>
      <c r="U290" s="839">
        <v>44063</v>
      </c>
      <c r="V290" s="594" t="s">
        <v>1184</v>
      </c>
      <c r="W290" s="914">
        <v>44060.654345833333</v>
      </c>
      <c r="X290" s="971">
        <f t="shared" si="64"/>
        <v>-0.15000016010261957</v>
      </c>
      <c r="Y290" s="972" t="e">
        <f>VLOOKUP(V290,'bic broker'!$A$1:$B$14,2,FALSE)</f>
        <v>#N/A</v>
      </c>
      <c r="Z290" s="972" t="str">
        <f>VLOOKUP(AA290,'place of settlement'!A:C,2,FALSE)</f>
        <v>KSDCKRSEXXX</v>
      </c>
      <c r="AA290" s="972" t="str">
        <f t="shared" si="65"/>
        <v>KR</v>
      </c>
      <c r="AB290" s="972" t="str">
        <f t="shared" si="66"/>
        <v>SamsungKR</v>
      </c>
      <c r="AC290" s="972" t="e">
        <f>VLOOKUP(AB290,sample!$1:$1048576,2,FALSE)</f>
        <v>#N/A</v>
      </c>
      <c r="AD290" s="972" t="e">
        <f>VLOOKUP($AB290,sample!$1:$1048576,3,FALSE)</f>
        <v>#N/A</v>
      </c>
      <c r="AE290" s="973" t="e">
        <f>VLOOKUP($AB290,sample!$1:$1048576,4,FALSE)</f>
        <v>#N/A</v>
      </c>
      <c r="AF290" s="972" t="e">
        <f>VLOOKUP($AB290,sample!$1:$1048576,5,FALSE)</f>
        <v>#N/A</v>
      </c>
      <c r="AL290" s="973" t="e">
        <f>VLOOKUP($AB290,sample!$1:$1048576,11,FALSE)</f>
        <v>#N/A</v>
      </c>
      <c r="AM290" s="973" t="e">
        <f>VLOOKUP($AB290,sample!$1:$1048576,12,FALSE)</f>
        <v>#N/A</v>
      </c>
      <c r="AN290" s="973" t="e">
        <f>VLOOKUP($AB290,sample!$1:$1048576,13,FALSE)</f>
        <v>#N/A</v>
      </c>
      <c r="AP290" s="988"/>
    </row>
    <row r="291" spans="1:42" ht="14">
      <c r="A291" s="929">
        <v>2019200307</v>
      </c>
      <c r="B291" s="887">
        <v>44060</v>
      </c>
      <c r="C291" s="881" t="s">
        <v>134</v>
      </c>
      <c r="D291" s="1130" t="str">
        <f>IFERROR(VLOOKUP(G291,PosAggregate!$B$13:$B$89,1,FALSE),"")</f>
        <v/>
      </c>
      <c r="E291" s="769" t="s">
        <v>1211</v>
      </c>
      <c r="F291" s="1006" t="str">
        <f t="shared" si="68"/>
        <v/>
      </c>
      <c r="G291" s="594" t="s">
        <v>1161</v>
      </c>
      <c r="I291" s="833" t="s">
        <v>1094</v>
      </c>
      <c r="J291" s="833" t="s">
        <v>123</v>
      </c>
      <c r="K291" s="744">
        <v>41349.2353</v>
      </c>
      <c r="L291" s="834"/>
      <c r="M291" s="930">
        <v>-1700</v>
      </c>
      <c r="N291" s="974">
        <f t="shared" si="62"/>
        <v>70293700.010000005</v>
      </c>
      <c r="O291" s="817">
        <v>-105441</v>
      </c>
      <c r="P291" s="817">
        <v>-175727</v>
      </c>
      <c r="R291" s="978">
        <f t="shared" si="63"/>
        <v>70012532.010000005</v>
      </c>
      <c r="S291" s="878">
        <v>1405.4610903234982</v>
      </c>
      <c r="T291" s="995">
        <f t="shared" si="69"/>
        <v>49814.635561262716</v>
      </c>
      <c r="U291" s="839">
        <v>44063</v>
      </c>
      <c r="V291" s="594" t="s">
        <v>1184</v>
      </c>
      <c r="W291" s="914">
        <v>44060.656641203706</v>
      </c>
      <c r="X291" s="971">
        <f t="shared" si="64"/>
        <v>-0.15000064014982839</v>
      </c>
      <c r="Y291" s="972" t="e">
        <f>VLOOKUP(V291,'bic broker'!$A$1:$B$14,2,FALSE)</f>
        <v>#N/A</v>
      </c>
      <c r="Z291" s="972" t="str">
        <f>VLOOKUP(AA291,'place of settlement'!A:C,2,FALSE)</f>
        <v>KSDCKRSEXXX</v>
      </c>
      <c r="AA291" s="972" t="str">
        <f t="shared" si="65"/>
        <v>KR</v>
      </c>
      <c r="AB291" s="972" t="str">
        <f t="shared" si="66"/>
        <v>SamsungKR</v>
      </c>
      <c r="AC291" s="972" t="e">
        <f>VLOOKUP(AB291,sample!$1:$1048576,2,FALSE)</f>
        <v>#N/A</v>
      </c>
      <c r="AD291" s="972" t="e">
        <f>VLOOKUP($AB291,sample!$1:$1048576,3,FALSE)</f>
        <v>#N/A</v>
      </c>
      <c r="AE291" s="973" t="e">
        <f>VLOOKUP($AB291,sample!$1:$1048576,4,FALSE)</f>
        <v>#N/A</v>
      </c>
      <c r="AF291" s="972" t="e">
        <f>VLOOKUP($AB291,sample!$1:$1048576,5,FALSE)</f>
        <v>#N/A</v>
      </c>
      <c r="AL291" s="973" t="e">
        <f>VLOOKUP($AB291,sample!$1:$1048576,11,FALSE)</f>
        <v>#N/A</v>
      </c>
      <c r="AM291" s="973" t="e">
        <f>VLOOKUP($AB291,sample!$1:$1048576,12,FALSE)</f>
        <v>#N/A</v>
      </c>
      <c r="AN291" s="973" t="e">
        <f>VLOOKUP($AB291,sample!$1:$1048576,13,FALSE)</f>
        <v>#N/A</v>
      </c>
      <c r="AP291" s="988"/>
    </row>
    <row r="292" spans="1:42" ht="14">
      <c r="A292" s="929">
        <v>2019200308</v>
      </c>
      <c r="B292" s="887">
        <v>44060</v>
      </c>
      <c r="C292" s="881" t="s">
        <v>134</v>
      </c>
      <c r="D292" s="1130" t="str">
        <f>IFERROR(VLOOKUP(G292,PosAggregate!$B$13:$B$89,1,FALSE),"")</f>
        <v/>
      </c>
      <c r="E292" s="769" t="s">
        <v>1208</v>
      </c>
      <c r="F292" s="1006" t="str">
        <f t="shared" si="68"/>
        <v/>
      </c>
      <c r="G292" s="594" t="s">
        <v>1158</v>
      </c>
      <c r="I292" s="833" t="s">
        <v>1082</v>
      </c>
      <c r="J292" s="833" t="s">
        <v>123</v>
      </c>
      <c r="K292" s="744">
        <v>259213.73629999999</v>
      </c>
      <c r="L292" s="834"/>
      <c r="M292" s="930">
        <v>-910</v>
      </c>
      <c r="N292" s="974">
        <f t="shared" si="62"/>
        <v>235884500.03299999</v>
      </c>
      <c r="O292" s="817">
        <v>-353827</v>
      </c>
      <c r="P292" s="817">
        <v>-589659</v>
      </c>
      <c r="R292" s="978">
        <f t="shared" si="63"/>
        <v>234941014.03299999</v>
      </c>
      <c r="S292" s="878">
        <v>1405.4610903234975</v>
      </c>
      <c r="T292" s="995">
        <f t="shared" si="69"/>
        <v>167162.94435367343</v>
      </c>
      <c r="U292" s="839">
        <v>44063</v>
      </c>
      <c r="V292" s="594" t="s">
        <v>1184</v>
      </c>
      <c r="W292" s="914">
        <v>44060.714240162037</v>
      </c>
      <c r="X292" s="971">
        <f t="shared" si="64"/>
        <v>-0.15000010596308785</v>
      </c>
      <c r="Y292" s="972" t="e">
        <f>VLOOKUP(V292,'bic broker'!$A$1:$B$14,2,FALSE)</f>
        <v>#N/A</v>
      </c>
      <c r="Z292" s="972" t="str">
        <f>VLOOKUP(AA292,'place of settlement'!A:C,2,FALSE)</f>
        <v>KSDCKRSEXXX</v>
      </c>
      <c r="AA292" s="972" t="str">
        <f t="shared" si="65"/>
        <v>KR</v>
      </c>
      <c r="AB292" s="972" t="str">
        <f t="shared" si="66"/>
        <v>SamsungKR</v>
      </c>
      <c r="AC292" s="972" t="e">
        <f>VLOOKUP(AB292,sample!$1:$1048576,2,FALSE)</f>
        <v>#N/A</v>
      </c>
      <c r="AD292" s="972" t="e">
        <f>VLOOKUP($AB292,sample!$1:$1048576,3,FALSE)</f>
        <v>#N/A</v>
      </c>
      <c r="AE292" s="973" t="e">
        <f>VLOOKUP($AB292,sample!$1:$1048576,4,FALSE)</f>
        <v>#N/A</v>
      </c>
      <c r="AF292" s="972" t="e">
        <f>VLOOKUP($AB292,sample!$1:$1048576,5,FALSE)</f>
        <v>#N/A</v>
      </c>
      <c r="AL292" s="973" t="e">
        <f>VLOOKUP($AB292,sample!$1:$1048576,11,FALSE)</f>
        <v>#N/A</v>
      </c>
      <c r="AM292" s="973" t="e">
        <f>VLOOKUP($AB292,sample!$1:$1048576,12,FALSE)</f>
        <v>#N/A</v>
      </c>
      <c r="AN292" s="973" t="e">
        <f>VLOOKUP($AB292,sample!$1:$1048576,13,FALSE)</f>
        <v>#N/A</v>
      </c>
      <c r="AP292" s="988"/>
    </row>
    <row r="293" spans="1:42" ht="14">
      <c r="A293" s="929">
        <v>2019200309</v>
      </c>
      <c r="B293" s="887">
        <v>44062</v>
      </c>
      <c r="C293" s="881" t="s">
        <v>133</v>
      </c>
      <c r="D293" s="1130" t="str">
        <f>IFERROR(VLOOKUP(G293,PosAggregate!$B$13:$B$89,1,FALSE),"")</f>
        <v/>
      </c>
      <c r="E293" s="769" t="s">
        <v>1187</v>
      </c>
      <c r="F293" s="1006" t="str">
        <f t="shared" si="68"/>
        <v/>
      </c>
      <c r="G293" s="594" t="s">
        <v>2028</v>
      </c>
      <c r="I293" s="833" t="s">
        <v>1090</v>
      </c>
      <c r="J293" s="833" t="s">
        <v>125</v>
      </c>
      <c r="K293" s="744">
        <v>3280.3281299999999</v>
      </c>
      <c r="L293" s="834"/>
      <c r="M293" s="835">
        <v>2200</v>
      </c>
      <c r="N293" s="974">
        <f t="shared" si="62"/>
        <v>-7216721.8859999999</v>
      </c>
      <c r="O293" s="817">
        <v>-4330</v>
      </c>
      <c r="R293" s="978">
        <f t="shared" si="63"/>
        <v>-7221051.8859999999</v>
      </c>
      <c r="S293" s="878">
        <v>125.57996401855887</v>
      </c>
      <c r="T293" s="995">
        <f t="shared" si="69"/>
        <v>-57501.624104087452</v>
      </c>
      <c r="U293" s="839">
        <v>44067</v>
      </c>
      <c r="V293" s="594" t="s">
        <v>1656</v>
      </c>
      <c r="W293" s="914">
        <v>44062.974342592592</v>
      </c>
      <c r="X293" s="971">
        <f t="shared" si="64"/>
        <v>5.9999540905129455E-2</v>
      </c>
      <c r="Y293" s="972" t="str">
        <f>VLOOKUP(V293,'bic broker'!$A$1:$B$14,2,FALSE)</f>
        <v>TAVSGB21XXX</v>
      </c>
      <c r="Z293" s="972" t="str">
        <f>VLOOKUP(AA293,'place of settlement'!A:C,2,FALSE)</f>
        <v>JJSDJPJTXXX</v>
      </c>
      <c r="AA293" s="972" t="str">
        <f t="shared" si="65"/>
        <v>JP</v>
      </c>
      <c r="AB293" s="972" t="str">
        <f t="shared" si="66"/>
        <v>Tavira SecuritiesJP</v>
      </c>
      <c r="AC293" s="972" t="str">
        <f>VLOOKUP(AB293,sample!$1:$1048576,2,FALSE)</f>
        <v>GSILGB2XXXX</v>
      </c>
      <c r="AD293" s="972" t="str">
        <f>VLOOKUP($AB293,sample!$1:$1048576,3,FALSE)</f>
        <v>JJSDJPJTXXX</v>
      </c>
      <c r="AE293" s="973">
        <f>VLOOKUP($AB293,sample!$1:$1048576,4,FALSE)</f>
        <v>6530490016</v>
      </c>
      <c r="AF293" s="972" t="str">
        <f>VLOOKUP($AB293,sample!$1:$1048576,5,FALSE)</f>
        <v>N</v>
      </c>
      <c r="AL293" s="973" t="str">
        <f>VLOOKUP($AB293,sample!$1:$1048576,11,FALSE)</f>
        <v xml:space="preserve">                  </v>
      </c>
      <c r="AM293" s="973" t="str">
        <f>VLOOKUP($AB293,sample!$1:$1048576,12,FALSE)</f>
        <v xml:space="preserve">                          </v>
      </c>
      <c r="AN293" s="973" t="str">
        <f>VLOOKUP($AB293,sample!$1:$1048576,13,FALSE)</f>
        <v>GOLDJPJXXXX</v>
      </c>
      <c r="AP293" s="988"/>
    </row>
    <row r="294" spans="1:42" ht="14">
      <c r="A294" s="929">
        <v>2019200310</v>
      </c>
      <c r="B294" s="887">
        <v>44062</v>
      </c>
      <c r="C294" s="881" t="s">
        <v>133</v>
      </c>
      <c r="D294" s="1130" t="str">
        <f>IFERROR(VLOOKUP(G294,PosAggregate!$B$13:$B$89,1,FALSE),"")</f>
        <v/>
      </c>
      <c r="E294" s="769" t="s">
        <v>12672</v>
      </c>
      <c r="F294" s="1006" t="str">
        <f t="shared" si="68"/>
        <v/>
      </c>
      <c r="G294" s="594" t="s">
        <v>2067</v>
      </c>
      <c r="I294" s="833" t="s">
        <v>12609</v>
      </c>
      <c r="J294" s="833" t="s">
        <v>123</v>
      </c>
      <c r="K294" s="744">
        <v>199283.97435900001</v>
      </c>
      <c r="L294" s="834"/>
      <c r="M294" s="835">
        <v>670</v>
      </c>
      <c r="N294" s="974">
        <f t="shared" si="62"/>
        <v>-133520262.82053001</v>
      </c>
      <c r="O294" s="817">
        <v>-200281</v>
      </c>
      <c r="R294" s="978">
        <f t="shared" si="63"/>
        <v>-133720543.82053001</v>
      </c>
      <c r="S294" s="878">
        <v>1398.7075087586441</v>
      </c>
      <c r="T294" s="995">
        <f t="shared" si="69"/>
        <v>-95602.935555273652</v>
      </c>
      <c r="U294" s="839">
        <v>44067</v>
      </c>
      <c r="V294" s="594" t="s">
        <v>2059</v>
      </c>
      <c r="W294" s="914">
        <v>44062.976086574075</v>
      </c>
      <c r="X294" s="971">
        <f t="shared" si="64"/>
        <v>0.15000045369084225</v>
      </c>
      <c r="Y294" s="972" t="e">
        <f>VLOOKUP(V294,'bic broker'!$A$1:$B$14,2,FALSE)</f>
        <v>#N/A</v>
      </c>
      <c r="Z294" s="972" t="str">
        <f>VLOOKUP(AA294,'place of settlement'!A:C,2,FALSE)</f>
        <v>KSDCKRSEXXX</v>
      </c>
      <c r="AA294" s="972" t="str">
        <f t="shared" si="65"/>
        <v>KR</v>
      </c>
      <c r="AB294" s="972" t="str">
        <f t="shared" si="66"/>
        <v>Samsung KR</v>
      </c>
      <c r="AC294" s="972" t="e">
        <f>VLOOKUP(AB294,sample!$1:$1048576,2,FALSE)</f>
        <v>#N/A</v>
      </c>
      <c r="AD294" s="972" t="e">
        <f>VLOOKUP($AB294,sample!$1:$1048576,3,FALSE)</f>
        <v>#N/A</v>
      </c>
      <c r="AE294" s="973" t="e">
        <f>VLOOKUP($AB294,sample!$1:$1048576,4,FALSE)</f>
        <v>#N/A</v>
      </c>
      <c r="AF294" s="972" t="e">
        <f>VLOOKUP($AB294,sample!$1:$1048576,5,FALSE)</f>
        <v>#N/A</v>
      </c>
      <c r="AL294" s="973" t="e">
        <f>VLOOKUP($AB294,sample!$1:$1048576,11,FALSE)</f>
        <v>#N/A</v>
      </c>
      <c r="AM294" s="973" t="e">
        <f>VLOOKUP($AB294,sample!$1:$1048576,12,FALSE)</f>
        <v>#N/A</v>
      </c>
      <c r="AN294" s="973" t="e">
        <f>VLOOKUP($AB294,sample!$1:$1048576,13,FALSE)</f>
        <v>#N/A</v>
      </c>
      <c r="AP294" s="988"/>
    </row>
    <row r="295" spans="1:42" ht="14">
      <c r="A295" s="929">
        <v>2019200312</v>
      </c>
      <c r="B295" s="887">
        <v>44067</v>
      </c>
      <c r="C295" s="881" t="s">
        <v>133</v>
      </c>
      <c r="D295" s="1130" t="str">
        <f>IFERROR(VLOOKUP(G295,PosAggregate!$B$13:$B$89,1,FALSE),"")</f>
        <v/>
      </c>
      <c r="E295" s="769" t="s">
        <v>12672</v>
      </c>
      <c r="F295" s="1006" t="str">
        <f t="shared" si="68"/>
        <v/>
      </c>
      <c r="G295" s="594" t="s">
        <v>2067</v>
      </c>
      <c r="I295" s="833" t="s">
        <v>12609</v>
      </c>
      <c r="J295" s="833" t="s">
        <v>123</v>
      </c>
      <c r="K295" s="744">
        <v>195924.52830000001</v>
      </c>
      <c r="L295" s="834"/>
      <c r="M295" s="835">
        <v>420</v>
      </c>
      <c r="N295" s="974">
        <f t="shared" si="62"/>
        <v>-82288301.886000007</v>
      </c>
      <c r="O295" s="817">
        <v>-123433</v>
      </c>
      <c r="R295" s="978">
        <f t="shared" si="63"/>
        <v>-82411734.886000007</v>
      </c>
      <c r="S295" s="878">
        <v>1398.7075087586441</v>
      </c>
      <c r="T295" s="995">
        <f t="shared" si="69"/>
        <v>-58919.920262057218</v>
      </c>
      <c r="U295" s="839">
        <v>44069</v>
      </c>
      <c r="V295" s="594" t="s">
        <v>2059</v>
      </c>
      <c r="W295" s="914">
        <v>44067.410029976854</v>
      </c>
      <c r="X295" s="971">
        <f t="shared" si="64"/>
        <v>0.15000066494384676</v>
      </c>
      <c r="Y295" s="716" t="s">
        <v>1695</v>
      </c>
      <c r="Z295" s="716" t="s">
        <v>1738</v>
      </c>
      <c r="AA295" s="716" t="s">
        <v>1737</v>
      </c>
      <c r="AB295" s="716" t="s">
        <v>1902</v>
      </c>
      <c r="AC295" s="716" t="s">
        <v>1695</v>
      </c>
      <c r="AD295" s="716" t="s">
        <v>1738</v>
      </c>
      <c r="AE295" s="808" t="s">
        <v>1903</v>
      </c>
      <c r="AF295" s="716" t="s">
        <v>1794</v>
      </c>
      <c r="AL295" s="808">
        <v>0</v>
      </c>
      <c r="AM295" s="808">
        <v>0</v>
      </c>
      <c r="AN295" s="808" t="s">
        <v>1695</v>
      </c>
      <c r="AP295" s="988"/>
    </row>
    <row r="296" spans="1:42" ht="18" customHeight="1">
      <c r="A296" s="929">
        <v>2019200313</v>
      </c>
      <c r="B296" s="887">
        <v>44068</v>
      </c>
      <c r="C296" s="881" t="s">
        <v>134</v>
      </c>
      <c r="D296" s="1130" t="str">
        <f>IFERROR(VLOOKUP(G296,PosAggregate!$B$13:$B$89,1,FALSE),"")</f>
        <v/>
      </c>
      <c r="E296" s="769" t="s">
        <v>1208</v>
      </c>
      <c r="F296" s="1006" t="str">
        <f t="shared" si="68"/>
        <v/>
      </c>
      <c r="G296" s="594" t="s">
        <v>1158</v>
      </c>
      <c r="I296" s="833" t="s">
        <v>1082</v>
      </c>
      <c r="J296" s="833" t="s">
        <v>123</v>
      </c>
      <c r="K296" s="744">
        <v>263081.81819999998</v>
      </c>
      <c r="L296" s="834"/>
      <c r="M296" s="835">
        <v>-330</v>
      </c>
      <c r="N296" s="974">
        <f t="shared" si="62"/>
        <v>86817000.005999997</v>
      </c>
      <c r="O296" s="817">
        <v>-130226</v>
      </c>
      <c r="P296" s="817">
        <v>-217013</v>
      </c>
      <c r="R296" s="978">
        <f t="shared" si="63"/>
        <v>86469761.005999997</v>
      </c>
      <c r="S296" s="878">
        <v>1401.0773347163465</v>
      </c>
      <c r="T296" s="995">
        <f t="shared" si="69"/>
        <v>61716.622532835514</v>
      </c>
      <c r="U296" s="839">
        <v>44070</v>
      </c>
      <c r="V296" s="594" t="s">
        <v>1184</v>
      </c>
      <c r="W296" s="914">
        <v>44068.365849189817</v>
      </c>
      <c r="X296" s="971">
        <f t="shared" si="64"/>
        <v>-0.1500005759137035</v>
      </c>
      <c r="Y296" s="972" t="e">
        <f>VLOOKUP(V296,'bic broker'!$A$1:$B$14,2,FALSE)</f>
        <v>#N/A</v>
      </c>
      <c r="Z296" s="972" t="str">
        <f>VLOOKUP(AA296,'place of settlement'!A:C,2,FALSE)</f>
        <v>KSDCKRSEXXX</v>
      </c>
      <c r="AA296" s="972" t="str">
        <f>LEFT(E296,2)</f>
        <v>KR</v>
      </c>
      <c r="AB296" s="972" t="str">
        <f>CONCATENATE(V296,AA296)</f>
        <v>SamsungKR</v>
      </c>
      <c r="AC296" s="972" t="e">
        <f>VLOOKUP(AB296,sample!$1:$1048576,2,FALSE)</f>
        <v>#N/A</v>
      </c>
      <c r="AD296" s="972" t="e">
        <f>VLOOKUP($AB296,sample!$1:$1048576,3,FALSE)</f>
        <v>#N/A</v>
      </c>
      <c r="AE296" s="973" t="e">
        <f>VLOOKUP($AB296,sample!$1:$1048576,4,FALSE)</f>
        <v>#N/A</v>
      </c>
      <c r="AF296" s="972" t="e">
        <f>VLOOKUP($AB296,sample!$1:$1048576,5,FALSE)</f>
        <v>#N/A</v>
      </c>
      <c r="AL296" s="973" t="e">
        <f>VLOOKUP($AB296,sample!$1:$1048576,11,FALSE)</f>
        <v>#N/A</v>
      </c>
      <c r="AM296" s="973" t="e">
        <f>VLOOKUP($AB296,sample!$1:$1048576,12,FALSE)</f>
        <v>#N/A</v>
      </c>
      <c r="AN296" s="973" t="e">
        <f>VLOOKUP($AB296,sample!$1:$1048576,13,FALSE)</f>
        <v>#N/A</v>
      </c>
      <c r="AP296" s="988"/>
    </row>
    <row r="297" spans="1:42" ht="14">
      <c r="A297" s="929">
        <v>2019200314</v>
      </c>
      <c r="B297" s="887">
        <v>44068</v>
      </c>
      <c r="C297" s="881" t="s">
        <v>134</v>
      </c>
      <c r="D297" s="1130" t="str">
        <f>IFERROR(VLOOKUP(G297,PosAggregate!$B$13:$B$89,1,FALSE),"")</f>
        <v/>
      </c>
      <c r="E297" s="769" t="s">
        <v>1206</v>
      </c>
      <c r="F297" s="1006" t="str">
        <f t="shared" si="68"/>
        <v/>
      </c>
      <c r="G297" s="594" t="s">
        <v>1156</v>
      </c>
      <c r="I297" s="833" t="s">
        <v>1080</v>
      </c>
      <c r="J297" s="833" t="s">
        <v>123</v>
      </c>
      <c r="K297" s="744">
        <v>371670.9302</v>
      </c>
      <c r="L297" s="834"/>
      <c r="M297" s="835">
        <v>-430</v>
      </c>
      <c r="N297" s="974">
        <f t="shared" ref="N297:N328" si="70">-K297*M297</f>
        <v>159818499.986</v>
      </c>
      <c r="O297" s="817">
        <v>-239728</v>
      </c>
      <c r="P297" s="817">
        <v>-399527</v>
      </c>
      <c r="R297" s="978">
        <f t="shared" ref="R297:R328" si="71">SUM(N297:Q297)</f>
        <v>159179244.986</v>
      </c>
      <c r="S297" s="878">
        <v>1401.0773347163456</v>
      </c>
      <c r="T297" s="995">
        <f t="shared" si="69"/>
        <v>113612.03342728155</v>
      </c>
      <c r="U297" s="839">
        <v>44070</v>
      </c>
      <c r="V297" s="594" t="s">
        <v>1184</v>
      </c>
      <c r="W297" s="914">
        <v>44068.367065972219</v>
      </c>
      <c r="X297" s="841">
        <v>-0.15000015644058731</v>
      </c>
      <c r="Y297" s="716" t="s">
        <v>1695</v>
      </c>
      <c r="Z297" s="716" t="s">
        <v>1738</v>
      </c>
      <c r="AA297" s="716" t="s">
        <v>1737</v>
      </c>
      <c r="AB297" s="716" t="s">
        <v>1902</v>
      </c>
      <c r="AC297" s="716" t="s">
        <v>1695</v>
      </c>
      <c r="AD297" s="716" t="s">
        <v>1738</v>
      </c>
      <c r="AE297" s="808" t="s">
        <v>1903</v>
      </c>
      <c r="AF297" s="716" t="s">
        <v>1794</v>
      </c>
      <c r="AL297" s="808">
        <v>0</v>
      </c>
      <c r="AM297" s="808">
        <v>0</v>
      </c>
      <c r="AN297" s="808" t="s">
        <v>1695</v>
      </c>
      <c r="AP297" s="988"/>
    </row>
    <row r="298" spans="1:42" ht="14">
      <c r="A298" s="929">
        <v>2019200315</v>
      </c>
      <c r="B298" s="887">
        <v>44069</v>
      </c>
      <c r="C298" s="881" t="s">
        <v>134</v>
      </c>
      <c r="D298" s="1130" t="str">
        <f>IFERROR(VLOOKUP(G298,PosAggregate!$B$13:$B$89,1,FALSE),"")</f>
        <v/>
      </c>
      <c r="E298" s="769" t="s">
        <v>1206</v>
      </c>
      <c r="F298" s="1006" t="str">
        <f t="shared" si="68"/>
        <v/>
      </c>
      <c r="G298" s="594" t="s">
        <v>1156</v>
      </c>
      <c r="I298" s="833" t="s">
        <v>1080</v>
      </c>
      <c r="J298" s="833" t="s">
        <v>123</v>
      </c>
      <c r="K298" s="744">
        <v>374705</v>
      </c>
      <c r="L298" s="834"/>
      <c r="M298" s="835">
        <v>-300</v>
      </c>
      <c r="N298" s="974">
        <f t="shared" si="70"/>
        <v>112411500</v>
      </c>
      <c r="O298" s="817">
        <v>-168617</v>
      </c>
      <c r="P298" s="817">
        <v>-281020</v>
      </c>
      <c r="R298" s="978">
        <f t="shared" si="71"/>
        <v>111961863</v>
      </c>
      <c r="S298" s="878">
        <v>1401.0773347163456</v>
      </c>
      <c r="T298" s="995">
        <f t="shared" si="69"/>
        <v>79911.265585255635</v>
      </c>
      <c r="U298" s="839">
        <v>44071</v>
      </c>
      <c r="V298" s="594" t="s">
        <v>1184</v>
      </c>
      <c r="W298" s="914">
        <v>44068.367065972219</v>
      </c>
      <c r="X298" s="841">
        <v>-0.15000015644058731</v>
      </c>
      <c r="Y298" s="716" t="s">
        <v>1695</v>
      </c>
      <c r="Z298" s="716" t="s">
        <v>1738</v>
      </c>
      <c r="AA298" s="716" t="s">
        <v>1737</v>
      </c>
      <c r="AB298" s="716" t="s">
        <v>1902</v>
      </c>
      <c r="AC298" s="716" t="s">
        <v>1695</v>
      </c>
      <c r="AD298" s="716" t="s">
        <v>1738</v>
      </c>
      <c r="AE298" s="808" t="s">
        <v>1903</v>
      </c>
      <c r="AF298" s="716" t="s">
        <v>1794</v>
      </c>
      <c r="AL298" s="808">
        <v>0</v>
      </c>
      <c r="AM298" s="808">
        <v>0</v>
      </c>
      <c r="AN298" s="808" t="s">
        <v>1695</v>
      </c>
      <c r="AP298" s="988"/>
    </row>
    <row r="299" spans="1:42" ht="12" customHeight="1">
      <c r="A299" s="929">
        <v>2019200316</v>
      </c>
      <c r="B299" s="887">
        <v>44082</v>
      </c>
      <c r="C299" s="881" t="s">
        <v>133</v>
      </c>
      <c r="D299" s="1130" t="str">
        <f>IFERROR(VLOOKUP(G299,PosAggregate!$B$13:$B$89,1,FALSE),"")</f>
        <v/>
      </c>
      <c r="E299" s="769" t="s">
        <v>12676</v>
      </c>
      <c r="F299" s="1006" t="str">
        <f t="shared" si="68"/>
        <v/>
      </c>
      <c r="G299" s="594" t="s">
        <v>2097</v>
      </c>
      <c r="I299" s="833" t="s">
        <v>12613</v>
      </c>
      <c r="J299" s="833" t="s">
        <v>125</v>
      </c>
      <c r="K299" s="744">
        <v>3012.2416699999999</v>
      </c>
      <c r="L299" s="744"/>
      <c r="M299" s="773">
        <v>4200</v>
      </c>
      <c r="N299" s="974">
        <f t="shared" si="70"/>
        <v>-12651415.014</v>
      </c>
      <c r="O299" s="817">
        <v>-7591</v>
      </c>
      <c r="R299" s="978">
        <f t="shared" si="71"/>
        <v>-12659006.014</v>
      </c>
      <c r="S299" s="878">
        <v>125.55539799584024</v>
      </c>
      <c r="T299" s="995">
        <f t="shared" si="69"/>
        <v>-100824.06822858707</v>
      </c>
      <c r="U299" s="839">
        <v>44084</v>
      </c>
      <c r="V299" s="594" t="s">
        <v>1656</v>
      </c>
      <c r="W299" s="914">
        <v>44082.386396180555</v>
      </c>
      <c r="X299" s="971">
        <f t="shared" ref="X299:X330" si="72">+O299/N299*100</f>
        <v>6.000119347598535E-2</v>
      </c>
      <c r="Y299" s="972" t="str">
        <f>VLOOKUP(V299,'bic broker'!$A$1:$B$14,2,FALSE)</f>
        <v>TAVSGB21XXX</v>
      </c>
      <c r="Z299" s="972" t="str">
        <f>VLOOKUP(AA299,'place of settlement'!A:C,2,FALSE)</f>
        <v>JJSDJPJTXXX</v>
      </c>
      <c r="AA299" s="972" t="str">
        <f>LEFT(E299,2)</f>
        <v>JP</v>
      </c>
      <c r="AB299" s="972" t="str">
        <f t="shared" ref="AB299:AB309" si="73">CONCATENATE(V299,AA299)</f>
        <v>Tavira SecuritiesJP</v>
      </c>
      <c r="AC299" s="972" t="str">
        <f>VLOOKUP(AB299,sample!$1:$1048576,2,FALSE)</f>
        <v>GSILGB2XXXX</v>
      </c>
      <c r="AD299" s="972" t="str">
        <f>VLOOKUP($AB299,sample!$1:$1048576,3,FALSE)</f>
        <v>JJSDJPJTXXX</v>
      </c>
      <c r="AE299" s="973">
        <f>VLOOKUP($AB299,sample!$1:$1048576,4,FALSE)</f>
        <v>6530490016</v>
      </c>
      <c r="AF299" s="972" t="str">
        <f>VLOOKUP($AB299,sample!$1:$1048576,5,FALSE)</f>
        <v>N</v>
      </c>
      <c r="AL299" s="973" t="str">
        <f>VLOOKUP($AB299,sample!$1:$1048576,11,FALSE)</f>
        <v xml:space="preserve">                  </v>
      </c>
      <c r="AM299" s="973" t="str">
        <f>VLOOKUP($AB299,sample!$1:$1048576,12,FALSE)</f>
        <v xml:space="preserve">                          </v>
      </c>
      <c r="AN299" s="973" t="str">
        <f>VLOOKUP($AB299,sample!$1:$1048576,13,FALSE)</f>
        <v>GOLDJPJXXXX</v>
      </c>
      <c r="AP299" s="988"/>
    </row>
    <row r="300" spans="1:42" s="584" customFormat="1" ht="12" customHeight="1">
      <c r="A300" s="929">
        <v>2019200317</v>
      </c>
      <c r="B300" s="887">
        <v>44090</v>
      </c>
      <c r="C300" s="816" t="s">
        <v>133</v>
      </c>
      <c r="D300" s="1133" t="str">
        <f>IFERROR(VLOOKUP(G300,PosAggregate!$B$13:$B$89,1,FALSE),"")</f>
        <v/>
      </c>
      <c r="E300" s="905" t="s">
        <v>12673</v>
      </c>
      <c r="F300" s="1006" t="str">
        <f t="shared" si="68"/>
        <v/>
      </c>
      <c r="G300" s="561" t="s">
        <v>2098</v>
      </c>
      <c r="I300" s="832" t="s">
        <v>12610</v>
      </c>
      <c r="J300" s="832" t="s">
        <v>123</v>
      </c>
      <c r="K300" s="878">
        <v>36089.904799999997</v>
      </c>
      <c r="L300" s="878"/>
      <c r="M300" s="931">
        <v>4200</v>
      </c>
      <c r="N300" s="985">
        <f t="shared" si="70"/>
        <v>-151577600.16</v>
      </c>
      <c r="O300" s="817">
        <v>-227366</v>
      </c>
      <c r="R300" s="982">
        <f t="shared" si="71"/>
        <v>-151804966.16</v>
      </c>
      <c r="S300" s="878">
        <v>1397.4225338766214</v>
      </c>
      <c r="T300" s="995">
        <f t="shared" si="69"/>
        <v>-108632.11554122747</v>
      </c>
      <c r="U300" s="907">
        <v>44092</v>
      </c>
      <c r="V300" s="561" t="s">
        <v>1184</v>
      </c>
      <c r="W300" s="819">
        <v>44090.433785532405</v>
      </c>
      <c r="X300" s="971">
        <f t="shared" si="72"/>
        <v>0.14999973595043095</v>
      </c>
      <c r="Y300" s="988" t="e">
        <f>VLOOKUP(V300,'bic broker'!$A$1:$B$14,2,FALSE)</f>
        <v>#N/A</v>
      </c>
      <c r="Z300" s="988" t="str">
        <f>VLOOKUP(AA300,'place of settlement'!A:C,2,FALSE)</f>
        <v>KSDCKRSEXXX</v>
      </c>
      <c r="AA300" s="988" t="str">
        <f>LEFT(E300,2)</f>
        <v>KR</v>
      </c>
      <c r="AB300" s="988" t="str">
        <f t="shared" si="73"/>
        <v>SamsungKR</v>
      </c>
      <c r="AC300" s="972" t="e">
        <f>VLOOKUP(AB300,sample!$1:$1048576,2,FALSE)</f>
        <v>#N/A</v>
      </c>
      <c r="AD300" s="988" t="e">
        <f>VLOOKUP($AB300,sample!$1:$1048576,3,FALSE)</f>
        <v>#N/A</v>
      </c>
      <c r="AE300" s="986" t="e">
        <f>VLOOKUP($AB300,sample!$1:$1048576,4,FALSE)</f>
        <v>#N/A</v>
      </c>
      <c r="AF300" s="988" t="e">
        <f>VLOOKUP($AB300,sample!$1:$1048576,5,FALSE)</f>
        <v>#N/A</v>
      </c>
      <c r="AL300" s="986" t="e">
        <f>VLOOKUP($AB300,sample!$1:$1048576,11,FALSE)</f>
        <v>#N/A</v>
      </c>
      <c r="AM300" s="986" t="e">
        <f>VLOOKUP($AB300,sample!$1:$1048576,12,FALSE)</f>
        <v>#N/A</v>
      </c>
      <c r="AN300" s="986" t="e">
        <f>VLOOKUP($AB300,sample!$1:$1048576,13,FALSE)</f>
        <v>#N/A</v>
      </c>
      <c r="AP300" s="988"/>
    </row>
    <row r="301" spans="1:42" s="584" customFormat="1" ht="12" customHeight="1">
      <c r="A301" s="929">
        <v>2019200318</v>
      </c>
      <c r="B301" s="887">
        <v>44098</v>
      </c>
      <c r="C301" s="816" t="s">
        <v>133</v>
      </c>
      <c r="D301" s="1133" t="str">
        <f>IFERROR(VLOOKUP(G301,PosAggregate!$B$13:$B$89,1,FALSE),"")</f>
        <v/>
      </c>
      <c r="E301" s="905" t="s">
        <v>12676</v>
      </c>
      <c r="F301" s="1006" t="str">
        <f t="shared" si="68"/>
        <v/>
      </c>
      <c r="G301" s="561" t="s">
        <v>2097</v>
      </c>
      <c r="I301" s="832" t="s">
        <v>12613</v>
      </c>
      <c r="J301" s="832" t="s">
        <v>125</v>
      </c>
      <c r="K301" s="878">
        <v>2833.3809500000002</v>
      </c>
      <c r="L301" s="878"/>
      <c r="M301" s="931">
        <v>4200</v>
      </c>
      <c r="N301" s="985">
        <f t="shared" si="70"/>
        <v>-11900199.99</v>
      </c>
      <c r="O301" s="817">
        <v>-7140</v>
      </c>
      <c r="R301" s="982">
        <f t="shared" si="71"/>
        <v>-11907339.99</v>
      </c>
      <c r="S301" s="878">
        <v>122.85038066479366</v>
      </c>
      <c r="T301" s="995">
        <f t="shared" si="69"/>
        <v>-96925.544109546201</v>
      </c>
      <c r="U301" s="907">
        <v>44102</v>
      </c>
      <c r="V301" s="561" t="s">
        <v>1656</v>
      </c>
      <c r="W301" s="819">
        <v>44098.418618402779</v>
      </c>
      <c r="X301" s="971">
        <f t="shared" si="72"/>
        <v>5.9998991664004804E-2</v>
      </c>
      <c r="Y301" s="988" t="str">
        <f>VLOOKUP(V301,'bic broker'!$A$1:$B$14,2,FALSE)</f>
        <v>TAVSGB21XXX</v>
      </c>
      <c r="Z301" s="988" t="str">
        <f>VLOOKUP(AA301,'place of settlement'!A:C,2,FALSE)</f>
        <v>JJSDJPJTXXX</v>
      </c>
      <c r="AA301" s="988" t="str">
        <f>LEFT(E301,2)</f>
        <v>JP</v>
      </c>
      <c r="AB301" s="988" t="str">
        <f t="shared" si="73"/>
        <v>Tavira SecuritiesJP</v>
      </c>
      <c r="AC301" s="972" t="str">
        <f>VLOOKUP(AB301,sample!$1:$1048576,2,FALSE)</f>
        <v>GSILGB2XXXX</v>
      </c>
      <c r="AD301" s="988" t="str">
        <f>VLOOKUP($AB301,sample!$1:$1048576,3,FALSE)</f>
        <v>JJSDJPJTXXX</v>
      </c>
      <c r="AE301" s="986">
        <f>VLOOKUP($AB301,sample!$1:$1048576,4,FALSE)</f>
        <v>6530490016</v>
      </c>
      <c r="AF301" s="988" t="str">
        <f>VLOOKUP($AB301,sample!$1:$1048576,5,FALSE)</f>
        <v>N</v>
      </c>
      <c r="AL301" s="986" t="str">
        <f>VLOOKUP($AB301,sample!$1:$1048576,11,FALSE)</f>
        <v xml:space="preserve">                  </v>
      </c>
      <c r="AM301" s="986" t="str">
        <f>VLOOKUP($AB301,sample!$1:$1048576,12,FALSE)</f>
        <v xml:space="preserve">                          </v>
      </c>
      <c r="AN301" s="986" t="str">
        <f>VLOOKUP($AB301,sample!$1:$1048576,13,FALSE)</f>
        <v>GOLDJPJXXXX</v>
      </c>
      <c r="AP301" s="988"/>
    </row>
    <row r="302" spans="1:42" s="584" customFormat="1" ht="12" customHeight="1">
      <c r="A302" s="929">
        <v>2019200319</v>
      </c>
      <c r="B302" s="887">
        <v>44098</v>
      </c>
      <c r="C302" s="816" t="s">
        <v>134</v>
      </c>
      <c r="D302" s="1133" t="str">
        <f>IFERROR(VLOOKUP(G302,PosAggregate!$B$13:$B$89,1,FALSE),"")</f>
        <v/>
      </c>
      <c r="E302" s="905" t="s">
        <v>1210</v>
      </c>
      <c r="F302" s="1006" t="str">
        <f t="shared" si="68"/>
        <v/>
      </c>
      <c r="G302" s="561" t="s">
        <v>1160</v>
      </c>
      <c r="I302" s="832" t="s">
        <v>1108</v>
      </c>
      <c r="J302" s="832" t="s">
        <v>123</v>
      </c>
      <c r="K302" s="878">
        <v>5632.0828000000001</v>
      </c>
      <c r="L302" s="878"/>
      <c r="M302" s="931">
        <v>-33392</v>
      </c>
      <c r="N302" s="985">
        <f t="shared" si="70"/>
        <v>188066508.8576</v>
      </c>
      <c r="O302" s="817">
        <v>-282100</v>
      </c>
      <c r="P302" s="817">
        <v>-470034</v>
      </c>
      <c r="R302" s="982">
        <f t="shared" si="71"/>
        <v>187314374.8576</v>
      </c>
      <c r="S302" s="878">
        <v>1364.8552541068645</v>
      </c>
      <c r="T302" s="995">
        <f t="shared" si="69"/>
        <v>137241.20143434184</v>
      </c>
      <c r="U302" s="907">
        <v>44102</v>
      </c>
      <c r="V302" s="561" t="s">
        <v>1184</v>
      </c>
      <c r="W302" s="819">
        <v>44098.418859606485</v>
      </c>
      <c r="X302" s="971">
        <f t="shared" si="72"/>
        <v>-0.15000012586696135</v>
      </c>
      <c r="Y302" s="988" t="e">
        <f>VLOOKUP(V302,'bic broker'!$A$1:$B$14,2,FALSE)</f>
        <v>#N/A</v>
      </c>
      <c r="Z302" s="988" t="str">
        <f>VLOOKUP(AA302,'place of settlement'!A:C,2,FALSE)</f>
        <v>KSDCKRSEXXX</v>
      </c>
      <c r="AA302" s="584" t="s">
        <v>1737</v>
      </c>
      <c r="AB302" s="988" t="str">
        <f t="shared" si="73"/>
        <v>SamsungKR</v>
      </c>
      <c r="AC302" s="972" t="e">
        <f>VLOOKUP(AB302,sample!$1:$1048576,2,FALSE)</f>
        <v>#N/A</v>
      </c>
      <c r="AD302" s="988" t="e">
        <f>VLOOKUP($AB302,sample!$1:$1048576,3,FALSE)</f>
        <v>#N/A</v>
      </c>
      <c r="AE302" s="986" t="e">
        <f>VLOOKUP($AB302,sample!$1:$1048576,4,FALSE)</f>
        <v>#N/A</v>
      </c>
      <c r="AF302" s="988" t="e">
        <f>VLOOKUP($AB302,sample!$1:$1048576,5,FALSE)</f>
        <v>#N/A</v>
      </c>
      <c r="AL302" s="986" t="e">
        <f>VLOOKUP($AB302,sample!$1:$1048576,11,FALSE)</f>
        <v>#N/A</v>
      </c>
      <c r="AM302" s="986" t="e">
        <f>VLOOKUP($AB302,sample!$1:$1048576,12,FALSE)</f>
        <v>#N/A</v>
      </c>
      <c r="AN302" s="986" t="e">
        <f>VLOOKUP($AB302,sample!$1:$1048576,13,FALSE)</f>
        <v>#N/A</v>
      </c>
      <c r="AP302" s="988"/>
    </row>
    <row r="303" spans="1:42" s="584" customFormat="1" ht="14.25" customHeight="1">
      <c r="A303" s="929">
        <v>2019200320</v>
      </c>
      <c r="B303" s="887">
        <v>44098</v>
      </c>
      <c r="C303" s="816" t="s">
        <v>133</v>
      </c>
      <c r="D303" s="1133" t="str">
        <f>IFERROR(VLOOKUP(G303,PosAggregate!$B$13:$B$89,1,FALSE),"")</f>
        <v/>
      </c>
      <c r="E303" s="905" t="s">
        <v>1631</v>
      </c>
      <c r="F303" s="1006" t="str">
        <f t="shared" si="68"/>
        <v/>
      </c>
      <c r="G303" s="561" t="s">
        <v>1621</v>
      </c>
      <c r="I303" s="832" t="s">
        <v>1622</v>
      </c>
      <c r="J303" s="832" t="s">
        <v>3</v>
      </c>
      <c r="K303" s="878">
        <v>24.392399999999999</v>
      </c>
      <c r="L303" s="878"/>
      <c r="M303" s="931">
        <v>3500</v>
      </c>
      <c r="N303" s="985">
        <f t="shared" si="70"/>
        <v>-85373.4</v>
      </c>
      <c r="O303" s="817">
        <v>-42.69</v>
      </c>
      <c r="R303" s="982">
        <f t="shared" si="71"/>
        <v>-85416.09</v>
      </c>
      <c r="S303" s="878">
        <v>1.1658952326543937</v>
      </c>
      <c r="T303" s="995">
        <f t="shared" si="69"/>
        <v>-73262.234553899994</v>
      </c>
      <c r="U303" s="907">
        <v>44102</v>
      </c>
      <c r="V303" s="561" t="s">
        <v>2100</v>
      </c>
      <c r="W303" s="819">
        <v>44098.665131365742</v>
      </c>
      <c r="X303" s="971">
        <f t="shared" si="72"/>
        <v>5.0003865372586775E-2</v>
      </c>
      <c r="Y303" s="584" t="s">
        <v>1693</v>
      </c>
      <c r="Z303" s="988" t="str">
        <f>VLOOKUP(AA303,'place of settlement'!A:C,2,FALSE)</f>
        <v>DTCYUS33XXX</v>
      </c>
      <c r="AA303" s="988" t="str">
        <f t="shared" ref="AA303:AA309" si="74">LEFT(E303,2)</f>
        <v>US</v>
      </c>
      <c r="AB303" s="988" t="str">
        <f t="shared" si="73"/>
        <v>Kepler US</v>
      </c>
      <c r="AC303" s="972" t="e">
        <f>VLOOKUP(AB303,sample!$1:$1048576,2,FALSE)</f>
        <v>#N/A</v>
      </c>
      <c r="AD303" s="988" t="e">
        <f>VLOOKUP($AB303,sample!$1:$1048576,3,FALSE)</f>
        <v>#N/A</v>
      </c>
      <c r="AE303" s="986" t="e">
        <f>VLOOKUP($AB303,sample!$1:$1048576,4,FALSE)</f>
        <v>#N/A</v>
      </c>
      <c r="AF303" s="988" t="e">
        <f>VLOOKUP($AB303,sample!$1:$1048576,5,FALSE)</f>
        <v>#N/A</v>
      </c>
      <c r="AL303" s="986" t="e">
        <f>VLOOKUP($AB303,sample!$1:$1048576,11,FALSE)</f>
        <v>#N/A</v>
      </c>
      <c r="AM303" s="986" t="e">
        <f>VLOOKUP($AB303,sample!$1:$1048576,12,FALSE)</f>
        <v>#N/A</v>
      </c>
      <c r="AN303" s="986" t="e">
        <f>VLOOKUP($AB303,sample!$1:$1048576,13,FALSE)</f>
        <v>#N/A</v>
      </c>
      <c r="AP303" s="988"/>
    </row>
    <row r="304" spans="1:42" s="584" customFormat="1">
      <c r="A304" s="929">
        <v>2019200321</v>
      </c>
      <c r="B304" s="887">
        <v>44099</v>
      </c>
      <c r="C304" s="816" t="s">
        <v>133</v>
      </c>
      <c r="D304" s="1133" t="str">
        <f>IFERROR(VLOOKUP(G304,PosAggregate!$B$13:$B$89,1,FALSE),"")</f>
        <v/>
      </c>
      <c r="E304" s="905" t="s">
        <v>12674</v>
      </c>
      <c r="F304" s="1006" t="str">
        <f t="shared" si="68"/>
        <v/>
      </c>
      <c r="G304" s="561" t="s">
        <v>2099</v>
      </c>
      <c r="I304" s="832" t="s">
        <v>12611</v>
      </c>
      <c r="J304" s="832" t="s">
        <v>125</v>
      </c>
      <c r="K304" s="878">
        <v>4773.6227500000005</v>
      </c>
      <c r="L304" s="878"/>
      <c r="M304" s="931">
        <v>1670</v>
      </c>
      <c r="N304" s="985">
        <f t="shared" si="70"/>
        <v>-7971949.9925000006</v>
      </c>
      <c r="O304" s="817">
        <v>-4783</v>
      </c>
      <c r="R304" s="982">
        <f t="shared" si="71"/>
        <v>-7976732.9925000006</v>
      </c>
      <c r="S304" s="878">
        <v>122.85038066479349</v>
      </c>
      <c r="T304" s="995">
        <f t="shared" si="69"/>
        <v>-64930.470295123603</v>
      </c>
      <c r="U304" s="907">
        <v>44103</v>
      </c>
      <c r="V304" s="561" t="s">
        <v>1656</v>
      </c>
      <c r="W304" s="819">
        <v>44098.726701736108</v>
      </c>
      <c r="X304" s="971">
        <f t="shared" si="72"/>
        <v>5.999786757944843E-2</v>
      </c>
      <c r="Y304" s="988" t="str">
        <f>VLOOKUP(V304,'bic broker'!$A$1:$B$14,2,FALSE)</f>
        <v>TAVSGB21XXX</v>
      </c>
      <c r="Z304" s="988" t="str">
        <f>VLOOKUP(AA304,'place of settlement'!A:C,2,FALSE)</f>
        <v>JJSDJPJTXXX</v>
      </c>
      <c r="AA304" s="988" t="str">
        <f t="shared" si="74"/>
        <v>JP</v>
      </c>
      <c r="AB304" s="988" t="str">
        <f t="shared" si="73"/>
        <v>Tavira SecuritiesJP</v>
      </c>
      <c r="AC304" s="972" t="str">
        <f>VLOOKUP(AB304,sample!$1:$1048576,2,FALSE)</f>
        <v>GSILGB2XXXX</v>
      </c>
      <c r="AD304" s="988" t="str">
        <f>VLOOKUP($AB304,sample!$1:$1048576,3,FALSE)</f>
        <v>JJSDJPJTXXX</v>
      </c>
      <c r="AE304" s="986">
        <f>VLOOKUP($AB304,sample!$1:$1048576,4,FALSE)</f>
        <v>6530490016</v>
      </c>
      <c r="AF304" s="988" t="str">
        <f>VLOOKUP($AB304,sample!$1:$1048576,5,FALSE)</f>
        <v>N</v>
      </c>
      <c r="AL304" s="986" t="str">
        <f>VLOOKUP($AB304,sample!$1:$1048576,11,FALSE)</f>
        <v xml:space="preserve">                  </v>
      </c>
      <c r="AM304" s="986" t="str">
        <f>VLOOKUP($AB304,sample!$1:$1048576,12,FALSE)</f>
        <v xml:space="preserve">                          </v>
      </c>
      <c r="AN304" s="986" t="str">
        <f>VLOOKUP($AB304,sample!$1:$1048576,13,FALSE)</f>
        <v>GOLDJPJXXXX</v>
      </c>
      <c r="AP304" s="988"/>
    </row>
    <row r="305" spans="1:42" s="584" customFormat="1">
      <c r="A305" s="929">
        <v>2019200322</v>
      </c>
      <c r="B305" s="887">
        <v>44099</v>
      </c>
      <c r="C305" s="816" t="s">
        <v>133</v>
      </c>
      <c r="D305" s="1133" t="str">
        <f>IFERROR(VLOOKUP(G305,PosAggregate!$B$13:$B$89,1,FALSE),"")</f>
        <v/>
      </c>
      <c r="E305" s="905" t="s">
        <v>12675</v>
      </c>
      <c r="F305" s="1006" t="str">
        <f t="shared" si="68"/>
        <v/>
      </c>
      <c r="G305" s="561" t="s">
        <v>2101</v>
      </c>
      <c r="I305" s="832" t="s">
        <v>12612</v>
      </c>
      <c r="J305" s="832" t="s">
        <v>125</v>
      </c>
      <c r="K305" s="878">
        <v>1162.5029</v>
      </c>
      <c r="L305" s="878"/>
      <c r="M305" s="931">
        <v>6900</v>
      </c>
      <c r="N305" s="985">
        <f t="shared" si="70"/>
        <v>-8021270.0099999998</v>
      </c>
      <c r="O305" s="817">
        <v>-4813</v>
      </c>
      <c r="R305" s="982">
        <f t="shared" si="71"/>
        <v>-8026083.0099999998</v>
      </c>
      <c r="S305" s="878">
        <v>122.8121183927429</v>
      </c>
      <c r="T305" s="995">
        <f t="shared" si="69"/>
        <v>-65352.532918072924</v>
      </c>
      <c r="U305" s="907">
        <v>44103</v>
      </c>
      <c r="V305" s="561" t="s">
        <v>1656</v>
      </c>
      <c r="W305" s="819">
        <v>44102.435952777778</v>
      </c>
      <c r="X305" s="971">
        <f t="shared" si="72"/>
        <v>6.0002967036388299E-2</v>
      </c>
      <c r="Y305" s="988" t="str">
        <f>VLOOKUP(V305,'bic broker'!$A$1:$B$14,2,FALSE)</f>
        <v>TAVSGB21XXX</v>
      </c>
      <c r="Z305" s="988" t="str">
        <f>VLOOKUP(AA305,'place of settlement'!A:C,2,FALSE)</f>
        <v>JJSDJPJTXXX</v>
      </c>
      <c r="AA305" s="988" t="str">
        <f t="shared" si="74"/>
        <v>JP</v>
      </c>
      <c r="AB305" s="988" t="str">
        <f t="shared" si="73"/>
        <v>Tavira SecuritiesJP</v>
      </c>
      <c r="AC305" s="972" t="str">
        <f>VLOOKUP(AB305,sample!$1:$1048576,2,FALSE)</f>
        <v>GSILGB2XXXX</v>
      </c>
      <c r="AD305" s="988" t="str">
        <f>VLOOKUP($AB305,sample!$1:$1048576,3,FALSE)</f>
        <v>JJSDJPJTXXX</v>
      </c>
      <c r="AE305" s="986">
        <f>VLOOKUP($AB305,sample!$1:$1048576,4,FALSE)</f>
        <v>6530490016</v>
      </c>
      <c r="AF305" s="988" t="str">
        <f>VLOOKUP($AB305,sample!$1:$1048576,5,FALSE)</f>
        <v>N</v>
      </c>
      <c r="AL305" s="986" t="str">
        <f>VLOOKUP($AB305,sample!$1:$1048576,11,FALSE)</f>
        <v xml:space="preserve">                  </v>
      </c>
      <c r="AM305" s="986" t="str">
        <f>VLOOKUP($AB305,sample!$1:$1048576,12,FALSE)</f>
        <v xml:space="preserve">                          </v>
      </c>
      <c r="AN305" s="986" t="str">
        <f>VLOOKUP($AB305,sample!$1:$1048576,13,FALSE)</f>
        <v>GOLDJPJXXXX</v>
      </c>
      <c r="AP305" s="988"/>
    </row>
    <row r="306" spans="1:42" s="584" customFormat="1">
      <c r="A306" s="932">
        <v>2019200323</v>
      </c>
      <c r="B306" s="887">
        <v>44102</v>
      </c>
      <c r="C306" s="816" t="s">
        <v>134</v>
      </c>
      <c r="D306" s="1133" t="str">
        <f>IFERROR(VLOOKUP(G306,PosAggregate!$B$13:$B$89,1,FALSE),"")</f>
        <v/>
      </c>
      <c r="E306" s="905" t="s">
        <v>1205</v>
      </c>
      <c r="F306" s="1006" t="str">
        <f t="shared" si="68"/>
        <v/>
      </c>
      <c r="G306" s="561" t="s">
        <v>1154</v>
      </c>
      <c r="I306" s="832" t="s">
        <v>1107</v>
      </c>
      <c r="J306" s="832" t="s">
        <v>125</v>
      </c>
      <c r="K306" s="878">
        <v>530.27</v>
      </c>
      <c r="L306" s="878"/>
      <c r="M306" s="931">
        <v>-10000</v>
      </c>
      <c r="N306" s="985">
        <f t="shared" si="70"/>
        <v>5302700</v>
      </c>
      <c r="O306" s="817">
        <v>-3182</v>
      </c>
      <c r="R306" s="982">
        <f t="shared" si="71"/>
        <v>5299518</v>
      </c>
      <c r="S306" s="878">
        <v>122.812118392743</v>
      </c>
      <c r="T306" s="995">
        <f t="shared" si="69"/>
        <v>43151.425684659065</v>
      </c>
      <c r="U306" s="907">
        <v>44104</v>
      </c>
      <c r="V306" s="561" t="s">
        <v>1656</v>
      </c>
      <c r="W306" s="819">
        <v>44102.434742939811</v>
      </c>
      <c r="X306" s="971">
        <f t="shared" si="72"/>
        <v>-6.0007166160635152E-2</v>
      </c>
      <c r="Y306" s="988" t="str">
        <f>VLOOKUP(V306,'bic broker'!$A$1:$B$14,2,FALSE)</f>
        <v>TAVSGB21XXX</v>
      </c>
      <c r="Z306" s="988" t="str">
        <f>VLOOKUP(AA306,'place of settlement'!A:C,2,FALSE)</f>
        <v>JJSDJPJTXXX</v>
      </c>
      <c r="AA306" s="988" t="str">
        <f t="shared" si="74"/>
        <v>JP</v>
      </c>
      <c r="AB306" s="988" t="str">
        <f t="shared" si="73"/>
        <v>Tavira SecuritiesJP</v>
      </c>
      <c r="AC306" s="972" t="str">
        <f>VLOOKUP(AB306,sample!$1:$1048576,2,FALSE)</f>
        <v>GSILGB2XXXX</v>
      </c>
      <c r="AD306" s="988" t="str">
        <f>VLOOKUP($AB306,sample!$1:$1048576,3,FALSE)</f>
        <v>JJSDJPJTXXX</v>
      </c>
      <c r="AE306" s="986">
        <f>VLOOKUP($AB306,sample!$1:$1048576,4,FALSE)</f>
        <v>6530490016</v>
      </c>
      <c r="AF306" s="988" t="str">
        <f>VLOOKUP($AB306,sample!$1:$1048576,5,FALSE)</f>
        <v>N</v>
      </c>
      <c r="AL306" s="986" t="str">
        <f>VLOOKUP($AB306,sample!$1:$1048576,11,FALSE)</f>
        <v xml:space="preserve">                  </v>
      </c>
      <c r="AM306" s="986" t="str">
        <f>VLOOKUP($AB306,sample!$1:$1048576,12,FALSE)</f>
        <v xml:space="preserve">                          </v>
      </c>
      <c r="AN306" s="986" t="str">
        <f>VLOOKUP($AB306,sample!$1:$1048576,13,FALSE)</f>
        <v>GOLDJPJXXXX</v>
      </c>
      <c r="AP306" s="988"/>
    </row>
    <row r="307" spans="1:42" s="584" customFormat="1">
      <c r="A307" s="929">
        <v>2019200324</v>
      </c>
      <c r="B307" s="887">
        <v>44102</v>
      </c>
      <c r="C307" s="816" t="s">
        <v>133</v>
      </c>
      <c r="D307" s="1133" t="str">
        <f>IFERROR(VLOOKUP(G307,PosAggregate!$B$13:$B$89,1,FALSE),"")</f>
        <v/>
      </c>
      <c r="E307" s="905" t="s">
        <v>1212</v>
      </c>
      <c r="F307" s="1006" t="str">
        <f t="shared" si="68"/>
        <v/>
      </c>
      <c r="G307" s="561" t="s">
        <v>1162</v>
      </c>
      <c r="I307" s="832" t="s">
        <v>12699</v>
      </c>
      <c r="J307" s="832" t="s">
        <v>123</v>
      </c>
      <c r="K307" s="878">
        <v>44997.772700000001</v>
      </c>
      <c r="L307" s="878"/>
      <c r="M307" s="931">
        <v>1100</v>
      </c>
      <c r="N307" s="985">
        <f t="shared" si="70"/>
        <v>-49497549.969999999</v>
      </c>
      <c r="O307" s="817">
        <v>-74246</v>
      </c>
      <c r="R307" s="982">
        <f t="shared" si="71"/>
        <v>-49571795.969999999</v>
      </c>
      <c r="S307" s="878">
        <v>1365.7265802174807</v>
      </c>
      <c r="T307" s="995">
        <f t="shared" si="69"/>
        <v>-36297.013390561748</v>
      </c>
      <c r="U307" s="907">
        <v>44109</v>
      </c>
      <c r="V307" s="561" t="s">
        <v>1184</v>
      </c>
      <c r="W307" s="819">
        <v>44102.438202430552</v>
      </c>
      <c r="X307" s="971">
        <f t="shared" si="72"/>
        <v>0.14999934349275834</v>
      </c>
      <c r="Y307" s="988" t="e">
        <f>VLOOKUP(V307,'bic broker'!$A$1:$B$14,2,FALSE)</f>
        <v>#N/A</v>
      </c>
      <c r="Z307" s="988" t="str">
        <f>VLOOKUP(AA307,'place of settlement'!A:C,2,FALSE)</f>
        <v>KSDCKRSEXXX</v>
      </c>
      <c r="AA307" s="988" t="str">
        <f t="shared" si="74"/>
        <v>KR</v>
      </c>
      <c r="AB307" s="988" t="str">
        <f t="shared" si="73"/>
        <v>SamsungKR</v>
      </c>
      <c r="AC307" s="972" t="e">
        <f>VLOOKUP(AB307,sample!$1:$1048576,2,FALSE)</f>
        <v>#N/A</v>
      </c>
      <c r="AD307" s="988" t="e">
        <f>VLOOKUP($AB307,sample!$1:$1048576,3,FALSE)</f>
        <v>#N/A</v>
      </c>
      <c r="AE307" s="986" t="e">
        <f>VLOOKUP($AB307,sample!$1:$1048576,4,FALSE)</f>
        <v>#N/A</v>
      </c>
      <c r="AF307" s="988" t="e">
        <f>VLOOKUP($AB307,sample!$1:$1048576,5,FALSE)</f>
        <v>#N/A</v>
      </c>
      <c r="AL307" s="986" t="e">
        <f>VLOOKUP($AB307,sample!$1:$1048576,11,FALSE)</f>
        <v>#N/A</v>
      </c>
      <c r="AM307" s="986" t="e">
        <f>VLOOKUP($AB307,sample!$1:$1048576,12,FALSE)</f>
        <v>#N/A</v>
      </c>
      <c r="AN307" s="986" t="e">
        <f>VLOOKUP($AB307,sample!$1:$1048576,13,FALSE)</f>
        <v>#N/A</v>
      </c>
      <c r="AP307" s="988"/>
    </row>
    <row r="308" spans="1:42" s="584" customFormat="1">
      <c r="A308" s="929">
        <v>2019200325</v>
      </c>
      <c r="B308" s="887">
        <v>44102</v>
      </c>
      <c r="C308" s="816" t="s">
        <v>134</v>
      </c>
      <c r="D308" s="1133" t="str">
        <f>IFERROR(VLOOKUP(G308,PosAggregate!$B$13:$B$89,1,FALSE),"")</f>
        <v/>
      </c>
      <c r="E308" s="905" t="s">
        <v>1615</v>
      </c>
      <c r="F308" s="1006" t="str">
        <f t="shared" si="68"/>
        <v/>
      </c>
      <c r="G308" s="561" t="s">
        <v>1595</v>
      </c>
      <c r="I308" s="832" t="s">
        <v>1598</v>
      </c>
      <c r="J308" s="832" t="s">
        <v>125</v>
      </c>
      <c r="K308" s="878">
        <v>4541.6363600000004</v>
      </c>
      <c r="L308" s="878"/>
      <c r="M308" s="931">
        <v>-1100</v>
      </c>
      <c r="N308" s="985">
        <f t="shared" si="70"/>
        <v>4995799.9960000003</v>
      </c>
      <c r="O308" s="817">
        <v>-2997</v>
      </c>
      <c r="R308" s="982">
        <f t="shared" si="71"/>
        <v>4992802.9960000003</v>
      </c>
      <c r="S308" s="878">
        <v>122.812118392743</v>
      </c>
      <c r="T308" s="995">
        <f t="shared" si="69"/>
        <v>40653.992955592781</v>
      </c>
      <c r="U308" s="907">
        <v>44104</v>
      </c>
      <c r="V308" s="561" t="s">
        <v>1656</v>
      </c>
      <c r="W308" s="819">
        <v>44102.440104398149</v>
      </c>
      <c r="X308" s="971">
        <f t="shared" si="72"/>
        <v>-5.9990391977253206E-2</v>
      </c>
      <c r="Y308" s="988" t="str">
        <f>VLOOKUP(V308,'bic broker'!$A$1:$B$14,2,FALSE)</f>
        <v>TAVSGB21XXX</v>
      </c>
      <c r="Z308" s="988" t="str">
        <f>VLOOKUP(AA308,'place of settlement'!A:C,2,FALSE)</f>
        <v>JJSDJPJTXXX</v>
      </c>
      <c r="AA308" s="988" t="str">
        <f t="shared" si="74"/>
        <v>JP</v>
      </c>
      <c r="AB308" s="988" t="str">
        <f t="shared" si="73"/>
        <v>Tavira SecuritiesJP</v>
      </c>
      <c r="AC308" s="972" t="str">
        <f>VLOOKUP(AB308,sample!$1:$1048576,2,FALSE)</f>
        <v>GSILGB2XXXX</v>
      </c>
      <c r="AD308" s="988" t="str">
        <f>VLOOKUP($AB308,sample!$1:$1048576,3,FALSE)</f>
        <v>JJSDJPJTXXX</v>
      </c>
      <c r="AE308" s="986">
        <f>VLOOKUP($AB308,sample!$1:$1048576,4,FALSE)</f>
        <v>6530490016</v>
      </c>
      <c r="AF308" s="988" t="str">
        <f>VLOOKUP($AB308,sample!$1:$1048576,5,FALSE)</f>
        <v>N</v>
      </c>
      <c r="AL308" s="986" t="str">
        <f>VLOOKUP($AB308,sample!$1:$1048576,11,FALSE)</f>
        <v xml:space="preserve">                  </v>
      </c>
      <c r="AM308" s="986" t="str">
        <f>VLOOKUP($AB308,sample!$1:$1048576,12,FALSE)</f>
        <v xml:space="preserve">                          </v>
      </c>
      <c r="AN308" s="986" t="str">
        <f>VLOOKUP($AB308,sample!$1:$1048576,13,FALSE)</f>
        <v>GOLDJPJXXXX</v>
      </c>
      <c r="AP308" s="988"/>
    </row>
    <row r="309" spans="1:42" s="584" customFormat="1">
      <c r="A309" s="929">
        <v>2019200326</v>
      </c>
      <c r="B309" s="887">
        <v>44102</v>
      </c>
      <c r="C309" s="816" t="s">
        <v>133</v>
      </c>
      <c r="D309" s="1133" t="str">
        <f>IFERROR(VLOOKUP(G309,PosAggregate!$B$13:$B$89,1,FALSE),"")</f>
        <v/>
      </c>
      <c r="E309" s="905" t="s">
        <v>12676</v>
      </c>
      <c r="F309" s="1006" t="str">
        <f t="shared" si="68"/>
        <v/>
      </c>
      <c r="G309" s="561" t="s">
        <v>2097</v>
      </c>
      <c r="I309" s="832" t="s">
        <v>12613</v>
      </c>
      <c r="J309" s="832" t="s">
        <v>125</v>
      </c>
      <c r="K309" s="878">
        <v>2699.75938</v>
      </c>
      <c r="L309" s="878"/>
      <c r="M309" s="931">
        <v>2200</v>
      </c>
      <c r="N309" s="985">
        <f t="shared" si="70"/>
        <v>-5939470.6359999999</v>
      </c>
      <c r="O309" s="817">
        <v>-3564</v>
      </c>
      <c r="R309" s="982">
        <f t="shared" si="71"/>
        <v>-5943034.6359999999</v>
      </c>
      <c r="S309" s="878">
        <v>122.81211839274312</v>
      </c>
      <c r="T309" s="995">
        <f t="shared" si="69"/>
        <v>-48391.272081104085</v>
      </c>
      <c r="U309" s="907">
        <v>44104</v>
      </c>
      <c r="V309" s="561" t="s">
        <v>1656</v>
      </c>
      <c r="W309" s="819">
        <v>44102.440941782406</v>
      </c>
      <c r="X309" s="971">
        <f t="shared" si="72"/>
        <v>6.0005347587680211E-2</v>
      </c>
      <c r="Y309" s="988" t="str">
        <f>VLOOKUP(V309,'bic broker'!$A$1:$B$14,2,FALSE)</f>
        <v>TAVSGB21XXX</v>
      </c>
      <c r="Z309" s="988" t="str">
        <f>VLOOKUP(AA309,'place of settlement'!A:C,2,FALSE)</f>
        <v>JJSDJPJTXXX</v>
      </c>
      <c r="AA309" s="988" t="str">
        <f t="shared" si="74"/>
        <v>JP</v>
      </c>
      <c r="AB309" s="988" t="str">
        <f t="shared" si="73"/>
        <v>Tavira SecuritiesJP</v>
      </c>
      <c r="AC309" s="972" t="str">
        <f>VLOOKUP(AB309,sample!$1:$1048576,2,FALSE)</f>
        <v>GSILGB2XXXX</v>
      </c>
      <c r="AD309" s="988" t="str">
        <f>VLOOKUP($AB309,sample!$1:$1048576,3,FALSE)</f>
        <v>JJSDJPJTXXX</v>
      </c>
      <c r="AE309" s="986">
        <f>VLOOKUP($AB309,sample!$1:$1048576,4,FALSE)</f>
        <v>6530490016</v>
      </c>
      <c r="AF309" s="988" t="str">
        <f>VLOOKUP($AB309,sample!$1:$1048576,5,FALSE)</f>
        <v>N</v>
      </c>
      <c r="AL309" s="986" t="str">
        <f>VLOOKUP($AB309,sample!$1:$1048576,11,FALSE)</f>
        <v xml:space="preserve">                  </v>
      </c>
      <c r="AM309" s="986" t="str">
        <f>VLOOKUP($AB309,sample!$1:$1048576,12,FALSE)</f>
        <v xml:space="preserve">                          </v>
      </c>
      <c r="AN309" s="986" t="str">
        <f>VLOOKUP($AB309,sample!$1:$1048576,13,FALSE)</f>
        <v>GOLDJPJXXXX</v>
      </c>
      <c r="AP309" s="988"/>
    </row>
    <row r="310" spans="1:42" s="584" customFormat="1">
      <c r="A310" s="929">
        <v>2019200327</v>
      </c>
      <c r="B310" s="887">
        <v>44104</v>
      </c>
      <c r="C310" s="816" t="s">
        <v>134</v>
      </c>
      <c r="D310" s="1133" t="str">
        <f>IFERROR(VLOOKUP(G310,PosAggregate!$B$13:$B$89,1,FALSE),"")</f>
        <v/>
      </c>
      <c r="E310" s="905" t="s">
        <v>1221</v>
      </c>
      <c r="F310" s="1006" t="str">
        <f t="shared" si="68"/>
        <v/>
      </c>
      <c r="G310" s="561" t="s">
        <v>1172</v>
      </c>
      <c r="I310" s="832" t="s">
        <v>129</v>
      </c>
      <c r="J310" s="832" t="s">
        <v>2</v>
      </c>
      <c r="K310" s="878">
        <v>46.034999999999997</v>
      </c>
      <c r="L310" s="878"/>
      <c r="M310" s="931">
        <v>-600</v>
      </c>
      <c r="N310" s="985">
        <f t="shared" si="70"/>
        <v>27620.999999999996</v>
      </c>
      <c r="O310" s="817">
        <v>-13.81</v>
      </c>
      <c r="R310" s="982">
        <f t="shared" si="71"/>
        <v>27607.189999999995</v>
      </c>
      <c r="S310" s="878">
        <v>1</v>
      </c>
      <c r="T310" s="995">
        <f t="shared" si="69"/>
        <v>27607.189999999995</v>
      </c>
      <c r="U310" s="907">
        <v>44106</v>
      </c>
      <c r="V310" s="561" t="s">
        <v>1112</v>
      </c>
      <c r="W310" s="819">
        <v>44104.705729398149</v>
      </c>
      <c r="X310" s="971">
        <f t="shared" si="72"/>
        <v>-4.9998189783136027E-2</v>
      </c>
      <c r="Y310" s="584" t="s">
        <v>1693</v>
      </c>
      <c r="Z310" s="584" t="s">
        <v>1720</v>
      </c>
      <c r="AA310" s="584" t="s">
        <v>1719</v>
      </c>
      <c r="AB310" s="584" t="s">
        <v>1881</v>
      </c>
      <c r="AC310" s="972" t="str">
        <f>VLOOKUP(AB310,sample!$1:$1048576,2,FALSE)</f>
        <v>PAREFRPPXXX</v>
      </c>
      <c r="AD310" s="584" t="s">
        <v>1720</v>
      </c>
      <c r="AE310" s="818" t="s">
        <v>1883</v>
      </c>
      <c r="AF310" s="584" t="s">
        <v>1794</v>
      </c>
      <c r="AL310" s="986" t="str">
        <f>VLOOKUP($AB310,sample!$1:$1048576,11,FALSE)</f>
        <v xml:space="preserve">        </v>
      </c>
      <c r="AM310" s="986" t="str">
        <f>VLOOKUP($AB310,sample!$1:$1048576,12,FALSE)</f>
        <v xml:space="preserve">        </v>
      </c>
      <c r="AN310" s="986" t="str">
        <f>VLOOKUP($AB310,sample!$1:$1048576,13,FALSE)</f>
        <v>SGABCHZZ448</v>
      </c>
      <c r="AP310" s="988"/>
    </row>
    <row r="311" spans="1:42" s="584" customFormat="1">
      <c r="A311" s="929">
        <v>2019200328</v>
      </c>
      <c r="B311" s="887">
        <v>44106</v>
      </c>
      <c r="C311" s="816" t="s">
        <v>133</v>
      </c>
      <c r="D311" s="1133" t="str">
        <f>IFERROR(VLOOKUP(G311,PosAggregate!$B$13:$B$89,1,FALSE),"")</f>
        <v/>
      </c>
      <c r="E311" s="905" t="s">
        <v>1186</v>
      </c>
      <c r="F311" s="1006" t="str">
        <f t="shared" si="68"/>
        <v/>
      </c>
      <c r="G311" s="561" t="s">
        <v>1071</v>
      </c>
      <c r="I311" s="832" t="s">
        <v>1081</v>
      </c>
      <c r="J311" s="832" t="s">
        <v>125</v>
      </c>
      <c r="K311" s="878">
        <v>887.85749999999996</v>
      </c>
      <c r="L311" s="878"/>
      <c r="M311" s="931">
        <v>8000</v>
      </c>
      <c r="N311" s="985">
        <f t="shared" si="70"/>
        <v>-7102860</v>
      </c>
      <c r="O311" s="817">
        <v>-3551</v>
      </c>
      <c r="R311" s="982">
        <f t="shared" si="71"/>
        <v>-7106411</v>
      </c>
      <c r="S311" s="878">
        <v>124.04302287351466</v>
      </c>
      <c r="T311" s="995">
        <f t="shared" si="69"/>
        <v>-57289.888906096159</v>
      </c>
      <c r="U311" s="907">
        <v>44110</v>
      </c>
      <c r="V311" s="561" t="s">
        <v>1112</v>
      </c>
      <c r="W311" s="819">
        <v>44104.710219675922</v>
      </c>
      <c r="X311" s="971">
        <f t="shared" si="72"/>
        <v>4.999394610058483E-2</v>
      </c>
      <c r="Y311" s="584" t="s">
        <v>1693</v>
      </c>
      <c r="Z311" s="988" t="str">
        <f>VLOOKUP(AA311,'place of settlement'!A:C,2,FALSE)</f>
        <v>JJSDJPJTXXX</v>
      </c>
      <c r="AA311" s="988" t="str">
        <f t="shared" ref="AA311:AA328" si="75">LEFT(E311,2)</f>
        <v>JP</v>
      </c>
      <c r="AB311" s="988" t="str">
        <f t="shared" ref="AB311:AB329" si="76">CONCATENATE(V311,AA311)</f>
        <v>Kepler CheuvreuxJP</v>
      </c>
      <c r="AC311" s="988" t="e">
        <f>VLOOKUP(AB311,sample!$1:$1048576,2,FALSE)</f>
        <v>#N/A</v>
      </c>
      <c r="AD311" s="988" t="e">
        <f>VLOOKUP($AB311,sample!$1:$1048576,3,FALSE)</f>
        <v>#N/A</v>
      </c>
      <c r="AE311" s="986" t="e">
        <f>VLOOKUP($AB311,sample!$1:$1048576,4,FALSE)</f>
        <v>#N/A</v>
      </c>
      <c r="AF311" s="988" t="e">
        <f>VLOOKUP($AB311,sample!$1:$1048576,5,FALSE)</f>
        <v>#N/A</v>
      </c>
      <c r="AL311" s="986" t="e">
        <f>VLOOKUP($AB311,sample!$1:$1048576,11,FALSE)</f>
        <v>#N/A</v>
      </c>
      <c r="AM311" s="986" t="e">
        <f>VLOOKUP($AB311,sample!$1:$1048576,12,FALSE)</f>
        <v>#N/A</v>
      </c>
      <c r="AN311" s="986" t="e">
        <f>VLOOKUP($AB311,sample!$1:$1048576,13,FALSE)</f>
        <v>#N/A</v>
      </c>
      <c r="AP311" s="988"/>
    </row>
    <row r="312" spans="1:42" s="584" customFormat="1">
      <c r="A312" s="929">
        <v>2019200329</v>
      </c>
      <c r="B312" s="887">
        <v>44105</v>
      </c>
      <c r="C312" s="816" t="s">
        <v>133</v>
      </c>
      <c r="D312" s="1133" t="str">
        <f>IFERROR(VLOOKUP(G312,PosAggregate!$B$13:$B$89,1,FALSE),"")</f>
        <v/>
      </c>
      <c r="E312" s="905" t="s">
        <v>12692</v>
      </c>
      <c r="F312" s="1006" t="str">
        <f t="shared" si="68"/>
        <v/>
      </c>
      <c r="G312" s="561" t="s">
        <v>2102</v>
      </c>
      <c r="I312" s="832" t="s">
        <v>12701</v>
      </c>
      <c r="J312" s="832" t="s">
        <v>1066</v>
      </c>
      <c r="K312" s="878">
        <v>0.56599999999999995</v>
      </c>
      <c r="L312" s="878"/>
      <c r="M312" s="931">
        <v>2195</v>
      </c>
      <c r="N312" s="985">
        <f t="shared" si="70"/>
        <v>-1242.3699999999999</v>
      </c>
      <c r="O312" s="817">
        <v>-0.75</v>
      </c>
      <c r="R312" s="982">
        <f t="shared" si="71"/>
        <v>-1243.1199999999999</v>
      </c>
      <c r="S312" s="878">
        <v>1.0788736685454485</v>
      </c>
      <c r="T312" s="995">
        <f t="shared" si="69"/>
        <v>-1152.2387062018024</v>
      </c>
      <c r="U312" s="907">
        <v>44109</v>
      </c>
      <c r="V312" s="561" t="s">
        <v>1183</v>
      </c>
      <c r="W312" s="819">
        <v>44105.621430092593</v>
      </c>
      <c r="X312" s="971">
        <f t="shared" si="72"/>
        <v>6.0368489258433487E-2</v>
      </c>
      <c r="Y312" s="584" t="s">
        <v>1693</v>
      </c>
      <c r="Z312" s="988" t="str">
        <f>VLOOKUP(AA312,'place of settlement'!A:C,2,FALSE)</f>
        <v>INSECHZZXXX</v>
      </c>
      <c r="AA312" s="988" t="str">
        <f t="shared" si="75"/>
        <v>CH</v>
      </c>
      <c r="AB312" s="988" t="str">
        <f t="shared" si="76"/>
        <v>EquitaCH</v>
      </c>
      <c r="AC312" s="988" t="str">
        <f>VLOOKUP(AB312,sample!$1:$1048576,2,FALSE)</f>
        <v>BCITITMMXXX</v>
      </c>
      <c r="AD312" s="988" t="str">
        <f>VLOOKUP($AB312,sample!$1:$1048576,3,FALSE)</f>
        <v>INSECHZZXXX</v>
      </c>
      <c r="AE312" s="986" t="str">
        <f>VLOOKUP($AB312,sample!$1:$1048576,4,FALSE)</f>
        <v>0835 0951260 75 010</v>
      </c>
      <c r="AF312" s="988" t="str">
        <f>VLOOKUP($AB312,sample!$1:$1048576,5,FALSE)</f>
        <v>N</v>
      </c>
      <c r="AL312" s="986" t="str">
        <f>VLOOKUP($AB312,sample!$1:$1048576,11,FALSE)</f>
        <v xml:space="preserve">        </v>
      </c>
      <c r="AM312" s="986" t="str">
        <f>VLOOKUP($AB312,sample!$1:$1048576,12,FALSE)</f>
        <v xml:space="preserve">        </v>
      </c>
      <c r="AN312" s="986" t="str">
        <f>VLOOKUP($AB312,sample!$1:$1048576,13,FALSE)</f>
        <v>CRESCHZZ80A</v>
      </c>
      <c r="AP312" s="988"/>
    </row>
    <row r="313" spans="1:42" s="584" customFormat="1">
      <c r="A313" s="929">
        <v>2019200330</v>
      </c>
      <c r="B313" s="887">
        <v>44106</v>
      </c>
      <c r="C313" s="933" t="s">
        <v>134</v>
      </c>
      <c r="D313" s="1133" t="str">
        <f>IFERROR(VLOOKUP(G313,PosAggregate!$B$13:$B$89,1,FALSE),"")</f>
        <v/>
      </c>
      <c r="E313" s="905" t="s">
        <v>12691</v>
      </c>
      <c r="F313" s="1006" t="str">
        <f t="shared" si="68"/>
        <v/>
      </c>
      <c r="G313" s="561" t="s">
        <v>2066</v>
      </c>
      <c r="I313" s="832" t="s">
        <v>12700</v>
      </c>
      <c r="J313" s="832" t="s">
        <v>125</v>
      </c>
      <c r="K313" s="878">
        <v>1787.2701099999999</v>
      </c>
      <c r="L313" s="878"/>
      <c r="M313" s="931">
        <v>-12800</v>
      </c>
      <c r="N313" s="985">
        <f t="shared" si="70"/>
        <v>22877057.408</v>
      </c>
      <c r="O313" s="817">
        <v>-13726</v>
      </c>
      <c r="R313" s="982">
        <f t="shared" si="71"/>
        <v>22863331.408</v>
      </c>
      <c r="S313" s="878">
        <v>123.56601319443601</v>
      </c>
      <c r="T313" s="995">
        <f t="shared" si="69"/>
        <v>185029.28772188874</v>
      </c>
      <c r="U313" s="907">
        <v>44110</v>
      </c>
      <c r="V313" s="561" t="s">
        <v>1656</v>
      </c>
      <c r="W313" s="819">
        <v>44105.812807291666</v>
      </c>
      <c r="X313" s="971">
        <f t="shared" si="72"/>
        <v>-5.9998975196871612E-2</v>
      </c>
      <c r="Y313" s="584" t="s">
        <v>1693</v>
      </c>
      <c r="Z313" s="988" t="str">
        <f>VLOOKUP(AA313,'place of settlement'!A:C,2,FALSE)</f>
        <v>JJSDJPJTXXX</v>
      </c>
      <c r="AA313" s="988" t="str">
        <f t="shared" si="75"/>
        <v>JP</v>
      </c>
      <c r="AB313" s="988" t="str">
        <f t="shared" si="76"/>
        <v>Tavira SecuritiesJP</v>
      </c>
      <c r="AC313" s="988" t="str">
        <f>VLOOKUP(AB313,sample!$1:$1048576,2,FALSE)</f>
        <v>GSILGB2XXXX</v>
      </c>
      <c r="AD313" s="988" t="str">
        <f>VLOOKUP($AB313,sample!$1:$1048576,3,FALSE)</f>
        <v>JJSDJPJTXXX</v>
      </c>
      <c r="AE313" s="986">
        <f>VLOOKUP($AB313,sample!$1:$1048576,4,FALSE)</f>
        <v>6530490016</v>
      </c>
      <c r="AF313" s="988" t="str">
        <f>VLOOKUP($AB313,sample!$1:$1048576,5,FALSE)</f>
        <v>N</v>
      </c>
      <c r="AL313" s="986" t="str">
        <f>VLOOKUP($AB313,sample!$1:$1048576,11,FALSE)</f>
        <v xml:space="preserve">                  </v>
      </c>
      <c r="AM313" s="986" t="str">
        <f>VLOOKUP($AB313,sample!$1:$1048576,12,FALSE)</f>
        <v xml:space="preserve">                          </v>
      </c>
      <c r="AN313" s="986" t="str">
        <f>VLOOKUP($AB313,sample!$1:$1048576,13,FALSE)</f>
        <v>GOLDJPJXXXX</v>
      </c>
      <c r="AP313" s="988"/>
    </row>
    <row r="314" spans="1:42" s="584" customFormat="1">
      <c r="A314" s="929">
        <v>2019200331</v>
      </c>
      <c r="B314" s="887">
        <v>44106</v>
      </c>
      <c r="C314" s="816" t="s">
        <v>133</v>
      </c>
      <c r="D314" s="1133" t="str">
        <f>IFERROR(VLOOKUP(G314,PosAggregate!$B$13:$B$89,1,FALSE),"")</f>
        <v/>
      </c>
      <c r="E314" s="905" t="s">
        <v>12676</v>
      </c>
      <c r="F314" s="1006" t="str">
        <f t="shared" si="68"/>
        <v/>
      </c>
      <c r="G314" s="561" t="s">
        <v>2097</v>
      </c>
      <c r="I314" s="832" t="s">
        <v>12613</v>
      </c>
      <c r="J314" s="832" t="s">
        <v>125</v>
      </c>
      <c r="K314" s="878">
        <v>2647.5683899999999</v>
      </c>
      <c r="L314" s="878"/>
      <c r="M314" s="931">
        <v>6400</v>
      </c>
      <c r="N314" s="985">
        <f t="shared" si="70"/>
        <v>-16944437.695999999</v>
      </c>
      <c r="O314" s="817">
        <v>-10167</v>
      </c>
      <c r="R314" s="982">
        <f t="shared" si="71"/>
        <v>-16954604.695999999</v>
      </c>
      <c r="S314" s="878">
        <v>123.5660131944362</v>
      </c>
      <c r="T314" s="995">
        <f t="shared" si="69"/>
        <v>-137210.90660521053</v>
      </c>
      <c r="U314" s="907">
        <v>44110</v>
      </c>
      <c r="V314" s="561" t="s">
        <v>1656</v>
      </c>
      <c r="W314" s="819">
        <v>44105.813975462966</v>
      </c>
      <c r="X314" s="971">
        <f t="shared" si="72"/>
        <v>6.0001991110038906E-2</v>
      </c>
      <c r="Y314" s="584" t="s">
        <v>1693</v>
      </c>
      <c r="Z314" s="988" t="str">
        <f>VLOOKUP(AA314,'place of settlement'!A:C,2,FALSE)</f>
        <v>JJSDJPJTXXX</v>
      </c>
      <c r="AA314" s="988" t="str">
        <f t="shared" si="75"/>
        <v>JP</v>
      </c>
      <c r="AB314" s="988" t="str">
        <f t="shared" si="76"/>
        <v>Tavira SecuritiesJP</v>
      </c>
      <c r="AC314" s="988" t="str">
        <f>VLOOKUP(AB314,sample!$1:$1048576,2,FALSE)</f>
        <v>GSILGB2XXXX</v>
      </c>
      <c r="AD314" s="988" t="str">
        <f>VLOOKUP($AB314,sample!$1:$1048576,3,FALSE)</f>
        <v>JJSDJPJTXXX</v>
      </c>
      <c r="AE314" s="986">
        <f>VLOOKUP($AB314,sample!$1:$1048576,4,FALSE)</f>
        <v>6530490016</v>
      </c>
      <c r="AF314" s="988" t="str">
        <f>VLOOKUP($AB314,sample!$1:$1048576,5,FALSE)</f>
        <v>N</v>
      </c>
      <c r="AL314" s="986" t="str">
        <f>VLOOKUP($AB314,sample!$1:$1048576,11,FALSE)</f>
        <v xml:space="preserve">                  </v>
      </c>
      <c r="AM314" s="986" t="str">
        <f>VLOOKUP($AB314,sample!$1:$1048576,12,FALSE)</f>
        <v xml:space="preserve">                          </v>
      </c>
      <c r="AN314" s="986" t="str">
        <f>VLOOKUP($AB314,sample!$1:$1048576,13,FALSE)</f>
        <v>GOLDJPJXXXX</v>
      </c>
      <c r="AP314" s="988"/>
    </row>
    <row r="315" spans="1:42" s="584" customFormat="1">
      <c r="A315" s="929">
        <v>2019200332</v>
      </c>
      <c r="B315" s="887">
        <v>44106</v>
      </c>
      <c r="C315" s="816" t="s">
        <v>133</v>
      </c>
      <c r="D315" s="1133" t="str">
        <f>IFERROR(VLOOKUP(G315,PosAggregate!$B$13:$B$89,1,FALSE),"")</f>
        <v/>
      </c>
      <c r="E315" s="905" t="s">
        <v>12692</v>
      </c>
      <c r="F315" s="1006" t="str">
        <f t="shared" si="68"/>
        <v/>
      </c>
      <c r="G315" s="561" t="s">
        <v>2102</v>
      </c>
      <c r="I315" s="832" t="s">
        <v>12701</v>
      </c>
      <c r="J315" s="832" t="s">
        <v>1066</v>
      </c>
      <c r="K315" s="878">
        <v>0.55589999999999995</v>
      </c>
      <c r="L315" s="878"/>
      <c r="M315" s="931">
        <v>35000</v>
      </c>
      <c r="N315" s="985">
        <f t="shared" si="70"/>
        <v>-19456.5</v>
      </c>
      <c r="O315" s="817">
        <v>-11.67</v>
      </c>
      <c r="R315" s="982">
        <f t="shared" si="71"/>
        <v>-19468.169999999998</v>
      </c>
      <c r="S315" s="878">
        <v>1.0787285029602476</v>
      </c>
      <c r="T315" s="995">
        <f t="shared" si="69"/>
        <v>-18047.330673636072</v>
      </c>
      <c r="U315" s="907">
        <v>44110</v>
      </c>
      <c r="V315" s="561" t="s">
        <v>1183</v>
      </c>
      <c r="W315" s="819">
        <v>44106.353692592595</v>
      </c>
      <c r="X315" s="971">
        <f t="shared" si="72"/>
        <v>5.9979955284866236E-2</v>
      </c>
      <c r="Y315" s="584" t="s">
        <v>1693</v>
      </c>
      <c r="Z315" s="988" t="str">
        <f>VLOOKUP(AA315,'place of settlement'!A:C,2,FALSE)</f>
        <v>INSECHZZXXX</v>
      </c>
      <c r="AA315" s="988" t="str">
        <f t="shared" si="75"/>
        <v>CH</v>
      </c>
      <c r="AB315" s="988" t="str">
        <f t="shared" si="76"/>
        <v>EquitaCH</v>
      </c>
      <c r="AC315" s="988" t="str">
        <f>VLOOKUP(AB315,sample!$1:$1048576,2,FALSE)</f>
        <v>BCITITMMXXX</v>
      </c>
      <c r="AD315" s="988" t="str">
        <f>VLOOKUP($AB315,sample!$1:$1048576,3,FALSE)</f>
        <v>INSECHZZXXX</v>
      </c>
      <c r="AE315" s="986" t="str">
        <f>VLOOKUP($AB315,sample!$1:$1048576,4,FALSE)</f>
        <v>0835 0951260 75 010</v>
      </c>
      <c r="AF315" s="988" t="str">
        <f>VLOOKUP($AB315,sample!$1:$1048576,5,FALSE)</f>
        <v>N</v>
      </c>
      <c r="AL315" s="986" t="str">
        <f>VLOOKUP($AB315,sample!$1:$1048576,11,FALSE)</f>
        <v xml:space="preserve">        </v>
      </c>
      <c r="AM315" s="986" t="str">
        <f>VLOOKUP($AB315,sample!$1:$1048576,12,FALSE)</f>
        <v xml:space="preserve">        </v>
      </c>
      <c r="AN315" s="986" t="str">
        <f>VLOOKUP($AB315,sample!$1:$1048576,13,FALSE)</f>
        <v>CRESCHZZ80A</v>
      </c>
      <c r="AP315" s="988"/>
    </row>
    <row r="316" spans="1:42" s="584" customFormat="1">
      <c r="A316" s="929">
        <v>2019200333</v>
      </c>
      <c r="B316" s="887">
        <v>44110</v>
      </c>
      <c r="C316" s="816" t="s">
        <v>133</v>
      </c>
      <c r="D316" s="1133" t="str">
        <f>IFERROR(VLOOKUP(G316,PosAggregate!$B$13:$B$89,1,FALSE),"")</f>
        <v/>
      </c>
      <c r="E316" s="905" t="s">
        <v>12692</v>
      </c>
      <c r="F316" s="1006" t="str">
        <f t="shared" si="68"/>
        <v/>
      </c>
      <c r="G316" s="561" t="s">
        <v>2102</v>
      </c>
      <c r="I316" s="832" t="s">
        <v>12701</v>
      </c>
      <c r="J316" s="832" t="s">
        <v>1066</v>
      </c>
      <c r="K316" s="878">
        <v>0.5504</v>
      </c>
      <c r="L316" s="878"/>
      <c r="M316" s="931">
        <v>35000</v>
      </c>
      <c r="N316" s="985">
        <f t="shared" si="70"/>
        <v>-19264</v>
      </c>
      <c r="O316" s="817">
        <v>-11.56</v>
      </c>
      <c r="R316" s="982">
        <f t="shared" si="71"/>
        <v>-19275.560000000001</v>
      </c>
      <c r="S316" s="878">
        <v>1.0783204919770968</v>
      </c>
      <c r="T316" s="995">
        <f t="shared" si="69"/>
        <v>-17875.538991805981</v>
      </c>
      <c r="U316" s="907">
        <v>44112</v>
      </c>
      <c r="V316" s="561" t="s">
        <v>2103</v>
      </c>
      <c r="W316" s="819">
        <v>44110.36282800926</v>
      </c>
      <c r="X316" s="971">
        <f t="shared" si="72"/>
        <v>6.0008305647840536E-2</v>
      </c>
      <c r="Y316" s="584" t="s">
        <v>1693</v>
      </c>
      <c r="Z316" s="988" t="str">
        <f>VLOOKUP(AA316,'place of settlement'!A:C,2,FALSE)</f>
        <v>INSECHZZXXX</v>
      </c>
      <c r="AA316" s="988" t="str">
        <f t="shared" si="75"/>
        <v>CH</v>
      </c>
      <c r="AB316" s="988" t="str">
        <f t="shared" si="76"/>
        <v>Equita CH</v>
      </c>
      <c r="AC316" s="584" t="s">
        <v>1800</v>
      </c>
      <c r="AD316" s="584" t="s">
        <v>1733</v>
      </c>
      <c r="AE316" s="818" t="s">
        <v>1827</v>
      </c>
      <c r="AF316" s="584" t="s">
        <v>1794</v>
      </c>
      <c r="AL316" s="818">
        <v>0</v>
      </c>
      <c r="AM316" s="818">
        <v>0</v>
      </c>
      <c r="AN316" s="818" t="s">
        <v>1828</v>
      </c>
      <c r="AP316" s="988"/>
    </row>
    <row r="317" spans="1:42" s="584" customFormat="1">
      <c r="A317" s="584" t="s">
        <v>2062</v>
      </c>
      <c r="B317" s="816">
        <v>44113</v>
      </c>
      <c r="C317" s="816"/>
      <c r="D317" s="1133" t="str">
        <f>IFERROR(VLOOKUP(G317,PosAggregate!$B$13:$B$89,1,FALSE),"")</f>
        <v/>
      </c>
      <c r="E317" s="905" t="s">
        <v>1654</v>
      </c>
      <c r="F317" s="1006" t="str">
        <f t="shared" si="68"/>
        <v/>
      </c>
      <c r="G317" s="561" t="s">
        <v>2104</v>
      </c>
      <c r="I317" s="832" t="s">
        <v>1655</v>
      </c>
      <c r="J317" s="832" t="s">
        <v>1069</v>
      </c>
      <c r="K317" s="878"/>
      <c r="L317" s="878"/>
      <c r="M317" s="931">
        <v>1620</v>
      </c>
      <c r="N317" s="985">
        <f t="shared" si="70"/>
        <v>0</v>
      </c>
      <c r="O317" s="817"/>
      <c r="R317" s="982">
        <f t="shared" si="71"/>
        <v>0</v>
      </c>
      <c r="S317" s="878"/>
      <c r="T317" s="906"/>
      <c r="U317" s="907"/>
      <c r="V317" s="561"/>
      <c r="W317" s="819"/>
      <c r="X317" s="971" t="e">
        <f t="shared" si="72"/>
        <v>#DIV/0!</v>
      </c>
      <c r="Y317" s="584" t="s">
        <v>1693</v>
      </c>
      <c r="Z317" s="988" t="str">
        <f>VLOOKUP(AA317,'place of settlement'!A:C,2,FALSE)</f>
        <v>CAETAU21XXX</v>
      </c>
      <c r="AA317" s="988" t="str">
        <f t="shared" si="75"/>
        <v>AU</v>
      </c>
      <c r="AB317" s="988" t="str">
        <f t="shared" si="76"/>
        <v>AU</v>
      </c>
      <c r="AC317" s="988" t="e">
        <f>VLOOKUP(AB317,sample!$1:$1048576,2,FALSE)</f>
        <v>#N/A</v>
      </c>
      <c r="AD317" s="988" t="e">
        <f>VLOOKUP($AB317,sample!$1:$1048576,3,FALSE)</f>
        <v>#N/A</v>
      </c>
      <c r="AE317" s="986" t="e">
        <f>VLOOKUP($AB317,sample!$1:$1048576,4,FALSE)</f>
        <v>#N/A</v>
      </c>
      <c r="AF317" s="988" t="e">
        <f>VLOOKUP($AB317,sample!$1:$1048576,5,FALSE)</f>
        <v>#N/A</v>
      </c>
      <c r="AL317" s="986" t="e">
        <f>VLOOKUP($AB317,sample!$1:$1048576,11,FALSE)</f>
        <v>#N/A</v>
      </c>
      <c r="AM317" s="986" t="e">
        <f>VLOOKUP($AB317,sample!$1:$1048576,12,FALSE)</f>
        <v>#N/A</v>
      </c>
      <c r="AN317" s="986" t="e">
        <f>VLOOKUP($AB317,sample!$1:$1048576,13,FALSE)</f>
        <v>#N/A</v>
      </c>
      <c r="AP317" s="988"/>
    </row>
    <row r="318" spans="1:42">
      <c r="A318" s="716" t="s">
        <v>2062</v>
      </c>
      <c r="B318" s="881">
        <v>44124</v>
      </c>
      <c r="D318" s="1133" t="str">
        <f>IFERROR(VLOOKUP(G318,PosAggregate!$B$13:$B$89,1,FALSE),"")</f>
        <v/>
      </c>
      <c r="E318" s="769" t="s">
        <v>12693</v>
      </c>
      <c r="F318" s="1006" t="str">
        <f t="shared" si="68"/>
        <v/>
      </c>
      <c r="G318" s="594" t="s">
        <v>2106</v>
      </c>
      <c r="I318" s="833" t="s">
        <v>2107</v>
      </c>
      <c r="J318" s="833" t="s">
        <v>12606</v>
      </c>
      <c r="K318" s="878"/>
      <c r="L318" s="878"/>
      <c r="M318" s="931">
        <v>93079</v>
      </c>
      <c r="N318" s="985">
        <f t="shared" si="70"/>
        <v>0</v>
      </c>
      <c r="O318" s="817"/>
      <c r="P318" s="584"/>
      <c r="Q318" s="584"/>
      <c r="R318" s="982">
        <f t="shared" si="71"/>
        <v>0</v>
      </c>
      <c r="S318" s="878"/>
      <c r="T318" s="906"/>
      <c r="U318" s="907"/>
      <c r="V318" s="561"/>
      <c r="W318" s="819"/>
      <c r="X318" s="971" t="e">
        <f t="shared" si="72"/>
        <v>#DIV/0!</v>
      </c>
      <c r="Y318" s="584" t="s">
        <v>1693</v>
      </c>
      <c r="Z318" s="988" t="str">
        <f>VLOOKUP(AA318,'place of settlement'!A:C,2,FALSE)</f>
        <v>VPCSSESSXXX</v>
      </c>
      <c r="AA318" s="988" t="str">
        <f t="shared" si="75"/>
        <v>SE</v>
      </c>
      <c r="AB318" s="988" t="str">
        <f t="shared" si="76"/>
        <v>SE</v>
      </c>
      <c r="AC318" s="988" t="e">
        <f>VLOOKUP(AB318,sample!$1:$1048576,2,FALSE)</f>
        <v>#N/A</v>
      </c>
      <c r="AD318" s="988" t="e">
        <f>VLOOKUP($AB318,sample!$1:$1048576,3,FALSE)</f>
        <v>#N/A</v>
      </c>
      <c r="AE318" s="986" t="e">
        <f>VLOOKUP($AB318,sample!$1:$1048576,4,FALSE)</f>
        <v>#N/A</v>
      </c>
      <c r="AF318" s="988" t="e">
        <f>VLOOKUP($AB318,sample!$1:$1048576,5,FALSE)</f>
        <v>#N/A</v>
      </c>
      <c r="AL318" s="973" t="e">
        <f>VLOOKUP($AB318,sample!$1:$1048576,11,FALSE)</f>
        <v>#N/A</v>
      </c>
      <c r="AM318" s="973" t="e">
        <f>VLOOKUP($AB318,sample!$1:$1048576,12,FALSE)</f>
        <v>#N/A</v>
      </c>
      <c r="AN318" s="973" t="e">
        <f>VLOOKUP($AB318,sample!$1:$1048576,13,FALSE)</f>
        <v>#N/A</v>
      </c>
      <c r="AP318" s="988"/>
    </row>
    <row r="319" spans="1:42">
      <c r="A319" s="929">
        <v>2019200334</v>
      </c>
      <c r="B319" s="881">
        <v>44137</v>
      </c>
      <c r="C319" s="881" t="s">
        <v>134</v>
      </c>
      <c r="D319" s="1133" t="str">
        <f>IFERROR(VLOOKUP(G319,PosAggregate!$B$13:$B$89,1,FALSE),"")</f>
        <v/>
      </c>
      <c r="E319" s="769" t="s">
        <v>1199</v>
      </c>
      <c r="F319" s="1006" t="str">
        <f t="shared" si="68"/>
        <v/>
      </c>
      <c r="G319" s="594" t="s">
        <v>1148</v>
      </c>
      <c r="I319" s="833" t="s">
        <v>1084</v>
      </c>
      <c r="J319" s="833" t="s">
        <v>125</v>
      </c>
      <c r="K319" s="878">
        <v>595.59880999999996</v>
      </c>
      <c r="L319" s="878"/>
      <c r="M319" s="931">
        <v>-20500</v>
      </c>
      <c r="N319" s="985">
        <f t="shared" si="70"/>
        <v>12209775.604999999</v>
      </c>
      <c r="O319" s="817">
        <v>-7326</v>
      </c>
      <c r="P319" s="584"/>
      <c r="Q319" s="584"/>
      <c r="R319" s="982">
        <f t="shared" si="71"/>
        <v>12202449.604999999</v>
      </c>
      <c r="S319" s="878">
        <v>122.12234415129581</v>
      </c>
      <c r="T319" s="995">
        <f t="shared" ref="T319:T342" si="77">+R319/S319</f>
        <v>99919.876987314783</v>
      </c>
      <c r="U319" s="907">
        <v>44140</v>
      </c>
      <c r="V319" s="561" t="s">
        <v>1656</v>
      </c>
      <c r="W319" s="819">
        <v>44134.760702083331</v>
      </c>
      <c r="X319" s="971">
        <f t="shared" si="72"/>
        <v>-6.0001102698398041E-2</v>
      </c>
      <c r="Y319" s="584" t="s">
        <v>1693</v>
      </c>
      <c r="Z319" s="988" t="str">
        <f>VLOOKUP(AA319,'place of settlement'!A:C,2,FALSE)</f>
        <v>JJSDJPJTXXX</v>
      </c>
      <c r="AA319" s="988" t="str">
        <f t="shared" si="75"/>
        <v>JP</v>
      </c>
      <c r="AB319" s="988" t="str">
        <f t="shared" si="76"/>
        <v>Tavira SecuritiesJP</v>
      </c>
      <c r="AC319" s="988" t="str">
        <f>VLOOKUP(AB319,sample!$1:$1048576,2,FALSE)</f>
        <v>GSILGB2XXXX</v>
      </c>
      <c r="AD319" s="988" t="str">
        <f>VLOOKUP($AB319,sample!$1:$1048576,3,FALSE)</f>
        <v>JJSDJPJTXXX</v>
      </c>
      <c r="AE319" s="986">
        <f>VLOOKUP($AB319,sample!$1:$1048576,4,FALSE)</f>
        <v>6530490016</v>
      </c>
      <c r="AF319" s="988" t="str">
        <f>VLOOKUP($AB319,sample!$1:$1048576,5,FALSE)</f>
        <v>N</v>
      </c>
      <c r="AL319" s="973" t="str">
        <f>VLOOKUP($AB319,sample!$1:$1048576,11,FALSE)</f>
        <v xml:space="preserve">                  </v>
      </c>
      <c r="AM319" s="973" t="str">
        <f>VLOOKUP($AB319,sample!$1:$1048576,12,FALSE)</f>
        <v xml:space="preserve">                          </v>
      </c>
      <c r="AN319" s="973" t="str">
        <f>VLOOKUP($AB319,sample!$1:$1048576,13,FALSE)</f>
        <v>GOLDJPJXXXX</v>
      </c>
      <c r="AP319" s="988"/>
    </row>
    <row r="320" spans="1:42">
      <c r="A320" s="929">
        <v>2019200335</v>
      </c>
      <c r="B320" s="881">
        <v>44137</v>
      </c>
      <c r="C320" s="881" t="s">
        <v>134</v>
      </c>
      <c r="D320" s="1133" t="str">
        <f>IFERROR(VLOOKUP(G320,PosAggregate!$B$13:$B$89,1,FALSE),"")</f>
        <v/>
      </c>
      <c r="E320" s="769" t="s">
        <v>1211</v>
      </c>
      <c r="F320" s="1006" t="str">
        <f t="shared" si="68"/>
        <v/>
      </c>
      <c r="G320" s="594" t="s">
        <v>1161</v>
      </c>
      <c r="I320" s="833" t="s">
        <v>1094</v>
      </c>
      <c r="J320" s="833" t="s">
        <v>123</v>
      </c>
      <c r="K320" s="878">
        <v>42943.333333000002</v>
      </c>
      <c r="L320" s="878"/>
      <c r="M320" s="931">
        <v>-1500</v>
      </c>
      <c r="N320" s="985">
        <f t="shared" si="70"/>
        <v>64414999.999500006</v>
      </c>
      <c r="O320" s="817">
        <v>-96623</v>
      </c>
      <c r="P320" s="817">
        <v>-161030</v>
      </c>
      <c r="Q320" s="584"/>
      <c r="R320" s="982">
        <f t="shared" si="71"/>
        <v>64157346.999500006</v>
      </c>
      <c r="S320" s="878">
        <v>1319.2388512724742</v>
      </c>
      <c r="T320" s="998">
        <f t="shared" si="77"/>
        <v>48632.093375370896</v>
      </c>
      <c r="U320" s="907">
        <v>44139</v>
      </c>
      <c r="V320" s="561" t="s">
        <v>1656</v>
      </c>
      <c r="W320" s="819">
        <v>44134.762179976853</v>
      </c>
      <c r="X320" s="971">
        <f t="shared" si="72"/>
        <v>-0.15000077621788402</v>
      </c>
      <c r="Y320" s="584" t="s">
        <v>1693</v>
      </c>
      <c r="Z320" s="988" t="str">
        <f>VLOOKUP(AA320,'place of settlement'!A:C,2,FALSE)</f>
        <v>KSDCKRSEXXX</v>
      </c>
      <c r="AA320" s="988" t="str">
        <f t="shared" si="75"/>
        <v>KR</v>
      </c>
      <c r="AB320" s="988" t="str">
        <f t="shared" si="76"/>
        <v>Tavira SecuritiesKR</v>
      </c>
      <c r="AC320" s="988" t="str">
        <f>VLOOKUP(AB320,sample!$1:$1048576,2,FALSE)</f>
        <v>GSILGB2XXXX</v>
      </c>
      <c r="AD320" s="988" t="str">
        <f>VLOOKUP($AB320,sample!$1:$1048576,3,FALSE)</f>
        <v>KSDCKRSE</v>
      </c>
      <c r="AE320" s="986" t="str">
        <f>VLOOKUP($AB320,sample!$1:$1048576,4,FALSE)</f>
        <v>GSKR30004960</v>
      </c>
      <c r="AF320" s="988" t="str">
        <f>VLOOKUP($AB320,sample!$1:$1048576,5,FALSE)</f>
        <v>N</v>
      </c>
      <c r="AL320" s="973" t="str">
        <f>VLOOKUP($AB320,sample!$1:$1048576,11,FALSE)</f>
        <v xml:space="preserve">        </v>
      </c>
      <c r="AM320" s="973" t="str">
        <f>VLOOKUP($AB320,sample!$1:$1048576,12,FALSE)</f>
        <v xml:space="preserve">        </v>
      </c>
      <c r="AN320" s="973" t="str">
        <f>VLOOKUP($AB320,sample!$1:$1048576,13,FALSE)</f>
        <v>SCBLKRSE</v>
      </c>
      <c r="AP320" s="988"/>
    </row>
    <row r="321" spans="1:42">
      <c r="A321" s="929">
        <v>2019200336</v>
      </c>
      <c r="B321" s="881">
        <v>44137</v>
      </c>
      <c r="C321" s="881" t="s">
        <v>134</v>
      </c>
      <c r="D321" s="1133" t="str">
        <f>IFERROR(VLOOKUP(G321,PosAggregate!$B$13:$B$89,1,FALSE),"")</f>
        <v/>
      </c>
      <c r="E321" s="769" t="s">
        <v>1198</v>
      </c>
      <c r="F321" s="1006" t="str">
        <f t="shared" si="68"/>
        <v/>
      </c>
      <c r="G321" s="594" t="s">
        <v>1147</v>
      </c>
      <c r="I321" s="833" t="s">
        <v>1093</v>
      </c>
      <c r="J321" s="833" t="s">
        <v>125</v>
      </c>
      <c r="K321" s="878">
        <v>1719.4545499999999</v>
      </c>
      <c r="L321" s="878"/>
      <c r="M321" s="931">
        <v>-2200</v>
      </c>
      <c r="N321" s="985">
        <f t="shared" si="70"/>
        <v>3782800.01</v>
      </c>
      <c r="O321" s="817">
        <v>-2270</v>
      </c>
      <c r="P321" s="584"/>
      <c r="Q321" s="584"/>
      <c r="R321" s="982">
        <f t="shared" si="71"/>
        <v>3780530.01</v>
      </c>
      <c r="S321" s="878">
        <v>122.12234415129581</v>
      </c>
      <c r="T321" s="995">
        <f t="shared" si="77"/>
        <v>30956.906668253516</v>
      </c>
      <c r="U321" s="907">
        <v>44140</v>
      </c>
      <c r="V321" s="561" t="s">
        <v>1656</v>
      </c>
      <c r="W321" s="819">
        <v>44134.764103935187</v>
      </c>
      <c r="X321" s="971">
        <f t="shared" si="72"/>
        <v>-6.0008459183651108E-2</v>
      </c>
      <c r="Y321" s="584" t="s">
        <v>1693</v>
      </c>
      <c r="Z321" s="988" t="str">
        <f>VLOOKUP(AA321,'place of settlement'!A:C,2,FALSE)</f>
        <v>JJSDJPJTXXX</v>
      </c>
      <c r="AA321" s="988" t="str">
        <f t="shared" si="75"/>
        <v>JP</v>
      </c>
      <c r="AB321" s="988" t="str">
        <f t="shared" si="76"/>
        <v>Tavira SecuritiesJP</v>
      </c>
      <c r="AC321" s="988" t="str">
        <f>VLOOKUP(AB321,sample!$1:$1048576,2,FALSE)</f>
        <v>GSILGB2XXXX</v>
      </c>
      <c r="AD321" s="988" t="str">
        <f>VLOOKUP($AB321,sample!$1:$1048576,3,FALSE)</f>
        <v>JJSDJPJTXXX</v>
      </c>
      <c r="AE321" s="986">
        <f>VLOOKUP($AB321,sample!$1:$1048576,4,FALSE)</f>
        <v>6530490016</v>
      </c>
      <c r="AF321" s="988" t="str">
        <f>VLOOKUP($AB321,sample!$1:$1048576,5,FALSE)</f>
        <v>N</v>
      </c>
      <c r="AL321" s="973" t="str">
        <f>VLOOKUP($AB321,sample!$1:$1048576,11,FALSE)</f>
        <v xml:space="preserve">                  </v>
      </c>
      <c r="AM321" s="973" t="str">
        <f>VLOOKUP($AB321,sample!$1:$1048576,12,FALSE)</f>
        <v xml:space="preserve">                          </v>
      </c>
      <c r="AN321" s="973" t="str">
        <f>VLOOKUP($AB321,sample!$1:$1048576,13,FALSE)</f>
        <v>GOLDJPJXXXX</v>
      </c>
      <c r="AP321" s="988"/>
    </row>
    <row r="322" spans="1:42">
      <c r="A322" s="929">
        <v>2019200337</v>
      </c>
      <c r="B322" s="881">
        <v>44137</v>
      </c>
      <c r="C322" s="881" t="s">
        <v>134</v>
      </c>
      <c r="D322" s="1133" t="str">
        <f>IFERROR(VLOOKUP(G322,PosAggregate!$B$13:$B$89,1,FALSE),"")</f>
        <v/>
      </c>
      <c r="E322" s="769" t="s">
        <v>1200</v>
      </c>
      <c r="F322" s="1006" t="str">
        <f t="shared" si="68"/>
        <v/>
      </c>
      <c r="G322" s="594" t="s">
        <v>1149</v>
      </c>
      <c r="I322" s="833" t="s">
        <v>1098</v>
      </c>
      <c r="J322" s="833" t="s">
        <v>125</v>
      </c>
      <c r="K322" s="878">
        <v>1789.9085399999999</v>
      </c>
      <c r="L322" s="878"/>
      <c r="M322" s="931">
        <v>-4920</v>
      </c>
      <c r="N322" s="985">
        <f t="shared" si="70"/>
        <v>8806350.0167999994</v>
      </c>
      <c r="O322" s="817">
        <v>-5284</v>
      </c>
      <c r="P322" s="584"/>
      <c r="Q322" s="584"/>
      <c r="R322" s="982">
        <f t="shared" si="71"/>
        <v>8801066.0167999994</v>
      </c>
      <c r="S322" s="878">
        <v>122.12234415129622</v>
      </c>
      <c r="T322" s="995">
        <f t="shared" si="77"/>
        <v>72067.614472716334</v>
      </c>
      <c r="U322" s="907">
        <v>44140</v>
      </c>
      <c r="V322" s="561" t="s">
        <v>1656</v>
      </c>
      <c r="W322" s="819">
        <v>44134.764984837966</v>
      </c>
      <c r="X322" s="971">
        <f t="shared" si="72"/>
        <v>-6.0002157419585166E-2</v>
      </c>
      <c r="Y322" s="584" t="s">
        <v>1693</v>
      </c>
      <c r="Z322" s="988" t="str">
        <f>VLOOKUP(AA322,'place of settlement'!A:C,2,FALSE)</f>
        <v>JJSDJPJTXXX</v>
      </c>
      <c r="AA322" s="988" t="str">
        <f t="shared" si="75"/>
        <v>JP</v>
      </c>
      <c r="AB322" s="988" t="str">
        <f t="shared" si="76"/>
        <v>Tavira SecuritiesJP</v>
      </c>
      <c r="AC322" s="988" t="str">
        <f>VLOOKUP(AB322,sample!$1:$1048576,2,FALSE)</f>
        <v>GSILGB2XXXX</v>
      </c>
      <c r="AD322" s="988" t="str">
        <f>VLOOKUP($AB322,sample!$1:$1048576,3,FALSE)</f>
        <v>JJSDJPJTXXX</v>
      </c>
      <c r="AE322" s="986">
        <f>VLOOKUP($AB322,sample!$1:$1048576,4,FALSE)</f>
        <v>6530490016</v>
      </c>
      <c r="AF322" s="988" t="str">
        <f>VLOOKUP($AB322,sample!$1:$1048576,5,FALSE)</f>
        <v>N</v>
      </c>
      <c r="AL322" s="973" t="str">
        <f>VLOOKUP($AB322,sample!$1:$1048576,11,FALSE)</f>
        <v xml:space="preserve">                  </v>
      </c>
      <c r="AM322" s="973" t="str">
        <f>VLOOKUP($AB322,sample!$1:$1048576,12,FALSE)</f>
        <v xml:space="preserve">                          </v>
      </c>
      <c r="AN322" s="973" t="str">
        <f>VLOOKUP($AB322,sample!$1:$1048576,13,FALSE)</f>
        <v>GOLDJPJXXXX</v>
      </c>
      <c r="AP322" s="988"/>
    </row>
    <row r="323" spans="1:42">
      <c r="A323" s="929">
        <v>2019200338</v>
      </c>
      <c r="B323" s="881">
        <v>44137</v>
      </c>
      <c r="C323" s="881" t="s">
        <v>133</v>
      </c>
      <c r="D323" s="1133" t="str">
        <f>IFERROR(VLOOKUP(G323,PosAggregate!$B$13:$B$89,1,FALSE),"")</f>
        <v/>
      </c>
      <c r="E323" s="769" t="s">
        <v>1654</v>
      </c>
      <c r="F323" s="1006" t="str">
        <f t="shared" si="68"/>
        <v/>
      </c>
      <c r="G323" s="594" t="s">
        <v>1647</v>
      </c>
      <c r="I323" s="833" t="s">
        <v>1655</v>
      </c>
      <c r="J323" s="833" t="s">
        <v>1069</v>
      </c>
      <c r="K323" s="878">
        <v>1.94089</v>
      </c>
      <c r="L323" s="878"/>
      <c r="M323" s="931">
        <v>120000</v>
      </c>
      <c r="N323" s="985">
        <f t="shared" si="70"/>
        <v>-232906.8</v>
      </c>
      <c r="O323" s="817">
        <v>-139.74</v>
      </c>
      <c r="P323" s="584"/>
      <c r="Q323" s="584"/>
      <c r="R323" s="982">
        <f t="shared" si="71"/>
        <v>-233046.53999999998</v>
      </c>
      <c r="S323" s="878">
        <v>1.6610786831660023</v>
      </c>
      <c r="T323" s="998">
        <f t="shared" si="77"/>
        <v>-140298.31480096729</v>
      </c>
      <c r="U323" s="907">
        <v>44139</v>
      </c>
      <c r="V323" s="561" t="s">
        <v>1656</v>
      </c>
      <c r="W323" s="819">
        <v>44134.766098495369</v>
      </c>
      <c r="X323" s="971">
        <f t="shared" si="72"/>
        <v>5.9998248226329168E-2</v>
      </c>
      <c r="Y323" s="584" t="s">
        <v>1693</v>
      </c>
      <c r="Z323" s="988" t="str">
        <f>VLOOKUP(AA323,'place of settlement'!A:C,2,FALSE)</f>
        <v>CAETAU21XXX</v>
      </c>
      <c r="AA323" s="988" t="str">
        <f t="shared" si="75"/>
        <v>AU</v>
      </c>
      <c r="AB323" s="988" t="str">
        <f t="shared" si="76"/>
        <v>Tavira SecuritiesAU</v>
      </c>
      <c r="AC323" s="988" t="str">
        <f>VLOOKUP(AB323,sample!$1:$1048576,2,FALSE)</f>
        <v>GSILGB2XXXX</v>
      </c>
      <c r="AD323" s="988" t="str">
        <f>VLOOKUP($AB323,sample!$1:$1048576,3,FALSE)</f>
        <v>CAETAU21</v>
      </c>
      <c r="AE323" s="986" t="str">
        <f>VLOOKUP($AB323,sample!$1:$1048576,4,FALSE)</f>
        <v>011-109048-061</v>
      </c>
      <c r="AF323" s="988" t="str">
        <f>VLOOKUP($AB323,sample!$1:$1048576,5,FALSE)</f>
        <v>N</v>
      </c>
      <c r="AL323" s="973" t="str">
        <f>VLOOKUP($AB323,sample!$1:$1048576,11,FALSE)</f>
        <v xml:space="preserve">        </v>
      </c>
      <c r="AM323" s="973" t="str">
        <f>VLOOKUP($AB323,sample!$1:$1048576,12,FALSE)</f>
        <v xml:space="preserve">        </v>
      </c>
      <c r="AN323" s="973" t="str">
        <f>VLOOKUP($AB323,sample!$1:$1048576,13,FALSE)</f>
        <v>HKBAAU2SSYD</v>
      </c>
      <c r="AP323" s="988"/>
    </row>
    <row r="324" spans="1:42">
      <c r="A324" s="929">
        <v>2019200339</v>
      </c>
      <c r="B324" s="881">
        <v>44137</v>
      </c>
      <c r="C324" s="881" t="s">
        <v>133</v>
      </c>
      <c r="D324" s="1133" t="str">
        <f>IFERROR(VLOOKUP(G324,PosAggregate!$B$13:$B$89,1,FALSE),"")</f>
        <v/>
      </c>
      <c r="E324" s="769" t="s">
        <v>12676</v>
      </c>
      <c r="F324" s="1006" t="str">
        <f t="shared" si="68"/>
        <v/>
      </c>
      <c r="G324" s="594" t="s">
        <v>2097</v>
      </c>
      <c r="I324" s="833" t="s">
        <v>12613</v>
      </c>
      <c r="J324" s="833" t="s">
        <v>125</v>
      </c>
      <c r="K324" s="878">
        <v>2607</v>
      </c>
      <c r="L324" s="878"/>
      <c r="M324" s="878">
        <v>4200</v>
      </c>
      <c r="N324" s="985">
        <f t="shared" si="70"/>
        <v>-10949400</v>
      </c>
      <c r="O324" s="817">
        <v>-6570</v>
      </c>
      <c r="P324" s="584"/>
      <c r="Q324" s="584"/>
      <c r="R324" s="982">
        <f t="shared" si="71"/>
        <v>-10955970</v>
      </c>
      <c r="S324" s="878">
        <v>122.12234415129581</v>
      </c>
      <c r="T324" s="995">
        <f t="shared" si="77"/>
        <v>-89713.066647548039</v>
      </c>
      <c r="U324" s="907">
        <v>44140</v>
      </c>
      <c r="V324" s="561" t="s">
        <v>1656</v>
      </c>
      <c r="W324" s="819">
        <v>44134.767200694441</v>
      </c>
      <c r="X324" s="971">
        <f t="shared" si="72"/>
        <v>6.0003287851389121E-2</v>
      </c>
      <c r="Y324" s="584" t="s">
        <v>1693</v>
      </c>
      <c r="Z324" s="988" t="str">
        <f>VLOOKUP(AA324,'place of settlement'!A:C,2,FALSE)</f>
        <v>JJSDJPJTXXX</v>
      </c>
      <c r="AA324" s="988" t="str">
        <f t="shared" si="75"/>
        <v>JP</v>
      </c>
      <c r="AB324" s="988" t="str">
        <f t="shared" si="76"/>
        <v>Tavira SecuritiesJP</v>
      </c>
      <c r="AC324" s="988" t="str">
        <f>VLOOKUP(AB324,sample!$1:$1048576,2,FALSE)</f>
        <v>GSILGB2XXXX</v>
      </c>
      <c r="AD324" s="988" t="str">
        <f>VLOOKUP($AB324,sample!$1:$1048576,3,FALSE)</f>
        <v>JJSDJPJTXXX</v>
      </c>
      <c r="AE324" s="986">
        <f>VLOOKUP($AB324,sample!$1:$1048576,4,FALSE)</f>
        <v>6530490016</v>
      </c>
      <c r="AF324" s="988" t="str">
        <f>VLOOKUP($AB324,sample!$1:$1048576,5,FALSE)</f>
        <v>N</v>
      </c>
      <c r="AL324" s="973" t="str">
        <f>VLOOKUP($AB324,sample!$1:$1048576,11,FALSE)</f>
        <v xml:space="preserve">                  </v>
      </c>
      <c r="AM324" s="973" t="str">
        <f>VLOOKUP($AB324,sample!$1:$1048576,12,FALSE)</f>
        <v xml:space="preserve">                          </v>
      </c>
      <c r="AN324" s="973" t="str">
        <f>VLOOKUP($AB324,sample!$1:$1048576,13,FALSE)</f>
        <v>GOLDJPJXXXX</v>
      </c>
      <c r="AP324" s="988"/>
    </row>
    <row r="325" spans="1:42">
      <c r="A325" s="929">
        <v>2019200340</v>
      </c>
      <c r="B325" s="881">
        <v>44137</v>
      </c>
      <c r="C325" s="881" t="s">
        <v>133</v>
      </c>
      <c r="D325" s="1133" t="str">
        <f>IFERROR(VLOOKUP(G325,PosAggregate!$B$13:$B$89,1,FALSE),"")</f>
        <v/>
      </c>
      <c r="E325" s="769" t="s">
        <v>1203</v>
      </c>
      <c r="F325" s="1006" t="str">
        <f t="shared" si="68"/>
        <v/>
      </c>
      <c r="G325" s="594" t="s">
        <v>1152</v>
      </c>
      <c r="I325" s="833" t="s">
        <v>1109</v>
      </c>
      <c r="J325" s="833" t="s">
        <v>125</v>
      </c>
      <c r="K325" s="878">
        <v>1080.1529399999999</v>
      </c>
      <c r="L325" s="878"/>
      <c r="M325" s="878">
        <v>4250</v>
      </c>
      <c r="N325" s="985">
        <f t="shared" si="70"/>
        <v>-4590649.9950000001</v>
      </c>
      <c r="O325" s="817">
        <v>-2574</v>
      </c>
      <c r="P325" s="584"/>
      <c r="Q325" s="584"/>
      <c r="R325" s="982">
        <f t="shared" si="71"/>
        <v>-4593223.9950000001</v>
      </c>
      <c r="S325" s="878">
        <v>122.12234415129581</v>
      </c>
      <c r="T325" s="995">
        <f t="shared" si="77"/>
        <v>-37611.659249756245</v>
      </c>
      <c r="U325" s="907">
        <v>44140</v>
      </c>
      <c r="V325" s="561" t="s">
        <v>1656</v>
      </c>
      <c r="W325" s="819">
        <v>44134.782312615738</v>
      </c>
      <c r="X325" s="971">
        <f t="shared" si="72"/>
        <v>5.6070491167994167E-2</v>
      </c>
      <c r="Y325" s="584" t="s">
        <v>1693</v>
      </c>
      <c r="Z325" s="988" t="str">
        <f>VLOOKUP(AA325,'place of settlement'!A:C,2,FALSE)</f>
        <v>JJSDJPJTXXX</v>
      </c>
      <c r="AA325" s="988" t="str">
        <f t="shared" si="75"/>
        <v>JP</v>
      </c>
      <c r="AB325" s="988" t="str">
        <f t="shared" si="76"/>
        <v>Tavira SecuritiesJP</v>
      </c>
      <c r="AC325" s="988" t="str">
        <f>VLOOKUP(AB325,sample!$1:$1048576,2,FALSE)</f>
        <v>GSILGB2XXXX</v>
      </c>
      <c r="AD325" s="988" t="str">
        <f>VLOOKUP($AB325,sample!$1:$1048576,3,FALSE)</f>
        <v>JJSDJPJTXXX</v>
      </c>
      <c r="AE325" s="986">
        <f>VLOOKUP($AB325,sample!$1:$1048576,4,FALSE)</f>
        <v>6530490016</v>
      </c>
      <c r="AF325" s="988" t="str">
        <f>VLOOKUP($AB325,sample!$1:$1048576,5,FALSE)</f>
        <v>N</v>
      </c>
      <c r="AL325" s="973" t="str">
        <f>VLOOKUP($AB325,sample!$1:$1048576,11,FALSE)</f>
        <v xml:space="preserve">                  </v>
      </c>
      <c r="AM325" s="973" t="str">
        <f>VLOOKUP($AB325,sample!$1:$1048576,12,FALSE)</f>
        <v xml:space="preserve">                          </v>
      </c>
      <c r="AN325" s="973" t="str">
        <f>VLOOKUP($AB325,sample!$1:$1048576,13,FALSE)</f>
        <v>GOLDJPJXXXX</v>
      </c>
      <c r="AP325" s="988"/>
    </row>
    <row r="326" spans="1:42">
      <c r="A326" s="929">
        <v>2019200344</v>
      </c>
      <c r="B326" s="881">
        <v>44137</v>
      </c>
      <c r="C326" s="881" t="s">
        <v>133</v>
      </c>
      <c r="D326" s="1133" t="str">
        <f>IFERROR(VLOOKUP(G326,PosAggregate!$B$13:$B$89,1,FALSE),"")</f>
        <v/>
      </c>
      <c r="E326" s="769" t="s">
        <v>1630</v>
      </c>
      <c r="F326" s="1006" t="str">
        <f t="shared" si="68"/>
        <v/>
      </c>
      <c r="G326" s="594" t="s">
        <v>1623</v>
      </c>
      <c r="I326" s="833" t="s">
        <v>1624</v>
      </c>
      <c r="J326" s="833" t="s">
        <v>125</v>
      </c>
      <c r="K326" s="878">
        <v>2950.3487300000002</v>
      </c>
      <c r="L326" s="878"/>
      <c r="M326" s="878">
        <v>1150</v>
      </c>
      <c r="N326" s="985">
        <f t="shared" si="70"/>
        <v>-3392901.0395</v>
      </c>
      <c r="O326" s="817">
        <v>-2036</v>
      </c>
      <c r="P326" s="584"/>
      <c r="Q326" s="584"/>
      <c r="R326" s="982">
        <f t="shared" si="71"/>
        <v>-3394937.0395</v>
      </c>
      <c r="S326" s="878">
        <v>122.12234415129568</v>
      </c>
      <c r="T326" s="995">
        <f t="shared" si="77"/>
        <v>-27799.47488801934</v>
      </c>
      <c r="U326" s="907">
        <v>44140</v>
      </c>
      <c r="V326" s="561" t="s">
        <v>1656</v>
      </c>
      <c r="W326" s="819">
        <v>44134.783204861109</v>
      </c>
      <c r="X326" s="971">
        <f t="shared" si="72"/>
        <v>6.0007644676251401E-2</v>
      </c>
      <c r="Y326" s="584" t="s">
        <v>1693</v>
      </c>
      <c r="Z326" s="988" t="str">
        <f>VLOOKUP(AA326,'place of settlement'!A:C,2,FALSE)</f>
        <v>JJSDJPJTXXX</v>
      </c>
      <c r="AA326" s="988" t="str">
        <f t="shared" si="75"/>
        <v>JP</v>
      </c>
      <c r="AB326" s="988" t="str">
        <f t="shared" si="76"/>
        <v>Tavira SecuritiesJP</v>
      </c>
      <c r="AC326" s="988" t="str">
        <f>VLOOKUP(AB326,sample!$1:$1048576,2,FALSE)</f>
        <v>GSILGB2XXXX</v>
      </c>
      <c r="AD326" s="988" t="str">
        <f>VLOOKUP($AB326,sample!$1:$1048576,3,FALSE)</f>
        <v>JJSDJPJTXXX</v>
      </c>
      <c r="AE326" s="986">
        <f>VLOOKUP($AB326,sample!$1:$1048576,4,FALSE)</f>
        <v>6530490016</v>
      </c>
      <c r="AF326" s="988" t="str">
        <f>VLOOKUP($AB326,sample!$1:$1048576,5,FALSE)</f>
        <v>N</v>
      </c>
      <c r="AL326" s="973" t="str">
        <f>VLOOKUP($AB326,sample!$1:$1048576,11,FALSE)</f>
        <v xml:space="preserve">                  </v>
      </c>
      <c r="AM326" s="973" t="str">
        <f>VLOOKUP($AB326,sample!$1:$1048576,12,FALSE)</f>
        <v xml:space="preserve">                          </v>
      </c>
      <c r="AN326" s="973" t="str">
        <f>VLOOKUP($AB326,sample!$1:$1048576,13,FALSE)</f>
        <v>GOLDJPJXXXX</v>
      </c>
      <c r="AP326" s="988"/>
    </row>
    <row r="327" spans="1:42">
      <c r="A327" s="929">
        <v>2019200345</v>
      </c>
      <c r="B327" s="881">
        <v>44137</v>
      </c>
      <c r="C327" s="881" t="s">
        <v>133</v>
      </c>
      <c r="D327" s="1133" t="str">
        <f>IFERROR(VLOOKUP(G327,PosAggregate!$B$13:$B$89,1,FALSE),"")</f>
        <v/>
      </c>
      <c r="E327" s="769" t="s">
        <v>12694</v>
      </c>
      <c r="F327" s="1006" t="str">
        <f t="shared" si="68"/>
        <v/>
      </c>
      <c r="G327" s="594" t="s">
        <v>2108</v>
      </c>
      <c r="I327" s="833" t="s">
        <v>1102</v>
      </c>
      <c r="J327" s="833" t="s">
        <v>123</v>
      </c>
      <c r="K327" s="878">
        <v>125073.232323</v>
      </c>
      <c r="L327" s="878"/>
      <c r="M327" s="878">
        <v>990</v>
      </c>
      <c r="N327" s="985">
        <f t="shared" si="70"/>
        <v>-123822499.99977</v>
      </c>
      <c r="O327" s="817">
        <v>-185734</v>
      </c>
      <c r="P327" s="584"/>
      <c r="Q327" s="584"/>
      <c r="R327" s="982">
        <f t="shared" si="71"/>
        <v>-124008233.99977</v>
      </c>
      <c r="S327" s="878">
        <v>1323.6702034731366</v>
      </c>
      <c r="T327" s="998">
        <f t="shared" si="77"/>
        <v>-93685.144286234368</v>
      </c>
      <c r="U327" s="907">
        <v>44139</v>
      </c>
      <c r="V327" s="561" t="s">
        <v>1184</v>
      </c>
      <c r="W327" s="819">
        <v>44137.463215046293</v>
      </c>
      <c r="X327" s="971">
        <f t="shared" si="72"/>
        <v>0.15000020190219468</v>
      </c>
      <c r="Y327" s="584" t="s">
        <v>1693</v>
      </c>
      <c r="Z327" s="988" t="str">
        <f>VLOOKUP(AA327,'place of settlement'!A:C,2,FALSE)</f>
        <v>KSDCKRSEXXX</v>
      </c>
      <c r="AA327" s="988" t="str">
        <f t="shared" si="75"/>
        <v>KR</v>
      </c>
      <c r="AB327" s="988" t="str">
        <f t="shared" si="76"/>
        <v>SamsungKR</v>
      </c>
      <c r="AC327" s="988" t="e">
        <f>VLOOKUP(AB327,sample!$1:$1048576,2,FALSE)</f>
        <v>#N/A</v>
      </c>
      <c r="AD327" s="988" t="e">
        <f>VLOOKUP($AB327,sample!$1:$1048576,3,FALSE)</f>
        <v>#N/A</v>
      </c>
      <c r="AE327" s="986" t="e">
        <f>VLOOKUP($AB327,sample!$1:$1048576,4,FALSE)</f>
        <v>#N/A</v>
      </c>
      <c r="AF327" s="988" t="e">
        <f>VLOOKUP($AB327,sample!$1:$1048576,5,FALSE)</f>
        <v>#N/A</v>
      </c>
      <c r="AL327" s="973" t="e">
        <f>VLOOKUP($AB327,sample!$1:$1048576,11,FALSE)</f>
        <v>#N/A</v>
      </c>
      <c r="AM327" s="973" t="e">
        <f>VLOOKUP($AB327,sample!$1:$1048576,12,FALSE)</f>
        <v>#N/A</v>
      </c>
      <c r="AN327" s="973" t="e">
        <f>VLOOKUP($AB327,sample!$1:$1048576,13,FALSE)</f>
        <v>#N/A</v>
      </c>
      <c r="AP327" s="988"/>
    </row>
    <row r="328" spans="1:42">
      <c r="A328" s="929">
        <v>2019200341</v>
      </c>
      <c r="B328" s="881">
        <v>44137</v>
      </c>
      <c r="C328" s="881" t="s">
        <v>133</v>
      </c>
      <c r="D328" s="1133" t="str">
        <f>IFERROR(VLOOKUP(G328,PosAggregate!$B$13:$B$89,1,FALSE),"")</f>
        <v/>
      </c>
      <c r="E328" s="769" t="s">
        <v>12695</v>
      </c>
      <c r="F328" s="1006" t="str">
        <f t="shared" si="68"/>
        <v/>
      </c>
      <c r="G328" s="594" t="s">
        <v>2109</v>
      </c>
      <c r="I328" s="833" t="s">
        <v>12702</v>
      </c>
      <c r="J328" s="833" t="s">
        <v>2</v>
      </c>
      <c r="K328" s="878">
        <v>1.5</v>
      </c>
      <c r="M328" s="878">
        <v>80000</v>
      </c>
      <c r="N328" s="985">
        <f t="shared" si="70"/>
        <v>-120000</v>
      </c>
      <c r="O328" s="817">
        <v>0</v>
      </c>
      <c r="P328" s="584"/>
      <c r="Q328" s="584"/>
      <c r="R328" s="982">
        <f t="shared" si="71"/>
        <v>-120000</v>
      </c>
      <c r="S328" s="878">
        <v>1</v>
      </c>
      <c r="T328" s="998">
        <f t="shared" si="77"/>
        <v>-120000</v>
      </c>
      <c r="U328" s="907">
        <v>44138</v>
      </c>
      <c r="V328" s="561" t="s">
        <v>1111</v>
      </c>
      <c r="W328" s="819"/>
      <c r="X328" s="971">
        <f t="shared" si="72"/>
        <v>0</v>
      </c>
      <c r="Y328" s="584" t="s">
        <v>1693</v>
      </c>
      <c r="Z328" s="988" t="str">
        <f>VLOOKUP(AA328,'place of settlement'!A:C,2,FALSE)</f>
        <v>MOTIITMMXXX</v>
      </c>
      <c r="AA328" s="988" t="str">
        <f t="shared" si="75"/>
        <v>IT</v>
      </c>
      <c r="AB328" s="988" t="str">
        <f t="shared" si="76"/>
        <v>Equita SimIT</v>
      </c>
      <c r="AC328" s="988" t="e">
        <f>VLOOKUP(AB328,sample!$1:$1048576,2,FALSE)</f>
        <v>#N/A</v>
      </c>
      <c r="AD328" s="988" t="e">
        <f>VLOOKUP($AB328,sample!$1:$1048576,3,FALSE)</f>
        <v>#N/A</v>
      </c>
      <c r="AE328" s="986" t="e">
        <f>VLOOKUP($AB328,sample!$1:$1048576,4,FALSE)</f>
        <v>#N/A</v>
      </c>
      <c r="AF328" s="988" t="e">
        <f>VLOOKUP($AB328,sample!$1:$1048576,5,FALSE)</f>
        <v>#N/A</v>
      </c>
      <c r="AL328" s="973" t="e">
        <f>VLOOKUP($AB328,sample!$1:$1048576,11,FALSE)</f>
        <v>#N/A</v>
      </c>
      <c r="AM328" s="973" t="e">
        <f>VLOOKUP($AB328,sample!$1:$1048576,12,FALSE)</f>
        <v>#N/A</v>
      </c>
      <c r="AN328" s="973" t="e">
        <f>VLOOKUP($AB328,sample!$1:$1048576,13,FALSE)</f>
        <v>#N/A</v>
      </c>
      <c r="AP328" s="988"/>
    </row>
    <row r="329" spans="1:42" s="584" customFormat="1">
      <c r="A329" s="929">
        <v>2019200346</v>
      </c>
      <c r="B329" s="816">
        <v>44137</v>
      </c>
      <c r="C329" s="816" t="s">
        <v>134</v>
      </c>
      <c r="D329" s="1133" t="str">
        <f>IFERROR(VLOOKUP(G329,PosAggregate!$B$13:$B$89,1,FALSE),"")</f>
        <v/>
      </c>
      <c r="E329" s="905" t="s">
        <v>12690</v>
      </c>
      <c r="F329" s="1006" t="str">
        <f t="shared" si="68"/>
        <v/>
      </c>
      <c r="G329" s="561" t="s">
        <v>2058</v>
      </c>
      <c r="I329" s="832" t="s">
        <v>12698</v>
      </c>
      <c r="J329" s="832" t="s">
        <v>1065</v>
      </c>
      <c r="K329" s="878">
        <v>154.69999999999999</v>
      </c>
      <c r="L329" s="817"/>
      <c r="M329" s="878">
        <v>-11000</v>
      </c>
      <c r="N329" s="985">
        <f t="shared" ref="N329:N360" si="78">-K329*M329</f>
        <v>1701699.9999999998</v>
      </c>
      <c r="O329" s="817">
        <v>-1021.02</v>
      </c>
      <c r="P329" s="817">
        <v>-1833.04</v>
      </c>
      <c r="R329" s="982">
        <f t="shared" ref="R329:R360" si="79">SUM(N329:Q329)</f>
        <v>1698845.9399999997</v>
      </c>
      <c r="S329" s="878">
        <v>9.0282905694219533</v>
      </c>
      <c r="T329" s="998">
        <f t="shared" si="77"/>
        <v>188169.16967137117</v>
      </c>
      <c r="U329" s="907">
        <v>44139</v>
      </c>
      <c r="V329" s="561" t="s">
        <v>1656</v>
      </c>
      <c r="W329" s="819">
        <v>44137.512200231482</v>
      </c>
      <c r="X329" s="971">
        <f t="shared" si="72"/>
        <v>-6.0000000000000005E-2</v>
      </c>
      <c r="Y329" s="584" t="s">
        <v>1693</v>
      </c>
      <c r="Z329" s="988" t="str">
        <f>VLOOKUP(AA329,'place of settlement'!A:C,2,FALSE)</f>
        <v>XHKCHKH1XXX</v>
      </c>
      <c r="AA329" s="584" t="s">
        <v>2110</v>
      </c>
      <c r="AB329" s="988" t="str">
        <f t="shared" si="76"/>
        <v>Tavira Securitieshk</v>
      </c>
      <c r="AC329" s="988" t="str">
        <f>VLOOKUP(AB329,sample!$1:$1048576,2,FALSE)</f>
        <v>GSILGB2XXXX</v>
      </c>
      <c r="AD329" s="988" t="str">
        <f>VLOOKUP($AB329,sample!$1:$1048576,3,FALSE)</f>
        <v>XHKCHKH1XXX</v>
      </c>
      <c r="AE329" s="986" t="str">
        <f>VLOOKUP($AB329,sample!$1:$1048576,4,FALSE)</f>
        <v xml:space="preserve">        </v>
      </c>
      <c r="AF329" s="988" t="str">
        <f>VLOOKUP($AB329,sample!$1:$1048576,5,FALSE)</f>
        <v>N</v>
      </c>
      <c r="AL329" s="986" t="str">
        <f>VLOOKUP($AB329,sample!$1:$1048576,11,FALSE)</f>
        <v>CCASS</v>
      </c>
      <c r="AM329" s="986" t="str">
        <f>VLOOKUP($AB329,sample!$1:$1048576,12,FALSE)</f>
        <v>B01451</v>
      </c>
      <c r="AN329" s="986" t="str">
        <f>VLOOKUP($AB329,sample!$1:$1048576,13,FALSE)</f>
        <v>GSASHKH1XX</v>
      </c>
      <c r="AP329" s="988"/>
    </row>
    <row r="330" spans="1:42" s="584" customFormat="1">
      <c r="A330" s="929">
        <v>2019200347</v>
      </c>
      <c r="B330" s="816">
        <v>44138</v>
      </c>
      <c r="C330" s="816" t="s">
        <v>134</v>
      </c>
      <c r="D330" s="1133" t="str">
        <f>IFERROR(VLOOKUP(G330,PosAggregate!$B$13:$B$89,1,FALSE),"")</f>
        <v/>
      </c>
      <c r="E330" s="905" t="s">
        <v>12695</v>
      </c>
      <c r="F330" s="1006" t="str">
        <f t="shared" si="68"/>
        <v/>
      </c>
      <c r="G330" s="561" t="s">
        <v>2109</v>
      </c>
      <c r="I330" s="832" t="s">
        <v>12702</v>
      </c>
      <c r="J330" s="832" t="s">
        <v>2</v>
      </c>
      <c r="K330" s="878">
        <v>2.02</v>
      </c>
      <c r="L330" s="817"/>
      <c r="M330" s="878">
        <v>-11000</v>
      </c>
      <c r="N330" s="985">
        <f t="shared" si="78"/>
        <v>22220</v>
      </c>
      <c r="O330" s="817">
        <v>-13.33</v>
      </c>
      <c r="P330" s="817"/>
      <c r="R330" s="982">
        <f t="shared" si="79"/>
        <v>22206.67</v>
      </c>
      <c r="S330" s="878">
        <v>1</v>
      </c>
      <c r="T330" s="998">
        <f t="shared" si="77"/>
        <v>22206.67</v>
      </c>
      <c r="U330" s="907">
        <v>44140</v>
      </c>
      <c r="V330" s="561" t="s">
        <v>1111</v>
      </c>
      <c r="W330" s="819">
        <v>44138.548913310187</v>
      </c>
      <c r="X330" s="971">
        <f t="shared" si="72"/>
        <v>-5.9990999099909986E-2</v>
      </c>
      <c r="Y330" s="584" t="s">
        <v>1693</v>
      </c>
      <c r="Z330" s="988" t="str">
        <f>VLOOKUP(AA330,'place of settlement'!A:C,2,FALSE)</f>
        <v>MOTIITMMXXX</v>
      </c>
      <c r="AA330" s="988" t="str">
        <f t="shared" ref="AA330:AA344" si="80">LEFT(E330,2)</f>
        <v>IT</v>
      </c>
      <c r="AB330" s="584" t="s">
        <v>1808</v>
      </c>
      <c r="AC330" s="988" t="str">
        <f>VLOOKUP(AB330,sample!$1:$1048576,2,FALSE)</f>
        <v>EMSIITM1XXX</v>
      </c>
      <c r="AD330" s="988" t="str">
        <f>VLOOKUP($AB330,sample!$1:$1048576,3,FALSE)</f>
        <v>MOTIITMMXXX</v>
      </c>
      <c r="AE330" s="986" t="str">
        <f>VLOOKUP($AB330,sample!$1:$1048576,4,FALSE)</f>
        <v>MOTIBCITITMMXXX6039800</v>
      </c>
      <c r="AF330" s="988" t="str">
        <f>VLOOKUP($AB330,sample!$1:$1048576,5,FALSE)</f>
        <v>N</v>
      </c>
      <c r="AL330" s="986" t="str">
        <f>VLOOKUP($AB330,sample!$1:$1048576,11,FALSE)</f>
        <v xml:space="preserve">        </v>
      </c>
      <c r="AM330" s="986" t="str">
        <f>VLOOKUP($AB330,sample!$1:$1048576,12,FALSE)</f>
        <v xml:space="preserve">        </v>
      </c>
      <c r="AN330" s="986" t="str">
        <f>VLOOKUP($AB330,sample!$1:$1048576,13,FALSE)</f>
        <v>BCITITM1T03</v>
      </c>
      <c r="AP330" s="988"/>
    </row>
    <row r="331" spans="1:42" s="584" customFormat="1">
      <c r="A331" s="929">
        <v>2019200348</v>
      </c>
      <c r="B331" s="816">
        <v>44140</v>
      </c>
      <c r="C331" s="816" t="s">
        <v>134</v>
      </c>
      <c r="D331" s="1133" t="str">
        <f>IFERROR(VLOOKUP(G331,PosAggregate!$B$13:$B$89,1,FALSE),"")</f>
        <v/>
      </c>
      <c r="E331" s="905" t="s">
        <v>1224</v>
      </c>
      <c r="F331" s="1006" t="str">
        <f t="shared" si="68"/>
        <v/>
      </c>
      <c r="G331" s="561" t="s">
        <v>1175</v>
      </c>
      <c r="I331" s="832" t="s">
        <v>1095</v>
      </c>
      <c r="J331" s="832" t="s">
        <v>3</v>
      </c>
      <c r="K331" s="878">
        <v>101.09273</v>
      </c>
      <c r="L331" s="817"/>
      <c r="M331" s="878">
        <v>-1100</v>
      </c>
      <c r="N331" s="985">
        <f t="shared" si="78"/>
        <v>111202.003</v>
      </c>
      <c r="O331" s="817">
        <v>-55.6</v>
      </c>
      <c r="P331" s="817">
        <v>-2.46</v>
      </c>
      <c r="R331" s="982">
        <f t="shared" si="79"/>
        <v>111143.94299999998</v>
      </c>
      <c r="S331" s="878">
        <v>1.1821029611679177</v>
      </c>
      <c r="T331" s="998">
        <f t="shared" si="77"/>
        <v>94022.218580849993</v>
      </c>
      <c r="U331" s="907">
        <v>44144</v>
      </c>
      <c r="V331" s="561" t="s">
        <v>1656</v>
      </c>
      <c r="W331" s="819">
        <v>44141.469706597221</v>
      </c>
      <c r="X331" s="971">
        <f t="shared" ref="X331:X362" si="81">+O331/N331*100</f>
        <v>-4.9999099386725969E-2</v>
      </c>
      <c r="Y331" s="584" t="s">
        <v>1693</v>
      </c>
      <c r="Z331" s="988" t="str">
        <f>VLOOKUP(AA331,'place of settlement'!A:C,2,FALSE)</f>
        <v>DTCYUS33XXX</v>
      </c>
      <c r="AA331" s="988" t="str">
        <f t="shared" si="80"/>
        <v>US</v>
      </c>
      <c r="AB331" s="988" t="str">
        <f t="shared" ref="AB331:AB369" si="82">CONCATENATE(V331,AA331)</f>
        <v>Tavira SecuritiesUS</v>
      </c>
      <c r="AC331" s="988" t="str">
        <f>VLOOKUP(AB331,sample!$1:$1048576,2,FALSE)</f>
        <v>GSILGB2XXXX</v>
      </c>
      <c r="AD331" s="988" t="str">
        <f>VLOOKUP($AB331,sample!$1:$1048576,3,FALSE)</f>
        <v>DTCYUS33</v>
      </c>
      <c r="AE331" s="986" t="str">
        <f>VLOOKUP($AB331,sample!$1:$1048576,4,FALSE)</f>
        <v xml:space="preserve">        </v>
      </c>
      <c r="AF331" s="988" t="str">
        <f>VLOOKUP($AB331,sample!$1:$1048576,5,FALSE)</f>
        <v>N</v>
      </c>
      <c r="AL331" s="986" t="str">
        <f>VLOOKUP($AB331,sample!$1:$1048576,11,FALSE)</f>
        <v>DTCYID</v>
      </c>
      <c r="AM331" s="986">
        <f>VLOOKUP($AB331,sample!$1:$1048576,12,FALSE)</f>
        <v>5208</v>
      </c>
      <c r="AN331" s="986" t="str">
        <f>VLOOKUP($AB331,sample!$1:$1048576,13,FALSE)</f>
        <v xml:space="preserve">        </v>
      </c>
      <c r="AP331" s="988"/>
    </row>
    <row r="332" spans="1:42" s="584" customFormat="1">
      <c r="A332" s="929">
        <v>2019200349</v>
      </c>
      <c r="B332" s="816">
        <v>44144</v>
      </c>
      <c r="C332" s="816" t="s">
        <v>134</v>
      </c>
      <c r="D332" s="1133" t="str">
        <f>IFERROR(VLOOKUP(G332,PosAggregate!$B$13:$B$89,1,FALSE),"")</f>
        <v/>
      </c>
      <c r="E332" s="905" t="s">
        <v>1225</v>
      </c>
      <c r="F332" s="1006" t="str">
        <f t="shared" ref="F332:F395" si="83">IF(D332=G332,"YES","")</f>
        <v/>
      </c>
      <c r="G332" s="561" t="s">
        <v>1176</v>
      </c>
      <c r="I332" s="832" t="s">
        <v>1182</v>
      </c>
      <c r="J332" s="832" t="s">
        <v>3</v>
      </c>
      <c r="K332" s="878">
        <v>14.5</v>
      </c>
      <c r="L332" s="817"/>
      <c r="M332" s="878">
        <v>-22100</v>
      </c>
      <c r="N332" s="985">
        <f t="shared" si="78"/>
        <v>320450</v>
      </c>
      <c r="O332" s="817">
        <v>-160.22</v>
      </c>
      <c r="P332" s="817">
        <v>-7.08</v>
      </c>
      <c r="R332" s="982">
        <f t="shared" si="79"/>
        <v>320282.7</v>
      </c>
      <c r="S332" s="878">
        <v>1.18</v>
      </c>
      <c r="T332" s="998">
        <f t="shared" si="77"/>
        <v>271426.01694915257</v>
      </c>
      <c r="U332" s="907">
        <v>44147</v>
      </c>
      <c r="V332" s="561" t="s">
        <v>1072</v>
      </c>
      <c r="W332" s="819">
        <v>44144.816250810189</v>
      </c>
      <c r="X332" s="971">
        <f t="shared" si="81"/>
        <v>-4.9998439694180059E-2</v>
      </c>
      <c r="Y332" s="584" t="s">
        <v>1693</v>
      </c>
      <c r="Z332" s="988" t="str">
        <f>VLOOKUP(AA332,'place of settlement'!A:C,2,FALSE)</f>
        <v>DTCYUS33XXX</v>
      </c>
      <c r="AA332" s="988" t="str">
        <f t="shared" si="80"/>
        <v>US</v>
      </c>
      <c r="AB332" s="988" t="str">
        <f t="shared" si="82"/>
        <v>KeplerUS</v>
      </c>
      <c r="AC332" s="988" t="str">
        <f>VLOOKUP(AB332,sample!$1:$1048576,2,FALSE)</f>
        <v>SOGEFRPPTIT</v>
      </c>
      <c r="AD332" s="988" t="str">
        <f>VLOOKUP($AB332,sample!$1:$1048576,3,FALSE)</f>
        <v>DTCYUS33XXX</v>
      </c>
      <c r="AE332" s="986">
        <f>VLOOKUP($AB332,sample!$1:$1048576,4,FALSE)</f>
        <v>7027337</v>
      </c>
      <c r="AF332" s="988" t="str">
        <f>VLOOKUP($AB332,sample!$1:$1048576,5,FALSE)</f>
        <v>N</v>
      </c>
      <c r="AL332" s="986" t="str">
        <f>VLOOKUP($AB332,sample!$1:$1048576,11,FALSE)</f>
        <v>DTCYID</v>
      </c>
      <c r="AM332" s="986" t="str">
        <f>VLOOKUP($AB332,sample!$1:$1048576,12,FALSE)</f>
        <v>0010</v>
      </c>
      <c r="AN332" s="986" t="str">
        <f>VLOOKUP($AB332,sample!$1:$1048576,13,FALSE)</f>
        <v xml:space="preserve">        </v>
      </c>
      <c r="AP332" s="988"/>
    </row>
    <row r="333" spans="1:42" s="584" customFormat="1">
      <c r="A333" s="929">
        <v>2019200350</v>
      </c>
      <c r="B333" s="816">
        <v>44147</v>
      </c>
      <c r="C333" s="816" t="s">
        <v>133</v>
      </c>
      <c r="D333" s="1133" t="str">
        <f>IFERROR(VLOOKUP(G333,PosAggregate!$B$13:$B$89,1,FALSE),"")</f>
        <v/>
      </c>
      <c r="E333" s="905" t="s">
        <v>12676</v>
      </c>
      <c r="F333" s="1006" t="str">
        <f t="shared" si="83"/>
        <v/>
      </c>
      <c r="G333" s="561" t="s">
        <v>2097</v>
      </c>
      <c r="I333" s="832" t="s">
        <v>12613</v>
      </c>
      <c r="J333" s="832" t="s">
        <v>125</v>
      </c>
      <c r="K333" s="878">
        <v>2796.8152300000002</v>
      </c>
      <c r="L333" s="817"/>
      <c r="M333" s="878">
        <v>4600</v>
      </c>
      <c r="N333" s="985">
        <f t="shared" si="78"/>
        <v>-12865350.058</v>
      </c>
      <c r="O333" s="817">
        <v>-3860</v>
      </c>
      <c r="P333" s="817"/>
      <c r="R333" s="982">
        <f t="shared" si="79"/>
        <v>-12869210.058</v>
      </c>
      <c r="S333" s="878">
        <v>124.37828578179467</v>
      </c>
      <c r="T333" s="998">
        <f t="shared" si="77"/>
        <v>-103468.30218079493</v>
      </c>
      <c r="U333" s="907">
        <v>44151</v>
      </c>
      <c r="V333" s="561" t="s">
        <v>1656</v>
      </c>
      <c r="W333" s="819">
        <v>44146.713606944446</v>
      </c>
      <c r="X333" s="971">
        <f t="shared" si="81"/>
        <v>3.0003070127110565E-2</v>
      </c>
      <c r="Y333" s="584" t="s">
        <v>1693</v>
      </c>
      <c r="Z333" s="988" t="str">
        <f>VLOOKUP(AA333,'place of settlement'!A:C,2,FALSE)</f>
        <v>JJSDJPJTXXX</v>
      </c>
      <c r="AA333" s="988" t="str">
        <f t="shared" si="80"/>
        <v>JP</v>
      </c>
      <c r="AB333" s="988" t="str">
        <f t="shared" si="82"/>
        <v>Tavira SecuritiesJP</v>
      </c>
      <c r="AC333" s="988" t="str">
        <f>VLOOKUP(AB333,sample!$1:$1048576,2,FALSE)</f>
        <v>GSILGB2XXXX</v>
      </c>
      <c r="AD333" s="988" t="str">
        <f>VLOOKUP($AB333,sample!$1:$1048576,3,FALSE)</f>
        <v>JJSDJPJTXXX</v>
      </c>
      <c r="AE333" s="986">
        <f>VLOOKUP($AB333,sample!$1:$1048576,4,FALSE)</f>
        <v>6530490016</v>
      </c>
      <c r="AF333" s="988" t="str">
        <f>VLOOKUP($AB333,sample!$1:$1048576,5,FALSE)</f>
        <v>N</v>
      </c>
      <c r="AL333" s="986" t="str">
        <f>VLOOKUP($AB333,sample!$1:$1048576,11,FALSE)</f>
        <v xml:space="preserve">                  </v>
      </c>
      <c r="AM333" s="986" t="str">
        <f>VLOOKUP($AB333,sample!$1:$1048576,12,FALSE)</f>
        <v xml:space="preserve">                          </v>
      </c>
      <c r="AN333" s="986" t="str">
        <f>VLOOKUP($AB333,sample!$1:$1048576,13,FALSE)</f>
        <v>GOLDJPJXXXX</v>
      </c>
      <c r="AP333" s="988"/>
    </row>
    <row r="334" spans="1:42" s="584" customFormat="1">
      <c r="A334" s="929">
        <v>2019200351</v>
      </c>
      <c r="B334" s="816">
        <v>44147</v>
      </c>
      <c r="C334" s="816" t="s">
        <v>133</v>
      </c>
      <c r="D334" s="1133" t="str">
        <f>IFERROR(VLOOKUP(G334,PosAggregate!$B$13:$B$89,1,FALSE),"")</f>
        <v/>
      </c>
      <c r="E334" s="905" t="s">
        <v>12692</v>
      </c>
      <c r="F334" s="1006" t="str">
        <f t="shared" si="83"/>
        <v/>
      </c>
      <c r="G334" s="561" t="s">
        <v>2102</v>
      </c>
      <c r="I334" s="832" t="s">
        <v>12701</v>
      </c>
      <c r="J334" s="832" t="s">
        <v>1066</v>
      </c>
      <c r="K334" s="878">
        <v>0.54942000000000002</v>
      </c>
      <c r="L334" s="817"/>
      <c r="M334" s="878">
        <v>31000</v>
      </c>
      <c r="N334" s="985">
        <f t="shared" si="78"/>
        <v>-17032.02</v>
      </c>
      <c r="O334" s="817">
        <v>-10.220000000000001</v>
      </c>
      <c r="P334" s="817"/>
      <c r="R334" s="982">
        <f t="shared" si="79"/>
        <v>-17042.240000000002</v>
      </c>
      <c r="S334" s="878">
        <v>1.0803076162099148</v>
      </c>
      <c r="T334" s="998">
        <f t="shared" si="77"/>
        <v>-15775.358559249962</v>
      </c>
      <c r="U334" s="907">
        <v>44151</v>
      </c>
      <c r="V334" s="561" t="s">
        <v>1656</v>
      </c>
      <c r="W334" s="819">
        <v>44147.440144791668</v>
      </c>
      <c r="X334" s="971">
        <f t="shared" si="81"/>
        <v>6.0004626579818483E-2</v>
      </c>
      <c r="Y334" s="584" t="s">
        <v>1693</v>
      </c>
      <c r="Z334" s="988" t="str">
        <f>VLOOKUP(AA334,'place of settlement'!A:C,2,FALSE)</f>
        <v>INSECHZZXXX</v>
      </c>
      <c r="AA334" s="988" t="str">
        <f t="shared" si="80"/>
        <v>CH</v>
      </c>
      <c r="AB334" s="988" t="str">
        <f t="shared" si="82"/>
        <v>Tavira SecuritiesCH</v>
      </c>
      <c r="AC334" s="988" t="str">
        <f>VLOOKUP(AB334,sample!$1:$1048576,2,FALSE)</f>
        <v>GSILGB2XXXX</v>
      </c>
      <c r="AD334" s="988" t="str">
        <f>VLOOKUP($AB334,sample!$1:$1048576,3,FALSE)</f>
        <v>INSECHZZ</v>
      </c>
      <c r="AE334" s="986">
        <f>VLOOKUP($AB334,sample!$1:$1048576,4,FALSE)</f>
        <v>20319455</v>
      </c>
      <c r="AF334" s="988" t="str">
        <f>VLOOKUP($AB334,sample!$1:$1048576,5,FALSE)</f>
        <v>N</v>
      </c>
      <c r="AL334" s="986" t="str">
        <f>VLOOKUP($AB334,sample!$1:$1048576,11,FALSE)</f>
        <v>SCOM</v>
      </c>
      <c r="AM334" s="986" t="str">
        <f>VLOOKUP($AB334,sample!$1:$1048576,12,FALSE)</f>
        <v>GB102183</v>
      </c>
      <c r="AN334" s="986" t="str">
        <f>VLOOKUP($AB334,sample!$1:$1048576,13,FALSE)</f>
        <v>GSILGB2XXXX</v>
      </c>
      <c r="AP334" s="988"/>
    </row>
    <row r="335" spans="1:42" s="584" customFormat="1">
      <c r="A335" s="929">
        <v>2019200352</v>
      </c>
      <c r="B335" s="816">
        <v>44151</v>
      </c>
      <c r="C335" s="816" t="s">
        <v>133</v>
      </c>
      <c r="D335" s="1133" t="str">
        <f>IFERROR(VLOOKUP(G335,PosAggregate!$B$13:$B$89,1,FALSE),"")</f>
        <v/>
      </c>
      <c r="E335" s="905" t="s">
        <v>12676</v>
      </c>
      <c r="F335" s="1006" t="str">
        <f t="shared" si="83"/>
        <v/>
      </c>
      <c r="G335" s="561" t="s">
        <v>2097</v>
      </c>
      <c r="I335" s="832" t="s">
        <v>12613</v>
      </c>
      <c r="J335" s="832" t="s">
        <v>125</v>
      </c>
      <c r="K335" s="878">
        <v>2715.3952399999998</v>
      </c>
      <c r="L335" s="817"/>
      <c r="M335" s="878">
        <v>4200</v>
      </c>
      <c r="N335" s="985">
        <f t="shared" si="78"/>
        <v>-11404660.007999999</v>
      </c>
      <c r="O335" s="817">
        <v>-3421</v>
      </c>
      <c r="P335" s="817"/>
      <c r="R335" s="982">
        <f t="shared" si="79"/>
        <v>-11408081.007999999</v>
      </c>
      <c r="S335" s="878">
        <v>123.78574724611623</v>
      </c>
      <c r="T335" s="998">
        <f t="shared" si="77"/>
        <v>-92159.89127825803</v>
      </c>
      <c r="U335" s="816">
        <v>44153</v>
      </c>
      <c r="V335" s="561" t="s">
        <v>1656</v>
      </c>
      <c r="W335" s="819">
        <v>44151.352215162035</v>
      </c>
      <c r="X335" s="971">
        <f t="shared" si="81"/>
        <v>2.9996510177421151E-2</v>
      </c>
      <c r="Y335" s="584" t="s">
        <v>1693</v>
      </c>
      <c r="Z335" s="988" t="str">
        <f>VLOOKUP(AA335,'place of settlement'!A:C,2,FALSE)</f>
        <v>JJSDJPJTXXX</v>
      </c>
      <c r="AA335" s="988" t="str">
        <f t="shared" si="80"/>
        <v>JP</v>
      </c>
      <c r="AB335" s="988" t="str">
        <f t="shared" si="82"/>
        <v>Tavira SecuritiesJP</v>
      </c>
      <c r="AC335" s="988" t="str">
        <f>VLOOKUP(AB335,sample!$1:$1048576,2,FALSE)</f>
        <v>GSILGB2XXXX</v>
      </c>
      <c r="AD335" s="988" t="str">
        <f>VLOOKUP($AB335,sample!$1:$1048576,3,FALSE)</f>
        <v>JJSDJPJTXXX</v>
      </c>
      <c r="AE335" s="986">
        <f>VLOOKUP($AB335,sample!$1:$1048576,4,FALSE)</f>
        <v>6530490016</v>
      </c>
      <c r="AF335" s="988" t="str">
        <f>VLOOKUP($AB335,sample!$1:$1048576,5,FALSE)</f>
        <v>N</v>
      </c>
      <c r="AL335" s="986" t="str">
        <f>VLOOKUP($AB335,sample!$1:$1048576,11,FALSE)</f>
        <v xml:space="preserve">                  </v>
      </c>
      <c r="AM335" s="986" t="str">
        <f>VLOOKUP($AB335,sample!$1:$1048576,12,FALSE)</f>
        <v xml:space="preserve">                          </v>
      </c>
      <c r="AN335" s="986" t="str">
        <f>VLOOKUP($AB335,sample!$1:$1048576,13,FALSE)</f>
        <v>GOLDJPJXXXX</v>
      </c>
      <c r="AP335" s="988"/>
    </row>
    <row r="336" spans="1:42" s="584" customFormat="1">
      <c r="A336" s="929">
        <v>2019200353</v>
      </c>
      <c r="B336" s="816">
        <v>44151</v>
      </c>
      <c r="C336" s="816" t="s">
        <v>134</v>
      </c>
      <c r="D336" s="1133" t="str">
        <f>IFERROR(VLOOKUP(G336,PosAggregate!$B$13:$B$89,1,FALSE),"")</f>
        <v/>
      </c>
      <c r="E336" s="905" t="s">
        <v>12695</v>
      </c>
      <c r="F336" s="1006" t="str">
        <f t="shared" si="83"/>
        <v/>
      </c>
      <c r="G336" s="561" t="s">
        <v>2109</v>
      </c>
      <c r="I336" s="832" t="s">
        <v>12702</v>
      </c>
      <c r="J336" s="832" t="s">
        <v>2</v>
      </c>
      <c r="K336" s="878">
        <v>2.0454500000000002</v>
      </c>
      <c r="L336" s="817"/>
      <c r="M336" s="878">
        <v>-11000</v>
      </c>
      <c r="N336" s="985">
        <f t="shared" si="78"/>
        <v>22499.95</v>
      </c>
      <c r="O336" s="817">
        <v>-13.5</v>
      </c>
      <c r="P336" s="817"/>
      <c r="R336" s="982">
        <f t="shared" si="79"/>
        <v>22486.45</v>
      </c>
      <c r="S336" s="878">
        <v>1</v>
      </c>
      <c r="T336" s="998">
        <f t="shared" si="77"/>
        <v>22486.45</v>
      </c>
      <c r="U336" s="816">
        <v>44153</v>
      </c>
      <c r="V336" s="561" t="s">
        <v>1656</v>
      </c>
      <c r="W336" s="819">
        <v>44151.492818287035</v>
      </c>
      <c r="X336" s="971">
        <f t="shared" si="81"/>
        <v>-6.0000133333629621E-2</v>
      </c>
      <c r="Y336" s="584" t="s">
        <v>1693</v>
      </c>
      <c r="Z336" s="988" t="str">
        <f>VLOOKUP(AA336,'place of settlement'!A:C,2,FALSE)</f>
        <v>MOTIITMMXXX</v>
      </c>
      <c r="AA336" s="988" t="str">
        <f t="shared" si="80"/>
        <v>IT</v>
      </c>
      <c r="AB336" s="988" t="str">
        <f t="shared" si="82"/>
        <v>Tavira SecuritiesIT</v>
      </c>
      <c r="AC336" s="988" t="str">
        <f>VLOOKUP(AB336,sample!$1:$1048576,2,FALSE)</f>
        <v>GSILGB2XXXX</v>
      </c>
      <c r="AD336" s="988" t="str">
        <f>VLOOKUP($AB336,sample!$1:$1048576,3,FALSE)</f>
        <v>MOTIITMMXXX</v>
      </c>
      <c r="AE336" s="986" t="str">
        <f>VLOOKUP($AB336,sample!$1:$1048576,4,FALSE)</f>
        <v>MOTICITIITMXXXX6013800</v>
      </c>
      <c r="AF336" s="988" t="str">
        <f>VLOOKUP($AB336,sample!$1:$1048576,5,FALSE)</f>
        <v>N</v>
      </c>
      <c r="AL336" s="986" t="str">
        <f>VLOOKUP($AB336,sample!$1:$1048576,11,FALSE)</f>
        <v xml:space="preserve">        </v>
      </c>
      <c r="AM336" s="986" t="str">
        <f>VLOOKUP($AB336,sample!$1:$1048576,12,FALSE)</f>
        <v xml:space="preserve">        </v>
      </c>
      <c r="AN336" s="986" t="str">
        <f>VLOOKUP($AB336,sample!$1:$1048576,13,FALSE)</f>
        <v>CITIITM1012</v>
      </c>
      <c r="AP336" s="988"/>
    </row>
    <row r="337" spans="1:42" s="584" customFormat="1">
      <c r="A337" s="584" t="s">
        <v>1707</v>
      </c>
      <c r="B337" s="816">
        <v>44151</v>
      </c>
      <c r="C337" s="816" t="s">
        <v>134</v>
      </c>
      <c r="D337" s="1133" t="str">
        <f>IFERROR(VLOOKUP(G337,PosAggregate!$B$13:$B$89,1,FALSE),"")</f>
        <v/>
      </c>
      <c r="E337" s="905" t="s">
        <v>12693</v>
      </c>
      <c r="F337" s="1006" t="str">
        <f t="shared" si="83"/>
        <v/>
      </c>
      <c r="G337" s="561" t="s">
        <v>2106</v>
      </c>
      <c r="I337" s="832" t="s">
        <v>2107</v>
      </c>
      <c r="J337" s="832" t="s">
        <v>12606</v>
      </c>
      <c r="L337" s="817"/>
      <c r="M337" s="878">
        <v>-93079</v>
      </c>
      <c r="N337" s="985">
        <f t="shared" si="78"/>
        <v>0</v>
      </c>
      <c r="O337" s="817"/>
      <c r="R337" s="982">
        <f t="shared" si="79"/>
        <v>0</v>
      </c>
      <c r="S337" s="878"/>
      <c r="T337" s="998" t="e">
        <f t="shared" si="77"/>
        <v>#DIV/0!</v>
      </c>
      <c r="U337" s="907"/>
      <c r="V337" s="561"/>
      <c r="W337" s="819"/>
      <c r="X337" s="971" t="e">
        <f t="shared" si="81"/>
        <v>#DIV/0!</v>
      </c>
      <c r="Y337" s="584" t="s">
        <v>1693</v>
      </c>
      <c r="Z337" s="988" t="str">
        <f>VLOOKUP(AA337,'place of settlement'!A:C,2,FALSE)</f>
        <v>VPCSSESSXXX</v>
      </c>
      <c r="AA337" s="988" t="str">
        <f t="shared" si="80"/>
        <v>SE</v>
      </c>
      <c r="AB337" s="988" t="str">
        <f t="shared" si="82"/>
        <v>SE</v>
      </c>
      <c r="AC337" s="988" t="e">
        <f>VLOOKUP(AB337,sample!$1:$1048576,2,FALSE)</f>
        <v>#N/A</v>
      </c>
      <c r="AD337" s="988" t="e">
        <f>VLOOKUP($AB337,sample!$1:$1048576,3,FALSE)</f>
        <v>#N/A</v>
      </c>
      <c r="AE337" s="986" t="e">
        <f>VLOOKUP($AB337,sample!$1:$1048576,4,FALSE)</f>
        <v>#N/A</v>
      </c>
      <c r="AF337" s="988" t="e">
        <f>VLOOKUP($AB337,sample!$1:$1048576,5,FALSE)</f>
        <v>#N/A</v>
      </c>
      <c r="AL337" s="986" t="e">
        <f>VLOOKUP($AB337,sample!$1:$1048576,11,FALSE)</f>
        <v>#N/A</v>
      </c>
      <c r="AM337" s="986" t="e">
        <f>VLOOKUP($AB337,sample!$1:$1048576,12,FALSE)</f>
        <v>#N/A</v>
      </c>
      <c r="AN337" s="986" t="e">
        <f>VLOOKUP($AB337,sample!$1:$1048576,13,FALSE)</f>
        <v>#N/A</v>
      </c>
      <c r="AP337" s="988"/>
    </row>
    <row r="338" spans="1:42" s="584" customFormat="1">
      <c r="A338" s="584" t="s">
        <v>1707</v>
      </c>
      <c r="B338" s="816">
        <v>44151</v>
      </c>
      <c r="C338" s="816" t="s">
        <v>133</v>
      </c>
      <c r="D338" s="1133" t="str">
        <f>IFERROR(VLOOKUP(G338,PosAggregate!$B$13:$B$89,1,FALSE),"")</f>
        <v/>
      </c>
      <c r="E338" s="905" t="s">
        <v>1228</v>
      </c>
      <c r="F338" s="1006" t="str">
        <f t="shared" si="83"/>
        <v/>
      </c>
      <c r="G338" s="935" t="s">
        <v>1185</v>
      </c>
      <c r="I338" s="832" t="s">
        <v>1231</v>
      </c>
      <c r="J338" s="832" t="s">
        <v>1067</v>
      </c>
      <c r="L338" s="817"/>
      <c r="M338" s="878">
        <v>93079</v>
      </c>
      <c r="N338" s="985">
        <f t="shared" si="78"/>
        <v>0</v>
      </c>
      <c r="R338" s="982">
        <f t="shared" si="79"/>
        <v>0</v>
      </c>
      <c r="S338" s="561"/>
      <c r="T338" s="998" t="e">
        <f t="shared" si="77"/>
        <v>#DIV/0!</v>
      </c>
      <c r="V338" s="561"/>
      <c r="W338" s="819"/>
      <c r="X338" s="971" t="e">
        <f t="shared" si="81"/>
        <v>#DIV/0!</v>
      </c>
      <c r="Y338" s="584" t="s">
        <v>1693</v>
      </c>
      <c r="Z338" s="988" t="str">
        <f>VLOOKUP(AA338,'place of settlement'!A:C,2,FALSE)</f>
        <v>VPCSSESSXXX</v>
      </c>
      <c r="AA338" s="988" t="str">
        <f t="shared" si="80"/>
        <v>SE</v>
      </c>
      <c r="AB338" s="988" t="str">
        <f t="shared" si="82"/>
        <v>SE</v>
      </c>
      <c r="AC338" s="988" t="e">
        <f>VLOOKUP(AB338,sample!$1:$1048576,2,FALSE)</f>
        <v>#N/A</v>
      </c>
      <c r="AD338" s="988" t="e">
        <f>VLOOKUP($AB338,sample!$1:$1048576,3,FALSE)</f>
        <v>#N/A</v>
      </c>
      <c r="AE338" s="986" t="e">
        <f>VLOOKUP($AB338,sample!$1:$1048576,4,FALSE)</f>
        <v>#N/A</v>
      </c>
      <c r="AF338" s="988" t="e">
        <f>VLOOKUP($AB338,sample!$1:$1048576,5,FALSE)</f>
        <v>#N/A</v>
      </c>
      <c r="AL338" s="986" t="e">
        <f>VLOOKUP($AB338,sample!$1:$1048576,11,FALSE)</f>
        <v>#N/A</v>
      </c>
      <c r="AM338" s="986" t="e">
        <f>VLOOKUP($AB338,sample!$1:$1048576,12,FALSE)</f>
        <v>#N/A</v>
      </c>
      <c r="AN338" s="986" t="e">
        <f>VLOOKUP($AB338,sample!$1:$1048576,13,FALSE)</f>
        <v>#N/A</v>
      </c>
      <c r="AP338" s="988"/>
    </row>
    <row r="339" spans="1:42" s="584" customFormat="1">
      <c r="A339" s="929">
        <v>2019200354</v>
      </c>
      <c r="B339" s="816">
        <v>44151</v>
      </c>
      <c r="C339" s="816" t="s">
        <v>134</v>
      </c>
      <c r="D339" s="1133" t="str">
        <f>IFERROR(VLOOKUP(G339,PosAggregate!$B$13:$B$89,1,FALSE),"")</f>
        <v/>
      </c>
      <c r="E339" s="905" t="s">
        <v>1224</v>
      </c>
      <c r="F339" s="1006" t="str">
        <f t="shared" si="83"/>
        <v/>
      </c>
      <c r="G339" s="561" t="s">
        <v>1175</v>
      </c>
      <c r="I339" s="832" t="s">
        <v>1095</v>
      </c>
      <c r="J339" s="832" t="s">
        <v>3</v>
      </c>
      <c r="K339" s="878">
        <v>128.14277999999999</v>
      </c>
      <c r="L339" s="817"/>
      <c r="M339" s="878">
        <v>-1685</v>
      </c>
      <c r="N339" s="985">
        <f t="shared" si="78"/>
        <v>215920.58429999999</v>
      </c>
      <c r="O339" s="817">
        <v>-107.96</v>
      </c>
      <c r="P339" s="817">
        <v>-4.7699999999999996</v>
      </c>
      <c r="R339" s="982">
        <f t="shared" si="79"/>
        <v>215807.85430000001</v>
      </c>
      <c r="S339" s="878">
        <v>1.1852975689546859</v>
      </c>
      <c r="T339" s="998">
        <f t="shared" si="77"/>
        <v>182070.61243728103</v>
      </c>
      <c r="U339" s="816">
        <v>44153</v>
      </c>
      <c r="V339" s="561" t="s">
        <v>1656</v>
      </c>
      <c r="W339" s="819">
        <v>44152.413113888892</v>
      </c>
      <c r="X339" s="971">
        <f t="shared" si="81"/>
        <v>-4.9999864695623647E-2</v>
      </c>
      <c r="Y339" s="584" t="s">
        <v>1693</v>
      </c>
      <c r="Z339" s="988" t="str">
        <f>VLOOKUP(AA339,'place of settlement'!A:C,2,FALSE)</f>
        <v>DTCYUS33XXX</v>
      </c>
      <c r="AA339" s="988" t="str">
        <f t="shared" si="80"/>
        <v>US</v>
      </c>
      <c r="AB339" s="988" t="str">
        <f t="shared" si="82"/>
        <v>Tavira SecuritiesUS</v>
      </c>
      <c r="AC339" s="988" t="str">
        <f>VLOOKUP(AB339,sample!$1:$1048576,2,FALSE)</f>
        <v>GSILGB2XXXX</v>
      </c>
      <c r="AD339" s="988" t="str">
        <f>VLOOKUP($AB339,sample!$1:$1048576,3,FALSE)</f>
        <v>DTCYUS33</v>
      </c>
      <c r="AE339" s="986" t="str">
        <f>VLOOKUP($AB339,sample!$1:$1048576,4,FALSE)</f>
        <v xml:space="preserve">        </v>
      </c>
      <c r="AF339" s="988" t="str">
        <f>VLOOKUP($AB339,sample!$1:$1048576,5,FALSE)</f>
        <v>N</v>
      </c>
      <c r="AL339" s="986" t="str">
        <f>VLOOKUP($AB339,sample!$1:$1048576,11,FALSE)</f>
        <v>DTCYID</v>
      </c>
      <c r="AM339" s="986">
        <f>VLOOKUP($AB339,sample!$1:$1048576,12,FALSE)</f>
        <v>5208</v>
      </c>
      <c r="AN339" s="986" t="str">
        <f>VLOOKUP($AB339,sample!$1:$1048576,13,FALSE)</f>
        <v xml:space="preserve">        </v>
      </c>
      <c r="AP339" s="988"/>
    </row>
    <row r="340" spans="1:42" s="584" customFormat="1">
      <c r="A340" s="929">
        <v>2019200355</v>
      </c>
      <c r="B340" s="816">
        <v>44152</v>
      </c>
      <c r="C340" s="816" t="s">
        <v>134</v>
      </c>
      <c r="D340" s="1133" t="str">
        <f>IFERROR(VLOOKUP(G340,PosAggregate!$B$13:$B$89,1,FALSE),"")</f>
        <v/>
      </c>
      <c r="E340" s="905" t="s">
        <v>1642</v>
      </c>
      <c r="F340" s="1006" t="str">
        <f t="shared" si="83"/>
        <v/>
      </c>
      <c r="G340" s="561" t="s">
        <v>1634</v>
      </c>
      <c r="I340" s="832" t="s">
        <v>1639</v>
      </c>
      <c r="J340" s="832" t="s">
        <v>1069</v>
      </c>
      <c r="K340" s="878">
        <v>0.56855</v>
      </c>
      <c r="L340" s="817"/>
      <c r="M340" s="878">
        <v>-220000</v>
      </c>
      <c r="N340" s="985">
        <f t="shared" si="78"/>
        <v>125081</v>
      </c>
      <c r="O340" s="817">
        <v>-75.05</v>
      </c>
      <c r="P340" s="817"/>
      <c r="R340" s="982">
        <f t="shared" si="79"/>
        <v>125005.95</v>
      </c>
      <c r="S340" s="878">
        <v>1.6279446738525956</v>
      </c>
      <c r="T340" s="998">
        <f t="shared" si="77"/>
        <v>76787.591131195179</v>
      </c>
      <c r="U340" s="816">
        <v>44154</v>
      </c>
      <c r="V340" s="561" t="s">
        <v>1656</v>
      </c>
      <c r="W340" s="819">
        <v>44151.351482060185</v>
      </c>
      <c r="X340" s="971">
        <f t="shared" si="81"/>
        <v>-6.0001119274709989E-2</v>
      </c>
      <c r="Y340" s="584" t="s">
        <v>1693</v>
      </c>
      <c r="Z340" s="988" t="str">
        <f>VLOOKUP(AA340,'place of settlement'!A:C,2,FALSE)</f>
        <v>CAETAU21XXX</v>
      </c>
      <c r="AA340" s="988" t="str">
        <f t="shared" si="80"/>
        <v>AU</v>
      </c>
      <c r="AB340" s="988" t="str">
        <f t="shared" si="82"/>
        <v>Tavira SecuritiesAU</v>
      </c>
      <c r="AC340" s="988" t="str">
        <f>VLOOKUP(AB340,sample!$1:$1048576,2,FALSE)</f>
        <v>GSILGB2XXXX</v>
      </c>
      <c r="AD340" s="988" t="str">
        <f>VLOOKUP($AB340,sample!$1:$1048576,3,FALSE)</f>
        <v>CAETAU21</v>
      </c>
      <c r="AE340" s="986" t="str">
        <f>VLOOKUP($AB340,sample!$1:$1048576,4,FALSE)</f>
        <v>011-109048-061</v>
      </c>
      <c r="AF340" s="988" t="str">
        <f>VLOOKUP($AB340,sample!$1:$1048576,5,FALSE)</f>
        <v>N</v>
      </c>
      <c r="AL340" s="986" t="str">
        <f>VLOOKUP($AB340,sample!$1:$1048576,11,FALSE)</f>
        <v xml:space="preserve">        </v>
      </c>
      <c r="AM340" s="986" t="str">
        <f>VLOOKUP($AB340,sample!$1:$1048576,12,FALSE)</f>
        <v xml:space="preserve">        </v>
      </c>
      <c r="AN340" s="986" t="str">
        <f>VLOOKUP($AB340,sample!$1:$1048576,13,FALSE)</f>
        <v>HKBAAU2SSYD</v>
      </c>
      <c r="AP340" s="988"/>
    </row>
    <row r="341" spans="1:42" s="584" customFormat="1">
      <c r="A341" s="929">
        <v>2019200356</v>
      </c>
      <c r="B341" s="816">
        <v>44152</v>
      </c>
      <c r="C341" s="816" t="s">
        <v>134</v>
      </c>
      <c r="D341" s="1133" t="str">
        <f>IFERROR(VLOOKUP(G341,PosAggregate!$B$13:$B$89,1,FALSE),"")</f>
        <v/>
      </c>
      <c r="E341" s="905" t="s">
        <v>12695</v>
      </c>
      <c r="F341" s="1006" t="str">
        <f t="shared" si="83"/>
        <v/>
      </c>
      <c r="G341" s="561" t="s">
        <v>2109</v>
      </c>
      <c r="I341" s="832" t="s">
        <v>12702</v>
      </c>
      <c r="J341" s="832" t="s">
        <v>2</v>
      </c>
      <c r="K341" s="878">
        <v>2.3554499999999998</v>
      </c>
      <c r="L341" s="817"/>
      <c r="M341" s="878">
        <v>-11000</v>
      </c>
      <c r="N341" s="985">
        <f t="shared" si="78"/>
        <v>25909.949999999997</v>
      </c>
      <c r="O341" s="817">
        <v>-15.55</v>
      </c>
      <c r="P341" s="817"/>
      <c r="R341" s="982">
        <f t="shared" si="79"/>
        <v>25894.399999999998</v>
      </c>
      <c r="S341" s="878">
        <v>1</v>
      </c>
      <c r="T341" s="998">
        <f t="shared" si="77"/>
        <v>25894.399999999998</v>
      </c>
      <c r="U341" s="816">
        <v>44154</v>
      </c>
      <c r="V341" s="561" t="s">
        <v>1656</v>
      </c>
      <c r="W341" s="819">
        <v>44152.395082060182</v>
      </c>
      <c r="X341" s="971">
        <f t="shared" si="81"/>
        <v>-6.0015553870231331E-2</v>
      </c>
      <c r="Y341" s="584" t="s">
        <v>1693</v>
      </c>
      <c r="Z341" s="988" t="str">
        <f>VLOOKUP(AA341,'place of settlement'!A:C,2,FALSE)</f>
        <v>MOTIITMMXXX</v>
      </c>
      <c r="AA341" s="988" t="str">
        <f t="shared" si="80"/>
        <v>IT</v>
      </c>
      <c r="AB341" s="988" t="str">
        <f t="shared" si="82"/>
        <v>Tavira SecuritiesIT</v>
      </c>
      <c r="AC341" s="988" t="str">
        <f>VLOOKUP(AB341,sample!$1:$1048576,2,FALSE)</f>
        <v>GSILGB2XXXX</v>
      </c>
      <c r="AD341" s="988" t="str">
        <f>VLOOKUP($AB341,sample!$1:$1048576,3,FALSE)</f>
        <v>MOTIITMMXXX</v>
      </c>
      <c r="AE341" s="986" t="str">
        <f>VLOOKUP($AB341,sample!$1:$1048576,4,FALSE)</f>
        <v>MOTICITIITMXXXX6013800</v>
      </c>
      <c r="AF341" s="988" t="str">
        <f>VLOOKUP($AB341,sample!$1:$1048576,5,FALSE)</f>
        <v>N</v>
      </c>
      <c r="AL341" s="986" t="str">
        <f>VLOOKUP($AB341,sample!$1:$1048576,11,FALSE)</f>
        <v xml:space="preserve">        </v>
      </c>
      <c r="AM341" s="986" t="str">
        <f>VLOOKUP($AB341,sample!$1:$1048576,12,FALSE)</f>
        <v xml:space="preserve">        </v>
      </c>
      <c r="AN341" s="986" t="str">
        <f>VLOOKUP($AB341,sample!$1:$1048576,13,FALSE)</f>
        <v>CITIITM1012</v>
      </c>
      <c r="AP341" s="988"/>
    </row>
    <row r="342" spans="1:42" s="584" customFormat="1">
      <c r="A342" s="929">
        <v>2019200357</v>
      </c>
      <c r="B342" s="816">
        <v>44153</v>
      </c>
      <c r="C342" s="816" t="s">
        <v>134</v>
      </c>
      <c r="D342" s="1133" t="str">
        <f>IFERROR(VLOOKUP(G342,PosAggregate!$B$13:$B$89,1,FALSE),"")</f>
        <v/>
      </c>
      <c r="E342" s="905" t="s">
        <v>12695</v>
      </c>
      <c r="F342" s="1006" t="str">
        <f t="shared" si="83"/>
        <v/>
      </c>
      <c r="G342" s="561" t="s">
        <v>2109</v>
      </c>
      <c r="I342" s="832" t="s">
        <v>12702</v>
      </c>
      <c r="J342" s="832" t="s">
        <v>2</v>
      </c>
      <c r="K342" s="878">
        <v>2.5581800000000001</v>
      </c>
      <c r="L342" s="817"/>
      <c r="M342" s="878">
        <v>-11000</v>
      </c>
      <c r="N342" s="985">
        <f t="shared" si="78"/>
        <v>28139.98</v>
      </c>
      <c r="O342" s="817">
        <v>-16.88</v>
      </c>
      <c r="P342" s="817"/>
      <c r="R342" s="982">
        <f t="shared" si="79"/>
        <v>28123.1</v>
      </c>
      <c r="S342" s="878">
        <v>1</v>
      </c>
      <c r="T342" s="998">
        <f t="shared" si="77"/>
        <v>28123.1</v>
      </c>
      <c r="U342" s="816">
        <v>44155</v>
      </c>
      <c r="V342" s="561" t="s">
        <v>1656</v>
      </c>
      <c r="W342" s="819">
        <v>44153.398557523149</v>
      </c>
      <c r="X342" s="971">
        <f t="shared" si="81"/>
        <v>-5.9985827992770427E-2</v>
      </c>
      <c r="Y342" s="584" t="s">
        <v>1693</v>
      </c>
      <c r="Z342" s="988" t="str">
        <f>VLOOKUP(AA342,'place of settlement'!A:C,2,FALSE)</f>
        <v>MOTIITMMXXX</v>
      </c>
      <c r="AA342" s="988" t="str">
        <f t="shared" si="80"/>
        <v>IT</v>
      </c>
      <c r="AB342" s="988" t="str">
        <f t="shared" si="82"/>
        <v>Tavira SecuritiesIT</v>
      </c>
      <c r="AC342" s="988" t="str">
        <f>VLOOKUP(AB342,sample!$1:$1048576,2,FALSE)</f>
        <v>GSILGB2XXXX</v>
      </c>
      <c r="AD342" s="988" t="str">
        <f>VLOOKUP($AB342,sample!$1:$1048576,3,FALSE)</f>
        <v>MOTIITMMXXX</v>
      </c>
      <c r="AE342" s="986" t="str">
        <f>VLOOKUP($AB342,sample!$1:$1048576,4,FALSE)</f>
        <v>MOTICITIITMXXXX6013800</v>
      </c>
      <c r="AF342" s="988" t="str">
        <f>VLOOKUP($AB342,sample!$1:$1048576,5,FALSE)</f>
        <v>N</v>
      </c>
      <c r="AL342" s="986" t="str">
        <f>VLOOKUP($AB342,sample!$1:$1048576,11,FALSE)</f>
        <v xml:space="preserve">        </v>
      </c>
      <c r="AM342" s="986" t="str">
        <f>VLOOKUP($AB342,sample!$1:$1048576,12,FALSE)</f>
        <v xml:space="preserve">        </v>
      </c>
      <c r="AN342" s="986" t="str">
        <f>VLOOKUP($AB342,sample!$1:$1048576,13,FALSE)</f>
        <v>CITIITM1012</v>
      </c>
      <c r="AP342" s="988"/>
    </row>
    <row r="343" spans="1:42" s="584" customFormat="1">
      <c r="A343" s="929" t="s">
        <v>1707</v>
      </c>
      <c r="B343" s="816">
        <v>44153</v>
      </c>
      <c r="C343" s="816" t="s">
        <v>133</v>
      </c>
      <c r="D343" s="1133" t="str">
        <f>IFERROR(VLOOKUP(G343,PosAggregate!$B$13:$B$89,1,FALSE),"")</f>
        <v/>
      </c>
      <c r="E343" s="905" t="s">
        <v>12696</v>
      </c>
      <c r="F343" s="1006" t="str">
        <f t="shared" si="83"/>
        <v/>
      </c>
      <c r="G343" s="561" t="s">
        <v>2112</v>
      </c>
      <c r="I343" s="832" t="s">
        <v>12703</v>
      </c>
      <c r="J343" s="832" t="s">
        <v>2</v>
      </c>
      <c r="K343" s="878"/>
      <c r="L343" s="817"/>
      <c r="M343" s="878">
        <v>8000</v>
      </c>
      <c r="N343" s="985">
        <f t="shared" si="78"/>
        <v>0</v>
      </c>
      <c r="O343" s="817"/>
      <c r="P343" s="817"/>
      <c r="R343" s="982">
        <f t="shared" si="79"/>
        <v>0</v>
      </c>
      <c r="S343" s="878"/>
      <c r="T343" s="934">
        <v>0</v>
      </c>
      <c r="U343" s="816"/>
      <c r="V343" s="561"/>
      <c r="W343" s="819"/>
      <c r="X343" s="971" t="e">
        <f t="shared" si="81"/>
        <v>#DIV/0!</v>
      </c>
      <c r="Y343" s="584" t="s">
        <v>1693</v>
      </c>
      <c r="Z343" s="988" t="str">
        <f>VLOOKUP(AA343,'place of settlement'!A:C,2,FALSE)</f>
        <v>MOTIITMMXXX</v>
      </c>
      <c r="AA343" s="988" t="str">
        <f t="shared" si="80"/>
        <v>IT</v>
      </c>
      <c r="AB343" s="988" t="str">
        <f t="shared" si="82"/>
        <v>IT</v>
      </c>
      <c r="AC343" s="988" t="e">
        <f>VLOOKUP(AB343,sample!$1:$1048576,2,FALSE)</f>
        <v>#N/A</v>
      </c>
      <c r="AD343" s="988" t="e">
        <f>VLOOKUP($AB343,sample!$1:$1048576,3,FALSE)</f>
        <v>#N/A</v>
      </c>
      <c r="AE343" s="986" t="e">
        <f>VLOOKUP($AB343,sample!$1:$1048576,4,FALSE)</f>
        <v>#N/A</v>
      </c>
      <c r="AF343" s="988" t="e">
        <f>VLOOKUP($AB343,sample!$1:$1048576,5,FALSE)</f>
        <v>#N/A</v>
      </c>
      <c r="AL343" s="986" t="e">
        <f>VLOOKUP($AB343,sample!$1:$1048576,11,FALSE)</f>
        <v>#N/A</v>
      </c>
      <c r="AM343" s="986" t="e">
        <f>VLOOKUP($AB343,sample!$1:$1048576,12,FALSE)</f>
        <v>#N/A</v>
      </c>
      <c r="AN343" s="986" t="e">
        <f>VLOOKUP($AB343,sample!$1:$1048576,13,FALSE)</f>
        <v>#N/A</v>
      </c>
      <c r="AP343" s="988"/>
    </row>
    <row r="344" spans="1:42" s="584" customFormat="1">
      <c r="A344" s="929" t="s">
        <v>1707</v>
      </c>
      <c r="B344" s="816">
        <v>44153</v>
      </c>
      <c r="C344" s="816" t="s">
        <v>133</v>
      </c>
      <c r="D344" s="1133" t="str">
        <f>IFERROR(VLOOKUP(G344,PosAggregate!$B$13:$B$89,1,FALSE),"")</f>
        <v/>
      </c>
      <c r="E344" s="905" t="s">
        <v>12677</v>
      </c>
      <c r="F344" s="1006" t="str">
        <f t="shared" si="83"/>
        <v/>
      </c>
      <c r="G344" s="561" t="s">
        <v>2113</v>
      </c>
      <c r="I344" s="832" t="s">
        <v>12703</v>
      </c>
      <c r="J344" s="832" t="s">
        <v>12606</v>
      </c>
      <c r="K344" s="878"/>
      <c r="L344" s="817"/>
      <c r="M344" s="878">
        <v>93079</v>
      </c>
      <c r="N344" s="985">
        <f t="shared" si="78"/>
        <v>0</v>
      </c>
      <c r="O344" s="817"/>
      <c r="P344" s="817"/>
      <c r="R344" s="982">
        <f t="shared" si="79"/>
        <v>0</v>
      </c>
      <c r="S344" s="878"/>
      <c r="T344" s="934">
        <v>0</v>
      </c>
      <c r="U344" s="816"/>
      <c r="V344" s="561"/>
      <c r="W344" s="819"/>
      <c r="X344" s="971" t="e">
        <f t="shared" si="81"/>
        <v>#DIV/0!</v>
      </c>
      <c r="Y344" s="584" t="s">
        <v>1693</v>
      </c>
      <c r="Z344" s="988" t="str">
        <f>VLOOKUP(AA344,'place of settlement'!A:C,2,FALSE)</f>
        <v>VPCSSESSXXX</v>
      </c>
      <c r="AA344" s="988" t="str">
        <f t="shared" si="80"/>
        <v>SE</v>
      </c>
      <c r="AB344" s="988" t="str">
        <f t="shared" si="82"/>
        <v>SE</v>
      </c>
      <c r="AC344" s="988" t="e">
        <f>VLOOKUP(AB344,sample!$1:$1048576,2,FALSE)</f>
        <v>#N/A</v>
      </c>
      <c r="AD344" s="988" t="e">
        <f>VLOOKUP($AB344,sample!$1:$1048576,3,FALSE)</f>
        <v>#N/A</v>
      </c>
      <c r="AE344" s="986" t="e">
        <f>VLOOKUP($AB344,sample!$1:$1048576,4,FALSE)</f>
        <v>#N/A</v>
      </c>
      <c r="AF344" s="988" t="e">
        <f>VLOOKUP($AB344,sample!$1:$1048576,5,FALSE)</f>
        <v>#N/A</v>
      </c>
      <c r="AL344" s="986" t="e">
        <f>VLOOKUP($AB344,sample!$1:$1048576,11,FALSE)</f>
        <v>#N/A</v>
      </c>
      <c r="AM344" s="986" t="e">
        <f>VLOOKUP($AB344,sample!$1:$1048576,12,FALSE)</f>
        <v>#N/A</v>
      </c>
      <c r="AN344" s="986" t="e">
        <f>VLOOKUP($AB344,sample!$1:$1048576,13,FALSE)</f>
        <v>#N/A</v>
      </c>
      <c r="AP344" s="988"/>
    </row>
    <row r="345" spans="1:42" s="584" customFormat="1">
      <c r="A345" s="929">
        <v>2019200358</v>
      </c>
      <c r="B345" s="816">
        <v>44158</v>
      </c>
      <c r="C345" s="816" t="s">
        <v>133</v>
      </c>
      <c r="D345" s="1133" t="str">
        <f>IFERROR(VLOOKUP(G345,PosAggregate!$B$13:$B$89,1,FALSE),"")</f>
        <v/>
      </c>
      <c r="E345" s="905" t="s">
        <v>1611</v>
      </c>
      <c r="F345" s="1006" t="str">
        <f t="shared" si="83"/>
        <v/>
      </c>
      <c r="G345" s="561" t="s">
        <v>1601</v>
      </c>
      <c r="I345" s="832" t="s">
        <v>1602</v>
      </c>
      <c r="J345" s="832" t="s">
        <v>1065</v>
      </c>
      <c r="K345" s="878">
        <v>3.1023499999999999</v>
      </c>
      <c r="L345" s="817"/>
      <c r="M345" s="878">
        <v>211000</v>
      </c>
      <c r="N345" s="985">
        <f t="shared" si="78"/>
        <v>-654595.85</v>
      </c>
      <c r="O345" s="817">
        <v>-392.76</v>
      </c>
      <c r="P345" s="817">
        <v>-705.41</v>
      </c>
      <c r="R345" s="982">
        <f t="shared" si="79"/>
        <v>-655694.02</v>
      </c>
      <c r="S345" s="878">
        <v>9.1886638140505159</v>
      </c>
      <c r="T345" s="998">
        <f t="shared" ref="T345:T369" si="84">+R345/S345</f>
        <v>-71359.017292304139</v>
      </c>
      <c r="U345" s="816">
        <v>44160</v>
      </c>
      <c r="V345" s="561" t="s">
        <v>1656</v>
      </c>
      <c r="W345" s="819">
        <v>44158.406084259259</v>
      </c>
      <c r="X345" s="971">
        <f t="shared" si="81"/>
        <v>6.0000380387379482E-2</v>
      </c>
      <c r="Y345" s="584" t="s">
        <v>1693</v>
      </c>
      <c r="Z345" s="988" t="str">
        <f>VLOOKUP(AA345,'place of settlement'!A:C,2,FALSE)</f>
        <v>XHKCHKH1XXX</v>
      </c>
      <c r="AA345" s="584" t="s">
        <v>1769</v>
      </c>
      <c r="AB345" s="988" t="str">
        <f t="shared" si="82"/>
        <v>Tavira SecuritiesHK</v>
      </c>
      <c r="AC345" s="988" t="str">
        <f>VLOOKUP(AB345,sample!$1:$1048576,2,FALSE)</f>
        <v>GSILGB2XXXX</v>
      </c>
      <c r="AD345" s="988" t="str">
        <f>VLOOKUP($AB345,sample!$1:$1048576,3,FALSE)</f>
        <v>XHKCHKH1XXX</v>
      </c>
      <c r="AE345" s="986" t="str">
        <f>VLOOKUP($AB345,sample!$1:$1048576,4,FALSE)</f>
        <v xml:space="preserve">        </v>
      </c>
      <c r="AF345" s="988" t="str">
        <f>VLOOKUP($AB345,sample!$1:$1048576,5,FALSE)</f>
        <v>N</v>
      </c>
      <c r="AL345" s="986" t="str">
        <f>VLOOKUP($AB345,sample!$1:$1048576,11,FALSE)</f>
        <v>CCASS</v>
      </c>
      <c r="AM345" s="986" t="str">
        <f>VLOOKUP($AB345,sample!$1:$1048576,12,FALSE)</f>
        <v>B01451</v>
      </c>
      <c r="AN345" s="986" t="str">
        <f>VLOOKUP($AB345,sample!$1:$1048576,13,FALSE)</f>
        <v>GSASHKH1XX</v>
      </c>
      <c r="AP345" s="988"/>
    </row>
    <row r="346" spans="1:42" s="584" customFormat="1">
      <c r="A346" s="929">
        <v>2019200359</v>
      </c>
      <c r="B346" s="816">
        <v>44158</v>
      </c>
      <c r="C346" s="816" t="s">
        <v>133</v>
      </c>
      <c r="D346" s="1133" t="str">
        <f>IFERROR(VLOOKUP(G346,PosAggregate!$B$13:$B$89,1,FALSE),"")</f>
        <v/>
      </c>
      <c r="E346" s="905" t="s">
        <v>12678</v>
      </c>
      <c r="F346" s="1006" t="str">
        <f t="shared" si="83"/>
        <v/>
      </c>
      <c r="G346" s="561" t="s">
        <v>2114</v>
      </c>
      <c r="I346" s="832" t="s">
        <v>12614</v>
      </c>
      <c r="J346" s="832" t="s">
        <v>1069</v>
      </c>
      <c r="K346" s="878">
        <v>4.9518800000000001</v>
      </c>
      <c r="L346" s="817"/>
      <c r="M346" s="878">
        <v>33000</v>
      </c>
      <c r="N346" s="985">
        <f t="shared" si="78"/>
        <v>-163412.04</v>
      </c>
      <c r="O346" s="817">
        <v>-98.05</v>
      </c>
      <c r="P346" s="817"/>
      <c r="R346" s="982">
        <f t="shared" si="79"/>
        <v>-163510.09</v>
      </c>
      <c r="S346" s="878">
        <v>1.6232531677077522</v>
      </c>
      <c r="T346" s="998">
        <f t="shared" si="84"/>
        <v>-100729.87581530356</v>
      </c>
      <c r="U346" s="816">
        <v>44160</v>
      </c>
      <c r="V346" s="561" t="s">
        <v>1656</v>
      </c>
      <c r="W346" s="819">
        <v>44158.409638657409</v>
      </c>
      <c r="X346" s="971">
        <f t="shared" si="81"/>
        <v>6.0001698773236037E-2</v>
      </c>
      <c r="Y346" s="584" t="s">
        <v>1693</v>
      </c>
      <c r="Z346" s="988" t="str">
        <f>VLOOKUP(AA346,'place of settlement'!A:C,2,FALSE)</f>
        <v>CAETAU21XXX</v>
      </c>
      <c r="AA346" s="988" t="str">
        <f t="shared" ref="AA346:AA353" si="85">LEFT(E346,2)</f>
        <v>AU</v>
      </c>
      <c r="AB346" s="988" t="str">
        <f t="shared" si="82"/>
        <v>Tavira SecuritiesAU</v>
      </c>
      <c r="AC346" s="988" t="str">
        <f>VLOOKUP(AB346,sample!$1:$1048576,2,FALSE)</f>
        <v>GSILGB2XXXX</v>
      </c>
      <c r="AD346" s="988" t="str">
        <f>VLOOKUP($AB346,sample!$1:$1048576,3,FALSE)</f>
        <v>CAETAU21</v>
      </c>
      <c r="AE346" s="986" t="str">
        <f>VLOOKUP($AB346,sample!$1:$1048576,4,FALSE)</f>
        <v>011-109048-061</v>
      </c>
      <c r="AF346" s="988" t="str">
        <f>VLOOKUP($AB346,sample!$1:$1048576,5,FALSE)</f>
        <v>N</v>
      </c>
      <c r="AL346" s="986" t="str">
        <f>VLOOKUP($AB346,sample!$1:$1048576,11,FALSE)</f>
        <v xml:space="preserve">        </v>
      </c>
      <c r="AM346" s="986" t="str">
        <f>VLOOKUP($AB346,sample!$1:$1048576,12,FALSE)</f>
        <v xml:space="preserve">        </v>
      </c>
      <c r="AN346" s="986" t="str">
        <f>VLOOKUP($AB346,sample!$1:$1048576,13,FALSE)</f>
        <v>HKBAAU2SSYD</v>
      </c>
      <c r="AP346" s="988"/>
    </row>
    <row r="347" spans="1:42" s="584" customFormat="1">
      <c r="A347" s="929">
        <v>2019200360</v>
      </c>
      <c r="B347" s="816">
        <v>44158</v>
      </c>
      <c r="C347" s="816" t="s">
        <v>134</v>
      </c>
      <c r="D347" s="1133" t="str">
        <f>IFERROR(VLOOKUP(G347,PosAggregate!$B$13:$B$89,1,FALSE),"")</f>
        <v/>
      </c>
      <c r="E347" s="905" t="s">
        <v>1642</v>
      </c>
      <c r="F347" s="1006" t="str">
        <f t="shared" si="83"/>
        <v/>
      </c>
      <c r="G347" s="561" t="s">
        <v>1634</v>
      </c>
      <c r="I347" s="832" t="s">
        <v>1639</v>
      </c>
      <c r="J347" s="832" t="s">
        <v>1069</v>
      </c>
      <c r="K347" s="878">
        <v>0.67976999999999999</v>
      </c>
      <c r="L347" s="817"/>
      <c r="M347" s="878">
        <v>-270000</v>
      </c>
      <c r="N347" s="985">
        <f t="shared" si="78"/>
        <v>183537.9</v>
      </c>
      <c r="O347" s="817">
        <v>-110.12</v>
      </c>
      <c r="P347" s="817"/>
      <c r="R347" s="982">
        <f t="shared" si="79"/>
        <v>183427.78</v>
      </c>
      <c r="S347" s="878">
        <v>1.6232531677077533</v>
      </c>
      <c r="T347" s="998">
        <f t="shared" si="84"/>
        <v>113000.10599025912</v>
      </c>
      <c r="U347" s="816">
        <v>44160</v>
      </c>
      <c r="V347" s="561" t="s">
        <v>1656</v>
      </c>
      <c r="W347" s="819">
        <v>44158.409993634261</v>
      </c>
      <c r="X347" s="971">
        <f t="shared" si="81"/>
        <v>-5.9998507120327733E-2</v>
      </c>
      <c r="Y347" s="584" t="s">
        <v>1693</v>
      </c>
      <c r="Z347" s="988" t="str">
        <f>VLOOKUP(AA347,'place of settlement'!A:C,2,FALSE)</f>
        <v>CAETAU21XXX</v>
      </c>
      <c r="AA347" s="988" t="str">
        <f t="shared" si="85"/>
        <v>AU</v>
      </c>
      <c r="AB347" s="988" t="str">
        <f t="shared" si="82"/>
        <v>Tavira SecuritiesAU</v>
      </c>
      <c r="AC347" s="988" t="str">
        <f>VLOOKUP(AB347,sample!$1:$1048576,2,FALSE)</f>
        <v>GSILGB2XXXX</v>
      </c>
      <c r="AD347" s="988" t="str">
        <f>VLOOKUP($AB347,sample!$1:$1048576,3,FALSE)</f>
        <v>CAETAU21</v>
      </c>
      <c r="AE347" s="986" t="str">
        <f>VLOOKUP($AB347,sample!$1:$1048576,4,FALSE)</f>
        <v>011-109048-061</v>
      </c>
      <c r="AF347" s="988" t="str">
        <f>VLOOKUP($AB347,sample!$1:$1048576,5,FALSE)</f>
        <v>N</v>
      </c>
      <c r="AL347" s="986" t="str">
        <f>VLOOKUP($AB347,sample!$1:$1048576,11,FALSE)</f>
        <v xml:space="preserve">        </v>
      </c>
      <c r="AM347" s="986" t="str">
        <f>VLOOKUP($AB347,sample!$1:$1048576,12,FALSE)</f>
        <v xml:space="preserve">        </v>
      </c>
      <c r="AN347" s="986" t="str">
        <f>VLOOKUP($AB347,sample!$1:$1048576,13,FALSE)</f>
        <v>HKBAAU2SSYD</v>
      </c>
      <c r="AP347" s="988"/>
    </row>
    <row r="348" spans="1:42" s="584" customFormat="1">
      <c r="A348" s="929">
        <v>2019200361</v>
      </c>
      <c r="B348" s="816">
        <v>44159</v>
      </c>
      <c r="C348" s="816" t="s">
        <v>133</v>
      </c>
      <c r="D348" s="1133" t="str">
        <f>IFERROR(VLOOKUP(G348,PosAggregate!$B$13:$B$89,1,FALSE),"")</f>
        <v/>
      </c>
      <c r="E348" s="905" t="s">
        <v>1191</v>
      </c>
      <c r="F348" s="1006" t="str">
        <f t="shared" si="83"/>
        <v/>
      </c>
      <c r="G348" s="561" t="s">
        <v>1140</v>
      </c>
      <c r="I348" s="832" t="s">
        <v>1091</v>
      </c>
      <c r="J348" s="832" t="s">
        <v>125</v>
      </c>
      <c r="K348" s="878">
        <v>1951.07536</v>
      </c>
      <c r="L348" s="817"/>
      <c r="M348" s="878">
        <v>11000</v>
      </c>
      <c r="N348" s="985">
        <f t="shared" si="78"/>
        <v>-21461828.960000001</v>
      </c>
      <c r="O348" s="817">
        <v>-12877</v>
      </c>
      <c r="R348" s="982">
        <f t="shared" si="79"/>
        <v>-21474705.960000001</v>
      </c>
      <c r="S348" s="878">
        <v>123.09315253594413</v>
      </c>
      <c r="T348" s="998">
        <f t="shared" si="84"/>
        <v>-174458.98100407515</v>
      </c>
      <c r="U348" s="584">
        <v>44161</v>
      </c>
      <c r="V348" s="561" t="s">
        <v>1656</v>
      </c>
      <c r="W348" s="819">
        <v>44158.829302893515</v>
      </c>
      <c r="X348" s="971">
        <f t="shared" si="81"/>
        <v>5.9999546282843916E-2</v>
      </c>
      <c r="Y348" s="584" t="s">
        <v>1693</v>
      </c>
      <c r="Z348" s="988" t="str">
        <f>VLOOKUP(AA348,'place of settlement'!A:C,2,FALSE)</f>
        <v>JJSDJPJTXXX</v>
      </c>
      <c r="AA348" s="988" t="str">
        <f t="shared" si="85"/>
        <v>JP</v>
      </c>
      <c r="AB348" s="988" t="str">
        <f t="shared" si="82"/>
        <v>Tavira SecuritiesJP</v>
      </c>
      <c r="AC348" s="988" t="str">
        <f>VLOOKUP(AB348,sample!$1:$1048576,2,FALSE)</f>
        <v>GSILGB2XXXX</v>
      </c>
      <c r="AD348" s="988" t="str">
        <f>VLOOKUP($AB348,sample!$1:$1048576,3,FALSE)</f>
        <v>JJSDJPJTXXX</v>
      </c>
      <c r="AE348" s="986">
        <f>VLOOKUP($AB348,sample!$1:$1048576,4,FALSE)</f>
        <v>6530490016</v>
      </c>
      <c r="AF348" s="988" t="str">
        <f>VLOOKUP($AB348,sample!$1:$1048576,5,FALSE)</f>
        <v>N</v>
      </c>
      <c r="AL348" s="986" t="str">
        <f>VLOOKUP($AB348,sample!$1:$1048576,11,FALSE)</f>
        <v xml:space="preserve">                  </v>
      </c>
      <c r="AM348" s="986" t="str">
        <f>VLOOKUP($AB348,sample!$1:$1048576,12,FALSE)</f>
        <v xml:space="preserve">                          </v>
      </c>
      <c r="AN348" s="986" t="str">
        <f>VLOOKUP($AB348,sample!$1:$1048576,13,FALSE)</f>
        <v>GOLDJPJXXXX</v>
      </c>
      <c r="AP348" s="988"/>
    </row>
    <row r="349" spans="1:42" s="936" customFormat="1">
      <c r="A349" s="929">
        <v>2019200362</v>
      </c>
      <c r="B349" s="816">
        <v>44159</v>
      </c>
      <c r="C349" s="816" t="s">
        <v>134</v>
      </c>
      <c r="D349" s="1133" t="str">
        <f>IFERROR(VLOOKUP(G349,PosAggregate!$B$13:$B$89,1,FALSE),"")</f>
        <v/>
      </c>
      <c r="E349" s="905" t="s">
        <v>1629</v>
      </c>
      <c r="F349" s="1006" t="str">
        <f t="shared" si="83"/>
        <v/>
      </c>
      <c r="G349" s="816" t="s">
        <v>1618</v>
      </c>
      <c r="I349" s="937" t="s">
        <v>1620</v>
      </c>
      <c r="J349" s="832" t="s">
        <v>2</v>
      </c>
      <c r="K349" s="938">
        <v>5.2982300000000002</v>
      </c>
      <c r="L349" s="939"/>
      <c r="M349" s="938">
        <v>-5300</v>
      </c>
      <c r="N349" s="985">
        <f t="shared" si="78"/>
        <v>28080.619000000002</v>
      </c>
      <c r="O349" s="817">
        <v>-16.850000000000001</v>
      </c>
      <c r="R349" s="982">
        <f t="shared" si="79"/>
        <v>28063.769000000004</v>
      </c>
      <c r="S349" s="938">
        <v>1</v>
      </c>
      <c r="T349" s="998">
        <f t="shared" si="84"/>
        <v>28063.769000000004</v>
      </c>
      <c r="U349" s="584">
        <v>44161</v>
      </c>
      <c r="V349" s="816" t="s">
        <v>1656</v>
      </c>
      <c r="W349" s="940">
        <v>44159.674780787034</v>
      </c>
      <c r="X349" s="1001">
        <f t="shared" si="81"/>
        <v>-6.0005799729699688E-2</v>
      </c>
      <c r="Y349" s="936" t="s">
        <v>1693</v>
      </c>
      <c r="Z349" s="997" t="str">
        <f>VLOOKUP(AA349,'place of settlement'!A:C,2,FALSE)</f>
        <v>DAKVDEFFXXX</v>
      </c>
      <c r="AA349" s="997" t="str">
        <f t="shared" si="85"/>
        <v>DE</v>
      </c>
      <c r="AB349" s="997" t="str">
        <f t="shared" si="82"/>
        <v>Tavira SecuritiesDE</v>
      </c>
      <c r="AC349" s="997" t="str">
        <f>VLOOKUP(AB349,sample!$1:$1048576,2,FALSE)</f>
        <v>GSILGB2XXXX</v>
      </c>
      <c r="AD349" s="997" t="str">
        <f>VLOOKUP($AB349,sample!$1:$1048576,3,FALSE)</f>
        <v>DAKVDEFFXXX</v>
      </c>
      <c r="AE349" s="996" t="str">
        <f>VLOOKUP($AB349,sample!$1:$1048576,4,FALSE)</f>
        <v>DAKV7372000</v>
      </c>
      <c r="AF349" s="997" t="str">
        <f>VLOOKUP($AB349,sample!$1:$1048576,5,FALSE)</f>
        <v>N</v>
      </c>
      <c r="AL349" s="996" t="str">
        <f>VLOOKUP($AB349,sample!$1:$1048576,11,FALSE)</f>
        <v xml:space="preserve">        </v>
      </c>
      <c r="AM349" s="996" t="str">
        <f>VLOOKUP($AB349,sample!$1:$1048576,12,FALSE)</f>
        <v xml:space="preserve">        </v>
      </c>
      <c r="AN349" s="996" t="str">
        <f>VLOOKUP($AB349,sample!$1:$1048576,13,FALSE)</f>
        <v>CITIDEFFXXX</v>
      </c>
      <c r="AP349" s="988"/>
    </row>
    <row r="350" spans="1:42" s="936" customFormat="1">
      <c r="A350" s="929">
        <v>2019200363</v>
      </c>
      <c r="B350" s="816">
        <v>44159</v>
      </c>
      <c r="C350" s="816" t="s">
        <v>134</v>
      </c>
      <c r="D350" s="1133" t="str">
        <f>IFERROR(VLOOKUP(G350,PosAggregate!$B$13:$B$89,1,FALSE),"")</f>
        <v/>
      </c>
      <c r="E350" s="905" t="s">
        <v>1223</v>
      </c>
      <c r="F350" s="1006" t="str">
        <f t="shared" si="83"/>
        <v/>
      </c>
      <c r="G350" s="816" t="s">
        <v>1174</v>
      </c>
      <c r="I350" s="937" t="s">
        <v>1096</v>
      </c>
      <c r="J350" s="832" t="s">
        <v>3</v>
      </c>
      <c r="K350" s="938">
        <v>47.869</v>
      </c>
      <c r="L350" s="939"/>
      <c r="M350" s="938">
        <v>-2000</v>
      </c>
      <c r="N350" s="985">
        <f t="shared" si="78"/>
        <v>95738</v>
      </c>
      <c r="O350" s="817">
        <v>-47.87</v>
      </c>
      <c r="P350" s="817">
        <v>-2.12</v>
      </c>
      <c r="R350" s="982">
        <f t="shared" si="79"/>
        <v>95688.010000000009</v>
      </c>
      <c r="S350" s="938">
        <v>1.184006440995039</v>
      </c>
      <c r="T350" s="998">
        <f t="shared" si="84"/>
        <v>80817.136365900005</v>
      </c>
      <c r="U350" s="584">
        <v>44162</v>
      </c>
      <c r="V350" s="816" t="s">
        <v>1656</v>
      </c>
      <c r="W350" s="940">
        <v>44159.675282986114</v>
      </c>
      <c r="X350" s="1001">
        <f t="shared" si="81"/>
        <v>-5.0001044517328543E-2</v>
      </c>
      <c r="Y350" s="936" t="s">
        <v>1693</v>
      </c>
      <c r="Z350" s="997" t="str">
        <f>VLOOKUP(AA350,'place of settlement'!A:C,2,FALSE)</f>
        <v>DTCYUS33XXX</v>
      </c>
      <c r="AA350" s="997" t="str">
        <f t="shared" si="85"/>
        <v>US</v>
      </c>
      <c r="AB350" s="997" t="str">
        <f t="shared" si="82"/>
        <v>Tavira SecuritiesUS</v>
      </c>
      <c r="AC350" s="997" t="str">
        <f>VLOOKUP(AB350,sample!$1:$1048576,2,FALSE)</f>
        <v>GSILGB2XXXX</v>
      </c>
      <c r="AD350" s="997" t="str">
        <f>VLOOKUP($AB350,sample!$1:$1048576,3,FALSE)</f>
        <v>DTCYUS33</v>
      </c>
      <c r="AE350" s="996" t="str">
        <f>VLOOKUP($AB350,sample!$1:$1048576,4,FALSE)</f>
        <v xml:space="preserve">        </v>
      </c>
      <c r="AF350" s="997" t="str">
        <f>VLOOKUP($AB350,sample!$1:$1048576,5,FALSE)</f>
        <v>N</v>
      </c>
      <c r="AL350" s="996" t="str">
        <f>VLOOKUP($AB350,sample!$1:$1048576,11,FALSE)</f>
        <v>DTCYID</v>
      </c>
      <c r="AM350" s="996">
        <f>VLOOKUP($AB350,sample!$1:$1048576,12,FALSE)</f>
        <v>5208</v>
      </c>
      <c r="AN350" s="996" t="str">
        <f>VLOOKUP($AB350,sample!$1:$1048576,13,FALSE)</f>
        <v xml:space="preserve">        </v>
      </c>
      <c r="AP350" s="988"/>
    </row>
    <row r="351" spans="1:42" s="936" customFormat="1">
      <c r="A351" s="929">
        <v>2019200364</v>
      </c>
      <c r="B351" s="816">
        <v>44160</v>
      </c>
      <c r="C351" s="816" t="s">
        <v>134</v>
      </c>
      <c r="D351" s="1133" t="str">
        <f>IFERROR(VLOOKUP(G351,PosAggregate!$B$13:$B$89,1,FALSE),"")</f>
        <v/>
      </c>
      <c r="E351" s="905" t="s">
        <v>1629</v>
      </c>
      <c r="F351" s="1006" t="str">
        <f t="shared" si="83"/>
        <v/>
      </c>
      <c r="G351" s="816" t="s">
        <v>1618</v>
      </c>
      <c r="I351" s="937" t="s">
        <v>1620</v>
      </c>
      <c r="J351" s="832" t="s">
        <v>2</v>
      </c>
      <c r="K351" s="938">
        <v>5.7228000000000003</v>
      </c>
      <c r="L351" s="939"/>
      <c r="M351" s="938">
        <v>-11000</v>
      </c>
      <c r="N351" s="985">
        <f t="shared" si="78"/>
        <v>62950.8</v>
      </c>
      <c r="O351" s="817">
        <v>-37.770000000000003</v>
      </c>
      <c r="R351" s="982">
        <f t="shared" si="79"/>
        <v>62913.030000000006</v>
      </c>
      <c r="S351" s="938">
        <v>1</v>
      </c>
      <c r="T351" s="998">
        <f t="shared" si="84"/>
        <v>62913.030000000006</v>
      </c>
      <c r="U351" s="584">
        <v>44162</v>
      </c>
      <c r="V351" s="816" t="s">
        <v>1656</v>
      </c>
      <c r="W351" s="940">
        <v>44160.674833912039</v>
      </c>
      <c r="X351" s="1001">
        <f t="shared" si="81"/>
        <v>-5.9999237499761722E-2</v>
      </c>
      <c r="Y351" s="936" t="s">
        <v>1693</v>
      </c>
      <c r="Z351" s="997" t="str">
        <f>VLOOKUP(AA351,'place of settlement'!A:C,2,FALSE)</f>
        <v>DAKVDEFFXXX</v>
      </c>
      <c r="AA351" s="997" t="str">
        <f t="shared" si="85"/>
        <v>DE</v>
      </c>
      <c r="AB351" s="997" t="str">
        <f t="shared" si="82"/>
        <v>Tavira SecuritiesDE</v>
      </c>
      <c r="AC351" s="997" t="str">
        <f>VLOOKUP(AB351,sample!$1:$1048576,2,FALSE)</f>
        <v>GSILGB2XXXX</v>
      </c>
      <c r="AD351" s="997" t="str">
        <f>VLOOKUP($AB351,sample!$1:$1048576,3,FALSE)</f>
        <v>DAKVDEFFXXX</v>
      </c>
      <c r="AE351" s="996" t="str">
        <f>VLOOKUP($AB351,sample!$1:$1048576,4,FALSE)</f>
        <v>DAKV7372000</v>
      </c>
      <c r="AF351" s="997" t="str">
        <f>VLOOKUP($AB351,sample!$1:$1048576,5,FALSE)</f>
        <v>N</v>
      </c>
      <c r="AL351" s="996" t="str">
        <f>VLOOKUP($AB351,sample!$1:$1048576,11,FALSE)</f>
        <v xml:space="preserve">        </v>
      </c>
      <c r="AM351" s="996" t="str">
        <f>VLOOKUP($AB351,sample!$1:$1048576,12,FALSE)</f>
        <v xml:space="preserve">        </v>
      </c>
      <c r="AN351" s="996" t="str">
        <f>VLOOKUP($AB351,sample!$1:$1048576,13,FALSE)</f>
        <v>CITIDEFFXXX</v>
      </c>
      <c r="AP351" s="988"/>
    </row>
    <row r="352" spans="1:42" s="936" customFormat="1">
      <c r="A352" s="929">
        <v>2019200365</v>
      </c>
      <c r="B352" s="816">
        <v>44162</v>
      </c>
      <c r="C352" s="816" t="s">
        <v>134</v>
      </c>
      <c r="D352" s="1133" t="str">
        <f>IFERROR(VLOOKUP(G352,PosAggregate!$B$13:$B$89,1,FALSE),"")</f>
        <v/>
      </c>
      <c r="E352" s="905" t="s">
        <v>12695</v>
      </c>
      <c r="F352" s="1006" t="str">
        <f t="shared" si="83"/>
        <v/>
      </c>
      <c r="G352" s="816" t="s">
        <v>2109</v>
      </c>
      <c r="I352" s="937" t="s">
        <v>12702</v>
      </c>
      <c r="J352" s="832" t="s">
        <v>2</v>
      </c>
      <c r="K352" s="938">
        <v>2.4263599999999999</v>
      </c>
      <c r="L352" s="939"/>
      <c r="M352" s="938">
        <v>-11000</v>
      </c>
      <c r="N352" s="985">
        <f t="shared" si="78"/>
        <v>26689.96</v>
      </c>
      <c r="O352" s="817">
        <v>-16.010000000000002</v>
      </c>
      <c r="R352" s="982">
        <f t="shared" si="79"/>
        <v>26673.95</v>
      </c>
      <c r="S352" s="938">
        <v>1</v>
      </c>
      <c r="T352" s="998">
        <f t="shared" si="84"/>
        <v>26673.95</v>
      </c>
      <c r="U352" s="584">
        <v>44166</v>
      </c>
      <c r="V352" s="816" t="s">
        <v>1656</v>
      </c>
      <c r="W352" s="940">
        <v>44162.534380324076</v>
      </c>
      <c r="X352" s="1001">
        <f t="shared" si="81"/>
        <v>-5.9985103012518574E-2</v>
      </c>
      <c r="Y352" s="936" t="s">
        <v>1693</v>
      </c>
      <c r="Z352" s="997" t="str">
        <f>VLOOKUP(AA352,'place of settlement'!A:C,2,FALSE)</f>
        <v>MOTIITMMXXX</v>
      </c>
      <c r="AA352" s="997" t="str">
        <f t="shared" si="85"/>
        <v>IT</v>
      </c>
      <c r="AB352" s="997" t="str">
        <f t="shared" si="82"/>
        <v>Tavira SecuritiesIT</v>
      </c>
      <c r="AC352" s="997" t="str">
        <f>VLOOKUP(AB352,sample!$1:$1048576,2,FALSE)</f>
        <v>GSILGB2XXXX</v>
      </c>
      <c r="AD352" s="997" t="str">
        <f>VLOOKUP($AB352,sample!$1:$1048576,3,FALSE)</f>
        <v>MOTIITMMXXX</v>
      </c>
      <c r="AE352" s="996" t="str">
        <f>VLOOKUP($AB352,sample!$1:$1048576,4,FALSE)</f>
        <v>MOTICITIITMXXXX6013800</v>
      </c>
      <c r="AF352" s="997" t="str">
        <f>VLOOKUP($AB352,sample!$1:$1048576,5,FALSE)</f>
        <v>N</v>
      </c>
      <c r="AL352" s="996" t="str">
        <f>VLOOKUP($AB352,sample!$1:$1048576,11,FALSE)</f>
        <v xml:space="preserve">        </v>
      </c>
      <c r="AM352" s="996" t="str">
        <f>VLOOKUP($AB352,sample!$1:$1048576,12,FALSE)</f>
        <v xml:space="preserve">        </v>
      </c>
      <c r="AN352" s="996" t="str">
        <f>VLOOKUP($AB352,sample!$1:$1048576,13,FALSE)</f>
        <v>CITIITM1012</v>
      </c>
      <c r="AP352" s="988"/>
    </row>
    <row r="353" spans="1:42" s="936" customFormat="1">
      <c r="A353" s="929">
        <v>2019200366</v>
      </c>
      <c r="B353" s="816">
        <v>44166</v>
      </c>
      <c r="C353" s="816" t="s">
        <v>134</v>
      </c>
      <c r="D353" s="1133" t="str">
        <f>IFERROR(VLOOKUP(G353,PosAggregate!$B$13:$B$89,1,FALSE),"")</f>
        <v/>
      </c>
      <c r="E353" s="905" t="s">
        <v>12692</v>
      </c>
      <c r="F353" s="1006" t="str">
        <f t="shared" si="83"/>
        <v/>
      </c>
      <c r="G353" s="816" t="s">
        <v>2102</v>
      </c>
      <c r="I353" s="937" t="s">
        <v>12701</v>
      </c>
      <c r="J353" s="832" t="s">
        <v>1066</v>
      </c>
      <c r="K353" s="938">
        <v>1.15798</v>
      </c>
      <c r="L353" s="939"/>
      <c r="M353" s="938">
        <v>-103195</v>
      </c>
      <c r="N353" s="985">
        <f t="shared" si="78"/>
        <v>119497.7461</v>
      </c>
      <c r="O353" s="817">
        <v>-71.7</v>
      </c>
      <c r="R353" s="982">
        <f t="shared" si="79"/>
        <v>119426.04610000001</v>
      </c>
      <c r="S353" s="938">
        <v>1.0842597452168521</v>
      </c>
      <c r="T353" s="998">
        <f t="shared" si="84"/>
        <v>110145.23653288888</v>
      </c>
      <c r="U353" s="584">
        <v>44168</v>
      </c>
      <c r="V353" s="816" t="s">
        <v>1656</v>
      </c>
      <c r="W353" s="940">
        <v>44166.418353703702</v>
      </c>
      <c r="X353" s="1001">
        <f t="shared" si="81"/>
        <v>-6.0001131686616811E-2</v>
      </c>
      <c r="Y353" s="936" t="s">
        <v>1693</v>
      </c>
      <c r="Z353" s="997" t="str">
        <f>VLOOKUP(AA353,'place of settlement'!A:C,2,FALSE)</f>
        <v>INSECHZZXXX</v>
      </c>
      <c r="AA353" s="997" t="str">
        <f t="shared" si="85"/>
        <v>CH</v>
      </c>
      <c r="AB353" s="997" t="str">
        <f t="shared" si="82"/>
        <v>Tavira SecuritiesCH</v>
      </c>
      <c r="AC353" s="997" t="str">
        <f>VLOOKUP(AB353,sample!$1:$1048576,2,FALSE)</f>
        <v>GSILGB2XXXX</v>
      </c>
      <c r="AD353" s="997" t="str">
        <f>VLOOKUP($AB353,sample!$1:$1048576,3,FALSE)</f>
        <v>INSECHZZ</v>
      </c>
      <c r="AE353" s="996">
        <f>VLOOKUP($AB353,sample!$1:$1048576,4,FALSE)</f>
        <v>20319455</v>
      </c>
      <c r="AF353" s="997" t="str">
        <f>VLOOKUP($AB353,sample!$1:$1048576,5,FALSE)</f>
        <v>N</v>
      </c>
      <c r="AL353" s="996" t="str">
        <f>VLOOKUP($AB353,sample!$1:$1048576,11,FALSE)</f>
        <v>SCOM</v>
      </c>
      <c r="AM353" s="996" t="str">
        <f>VLOOKUP($AB353,sample!$1:$1048576,12,FALSE)</f>
        <v>GB102183</v>
      </c>
      <c r="AN353" s="996" t="str">
        <f>VLOOKUP($AB353,sample!$1:$1048576,13,FALSE)</f>
        <v>GSILGB2XXXX</v>
      </c>
      <c r="AP353" s="988"/>
    </row>
    <row r="354" spans="1:42" s="936" customFormat="1">
      <c r="A354" s="929">
        <v>2019200367</v>
      </c>
      <c r="B354" s="816">
        <v>44165</v>
      </c>
      <c r="C354" s="816" t="s">
        <v>133</v>
      </c>
      <c r="D354" s="1133" t="str">
        <f>IFERROR(VLOOKUP(G354,PosAggregate!$B$13:$B$89,1,FALSE),"")</f>
        <v/>
      </c>
      <c r="E354" s="905" t="s">
        <v>12679</v>
      </c>
      <c r="F354" s="1006" t="str">
        <f t="shared" si="83"/>
        <v/>
      </c>
      <c r="G354" s="816" t="s">
        <v>2115</v>
      </c>
      <c r="I354" s="937" t="s">
        <v>12615</v>
      </c>
      <c r="J354" s="832" t="s">
        <v>124</v>
      </c>
      <c r="K354" s="938">
        <v>0.126</v>
      </c>
      <c r="L354" s="939"/>
      <c r="M354" s="938">
        <v>420000</v>
      </c>
      <c r="N354" s="985">
        <f t="shared" si="78"/>
        <v>-52920</v>
      </c>
      <c r="O354" s="817">
        <v>-31.75</v>
      </c>
      <c r="P354" s="817">
        <v>-1</v>
      </c>
      <c r="R354" s="982">
        <f t="shared" si="79"/>
        <v>-52952.75</v>
      </c>
      <c r="S354" s="938">
        <v>0.89542678562908196</v>
      </c>
      <c r="T354" s="998">
        <f t="shared" si="84"/>
        <v>-59136.884053337824</v>
      </c>
      <c r="U354" s="584">
        <v>44167</v>
      </c>
      <c r="V354" s="816" t="s">
        <v>1656</v>
      </c>
      <c r="W354" s="940">
        <v>44166.45803425926</v>
      </c>
      <c r="X354" s="1001">
        <f t="shared" si="81"/>
        <v>5.999622071050642E-2</v>
      </c>
      <c r="Y354" s="936" t="s">
        <v>1693</v>
      </c>
      <c r="Z354" s="997" t="str">
        <f>VLOOKUP(AA354,'place of settlement'!A:C,2,FALSE)</f>
        <v>CRSTGB22XXX</v>
      </c>
      <c r="AA354" s="936" t="s">
        <v>2116</v>
      </c>
      <c r="AB354" s="997" t="str">
        <f t="shared" si="82"/>
        <v>Tavira Securitiesgb</v>
      </c>
      <c r="AC354" s="997" t="str">
        <f>VLOOKUP(AB354,sample!$1:$1048576,2,FALSE)</f>
        <v>GSILGB2XXXX</v>
      </c>
      <c r="AD354" s="997" t="str">
        <f>VLOOKUP($AB354,sample!$1:$1048576,3,FALSE)</f>
        <v>CRSTGB22</v>
      </c>
      <c r="AE354" s="996" t="str">
        <f>VLOOKUP($AB354,sample!$1:$1048576,4,FALSE)</f>
        <v xml:space="preserve">        </v>
      </c>
      <c r="AF354" s="997" t="str">
        <f>VLOOKUP($AB354,sample!$1:$1048576,5,FALSE)</f>
        <v>N</v>
      </c>
      <c r="AL354" s="996" t="str">
        <f>VLOOKUP($AB354,sample!$1:$1048576,11,FALSE)</f>
        <v>CRST</v>
      </c>
      <c r="AM354" s="996">
        <f>VLOOKUP($AB354,sample!$1:$1048576,12,FALSE)</f>
        <v>303</v>
      </c>
      <c r="AN354" s="996" t="str">
        <f>VLOOKUP($AB354,sample!$1:$1048576,13,FALSE)</f>
        <v>GSILGB2XXXX</v>
      </c>
      <c r="AP354" s="988"/>
    </row>
    <row r="355" spans="1:42" s="936" customFormat="1">
      <c r="A355" s="1000">
        <f t="shared" ref="A355:A362" si="86">(A354+1)</f>
        <v>2019200368</v>
      </c>
      <c r="B355" s="816">
        <v>44166</v>
      </c>
      <c r="C355" s="816" t="s">
        <v>134</v>
      </c>
      <c r="D355" s="1133" t="str">
        <f>IFERROR(VLOOKUP(G355,PosAggregate!$B$13:$B$89,1,FALSE),"")</f>
        <v/>
      </c>
      <c r="E355" s="905" t="s">
        <v>1226</v>
      </c>
      <c r="F355" s="1006" t="str">
        <f t="shared" si="83"/>
        <v/>
      </c>
      <c r="G355" s="816" t="s">
        <v>1178</v>
      </c>
      <c r="I355" s="937" t="s">
        <v>1089</v>
      </c>
      <c r="J355" s="832" t="s">
        <v>3</v>
      </c>
      <c r="K355" s="938">
        <v>20.253779999999999</v>
      </c>
      <c r="L355" s="939"/>
      <c r="M355" s="938">
        <v>-6300</v>
      </c>
      <c r="N355" s="985">
        <f t="shared" si="78"/>
        <v>127598.814</v>
      </c>
      <c r="O355" s="817">
        <v>-63.8</v>
      </c>
      <c r="P355" s="817">
        <v>-2.82</v>
      </c>
      <c r="R355" s="982">
        <f t="shared" si="79"/>
        <v>127532.19399999999</v>
      </c>
      <c r="S355" s="938">
        <v>1.1928050002385611</v>
      </c>
      <c r="T355" s="998">
        <f t="shared" si="84"/>
        <v>106917.89016183998</v>
      </c>
      <c r="U355" s="584">
        <v>44168</v>
      </c>
      <c r="V355" s="816" t="s">
        <v>1656</v>
      </c>
      <c r="W355" s="940">
        <v>44166.759676967595</v>
      </c>
      <c r="X355" s="1001">
        <f t="shared" si="81"/>
        <v>-5.0000464737861898E-2</v>
      </c>
      <c r="Y355" s="936" t="s">
        <v>1693</v>
      </c>
      <c r="Z355" s="997" t="str">
        <f>VLOOKUP(AA355,'place of settlement'!A:C,2,FALSE)</f>
        <v>DTCYUS33XXX</v>
      </c>
      <c r="AA355" s="997" t="str">
        <f>LEFT(E355,2)</f>
        <v>US</v>
      </c>
      <c r="AB355" s="997" t="str">
        <f t="shared" si="82"/>
        <v>Tavira SecuritiesUS</v>
      </c>
      <c r="AC355" s="997" t="str">
        <f>VLOOKUP(AB355,sample!$1:$1048576,2,FALSE)</f>
        <v>GSILGB2XXXX</v>
      </c>
      <c r="AD355" s="997" t="str">
        <f>VLOOKUP($AB355,sample!$1:$1048576,3,FALSE)</f>
        <v>DTCYUS33</v>
      </c>
      <c r="AE355" s="996" t="str">
        <f>VLOOKUP($AB355,sample!$1:$1048576,4,FALSE)</f>
        <v xml:space="preserve">        </v>
      </c>
      <c r="AF355" s="997" t="str">
        <f>VLOOKUP($AB355,sample!$1:$1048576,5,FALSE)</f>
        <v>N</v>
      </c>
      <c r="AL355" s="996" t="str">
        <f>VLOOKUP($AB355,sample!$1:$1048576,11,FALSE)</f>
        <v>DTCYID</v>
      </c>
      <c r="AM355" s="996">
        <f>VLOOKUP($AB355,sample!$1:$1048576,12,FALSE)</f>
        <v>5208</v>
      </c>
      <c r="AN355" s="996" t="str">
        <f>VLOOKUP($AB355,sample!$1:$1048576,13,FALSE)</f>
        <v xml:space="preserve">        </v>
      </c>
      <c r="AP355" s="988"/>
    </row>
    <row r="356" spans="1:42" s="936" customFormat="1">
      <c r="A356" s="1000">
        <f t="shared" si="86"/>
        <v>2019200369</v>
      </c>
      <c r="B356" s="816">
        <v>44167</v>
      </c>
      <c r="C356" s="816" t="s">
        <v>134</v>
      </c>
      <c r="D356" s="1133" t="str">
        <f>IFERROR(VLOOKUP(G356,PosAggregate!$B$13:$B$89,1,FALSE),"")</f>
        <v/>
      </c>
      <c r="E356" s="905" t="s">
        <v>1227</v>
      </c>
      <c r="F356" s="1006" t="str">
        <f t="shared" si="83"/>
        <v/>
      </c>
      <c r="G356" s="816" t="s">
        <v>2117</v>
      </c>
      <c r="I356" s="937" t="s">
        <v>1092</v>
      </c>
      <c r="J356" s="832" t="s">
        <v>1069</v>
      </c>
      <c r="K356" s="938">
        <v>1.0014700000000001</v>
      </c>
      <c r="L356" s="939"/>
      <c r="M356" s="938">
        <v>-170000</v>
      </c>
      <c r="N356" s="985">
        <f t="shared" si="78"/>
        <v>170249.90000000002</v>
      </c>
      <c r="O356" s="817">
        <v>-102.15</v>
      </c>
      <c r="P356" s="817"/>
      <c r="R356" s="982">
        <f t="shared" si="79"/>
        <v>170147.75000000003</v>
      </c>
      <c r="S356" s="938">
        <v>1.6379480989740487</v>
      </c>
      <c r="T356" s="998">
        <f t="shared" si="84"/>
        <v>103878.59670680312</v>
      </c>
      <c r="U356" s="584">
        <v>44169</v>
      </c>
      <c r="V356" s="816" t="s">
        <v>1656</v>
      </c>
      <c r="W356" s="940">
        <v>44167.350346412037</v>
      </c>
      <c r="X356" s="1001">
        <f t="shared" si="81"/>
        <v>-6.0000035242311442E-2</v>
      </c>
      <c r="Y356" s="936" t="s">
        <v>1693</v>
      </c>
      <c r="Z356" s="997" t="str">
        <f>VLOOKUP(AA356,'place of settlement'!A:C,2,FALSE)</f>
        <v>CAETAU21XXX</v>
      </c>
      <c r="AA356" s="997" t="str">
        <f>LEFT(E356,2)</f>
        <v>AU</v>
      </c>
      <c r="AB356" s="997" t="str">
        <f t="shared" si="82"/>
        <v>Tavira SecuritiesAU</v>
      </c>
      <c r="AC356" s="997" t="str">
        <f>VLOOKUP(AB356,sample!$1:$1048576,2,FALSE)</f>
        <v>GSILGB2XXXX</v>
      </c>
      <c r="AD356" s="997" t="str">
        <f>VLOOKUP($AB356,sample!$1:$1048576,3,FALSE)</f>
        <v>CAETAU21</v>
      </c>
      <c r="AE356" s="996" t="str">
        <f>VLOOKUP($AB356,sample!$1:$1048576,4,FALSE)</f>
        <v>011-109048-061</v>
      </c>
      <c r="AF356" s="997" t="str">
        <f>VLOOKUP($AB356,sample!$1:$1048576,5,FALSE)</f>
        <v>N</v>
      </c>
      <c r="AL356" s="996" t="str">
        <f>VLOOKUP($AB356,sample!$1:$1048576,11,FALSE)</f>
        <v xml:space="preserve">        </v>
      </c>
      <c r="AM356" s="996" t="str">
        <f>VLOOKUP($AB356,sample!$1:$1048576,12,FALSE)</f>
        <v xml:space="preserve">        </v>
      </c>
      <c r="AN356" s="996" t="str">
        <f>VLOOKUP($AB356,sample!$1:$1048576,13,FALSE)</f>
        <v>HKBAAU2SSYD</v>
      </c>
      <c r="AP356" s="988"/>
    </row>
    <row r="357" spans="1:42" s="936" customFormat="1">
      <c r="A357" s="1000">
        <f t="shared" si="86"/>
        <v>2019200370</v>
      </c>
      <c r="B357" s="816">
        <v>44167</v>
      </c>
      <c r="C357" s="816" t="s">
        <v>134</v>
      </c>
      <c r="D357" s="1133" t="str">
        <f>IFERROR(VLOOKUP(G357,PosAggregate!$B$13:$B$89,1,FALSE),"")</f>
        <v/>
      </c>
      <c r="E357" s="905" t="s">
        <v>12691</v>
      </c>
      <c r="F357" s="1006" t="str">
        <f t="shared" si="83"/>
        <v/>
      </c>
      <c r="G357" s="816" t="s">
        <v>2066</v>
      </c>
      <c r="I357" s="937" t="s">
        <v>12700</v>
      </c>
      <c r="J357" s="832" t="s">
        <v>125</v>
      </c>
      <c r="K357" s="938">
        <v>2589.8238099999999</v>
      </c>
      <c r="L357" s="939"/>
      <c r="M357" s="938">
        <v>-4200</v>
      </c>
      <c r="N357" s="985">
        <f t="shared" si="78"/>
        <v>10877260.002</v>
      </c>
      <c r="O357" s="817">
        <v>-6526</v>
      </c>
      <c r="P357" s="817"/>
      <c r="R357" s="982">
        <f t="shared" si="79"/>
        <v>10870734.002</v>
      </c>
      <c r="S357" s="938">
        <v>125.89016294508122</v>
      </c>
      <c r="T357" s="998">
        <f t="shared" si="84"/>
        <v>86350.940754142081</v>
      </c>
      <c r="U357" s="584">
        <v>44169</v>
      </c>
      <c r="V357" s="816" t="s">
        <v>1656</v>
      </c>
      <c r="W357" s="940">
        <v>44167.35563726852</v>
      </c>
      <c r="X357" s="1001">
        <f t="shared" si="81"/>
        <v>-5.9996727105907782E-2</v>
      </c>
      <c r="Y357" s="936" t="s">
        <v>1693</v>
      </c>
      <c r="Z357" s="997" t="str">
        <f>VLOOKUP(AA357,'place of settlement'!A:C,2,FALSE)</f>
        <v>JJSDJPJTXXX</v>
      </c>
      <c r="AA357" s="997" t="str">
        <f>LEFT(E357,2)</f>
        <v>JP</v>
      </c>
      <c r="AB357" s="997" t="str">
        <f t="shared" si="82"/>
        <v>Tavira SecuritiesJP</v>
      </c>
      <c r="AC357" s="997" t="str">
        <f>VLOOKUP(AB357,sample!$1:$1048576,2,FALSE)</f>
        <v>GSILGB2XXXX</v>
      </c>
      <c r="AD357" s="997" t="str">
        <f>VLOOKUP($AB357,sample!$1:$1048576,3,FALSE)</f>
        <v>JJSDJPJTXXX</v>
      </c>
      <c r="AE357" s="996">
        <f>VLOOKUP($AB357,sample!$1:$1048576,4,FALSE)</f>
        <v>6530490016</v>
      </c>
      <c r="AF357" s="997" t="str">
        <f>VLOOKUP($AB357,sample!$1:$1048576,5,FALSE)</f>
        <v>N</v>
      </c>
      <c r="AL357" s="996" t="str">
        <f>VLOOKUP($AB357,sample!$1:$1048576,11,FALSE)</f>
        <v xml:space="preserve">                  </v>
      </c>
      <c r="AM357" s="996" t="str">
        <f>VLOOKUP($AB357,sample!$1:$1048576,12,FALSE)</f>
        <v xml:space="preserve">                          </v>
      </c>
      <c r="AN357" s="996" t="str">
        <f>VLOOKUP($AB357,sample!$1:$1048576,13,FALSE)</f>
        <v>GOLDJPJXXXX</v>
      </c>
      <c r="AP357" s="988"/>
    </row>
    <row r="358" spans="1:42" s="936" customFormat="1">
      <c r="A358" s="1000">
        <f t="shared" si="86"/>
        <v>2019200371</v>
      </c>
      <c r="B358" s="816">
        <v>44167</v>
      </c>
      <c r="C358" s="816" t="s">
        <v>134</v>
      </c>
      <c r="D358" s="1133" t="str">
        <f>IFERROR(VLOOKUP(G358,PosAggregate!$B$13:$B$89,1,FALSE),"")</f>
        <v/>
      </c>
      <c r="E358" s="905" t="s">
        <v>1227</v>
      </c>
      <c r="F358" s="1006" t="str">
        <f t="shared" si="83"/>
        <v/>
      </c>
      <c r="G358" s="816" t="s">
        <v>2117</v>
      </c>
      <c r="I358" s="937" t="s">
        <v>1092</v>
      </c>
      <c r="J358" s="832" t="s">
        <v>1069</v>
      </c>
      <c r="K358" s="938">
        <v>1.0491600000000001</v>
      </c>
      <c r="L358" s="939"/>
      <c r="M358" s="938">
        <v>-71461</v>
      </c>
      <c r="N358" s="985">
        <f t="shared" si="78"/>
        <v>74974.022760000007</v>
      </c>
      <c r="O358" s="817">
        <v>-44.98</v>
      </c>
      <c r="P358" s="817"/>
      <c r="R358" s="982">
        <f t="shared" si="79"/>
        <v>74929.042760000011</v>
      </c>
      <c r="S358" s="938">
        <v>1.6379480989740487</v>
      </c>
      <c r="T358" s="998">
        <f t="shared" si="84"/>
        <v>45745.675828759682</v>
      </c>
      <c r="U358" s="584">
        <v>44169</v>
      </c>
      <c r="V358" s="816" t="s">
        <v>1656</v>
      </c>
      <c r="W358" s="940">
        <v>44167.350346412037</v>
      </c>
      <c r="X358" s="1001">
        <f t="shared" si="81"/>
        <v>-5.9994113086323062E-2</v>
      </c>
      <c r="Y358" s="936" t="s">
        <v>1693</v>
      </c>
      <c r="Z358" s="997" t="str">
        <f>VLOOKUP(AA358,'place of settlement'!A:C,2,FALSE)</f>
        <v>CAETAU21XXX</v>
      </c>
      <c r="AA358" s="997" t="str">
        <f>LEFT(E358,2)</f>
        <v>AU</v>
      </c>
      <c r="AB358" s="997" t="str">
        <f t="shared" si="82"/>
        <v>Tavira SecuritiesAU</v>
      </c>
      <c r="AC358" s="997" t="str">
        <f>VLOOKUP(AB358,sample!$1:$1048576,2,FALSE)</f>
        <v>GSILGB2XXXX</v>
      </c>
      <c r="AD358" s="997" t="str">
        <f>VLOOKUP($AB358,sample!$1:$1048576,3,FALSE)</f>
        <v>CAETAU21</v>
      </c>
      <c r="AE358" s="996" t="str">
        <f>VLOOKUP($AB358,sample!$1:$1048576,4,FALSE)</f>
        <v>011-109048-061</v>
      </c>
      <c r="AF358" s="997" t="str">
        <f>VLOOKUP($AB358,sample!$1:$1048576,5,FALSE)</f>
        <v>N</v>
      </c>
      <c r="AL358" s="996" t="str">
        <f>VLOOKUP($AB358,sample!$1:$1048576,11,FALSE)</f>
        <v xml:space="preserve">        </v>
      </c>
      <c r="AM358" s="996" t="str">
        <f>VLOOKUP($AB358,sample!$1:$1048576,12,FALSE)</f>
        <v xml:space="preserve">        </v>
      </c>
      <c r="AN358" s="996" t="str">
        <f>VLOOKUP($AB358,sample!$1:$1048576,13,FALSE)</f>
        <v>HKBAAU2SSYD</v>
      </c>
      <c r="AP358" s="988"/>
    </row>
    <row r="359" spans="1:42" s="936" customFormat="1">
      <c r="A359" s="1000">
        <f t="shared" si="86"/>
        <v>2019200372</v>
      </c>
      <c r="B359" s="816">
        <v>44167</v>
      </c>
      <c r="C359" s="816" t="s">
        <v>134</v>
      </c>
      <c r="D359" s="1133" t="str">
        <f>IFERROR(VLOOKUP(G359,PosAggregate!$B$13:$B$89,1,FALSE),"")</f>
        <v/>
      </c>
      <c r="E359" s="905" t="s">
        <v>12695</v>
      </c>
      <c r="F359" s="1006" t="str">
        <f t="shared" si="83"/>
        <v/>
      </c>
      <c r="G359" s="816" t="s">
        <v>2109</v>
      </c>
      <c r="I359" s="937" t="s">
        <v>12702</v>
      </c>
      <c r="J359" s="832" t="s">
        <v>2</v>
      </c>
      <c r="K359" s="938">
        <v>2.4</v>
      </c>
      <c r="L359" s="939"/>
      <c r="M359" s="938">
        <v>-1000</v>
      </c>
      <c r="N359" s="985">
        <f t="shared" si="78"/>
        <v>2400</v>
      </c>
      <c r="O359" s="817">
        <v>-1.44</v>
      </c>
      <c r="P359" s="817"/>
      <c r="R359" s="982">
        <f t="shared" si="79"/>
        <v>2398.56</v>
      </c>
      <c r="S359" s="938">
        <v>1</v>
      </c>
      <c r="T359" s="998">
        <f t="shared" si="84"/>
        <v>2398.56</v>
      </c>
      <c r="U359" s="584">
        <v>44169</v>
      </c>
      <c r="V359" s="816" t="s">
        <v>1656</v>
      </c>
      <c r="W359" s="940">
        <v>44167.388066435182</v>
      </c>
      <c r="X359" s="1001">
        <f t="shared" si="81"/>
        <v>-0.06</v>
      </c>
      <c r="Y359" s="936" t="s">
        <v>1693</v>
      </c>
      <c r="Z359" s="997" t="str">
        <f>VLOOKUP(AA359,'place of settlement'!A:C,2,FALSE)</f>
        <v>MOTIITMMXXX</v>
      </c>
      <c r="AA359" s="997" t="str">
        <f>LEFT(E359,2)</f>
        <v>IT</v>
      </c>
      <c r="AB359" s="997" t="str">
        <f t="shared" si="82"/>
        <v>Tavira SecuritiesIT</v>
      </c>
      <c r="AC359" s="997" t="str">
        <f>VLOOKUP(AB359,sample!$1:$1048576,2,FALSE)</f>
        <v>GSILGB2XXXX</v>
      </c>
      <c r="AD359" s="997" t="str">
        <f>VLOOKUP($AB359,sample!$1:$1048576,3,FALSE)</f>
        <v>MOTIITMMXXX</v>
      </c>
      <c r="AE359" s="996" t="str">
        <f>VLOOKUP($AB359,sample!$1:$1048576,4,FALSE)</f>
        <v>MOTICITIITMXXXX6013800</v>
      </c>
      <c r="AF359" s="997" t="str">
        <f>VLOOKUP($AB359,sample!$1:$1048576,5,FALSE)</f>
        <v>N</v>
      </c>
      <c r="AL359" s="996" t="str">
        <f>VLOOKUP($AB359,sample!$1:$1048576,11,FALSE)</f>
        <v xml:space="preserve">        </v>
      </c>
      <c r="AM359" s="996" t="str">
        <f>VLOOKUP($AB359,sample!$1:$1048576,12,FALSE)</f>
        <v xml:space="preserve">        </v>
      </c>
      <c r="AN359" s="996" t="str">
        <f>VLOOKUP($AB359,sample!$1:$1048576,13,FALSE)</f>
        <v>CITIITM1012</v>
      </c>
      <c r="AP359" s="988"/>
    </row>
    <row r="360" spans="1:42">
      <c r="A360" s="1000">
        <f t="shared" si="86"/>
        <v>2019200373</v>
      </c>
      <c r="B360" s="881">
        <v>44168</v>
      </c>
      <c r="C360" s="881" t="s">
        <v>133</v>
      </c>
      <c r="D360" s="1130" t="str">
        <f>IFERROR(VLOOKUP(G360,PosAggregate!$B$13:$B$89,1,FALSE),"")</f>
        <v/>
      </c>
      <c r="E360" s="769" t="s">
        <v>1611</v>
      </c>
      <c r="F360" s="1006" t="str">
        <f t="shared" si="83"/>
        <v/>
      </c>
      <c r="G360" s="594" t="s">
        <v>1601</v>
      </c>
      <c r="I360" s="833" t="s">
        <v>1602</v>
      </c>
      <c r="J360" s="833" t="s">
        <v>1065</v>
      </c>
      <c r="K360" s="938">
        <v>2.8241000000000001</v>
      </c>
      <c r="M360" s="938">
        <v>250000</v>
      </c>
      <c r="N360" s="985">
        <f t="shared" si="78"/>
        <v>-706025</v>
      </c>
      <c r="O360" s="817">
        <v>-423.62</v>
      </c>
      <c r="P360" s="999">
        <f>-707-19.06-35.3</f>
        <v>-761.3599999999999</v>
      </c>
      <c r="R360" s="982">
        <f t="shared" si="79"/>
        <v>-707209.98</v>
      </c>
      <c r="S360" s="938">
        <v>9.3910978653291828</v>
      </c>
      <c r="T360" s="998">
        <f t="shared" si="84"/>
        <v>-75306.422118220609</v>
      </c>
      <c r="U360" s="716">
        <v>44172</v>
      </c>
      <c r="V360" s="594" t="s">
        <v>1656</v>
      </c>
      <c r="W360" s="914">
        <v>44168.445308564813</v>
      </c>
      <c r="X360" s="971">
        <f t="shared" si="81"/>
        <v>6.0000708190219895E-2</v>
      </c>
      <c r="Y360" s="584" t="s">
        <v>1693</v>
      </c>
      <c r="Z360" s="988" t="str">
        <f>VLOOKUP(AA360,'place of settlement'!A:C,2,FALSE)</f>
        <v>XHKCHKH1XXX</v>
      </c>
      <c r="AA360" s="584" t="s">
        <v>1769</v>
      </c>
      <c r="AB360" s="988" t="str">
        <f t="shared" si="82"/>
        <v>Tavira SecuritiesHK</v>
      </c>
      <c r="AC360" s="988" t="str">
        <f>VLOOKUP(AB360,sample!$1:$1048576,2,FALSE)</f>
        <v>GSILGB2XXXX</v>
      </c>
      <c r="AD360" s="988" t="str">
        <f>VLOOKUP($AB360,sample!$1:$1048576,3,FALSE)</f>
        <v>XHKCHKH1XXX</v>
      </c>
      <c r="AE360" s="986" t="str">
        <f>VLOOKUP($AB360,sample!$1:$1048576,4,FALSE)</f>
        <v xml:space="preserve">        </v>
      </c>
      <c r="AF360" s="988" t="str">
        <f>VLOOKUP($AB360,sample!$1:$1048576,5,FALSE)</f>
        <v>N</v>
      </c>
      <c r="AL360" s="973" t="str">
        <f>VLOOKUP($AB360,sample!$1:$1048576,11,FALSE)</f>
        <v>CCASS</v>
      </c>
      <c r="AM360" s="973" t="str">
        <f>VLOOKUP($AB360,sample!$1:$1048576,12,FALSE)</f>
        <v>B01451</v>
      </c>
      <c r="AN360" s="973" t="str">
        <f>VLOOKUP($AB360,sample!$1:$1048576,13,FALSE)</f>
        <v>GSASHKH1XX</v>
      </c>
      <c r="AP360" s="988"/>
    </row>
    <row r="361" spans="1:42">
      <c r="A361" s="1000">
        <f t="shared" si="86"/>
        <v>2019200374</v>
      </c>
      <c r="B361" s="881">
        <v>44169</v>
      </c>
      <c r="C361" s="881" t="s">
        <v>134</v>
      </c>
      <c r="D361" s="1130" t="str">
        <f>IFERROR(VLOOKUP(G361,PosAggregate!$B$13:$B$89,1,FALSE),"")</f>
        <v/>
      </c>
      <c r="E361" s="769" t="s">
        <v>1203</v>
      </c>
      <c r="F361" s="1006" t="str">
        <f t="shared" si="83"/>
        <v/>
      </c>
      <c r="G361" s="594" t="s">
        <v>1152</v>
      </c>
      <c r="I361" s="833" t="s">
        <v>1109</v>
      </c>
      <c r="J361" s="833" t="s">
        <v>125</v>
      </c>
      <c r="K361" s="938">
        <v>1533.2109599999999</v>
      </c>
      <c r="M361" s="938">
        <v>-10950</v>
      </c>
      <c r="N361" s="985">
        <f t="shared" ref="N361:N369" si="87">-K361*M361</f>
        <v>16788660.011999998</v>
      </c>
      <c r="O361" s="817">
        <v>-10073</v>
      </c>
      <c r="P361" s="817"/>
      <c r="R361" s="982">
        <f t="shared" ref="R361:R369" si="88">SUM(N361:Q361)</f>
        <v>16778587.011999998</v>
      </c>
      <c r="S361" s="938">
        <v>126.48106418550535</v>
      </c>
      <c r="T361" s="998">
        <f t="shared" si="84"/>
        <v>132656.90892188757</v>
      </c>
      <c r="U361" s="716">
        <v>44173</v>
      </c>
      <c r="V361" s="594" t="s">
        <v>1656</v>
      </c>
      <c r="W361" s="914">
        <v>44169.441084143516</v>
      </c>
      <c r="X361" s="971">
        <f t="shared" si="81"/>
        <v>-5.9998832502416166E-2</v>
      </c>
      <c r="Y361" s="584" t="s">
        <v>1693</v>
      </c>
      <c r="Z361" s="988" t="str">
        <f>VLOOKUP(AA361,'place of settlement'!A:C,2,FALSE)</f>
        <v>JJSDJPJTXXX</v>
      </c>
      <c r="AA361" s="988" t="str">
        <f t="shared" ref="AA361:AA369" si="89">LEFT(E361,2)</f>
        <v>JP</v>
      </c>
      <c r="AB361" s="988" t="str">
        <f t="shared" si="82"/>
        <v>Tavira SecuritiesJP</v>
      </c>
      <c r="AC361" s="988" t="str">
        <f>VLOOKUP(AB361,sample!$1:$1048576,2,FALSE)</f>
        <v>GSILGB2XXXX</v>
      </c>
      <c r="AD361" s="988" t="str">
        <f>VLOOKUP($AB361,sample!$1:$1048576,3,FALSE)</f>
        <v>JJSDJPJTXXX</v>
      </c>
      <c r="AE361" s="986">
        <f>VLOOKUP($AB361,sample!$1:$1048576,4,FALSE)</f>
        <v>6530490016</v>
      </c>
      <c r="AF361" s="988" t="str">
        <f>VLOOKUP($AB361,sample!$1:$1048576,5,FALSE)</f>
        <v>N</v>
      </c>
      <c r="AL361" s="973" t="str">
        <f>VLOOKUP($AB361,sample!$1:$1048576,11,FALSE)</f>
        <v xml:space="preserve">                  </v>
      </c>
      <c r="AM361" s="973" t="str">
        <f>VLOOKUP($AB361,sample!$1:$1048576,12,FALSE)</f>
        <v xml:space="preserve">                          </v>
      </c>
      <c r="AN361" s="973" t="str">
        <f>VLOOKUP($AB361,sample!$1:$1048576,13,FALSE)</f>
        <v>GOLDJPJXXXX</v>
      </c>
      <c r="AP361" s="988"/>
    </row>
    <row r="362" spans="1:42">
      <c r="A362" s="1000">
        <f t="shared" si="86"/>
        <v>2019200375</v>
      </c>
      <c r="B362" s="881">
        <v>44169</v>
      </c>
      <c r="C362" s="881" t="s">
        <v>134</v>
      </c>
      <c r="D362" s="1130" t="str">
        <f>IFERROR(VLOOKUP(G362,PosAggregate!$B$13:$B$89,1,FALSE),"")</f>
        <v/>
      </c>
      <c r="E362" s="769" t="s">
        <v>1198</v>
      </c>
      <c r="F362" s="1006" t="str">
        <f t="shared" si="83"/>
        <v/>
      </c>
      <c r="G362" s="594" t="s">
        <v>1147</v>
      </c>
      <c r="I362" s="833" t="s">
        <v>1093</v>
      </c>
      <c r="J362" s="833" t="s">
        <v>125</v>
      </c>
      <c r="K362" s="938">
        <v>2507.6624999999999</v>
      </c>
      <c r="M362" s="938">
        <v>-4000</v>
      </c>
      <c r="N362" s="985">
        <f t="shared" si="87"/>
        <v>10030650</v>
      </c>
      <c r="O362" s="817">
        <v>-6018</v>
      </c>
      <c r="P362" s="817"/>
      <c r="R362" s="982">
        <f t="shared" si="88"/>
        <v>10024632</v>
      </c>
      <c r="S362" s="938">
        <v>126.48106418550557</v>
      </c>
      <c r="T362" s="998">
        <f t="shared" si="84"/>
        <v>79257.966910344825</v>
      </c>
      <c r="U362" s="716">
        <v>44173</v>
      </c>
      <c r="V362" s="594" t="s">
        <v>1656</v>
      </c>
      <c r="W362" s="914">
        <v>44169.441554166668</v>
      </c>
      <c r="X362" s="971">
        <f t="shared" si="81"/>
        <v>-5.9996111916974466E-2</v>
      </c>
      <c r="Y362" s="584" t="s">
        <v>1693</v>
      </c>
      <c r="Z362" s="988" t="str">
        <f>VLOOKUP(AA362,'place of settlement'!A:C,2,FALSE)</f>
        <v>JJSDJPJTXXX</v>
      </c>
      <c r="AA362" s="988" t="str">
        <f t="shared" si="89"/>
        <v>JP</v>
      </c>
      <c r="AB362" s="988" t="str">
        <f t="shared" si="82"/>
        <v>Tavira SecuritiesJP</v>
      </c>
      <c r="AC362" s="988" t="str">
        <f>VLOOKUP(AB362,sample!$1:$1048576,2,FALSE)</f>
        <v>GSILGB2XXXX</v>
      </c>
      <c r="AD362" s="988" t="str">
        <f>VLOOKUP($AB362,sample!$1:$1048576,3,FALSE)</f>
        <v>JJSDJPJTXXX</v>
      </c>
      <c r="AE362" s="986">
        <f>VLOOKUP($AB362,sample!$1:$1048576,4,FALSE)</f>
        <v>6530490016</v>
      </c>
      <c r="AF362" s="988" t="str">
        <f>VLOOKUP($AB362,sample!$1:$1048576,5,FALSE)</f>
        <v>N</v>
      </c>
      <c r="AL362" s="973" t="str">
        <f>VLOOKUP($AB362,sample!$1:$1048576,11,FALSE)</f>
        <v xml:space="preserve">                  </v>
      </c>
      <c r="AM362" s="973" t="str">
        <f>VLOOKUP($AB362,sample!$1:$1048576,12,FALSE)</f>
        <v xml:space="preserve">                          </v>
      </c>
      <c r="AN362" s="973" t="str">
        <f>VLOOKUP($AB362,sample!$1:$1048576,13,FALSE)</f>
        <v>GOLDJPJXXXX</v>
      </c>
      <c r="AP362" s="988"/>
    </row>
    <row r="363" spans="1:42" s="584" customFormat="1">
      <c r="A363" s="929">
        <v>2019200377</v>
      </c>
      <c r="B363" s="816">
        <v>44172</v>
      </c>
      <c r="C363" s="816" t="s">
        <v>134</v>
      </c>
      <c r="D363" s="1133" t="str">
        <f>IFERROR(VLOOKUP(G363,PosAggregate!$B$13:$B$89,1,FALSE),"")</f>
        <v/>
      </c>
      <c r="E363" s="905" t="s">
        <v>1227</v>
      </c>
      <c r="F363" s="1006" t="str">
        <f t="shared" si="83"/>
        <v/>
      </c>
      <c r="G363" s="561" t="s">
        <v>1163</v>
      </c>
      <c r="I363" s="832" t="s">
        <v>1092</v>
      </c>
      <c r="J363" s="832" t="s">
        <v>1069</v>
      </c>
      <c r="K363" s="938">
        <v>1.0245</v>
      </c>
      <c r="L363" s="817"/>
      <c r="M363" s="938">
        <v>-128539</v>
      </c>
      <c r="N363" s="985">
        <f t="shared" si="87"/>
        <v>131688.20549999998</v>
      </c>
      <c r="O363" s="817">
        <v>-79.010000000000005</v>
      </c>
      <c r="P363" s="817"/>
      <c r="R363" s="982">
        <f t="shared" si="88"/>
        <v>131609.19549999997</v>
      </c>
      <c r="S363" s="938">
        <v>1.6332113249624287</v>
      </c>
      <c r="T363" s="998">
        <f t="shared" si="84"/>
        <v>80583.077944936231</v>
      </c>
      <c r="U363" s="584">
        <v>44174</v>
      </c>
      <c r="V363" s="561" t="s">
        <v>1656</v>
      </c>
      <c r="W363" s="819">
        <v>44172.42610798611</v>
      </c>
      <c r="X363" s="971">
        <f t="shared" ref="X363:X369" si="90">+O363/N363*100</f>
        <v>-5.9997780135290862E-2</v>
      </c>
      <c r="Y363" s="584" t="s">
        <v>1693</v>
      </c>
      <c r="Z363" s="988" t="str">
        <f>VLOOKUP(AA363,'place of settlement'!A:C,2,FALSE)</f>
        <v>CAETAU21XXX</v>
      </c>
      <c r="AA363" s="988" t="str">
        <f t="shared" si="89"/>
        <v>AU</v>
      </c>
      <c r="AB363" s="988" t="str">
        <f t="shared" si="82"/>
        <v>Tavira SecuritiesAU</v>
      </c>
      <c r="AC363" s="988" t="str">
        <f>VLOOKUP(AB363,sample!$1:$1048576,2,FALSE)</f>
        <v>GSILGB2XXXX</v>
      </c>
      <c r="AD363" s="988" t="str">
        <f>VLOOKUP($AB363,sample!$1:$1048576,3,FALSE)</f>
        <v>CAETAU21</v>
      </c>
      <c r="AE363" s="986" t="str">
        <f>VLOOKUP($AB363,sample!$1:$1048576,4,FALSE)</f>
        <v>011-109048-061</v>
      </c>
      <c r="AF363" s="988" t="str">
        <f>VLOOKUP($AB363,sample!$1:$1048576,5,FALSE)</f>
        <v>N</v>
      </c>
      <c r="AL363" s="986" t="str">
        <f>VLOOKUP($AB363,sample!$1:$1048576,11,FALSE)</f>
        <v xml:space="preserve">        </v>
      </c>
      <c r="AM363" s="986" t="str">
        <f>VLOOKUP($AB363,sample!$1:$1048576,12,FALSE)</f>
        <v xml:space="preserve">        </v>
      </c>
      <c r="AN363" s="986" t="str">
        <f>VLOOKUP($AB363,sample!$1:$1048576,13,FALSE)</f>
        <v>HKBAAU2SSYD</v>
      </c>
      <c r="AP363" s="988"/>
    </row>
    <row r="364" spans="1:42" s="584" customFormat="1">
      <c r="A364" s="929">
        <v>2019200378</v>
      </c>
      <c r="B364" s="816">
        <v>44172</v>
      </c>
      <c r="C364" s="816" t="s">
        <v>134</v>
      </c>
      <c r="D364" s="1133" t="str">
        <f>IFERROR(VLOOKUP(G364,PosAggregate!$B$13:$B$89,1,FALSE),"")</f>
        <v/>
      </c>
      <c r="E364" s="905" t="s">
        <v>12695</v>
      </c>
      <c r="F364" s="1006" t="str">
        <f t="shared" si="83"/>
        <v/>
      </c>
      <c r="G364" s="561" t="s">
        <v>2109</v>
      </c>
      <c r="I364" s="832" t="s">
        <v>12702</v>
      </c>
      <c r="J364" s="832" t="s">
        <v>2</v>
      </c>
      <c r="K364" s="938">
        <v>2.4329999999999998</v>
      </c>
      <c r="L364" s="817"/>
      <c r="M364" s="938">
        <v>-10000</v>
      </c>
      <c r="N364" s="985">
        <f t="shared" si="87"/>
        <v>24330</v>
      </c>
      <c r="O364" s="817">
        <v>-14.6</v>
      </c>
      <c r="R364" s="982">
        <f t="shared" si="88"/>
        <v>24315.4</v>
      </c>
      <c r="S364" s="938">
        <v>1</v>
      </c>
      <c r="T364" s="998">
        <f t="shared" si="84"/>
        <v>24315.4</v>
      </c>
      <c r="U364" s="584">
        <v>44174</v>
      </c>
      <c r="V364" s="561" t="s">
        <v>1656</v>
      </c>
      <c r="W364" s="819">
        <v>44172.526560069447</v>
      </c>
      <c r="X364" s="971">
        <f t="shared" si="90"/>
        <v>-6.0008220304151247E-2</v>
      </c>
      <c r="Y364" s="584" t="s">
        <v>1693</v>
      </c>
      <c r="Z364" s="988" t="str">
        <f>VLOOKUP(AA364,'place of settlement'!A:C,2,FALSE)</f>
        <v>MOTIITMMXXX</v>
      </c>
      <c r="AA364" s="988" t="str">
        <f t="shared" si="89"/>
        <v>IT</v>
      </c>
      <c r="AB364" s="988" t="str">
        <f t="shared" si="82"/>
        <v>Tavira SecuritiesIT</v>
      </c>
      <c r="AC364" s="988" t="str">
        <f>VLOOKUP(AB364,sample!$1:$1048576,2,FALSE)</f>
        <v>GSILGB2XXXX</v>
      </c>
      <c r="AD364" s="988" t="str">
        <f>VLOOKUP($AB364,sample!$1:$1048576,3,FALSE)</f>
        <v>MOTIITMMXXX</v>
      </c>
      <c r="AE364" s="986" t="str">
        <f>VLOOKUP($AB364,sample!$1:$1048576,4,FALSE)</f>
        <v>MOTICITIITMXXXX6013800</v>
      </c>
      <c r="AF364" s="988" t="str">
        <f>VLOOKUP($AB364,sample!$1:$1048576,5,FALSE)</f>
        <v>N</v>
      </c>
      <c r="AL364" s="986" t="str">
        <f>VLOOKUP($AB364,sample!$1:$1048576,11,FALSE)</f>
        <v xml:space="preserve">        </v>
      </c>
      <c r="AM364" s="986" t="str">
        <f>VLOOKUP($AB364,sample!$1:$1048576,12,FALSE)</f>
        <v xml:space="preserve">        </v>
      </c>
      <c r="AN364" s="986" t="str">
        <f>VLOOKUP($AB364,sample!$1:$1048576,13,FALSE)</f>
        <v>CITIITM1012</v>
      </c>
      <c r="AP364" s="988"/>
    </row>
    <row r="365" spans="1:42" s="584" customFormat="1">
      <c r="A365" s="1000">
        <f t="shared" ref="A365:A372" si="91">(A364+1)</f>
        <v>2019200379</v>
      </c>
      <c r="B365" s="816">
        <v>44173</v>
      </c>
      <c r="C365" s="816" t="s">
        <v>134</v>
      </c>
      <c r="D365" s="1133" t="str">
        <f>IFERROR(VLOOKUP(G365,PosAggregate!$B$13:$B$89,1,FALSE),"")</f>
        <v/>
      </c>
      <c r="E365" s="905" t="s">
        <v>1609</v>
      </c>
      <c r="F365" s="1006" t="str">
        <f t="shared" si="83"/>
        <v/>
      </c>
      <c r="G365" s="561" t="s">
        <v>1582</v>
      </c>
      <c r="I365" s="832" t="s">
        <v>1586</v>
      </c>
      <c r="J365" s="832" t="s">
        <v>3</v>
      </c>
      <c r="K365" s="938">
        <v>18.4679</v>
      </c>
      <c r="L365" s="817"/>
      <c r="M365" s="938">
        <v>-13450</v>
      </c>
      <c r="N365" s="985">
        <f t="shared" si="87"/>
        <v>248393.255</v>
      </c>
      <c r="O365" s="817">
        <v>-124.2</v>
      </c>
      <c r="P365" s="817">
        <v>-5.49</v>
      </c>
      <c r="R365" s="982">
        <f t="shared" si="88"/>
        <v>248263.565</v>
      </c>
      <c r="S365" s="938">
        <v>1.2120036844912008</v>
      </c>
      <c r="T365" s="998">
        <f t="shared" si="84"/>
        <v>204837.30221020003</v>
      </c>
      <c r="U365" s="584">
        <v>44175</v>
      </c>
      <c r="V365" s="561" t="s">
        <v>1656</v>
      </c>
      <c r="W365" s="819">
        <v>44172.898305671297</v>
      </c>
      <c r="X365" s="971">
        <f t="shared" si="90"/>
        <v>-5.0001357726078353E-2</v>
      </c>
      <c r="Y365" s="584" t="s">
        <v>1693</v>
      </c>
      <c r="Z365" s="988" t="str">
        <f>VLOOKUP(AA365,'place of settlement'!A:C,2,FALSE)</f>
        <v>DTCYUS33XXX</v>
      </c>
      <c r="AA365" s="988" t="str">
        <f t="shared" si="89"/>
        <v>US</v>
      </c>
      <c r="AB365" s="988" t="str">
        <f t="shared" si="82"/>
        <v>Tavira SecuritiesUS</v>
      </c>
      <c r="AC365" s="988" t="str">
        <f>VLOOKUP(AB365,sample!$1:$1048576,2,FALSE)</f>
        <v>GSILGB2XXXX</v>
      </c>
      <c r="AD365" s="988" t="str">
        <f>VLOOKUP($AB365,sample!$1:$1048576,3,FALSE)</f>
        <v>DTCYUS33</v>
      </c>
      <c r="AE365" s="986" t="str">
        <f>VLOOKUP($AB365,sample!$1:$1048576,4,FALSE)</f>
        <v xml:space="preserve">        </v>
      </c>
      <c r="AF365" s="988" t="str">
        <f>VLOOKUP($AB365,sample!$1:$1048576,5,FALSE)</f>
        <v>N</v>
      </c>
      <c r="AL365" s="986" t="str">
        <f>VLOOKUP($AB365,sample!$1:$1048576,11,FALSE)</f>
        <v>DTCYID</v>
      </c>
      <c r="AM365" s="986">
        <f>VLOOKUP($AB365,sample!$1:$1048576,12,FALSE)</f>
        <v>5208</v>
      </c>
      <c r="AN365" s="986" t="str">
        <f>VLOOKUP($AB365,sample!$1:$1048576,13,FALSE)</f>
        <v xml:space="preserve">        </v>
      </c>
      <c r="AP365" s="988"/>
    </row>
    <row r="366" spans="1:42" s="584" customFormat="1">
      <c r="A366" s="1000">
        <f t="shared" si="91"/>
        <v>2019200380</v>
      </c>
      <c r="B366" s="816">
        <v>44173</v>
      </c>
      <c r="C366" s="816" t="s">
        <v>134</v>
      </c>
      <c r="D366" s="1133" t="str">
        <f>IFERROR(VLOOKUP(G366,PosAggregate!$B$13:$B$89,1,FALSE),"")</f>
        <v/>
      </c>
      <c r="E366" s="905" t="s">
        <v>12695</v>
      </c>
      <c r="F366" s="1006" t="str">
        <f t="shared" si="83"/>
        <v/>
      </c>
      <c r="G366" s="561" t="s">
        <v>2109</v>
      </c>
      <c r="I366" s="832" t="s">
        <v>12702</v>
      </c>
      <c r="J366" s="832" t="s">
        <v>2</v>
      </c>
      <c r="K366" s="938">
        <v>2.4359999999999999</v>
      </c>
      <c r="L366" s="938"/>
      <c r="M366" s="938">
        <v>-5000</v>
      </c>
      <c r="N366" s="985">
        <f t="shared" si="87"/>
        <v>12180</v>
      </c>
      <c r="O366" s="817">
        <v>-7.31</v>
      </c>
      <c r="R366" s="982">
        <f t="shared" si="88"/>
        <v>12172.69</v>
      </c>
      <c r="S366" s="938">
        <v>1</v>
      </c>
      <c r="T366" s="998">
        <f t="shared" si="84"/>
        <v>12172.69</v>
      </c>
      <c r="U366" s="584">
        <v>44175</v>
      </c>
      <c r="V366" s="561" t="s">
        <v>1656</v>
      </c>
      <c r="W366" s="819">
        <v>44173.577652893517</v>
      </c>
      <c r="X366" s="971">
        <f t="shared" si="90"/>
        <v>-6.0016420361247942E-2</v>
      </c>
      <c r="Y366" s="584" t="s">
        <v>1693</v>
      </c>
      <c r="Z366" s="988" t="str">
        <f>VLOOKUP(AA366,'place of settlement'!A:C,2,FALSE)</f>
        <v>MOTIITMMXXX</v>
      </c>
      <c r="AA366" s="988" t="str">
        <f t="shared" si="89"/>
        <v>IT</v>
      </c>
      <c r="AB366" s="988" t="str">
        <f t="shared" si="82"/>
        <v>Tavira SecuritiesIT</v>
      </c>
      <c r="AC366" s="988" t="str">
        <f>VLOOKUP(AB366,sample!$1:$1048576,2,FALSE)</f>
        <v>GSILGB2XXXX</v>
      </c>
      <c r="AD366" s="988" t="str">
        <f>VLOOKUP($AB366,sample!$1:$1048576,3,FALSE)</f>
        <v>MOTIITMMXXX</v>
      </c>
      <c r="AE366" s="986" t="str">
        <f>VLOOKUP($AB366,sample!$1:$1048576,4,FALSE)</f>
        <v>MOTICITIITMXXXX6013800</v>
      </c>
      <c r="AF366" s="988" t="str">
        <f>VLOOKUP($AB366,sample!$1:$1048576,5,FALSE)</f>
        <v>N</v>
      </c>
      <c r="AL366" s="986" t="str">
        <f>VLOOKUP($AB366,sample!$1:$1048576,11,FALSE)</f>
        <v xml:space="preserve">        </v>
      </c>
      <c r="AM366" s="986" t="str">
        <f>VLOOKUP($AB366,sample!$1:$1048576,12,FALSE)</f>
        <v xml:space="preserve">        </v>
      </c>
      <c r="AN366" s="986" t="str">
        <f>VLOOKUP($AB366,sample!$1:$1048576,13,FALSE)</f>
        <v>CITIITM1012</v>
      </c>
      <c r="AP366" s="988"/>
    </row>
    <row r="367" spans="1:42" s="584" customFormat="1">
      <c r="A367" s="1000">
        <f t="shared" si="91"/>
        <v>2019200381</v>
      </c>
      <c r="B367" s="816">
        <v>44175</v>
      </c>
      <c r="C367" s="816" t="s">
        <v>134</v>
      </c>
      <c r="D367" s="1133" t="str">
        <f>IFERROR(VLOOKUP(G367,PosAggregate!$B$13:$B$89,1,FALSE),"")</f>
        <v/>
      </c>
      <c r="E367" s="905" t="s">
        <v>12695</v>
      </c>
      <c r="F367" s="1006" t="str">
        <f t="shared" si="83"/>
        <v/>
      </c>
      <c r="G367" s="561" t="s">
        <v>2109</v>
      </c>
      <c r="I367" s="832" t="s">
        <v>12702</v>
      </c>
      <c r="J367" s="832" t="s">
        <v>2</v>
      </c>
      <c r="K367" s="938">
        <v>2.3666999999999998</v>
      </c>
      <c r="L367" s="817"/>
      <c r="M367" s="938">
        <v>-9000</v>
      </c>
      <c r="N367" s="985">
        <f t="shared" si="87"/>
        <v>21300.3</v>
      </c>
      <c r="O367" s="817">
        <v>-12.27</v>
      </c>
      <c r="R367" s="982">
        <f t="shared" si="88"/>
        <v>21288.03</v>
      </c>
      <c r="S367" s="938">
        <v>1</v>
      </c>
      <c r="T367" s="998">
        <f t="shared" si="84"/>
        <v>21288.03</v>
      </c>
      <c r="U367" s="584">
        <v>44179</v>
      </c>
      <c r="V367" s="561" t="s">
        <v>1656</v>
      </c>
      <c r="W367" s="819">
        <v>44174.420883217594</v>
      </c>
      <c r="X367" s="971">
        <f t="shared" si="90"/>
        <v>-5.7604822467289193E-2</v>
      </c>
      <c r="Y367" s="584" t="s">
        <v>1693</v>
      </c>
      <c r="Z367" s="988" t="str">
        <f>VLOOKUP(AA367,'place of settlement'!A:C,2,FALSE)</f>
        <v>MOTIITMMXXX</v>
      </c>
      <c r="AA367" s="988" t="str">
        <f t="shared" si="89"/>
        <v>IT</v>
      </c>
      <c r="AB367" s="988" t="str">
        <f t="shared" si="82"/>
        <v>Tavira SecuritiesIT</v>
      </c>
      <c r="AC367" s="988" t="str">
        <f>VLOOKUP(AB367,sample!$1:$1048576,2,FALSE)</f>
        <v>GSILGB2XXXX</v>
      </c>
      <c r="AD367" s="988" t="str">
        <f>VLOOKUP($AB367,sample!$1:$1048576,3,FALSE)</f>
        <v>MOTIITMMXXX</v>
      </c>
      <c r="AE367" s="986" t="str">
        <f>VLOOKUP($AB367,sample!$1:$1048576,4,FALSE)</f>
        <v>MOTICITIITMXXXX6013800</v>
      </c>
      <c r="AF367" s="988" t="str">
        <f>VLOOKUP($AB367,sample!$1:$1048576,5,FALSE)</f>
        <v>N</v>
      </c>
      <c r="AL367" s="986" t="str">
        <f>VLOOKUP($AB367,sample!$1:$1048576,11,FALSE)</f>
        <v xml:space="preserve">        </v>
      </c>
      <c r="AM367" s="986" t="str">
        <f>VLOOKUP($AB367,sample!$1:$1048576,12,FALSE)</f>
        <v xml:space="preserve">        </v>
      </c>
      <c r="AN367" s="986" t="str">
        <f>VLOOKUP($AB367,sample!$1:$1048576,13,FALSE)</f>
        <v>CITIITM1012</v>
      </c>
      <c r="AP367" s="988"/>
    </row>
    <row r="368" spans="1:42" s="584" customFormat="1">
      <c r="A368" s="1000">
        <f t="shared" si="91"/>
        <v>2019200382</v>
      </c>
      <c r="B368" s="816">
        <v>44180</v>
      </c>
      <c r="C368" s="816" t="s">
        <v>133</v>
      </c>
      <c r="D368" s="1133" t="str">
        <f>IFERROR(VLOOKUP(G368,PosAggregate!$B$13:$B$89,1,FALSE),"")</f>
        <v/>
      </c>
      <c r="E368" s="905" t="s">
        <v>1190</v>
      </c>
      <c r="F368" s="1006" t="str">
        <f t="shared" si="83"/>
        <v/>
      </c>
      <c r="G368" s="561" t="s">
        <v>1139</v>
      </c>
      <c r="I368" s="832" t="s">
        <v>1085</v>
      </c>
      <c r="J368" s="832" t="s">
        <v>125</v>
      </c>
      <c r="K368" s="938">
        <v>2587.5927000000001</v>
      </c>
      <c r="L368" s="938"/>
      <c r="M368" s="938">
        <v>4100</v>
      </c>
      <c r="N368" s="985">
        <f t="shared" si="87"/>
        <v>-10609130.07</v>
      </c>
      <c r="O368" s="817">
        <v>-6365.4780000000001</v>
      </c>
      <c r="R368" s="982">
        <f t="shared" si="88"/>
        <v>-10615495.548</v>
      </c>
      <c r="S368" s="938">
        <v>126.32358655527501</v>
      </c>
      <c r="T368" s="998">
        <f t="shared" si="84"/>
        <v>-84034.1525876089</v>
      </c>
      <c r="U368" s="584">
        <v>44182</v>
      </c>
      <c r="V368" s="561" t="s">
        <v>1656</v>
      </c>
      <c r="W368" s="819">
        <v>44180.440169212961</v>
      </c>
      <c r="X368" s="971">
        <f t="shared" si="90"/>
        <v>5.9999999604114576E-2</v>
      </c>
      <c r="Y368" s="584" t="s">
        <v>1693</v>
      </c>
      <c r="Z368" s="988" t="str">
        <f>VLOOKUP(AA368,'place of settlement'!A:C,2,FALSE)</f>
        <v>JJSDJPJTXXX</v>
      </c>
      <c r="AA368" s="988" t="str">
        <f t="shared" si="89"/>
        <v>JP</v>
      </c>
      <c r="AB368" s="988" t="str">
        <f t="shared" si="82"/>
        <v>Tavira SecuritiesJP</v>
      </c>
      <c r="AC368" s="988" t="str">
        <f>VLOOKUP(AB368,sample!$1:$1048576,2,FALSE)</f>
        <v>GSILGB2XXXX</v>
      </c>
      <c r="AD368" s="988" t="str">
        <f>VLOOKUP($AB368,sample!$1:$1048576,3,FALSE)</f>
        <v>JJSDJPJTXXX</v>
      </c>
      <c r="AE368" s="986">
        <f>VLOOKUP($AB368,sample!$1:$1048576,4,FALSE)</f>
        <v>6530490016</v>
      </c>
      <c r="AF368" s="988" t="str">
        <f>VLOOKUP($AB368,sample!$1:$1048576,5,FALSE)</f>
        <v>N</v>
      </c>
      <c r="AL368" s="986" t="str">
        <f>VLOOKUP($AB368,sample!$1:$1048576,11,FALSE)</f>
        <v xml:space="preserve">                  </v>
      </c>
      <c r="AM368" s="986" t="str">
        <f>VLOOKUP($AB368,sample!$1:$1048576,12,FALSE)</f>
        <v xml:space="preserve">                          </v>
      </c>
      <c r="AN368" s="986" t="str">
        <f>VLOOKUP($AB368,sample!$1:$1048576,13,FALSE)</f>
        <v>GOLDJPJXXXX</v>
      </c>
      <c r="AP368" s="988"/>
    </row>
    <row r="369" spans="1:42" s="584" customFormat="1">
      <c r="A369" s="1000">
        <f t="shared" si="91"/>
        <v>2019200383</v>
      </c>
      <c r="B369" s="816">
        <v>44183</v>
      </c>
      <c r="C369" s="816" t="s">
        <v>134</v>
      </c>
      <c r="D369" s="1133" t="str">
        <f>IFERROR(VLOOKUP(G369,PosAggregate!$B$13:$B$89,1,FALSE),"")</f>
        <v/>
      </c>
      <c r="E369" s="905" t="s">
        <v>1210</v>
      </c>
      <c r="F369" s="1006" t="str">
        <f t="shared" si="83"/>
        <v/>
      </c>
      <c r="G369" s="561" t="s">
        <v>1160</v>
      </c>
      <c r="I369" s="832" t="s">
        <v>1108</v>
      </c>
      <c r="J369" s="832" t="s">
        <v>123</v>
      </c>
      <c r="K369" s="938">
        <v>14749.932000000001</v>
      </c>
      <c r="L369" s="938"/>
      <c r="M369" s="938">
        <v>-25000</v>
      </c>
      <c r="N369" s="985">
        <f t="shared" si="87"/>
        <v>368748300</v>
      </c>
      <c r="O369" s="817">
        <v>-553122</v>
      </c>
      <c r="P369" s="817">
        <v>-921769</v>
      </c>
      <c r="R369" s="982">
        <f t="shared" si="88"/>
        <v>367273409</v>
      </c>
      <c r="S369" s="938">
        <v>1340.6888599955846</v>
      </c>
      <c r="T369" s="998">
        <f t="shared" si="84"/>
        <v>273943.80602312874</v>
      </c>
      <c r="U369" s="584">
        <v>44187</v>
      </c>
      <c r="V369" s="561" t="s">
        <v>1657</v>
      </c>
      <c r="W369" s="819">
        <v>44183.366652662036</v>
      </c>
      <c r="X369" s="971">
        <f t="shared" si="90"/>
        <v>-0.1499998779655391</v>
      </c>
      <c r="Y369" s="584" t="s">
        <v>1693</v>
      </c>
      <c r="Z369" s="988" t="str">
        <f>VLOOKUP(AA369,'place of settlement'!A:C,2,FALSE)</f>
        <v>KSDCKRSEXXX</v>
      </c>
      <c r="AA369" s="988" t="str">
        <f t="shared" si="89"/>
        <v>KR</v>
      </c>
      <c r="AB369" s="988" t="str">
        <f t="shared" si="82"/>
        <v>samsungKR</v>
      </c>
      <c r="AC369" s="988" t="e">
        <f>VLOOKUP(AB369,sample!$1:$1048576,2,FALSE)</f>
        <v>#N/A</v>
      </c>
      <c r="AD369" s="988" t="e">
        <f>VLOOKUP($AB369,sample!$1:$1048576,3,FALSE)</f>
        <v>#N/A</v>
      </c>
      <c r="AE369" s="986" t="e">
        <f>VLOOKUP($AB369,sample!$1:$1048576,4,FALSE)</f>
        <v>#N/A</v>
      </c>
      <c r="AF369" s="988" t="e">
        <f>VLOOKUP($AB369,sample!$1:$1048576,5,FALSE)</f>
        <v>#N/A</v>
      </c>
      <c r="AL369" s="986" t="e">
        <f>VLOOKUP($AB369,sample!$1:$1048576,11,FALSE)</f>
        <v>#N/A</v>
      </c>
      <c r="AM369" s="986" t="e">
        <f>VLOOKUP($AB369,sample!$1:$1048576,12,FALSE)</f>
        <v>#N/A</v>
      </c>
      <c r="AN369" s="986" t="e">
        <f>VLOOKUP($AB369,sample!$1:$1048576,13,FALSE)</f>
        <v>#N/A</v>
      </c>
      <c r="AP369" s="988"/>
    </row>
    <row r="370" spans="1:42" s="584" customFormat="1">
      <c r="A370" s="1000">
        <f t="shared" si="91"/>
        <v>2019200384</v>
      </c>
      <c r="B370" s="816">
        <v>44183</v>
      </c>
      <c r="C370" s="816" t="s">
        <v>133</v>
      </c>
      <c r="D370" s="1133" t="str">
        <f>IFERROR(VLOOKUP(G370,PosAggregate!$B$13:$B$89,1,FALSE),"")</f>
        <v/>
      </c>
      <c r="E370" s="905" t="s">
        <v>1190</v>
      </c>
      <c r="F370" s="1006" t="str">
        <f t="shared" si="83"/>
        <v/>
      </c>
      <c r="G370" s="561" t="s">
        <v>1139</v>
      </c>
      <c r="I370" s="832" t="s">
        <v>1085</v>
      </c>
      <c r="J370" s="832" t="s">
        <v>125</v>
      </c>
      <c r="K370" s="938">
        <v>2299.9774000000002</v>
      </c>
      <c r="L370" s="938"/>
      <c r="M370" s="938">
        <v>3100</v>
      </c>
      <c r="N370" s="985">
        <f t="shared" ref="N370:N406" si="92">-K370*M370</f>
        <v>-7129929.9400000004</v>
      </c>
      <c r="O370" s="817">
        <v>-4278</v>
      </c>
      <c r="P370" s="817"/>
      <c r="R370" s="982">
        <f t="shared" ref="R370:R434" si="93">SUM(N370:Q370)</f>
        <v>-7134207.9400000004</v>
      </c>
      <c r="S370" s="938">
        <v>126.46272354831605</v>
      </c>
      <c r="T370" s="998">
        <f t="shared" ref="T370:T378" si="94">+R370/S370</f>
        <v>-56413.524395386929</v>
      </c>
      <c r="U370" s="584">
        <v>44187</v>
      </c>
      <c r="V370" s="561" t="s">
        <v>1656</v>
      </c>
      <c r="W370" s="819">
        <v>44183.367190972225</v>
      </c>
      <c r="X370" s="971">
        <f t="shared" ref="X370:X397" si="95">+O370/N370*100</f>
        <v>6.0000589571010558E-2</v>
      </c>
      <c r="Y370" s="584" t="s">
        <v>1693</v>
      </c>
      <c r="Z370" s="988" t="str">
        <f>VLOOKUP(AA370,'place of settlement'!A:C,2,FALSE)</f>
        <v>JJSDJPJTXXX</v>
      </c>
      <c r="AA370" s="988" t="str">
        <f t="shared" ref="AA370:AA397" si="96">LEFT(E370,2)</f>
        <v>JP</v>
      </c>
      <c r="AB370" s="988" t="str">
        <f t="shared" ref="AB370:AB397" si="97">CONCATENATE(V370,AA370)</f>
        <v>Tavira SecuritiesJP</v>
      </c>
      <c r="AC370" s="988" t="str">
        <f>VLOOKUP(AB370,sample!$1:$1048576,2,FALSE)</f>
        <v>GSILGB2XXXX</v>
      </c>
      <c r="AD370" s="988" t="str">
        <f>VLOOKUP($AB370,sample!$1:$1048576,3,FALSE)</f>
        <v>JJSDJPJTXXX</v>
      </c>
      <c r="AE370" s="986">
        <f>VLOOKUP($AB370,sample!$1:$1048576,4,FALSE)</f>
        <v>6530490016</v>
      </c>
      <c r="AF370" s="988" t="str">
        <f>VLOOKUP($AB370,sample!$1:$1048576,5,FALSE)</f>
        <v>N</v>
      </c>
      <c r="AL370" s="986" t="str">
        <f>VLOOKUP($AB370,sample!$1:$1048576,11,FALSE)</f>
        <v xml:space="preserve">                  </v>
      </c>
      <c r="AM370" s="986" t="str">
        <f>VLOOKUP($AB370,sample!$1:$1048576,12,FALSE)</f>
        <v xml:space="preserve">                          </v>
      </c>
      <c r="AN370" s="986" t="str">
        <f>VLOOKUP($AB370,sample!$1:$1048576,13,FALSE)</f>
        <v>GOLDJPJXXXX</v>
      </c>
      <c r="AP370" s="988"/>
    </row>
    <row r="371" spans="1:42" s="584" customFormat="1">
      <c r="A371" s="1000">
        <f t="shared" si="91"/>
        <v>2019200385</v>
      </c>
      <c r="B371" s="816">
        <v>44183</v>
      </c>
      <c r="C371" s="816" t="s">
        <v>133</v>
      </c>
      <c r="D371" s="1133" t="str">
        <f>IFERROR(VLOOKUP(G371,PosAggregate!$B$13:$B$89,1,FALSE),"")</f>
        <v/>
      </c>
      <c r="E371" s="905" t="s">
        <v>12676</v>
      </c>
      <c r="F371" s="1006" t="str">
        <f t="shared" si="83"/>
        <v/>
      </c>
      <c r="G371" s="561" t="s">
        <v>2097</v>
      </c>
      <c r="I371" s="832" t="s">
        <v>12613</v>
      </c>
      <c r="J371" s="832" t="s">
        <v>125</v>
      </c>
      <c r="K371" s="938">
        <v>2998.64</v>
      </c>
      <c r="L371" s="938"/>
      <c r="M371" s="938">
        <v>3000</v>
      </c>
      <c r="N371" s="985">
        <f t="shared" si="92"/>
        <v>-8995920</v>
      </c>
      <c r="O371" s="817">
        <v>-5398</v>
      </c>
      <c r="P371" s="817"/>
      <c r="R371" s="982">
        <f t="shared" si="93"/>
        <v>-9001318</v>
      </c>
      <c r="S371" s="938">
        <v>126.21513166721542</v>
      </c>
      <c r="T371" s="998">
        <f t="shared" si="94"/>
        <v>-71317.265062427585</v>
      </c>
      <c r="U371" s="584">
        <v>44187</v>
      </c>
      <c r="V371" s="561" t="s">
        <v>1656</v>
      </c>
      <c r="W371" s="819">
        <v>44183.367708680555</v>
      </c>
      <c r="X371" s="971">
        <f t="shared" si="95"/>
        <v>6.0004980035393826E-2</v>
      </c>
      <c r="Y371" s="584" t="s">
        <v>1693</v>
      </c>
      <c r="Z371" s="988" t="str">
        <f>VLOOKUP(AA371,'place of settlement'!A:C,2,FALSE)</f>
        <v>JJSDJPJTXXX</v>
      </c>
      <c r="AA371" s="988" t="str">
        <f t="shared" si="96"/>
        <v>JP</v>
      </c>
      <c r="AB371" s="988" t="str">
        <f t="shared" si="97"/>
        <v>Tavira SecuritiesJP</v>
      </c>
      <c r="AC371" s="988" t="str">
        <f>VLOOKUP(AB371,sample!$1:$1048576,2,FALSE)</f>
        <v>GSILGB2XXXX</v>
      </c>
      <c r="AD371" s="988" t="str">
        <f>VLOOKUP($AB371,sample!$1:$1048576,3,FALSE)</f>
        <v>JJSDJPJTXXX</v>
      </c>
      <c r="AE371" s="986">
        <f>VLOOKUP($AB371,sample!$1:$1048576,4,FALSE)</f>
        <v>6530490016</v>
      </c>
      <c r="AF371" s="988" t="str">
        <f>VLOOKUP($AB371,sample!$1:$1048576,5,FALSE)</f>
        <v>N</v>
      </c>
      <c r="AL371" s="986" t="str">
        <f>VLOOKUP($AB371,sample!$1:$1048576,11,FALSE)</f>
        <v xml:space="preserve">                  </v>
      </c>
      <c r="AM371" s="986" t="str">
        <f>VLOOKUP($AB371,sample!$1:$1048576,12,FALSE)</f>
        <v xml:space="preserve">                          </v>
      </c>
      <c r="AN371" s="986" t="str">
        <f>VLOOKUP($AB371,sample!$1:$1048576,13,FALSE)</f>
        <v>GOLDJPJXXXX</v>
      </c>
      <c r="AP371" s="988"/>
    </row>
    <row r="372" spans="1:42" s="584" customFormat="1">
      <c r="A372" s="1000">
        <f t="shared" si="91"/>
        <v>2019200386</v>
      </c>
      <c r="B372" s="816">
        <v>44194</v>
      </c>
      <c r="C372" s="816" t="s">
        <v>134</v>
      </c>
      <c r="D372" s="1133" t="str">
        <f>IFERROR(VLOOKUP(G372,PosAggregate!$B$13:$B$89,1,FALSE),"")</f>
        <v/>
      </c>
      <c r="E372" s="905" t="s">
        <v>12696</v>
      </c>
      <c r="F372" s="1006" t="str">
        <f t="shared" si="83"/>
        <v/>
      </c>
      <c r="G372" s="561" t="s">
        <v>2112</v>
      </c>
      <c r="I372" s="832" t="s">
        <v>12703</v>
      </c>
      <c r="J372" s="832" t="s">
        <v>2</v>
      </c>
      <c r="K372" s="938">
        <v>2.1</v>
      </c>
      <c r="L372" s="817"/>
      <c r="M372" s="938">
        <v>-1000</v>
      </c>
      <c r="N372" s="985">
        <f t="shared" si="92"/>
        <v>2100</v>
      </c>
      <c r="O372" s="817">
        <v>-1.26</v>
      </c>
      <c r="R372" s="982">
        <f t="shared" si="93"/>
        <v>2098.7399999999998</v>
      </c>
      <c r="S372" s="938">
        <v>1</v>
      </c>
      <c r="T372" s="998">
        <f t="shared" si="94"/>
        <v>2098.7399999999998</v>
      </c>
      <c r="U372" s="584">
        <v>44196</v>
      </c>
      <c r="V372" s="561" t="s">
        <v>1656</v>
      </c>
      <c r="W372" s="819">
        <v>44183.409375347197</v>
      </c>
      <c r="X372" s="971">
        <f t="shared" si="95"/>
        <v>-6.0000000000000005E-2</v>
      </c>
      <c r="Y372" s="584" t="s">
        <v>1693</v>
      </c>
      <c r="Z372" s="988" t="str">
        <f>VLOOKUP(AA372,'place of settlement'!A:C,2,FALSE)</f>
        <v>MOTIITMMXXX</v>
      </c>
      <c r="AA372" s="988" t="str">
        <f t="shared" si="96"/>
        <v>IT</v>
      </c>
      <c r="AB372" s="988" t="str">
        <f t="shared" si="97"/>
        <v>Tavira SecuritiesIT</v>
      </c>
      <c r="AC372" s="988" t="str">
        <f>VLOOKUP(AB372,sample!$1:$1048576,2,FALSE)</f>
        <v>GSILGB2XXXX</v>
      </c>
      <c r="AD372" s="988" t="str">
        <f>VLOOKUP($AB372,sample!$1:$1048576,3,FALSE)</f>
        <v>MOTIITMMXXX</v>
      </c>
      <c r="AE372" s="986" t="str">
        <f>VLOOKUP($AB372,sample!$1:$1048576,4,FALSE)</f>
        <v>MOTICITIITMXXXX6013800</v>
      </c>
      <c r="AF372" s="988" t="str">
        <f>VLOOKUP($AB372,sample!$1:$1048576,5,FALSE)</f>
        <v>N</v>
      </c>
      <c r="AL372" s="986" t="str">
        <f>VLOOKUP($AB372,sample!$1:$1048576,11,FALSE)</f>
        <v xml:space="preserve">        </v>
      </c>
      <c r="AM372" s="986" t="str">
        <f>VLOOKUP($AB372,sample!$1:$1048576,12,FALSE)</f>
        <v xml:space="preserve">        </v>
      </c>
      <c r="AN372" s="986" t="str">
        <f>VLOOKUP($AB372,sample!$1:$1048576,13,FALSE)</f>
        <v>CITIITM1012</v>
      </c>
      <c r="AP372" s="988"/>
    </row>
    <row r="373" spans="1:42" s="584" customFormat="1">
      <c r="A373" s="929" t="s">
        <v>1707</v>
      </c>
      <c r="B373" s="816">
        <v>44196</v>
      </c>
      <c r="C373" s="816" t="s">
        <v>133</v>
      </c>
      <c r="D373" s="1133" t="str">
        <f>IFERROR(VLOOKUP(G373,PosAggregate!$B$13:$B$89,1,FALSE),"")</f>
        <v/>
      </c>
      <c r="E373" s="905" t="s">
        <v>1211</v>
      </c>
      <c r="F373" s="1006" t="str">
        <f t="shared" si="83"/>
        <v/>
      </c>
      <c r="G373" s="904" t="s">
        <v>1161</v>
      </c>
      <c r="I373" s="832" t="s">
        <v>1094</v>
      </c>
      <c r="J373" s="832" t="s">
        <v>2</v>
      </c>
      <c r="K373" s="938"/>
      <c r="L373" s="817"/>
      <c r="M373" s="938">
        <v>90</v>
      </c>
      <c r="N373" s="884">
        <v>0</v>
      </c>
      <c r="O373" s="817"/>
      <c r="R373" s="875">
        <v>0</v>
      </c>
      <c r="S373" s="938"/>
      <c r="T373" s="934">
        <v>0</v>
      </c>
      <c r="V373" s="561"/>
      <c r="W373" s="819"/>
      <c r="X373" s="841" t="e">
        <v>#DIV/0!</v>
      </c>
      <c r="Y373" s="584" t="s">
        <v>1693</v>
      </c>
      <c r="Z373" s="584" t="s">
        <v>1744</v>
      </c>
      <c r="AA373" s="584" t="s">
        <v>1743</v>
      </c>
      <c r="AB373" s="584" t="s">
        <v>1743</v>
      </c>
      <c r="AC373" s="584" t="e">
        <v>#N/A</v>
      </c>
      <c r="AD373" s="584" t="e">
        <v>#N/A</v>
      </c>
      <c r="AE373" s="818" t="e">
        <v>#N/A</v>
      </c>
      <c r="AF373" s="584" t="e">
        <v>#N/A</v>
      </c>
      <c r="AL373" s="818" t="e">
        <v>#N/A</v>
      </c>
      <c r="AM373" s="818" t="e">
        <v>#N/A</v>
      </c>
      <c r="AN373" s="818" t="e">
        <v>#N/A</v>
      </c>
      <c r="AP373" s="988"/>
    </row>
    <row r="374" spans="1:42" s="584" customFormat="1">
      <c r="A374" s="929">
        <v>2019200388</v>
      </c>
      <c r="B374" s="816">
        <v>44200</v>
      </c>
      <c r="C374" s="816" t="s">
        <v>133</v>
      </c>
      <c r="D374" s="1133" t="str">
        <f>IFERROR(VLOOKUP(G374,PosAggregate!$B$13:$B$89,1,FALSE),"")</f>
        <v/>
      </c>
      <c r="E374" s="905" t="s">
        <v>1186</v>
      </c>
      <c r="F374" s="1006" t="str">
        <f t="shared" si="83"/>
        <v/>
      </c>
      <c r="G374" s="561" t="s">
        <v>1071</v>
      </c>
      <c r="I374" s="832" t="s">
        <v>1081</v>
      </c>
      <c r="J374" s="832" t="s">
        <v>125</v>
      </c>
      <c r="K374" s="938">
        <v>1188.9996000000001</v>
      </c>
      <c r="L374" s="938"/>
      <c r="M374" s="938">
        <v>9350</v>
      </c>
      <c r="N374" s="985">
        <f t="shared" si="92"/>
        <v>-11117146.260000002</v>
      </c>
      <c r="O374" s="817">
        <v>-6670</v>
      </c>
      <c r="R374" s="982">
        <f t="shared" si="93"/>
        <v>-11123816.260000002</v>
      </c>
      <c r="S374" s="938">
        <v>125.25335890184844</v>
      </c>
      <c r="T374" s="998">
        <f t="shared" si="94"/>
        <v>-88810.522588195759</v>
      </c>
      <c r="U374" s="584">
        <v>44202</v>
      </c>
      <c r="V374" s="561" t="s">
        <v>1656</v>
      </c>
      <c r="W374" s="819">
        <v>44200.434460069446</v>
      </c>
      <c r="X374" s="971">
        <f t="shared" si="95"/>
        <v>5.9997411601923088E-2</v>
      </c>
      <c r="Y374" s="584" t="s">
        <v>1693</v>
      </c>
      <c r="Z374" s="988" t="str">
        <f>VLOOKUP(AA374,'place of settlement'!A:C,2,FALSE)</f>
        <v>JJSDJPJTXXX</v>
      </c>
      <c r="AA374" s="988" t="str">
        <f t="shared" si="96"/>
        <v>JP</v>
      </c>
      <c r="AB374" s="988" t="str">
        <f t="shared" si="97"/>
        <v>Tavira SecuritiesJP</v>
      </c>
      <c r="AC374" s="988" t="str">
        <f>VLOOKUP(AB374,sample!$1:$1048576,2,FALSE)</f>
        <v>GSILGB2XXXX</v>
      </c>
      <c r="AD374" s="988" t="str">
        <f>VLOOKUP($AB374,sample!$1:$1048576,3,FALSE)</f>
        <v>JJSDJPJTXXX</v>
      </c>
      <c r="AE374" s="986">
        <f>VLOOKUP($AB374,sample!$1:$1048576,4,FALSE)</f>
        <v>6530490016</v>
      </c>
      <c r="AF374" s="988" t="str">
        <f>VLOOKUP($AB374,sample!$1:$1048576,5,FALSE)</f>
        <v>N</v>
      </c>
      <c r="AL374" s="986" t="str">
        <f>VLOOKUP($AB374,sample!$1:$1048576,11,FALSE)</f>
        <v xml:space="preserve">                  </v>
      </c>
      <c r="AM374" s="986" t="str">
        <f>VLOOKUP($AB374,sample!$1:$1048576,12,FALSE)</f>
        <v xml:space="preserve">                          </v>
      </c>
      <c r="AN374" s="986" t="str">
        <f>VLOOKUP($AB374,sample!$1:$1048576,13,FALSE)</f>
        <v>GOLDJPJXXXX</v>
      </c>
      <c r="AP374" s="988"/>
    </row>
    <row r="375" spans="1:42" s="584" customFormat="1">
      <c r="A375" s="929">
        <v>2019200389</v>
      </c>
      <c r="B375" s="816">
        <v>44202</v>
      </c>
      <c r="C375" s="816" t="s">
        <v>133</v>
      </c>
      <c r="D375" s="1133" t="str">
        <f>IFERROR(VLOOKUP(G375,PosAggregate!$B$13:$B$89,1,FALSE),"")</f>
        <v/>
      </c>
      <c r="E375" s="905" t="s">
        <v>1197</v>
      </c>
      <c r="F375" s="1006" t="str">
        <f t="shared" si="83"/>
        <v/>
      </c>
      <c r="G375" s="561" t="s">
        <v>1146</v>
      </c>
      <c r="I375" s="832" t="s">
        <v>1103</v>
      </c>
      <c r="J375" s="832" t="s">
        <v>125</v>
      </c>
      <c r="K375" s="938">
        <v>1928.6948199999999</v>
      </c>
      <c r="L375" s="938"/>
      <c r="M375" s="938">
        <v>5800</v>
      </c>
      <c r="N375" s="985">
        <f t="shared" si="92"/>
        <v>-11186429.956</v>
      </c>
      <c r="O375" s="817">
        <v>-6712</v>
      </c>
      <c r="P375" s="817"/>
      <c r="R375" s="982">
        <f t="shared" si="93"/>
        <v>-11193141.956</v>
      </c>
      <c r="S375" s="938">
        <v>126.28473075977354</v>
      </c>
      <c r="T375" s="998">
        <f t="shared" si="94"/>
        <v>-88634.167319026659</v>
      </c>
      <c r="U375" s="584">
        <v>44204</v>
      </c>
      <c r="V375" s="561" t="s">
        <v>1656</v>
      </c>
      <c r="W375" s="819">
        <v>44202.414660300929</v>
      </c>
      <c r="X375" s="971">
        <f t="shared" si="95"/>
        <v>6.0001269631156311E-2</v>
      </c>
      <c r="Y375" s="584" t="s">
        <v>1693</v>
      </c>
      <c r="Z375" s="988" t="str">
        <f>VLOOKUP(AA375,'place of settlement'!A:C,2,FALSE)</f>
        <v>JJSDJPJTXXX</v>
      </c>
      <c r="AA375" s="988" t="str">
        <f t="shared" si="96"/>
        <v>JP</v>
      </c>
      <c r="AB375" s="988" t="str">
        <f t="shared" si="97"/>
        <v>Tavira SecuritiesJP</v>
      </c>
      <c r="AC375" s="988" t="str">
        <f>VLOOKUP(AB375,sample!$1:$1048576,2,FALSE)</f>
        <v>GSILGB2XXXX</v>
      </c>
      <c r="AD375" s="988" t="str">
        <f>VLOOKUP($AB375,sample!$1:$1048576,3,FALSE)</f>
        <v>JJSDJPJTXXX</v>
      </c>
      <c r="AE375" s="986">
        <f>VLOOKUP($AB375,sample!$1:$1048576,4,FALSE)</f>
        <v>6530490016</v>
      </c>
      <c r="AF375" s="988" t="str">
        <f>VLOOKUP($AB375,sample!$1:$1048576,5,FALSE)</f>
        <v>N</v>
      </c>
      <c r="AL375" s="986" t="str">
        <f>VLOOKUP($AB375,sample!$1:$1048576,11,FALSE)</f>
        <v xml:space="preserve">                  </v>
      </c>
      <c r="AM375" s="986" t="str">
        <f>VLOOKUP($AB375,sample!$1:$1048576,12,FALSE)</f>
        <v xml:space="preserve">                          </v>
      </c>
      <c r="AN375" s="986" t="str">
        <f>VLOOKUP($AB375,sample!$1:$1048576,13,FALSE)</f>
        <v>GOLDJPJXXXX</v>
      </c>
      <c r="AP375" s="988"/>
    </row>
    <row r="376" spans="1:42" s="584" customFormat="1">
      <c r="A376" s="929">
        <v>2019200390</v>
      </c>
      <c r="B376" s="816">
        <v>44202</v>
      </c>
      <c r="C376" s="816" t="s">
        <v>134</v>
      </c>
      <c r="D376" s="1133" t="str">
        <f>IFERROR(VLOOKUP(G376,PosAggregate!$B$13:$B$89,1,FALSE),"")</f>
        <v/>
      </c>
      <c r="E376" s="905" t="s">
        <v>12694</v>
      </c>
      <c r="F376" s="1006" t="str">
        <f t="shared" si="83"/>
        <v/>
      </c>
      <c r="G376" s="561" t="s">
        <v>2118</v>
      </c>
      <c r="I376" s="832" t="s">
        <v>1102</v>
      </c>
      <c r="J376" s="832" t="s">
        <v>123</v>
      </c>
      <c r="K376" s="938">
        <v>262267.676768</v>
      </c>
      <c r="L376" s="938"/>
      <c r="M376" s="938">
        <v>-990</v>
      </c>
      <c r="N376" s="985">
        <f>-K376*M376</f>
        <v>259645000.00032002</v>
      </c>
      <c r="O376" s="817">
        <v>-389468</v>
      </c>
      <c r="P376" s="817">
        <v>-597163</v>
      </c>
      <c r="R376" s="982">
        <f t="shared" si="93"/>
        <v>258658369.00032002</v>
      </c>
      <c r="S376" s="938">
        <v>1335.6528153430063</v>
      </c>
      <c r="T376" s="998">
        <f t="shared" si="94"/>
        <v>193656.88899768051</v>
      </c>
      <c r="U376" s="584">
        <v>44204</v>
      </c>
      <c r="V376" s="561" t="s">
        <v>1657</v>
      </c>
      <c r="W376" s="819">
        <v>44202.417770138891</v>
      </c>
      <c r="X376" s="971">
        <f t="shared" si="95"/>
        <v>-0.15000019257044039</v>
      </c>
      <c r="Y376" s="584" t="s">
        <v>1693</v>
      </c>
      <c r="Z376" s="988" t="str">
        <f>VLOOKUP(AA376,'place of settlement'!A:C,2,FALSE)</f>
        <v>KSDCKRSEXXX</v>
      </c>
      <c r="AA376" s="988" t="str">
        <f t="shared" si="96"/>
        <v>KR</v>
      </c>
      <c r="AB376" s="988" t="str">
        <f t="shared" si="97"/>
        <v>samsungKR</v>
      </c>
      <c r="AC376" s="988" t="e">
        <f>VLOOKUP(AB376,sample!$1:$1048576,2,FALSE)</f>
        <v>#N/A</v>
      </c>
      <c r="AD376" s="988" t="e">
        <f>VLOOKUP($AB376,sample!$1:$1048576,3,FALSE)</f>
        <v>#N/A</v>
      </c>
      <c r="AE376" s="986" t="e">
        <f>VLOOKUP($AB376,sample!$1:$1048576,4,FALSE)</f>
        <v>#N/A</v>
      </c>
      <c r="AF376" s="988" t="e">
        <f>VLOOKUP($AB376,sample!$1:$1048576,5,FALSE)</f>
        <v>#N/A</v>
      </c>
      <c r="AL376" s="986" t="e">
        <f>VLOOKUP($AB376,sample!$1:$1048576,11,FALSE)</f>
        <v>#N/A</v>
      </c>
      <c r="AM376" s="986" t="e">
        <f>VLOOKUP($AB376,sample!$1:$1048576,12,FALSE)</f>
        <v>#N/A</v>
      </c>
      <c r="AN376" s="986" t="e">
        <f>VLOOKUP($AB376,sample!$1:$1048576,13,FALSE)</f>
        <v>#N/A</v>
      </c>
      <c r="AP376" s="988"/>
    </row>
    <row r="377" spans="1:42" s="584" customFormat="1">
      <c r="A377" s="929">
        <v>2019200391</v>
      </c>
      <c r="B377" s="887">
        <v>44207</v>
      </c>
      <c r="C377" s="816" t="s">
        <v>134</v>
      </c>
      <c r="D377" s="1133" t="str">
        <f>IFERROR(VLOOKUP(G377,PosAggregate!$B$13:$B$89,1,FALSE),"")</f>
        <v/>
      </c>
      <c r="E377" s="905" t="s">
        <v>1208</v>
      </c>
      <c r="F377" s="1006" t="str">
        <f t="shared" si="83"/>
        <v/>
      </c>
      <c r="G377" s="561" t="s">
        <v>1158</v>
      </c>
      <c r="I377" s="832" t="s">
        <v>1082</v>
      </c>
      <c r="J377" s="832" t="s">
        <v>123</v>
      </c>
      <c r="K377" s="938">
        <v>495811.66666699998</v>
      </c>
      <c r="L377" s="938"/>
      <c r="M377" s="938">
        <v>-300</v>
      </c>
      <c r="N377" s="985">
        <f t="shared" si="92"/>
        <v>148743500.00009999</v>
      </c>
      <c r="O377" s="817">
        <v>-223115</v>
      </c>
      <c r="P377" s="817">
        <v>-342073</v>
      </c>
      <c r="R377" s="982">
        <f t="shared" si="93"/>
        <v>148178312.00009999</v>
      </c>
      <c r="S377" s="938">
        <v>1335.3493145663808</v>
      </c>
      <c r="T377" s="998">
        <f t="shared" si="94"/>
        <v>110965.95503792726</v>
      </c>
      <c r="U377" s="584">
        <v>44209</v>
      </c>
      <c r="V377" s="561" t="s">
        <v>1184</v>
      </c>
      <c r="W377" s="819">
        <v>44207.387504976854</v>
      </c>
      <c r="X377" s="971">
        <f t="shared" si="95"/>
        <v>-0.14999983192532784</v>
      </c>
      <c r="Y377" s="584" t="s">
        <v>1693</v>
      </c>
      <c r="Z377" s="988" t="str">
        <f>VLOOKUP(AA377,'place of settlement'!A:C,2,FALSE)</f>
        <v>KSDCKRSEXXX</v>
      </c>
      <c r="AA377" s="988" t="str">
        <f t="shared" si="96"/>
        <v>KR</v>
      </c>
      <c r="AB377" s="988" t="str">
        <f t="shared" si="97"/>
        <v>SamsungKR</v>
      </c>
      <c r="AC377" s="988" t="e">
        <f>VLOOKUP(AB377,sample!$1:$1048576,2,FALSE)</f>
        <v>#N/A</v>
      </c>
      <c r="AD377" s="988" t="e">
        <f>VLOOKUP($AB377,sample!$1:$1048576,3,FALSE)</f>
        <v>#N/A</v>
      </c>
      <c r="AE377" s="986" t="e">
        <f>VLOOKUP($AB377,sample!$1:$1048576,4,FALSE)</f>
        <v>#N/A</v>
      </c>
      <c r="AF377" s="988" t="e">
        <f>VLOOKUP($AB377,sample!$1:$1048576,5,FALSE)</f>
        <v>#N/A</v>
      </c>
      <c r="AL377" s="986" t="e">
        <f>VLOOKUP($AB377,sample!$1:$1048576,11,FALSE)</f>
        <v>#N/A</v>
      </c>
      <c r="AM377" s="986" t="e">
        <f>VLOOKUP($AB377,sample!$1:$1048576,12,FALSE)</f>
        <v>#N/A</v>
      </c>
      <c r="AN377" s="986" t="e">
        <f>VLOOKUP($AB377,sample!$1:$1048576,13,FALSE)</f>
        <v>#N/A</v>
      </c>
      <c r="AP377" s="988"/>
    </row>
    <row r="378" spans="1:42" s="584" customFormat="1">
      <c r="A378" s="929">
        <v>2019200392</v>
      </c>
      <c r="B378" s="816">
        <v>44208</v>
      </c>
      <c r="C378" s="816" t="s">
        <v>133</v>
      </c>
      <c r="D378" s="1133" t="str">
        <f>IFERROR(VLOOKUP(G378,PosAggregate!$B$13:$B$89,1,FALSE),"")</f>
        <v/>
      </c>
      <c r="E378" s="905" t="s">
        <v>12676</v>
      </c>
      <c r="F378" s="1006" t="str">
        <f t="shared" si="83"/>
        <v/>
      </c>
      <c r="G378" s="561" t="s">
        <v>2097</v>
      </c>
      <c r="I378" s="832" t="s">
        <v>12613</v>
      </c>
      <c r="J378" s="832" t="s">
        <v>125</v>
      </c>
      <c r="K378" s="938">
        <v>3039.2255559999999</v>
      </c>
      <c r="L378" s="938"/>
      <c r="M378" s="938">
        <v>9000</v>
      </c>
      <c r="N378" s="985">
        <f t="shared" si="92"/>
        <v>-27353030.004000001</v>
      </c>
      <c r="O378" s="817">
        <v>-16412</v>
      </c>
      <c r="P378" s="817"/>
      <c r="R378" s="982">
        <f t="shared" si="93"/>
        <v>-27369442.004000001</v>
      </c>
      <c r="S378" s="938">
        <v>126.64163963504269</v>
      </c>
      <c r="T378" s="998">
        <f t="shared" si="94"/>
        <v>-216117.24297690371</v>
      </c>
      <c r="U378" s="584">
        <v>44210</v>
      </c>
      <c r="V378" s="561" t="s">
        <v>1656</v>
      </c>
      <c r="W378" s="819">
        <v>44208.419682175925</v>
      </c>
      <c r="X378" s="971">
        <f t="shared" si="95"/>
        <v>6.0000665365409142E-2</v>
      </c>
      <c r="Y378" s="584" t="s">
        <v>1693</v>
      </c>
      <c r="Z378" s="988" t="str">
        <f>VLOOKUP(AA378,'place of settlement'!A:C,2,FALSE)</f>
        <v>JJSDJPJTXXX</v>
      </c>
      <c r="AA378" s="988" t="str">
        <f t="shared" si="96"/>
        <v>JP</v>
      </c>
      <c r="AB378" s="988" t="str">
        <f t="shared" si="97"/>
        <v>Tavira SecuritiesJP</v>
      </c>
      <c r="AC378" s="988" t="str">
        <f>VLOOKUP(AB378,sample!$1:$1048576,2,FALSE)</f>
        <v>GSILGB2XXXX</v>
      </c>
      <c r="AD378" s="988" t="str">
        <f>VLOOKUP($AB378,sample!$1:$1048576,3,FALSE)</f>
        <v>JJSDJPJTXXX</v>
      </c>
      <c r="AE378" s="986">
        <f>VLOOKUP($AB378,sample!$1:$1048576,4,FALSE)</f>
        <v>6530490016</v>
      </c>
      <c r="AF378" s="988" t="str">
        <f>VLOOKUP($AB378,sample!$1:$1048576,5,FALSE)</f>
        <v>N</v>
      </c>
      <c r="AL378" s="986" t="str">
        <f>VLOOKUP($AB378,sample!$1:$1048576,11,FALSE)</f>
        <v xml:space="preserve">                  </v>
      </c>
      <c r="AM378" s="986" t="str">
        <f>VLOOKUP($AB378,sample!$1:$1048576,12,FALSE)</f>
        <v xml:space="preserve">                          </v>
      </c>
      <c r="AN378" s="986" t="str">
        <f>VLOOKUP($AB378,sample!$1:$1048576,13,FALSE)</f>
        <v>GOLDJPJXXXX</v>
      </c>
      <c r="AP378" s="988"/>
    </row>
    <row r="379" spans="1:42" s="584" customFormat="1">
      <c r="A379" s="929">
        <v>2019200393</v>
      </c>
      <c r="B379" s="816">
        <v>44208</v>
      </c>
      <c r="C379" s="816" t="s">
        <v>133</v>
      </c>
      <c r="D379" s="1133" t="str">
        <f>IFERROR(VLOOKUP(G379,PosAggregate!$B$13:$B$89,1,FALSE),"")</f>
        <v/>
      </c>
      <c r="E379" s="905" t="s">
        <v>1186</v>
      </c>
      <c r="F379" s="1006" t="str">
        <f t="shared" si="83"/>
        <v/>
      </c>
      <c r="G379" s="561" t="s">
        <v>1134</v>
      </c>
      <c r="I379" s="832" t="s">
        <v>1081</v>
      </c>
      <c r="J379" s="832" t="s">
        <v>125</v>
      </c>
      <c r="K379" s="938">
        <v>1287.3908329999999</v>
      </c>
      <c r="L379" s="938"/>
      <c r="M379" s="938">
        <v>6000</v>
      </c>
      <c r="N379" s="985">
        <f t="shared" si="92"/>
        <v>-7724344.9979999997</v>
      </c>
      <c r="O379" s="817">
        <v>-4635</v>
      </c>
      <c r="R379" s="982">
        <f t="shared" si="93"/>
        <v>-7728979.9979999997</v>
      </c>
      <c r="S379" s="938">
        <v>126.6416396350424</v>
      </c>
      <c r="T379" s="998">
        <f t="shared" ref="T379:T443" si="98">+R379/S379</f>
        <v>-61030.321624652679</v>
      </c>
      <c r="U379" s="584">
        <v>44210</v>
      </c>
      <c r="V379" s="561" t="s">
        <v>1656</v>
      </c>
      <c r="W379" s="819">
        <v>44208.420246296293</v>
      </c>
      <c r="X379" s="971">
        <f t="shared" si="95"/>
        <v>6.0005087825570999E-2</v>
      </c>
      <c r="Y379" s="584" t="s">
        <v>1693</v>
      </c>
      <c r="Z379" s="988" t="str">
        <f>VLOOKUP(AA379,'place of settlement'!A:C,2,FALSE)</f>
        <v>JJSDJPJTXXX</v>
      </c>
      <c r="AA379" s="988" t="str">
        <f t="shared" si="96"/>
        <v>JP</v>
      </c>
      <c r="AB379" s="988" t="str">
        <f t="shared" si="97"/>
        <v>Tavira SecuritiesJP</v>
      </c>
      <c r="AC379" s="988" t="str">
        <f>VLOOKUP(AB379,sample!$1:$1048576,2,FALSE)</f>
        <v>GSILGB2XXXX</v>
      </c>
      <c r="AD379" s="988" t="str">
        <f>VLOOKUP($AB379,sample!$1:$1048576,3,FALSE)</f>
        <v>JJSDJPJTXXX</v>
      </c>
      <c r="AE379" s="986">
        <f>VLOOKUP($AB379,sample!$1:$1048576,4,FALSE)</f>
        <v>6530490016</v>
      </c>
      <c r="AF379" s="988" t="str">
        <f>VLOOKUP($AB379,sample!$1:$1048576,5,FALSE)</f>
        <v>N</v>
      </c>
      <c r="AL379" s="986" t="str">
        <f>VLOOKUP($AB379,sample!$1:$1048576,11,FALSE)</f>
        <v xml:space="preserve">                  </v>
      </c>
      <c r="AM379" s="986" t="str">
        <f>VLOOKUP($AB379,sample!$1:$1048576,12,FALSE)</f>
        <v xml:space="preserve">                          </v>
      </c>
      <c r="AN379" s="986" t="str">
        <f>VLOOKUP($AB379,sample!$1:$1048576,13,FALSE)</f>
        <v>GOLDJPJXXXX</v>
      </c>
      <c r="AP379" s="988"/>
    </row>
    <row r="380" spans="1:42" s="584" customFormat="1">
      <c r="A380" s="929">
        <v>2019200396</v>
      </c>
      <c r="B380" s="816">
        <v>44209</v>
      </c>
      <c r="C380" s="816" t="s">
        <v>133</v>
      </c>
      <c r="D380" s="1133" t="str">
        <f>IFERROR(VLOOKUP(G380,PosAggregate!$B$13:$B$89,1,FALSE),"")</f>
        <v/>
      </c>
      <c r="E380" s="905" t="s">
        <v>1197</v>
      </c>
      <c r="F380" s="1006" t="str">
        <f t="shared" si="83"/>
        <v/>
      </c>
      <c r="G380" s="561" t="s">
        <v>1146</v>
      </c>
      <c r="I380" s="832" t="s">
        <v>1103</v>
      </c>
      <c r="J380" s="832" t="s">
        <v>125</v>
      </c>
      <c r="K380" s="938">
        <v>1998.742</v>
      </c>
      <c r="L380" s="938"/>
      <c r="M380" s="938">
        <v>5000</v>
      </c>
      <c r="N380" s="985">
        <f t="shared" si="92"/>
        <v>-9993710</v>
      </c>
      <c r="O380" s="817">
        <v>-5996</v>
      </c>
      <c r="R380" s="982">
        <f t="shared" si="93"/>
        <v>-9999706</v>
      </c>
      <c r="S380" s="938">
        <v>126.64794921875013</v>
      </c>
      <c r="T380" s="998">
        <f t="shared" si="98"/>
        <v>-78956.714748915576</v>
      </c>
      <c r="U380" s="584">
        <v>44211</v>
      </c>
      <c r="V380" s="561" t="s">
        <v>1656</v>
      </c>
      <c r="W380" s="819">
        <v>44209.447673726849</v>
      </c>
      <c r="X380" s="971">
        <f t="shared" si="95"/>
        <v>5.9997738577565289E-2</v>
      </c>
      <c r="Y380" s="584" t="s">
        <v>1693</v>
      </c>
      <c r="Z380" s="988" t="str">
        <f>VLOOKUP(AA380,'place of settlement'!A:C,2,FALSE)</f>
        <v>JJSDJPJTXXX</v>
      </c>
      <c r="AA380" s="988" t="str">
        <f t="shared" si="96"/>
        <v>JP</v>
      </c>
      <c r="AB380" s="988" t="str">
        <f t="shared" si="97"/>
        <v>Tavira SecuritiesJP</v>
      </c>
      <c r="AC380" s="988" t="str">
        <f>VLOOKUP(AB380,sample!$1:$1048576,2,FALSE)</f>
        <v>GSILGB2XXXX</v>
      </c>
      <c r="AD380" s="988" t="str">
        <f>VLOOKUP($AB380,sample!$1:$1048576,3,FALSE)</f>
        <v>JJSDJPJTXXX</v>
      </c>
      <c r="AE380" s="986">
        <f>VLOOKUP($AB380,sample!$1:$1048576,4,FALSE)</f>
        <v>6530490016</v>
      </c>
      <c r="AF380" s="988" t="str">
        <f>VLOOKUP($AB380,sample!$1:$1048576,5,FALSE)</f>
        <v>N</v>
      </c>
      <c r="AL380" s="986" t="str">
        <f>VLOOKUP($AB380,sample!$1:$1048576,11,FALSE)</f>
        <v xml:space="preserve">                  </v>
      </c>
      <c r="AM380" s="986" t="str">
        <f>VLOOKUP($AB380,sample!$1:$1048576,12,FALSE)</f>
        <v xml:space="preserve">                          </v>
      </c>
      <c r="AN380" s="986" t="str">
        <f>VLOOKUP($AB380,sample!$1:$1048576,13,FALSE)</f>
        <v>GOLDJPJXXXX</v>
      </c>
      <c r="AP380" s="988"/>
    </row>
    <row r="381" spans="1:42" s="584" customFormat="1">
      <c r="A381" s="929">
        <v>2019200397</v>
      </c>
      <c r="B381" s="816">
        <v>44210</v>
      </c>
      <c r="C381" s="816" t="s">
        <v>133</v>
      </c>
      <c r="D381" s="1133" t="str">
        <f>IFERROR(VLOOKUP(G381,PosAggregate!$B$13:$B$89,1,FALSE),"")</f>
        <v/>
      </c>
      <c r="E381" s="905" t="s">
        <v>12676</v>
      </c>
      <c r="F381" s="1006" t="str">
        <f t="shared" si="83"/>
        <v/>
      </c>
      <c r="G381" s="561" t="s">
        <v>2097</v>
      </c>
      <c r="I381" s="832" t="s">
        <v>12613</v>
      </c>
      <c r="J381" s="832" t="s">
        <v>125</v>
      </c>
      <c r="K381" s="938">
        <v>3005.1862000000001</v>
      </c>
      <c r="L381" s="938"/>
      <c r="M381" s="938">
        <v>8000</v>
      </c>
      <c r="N381" s="985">
        <f>-K381*M381</f>
        <v>-24041489.600000001</v>
      </c>
      <c r="O381" s="817">
        <v>-14424.89</v>
      </c>
      <c r="R381" s="982">
        <f t="shared" si="93"/>
        <v>-24055914.490000002</v>
      </c>
      <c r="S381" s="938">
        <v>126.25065343982867</v>
      </c>
      <c r="T381" s="998">
        <f t="shared" si="98"/>
        <v>-190540.91075627663</v>
      </c>
      <c r="U381" s="584">
        <v>44214</v>
      </c>
      <c r="V381" s="561" t="s">
        <v>1656</v>
      </c>
      <c r="W381" s="819">
        <v>44210.397743055553</v>
      </c>
      <c r="X381" s="971">
        <f t="shared" si="95"/>
        <v>5.9999984360370073E-2</v>
      </c>
      <c r="Y381" s="584" t="s">
        <v>1693</v>
      </c>
      <c r="Z381" s="988" t="str">
        <f>VLOOKUP(AA381,'place of settlement'!A:C,2,FALSE)</f>
        <v>JJSDJPJTXXX</v>
      </c>
      <c r="AA381" s="988" t="str">
        <f t="shared" si="96"/>
        <v>JP</v>
      </c>
      <c r="AB381" s="988" t="str">
        <f t="shared" si="97"/>
        <v>Tavira SecuritiesJP</v>
      </c>
      <c r="AC381" s="988" t="str">
        <f>VLOOKUP(AB381,sample!$1:$1048576,2,FALSE)</f>
        <v>GSILGB2XXXX</v>
      </c>
      <c r="AD381" s="988" t="str">
        <f>VLOOKUP($AB381,sample!$1:$1048576,3,FALSE)</f>
        <v>JJSDJPJTXXX</v>
      </c>
      <c r="AE381" s="986">
        <f>VLOOKUP($AB381,sample!$1:$1048576,4,FALSE)</f>
        <v>6530490016</v>
      </c>
      <c r="AF381" s="988" t="str">
        <f>VLOOKUP($AB381,sample!$1:$1048576,5,FALSE)</f>
        <v>N</v>
      </c>
      <c r="AL381" s="986" t="str">
        <f>VLOOKUP($AB381,sample!$1:$1048576,11,FALSE)</f>
        <v xml:space="preserve">                  </v>
      </c>
      <c r="AM381" s="986" t="str">
        <f>VLOOKUP($AB381,sample!$1:$1048576,12,FALSE)</f>
        <v xml:space="preserve">                          </v>
      </c>
      <c r="AN381" s="986" t="str">
        <f>VLOOKUP($AB381,sample!$1:$1048576,13,FALSE)</f>
        <v>GOLDJPJXXXX</v>
      </c>
      <c r="AP381" s="988"/>
    </row>
    <row r="382" spans="1:42" s="584" customFormat="1">
      <c r="A382" s="929">
        <v>2019200398</v>
      </c>
      <c r="B382" s="816">
        <v>44210</v>
      </c>
      <c r="C382" s="816" t="s">
        <v>133</v>
      </c>
      <c r="D382" s="1133" t="str">
        <f>IFERROR(VLOOKUP(G382,PosAggregate!$B$13:$B$89,1,FALSE),"")</f>
        <v/>
      </c>
      <c r="E382" s="905" t="s">
        <v>12670</v>
      </c>
      <c r="F382" s="1006" t="str">
        <f t="shared" si="83"/>
        <v/>
      </c>
      <c r="G382" s="561" t="s">
        <v>2057</v>
      </c>
      <c r="I382" s="832" t="s">
        <v>12625</v>
      </c>
      <c r="J382" s="832" t="s">
        <v>123</v>
      </c>
      <c r="K382" s="938">
        <v>55624.95</v>
      </c>
      <c r="L382" s="938"/>
      <c r="M382" s="938">
        <v>2000</v>
      </c>
      <c r="N382" s="985">
        <f t="shared" si="92"/>
        <v>-111249900</v>
      </c>
      <c r="O382" s="817">
        <v>-166875</v>
      </c>
      <c r="R382" s="982">
        <f t="shared" si="93"/>
        <v>-111416775</v>
      </c>
      <c r="S382" s="938">
        <v>1333.7709860558971</v>
      </c>
      <c r="T382" s="998">
        <f t="shared" si="98"/>
        <v>-83535.161706786923</v>
      </c>
      <c r="U382" s="584">
        <v>44214</v>
      </c>
      <c r="V382" s="561" t="s">
        <v>1184</v>
      </c>
      <c r="W382" s="819">
        <v>44210.398551388891</v>
      </c>
      <c r="X382" s="971">
        <f t="shared" si="95"/>
        <v>0.15000013483158187</v>
      </c>
      <c r="Y382" s="584" t="s">
        <v>1693</v>
      </c>
      <c r="Z382" s="988" t="str">
        <f>VLOOKUP(AA382,'place of settlement'!A:C,2,FALSE)</f>
        <v>KSDCKRSEXXX</v>
      </c>
      <c r="AA382" s="988" t="str">
        <f t="shared" si="96"/>
        <v>KR</v>
      </c>
      <c r="AB382" s="988" t="str">
        <f t="shared" si="97"/>
        <v>SamsungKR</v>
      </c>
      <c r="AC382" s="988" t="e">
        <f>VLOOKUP(AB382,sample!$1:$1048576,2,FALSE)</f>
        <v>#N/A</v>
      </c>
      <c r="AD382" s="988" t="e">
        <f>VLOOKUP($AB382,sample!$1:$1048576,3,FALSE)</f>
        <v>#N/A</v>
      </c>
      <c r="AE382" s="986" t="e">
        <f>VLOOKUP($AB382,sample!$1:$1048576,4,FALSE)</f>
        <v>#N/A</v>
      </c>
      <c r="AF382" s="988" t="e">
        <f>VLOOKUP($AB382,sample!$1:$1048576,5,FALSE)</f>
        <v>#N/A</v>
      </c>
      <c r="AL382" s="986" t="e">
        <f>VLOOKUP($AB382,sample!$1:$1048576,11,FALSE)</f>
        <v>#N/A</v>
      </c>
      <c r="AM382" s="986" t="e">
        <f>VLOOKUP($AB382,sample!$1:$1048576,12,FALSE)</f>
        <v>#N/A</v>
      </c>
      <c r="AN382" s="986" t="e">
        <f>VLOOKUP($AB382,sample!$1:$1048576,13,FALSE)</f>
        <v>#N/A</v>
      </c>
      <c r="AP382" s="988"/>
    </row>
    <row r="383" spans="1:42" s="584" customFormat="1">
      <c r="A383" s="929">
        <v>2019200399</v>
      </c>
      <c r="B383" s="816">
        <v>44210</v>
      </c>
      <c r="C383" s="816" t="s">
        <v>133</v>
      </c>
      <c r="D383" s="1133" t="str">
        <f>IFERROR(VLOOKUP(G383,PosAggregate!$B$13:$B$89,1,FALSE),"")</f>
        <v/>
      </c>
      <c r="E383" s="905" t="s">
        <v>12673</v>
      </c>
      <c r="F383" s="1006" t="str">
        <f t="shared" si="83"/>
        <v/>
      </c>
      <c r="G383" s="561" t="s">
        <v>2098</v>
      </c>
      <c r="I383" s="832" t="s">
        <v>12610</v>
      </c>
      <c r="J383" s="832" t="s">
        <v>123</v>
      </c>
      <c r="K383" s="938">
        <v>39313.154761999998</v>
      </c>
      <c r="L383" s="938"/>
      <c r="M383" s="938">
        <v>4200</v>
      </c>
      <c r="N383" s="985">
        <f t="shared" si="92"/>
        <v>-165115250.00040001</v>
      </c>
      <c r="O383" s="817">
        <v>-247673</v>
      </c>
      <c r="R383" s="982">
        <f t="shared" si="93"/>
        <v>-165362923.00040001</v>
      </c>
      <c r="S383" s="938">
        <v>1333.7709860558982</v>
      </c>
      <c r="T383" s="998">
        <f t="shared" si="98"/>
        <v>-123981.49662064224</v>
      </c>
      <c r="U383" s="584">
        <v>44214</v>
      </c>
      <c r="V383" s="561" t="s">
        <v>1184</v>
      </c>
      <c r="W383" s="819">
        <v>44210.39894363426</v>
      </c>
      <c r="X383" s="971">
        <f t="shared" si="95"/>
        <v>0.15000007570433377</v>
      </c>
      <c r="Y383" s="584" t="s">
        <v>1693</v>
      </c>
      <c r="Z383" s="988" t="str">
        <f>VLOOKUP(AA383,'place of settlement'!A:C,2,FALSE)</f>
        <v>KSDCKRSEXXX</v>
      </c>
      <c r="AA383" s="988" t="str">
        <f t="shared" si="96"/>
        <v>KR</v>
      </c>
      <c r="AB383" s="988" t="str">
        <f t="shared" si="97"/>
        <v>SamsungKR</v>
      </c>
      <c r="AC383" s="988" t="e">
        <f>VLOOKUP(AB383,sample!$1:$1048576,2,FALSE)</f>
        <v>#N/A</v>
      </c>
      <c r="AD383" s="988" t="e">
        <f>VLOOKUP($AB383,sample!$1:$1048576,3,FALSE)</f>
        <v>#N/A</v>
      </c>
      <c r="AE383" s="986" t="e">
        <f>VLOOKUP($AB383,sample!$1:$1048576,4,FALSE)</f>
        <v>#N/A</v>
      </c>
      <c r="AF383" s="988" t="e">
        <f>VLOOKUP($AB383,sample!$1:$1048576,5,FALSE)</f>
        <v>#N/A</v>
      </c>
      <c r="AL383" s="986" t="e">
        <f>VLOOKUP($AB383,sample!$1:$1048576,11,FALSE)</f>
        <v>#N/A</v>
      </c>
      <c r="AM383" s="986" t="e">
        <f>VLOOKUP($AB383,sample!$1:$1048576,12,FALSE)</f>
        <v>#N/A</v>
      </c>
      <c r="AN383" s="986" t="e">
        <f>VLOOKUP($AB383,sample!$1:$1048576,13,FALSE)</f>
        <v>#N/A</v>
      </c>
      <c r="AP383" s="988"/>
    </row>
    <row r="384" spans="1:42" s="584" customFormat="1">
      <c r="A384" s="929">
        <v>2019200400</v>
      </c>
      <c r="B384" s="816">
        <v>44214</v>
      </c>
      <c r="C384" s="816" t="s">
        <v>133</v>
      </c>
      <c r="D384" s="1133" t="str">
        <f>IFERROR(VLOOKUP(G384,PosAggregate!$B$13:$B$89,1,FALSE),"")</f>
        <v/>
      </c>
      <c r="E384" s="905" t="s">
        <v>12673</v>
      </c>
      <c r="F384" s="1006" t="str">
        <f t="shared" si="83"/>
        <v/>
      </c>
      <c r="G384" s="561" t="s">
        <v>2098</v>
      </c>
      <c r="I384" s="832" t="s">
        <v>12610</v>
      </c>
      <c r="J384" s="832" t="s">
        <v>123</v>
      </c>
      <c r="K384" s="938">
        <v>38177.884599999998</v>
      </c>
      <c r="L384" s="938"/>
      <c r="M384" s="938">
        <v>2600</v>
      </c>
      <c r="N384" s="985">
        <f t="shared" si="92"/>
        <v>-99262499.959999993</v>
      </c>
      <c r="O384" s="817">
        <v>-148894</v>
      </c>
      <c r="R384" s="982">
        <f t="shared" si="93"/>
        <v>-99411393.959999993</v>
      </c>
      <c r="S384" s="938">
        <v>1332.5321577389916</v>
      </c>
      <c r="T384" s="998">
        <f t="shared" si="98"/>
        <v>-74603.373271440476</v>
      </c>
      <c r="U384" s="584">
        <v>44216</v>
      </c>
      <c r="V384" s="561" t="s">
        <v>1184</v>
      </c>
      <c r="W384" s="819">
        <v>44214.397655324072</v>
      </c>
      <c r="X384" s="971">
        <f t="shared" si="95"/>
        <v>0.15000025191789457</v>
      </c>
      <c r="Y384" s="584" t="s">
        <v>1693</v>
      </c>
      <c r="Z384" s="988" t="str">
        <f>VLOOKUP(AA384,'place of settlement'!A:C,2,FALSE)</f>
        <v>KSDCKRSEXXX</v>
      </c>
      <c r="AA384" s="988" t="str">
        <f t="shared" si="96"/>
        <v>KR</v>
      </c>
      <c r="AB384" s="988" t="str">
        <f t="shared" si="97"/>
        <v>SamsungKR</v>
      </c>
      <c r="AC384" s="988" t="e">
        <f>VLOOKUP(AB384,sample!$1:$1048576,2,FALSE)</f>
        <v>#N/A</v>
      </c>
      <c r="AD384" s="988" t="e">
        <f>VLOOKUP($AB384,sample!$1:$1048576,3,FALSE)</f>
        <v>#N/A</v>
      </c>
      <c r="AE384" s="986" t="e">
        <f>VLOOKUP($AB384,sample!$1:$1048576,4,FALSE)</f>
        <v>#N/A</v>
      </c>
      <c r="AF384" s="988" t="e">
        <f>VLOOKUP($AB384,sample!$1:$1048576,5,FALSE)</f>
        <v>#N/A</v>
      </c>
      <c r="AL384" s="986" t="e">
        <f>VLOOKUP($AB384,sample!$1:$1048576,11,FALSE)</f>
        <v>#N/A</v>
      </c>
      <c r="AM384" s="986" t="e">
        <f>VLOOKUP($AB384,sample!$1:$1048576,12,FALSE)</f>
        <v>#N/A</v>
      </c>
      <c r="AN384" s="986" t="e">
        <f>VLOOKUP($AB384,sample!$1:$1048576,13,FALSE)</f>
        <v>#N/A</v>
      </c>
      <c r="AP384" s="988"/>
    </row>
    <row r="385" spans="1:42" s="945" customFormat="1">
      <c r="A385" s="941">
        <v>2019200401</v>
      </c>
      <c r="B385" s="942">
        <v>44215</v>
      </c>
      <c r="C385" s="942" t="s">
        <v>134</v>
      </c>
      <c r="D385" s="1135" t="str">
        <f>IFERROR(VLOOKUP(G385,PosAggregate!$B$13:$B$89,1,FALSE),"")</f>
        <v/>
      </c>
      <c r="E385" s="943" t="s">
        <v>12696</v>
      </c>
      <c r="F385" s="1006" t="str">
        <f t="shared" si="83"/>
        <v/>
      </c>
      <c r="G385" s="944" t="s">
        <v>2112</v>
      </c>
      <c r="I385" s="946" t="s">
        <v>12703</v>
      </c>
      <c r="J385" s="946" t="s">
        <v>2</v>
      </c>
      <c r="K385" s="947">
        <v>2.64</v>
      </c>
      <c r="L385" s="948"/>
      <c r="M385" s="947">
        <v>-7000</v>
      </c>
      <c r="N385" s="1008">
        <f t="shared" si="92"/>
        <v>18480</v>
      </c>
      <c r="O385" s="948">
        <v>-11.09</v>
      </c>
      <c r="R385" s="1010">
        <f t="shared" si="93"/>
        <v>18468.91</v>
      </c>
      <c r="S385" s="949">
        <v>1</v>
      </c>
      <c r="T385" s="1004">
        <f t="shared" si="98"/>
        <v>18468.91</v>
      </c>
      <c r="U385" s="945">
        <v>44217</v>
      </c>
      <c r="V385" s="944" t="s">
        <v>1111</v>
      </c>
      <c r="W385" s="950">
        <v>44216.436645949078</v>
      </c>
      <c r="X385" s="1011">
        <f t="shared" si="95"/>
        <v>-6.0010822510822508E-2</v>
      </c>
      <c r="Y385" s="945" t="s">
        <v>1693</v>
      </c>
      <c r="Z385" s="1002" t="str">
        <f>VLOOKUP(AA385,'place of settlement'!A:C,2,FALSE)</f>
        <v>MOTIITMMXXX</v>
      </c>
      <c r="AA385" s="1002" t="str">
        <f t="shared" si="96"/>
        <v>IT</v>
      </c>
      <c r="AB385" s="1002" t="str">
        <f t="shared" si="97"/>
        <v>Equita SimIT</v>
      </c>
      <c r="AC385" s="1002" t="e">
        <f>VLOOKUP(AB385,sample!$1:$1048576,2,FALSE)</f>
        <v>#N/A</v>
      </c>
      <c r="AD385" s="1002" t="e">
        <f>VLOOKUP($AB385,sample!$1:$1048576,3,FALSE)</f>
        <v>#N/A</v>
      </c>
      <c r="AE385" s="1003" t="e">
        <f>VLOOKUP($AB385,sample!$1:$1048576,4,FALSE)</f>
        <v>#N/A</v>
      </c>
      <c r="AF385" s="1002" t="e">
        <f>VLOOKUP($AB385,sample!$1:$1048576,5,FALSE)</f>
        <v>#N/A</v>
      </c>
      <c r="AL385" s="1003" t="e">
        <f>VLOOKUP($AB385,sample!$1:$1048576,11,FALSE)</f>
        <v>#N/A</v>
      </c>
      <c r="AM385" s="1003" t="e">
        <f>VLOOKUP($AB385,sample!$1:$1048576,12,FALSE)</f>
        <v>#N/A</v>
      </c>
      <c r="AN385" s="1003" t="e">
        <f>VLOOKUP($AB385,sample!$1:$1048576,13,FALSE)</f>
        <v>#N/A</v>
      </c>
      <c r="AP385" s="988"/>
    </row>
    <row r="386" spans="1:42" s="584" customFormat="1">
      <c r="A386" s="929">
        <v>2019200402</v>
      </c>
      <c r="B386" s="816">
        <v>44217</v>
      </c>
      <c r="C386" s="816" t="s">
        <v>133</v>
      </c>
      <c r="D386" s="1133" t="str">
        <f>IFERROR(VLOOKUP(G386,PosAggregate!$B$13:$B$89,1,FALSE),"")</f>
        <v/>
      </c>
      <c r="E386" s="905" t="s">
        <v>1190</v>
      </c>
      <c r="F386" s="1006" t="str">
        <f t="shared" si="83"/>
        <v/>
      </c>
      <c r="G386" s="561" t="s">
        <v>1590</v>
      </c>
      <c r="I386" s="832" t="s">
        <v>1085</v>
      </c>
      <c r="J386" s="832" t="s">
        <v>125</v>
      </c>
      <c r="K386" s="938">
        <v>2379.5090909999999</v>
      </c>
      <c r="L386" s="938"/>
      <c r="M386" s="938">
        <v>2200</v>
      </c>
      <c r="N386" s="985">
        <f t="shared" si="92"/>
        <v>-5234920.0001999997</v>
      </c>
      <c r="O386" s="817">
        <v>-3141</v>
      </c>
      <c r="P386" s="817"/>
      <c r="R386" s="982">
        <f t="shared" si="93"/>
        <v>-5238061.0001999997</v>
      </c>
      <c r="S386" s="878">
        <v>125.3010881537696</v>
      </c>
      <c r="T386" s="998">
        <f t="shared" si="98"/>
        <v>-41803.794981986488</v>
      </c>
      <c r="U386" s="584">
        <v>44221</v>
      </c>
      <c r="V386" s="561" t="s">
        <v>1656</v>
      </c>
      <c r="W386" s="819">
        <v>44216.554416666666</v>
      </c>
      <c r="X386" s="971">
        <f t="shared" si="95"/>
        <v>6.0000916917163936E-2</v>
      </c>
      <c r="Y386" s="584" t="s">
        <v>1693</v>
      </c>
      <c r="Z386" s="988" t="str">
        <f>VLOOKUP(AA386,'place of settlement'!A:C,2,FALSE)</f>
        <v>JJSDJPJTXXX</v>
      </c>
      <c r="AA386" s="988" t="str">
        <f t="shared" si="96"/>
        <v>JP</v>
      </c>
      <c r="AB386" s="988" t="str">
        <f t="shared" si="97"/>
        <v>Tavira SecuritiesJP</v>
      </c>
      <c r="AC386" s="988" t="str">
        <f>VLOOKUP(AB386,sample!$1:$1048576,2,FALSE)</f>
        <v>GSILGB2XXXX</v>
      </c>
      <c r="AD386" s="988" t="str">
        <f>VLOOKUP($AB386,sample!$1:$1048576,3,FALSE)</f>
        <v>JJSDJPJTXXX</v>
      </c>
      <c r="AE386" s="986">
        <f>VLOOKUP($AB386,sample!$1:$1048576,4,FALSE)</f>
        <v>6530490016</v>
      </c>
      <c r="AF386" s="988" t="str">
        <f>VLOOKUP($AB386,sample!$1:$1048576,5,FALSE)</f>
        <v>N</v>
      </c>
      <c r="AL386" s="986" t="str">
        <f>VLOOKUP($AB386,sample!$1:$1048576,11,FALSE)</f>
        <v xml:space="preserve">                  </v>
      </c>
      <c r="AM386" s="986" t="str">
        <f>VLOOKUP($AB386,sample!$1:$1048576,12,FALSE)</f>
        <v xml:space="preserve">                          </v>
      </c>
      <c r="AN386" s="986" t="str">
        <f>VLOOKUP($AB386,sample!$1:$1048576,13,FALSE)</f>
        <v>GOLDJPJXXXX</v>
      </c>
      <c r="AP386" s="988"/>
    </row>
    <row r="387" spans="1:42" s="584" customFormat="1">
      <c r="A387" s="929">
        <v>2019200403</v>
      </c>
      <c r="B387" s="816">
        <v>44217</v>
      </c>
      <c r="C387" s="816" t="s">
        <v>133</v>
      </c>
      <c r="D387" s="1133" t="str">
        <f>IFERROR(VLOOKUP(G387,PosAggregate!$B$13:$B$89,1,FALSE),"")</f>
        <v/>
      </c>
      <c r="E387" s="905" t="s">
        <v>1197</v>
      </c>
      <c r="F387" s="1006" t="str">
        <f t="shared" si="83"/>
        <v/>
      </c>
      <c r="G387" s="561" t="s">
        <v>1146</v>
      </c>
      <c r="I387" s="832" t="s">
        <v>1103</v>
      </c>
      <c r="J387" s="832" t="s">
        <v>125</v>
      </c>
      <c r="K387" s="938">
        <v>1937.501818</v>
      </c>
      <c r="L387" s="938"/>
      <c r="M387" s="938">
        <v>11000</v>
      </c>
      <c r="N387" s="985">
        <f t="shared" si="92"/>
        <v>-21312519.998</v>
      </c>
      <c r="O387" s="817">
        <v>-12788</v>
      </c>
      <c r="P387" s="817"/>
      <c r="R387" s="982">
        <f t="shared" si="93"/>
        <v>-21325307.998</v>
      </c>
      <c r="S387" s="878">
        <v>125.3010881537696</v>
      </c>
      <c r="T387" s="998">
        <f t="shared" si="98"/>
        <v>-170192.52037005109</v>
      </c>
      <c r="U387" s="584">
        <v>44221</v>
      </c>
      <c r="V387" s="561" t="s">
        <v>1656</v>
      </c>
      <c r="W387" s="819">
        <v>44216.554416666666</v>
      </c>
      <c r="X387" s="971">
        <f t="shared" si="95"/>
        <v>6.0002289739552364E-2</v>
      </c>
      <c r="Y387" s="584" t="s">
        <v>1693</v>
      </c>
      <c r="Z387" s="988" t="str">
        <f>VLOOKUP(AA387,'place of settlement'!A:C,2,FALSE)</f>
        <v>JJSDJPJTXXX</v>
      </c>
      <c r="AA387" s="988" t="str">
        <f t="shared" si="96"/>
        <v>JP</v>
      </c>
      <c r="AB387" s="988" t="str">
        <f t="shared" si="97"/>
        <v>Tavira SecuritiesJP</v>
      </c>
      <c r="AC387" s="988" t="str">
        <f>VLOOKUP(AB387,sample!$1:$1048576,2,FALSE)</f>
        <v>GSILGB2XXXX</v>
      </c>
      <c r="AD387" s="988" t="str">
        <f>VLOOKUP($AB387,sample!$1:$1048576,3,FALSE)</f>
        <v>JJSDJPJTXXX</v>
      </c>
      <c r="AE387" s="986">
        <f>VLOOKUP($AB387,sample!$1:$1048576,4,FALSE)</f>
        <v>6530490016</v>
      </c>
      <c r="AF387" s="988" t="str">
        <f>VLOOKUP($AB387,sample!$1:$1048576,5,FALSE)</f>
        <v>N</v>
      </c>
      <c r="AL387" s="986" t="str">
        <f>VLOOKUP($AB387,sample!$1:$1048576,11,FALSE)</f>
        <v xml:space="preserve">                  </v>
      </c>
      <c r="AM387" s="986" t="str">
        <f>VLOOKUP($AB387,sample!$1:$1048576,12,FALSE)</f>
        <v xml:space="preserve">                          </v>
      </c>
      <c r="AN387" s="986" t="str">
        <f>VLOOKUP($AB387,sample!$1:$1048576,13,FALSE)</f>
        <v>GOLDJPJXXXX</v>
      </c>
      <c r="AP387" s="988"/>
    </row>
    <row r="388" spans="1:42" s="584" customFormat="1">
      <c r="A388" s="929">
        <v>2019200404</v>
      </c>
      <c r="B388" s="816">
        <v>44217</v>
      </c>
      <c r="C388" s="816" t="s">
        <v>133</v>
      </c>
      <c r="D388" s="1133" t="str">
        <f>IFERROR(VLOOKUP(G388,PosAggregate!$B$13:$B$89,1,FALSE),"")</f>
        <v/>
      </c>
      <c r="E388" s="905" t="s">
        <v>12676</v>
      </c>
      <c r="F388" s="1006" t="str">
        <f t="shared" si="83"/>
        <v/>
      </c>
      <c r="G388" s="561" t="s">
        <v>2097</v>
      </c>
      <c r="I388" s="832" t="s">
        <v>12613</v>
      </c>
      <c r="J388" s="832" t="s">
        <v>125</v>
      </c>
      <c r="K388" s="938">
        <v>3001.8760000000002</v>
      </c>
      <c r="L388" s="938"/>
      <c r="M388" s="938">
        <v>5000</v>
      </c>
      <c r="N388" s="985">
        <f t="shared" si="92"/>
        <v>-15009380.000000002</v>
      </c>
      <c r="O388" s="817">
        <v>-9006</v>
      </c>
      <c r="P388" s="817"/>
      <c r="R388" s="982">
        <f t="shared" si="93"/>
        <v>-15018386.000000002</v>
      </c>
      <c r="S388" s="878">
        <v>125.3010881537696</v>
      </c>
      <c r="T388" s="998">
        <f t="shared" si="98"/>
        <v>-119858.38448241907</v>
      </c>
      <c r="U388" s="584">
        <v>44221</v>
      </c>
      <c r="V388" s="561" t="s">
        <v>1656</v>
      </c>
      <c r="W388" s="819">
        <v>44216.554416666666</v>
      </c>
      <c r="X388" s="971">
        <f t="shared" si="95"/>
        <v>6.0002478450142512E-2</v>
      </c>
      <c r="Y388" s="584" t="s">
        <v>1693</v>
      </c>
      <c r="Z388" s="988" t="str">
        <f>VLOOKUP(AA388,'place of settlement'!A:C,2,FALSE)</f>
        <v>JJSDJPJTXXX</v>
      </c>
      <c r="AA388" s="988" t="str">
        <f t="shared" si="96"/>
        <v>JP</v>
      </c>
      <c r="AB388" s="988" t="str">
        <f t="shared" si="97"/>
        <v>Tavira SecuritiesJP</v>
      </c>
      <c r="AC388" s="988" t="str">
        <f>VLOOKUP(AB388,sample!$1:$1048576,2,FALSE)</f>
        <v>GSILGB2XXXX</v>
      </c>
      <c r="AD388" s="988" t="str">
        <f>VLOOKUP($AB388,sample!$1:$1048576,3,FALSE)</f>
        <v>JJSDJPJTXXX</v>
      </c>
      <c r="AE388" s="986">
        <f>VLOOKUP($AB388,sample!$1:$1048576,4,FALSE)</f>
        <v>6530490016</v>
      </c>
      <c r="AF388" s="988" t="str">
        <f>VLOOKUP($AB388,sample!$1:$1048576,5,FALSE)</f>
        <v>N</v>
      </c>
      <c r="AL388" s="986" t="str">
        <f>VLOOKUP($AB388,sample!$1:$1048576,11,FALSE)</f>
        <v xml:space="preserve">                  </v>
      </c>
      <c r="AM388" s="986" t="str">
        <f>VLOOKUP($AB388,sample!$1:$1048576,12,FALSE)</f>
        <v xml:space="preserve">                          </v>
      </c>
      <c r="AN388" s="986" t="str">
        <f>VLOOKUP($AB388,sample!$1:$1048576,13,FALSE)</f>
        <v>GOLDJPJXXXX</v>
      </c>
      <c r="AP388" s="988"/>
    </row>
    <row r="389" spans="1:42" s="584" customFormat="1">
      <c r="A389" s="929">
        <v>2019200405</v>
      </c>
      <c r="B389" s="816">
        <v>44218</v>
      </c>
      <c r="C389" s="816" t="s">
        <v>133</v>
      </c>
      <c r="D389" s="1133" t="str">
        <f>IFERROR(VLOOKUP(G389,PosAggregate!$B$13:$B$89,1,FALSE),"")</f>
        <v/>
      </c>
      <c r="E389" s="905" t="s">
        <v>1190</v>
      </c>
      <c r="F389" s="1006" t="str">
        <f t="shared" si="83"/>
        <v/>
      </c>
      <c r="G389" s="561" t="s">
        <v>1590</v>
      </c>
      <c r="I389" s="832" t="s">
        <v>1085</v>
      </c>
      <c r="J389" s="832" t="s">
        <v>125</v>
      </c>
      <c r="K389" s="938">
        <v>2349.166667</v>
      </c>
      <c r="L389" s="938"/>
      <c r="M389" s="938">
        <v>2100</v>
      </c>
      <c r="N389" s="985">
        <f t="shared" si="92"/>
        <v>-4933250.0006999997</v>
      </c>
      <c r="O389" s="817">
        <v>-2960</v>
      </c>
      <c r="P389" s="817"/>
      <c r="R389" s="982">
        <f t="shared" si="93"/>
        <v>-4936210.0006999997</v>
      </c>
      <c r="S389" s="878">
        <v>125.3010881537696</v>
      </c>
      <c r="T389" s="998">
        <f t="shared" si="98"/>
        <v>-39394.789569922003</v>
      </c>
      <c r="U389" s="584">
        <v>44222</v>
      </c>
      <c r="V389" s="561" t="s">
        <v>1656</v>
      </c>
      <c r="W389" s="819">
        <v>44216.554416666666</v>
      </c>
      <c r="X389" s="971">
        <f t="shared" si="95"/>
        <v>6.0001013522120165E-2</v>
      </c>
      <c r="Y389" s="584" t="s">
        <v>1693</v>
      </c>
      <c r="Z389" s="988" t="str">
        <f>VLOOKUP(AA389,'place of settlement'!A:C,2,FALSE)</f>
        <v>JJSDJPJTXXX</v>
      </c>
      <c r="AA389" s="988" t="str">
        <f t="shared" si="96"/>
        <v>JP</v>
      </c>
      <c r="AB389" s="988" t="str">
        <f t="shared" si="97"/>
        <v>Tavira SecuritiesJP</v>
      </c>
      <c r="AC389" s="988" t="str">
        <f>VLOOKUP(AB389,sample!$1:$1048576,2,FALSE)</f>
        <v>GSILGB2XXXX</v>
      </c>
      <c r="AD389" s="988" t="str">
        <f>VLOOKUP($AB389,sample!$1:$1048576,3,FALSE)</f>
        <v>JJSDJPJTXXX</v>
      </c>
      <c r="AE389" s="986">
        <f>VLOOKUP($AB389,sample!$1:$1048576,4,FALSE)</f>
        <v>6530490016</v>
      </c>
      <c r="AF389" s="988" t="str">
        <f>VLOOKUP($AB389,sample!$1:$1048576,5,FALSE)</f>
        <v>N</v>
      </c>
      <c r="AL389" s="986" t="str">
        <f>VLOOKUP($AB389,sample!$1:$1048576,11,FALSE)</f>
        <v xml:space="preserve">                  </v>
      </c>
      <c r="AM389" s="986" t="str">
        <f>VLOOKUP($AB389,sample!$1:$1048576,12,FALSE)</f>
        <v xml:space="preserve">                          </v>
      </c>
      <c r="AN389" s="986" t="str">
        <f>VLOOKUP($AB389,sample!$1:$1048576,13,FALSE)</f>
        <v>GOLDJPJXXXX</v>
      </c>
      <c r="AP389" s="988"/>
    </row>
    <row r="390" spans="1:42" s="584" customFormat="1">
      <c r="A390" s="929">
        <v>2019200406</v>
      </c>
      <c r="B390" s="816">
        <v>44218</v>
      </c>
      <c r="C390" s="816" t="s">
        <v>133</v>
      </c>
      <c r="D390" s="1133" t="str">
        <f>IFERROR(VLOOKUP(G390,PosAggregate!$B$13:$B$89,1,FALSE),"")</f>
        <v/>
      </c>
      <c r="E390" s="905" t="s">
        <v>1197</v>
      </c>
      <c r="F390" s="1006" t="str">
        <f t="shared" si="83"/>
        <v/>
      </c>
      <c r="G390" s="561" t="s">
        <v>1146</v>
      </c>
      <c r="I390" s="832" t="s">
        <v>1103</v>
      </c>
      <c r="J390" s="832" t="s">
        <v>125</v>
      </c>
      <c r="K390" s="938">
        <v>1903.633333</v>
      </c>
      <c r="L390" s="938"/>
      <c r="M390" s="938">
        <v>4200</v>
      </c>
      <c r="N390" s="985">
        <f t="shared" si="92"/>
        <v>-7995259.9985999996</v>
      </c>
      <c r="O390" s="817">
        <v>-4797</v>
      </c>
      <c r="P390" s="817"/>
      <c r="R390" s="982">
        <f t="shared" si="93"/>
        <v>-8000056.9985999996</v>
      </c>
      <c r="S390" s="878">
        <v>125.3010881537696</v>
      </c>
      <c r="T390" s="998">
        <f t="shared" si="98"/>
        <v>-63846.668185214185</v>
      </c>
      <c r="U390" s="584">
        <v>44222</v>
      </c>
      <c r="V390" s="561" t="s">
        <v>1656</v>
      </c>
      <c r="W390" s="819">
        <v>44216.554416666666</v>
      </c>
      <c r="X390" s="971">
        <f t="shared" si="95"/>
        <v>5.9998048854445915E-2</v>
      </c>
      <c r="Y390" s="584" t="s">
        <v>1693</v>
      </c>
      <c r="Z390" s="988" t="str">
        <f>VLOOKUP(AA390,'place of settlement'!A:C,2,FALSE)</f>
        <v>JJSDJPJTXXX</v>
      </c>
      <c r="AA390" s="988" t="str">
        <f t="shared" si="96"/>
        <v>JP</v>
      </c>
      <c r="AB390" s="988" t="str">
        <f t="shared" si="97"/>
        <v>Tavira SecuritiesJP</v>
      </c>
      <c r="AC390" s="988" t="str">
        <f>VLOOKUP(AB390,sample!$1:$1048576,2,FALSE)</f>
        <v>GSILGB2XXXX</v>
      </c>
      <c r="AD390" s="988" t="str">
        <f>VLOOKUP($AB390,sample!$1:$1048576,3,FALSE)</f>
        <v>JJSDJPJTXXX</v>
      </c>
      <c r="AE390" s="986">
        <f>VLOOKUP($AB390,sample!$1:$1048576,4,FALSE)</f>
        <v>6530490016</v>
      </c>
      <c r="AF390" s="988" t="str">
        <f>VLOOKUP($AB390,sample!$1:$1048576,5,FALSE)</f>
        <v>N</v>
      </c>
      <c r="AL390" s="986" t="str">
        <f>VLOOKUP($AB390,sample!$1:$1048576,11,FALSE)</f>
        <v xml:space="preserve">                  </v>
      </c>
      <c r="AM390" s="986" t="str">
        <f>VLOOKUP($AB390,sample!$1:$1048576,12,FALSE)</f>
        <v xml:space="preserve">                          </v>
      </c>
      <c r="AN390" s="986" t="str">
        <f>VLOOKUP($AB390,sample!$1:$1048576,13,FALSE)</f>
        <v>GOLDJPJXXXX</v>
      </c>
      <c r="AP390" s="988"/>
    </row>
    <row r="391" spans="1:42" s="584" customFormat="1">
      <c r="A391" s="929">
        <v>2019200407</v>
      </c>
      <c r="B391" s="816">
        <v>44218</v>
      </c>
      <c r="C391" s="816" t="s">
        <v>133</v>
      </c>
      <c r="D391" s="1133" t="str">
        <f>IFERROR(VLOOKUP(G391,PosAggregate!$B$13:$B$89,1,FALSE),"")</f>
        <v/>
      </c>
      <c r="E391" s="905" t="s">
        <v>1617</v>
      </c>
      <c r="F391" s="1006" t="str">
        <f t="shared" si="83"/>
        <v/>
      </c>
      <c r="G391" s="561" t="s">
        <v>12582</v>
      </c>
      <c r="I391" s="832" t="s">
        <v>1619</v>
      </c>
      <c r="J391" s="832" t="s">
        <v>125</v>
      </c>
      <c r="K391" s="938">
        <v>1350.732143</v>
      </c>
      <c r="L391" s="938"/>
      <c r="M391" s="938">
        <v>5600</v>
      </c>
      <c r="N391" s="985">
        <f t="shared" si="92"/>
        <v>-7564100.0007999996</v>
      </c>
      <c r="O391" s="817">
        <v>-4538</v>
      </c>
      <c r="P391" s="817"/>
      <c r="R391" s="982">
        <f>SUM(N391:Q391)</f>
        <v>-7568638.0007999996</v>
      </c>
      <c r="S391" s="878">
        <v>125.3010881537696</v>
      </c>
      <c r="T391" s="998">
        <f t="shared" si="98"/>
        <v>-60403.609516237884</v>
      </c>
      <c r="U391" s="584">
        <v>44222</v>
      </c>
      <c r="V391" s="561" t="s">
        <v>1656</v>
      </c>
      <c r="W391" s="819">
        <v>44216.554416666666</v>
      </c>
      <c r="X391" s="971">
        <f t="shared" si="95"/>
        <v>5.9993918635661198E-2</v>
      </c>
      <c r="Y391" s="584" t="s">
        <v>1693</v>
      </c>
      <c r="Z391" s="988" t="str">
        <f>VLOOKUP(AA391,'place of settlement'!A:C,2,FALSE)</f>
        <v>JJSDJPJTXXX</v>
      </c>
      <c r="AA391" s="988" t="str">
        <f t="shared" si="96"/>
        <v>JP</v>
      </c>
      <c r="AB391" s="988" t="str">
        <f t="shared" si="97"/>
        <v>Tavira SecuritiesJP</v>
      </c>
      <c r="AC391" s="988" t="str">
        <f>VLOOKUP(AB391,sample!$1:$1048576,2,FALSE)</f>
        <v>GSILGB2XXXX</v>
      </c>
      <c r="AD391" s="988" t="str">
        <f>VLOOKUP($AB391,sample!$1:$1048576,3,FALSE)</f>
        <v>JJSDJPJTXXX</v>
      </c>
      <c r="AE391" s="986">
        <f>VLOOKUP($AB391,sample!$1:$1048576,4,FALSE)</f>
        <v>6530490016</v>
      </c>
      <c r="AF391" s="988" t="str">
        <f>VLOOKUP($AB391,sample!$1:$1048576,5,FALSE)</f>
        <v>N</v>
      </c>
      <c r="AL391" s="986" t="str">
        <f>VLOOKUP($AB391,sample!$1:$1048576,11,FALSE)</f>
        <v xml:space="preserve">                  </v>
      </c>
      <c r="AM391" s="986" t="str">
        <f>VLOOKUP($AB391,sample!$1:$1048576,12,FALSE)</f>
        <v xml:space="preserve">                          </v>
      </c>
      <c r="AN391" s="986" t="str">
        <f>VLOOKUP($AB391,sample!$1:$1048576,13,FALSE)</f>
        <v>GOLDJPJXXXX</v>
      </c>
      <c r="AP391" s="988"/>
    </row>
    <row r="392" spans="1:42" s="584" customFormat="1">
      <c r="A392" s="929">
        <v>2019200408</v>
      </c>
      <c r="B392" s="816">
        <v>44218</v>
      </c>
      <c r="C392" s="816" t="s">
        <v>133</v>
      </c>
      <c r="D392" s="1133" t="str">
        <f>IFERROR(VLOOKUP(G392,PosAggregate!$B$13:$B$89,1,FALSE),"")</f>
        <v/>
      </c>
      <c r="E392" s="905" t="s">
        <v>12680</v>
      </c>
      <c r="F392" s="1006" t="str">
        <f t="shared" si="83"/>
        <v/>
      </c>
      <c r="G392" s="561" t="s">
        <v>12583</v>
      </c>
      <c r="I392" s="832" t="s">
        <v>12616</v>
      </c>
      <c r="J392" s="832" t="s">
        <v>125</v>
      </c>
      <c r="K392" s="938">
        <v>283.14285699999999</v>
      </c>
      <c r="L392" s="938"/>
      <c r="M392" s="938">
        <v>42000</v>
      </c>
      <c r="N392" s="985">
        <f t="shared" si="92"/>
        <v>-11891999.993999999</v>
      </c>
      <c r="O392" s="817">
        <v>-7135</v>
      </c>
      <c r="P392" s="817"/>
      <c r="R392" s="982">
        <f t="shared" si="93"/>
        <v>-11899134.993999999</v>
      </c>
      <c r="S392" s="878">
        <v>125.3010881537696</v>
      </c>
      <c r="T392" s="998">
        <f t="shared" si="98"/>
        <v>-94964.338852328015</v>
      </c>
      <c r="U392" s="584">
        <v>44222</v>
      </c>
      <c r="V392" s="561" t="s">
        <v>1656</v>
      </c>
      <c r="W392" s="819">
        <v>44216.554416666666</v>
      </c>
      <c r="X392" s="971">
        <f t="shared" si="95"/>
        <v>5.9998318227378902E-2</v>
      </c>
      <c r="Y392" s="584" t="s">
        <v>1693</v>
      </c>
      <c r="Z392" s="988" t="str">
        <f>VLOOKUP(AA392,'place of settlement'!A:C,2,FALSE)</f>
        <v>JJSDJPJTXXX</v>
      </c>
      <c r="AA392" s="988" t="str">
        <f t="shared" si="96"/>
        <v>JP</v>
      </c>
      <c r="AB392" s="988" t="str">
        <f t="shared" si="97"/>
        <v>Tavira SecuritiesJP</v>
      </c>
      <c r="AC392" s="988" t="str">
        <f>VLOOKUP(AB392,sample!$1:$1048576,2,FALSE)</f>
        <v>GSILGB2XXXX</v>
      </c>
      <c r="AD392" s="988" t="str">
        <f>VLOOKUP($AB392,sample!$1:$1048576,3,FALSE)</f>
        <v>JJSDJPJTXXX</v>
      </c>
      <c r="AE392" s="986">
        <f>VLOOKUP($AB392,sample!$1:$1048576,4,FALSE)</f>
        <v>6530490016</v>
      </c>
      <c r="AF392" s="988" t="str">
        <f>VLOOKUP($AB392,sample!$1:$1048576,5,FALSE)</f>
        <v>N</v>
      </c>
      <c r="AL392" s="986" t="str">
        <f>VLOOKUP($AB392,sample!$1:$1048576,11,FALSE)</f>
        <v xml:space="preserve">                  </v>
      </c>
      <c r="AM392" s="986" t="str">
        <f>VLOOKUP($AB392,sample!$1:$1048576,12,FALSE)</f>
        <v xml:space="preserve">                          </v>
      </c>
      <c r="AN392" s="986" t="str">
        <f>VLOOKUP($AB392,sample!$1:$1048576,13,FALSE)</f>
        <v>GOLDJPJXXXX</v>
      </c>
      <c r="AP392" s="988"/>
    </row>
    <row r="393" spans="1:42" s="584" customFormat="1">
      <c r="A393" s="929">
        <v>2019200409</v>
      </c>
      <c r="B393" s="816">
        <v>44218</v>
      </c>
      <c r="C393" s="816" t="s">
        <v>133</v>
      </c>
      <c r="D393" s="1133" t="str">
        <f>IFERROR(VLOOKUP(G393,PosAggregate!$B$13:$B$89,1,FALSE),"")</f>
        <v/>
      </c>
      <c r="E393" s="905" t="s">
        <v>12681</v>
      </c>
      <c r="F393" s="1006" t="str">
        <f t="shared" si="83"/>
        <v/>
      </c>
      <c r="G393" s="561" t="s">
        <v>12584</v>
      </c>
      <c r="I393" s="832" t="s">
        <v>12617</v>
      </c>
      <c r="J393" s="832" t="s">
        <v>125</v>
      </c>
      <c r="K393" s="938">
        <v>826.39588200000003</v>
      </c>
      <c r="L393" s="938"/>
      <c r="M393" s="938">
        <v>17000</v>
      </c>
      <c r="N393" s="985">
        <f t="shared" si="92"/>
        <v>-14048729.994000001</v>
      </c>
      <c r="O393" s="817">
        <v>-8429</v>
      </c>
      <c r="P393" s="817"/>
      <c r="R393" s="982">
        <f t="shared" si="93"/>
        <v>-14057158.994000001</v>
      </c>
      <c r="S393" s="878">
        <v>125.3010881537696</v>
      </c>
      <c r="T393" s="998">
        <f t="shared" si="98"/>
        <v>-112187.04642651661</v>
      </c>
      <c r="U393" s="584">
        <v>44222</v>
      </c>
      <c r="V393" s="561" t="s">
        <v>1656</v>
      </c>
      <c r="W393" s="819">
        <v>44216.554416666666</v>
      </c>
      <c r="X393" s="971">
        <f t="shared" si="95"/>
        <v>5.9998305922313963E-2</v>
      </c>
      <c r="Y393" s="584" t="s">
        <v>1693</v>
      </c>
      <c r="Z393" s="988" t="str">
        <f>VLOOKUP(AA393,'place of settlement'!A:C,2,FALSE)</f>
        <v>JJSDJPJTXXX</v>
      </c>
      <c r="AA393" s="988" t="str">
        <f t="shared" si="96"/>
        <v>JP</v>
      </c>
      <c r="AB393" s="988" t="str">
        <f t="shared" si="97"/>
        <v>Tavira SecuritiesJP</v>
      </c>
      <c r="AC393" s="988" t="str">
        <f>VLOOKUP(AB393,sample!$1:$1048576,2,FALSE)</f>
        <v>GSILGB2XXXX</v>
      </c>
      <c r="AD393" s="988" t="str">
        <f>VLOOKUP($AB393,sample!$1:$1048576,3,FALSE)</f>
        <v>JJSDJPJTXXX</v>
      </c>
      <c r="AE393" s="986">
        <f>VLOOKUP($AB393,sample!$1:$1048576,4,FALSE)</f>
        <v>6530490016</v>
      </c>
      <c r="AF393" s="988" t="str">
        <f>VLOOKUP($AB393,sample!$1:$1048576,5,FALSE)</f>
        <v>N</v>
      </c>
      <c r="AL393" s="986" t="str">
        <f>VLOOKUP($AB393,sample!$1:$1048576,11,FALSE)</f>
        <v xml:space="preserve">                  </v>
      </c>
      <c r="AM393" s="986" t="str">
        <f>VLOOKUP($AB393,sample!$1:$1048576,12,FALSE)</f>
        <v xml:space="preserve">                          </v>
      </c>
      <c r="AN393" s="986" t="str">
        <f>VLOOKUP($AB393,sample!$1:$1048576,13,FALSE)</f>
        <v>GOLDJPJXXXX</v>
      </c>
      <c r="AP393" s="988"/>
    </row>
    <row r="394" spans="1:42" s="584" customFormat="1">
      <c r="A394" s="929">
        <v>2019200410</v>
      </c>
      <c r="B394" s="816">
        <v>44218</v>
      </c>
      <c r="C394" s="816" t="s">
        <v>133</v>
      </c>
      <c r="D394" s="1133" t="str">
        <f>IFERROR(VLOOKUP(G394,PosAggregate!$B$13:$B$89,1,FALSE),"")</f>
        <v/>
      </c>
      <c r="E394" s="905" t="s">
        <v>12682</v>
      </c>
      <c r="F394" s="1006" t="str">
        <f t="shared" si="83"/>
        <v/>
      </c>
      <c r="G394" s="561" t="s">
        <v>12585</v>
      </c>
      <c r="I394" s="832" t="s">
        <v>12618</v>
      </c>
      <c r="J394" s="832" t="s">
        <v>125</v>
      </c>
      <c r="K394" s="938">
        <v>1089.5999999999999</v>
      </c>
      <c r="L394" s="938"/>
      <c r="M394" s="938">
        <v>4300</v>
      </c>
      <c r="N394" s="985">
        <f t="shared" si="92"/>
        <v>-4685280</v>
      </c>
      <c r="O394" s="817">
        <v>-2811</v>
      </c>
      <c r="P394" s="817"/>
      <c r="R394" s="982">
        <f t="shared" si="93"/>
        <v>-4688091</v>
      </c>
      <c r="S394" s="878">
        <v>125.3010881537696</v>
      </c>
      <c r="T394" s="998">
        <f t="shared" si="98"/>
        <v>-37414.607239857098</v>
      </c>
      <c r="U394" s="584">
        <v>44222</v>
      </c>
      <c r="V394" s="561" t="s">
        <v>1656</v>
      </c>
      <c r="W394" s="819">
        <v>44216.554416666666</v>
      </c>
      <c r="X394" s="971">
        <f t="shared" si="95"/>
        <v>5.9996414301813336E-2</v>
      </c>
      <c r="Y394" s="584" t="s">
        <v>1693</v>
      </c>
      <c r="Z394" s="988" t="str">
        <f>VLOOKUP(AA394,'place of settlement'!A:C,2,FALSE)</f>
        <v>JJSDJPJTXXX</v>
      </c>
      <c r="AA394" s="988" t="str">
        <f t="shared" si="96"/>
        <v>JP</v>
      </c>
      <c r="AB394" s="988" t="str">
        <f t="shared" si="97"/>
        <v>Tavira SecuritiesJP</v>
      </c>
      <c r="AC394" s="988" t="str">
        <f>VLOOKUP(AB394,sample!$1:$1048576,2,FALSE)</f>
        <v>GSILGB2XXXX</v>
      </c>
      <c r="AD394" s="988" t="str">
        <f>VLOOKUP($AB394,sample!$1:$1048576,3,FALSE)</f>
        <v>JJSDJPJTXXX</v>
      </c>
      <c r="AE394" s="986">
        <f>VLOOKUP($AB394,sample!$1:$1048576,4,FALSE)</f>
        <v>6530490016</v>
      </c>
      <c r="AF394" s="988" t="str">
        <f>VLOOKUP($AB394,sample!$1:$1048576,5,FALSE)</f>
        <v>N</v>
      </c>
      <c r="AL394" s="986" t="str">
        <f>VLOOKUP($AB394,sample!$1:$1048576,11,FALSE)</f>
        <v xml:space="preserve">                  </v>
      </c>
      <c r="AM394" s="986" t="str">
        <f>VLOOKUP($AB394,sample!$1:$1048576,12,FALSE)</f>
        <v xml:space="preserve">                          </v>
      </c>
      <c r="AN394" s="986" t="str">
        <f>VLOOKUP($AB394,sample!$1:$1048576,13,FALSE)</f>
        <v>GOLDJPJXXXX</v>
      </c>
      <c r="AP394" s="988"/>
    </row>
    <row r="395" spans="1:42" s="584" customFormat="1">
      <c r="A395" s="929">
        <v>2019200411</v>
      </c>
      <c r="B395" s="816">
        <v>44218</v>
      </c>
      <c r="C395" s="816" t="s">
        <v>133</v>
      </c>
      <c r="D395" s="1133" t="str">
        <f>IFERROR(VLOOKUP(G395,PosAggregate!$B$13:$B$89,1,FALSE),"")</f>
        <v/>
      </c>
      <c r="E395" s="905" t="s">
        <v>12683</v>
      </c>
      <c r="F395" s="1006" t="str">
        <f t="shared" si="83"/>
        <v/>
      </c>
      <c r="G395" s="561" t="s">
        <v>12586</v>
      </c>
      <c r="I395" s="832" t="s">
        <v>12619</v>
      </c>
      <c r="J395" s="832" t="s">
        <v>125</v>
      </c>
      <c r="K395" s="938">
        <v>903.14359000000002</v>
      </c>
      <c r="L395" s="938"/>
      <c r="M395" s="938">
        <v>3900</v>
      </c>
      <c r="N395" s="985">
        <f t="shared" si="92"/>
        <v>-3522260.0010000002</v>
      </c>
      <c r="O395" s="817">
        <v>-2113</v>
      </c>
      <c r="P395" s="817"/>
      <c r="R395" s="982">
        <f t="shared" si="93"/>
        <v>-3524373.0010000002</v>
      </c>
      <c r="S395" s="878">
        <v>125.3010881537696</v>
      </c>
      <c r="T395" s="998">
        <f t="shared" si="98"/>
        <v>-28127.233792853312</v>
      </c>
      <c r="U395" s="584">
        <v>44222</v>
      </c>
      <c r="V395" s="561" t="s">
        <v>1656</v>
      </c>
      <c r="W395" s="819">
        <v>44216.554416666666</v>
      </c>
      <c r="X395" s="971">
        <f t="shared" si="95"/>
        <v>5.9989892835852578E-2</v>
      </c>
      <c r="Y395" s="584" t="s">
        <v>1693</v>
      </c>
      <c r="Z395" s="988" t="str">
        <f>VLOOKUP(AA395,'place of settlement'!A:C,2,FALSE)</f>
        <v>JJSDJPJTXXX</v>
      </c>
      <c r="AA395" s="988" t="str">
        <f t="shared" si="96"/>
        <v>JP</v>
      </c>
      <c r="AB395" s="988" t="str">
        <f t="shared" si="97"/>
        <v>Tavira SecuritiesJP</v>
      </c>
      <c r="AC395" s="988" t="str">
        <f>VLOOKUP(AB395,sample!$1:$1048576,2,FALSE)</f>
        <v>GSILGB2XXXX</v>
      </c>
      <c r="AD395" s="988" t="str">
        <f>VLOOKUP($AB395,sample!$1:$1048576,3,FALSE)</f>
        <v>JJSDJPJTXXX</v>
      </c>
      <c r="AE395" s="986">
        <f>VLOOKUP($AB395,sample!$1:$1048576,4,FALSE)</f>
        <v>6530490016</v>
      </c>
      <c r="AF395" s="988" t="str">
        <f>VLOOKUP($AB395,sample!$1:$1048576,5,FALSE)</f>
        <v>N</v>
      </c>
      <c r="AL395" s="986" t="str">
        <f>VLOOKUP($AB395,sample!$1:$1048576,11,FALSE)</f>
        <v xml:space="preserve">                  </v>
      </c>
      <c r="AM395" s="986" t="str">
        <f>VLOOKUP($AB395,sample!$1:$1048576,12,FALSE)</f>
        <v xml:space="preserve">                          </v>
      </c>
      <c r="AN395" s="986" t="str">
        <f>VLOOKUP($AB395,sample!$1:$1048576,13,FALSE)</f>
        <v>GOLDJPJXXXX</v>
      </c>
      <c r="AP395" s="988"/>
    </row>
    <row r="396" spans="1:42" s="584" customFormat="1">
      <c r="A396" s="929">
        <v>2019200412</v>
      </c>
      <c r="B396" s="816">
        <v>44218</v>
      </c>
      <c r="C396" s="816" t="s">
        <v>133</v>
      </c>
      <c r="D396" s="1133" t="str">
        <f>IFERROR(VLOOKUP(G396,PosAggregate!$B$13:$B$89,1,FALSE),"")</f>
        <v/>
      </c>
      <c r="E396" s="905" t="s">
        <v>12673</v>
      </c>
      <c r="F396" s="1006" t="str">
        <f t="shared" ref="F396:F459" si="99">IF(D396=G396,"YES","")</f>
        <v/>
      </c>
      <c r="G396" s="561" t="s">
        <v>2098</v>
      </c>
      <c r="I396" s="832" t="s">
        <v>12610</v>
      </c>
      <c r="J396" s="832" t="s">
        <v>123</v>
      </c>
      <c r="K396" s="938">
        <v>40127.031300000002</v>
      </c>
      <c r="L396" s="938"/>
      <c r="M396" s="938">
        <v>3200</v>
      </c>
      <c r="N396" s="985">
        <f t="shared" si="92"/>
        <v>-128406500.16000001</v>
      </c>
      <c r="O396" s="817">
        <v>-192610</v>
      </c>
      <c r="R396" s="982">
        <f t="shared" si="93"/>
        <v>-128599110.16000001</v>
      </c>
      <c r="S396" s="878">
        <v>1337.6792381693695</v>
      </c>
      <c r="T396" s="998">
        <f t="shared" si="98"/>
        <v>-96135.984240877864</v>
      </c>
      <c r="U396" s="584">
        <v>44222</v>
      </c>
      <c r="V396" s="561" t="s">
        <v>1184</v>
      </c>
      <c r="W396" s="819">
        <v>44216.554416666666</v>
      </c>
      <c r="X396" s="971">
        <f t="shared" si="95"/>
        <v>0.15000019450728713</v>
      </c>
      <c r="Y396" s="584" t="s">
        <v>1693</v>
      </c>
      <c r="Z396" s="988" t="str">
        <f>VLOOKUP(AA396,'place of settlement'!A:C,2,FALSE)</f>
        <v>KSDCKRSEXXX</v>
      </c>
      <c r="AA396" s="988" t="str">
        <f t="shared" si="96"/>
        <v>KR</v>
      </c>
      <c r="AB396" s="988" t="str">
        <f t="shared" si="97"/>
        <v>SamsungKR</v>
      </c>
      <c r="AC396" s="988" t="e">
        <f>VLOOKUP(AB396,sample!$1:$1048576,2,FALSE)</f>
        <v>#N/A</v>
      </c>
      <c r="AD396" s="988" t="e">
        <f>VLOOKUP($AB396,sample!$1:$1048576,3,FALSE)</f>
        <v>#N/A</v>
      </c>
      <c r="AE396" s="986" t="e">
        <f>VLOOKUP($AB396,sample!$1:$1048576,4,FALSE)</f>
        <v>#N/A</v>
      </c>
      <c r="AF396" s="988" t="e">
        <f>VLOOKUP($AB396,sample!$1:$1048576,5,FALSE)</f>
        <v>#N/A</v>
      </c>
      <c r="AL396" s="986" t="e">
        <f>VLOOKUP($AB396,sample!$1:$1048576,11,FALSE)</f>
        <v>#N/A</v>
      </c>
      <c r="AM396" s="986" t="e">
        <f>VLOOKUP($AB396,sample!$1:$1048576,12,FALSE)</f>
        <v>#N/A</v>
      </c>
      <c r="AN396" s="986" t="e">
        <f>VLOOKUP($AB396,sample!$1:$1048576,13,FALSE)</f>
        <v>#N/A</v>
      </c>
      <c r="AP396" s="988"/>
    </row>
    <row r="397" spans="1:42" s="584" customFormat="1">
      <c r="A397" s="929">
        <v>2019200413</v>
      </c>
      <c r="B397" s="816">
        <v>44221</v>
      </c>
      <c r="C397" s="816" t="s">
        <v>133</v>
      </c>
      <c r="D397" s="1133" t="str">
        <f>IFERROR(VLOOKUP(G397,PosAggregate!$B$13:$B$89,1,FALSE),"")</f>
        <v/>
      </c>
      <c r="E397" s="905" t="s">
        <v>12682</v>
      </c>
      <c r="F397" s="1006" t="str">
        <f t="shared" si="99"/>
        <v/>
      </c>
      <c r="G397" s="561" t="s">
        <v>12585</v>
      </c>
      <c r="I397" s="832" t="s">
        <v>12618</v>
      </c>
      <c r="J397" s="832" t="s">
        <v>125</v>
      </c>
      <c r="K397" s="938">
        <v>1095.1904259999999</v>
      </c>
      <c r="L397" s="938"/>
      <c r="M397" s="938">
        <v>9400</v>
      </c>
      <c r="N397" s="985">
        <f t="shared" si="92"/>
        <v>-10294790.004399998</v>
      </c>
      <c r="O397" s="817">
        <v>-6177</v>
      </c>
      <c r="R397" s="982">
        <f t="shared" si="93"/>
        <v>-10300967.004399998</v>
      </c>
      <c r="S397" s="878">
        <v>126.25623555177025</v>
      </c>
      <c r="T397" s="998">
        <f t="shared" si="98"/>
        <v>-81587.78819424074</v>
      </c>
      <c r="U397" s="584">
        <v>44223</v>
      </c>
      <c r="V397" s="561" t="s">
        <v>1656</v>
      </c>
      <c r="W397" s="819">
        <v>44216.554416666666</v>
      </c>
      <c r="X397" s="971">
        <f t="shared" si="95"/>
        <v>6.0001223894415985E-2</v>
      </c>
      <c r="Y397" s="584" t="s">
        <v>1693</v>
      </c>
      <c r="Z397" s="988" t="str">
        <f>VLOOKUP(AA397,'place of settlement'!A:C,2,FALSE)</f>
        <v>JJSDJPJTXXX</v>
      </c>
      <c r="AA397" s="988" t="str">
        <f t="shared" si="96"/>
        <v>JP</v>
      </c>
      <c r="AB397" s="988" t="str">
        <f t="shared" si="97"/>
        <v>Tavira SecuritiesJP</v>
      </c>
      <c r="AC397" s="988" t="str">
        <f>VLOOKUP(AB397,sample!$1:$1048576,2,FALSE)</f>
        <v>GSILGB2XXXX</v>
      </c>
      <c r="AD397" s="988" t="str">
        <f>VLOOKUP($AB397,sample!$1:$1048576,3,FALSE)</f>
        <v>JJSDJPJTXXX</v>
      </c>
      <c r="AE397" s="986">
        <f>VLOOKUP($AB397,sample!$1:$1048576,4,FALSE)</f>
        <v>6530490016</v>
      </c>
      <c r="AF397" s="988" t="str">
        <f>VLOOKUP($AB397,sample!$1:$1048576,5,FALSE)</f>
        <v>N</v>
      </c>
      <c r="AL397" s="986" t="str">
        <f>VLOOKUP($AB397,sample!$1:$1048576,11,FALSE)</f>
        <v xml:space="preserve">                  </v>
      </c>
      <c r="AM397" s="986" t="str">
        <f>VLOOKUP($AB397,sample!$1:$1048576,12,FALSE)</f>
        <v xml:space="preserve">                          </v>
      </c>
      <c r="AN397" s="986" t="str">
        <f>VLOOKUP($AB397,sample!$1:$1048576,13,FALSE)</f>
        <v>GOLDJPJXXXX</v>
      </c>
      <c r="AP397" s="988"/>
    </row>
    <row r="398" spans="1:42" s="584" customFormat="1">
      <c r="A398" s="929">
        <v>2019200414</v>
      </c>
      <c r="B398" s="816">
        <v>44221</v>
      </c>
      <c r="C398" s="816" t="s">
        <v>133</v>
      </c>
      <c r="D398" s="1133" t="str">
        <f>IFERROR(VLOOKUP(G398,PosAggregate!$B$13:$B$89,1,FALSE),"")</f>
        <v/>
      </c>
      <c r="E398" s="905" t="s">
        <v>12683</v>
      </c>
      <c r="F398" s="1006" t="str">
        <f t="shared" si="99"/>
        <v/>
      </c>
      <c r="G398" s="561" t="s">
        <v>12586</v>
      </c>
      <c r="I398" s="832" t="s">
        <v>12619</v>
      </c>
      <c r="J398" s="832" t="s">
        <v>125</v>
      </c>
      <c r="K398" s="938">
        <v>929.54909099999998</v>
      </c>
      <c r="L398" s="938"/>
      <c r="M398" s="938">
        <v>11000</v>
      </c>
      <c r="N398" s="985">
        <f t="shared" si="92"/>
        <v>-10225040.001</v>
      </c>
      <c r="O398" s="817">
        <v>-6135</v>
      </c>
      <c r="R398" s="982">
        <f t="shared" si="93"/>
        <v>-10231175.001</v>
      </c>
      <c r="S398" s="878">
        <v>126.25623555177027</v>
      </c>
      <c r="T398" s="998">
        <f t="shared" si="98"/>
        <v>-81035.007548635447</v>
      </c>
      <c r="U398" s="584">
        <v>44223</v>
      </c>
      <c r="V398" s="561" t="s">
        <v>1656</v>
      </c>
      <c r="W398" s="819">
        <v>44216.554416666666</v>
      </c>
      <c r="X398" s="971">
        <f t="shared" ref="X398:X428" si="100">+O398/N398*100</f>
        <v>5.9999765276223881E-2</v>
      </c>
      <c r="Y398" s="584" t="s">
        <v>1693</v>
      </c>
      <c r="Z398" s="988" t="str">
        <f>VLOOKUP(AA398,'place of settlement'!A:C,2,FALSE)</f>
        <v>JJSDJPJTXXX</v>
      </c>
      <c r="AA398" s="988" t="str">
        <f t="shared" ref="AA398:AA428" si="101">LEFT(E398,2)</f>
        <v>JP</v>
      </c>
      <c r="AB398" s="988" t="str">
        <f t="shared" ref="AB398:AB428" si="102">CONCATENATE(V398,AA398)</f>
        <v>Tavira SecuritiesJP</v>
      </c>
      <c r="AC398" s="988" t="str">
        <f>VLOOKUP(AB398,sample!$1:$1048576,2,FALSE)</f>
        <v>GSILGB2XXXX</v>
      </c>
      <c r="AD398" s="988" t="str">
        <f>VLOOKUP($AB398,sample!$1:$1048576,3,FALSE)</f>
        <v>JJSDJPJTXXX</v>
      </c>
      <c r="AE398" s="986">
        <f>VLOOKUP($AB398,sample!$1:$1048576,4,FALSE)</f>
        <v>6530490016</v>
      </c>
      <c r="AF398" s="988" t="str">
        <f>VLOOKUP($AB398,sample!$1:$1048576,5,FALSE)</f>
        <v>N</v>
      </c>
      <c r="AL398" s="986" t="str">
        <f>VLOOKUP($AB398,sample!$1:$1048576,11,FALSE)</f>
        <v xml:space="preserve">                  </v>
      </c>
      <c r="AM398" s="986" t="str">
        <f>VLOOKUP($AB398,sample!$1:$1048576,12,FALSE)</f>
        <v xml:space="preserve">                          </v>
      </c>
      <c r="AN398" s="986" t="str">
        <f>VLOOKUP($AB398,sample!$1:$1048576,13,FALSE)</f>
        <v>GOLDJPJXXXX</v>
      </c>
      <c r="AP398" s="988"/>
    </row>
    <row r="399" spans="1:42" s="584" customFormat="1">
      <c r="A399" s="929">
        <v>2019200415</v>
      </c>
      <c r="B399" s="816">
        <v>44221</v>
      </c>
      <c r="C399" s="816" t="s">
        <v>133</v>
      </c>
      <c r="D399" s="1133" t="str">
        <f>IFERROR(VLOOKUP(G399,PosAggregate!$B$13:$B$89,1,FALSE),"")</f>
        <v/>
      </c>
      <c r="E399" s="905" t="s">
        <v>12684</v>
      </c>
      <c r="F399" s="1006" t="str">
        <f t="shared" si="99"/>
        <v/>
      </c>
      <c r="G399" s="561" t="s">
        <v>12587</v>
      </c>
      <c r="I399" s="832" t="s">
        <v>12620</v>
      </c>
      <c r="J399" s="832" t="s">
        <v>125</v>
      </c>
      <c r="K399" s="938">
        <v>2185.7746269999998</v>
      </c>
      <c r="L399" s="938"/>
      <c r="M399" s="938">
        <v>6700</v>
      </c>
      <c r="N399" s="985">
        <f t="shared" si="92"/>
        <v>-14644690.000899998</v>
      </c>
      <c r="O399" s="817">
        <v>-8787</v>
      </c>
      <c r="R399" s="982">
        <f t="shared" si="93"/>
        <v>-14653477.000899998</v>
      </c>
      <c r="S399" s="878">
        <v>126.25623555177022</v>
      </c>
      <c r="T399" s="998">
        <f t="shared" si="98"/>
        <v>-116061.41222935064</v>
      </c>
      <c r="U399" s="584">
        <v>44223</v>
      </c>
      <c r="V399" s="561" t="s">
        <v>1656</v>
      </c>
      <c r="W399" s="819">
        <v>44216.554416666666</v>
      </c>
      <c r="X399" s="971">
        <f t="shared" si="100"/>
        <v>6.0001270081237561E-2</v>
      </c>
      <c r="Y399" s="584" t="s">
        <v>1693</v>
      </c>
      <c r="Z399" s="988" t="str">
        <f>VLOOKUP(AA399,'place of settlement'!A:C,2,FALSE)</f>
        <v>JJSDJPJTXXX</v>
      </c>
      <c r="AA399" s="988" t="str">
        <f t="shared" si="101"/>
        <v>JP</v>
      </c>
      <c r="AB399" s="988" t="str">
        <f t="shared" si="102"/>
        <v>Tavira SecuritiesJP</v>
      </c>
      <c r="AC399" s="988" t="str">
        <f>VLOOKUP(AB399,sample!$1:$1048576,2,FALSE)</f>
        <v>GSILGB2XXXX</v>
      </c>
      <c r="AD399" s="988" t="str">
        <f>VLOOKUP($AB399,sample!$1:$1048576,3,FALSE)</f>
        <v>JJSDJPJTXXX</v>
      </c>
      <c r="AE399" s="986">
        <f>VLOOKUP($AB399,sample!$1:$1048576,4,FALSE)</f>
        <v>6530490016</v>
      </c>
      <c r="AF399" s="988" t="str">
        <f>VLOOKUP($AB399,sample!$1:$1048576,5,FALSE)</f>
        <v>N</v>
      </c>
      <c r="AL399" s="986" t="str">
        <f>VLOOKUP($AB399,sample!$1:$1048576,11,FALSE)</f>
        <v xml:space="preserve">                  </v>
      </c>
      <c r="AM399" s="986" t="str">
        <f>VLOOKUP($AB399,sample!$1:$1048576,12,FALSE)</f>
        <v xml:space="preserve">                          </v>
      </c>
      <c r="AN399" s="986" t="str">
        <f>VLOOKUP($AB399,sample!$1:$1048576,13,FALSE)</f>
        <v>GOLDJPJXXXX</v>
      </c>
      <c r="AP399" s="988"/>
    </row>
    <row r="400" spans="1:42" s="584" customFormat="1">
      <c r="A400" s="929">
        <v>2019200416</v>
      </c>
      <c r="B400" s="816">
        <v>44221</v>
      </c>
      <c r="C400" s="816" t="s">
        <v>133</v>
      </c>
      <c r="D400" s="1133" t="str">
        <f>IFERROR(VLOOKUP(G400,PosAggregate!$B$13:$B$89,1,FALSE),"")</f>
        <v/>
      </c>
      <c r="E400" s="905" t="s">
        <v>12685</v>
      </c>
      <c r="F400" s="1006" t="str">
        <f t="shared" si="99"/>
        <v/>
      </c>
      <c r="G400" s="561" t="s">
        <v>12588</v>
      </c>
      <c r="I400" s="832" t="s">
        <v>12621</v>
      </c>
      <c r="J400" s="832" t="s">
        <v>125</v>
      </c>
      <c r="K400" s="938">
        <v>3108.7336359999999</v>
      </c>
      <c r="L400" s="938"/>
      <c r="M400" s="938">
        <v>11000</v>
      </c>
      <c r="N400" s="985">
        <f t="shared" si="92"/>
        <v>-34196069.995999999</v>
      </c>
      <c r="O400" s="817">
        <v>-20518</v>
      </c>
      <c r="R400" s="982">
        <f t="shared" si="93"/>
        <v>-34216587.995999999</v>
      </c>
      <c r="S400" s="878">
        <v>126.25623555177026</v>
      </c>
      <c r="T400" s="998">
        <f t="shared" si="98"/>
        <v>-271009.09389912698</v>
      </c>
      <c r="U400" s="584">
        <v>44223</v>
      </c>
      <c r="V400" s="561" t="s">
        <v>1656</v>
      </c>
      <c r="W400" s="819">
        <v>44216.554416666666</v>
      </c>
      <c r="X400" s="971">
        <f t="shared" si="100"/>
        <v>6.0001046910946321E-2</v>
      </c>
      <c r="Y400" s="584" t="s">
        <v>1693</v>
      </c>
      <c r="Z400" s="988" t="str">
        <f>VLOOKUP(AA400,'place of settlement'!A:C,2,FALSE)</f>
        <v>JJSDJPJTXXX</v>
      </c>
      <c r="AA400" s="988" t="str">
        <f t="shared" si="101"/>
        <v>JP</v>
      </c>
      <c r="AB400" s="988" t="str">
        <f t="shared" si="102"/>
        <v>Tavira SecuritiesJP</v>
      </c>
      <c r="AC400" s="988" t="str">
        <f>VLOOKUP(AB400,sample!$1:$1048576,2,FALSE)</f>
        <v>GSILGB2XXXX</v>
      </c>
      <c r="AD400" s="988" t="str">
        <f>VLOOKUP($AB400,sample!$1:$1048576,3,FALSE)</f>
        <v>JJSDJPJTXXX</v>
      </c>
      <c r="AE400" s="986">
        <f>VLOOKUP($AB400,sample!$1:$1048576,4,FALSE)</f>
        <v>6530490016</v>
      </c>
      <c r="AF400" s="988" t="str">
        <f>VLOOKUP($AB400,sample!$1:$1048576,5,FALSE)</f>
        <v>N</v>
      </c>
      <c r="AL400" s="986" t="str">
        <f>VLOOKUP($AB400,sample!$1:$1048576,11,FALSE)</f>
        <v xml:space="preserve">                  </v>
      </c>
      <c r="AM400" s="986" t="str">
        <f>VLOOKUP($AB400,sample!$1:$1048576,12,FALSE)</f>
        <v xml:space="preserve">                          </v>
      </c>
      <c r="AN400" s="986" t="str">
        <f>VLOOKUP($AB400,sample!$1:$1048576,13,FALSE)</f>
        <v>GOLDJPJXXXX</v>
      </c>
      <c r="AP400" s="988"/>
    </row>
    <row r="401" spans="1:42" s="584" customFormat="1">
      <c r="A401" s="929">
        <v>2019200417</v>
      </c>
      <c r="B401" s="816">
        <v>44221</v>
      </c>
      <c r="C401" s="816" t="s">
        <v>133</v>
      </c>
      <c r="D401" s="1133" t="str">
        <f>IFERROR(VLOOKUP(G401,PosAggregate!$B$13:$B$89,1,FALSE),"")</f>
        <v/>
      </c>
      <c r="E401" s="905" t="s">
        <v>12686</v>
      </c>
      <c r="F401" s="1006" t="str">
        <f t="shared" si="99"/>
        <v/>
      </c>
      <c r="G401" s="561" t="s">
        <v>12589</v>
      </c>
      <c r="I401" s="832" t="s">
        <v>12627</v>
      </c>
      <c r="J401" s="832" t="s">
        <v>125</v>
      </c>
      <c r="K401" s="938">
        <v>3085</v>
      </c>
      <c r="L401" s="938"/>
      <c r="M401" s="938">
        <v>2200</v>
      </c>
      <c r="N401" s="985">
        <f t="shared" si="92"/>
        <v>-6787000</v>
      </c>
      <c r="O401" s="817">
        <v>-4073</v>
      </c>
      <c r="R401" s="982">
        <f t="shared" si="93"/>
        <v>-6791073</v>
      </c>
      <c r="S401" s="878">
        <v>126.25623555177047</v>
      </c>
      <c r="T401" s="998">
        <f t="shared" si="98"/>
        <v>-53788.020610002815</v>
      </c>
      <c r="U401" s="584">
        <v>44223</v>
      </c>
      <c r="V401" s="561" t="s">
        <v>1656</v>
      </c>
      <c r="W401" s="819">
        <v>44216.554416666666</v>
      </c>
      <c r="X401" s="971">
        <f t="shared" si="100"/>
        <v>6.0011787240312364E-2</v>
      </c>
      <c r="Y401" s="584" t="s">
        <v>1693</v>
      </c>
      <c r="Z401" s="988" t="str">
        <f>VLOOKUP(AA401,'place of settlement'!A:C,2,FALSE)</f>
        <v>JJSDJPJTXXX</v>
      </c>
      <c r="AA401" s="988" t="str">
        <f t="shared" si="101"/>
        <v>JP</v>
      </c>
      <c r="AB401" s="988" t="str">
        <f t="shared" si="102"/>
        <v>Tavira SecuritiesJP</v>
      </c>
      <c r="AC401" s="988" t="str">
        <f>VLOOKUP(AB401,sample!$1:$1048576,2,FALSE)</f>
        <v>GSILGB2XXXX</v>
      </c>
      <c r="AD401" s="988" t="str">
        <f>VLOOKUP($AB401,sample!$1:$1048576,3,FALSE)</f>
        <v>JJSDJPJTXXX</v>
      </c>
      <c r="AE401" s="986">
        <f>VLOOKUP($AB401,sample!$1:$1048576,4,FALSE)</f>
        <v>6530490016</v>
      </c>
      <c r="AF401" s="988" t="str">
        <f>VLOOKUP($AB401,sample!$1:$1048576,5,FALSE)</f>
        <v>N</v>
      </c>
      <c r="AL401" s="986" t="str">
        <f>VLOOKUP($AB401,sample!$1:$1048576,11,FALSE)</f>
        <v xml:space="preserve">                  </v>
      </c>
      <c r="AM401" s="986" t="str">
        <f>VLOOKUP($AB401,sample!$1:$1048576,12,FALSE)</f>
        <v xml:space="preserve">                          </v>
      </c>
      <c r="AN401" s="986" t="str">
        <f>VLOOKUP($AB401,sample!$1:$1048576,13,FALSE)</f>
        <v>GOLDJPJXXXX</v>
      </c>
      <c r="AP401" s="988"/>
    </row>
    <row r="402" spans="1:42" s="584" customFormat="1">
      <c r="A402" s="929">
        <v>2019200418</v>
      </c>
      <c r="B402" s="816">
        <v>44221</v>
      </c>
      <c r="C402" s="816" t="s">
        <v>133</v>
      </c>
      <c r="D402" s="1133" t="str">
        <f>IFERROR(VLOOKUP(G402,PosAggregate!$B$13:$B$89,1,FALSE),"")</f>
        <v/>
      </c>
      <c r="E402" s="905" t="s">
        <v>1197</v>
      </c>
      <c r="F402" s="1006" t="str">
        <f t="shared" si="99"/>
        <v/>
      </c>
      <c r="G402" s="561" t="s">
        <v>1146</v>
      </c>
      <c r="I402" s="832" t="s">
        <v>1103</v>
      </c>
      <c r="J402" s="832" t="s">
        <v>125</v>
      </c>
      <c r="K402" s="938">
        <v>1944.8227300000001</v>
      </c>
      <c r="L402" s="938"/>
      <c r="M402" s="938">
        <v>2200</v>
      </c>
      <c r="N402" s="985">
        <f t="shared" si="92"/>
        <v>-4278610.0060000001</v>
      </c>
      <c r="O402" s="817">
        <v>-2567</v>
      </c>
      <c r="R402" s="982">
        <f t="shared" si="93"/>
        <v>-4281177.0060000001</v>
      </c>
      <c r="S402" s="878">
        <v>126.25623555177044</v>
      </c>
      <c r="T402" s="998">
        <f t="shared" si="98"/>
        <v>-33908.638153911495</v>
      </c>
      <c r="U402" s="584">
        <v>44223</v>
      </c>
      <c r="V402" s="561" t="s">
        <v>1656</v>
      </c>
      <c r="W402" s="819">
        <v>44216.554416666666</v>
      </c>
      <c r="X402" s="971">
        <f t="shared" si="100"/>
        <v>5.999612015117603E-2</v>
      </c>
      <c r="Y402" s="584" t="s">
        <v>1693</v>
      </c>
      <c r="Z402" s="988" t="str">
        <f>VLOOKUP(AA402,'place of settlement'!A:C,2,FALSE)</f>
        <v>JJSDJPJTXXX</v>
      </c>
      <c r="AA402" s="988" t="str">
        <f t="shared" si="101"/>
        <v>JP</v>
      </c>
      <c r="AB402" s="988" t="str">
        <f t="shared" si="102"/>
        <v>Tavira SecuritiesJP</v>
      </c>
      <c r="AC402" s="988" t="str">
        <f>VLOOKUP(AB402,sample!$1:$1048576,2,FALSE)</f>
        <v>GSILGB2XXXX</v>
      </c>
      <c r="AD402" s="988" t="str">
        <f>VLOOKUP($AB402,sample!$1:$1048576,3,FALSE)</f>
        <v>JJSDJPJTXXX</v>
      </c>
      <c r="AE402" s="986">
        <f>VLOOKUP($AB402,sample!$1:$1048576,4,FALSE)</f>
        <v>6530490016</v>
      </c>
      <c r="AF402" s="988" t="str">
        <f>VLOOKUP($AB402,sample!$1:$1048576,5,FALSE)</f>
        <v>N</v>
      </c>
      <c r="AL402" s="986" t="str">
        <f>VLOOKUP($AB402,sample!$1:$1048576,11,FALSE)</f>
        <v xml:space="preserve">                  </v>
      </c>
      <c r="AM402" s="986" t="str">
        <f>VLOOKUP($AB402,sample!$1:$1048576,12,FALSE)</f>
        <v xml:space="preserve">                          </v>
      </c>
      <c r="AN402" s="986" t="str">
        <f>VLOOKUP($AB402,sample!$1:$1048576,13,FALSE)</f>
        <v>GOLDJPJXXXX</v>
      </c>
      <c r="AP402" s="988"/>
    </row>
    <row r="403" spans="1:42" s="584" customFormat="1">
      <c r="A403" s="929">
        <v>2019200419</v>
      </c>
      <c r="B403" s="816">
        <v>44221</v>
      </c>
      <c r="C403" s="816" t="s">
        <v>133</v>
      </c>
      <c r="D403" s="1133" t="str">
        <f>IFERROR(VLOOKUP(G403,PosAggregate!$B$13:$B$89,1,FALSE),"")</f>
        <v/>
      </c>
      <c r="E403" s="905" t="s">
        <v>1190</v>
      </c>
      <c r="F403" s="1006" t="str">
        <f t="shared" si="99"/>
        <v/>
      </c>
      <c r="G403" s="561" t="s">
        <v>1590</v>
      </c>
      <c r="I403" s="832" t="s">
        <v>1085</v>
      </c>
      <c r="J403" s="832" t="s">
        <v>125</v>
      </c>
      <c r="K403" s="938">
        <v>2390.181818</v>
      </c>
      <c r="L403" s="938"/>
      <c r="M403" s="938">
        <v>2200</v>
      </c>
      <c r="N403" s="985">
        <f t="shared" si="92"/>
        <v>-5258399.9995999997</v>
      </c>
      <c r="O403" s="817">
        <v>-3155</v>
      </c>
      <c r="R403" s="982">
        <f t="shared" si="93"/>
        <v>-5261554.9995999997</v>
      </c>
      <c r="S403" s="878">
        <v>126.25623555177053</v>
      </c>
      <c r="T403" s="998">
        <f t="shared" si="98"/>
        <v>-41673.624883600576</v>
      </c>
      <c r="U403" s="584">
        <v>44223</v>
      </c>
      <c r="V403" s="561" t="s">
        <v>1656</v>
      </c>
      <c r="W403" s="819">
        <v>44216.554416666666</v>
      </c>
      <c r="X403" s="971">
        <f t="shared" si="100"/>
        <v>5.9999239316902431E-2</v>
      </c>
      <c r="Y403" s="584" t="s">
        <v>1693</v>
      </c>
      <c r="Z403" s="988" t="str">
        <f>VLOOKUP(AA403,'place of settlement'!A:C,2,FALSE)</f>
        <v>JJSDJPJTXXX</v>
      </c>
      <c r="AA403" s="988" t="str">
        <f t="shared" si="101"/>
        <v>JP</v>
      </c>
      <c r="AB403" s="988" t="str">
        <f t="shared" si="102"/>
        <v>Tavira SecuritiesJP</v>
      </c>
      <c r="AC403" s="988" t="str">
        <f>VLOOKUP(AB403,sample!$1:$1048576,2,FALSE)</f>
        <v>GSILGB2XXXX</v>
      </c>
      <c r="AD403" s="988" t="str">
        <f>VLOOKUP($AB403,sample!$1:$1048576,3,FALSE)</f>
        <v>JJSDJPJTXXX</v>
      </c>
      <c r="AE403" s="986">
        <f>VLOOKUP($AB403,sample!$1:$1048576,4,FALSE)</f>
        <v>6530490016</v>
      </c>
      <c r="AF403" s="988" t="str">
        <f>VLOOKUP($AB403,sample!$1:$1048576,5,FALSE)</f>
        <v>N</v>
      </c>
      <c r="AL403" s="986" t="str">
        <f>VLOOKUP($AB403,sample!$1:$1048576,11,FALSE)</f>
        <v xml:space="preserve">                  </v>
      </c>
      <c r="AM403" s="986" t="str">
        <f>VLOOKUP($AB403,sample!$1:$1048576,12,FALSE)</f>
        <v xml:space="preserve">                          </v>
      </c>
      <c r="AN403" s="986" t="str">
        <f>VLOOKUP($AB403,sample!$1:$1048576,13,FALSE)</f>
        <v>GOLDJPJXXXX</v>
      </c>
      <c r="AP403" s="988"/>
    </row>
    <row r="404" spans="1:42" s="584" customFormat="1">
      <c r="A404" s="929">
        <v>2019200420</v>
      </c>
      <c r="B404" s="816">
        <v>44221</v>
      </c>
      <c r="C404" s="816" t="s">
        <v>133</v>
      </c>
      <c r="D404" s="1133" t="str">
        <f>IFERROR(VLOOKUP(G404,PosAggregate!$B$13:$B$89,1,FALSE),"")</f>
        <v/>
      </c>
      <c r="E404" s="905" t="s">
        <v>12687</v>
      </c>
      <c r="F404" s="1006" t="str">
        <f t="shared" si="99"/>
        <v/>
      </c>
      <c r="G404" s="561" t="s">
        <v>12590</v>
      </c>
      <c r="I404" s="832" t="s">
        <v>12622</v>
      </c>
      <c r="J404" s="832" t="s">
        <v>1069</v>
      </c>
      <c r="K404" s="938">
        <v>5.0746000000000002</v>
      </c>
      <c r="L404" s="938"/>
      <c r="M404" s="938">
        <v>42000</v>
      </c>
      <c r="N404" s="985">
        <f t="shared" si="92"/>
        <v>-213133.2</v>
      </c>
      <c r="O404" s="817">
        <v>-127.88</v>
      </c>
      <c r="R404" s="982">
        <f t="shared" si="93"/>
        <v>-213261.08000000002</v>
      </c>
      <c r="S404" s="878">
        <v>1.5768463316705177</v>
      </c>
      <c r="T404" s="998">
        <f t="shared" si="98"/>
        <v>-135245.31573984787</v>
      </c>
      <c r="U404" s="584">
        <v>44224</v>
      </c>
      <c r="V404" s="561" t="s">
        <v>1656</v>
      </c>
      <c r="W404" s="819">
        <v>44216.554416666666</v>
      </c>
      <c r="X404" s="971">
        <f t="shared" si="100"/>
        <v>6.0000037535212714E-2</v>
      </c>
      <c r="Y404" s="584" t="s">
        <v>1693</v>
      </c>
      <c r="Z404" s="988" t="str">
        <f>VLOOKUP(AA404,'place of settlement'!A:C,2,FALSE)</f>
        <v>CAETAU21XXX</v>
      </c>
      <c r="AA404" s="988" t="str">
        <f t="shared" si="101"/>
        <v>AU</v>
      </c>
      <c r="AB404" s="988" t="str">
        <f t="shared" si="102"/>
        <v>Tavira SecuritiesAU</v>
      </c>
      <c r="AC404" s="988" t="str">
        <f>VLOOKUP(AB404,sample!$1:$1048576,2,FALSE)</f>
        <v>GSILGB2XXXX</v>
      </c>
      <c r="AD404" s="988" t="str">
        <f>VLOOKUP($AB404,sample!$1:$1048576,3,FALSE)</f>
        <v>CAETAU21</v>
      </c>
      <c r="AE404" s="986" t="str">
        <f>VLOOKUP($AB404,sample!$1:$1048576,4,FALSE)</f>
        <v>011-109048-061</v>
      </c>
      <c r="AF404" s="988" t="str">
        <f>VLOOKUP($AB404,sample!$1:$1048576,5,FALSE)</f>
        <v>N</v>
      </c>
      <c r="AL404" s="986" t="str">
        <f>VLOOKUP($AB404,sample!$1:$1048576,11,FALSE)</f>
        <v xml:space="preserve">        </v>
      </c>
      <c r="AM404" s="986" t="str">
        <f>VLOOKUP($AB404,sample!$1:$1048576,12,FALSE)</f>
        <v xml:space="preserve">        </v>
      </c>
      <c r="AN404" s="986" t="str">
        <f>VLOOKUP($AB404,sample!$1:$1048576,13,FALSE)</f>
        <v>HKBAAU2SSYD</v>
      </c>
      <c r="AP404" s="988"/>
    </row>
    <row r="405" spans="1:42" s="584" customFormat="1">
      <c r="A405" s="929">
        <v>2019200421</v>
      </c>
      <c r="B405" s="816">
        <v>44221</v>
      </c>
      <c r="C405" s="816" t="s">
        <v>133</v>
      </c>
      <c r="D405" s="1133" t="str">
        <f>IFERROR(VLOOKUP(G405,PosAggregate!$B$13:$B$89,1,FALSE),"")</f>
        <v/>
      </c>
      <c r="E405" s="905" t="s">
        <v>1611</v>
      </c>
      <c r="F405" s="1006" t="str">
        <f t="shared" si="99"/>
        <v/>
      </c>
      <c r="G405" s="561" t="s">
        <v>1601</v>
      </c>
      <c r="I405" s="832" t="s">
        <v>1602</v>
      </c>
      <c r="J405" s="832" t="s">
        <v>1065</v>
      </c>
      <c r="K405" s="938">
        <v>2.9624999999999999</v>
      </c>
      <c r="L405" s="938"/>
      <c r="M405" s="938">
        <v>430000</v>
      </c>
      <c r="N405" s="985">
        <f t="shared" si="92"/>
        <v>-1273875</v>
      </c>
      <c r="O405" s="817">
        <v>-764.33</v>
      </c>
      <c r="P405" s="817">
        <v>-1372.05</v>
      </c>
      <c r="R405" s="982">
        <f t="shared" si="93"/>
        <v>-1276011.3800000001</v>
      </c>
      <c r="S405" s="878">
        <v>9.4316826864582026</v>
      </c>
      <c r="T405" s="998">
        <f t="shared" si="98"/>
        <v>-135289.8970861338</v>
      </c>
      <c r="U405" s="584">
        <v>44223</v>
      </c>
      <c r="V405" s="561" t="s">
        <v>1656</v>
      </c>
      <c r="W405" s="819">
        <v>44216.554416666666</v>
      </c>
      <c r="X405" s="971">
        <f t="shared" si="100"/>
        <v>6.0000392503189094E-2</v>
      </c>
      <c r="Y405" s="584" t="s">
        <v>1693</v>
      </c>
      <c r="Z405" s="988" t="str">
        <f>VLOOKUP(AA405,'place of settlement'!A:C,2,FALSE)</f>
        <v>XHKCHKH1XXX</v>
      </c>
      <c r="AA405" s="988" t="str">
        <f t="shared" si="101"/>
        <v>CN</v>
      </c>
      <c r="AB405" s="988" t="str">
        <f t="shared" si="102"/>
        <v>Tavira SecuritiesCN</v>
      </c>
      <c r="AC405" s="988" t="e">
        <f>VLOOKUP(AB405,sample!$1:$1048576,2,FALSE)</f>
        <v>#N/A</v>
      </c>
      <c r="AD405" s="988" t="e">
        <f>VLOOKUP($AB405,sample!$1:$1048576,3,FALSE)</f>
        <v>#N/A</v>
      </c>
      <c r="AE405" s="986" t="e">
        <f>VLOOKUP($AB405,sample!$1:$1048576,4,FALSE)</f>
        <v>#N/A</v>
      </c>
      <c r="AF405" s="988" t="e">
        <f>VLOOKUP($AB405,sample!$1:$1048576,5,FALSE)</f>
        <v>#N/A</v>
      </c>
      <c r="AL405" s="986" t="e">
        <f>VLOOKUP($AB405,sample!$1:$1048576,11,FALSE)</f>
        <v>#N/A</v>
      </c>
      <c r="AM405" s="986" t="e">
        <f>VLOOKUP($AB405,sample!$1:$1048576,12,FALSE)</f>
        <v>#N/A</v>
      </c>
      <c r="AN405" s="986" t="e">
        <f>VLOOKUP($AB405,sample!$1:$1048576,13,FALSE)</f>
        <v>#N/A</v>
      </c>
      <c r="AP405" s="988"/>
    </row>
    <row r="406" spans="1:42" s="584" customFormat="1">
      <c r="A406" s="929">
        <v>2019200422</v>
      </c>
      <c r="B406" s="816">
        <v>44222</v>
      </c>
      <c r="C406" s="816" t="s">
        <v>134</v>
      </c>
      <c r="D406" s="1133" t="str">
        <f>IFERROR(VLOOKUP(G406,PosAggregate!$B$13:$B$89,1,FALSE),"")</f>
        <v/>
      </c>
      <c r="E406" s="905" t="s">
        <v>1208</v>
      </c>
      <c r="F406" s="1006" t="str">
        <f t="shared" si="99"/>
        <v/>
      </c>
      <c r="G406" s="561" t="s">
        <v>1652</v>
      </c>
      <c r="I406" s="832" t="s">
        <v>1082</v>
      </c>
      <c r="J406" s="832" t="s">
        <v>123</v>
      </c>
      <c r="K406" s="938">
        <v>551103.33330000006</v>
      </c>
      <c r="L406" s="938"/>
      <c r="M406" s="938">
        <v>-300</v>
      </c>
      <c r="N406" s="985">
        <f t="shared" si="92"/>
        <v>165330999.99000001</v>
      </c>
      <c r="O406" s="817">
        <v>-247997</v>
      </c>
      <c r="P406" s="817">
        <v>-380254</v>
      </c>
      <c r="R406" s="982">
        <f t="shared" si="93"/>
        <v>164702748.99000001</v>
      </c>
      <c r="S406" s="878">
        <v>1338.1962059883724</v>
      </c>
      <c r="T406" s="998">
        <f t="shared" si="98"/>
        <v>123078.17661786967</v>
      </c>
      <c r="U406" s="584">
        <v>44224</v>
      </c>
      <c r="V406" s="561" t="s">
        <v>1184</v>
      </c>
      <c r="W406" s="819">
        <v>44216.554416666666</v>
      </c>
      <c r="X406" s="971">
        <f t="shared" si="100"/>
        <v>-0.15000030243269563</v>
      </c>
      <c r="Y406" s="584" t="s">
        <v>1693</v>
      </c>
      <c r="Z406" s="988" t="str">
        <f>VLOOKUP(AA406,'place of settlement'!A:C,2,FALSE)</f>
        <v>KSDCKRSEXXX</v>
      </c>
      <c r="AA406" s="988" t="str">
        <f t="shared" si="101"/>
        <v>KR</v>
      </c>
      <c r="AB406" s="988" t="str">
        <f t="shared" si="102"/>
        <v>SamsungKR</v>
      </c>
      <c r="AC406" s="988" t="e">
        <f>VLOOKUP(AB406,sample!$1:$1048576,2,FALSE)</f>
        <v>#N/A</v>
      </c>
      <c r="AD406" s="988" t="e">
        <f>VLOOKUP($AB406,sample!$1:$1048576,3,FALSE)</f>
        <v>#N/A</v>
      </c>
      <c r="AE406" s="986" t="e">
        <f>VLOOKUP($AB406,sample!$1:$1048576,4,FALSE)</f>
        <v>#N/A</v>
      </c>
      <c r="AF406" s="988" t="e">
        <f>VLOOKUP($AB406,sample!$1:$1048576,5,FALSE)</f>
        <v>#N/A</v>
      </c>
      <c r="AL406" s="986" t="e">
        <f>VLOOKUP($AB406,sample!$1:$1048576,11,FALSE)</f>
        <v>#N/A</v>
      </c>
      <c r="AM406" s="986" t="e">
        <f>VLOOKUP($AB406,sample!$1:$1048576,12,FALSE)</f>
        <v>#N/A</v>
      </c>
      <c r="AN406" s="986" t="e">
        <f>VLOOKUP($AB406,sample!$1:$1048576,13,FALSE)</f>
        <v>#N/A</v>
      </c>
      <c r="AP406" s="988"/>
    </row>
    <row r="407" spans="1:42" s="584" customFormat="1">
      <c r="A407" s="929">
        <v>2019200423</v>
      </c>
      <c r="B407" s="816">
        <v>44223</v>
      </c>
      <c r="C407" s="816" t="s">
        <v>134</v>
      </c>
      <c r="D407" s="1133" t="str">
        <f>IFERROR(VLOOKUP(G407,PosAggregate!$B$13:$B$89,1,FALSE),"")</f>
        <v/>
      </c>
      <c r="E407" s="905" t="s">
        <v>1208</v>
      </c>
      <c r="F407" s="1006" t="str">
        <f t="shared" si="99"/>
        <v/>
      </c>
      <c r="G407" s="561" t="s">
        <v>1652</v>
      </c>
      <c r="I407" s="832" t="s">
        <v>1082</v>
      </c>
      <c r="J407" s="832" t="s">
        <v>123</v>
      </c>
      <c r="K407" s="938">
        <v>605356.66666700004</v>
      </c>
      <c r="L407" s="938"/>
      <c r="M407" s="938">
        <v>-300</v>
      </c>
      <c r="N407" s="985">
        <f t="shared" ref="N407:N468" si="103">-K407*M407</f>
        <v>181607000.00010002</v>
      </c>
      <c r="O407" s="817">
        <v>-272411</v>
      </c>
      <c r="P407" s="817">
        <v>-417664</v>
      </c>
      <c r="R407" s="982">
        <f t="shared" si="93"/>
        <v>180916925.00010002</v>
      </c>
      <c r="S407" s="878">
        <v>1338.1962059883724</v>
      </c>
      <c r="T407" s="998">
        <f t="shared" si="98"/>
        <v>135194.61809150578</v>
      </c>
      <c r="U407" s="584">
        <v>44225</v>
      </c>
      <c r="V407" s="561" t="s">
        <v>1184</v>
      </c>
      <c r="W407" s="819">
        <v>44216.554416666666</v>
      </c>
      <c r="X407" s="971">
        <f t="shared" ref="X407:X412" si="104">+O407/N407*100</f>
        <v>-0.15000027531970134</v>
      </c>
      <c r="Y407" s="584" t="s">
        <v>1693</v>
      </c>
      <c r="Z407" s="988" t="str">
        <f>VLOOKUP(AA407,'place of settlement'!A:C,2,FALSE)</f>
        <v>KSDCKRSEXXX</v>
      </c>
      <c r="AA407" s="988" t="str">
        <f t="shared" si="101"/>
        <v>KR</v>
      </c>
      <c r="AB407" s="988" t="str">
        <f t="shared" ref="AB407:AB412" si="105">CONCATENATE(V407,AA407)</f>
        <v>SamsungKR</v>
      </c>
      <c r="AC407" s="988" t="e">
        <f>VLOOKUP(AB407,sample!$1:$1048576,2,FALSE)</f>
        <v>#N/A</v>
      </c>
      <c r="AD407" s="988" t="e">
        <f>VLOOKUP($AB407,sample!$1:$1048576,3,FALSE)</f>
        <v>#N/A</v>
      </c>
      <c r="AE407" s="986" t="e">
        <f>VLOOKUP($AB407,sample!$1:$1048576,4,FALSE)</f>
        <v>#N/A</v>
      </c>
      <c r="AF407" s="988" t="e">
        <f>VLOOKUP($AB407,sample!$1:$1048576,5,FALSE)</f>
        <v>#N/A</v>
      </c>
      <c r="AL407" s="986" t="e">
        <f>VLOOKUP($AB407,sample!$1:$1048576,11,FALSE)</f>
        <v>#N/A</v>
      </c>
      <c r="AM407" s="986" t="e">
        <f>VLOOKUP($AB407,sample!$1:$1048576,12,FALSE)</f>
        <v>#N/A</v>
      </c>
      <c r="AN407" s="986" t="e">
        <f>VLOOKUP($AB407,sample!$1:$1048576,13,FALSE)</f>
        <v>#N/A</v>
      </c>
      <c r="AP407" s="988"/>
    </row>
    <row r="408" spans="1:42" s="584" customFormat="1">
      <c r="A408" s="929">
        <v>2019200424</v>
      </c>
      <c r="B408" s="816">
        <v>44225</v>
      </c>
      <c r="C408" s="816" t="s">
        <v>133</v>
      </c>
      <c r="D408" s="1133" t="str">
        <f>IFERROR(VLOOKUP(G408,PosAggregate!$B$13:$B$89,1,FALSE),"")</f>
        <v/>
      </c>
      <c r="E408" s="905" t="s">
        <v>1654</v>
      </c>
      <c r="F408" s="1006" t="str">
        <f t="shared" si="99"/>
        <v/>
      </c>
      <c r="G408" s="561" t="s">
        <v>1647</v>
      </c>
      <c r="I408" s="832" t="s">
        <v>1655</v>
      </c>
      <c r="J408" s="832" t="s">
        <v>1069</v>
      </c>
      <c r="K408" s="938">
        <v>2.3704670000000001</v>
      </c>
      <c r="L408" s="938"/>
      <c r="M408" s="938">
        <v>61726</v>
      </c>
      <c r="N408" s="985">
        <f t="shared" si="103"/>
        <v>-146319.446042</v>
      </c>
      <c r="O408" s="817">
        <v>-87.79</v>
      </c>
      <c r="P408" s="817"/>
      <c r="R408" s="982">
        <f t="shared" si="93"/>
        <v>-146407.236042</v>
      </c>
      <c r="S408" s="878">
        <v>1.5784657155670876</v>
      </c>
      <c r="T408" s="998">
        <f t="shared" si="98"/>
        <v>-92752.876795553966</v>
      </c>
      <c r="U408" s="584">
        <v>44229</v>
      </c>
      <c r="V408" s="561" t="s">
        <v>1656</v>
      </c>
      <c r="W408" s="819">
        <v>44216.554416666666</v>
      </c>
      <c r="X408" s="971">
        <f t="shared" si="104"/>
        <v>5.9998860284640826E-2</v>
      </c>
      <c r="Y408" s="584" t="s">
        <v>1693</v>
      </c>
      <c r="Z408" s="988" t="str">
        <f>VLOOKUP(AA408,'place of settlement'!A:C,2,FALSE)</f>
        <v>CAETAU21XXX</v>
      </c>
      <c r="AA408" s="988" t="str">
        <f t="shared" si="101"/>
        <v>AU</v>
      </c>
      <c r="AB408" s="988" t="str">
        <f t="shared" si="105"/>
        <v>Tavira SecuritiesAU</v>
      </c>
      <c r="AC408" s="988" t="str">
        <f>VLOOKUP(AB408,sample!$1:$1048576,2,FALSE)</f>
        <v>GSILGB2XXXX</v>
      </c>
      <c r="AD408" s="988" t="str">
        <f>VLOOKUP($AB408,sample!$1:$1048576,3,FALSE)</f>
        <v>CAETAU21</v>
      </c>
      <c r="AE408" s="986" t="str">
        <f>VLOOKUP($AB408,sample!$1:$1048576,4,FALSE)</f>
        <v>011-109048-061</v>
      </c>
      <c r="AF408" s="988" t="str">
        <f>VLOOKUP($AB408,sample!$1:$1048576,5,FALSE)</f>
        <v>N</v>
      </c>
      <c r="AL408" s="986" t="str">
        <f>VLOOKUP($AB408,sample!$1:$1048576,11,FALSE)</f>
        <v xml:space="preserve">        </v>
      </c>
      <c r="AM408" s="986" t="str">
        <f>VLOOKUP($AB408,sample!$1:$1048576,12,FALSE)</f>
        <v xml:space="preserve">        </v>
      </c>
      <c r="AN408" s="986" t="str">
        <f>VLOOKUP($AB408,sample!$1:$1048576,13,FALSE)</f>
        <v>HKBAAU2SSYD</v>
      </c>
      <c r="AP408" s="988"/>
    </row>
    <row r="409" spans="1:42" s="584" customFormat="1">
      <c r="A409" s="929">
        <v>2019200425</v>
      </c>
      <c r="B409" s="816">
        <v>44228</v>
      </c>
      <c r="C409" s="816" t="s">
        <v>134</v>
      </c>
      <c r="D409" s="1133" t="str">
        <f>IFERROR(VLOOKUP(G409,PosAggregate!$B$13:$B$89,1,FALSE),"")</f>
        <v/>
      </c>
      <c r="E409" s="905" t="s">
        <v>1209</v>
      </c>
      <c r="F409" s="1006" t="str">
        <f t="shared" si="99"/>
        <v/>
      </c>
      <c r="G409" s="561" t="s">
        <v>1159</v>
      </c>
      <c r="I409" s="832" t="s">
        <v>1102</v>
      </c>
      <c r="J409" s="832" t="s">
        <v>123</v>
      </c>
      <c r="K409" s="938">
        <v>199226.81820000001</v>
      </c>
      <c r="L409" s="938"/>
      <c r="M409" s="938">
        <v>-1100</v>
      </c>
      <c r="N409" s="985">
        <f t="shared" si="103"/>
        <v>219149500.02000001</v>
      </c>
      <c r="O409" s="817">
        <v>-328724</v>
      </c>
      <c r="P409" s="817">
        <v>-504012</v>
      </c>
      <c r="R409" s="982">
        <f t="shared" si="93"/>
        <v>218316764.02000001</v>
      </c>
      <c r="S409" s="878">
        <v>1356.3756841709244</v>
      </c>
      <c r="T409" s="998">
        <f t="shared" si="98"/>
        <v>160955.97006624658</v>
      </c>
      <c r="U409" s="584">
        <v>44230</v>
      </c>
      <c r="V409" s="561" t="s">
        <v>1184</v>
      </c>
      <c r="W409" s="819">
        <v>44216.554416666666</v>
      </c>
      <c r="X409" s="971">
        <f t="shared" si="104"/>
        <v>-0.14999988590893432</v>
      </c>
      <c r="Y409" s="584" t="s">
        <v>1693</v>
      </c>
      <c r="Z409" s="988" t="str">
        <f>VLOOKUP(AA409,'place of settlement'!A:C,2,FALSE)</f>
        <v>KSDCKRSEXXX</v>
      </c>
      <c r="AA409" s="988" t="str">
        <f t="shared" si="101"/>
        <v>KR</v>
      </c>
      <c r="AB409" s="988" t="str">
        <f t="shared" si="105"/>
        <v>SamsungKR</v>
      </c>
      <c r="AC409" s="988" t="e">
        <f>VLOOKUP(AB409,sample!$1:$1048576,2,FALSE)</f>
        <v>#N/A</v>
      </c>
      <c r="AD409" s="988" t="e">
        <f>VLOOKUP($AB409,sample!$1:$1048576,3,FALSE)</f>
        <v>#N/A</v>
      </c>
      <c r="AE409" s="986" t="e">
        <f>VLOOKUP($AB409,sample!$1:$1048576,4,FALSE)</f>
        <v>#N/A</v>
      </c>
      <c r="AF409" s="988" t="e">
        <f>VLOOKUP($AB409,sample!$1:$1048576,5,FALSE)</f>
        <v>#N/A</v>
      </c>
      <c r="AL409" s="986" t="e">
        <f>VLOOKUP($AB409,sample!$1:$1048576,11,FALSE)</f>
        <v>#N/A</v>
      </c>
      <c r="AM409" s="986" t="e">
        <f>VLOOKUP($AB409,sample!$1:$1048576,12,FALSE)</f>
        <v>#N/A</v>
      </c>
      <c r="AN409" s="986" t="e">
        <f>VLOOKUP($AB409,sample!$1:$1048576,13,FALSE)</f>
        <v>#N/A</v>
      </c>
      <c r="AP409" s="988"/>
    </row>
    <row r="410" spans="1:42" s="584" customFormat="1">
      <c r="A410" s="929">
        <v>2019200426</v>
      </c>
      <c r="B410" s="816">
        <v>44230</v>
      </c>
      <c r="C410" s="816" t="s">
        <v>134</v>
      </c>
      <c r="D410" s="1133" t="str">
        <f>IFERROR(VLOOKUP(G410,PosAggregate!$B$13:$B$89,1,FALSE),"")</f>
        <v/>
      </c>
      <c r="E410" s="905" t="s">
        <v>1209</v>
      </c>
      <c r="F410" s="1006" t="str">
        <f t="shared" si="99"/>
        <v/>
      </c>
      <c r="G410" s="561" t="s">
        <v>1159</v>
      </c>
      <c r="I410" s="832" t="s">
        <v>1102</v>
      </c>
      <c r="J410" s="832" t="s">
        <v>123</v>
      </c>
      <c r="K410" s="938">
        <v>230827.7273</v>
      </c>
      <c r="L410" s="938"/>
      <c r="M410" s="938">
        <v>-1100</v>
      </c>
      <c r="N410" s="985">
        <f t="shared" si="103"/>
        <v>253910500.03</v>
      </c>
      <c r="O410" s="817">
        <v>-380866</v>
      </c>
      <c r="P410" s="817">
        <v>-583910</v>
      </c>
      <c r="R410" s="982">
        <f t="shared" si="93"/>
        <v>252945724.03</v>
      </c>
      <c r="S410" s="878">
        <v>1343.1234420721817</v>
      </c>
      <c r="T410" s="998">
        <f t="shared" si="98"/>
        <v>188326.49040787591</v>
      </c>
      <c r="U410" s="584">
        <v>44232</v>
      </c>
      <c r="V410" s="561" t="s">
        <v>1114</v>
      </c>
      <c r="W410" s="819">
        <v>44216.554416666666</v>
      </c>
      <c r="X410" s="971">
        <f t="shared" si="104"/>
        <v>-0.15000009844216761</v>
      </c>
      <c r="Y410" s="584" t="s">
        <v>1693</v>
      </c>
      <c r="Z410" s="988" t="str">
        <f>VLOOKUP(AA410,'place of settlement'!A:C,2,FALSE)</f>
        <v>KSDCKRSEXXX</v>
      </c>
      <c r="AA410" s="988" t="str">
        <f t="shared" si="101"/>
        <v>KR</v>
      </c>
      <c r="AB410" s="584" t="s">
        <v>1902</v>
      </c>
      <c r="AC410" s="988" t="e">
        <f>VLOOKUP(AB410,sample!$1:$1048576,2,FALSE)</f>
        <v>#N/A</v>
      </c>
      <c r="AD410" s="988" t="e">
        <f>VLOOKUP($AB410,sample!$1:$1048576,3,FALSE)</f>
        <v>#N/A</v>
      </c>
      <c r="AE410" s="986" t="e">
        <f>VLOOKUP($AB410,sample!$1:$1048576,4,FALSE)</f>
        <v>#N/A</v>
      </c>
      <c r="AF410" s="988" t="e">
        <f>VLOOKUP($AB410,sample!$1:$1048576,5,FALSE)</f>
        <v>#N/A</v>
      </c>
      <c r="AL410" s="986" t="e">
        <f>VLOOKUP($AB410,sample!$1:$1048576,11,FALSE)</f>
        <v>#N/A</v>
      </c>
      <c r="AM410" s="986" t="e">
        <f>VLOOKUP($AB410,sample!$1:$1048576,12,FALSE)</f>
        <v>#N/A</v>
      </c>
      <c r="AN410" s="986" t="e">
        <f>VLOOKUP($AB410,sample!$1:$1048576,13,FALSE)</f>
        <v>#N/A</v>
      </c>
      <c r="AP410" s="988"/>
    </row>
    <row r="411" spans="1:42" s="584" customFormat="1">
      <c r="A411" s="929">
        <v>2019200427</v>
      </c>
      <c r="B411" s="816">
        <v>44231</v>
      </c>
      <c r="C411" s="816" t="s">
        <v>133</v>
      </c>
      <c r="D411" s="1133" t="str">
        <f>IFERROR(VLOOKUP(G411,PosAggregate!$B$13:$B$89,1,FALSE),"")</f>
        <v/>
      </c>
      <c r="E411" s="905" t="s">
        <v>1190</v>
      </c>
      <c r="F411" s="1006" t="str">
        <f t="shared" si="99"/>
        <v/>
      </c>
      <c r="G411" s="561" t="s">
        <v>1139</v>
      </c>
      <c r="I411" s="832" t="s">
        <v>1085</v>
      </c>
      <c r="J411" s="832" t="s">
        <v>125</v>
      </c>
      <c r="K411" s="938">
        <v>2215.882353</v>
      </c>
      <c r="L411" s="938"/>
      <c r="M411" s="938">
        <v>3400</v>
      </c>
      <c r="N411" s="985">
        <f t="shared" si="103"/>
        <v>-7534000.0001999997</v>
      </c>
      <c r="O411" s="817">
        <v>-4520</v>
      </c>
      <c r="P411" s="817"/>
      <c r="R411" s="982">
        <f t="shared" si="93"/>
        <v>-7538520.0001999997</v>
      </c>
      <c r="S411" s="878">
        <v>126.36886567667064</v>
      </c>
      <c r="T411" s="998">
        <f t="shared" si="98"/>
        <v>-59654.883818362156</v>
      </c>
      <c r="U411" s="584">
        <v>44235</v>
      </c>
      <c r="V411" s="561" t="s">
        <v>1656</v>
      </c>
      <c r="W411" s="819">
        <v>44216.554416666666</v>
      </c>
      <c r="X411" s="971">
        <f t="shared" si="104"/>
        <v>5.9994690733740516E-2</v>
      </c>
      <c r="Y411" s="584" t="s">
        <v>1693</v>
      </c>
      <c r="Z411" s="988" t="str">
        <f>VLOOKUP(AA411,'place of settlement'!A:C,2,FALSE)</f>
        <v>JJSDJPJTXXX</v>
      </c>
      <c r="AA411" s="988" t="str">
        <f t="shared" si="101"/>
        <v>JP</v>
      </c>
      <c r="AB411" s="988" t="str">
        <f t="shared" si="105"/>
        <v>Tavira SecuritiesJP</v>
      </c>
      <c r="AC411" s="988" t="str">
        <f>VLOOKUP(AB411,sample!$1:$1048576,2,FALSE)</f>
        <v>GSILGB2XXXX</v>
      </c>
      <c r="AD411" s="988" t="str">
        <f>VLOOKUP($AB411,sample!$1:$1048576,3,FALSE)</f>
        <v>JJSDJPJTXXX</v>
      </c>
      <c r="AE411" s="986">
        <f>VLOOKUP($AB411,sample!$1:$1048576,4,FALSE)</f>
        <v>6530490016</v>
      </c>
      <c r="AF411" s="988" t="str">
        <f>VLOOKUP($AB411,sample!$1:$1048576,5,FALSE)</f>
        <v>N</v>
      </c>
      <c r="AL411" s="986" t="str">
        <f>VLOOKUP($AB411,sample!$1:$1048576,11,FALSE)</f>
        <v xml:space="preserve">                  </v>
      </c>
      <c r="AM411" s="986" t="str">
        <f>VLOOKUP($AB411,sample!$1:$1048576,12,FALSE)</f>
        <v xml:space="preserve">                          </v>
      </c>
      <c r="AN411" s="986" t="str">
        <f>VLOOKUP($AB411,sample!$1:$1048576,13,FALSE)</f>
        <v>GOLDJPJXXXX</v>
      </c>
      <c r="AP411" s="988"/>
    </row>
    <row r="412" spans="1:42" s="584" customFormat="1">
      <c r="A412" s="929">
        <v>2019200428</v>
      </c>
      <c r="B412" s="816">
        <v>44232</v>
      </c>
      <c r="C412" s="816" t="s">
        <v>133</v>
      </c>
      <c r="D412" s="1133" t="str">
        <f>IFERROR(VLOOKUP(G412,PosAggregate!$B$13:$B$89,1,FALSE),"")</f>
        <v/>
      </c>
      <c r="E412" s="905" t="s">
        <v>1190</v>
      </c>
      <c r="F412" s="1006" t="str">
        <f t="shared" si="99"/>
        <v/>
      </c>
      <c r="G412" s="561" t="s">
        <v>1139</v>
      </c>
      <c r="I412" s="832" t="s">
        <v>1085</v>
      </c>
      <c r="J412" s="832" t="s">
        <v>125</v>
      </c>
      <c r="K412" s="938">
        <v>2236.5700000000002</v>
      </c>
      <c r="L412" s="938"/>
      <c r="M412" s="938">
        <v>3000</v>
      </c>
      <c r="N412" s="985">
        <f t="shared" si="103"/>
        <v>-6709710.0000000009</v>
      </c>
      <c r="O412" s="817">
        <v>-4026</v>
      </c>
      <c r="P412" s="817"/>
      <c r="R412" s="982">
        <f t="shared" si="93"/>
        <v>-6713736.0000000009</v>
      </c>
      <c r="S412" s="878">
        <v>126.24703940285667</v>
      </c>
      <c r="T412" s="998">
        <f t="shared" si="98"/>
        <v>-53179.354001136955</v>
      </c>
      <c r="U412" s="584">
        <v>44236</v>
      </c>
      <c r="V412" s="561" t="s">
        <v>1656</v>
      </c>
      <c r="W412" s="819">
        <v>44216.554416666666</v>
      </c>
      <c r="X412" s="971">
        <f t="shared" si="104"/>
        <v>6.0002593256638502E-2</v>
      </c>
      <c r="Y412" s="584" t="s">
        <v>1693</v>
      </c>
      <c r="Z412" s="988" t="str">
        <f>VLOOKUP(AA412,'place of settlement'!A:C,2,FALSE)</f>
        <v>JJSDJPJTXXX</v>
      </c>
      <c r="AA412" s="988" t="str">
        <f t="shared" si="101"/>
        <v>JP</v>
      </c>
      <c r="AB412" s="988" t="str">
        <f t="shared" si="105"/>
        <v>Tavira SecuritiesJP</v>
      </c>
      <c r="AC412" s="988" t="str">
        <f>VLOOKUP(AB412,sample!$1:$1048576,2,FALSE)</f>
        <v>GSILGB2XXXX</v>
      </c>
      <c r="AD412" s="988" t="str">
        <f>VLOOKUP($AB412,sample!$1:$1048576,3,FALSE)</f>
        <v>JJSDJPJTXXX</v>
      </c>
      <c r="AE412" s="986">
        <f>VLOOKUP($AB412,sample!$1:$1048576,4,FALSE)</f>
        <v>6530490016</v>
      </c>
      <c r="AF412" s="988" t="str">
        <f>VLOOKUP($AB412,sample!$1:$1048576,5,FALSE)</f>
        <v>N</v>
      </c>
      <c r="AL412" s="986" t="str">
        <f>VLOOKUP($AB412,sample!$1:$1048576,11,FALSE)</f>
        <v xml:space="preserve">                  </v>
      </c>
      <c r="AM412" s="986" t="str">
        <f>VLOOKUP($AB412,sample!$1:$1048576,12,FALSE)</f>
        <v xml:space="preserve">                          </v>
      </c>
      <c r="AN412" s="986" t="str">
        <f>VLOOKUP($AB412,sample!$1:$1048576,13,FALSE)</f>
        <v>GOLDJPJXXXX</v>
      </c>
      <c r="AP412" s="988"/>
    </row>
    <row r="413" spans="1:42" s="584" customFormat="1">
      <c r="A413" s="929">
        <v>2019200429</v>
      </c>
      <c r="B413" s="816">
        <v>44232</v>
      </c>
      <c r="C413" s="816" t="s">
        <v>133</v>
      </c>
      <c r="D413" s="1133" t="str">
        <f>IFERROR(VLOOKUP(G413,PosAggregate!$B$13:$B$89,1,FALSE),"")</f>
        <v/>
      </c>
      <c r="E413" s="905" t="s">
        <v>1189</v>
      </c>
      <c r="F413" s="1006" t="str">
        <f t="shared" si="99"/>
        <v/>
      </c>
      <c r="G413" s="561" t="s">
        <v>1584</v>
      </c>
      <c r="I413" s="832" t="s">
        <v>1086</v>
      </c>
      <c r="J413" s="832" t="s">
        <v>125</v>
      </c>
      <c r="K413" s="938">
        <v>2954</v>
      </c>
      <c r="L413" s="938"/>
      <c r="M413" s="938">
        <v>3300</v>
      </c>
      <c r="N413" s="985">
        <f t="shared" si="103"/>
        <v>-9748200</v>
      </c>
      <c r="O413" s="817">
        <v>-5849</v>
      </c>
      <c r="P413" s="817"/>
      <c r="R413" s="982">
        <f t="shared" si="93"/>
        <v>-9754049</v>
      </c>
      <c r="S413" s="878">
        <v>126.24703940285629</v>
      </c>
      <c r="T413" s="998">
        <f t="shared" si="98"/>
        <v>-77261.605865264501</v>
      </c>
      <c r="U413" s="584">
        <v>44236</v>
      </c>
      <c r="V413" s="561" t="s">
        <v>1656</v>
      </c>
      <c r="W413" s="819">
        <v>44216.554416666666</v>
      </c>
      <c r="X413" s="971">
        <f t="shared" si="100"/>
        <v>6.0000820664327777E-2</v>
      </c>
      <c r="Y413" s="584" t="s">
        <v>1693</v>
      </c>
      <c r="Z413" s="988" t="str">
        <f>VLOOKUP(AA413,'place of settlement'!A:C,2,FALSE)</f>
        <v>JJSDJPJTXXX</v>
      </c>
      <c r="AA413" s="988" t="str">
        <f t="shared" si="101"/>
        <v>JP</v>
      </c>
      <c r="AB413" s="988" t="str">
        <f t="shared" si="102"/>
        <v>Tavira SecuritiesJP</v>
      </c>
      <c r="AC413" s="988" t="str">
        <f>VLOOKUP(AB413,sample!$1:$1048576,2,FALSE)</f>
        <v>GSILGB2XXXX</v>
      </c>
      <c r="AD413" s="988" t="str">
        <f>VLOOKUP($AB413,sample!$1:$1048576,3,FALSE)</f>
        <v>JJSDJPJTXXX</v>
      </c>
      <c r="AE413" s="986">
        <f>VLOOKUP($AB413,sample!$1:$1048576,4,FALSE)</f>
        <v>6530490016</v>
      </c>
      <c r="AF413" s="988" t="str">
        <f>VLOOKUP($AB413,sample!$1:$1048576,5,FALSE)</f>
        <v>N</v>
      </c>
      <c r="AL413" s="986" t="str">
        <f>VLOOKUP($AB413,sample!$1:$1048576,11,FALSE)</f>
        <v xml:space="preserve">                  </v>
      </c>
      <c r="AM413" s="986" t="str">
        <f>VLOOKUP($AB413,sample!$1:$1048576,12,FALSE)</f>
        <v xml:space="preserve">                          </v>
      </c>
      <c r="AN413" s="986" t="str">
        <f>VLOOKUP($AB413,sample!$1:$1048576,13,FALSE)</f>
        <v>GOLDJPJXXXX</v>
      </c>
      <c r="AP413" s="988"/>
    </row>
    <row r="414" spans="1:42" s="584" customFormat="1">
      <c r="A414" s="929">
        <v>2019200430</v>
      </c>
      <c r="B414" s="816">
        <v>44235</v>
      </c>
      <c r="C414" s="816" t="s">
        <v>133</v>
      </c>
      <c r="D414" s="1133" t="str">
        <f>IFERROR(VLOOKUP(G414,PosAggregate!$B$13:$B$89,1,FALSE),"")</f>
        <v/>
      </c>
      <c r="E414" s="905" t="s">
        <v>1189</v>
      </c>
      <c r="F414" s="1006" t="str">
        <f t="shared" si="99"/>
        <v/>
      </c>
      <c r="G414" s="561" t="s">
        <v>1584</v>
      </c>
      <c r="I414" s="832" t="s">
        <v>1086</v>
      </c>
      <c r="J414" s="832" t="s">
        <v>125</v>
      </c>
      <c r="K414" s="938">
        <v>2990.6333300000001</v>
      </c>
      <c r="L414" s="938"/>
      <c r="M414" s="938">
        <v>3000</v>
      </c>
      <c r="N414" s="985">
        <f t="shared" si="103"/>
        <v>-8971899.9900000002</v>
      </c>
      <c r="O414" s="817">
        <v>-5383</v>
      </c>
      <c r="P414" s="817"/>
      <c r="R414" s="982">
        <f t="shared" si="93"/>
        <v>-8977282.9900000002</v>
      </c>
      <c r="S414" s="878">
        <v>126.87402911744522</v>
      </c>
      <c r="T414" s="998">
        <f t="shared" si="98"/>
        <v>-70757.451721580277</v>
      </c>
      <c r="U414" s="584">
        <v>44237</v>
      </c>
      <c r="V414" s="561" t="s">
        <v>1656</v>
      </c>
      <c r="W414" s="819">
        <v>44216.554416666666</v>
      </c>
      <c r="X414" s="971">
        <f t="shared" si="100"/>
        <v>5.9998439639316573E-2</v>
      </c>
      <c r="Y414" s="584" t="s">
        <v>1693</v>
      </c>
      <c r="Z414" s="988" t="str">
        <f>VLOOKUP(AA414,'place of settlement'!A:C,2,FALSE)</f>
        <v>JJSDJPJTXXX</v>
      </c>
      <c r="AA414" s="988" t="str">
        <f t="shared" si="101"/>
        <v>JP</v>
      </c>
      <c r="AB414" s="988" t="str">
        <f t="shared" si="102"/>
        <v>Tavira SecuritiesJP</v>
      </c>
      <c r="AC414" s="988" t="str">
        <f>VLOOKUP(AB414,sample!$1:$1048576,2,FALSE)</f>
        <v>GSILGB2XXXX</v>
      </c>
      <c r="AD414" s="988" t="str">
        <f>VLOOKUP($AB414,sample!$1:$1048576,3,FALSE)</f>
        <v>JJSDJPJTXXX</v>
      </c>
      <c r="AE414" s="986">
        <f>VLOOKUP($AB414,sample!$1:$1048576,4,FALSE)</f>
        <v>6530490016</v>
      </c>
      <c r="AF414" s="988" t="str">
        <f>VLOOKUP($AB414,sample!$1:$1048576,5,FALSE)</f>
        <v>N</v>
      </c>
      <c r="AL414" s="986" t="str">
        <f>VLOOKUP($AB414,sample!$1:$1048576,11,FALSE)</f>
        <v xml:space="preserve">                  </v>
      </c>
      <c r="AM414" s="986" t="str">
        <f>VLOOKUP($AB414,sample!$1:$1048576,12,FALSE)</f>
        <v xml:space="preserve">                          </v>
      </c>
      <c r="AN414" s="986" t="str">
        <f>VLOOKUP($AB414,sample!$1:$1048576,13,FALSE)</f>
        <v>GOLDJPJXXXX</v>
      </c>
      <c r="AP414" s="988"/>
    </row>
    <row r="415" spans="1:42" s="584" customFormat="1">
      <c r="A415" s="929">
        <v>2019200431</v>
      </c>
      <c r="B415" s="816">
        <v>44235</v>
      </c>
      <c r="C415" s="816" t="s">
        <v>133</v>
      </c>
      <c r="D415" s="1133" t="str">
        <f>IFERROR(VLOOKUP(G415,PosAggregate!$B$13:$B$89,1,FALSE),"")</f>
        <v/>
      </c>
      <c r="E415" s="905" t="s">
        <v>1190</v>
      </c>
      <c r="F415" s="1006" t="str">
        <f t="shared" si="99"/>
        <v/>
      </c>
      <c r="G415" s="561" t="s">
        <v>1139</v>
      </c>
      <c r="I415" s="832" t="s">
        <v>1085</v>
      </c>
      <c r="J415" s="832" t="s">
        <v>125</v>
      </c>
      <c r="K415" s="938">
        <v>2252</v>
      </c>
      <c r="L415" s="938"/>
      <c r="M415" s="938">
        <v>3000</v>
      </c>
      <c r="N415" s="985">
        <f t="shared" si="103"/>
        <v>-6756000</v>
      </c>
      <c r="O415" s="817">
        <v>-4054</v>
      </c>
      <c r="P415" s="817"/>
      <c r="R415" s="982">
        <f t="shared" si="93"/>
        <v>-6760054</v>
      </c>
      <c r="S415" s="878">
        <v>126.87402911744499</v>
      </c>
      <c r="T415" s="998">
        <f t="shared" si="98"/>
        <v>-53281.621518792788</v>
      </c>
      <c r="U415" s="584">
        <v>44237</v>
      </c>
      <c r="V415" s="561" t="s">
        <v>1656</v>
      </c>
      <c r="W415" s="819">
        <v>44216.554416666666</v>
      </c>
      <c r="X415" s="971">
        <f t="shared" si="100"/>
        <v>6.0005920663114262E-2</v>
      </c>
      <c r="Y415" s="584" t="s">
        <v>1693</v>
      </c>
      <c r="Z415" s="988" t="str">
        <f>VLOOKUP(AA415,'place of settlement'!A:C,2,FALSE)</f>
        <v>JJSDJPJTXXX</v>
      </c>
      <c r="AA415" s="988" t="str">
        <f t="shared" si="101"/>
        <v>JP</v>
      </c>
      <c r="AB415" s="988" t="str">
        <f t="shared" si="102"/>
        <v>Tavira SecuritiesJP</v>
      </c>
      <c r="AC415" s="988" t="str">
        <f>VLOOKUP(AB415,sample!$1:$1048576,2,FALSE)</f>
        <v>GSILGB2XXXX</v>
      </c>
      <c r="AD415" s="988" t="str">
        <f>VLOOKUP($AB415,sample!$1:$1048576,3,FALSE)</f>
        <v>JJSDJPJTXXX</v>
      </c>
      <c r="AE415" s="986">
        <f>VLOOKUP($AB415,sample!$1:$1048576,4,FALSE)</f>
        <v>6530490016</v>
      </c>
      <c r="AF415" s="988" t="str">
        <f>VLOOKUP($AB415,sample!$1:$1048576,5,FALSE)</f>
        <v>N</v>
      </c>
      <c r="AL415" s="986" t="str">
        <f>VLOOKUP($AB415,sample!$1:$1048576,11,FALSE)</f>
        <v xml:space="preserve">                  </v>
      </c>
      <c r="AM415" s="986" t="str">
        <f>VLOOKUP($AB415,sample!$1:$1048576,12,FALSE)</f>
        <v xml:space="preserve">                          </v>
      </c>
      <c r="AN415" s="986" t="str">
        <f>VLOOKUP($AB415,sample!$1:$1048576,13,FALSE)</f>
        <v>GOLDJPJXXXX</v>
      </c>
      <c r="AP415" s="988"/>
    </row>
    <row r="416" spans="1:42" s="584" customFormat="1">
      <c r="A416" s="929">
        <v>2019200432</v>
      </c>
      <c r="B416" s="816">
        <v>44236</v>
      </c>
      <c r="C416" s="816" t="s">
        <v>133</v>
      </c>
      <c r="D416" s="1133" t="str">
        <f>IFERROR(VLOOKUP(G416,PosAggregate!$B$13:$B$89,1,FALSE),"")</f>
        <v/>
      </c>
      <c r="E416" s="905" t="s">
        <v>1190</v>
      </c>
      <c r="F416" s="1006" t="str">
        <f t="shared" si="99"/>
        <v/>
      </c>
      <c r="G416" s="561" t="s">
        <v>1139</v>
      </c>
      <c r="I416" s="832" t="s">
        <v>1085</v>
      </c>
      <c r="J416" s="832" t="s">
        <v>125</v>
      </c>
      <c r="K416" s="938">
        <v>2182</v>
      </c>
      <c r="L416" s="938"/>
      <c r="M416" s="938">
        <v>3000</v>
      </c>
      <c r="N416" s="985">
        <f t="shared" si="103"/>
        <v>-6546000</v>
      </c>
      <c r="O416" s="817">
        <v>-3928</v>
      </c>
      <c r="R416" s="982">
        <f t="shared" si="93"/>
        <v>-6549928</v>
      </c>
      <c r="S416" s="878">
        <v>126.70697572974339</v>
      </c>
      <c r="T416" s="998">
        <f t="shared" si="98"/>
        <v>-51693.507498517778</v>
      </c>
      <c r="U416" s="584">
        <v>44239</v>
      </c>
      <c r="V416" s="561" t="s">
        <v>1656</v>
      </c>
      <c r="W416" s="819">
        <v>44216.554416666666</v>
      </c>
      <c r="X416" s="971">
        <f t="shared" si="100"/>
        <v>6.0006110601894293E-2</v>
      </c>
      <c r="Y416" s="584" t="s">
        <v>1693</v>
      </c>
      <c r="Z416" s="988" t="str">
        <f>VLOOKUP(AA416,'place of settlement'!A:C,2,FALSE)</f>
        <v>JJSDJPJTXXX</v>
      </c>
      <c r="AA416" s="988" t="str">
        <f t="shared" si="101"/>
        <v>JP</v>
      </c>
      <c r="AB416" s="988" t="str">
        <f t="shared" si="102"/>
        <v>Tavira SecuritiesJP</v>
      </c>
      <c r="AC416" s="988" t="str">
        <f>VLOOKUP(AB416,sample!$1:$1048576,2,FALSE)</f>
        <v>GSILGB2XXXX</v>
      </c>
      <c r="AD416" s="988" t="str">
        <f>VLOOKUP($AB416,sample!$1:$1048576,3,FALSE)</f>
        <v>JJSDJPJTXXX</v>
      </c>
      <c r="AE416" s="986">
        <f>VLOOKUP($AB416,sample!$1:$1048576,4,FALSE)</f>
        <v>6530490016</v>
      </c>
      <c r="AF416" s="988" t="str">
        <f>VLOOKUP($AB416,sample!$1:$1048576,5,FALSE)</f>
        <v>N</v>
      </c>
      <c r="AL416" s="986" t="str">
        <f>VLOOKUP($AB416,sample!$1:$1048576,11,FALSE)</f>
        <v xml:space="preserve">                  </v>
      </c>
      <c r="AM416" s="986" t="str">
        <f>VLOOKUP($AB416,sample!$1:$1048576,12,FALSE)</f>
        <v xml:space="preserve">                          </v>
      </c>
      <c r="AN416" s="986" t="str">
        <f>VLOOKUP($AB416,sample!$1:$1048576,13,FALSE)</f>
        <v>GOLDJPJXXXX</v>
      </c>
      <c r="AP416" s="988"/>
    </row>
    <row r="417" spans="1:42" s="584" customFormat="1">
      <c r="A417" s="584" t="s">
        <v>2062</v>
      </c>
      <c r="B417" s="816">
        <v>44237</v>
      </c>
      <c r="C417" s="816" t="s">
        <v>133</v>
      </c>
      <c r="D417" s="1136"/>
      <c r="E417" s="769" t="s">
        <v>12593</v>
      </c>
      <c r="F417" s="1006" t="str">
        <f t="shared" si="99"/>
        <v/>
      </c>
      <c r="G417" s="561" t="s">
        <v>12594</v>
      </c>
      <c r="I417" s="832" t="s">
        <v>12595</v>
      </c>
      <c r="J417" s="832" t="s">
        <v>12606</v>
      </c>
      <c r="L417" s="817"/>
      <c r="M417" s="938">
        <v>16000</v>
      </c>
      <c r="N417" s="985">
        <f t="shared" si="103"/>
        <v>0</v>
      </c>
      <c r="O417" s="817"/>
      <c r="R417" s="982">
        <f t="shared" si="93"/>
        <v>0</v>
      </c>
      <c r="S417" s="561"/>
      <c r="T417" s="934">
        <v>0</v>
      </c>
      <c r="V417" s="561"/>
      <c r="W417" s="819"/>
      <c r="X417" s="971" t="e">
        <f t="shared" si="100"/>
        <v>#DIV/0!</v>
      </c>
      <c r="Y417" s="584" t="s">
        <v>1693</v>
      </c>
      <c r="Z417" s="988" t="str">
        <f>VLOOKUP(AA417,'place of settlement'!A:C,2,FALSE)</f>
        <v>MOTIITMMXXX</v>
      </c>
      <c r="AA417" s="988" t="str">
        <f t="shared" si="101"/>
        <v>IT</v>
      </c>
      <c r="AB417" s="988" t="str">
        <f t="shared" si="102"/>
        <v>IT</v>
      </c>
      <c r="AC417" s="988" t="e">
        <f>VLOOKUP(AB417,sample!$1:$1048576,2,FALSE)</f>
        <v>#N/A</v>
      </c>
      <c r="AD417" s="988" t="e">
        <f>VLOOKUP($AB417,sample!$1:$1048576,3,FALSE)</f>
        <v>#N/A</v>
      </c>
      <c r="AE417" s="986" t="e">
        <f>VLOOKUP($AB417,sample!$1:$1048576,4,FALSE)</f>
        <v>#N/A</v>
      </c>
      <c r="AF417" s="988" t="e">
        <f>VLOOKUP($AB417,sample!$1:$1048576,5,FALSE)</f>
        <v>#N/A</v>
      </c>
      <c r="AL417" s="986" t="e">
        <f>VLOOKUP($AB417,sample!$1:$1048576,11,FALSE)</f>
        <v>#N/A</v>
      </c>
      <c r="AM417" s="986" t="e">
        <f>VLOOKUP($AB417,sample!$1:$1048576,12,FALSE)</f>
        <v>#N/A</v>
      </c>
      <c r="AN417" s="986" t="e">
        <f>VLOOKUP($AB417,sample!$1:$1048576,13,FALSE)</f>
        <v>#N/A</v>
      </c>
      <c r="AP417" s="988"/>
    </row>
    <row r="418" spans="1:42" s="584" customFormat="1">
      <c r="A418" s="929">
        <v>2019200433</v>
      </c>
      <c r="B418" s="816">
        <v>44242</v>
      </c>
      <c r="C418" s="816" t="s">
        <v>133</v>
      </c>
      <c r="D418" s="1133" t="str">
        <f>IFERROR(VLOOKUP(G418,PosAggregate!$B$13:$B$89,1,FALSE),"")</f>
        <v/>
      </c>
      <c r="E418" s="905" t="s">
        <v>12682</v>
      </c>
      <c r="F418" s="1006" t="str">
        <f t="shared" si="99"/>
        <v/>
      </c>
      <c r="G418" s="561" t="s">
        <v>12585</v>
      </c>
      <c r="I418" s="832" t="s">
        <v>12618</v>
      </c>
      <c r="J418" s="832" t="s">
        <v>125</v>
      </c>
      <c r="K418" s="938">
        <v>1028.8722889999999</v>
      </c>
      <c r="L418" s="938"/>
      <c r="M418" s="938">
        <v>8300</v>
      </c>
      <c r="N418" s="985">
        <f t="shared" si="103"/>
        <v>-8539639.9986999985</v>
      </c>
      <c r="O418" s="817">
        <v>-5124</v>
      </c>
      <c r="R418" s="982">
        <f t="shared" si="93"/>
        <v>-8544763.9986999985</v>
      </c>
      <c r="S418" s="878">
        <v>127.15397106226213</v>
      </c>
      <c r="T418" s="998">
        <f t="shared" si="98"/>
        <v>-67200.134823284243</v>
      </c>
      <c r="U418" s="584">
        <v>44244</v>
      </c>
      <c r="V418" s="561" t="s">
        <v>1656</v>
      </c>
      <c r="W418" s="819">
        <v>44216.554416666666</v>
      </c>
      <c r="X418" s="971">
        <f t="shared" si="100"/>
        <v>6.0002529389763901E-2</v>
      </c>
      <c r="Y418" s="584" t="s">
        <v>1693</v>
      </c>
      <c r="Z418" s="988" t="str">
        <f>VLOOKUP(AA418,'place of settlement'!A:C,2,FALSE)</f>
        <v>JJSDJPJTXXX</v>
      </c>
      <c r="AA418" s="988" t="str">
        <f t="shared" si="101"/>
        <v>JP</v>
      </c>
      <c r="AB418" s="988" t="str">
        <f t="shared" si="102"/>
        <v>Tavira SecuritiesJP</v>
      </c>
      <c r="AC418" s="988" t="str">
        <f>VLOOKUP(AB418,sample!$1:$1048576,2,FALSE)</f>
        <v>GSILGB2XXXX</v>
      </c>
      <c r="AD418" s="988" t="str">
        <f>VLOOKUP($AB418,sample!$1:$1048576,3,FALSE)</f>
        <v>JJSDJPJTXXX</v>
      </c>
      <c r="AE418" s="986">
        <f>VLOOKUP($AB418,sample!$1:$1048576,4,FALSE)</f>
        <v>6530490016</v>
      </c>
      <c r="AF418" s="988" t="str">
        <f>VLOOKUP($AB418,sample!$1:$1048576,5,FALSE)</f>
        <v>N</v>
      </c>
      <c r="AL418" s="986" t="str">
        <f>VLOOKUP($AB418,sample!$1:$1048576,11,FALSE)</f>
        <v xml:space="preserve">                  </v>
      </c>
      <c r="AM418" s="986" t="str">
        <f>VLOOKUP($AB418,sample!$1:$1048576,12,FALSE)</f>
        <v xml:space="preserve">                          </v>
      </c>
      <c r="AN418" s="986" t="str">
        <f>VLOOKUP($AB418,sample!$1:$1048576,13,FALSE)</f>
        <v>GOLDJPJXXXX</v>
      </c>
      <c r="AP418" s="988"/>
    </row>
    <row r="419" spans="1:42" s="584" customFormat="1">
      <c r="A419" s="929">
        <v>2019200434</v>
      </c>
      <c r="B419" s="816">
        <v>44251</v>
      </c>
      <c r="C419" s="816" t="s">
        <v>133</v>
      </c>
      <c r="D419" s="1133" t="str">
        <f>IFERROR(VLOOKUP(G419,PosAggregate!$B$13:$B$89,1,FALSE),"")</f>
        <v/>
      </c>
      <c r="E419" s="905" t="s">
        <v>12683</v>
      </c>
      <c r="F419" s="1006" t="str">
        <f t="shared" si="99"/>
        <v/>
      </c>
      <c r="G419" s="561" t="s">
        <v>12586</v>
      </c>
      <c r="I419" s="832" t="s">
        <v>12619</v>
      </c>
      <c r="J419" s="832" t="s">
        <v>125</v>
      </c>
      <c r="K419" s="938">
        <v>847.11549300000001</v>
      </c>
      <c r="L419" s="817"/>
      <c r="M419" s="938">
        <v>7100</v>
      </c>
      <c r="N419" s="985">
        <f t="shared" si="103"/>
        <v>-6014520.0003000004</v>
      </c>
      <c r="O419" s="817">
        <v>-3609</v>
      </c>
      <c r="R419" s="982">
        <f t="shared" si="93"/>
        <v>-6018129.0003000004</v>
      </c>
      <c r="S419" s="878">
        <v>127.85654408280777</v>
      </c>
      <c r="T419" s="998">
        <f t="shared" si="98"/>
        <v>-47069.385798526586</v>
      </c>
      <c r="U419" s="584">
        <v>44253</v>
      </c>
      <c r="V419" s="561" t="s">
        <v>1656</v>
      </c>
      <c r="W419" s="819">
        <v>44216.554416666666</v>
      </c>
      <c r="X419" s="971">
        <f t="shared" si="100"/>
        <v>6.0004788409049853E-2</v>
      </c>
      <c r="Y419" s="584" t="s">
        <v>1693</v>
      </c>
      <c r="Z419" s="988" t="str">
        <f>VLOOKUP(AA419,'place of settlement'!A:C,2,FALSE)</f>
        <v>JJSDJPJTXXX</v>
      </c>
      <c r="AA419" s="988" t="str">
        <f t="shared" si="101"/>
        <v>JP</v>
      </c>
      <c r="AB419" s="988" t="str">
        <f t="shared" si="102"/>
        <v>Tavira SecuritiesJP</v>
      </c>
      <c r="AC419" s="988" t="str">
        <f>VLOOKUP(AB419,sample!$1:$1048576,2,FALSE)</f>
        <v>GSILGB2XXXX</v>
      </c>
      <c r="AD419" s="988" t="str">
        <f>VLOOKUP($AB419,sample!$1:$1048576,3,FALSE)</f>
        <v>JJSDJPJTXXX</v>
      </c>
      <c r="AE419" s="986">
        <f>VLOOKUP($AB419,sample!$1:$1048576,4,FALSE)</f>
        <v>6530490016</v>
      </c>
      <c r="AF419" s="988" t="str">
        <f>VLOOKUP($AB419,sample!$1:$1048576,5,FALSE)</f>
        <v>N</v>
      </c>
      <c r="AL419" s="986" t="str">
        <f>VLOOKUP($AB419,sample!$1:$1048576,11,FALSE)</f>
        <v xml:space="preserve">                  </v>
      </c>
      <c r="AM419" s="986" t="str">
        <f>VLOOKUP($AB419,sample!$1:$1048576,12,FALSE)</f>
        <v xml:space="preserve">                          </v>
      </c>
      <c r="AN419" s="986" t="str">
        <f>VLOOKUP($AB419,sample!$1:$1048576,13,FALSE)</f>
        <v>GOLDJPJXXXX</v>
      </c>
      <c r="AP419" s="988"/>
    </row>
    <row r="420" spans="1:42" s="584" customFormat="1">
      <c r="A420" s="929">
        <v>2019200435</v>
      </c>
      <c r="B420" s="816">
        <v>44251</v>
      </c>
      <c r="C420" s="816" t="s">
        <v>133</v>
      </c>
      <c r="D420" s="1133" t="str">
        <f>IFERROR(VLOOKUP(G420,PosAggregate!$B$13:$B$89,1,FALSE),"")</f>
        <v/>
      </c>
      <c r="E420" s="905" t="s">
        <v>12680</v>
      </c>
      <c r="F420" s="1006" t="str">
        <f t="shared" si="99"/>
        <v/>
      </c>
      <c r="G420" s="561" t="s">
        <v>12592</v>
      </c>
      <c r="I420" s="832" t="s">
        <v>12616</v>
      </c>
      <c r="J420" s="832" t="s">
        <v>125</v>
      </c>
      <c r="K420" s="938">
        <v>285.52814799999999</v>
      </c>
      <c r="L420" s="817"/>
      <c r="M420" s="938">
        <v>27000</v>
      </c>
      <c r="N420" s="985">
        <f t="shared" si="103"/>
        <v>-7709259.9959999993</v>
      </c>
      <c r="O420" s="817">
        <v>-4626</v>
      </c>
      <c r="R420" s="982">
        <f t="shared" si="93"/>
        <v>-7713885.9959999993</v>
      </c>
      <c r="S420" s="878">
        <v>127.8565440828078</v>
      </c>
      <c r="T420" s="998">
        <f t="shared" si="98"/>
        <v>-60332.351787985215</v>
      </c>
      <c r="U420" s="584">
        <v>44253</v>
      </c>
      <c r="V420" s="561" t="s">
        <v>1656</v>
      </c>
      <c r="W420" s="819">
        <v>44216.554416666666</v>
      </c>
      <c r="X420" s="971">
        <f t="shared" si="100"/>
        <v>6.0005759338772217E-2</v>
      </c>
      <c r="Y420" s="584" t="s">
        <v>1693</v>
      </c>
      <c r="Z420" s="988" t="str">
        <f>VLOOKUP(AA420,'place of settlement'!A:C,2,FALSE)</f>
        <v>JJSDJPJTXXX</v>
      </c>
      <c r="AA420" s="988" t="str">
        <f t="shared" si="101"/>
        <v>JP</v>
      </c>
      <c r="AB420" s="988" t="str">
        <f t="shared" si="102"/>
        <v>Tavira SecuritiesJP</v>
      </c>
      <c r="AC420" s="988" t="str">
        <f>VLOOKUP(AB420,sample!$1:$1048576,2,FALSE)</f>
        <v>GSILGB2XXXX</v>
      </c>
      <c r="AD420" s="988" t="str">
        <f>VLOOKUP($AB420,sample!$1:$1048576,3,FALSE)</f>
        <v>JJSDJPJTXXX</v>
      </c>
      <c r="AE420" s="986">
        <f>VLOOKUP($AB420,sample!$1:$1048576,4,FALSE)</f>
        <v>6530490016</v>
      </c>
      <c r="AF420" s="988" t="str">
        <f>VLOOKUP($AB420,sample!$1:$1048576,5,FALSE)</f>
        <v>N</v>
      </c>
      <c r="AL420" s="986" t="str">
        <f>VLOOKUP($AB420,sample!$1:$1048576,11,FALSE)</f>
        <v xml:space="preserve">                  </v>
      </c>
      <c r="AM420" s="986" t="str">
        <f>VLOOKUP($AB420,sample!$1:$1048576,12,FALSE)</f>
        <v xml:space="preserve">                          </v>
      </c>
      <c r="AN420" s="986" t="str">
        <f>VLOOKUP($AB420,sample!$1:$1048576,13,FALSE)</f>
        <v>GOLDJPJXXXX</v>
      </c>
      <c r="AP420" s="988"/>
    </row>
    <row r="421" spans="1:42" s="584" customFormat="1">
      <c r="A421" s="929">
        <v>2019200436</v>
      </c>
      <c r="B421" s="816">
        <v>44256</v>
      </c>
      <c r="C421" s="816" t="s">
        <v>133</v>
      </c>
      <c r="D421" s="1133" t="str">
        <f>IFERROR(VLOOKUP(G421,PosAggregate!$B$13:$B$89,1,FALSE),"")</f>
        <v/>
      </c>
      <c r="E421" s="905" t="s">
        <v>12688</v>
      </c>
      <c r="F421" s="1006" t="str">
        <f t="shared" si="99"/>
        <v/>
      </c>
      <c r="G421" s="561" t="s">
        <v>12597</v>
      </c>
      <c r="I421" s="832" t="s">
        <v>12623</v>
      </c>
      <c r="J421" s="832" t="s">
        <v>125</v>
      </c>
      <c r="K421" s="938">
        <v>2657.2294000000002</v>
      </c>
      <c r="L421" s="817"/>
      <c r="M421" s="938">
        <v>17000</v>
      </c>
      <c r="N421" s="985">
        <f t="shared" si="103"/>
        <v>-45172899.800000004</v>
      </c>
      <c r="O421" s="817">
        <v>-27104</v>
      </c>
      <c r="R421" s="982">
        <f t="shared" si="93"/>
        <v>-45200003.800000004</v>
      </c>
      <c r="S421" s="878">
        <v>128.68406119073191</v>
      </c>
      <c r="T421" s="998">
        <f t="shared" si="98"/>
        <v>-351247.88090893265</v>
      </c>
      <c r="U421" s="584">
        <v>44258</v>
      </c>
      <c r="V421" s="561" t="s">
        <v>1656</v>
      </c>
      <c r="W421" s="819">
        <v>44216.554416666666</v>
      </c>
      <c r="X421" s="971">
        <f t="shared" si="100"/>
        <v>6.0000575831972595E-2</v>
      </c>
      <c r="Y421" s="584" t="s">
        <v>1693</v>
      </c>
      <c r="Z421" s="988" t="str">
        <f>VLOOKUP(AA421,'place of settlement'!A:C,2,FALSE)</f>
        <v>JJSDJPJTXXX</v>
      </c>
      <c r="AA421" s="988" t="str">
        <f t="shared" si="101"/>
        <v>JP</v>
      </c>
      <c r="AB421" s="988" t="str">
        <f t="shared" si="102"/>
        <v>Tavira SecuritiesJP</v>
      </c>
      <c r="AC421" s="988" t="str">
        <f>VLOOKUP(AB421,sample!$1:$1048576,2,FALSE)</f>
        <v>GSILGB2XXXX</v>
      </c>
      <c r="AD421" s="988" t="str">
        <f>VLOOKUP($AB421,sample!$1:$1048576,3,FALSE)</f>
        <v>JJSDJPJTXXX</v>
      </c>
      <c r="AE421" s="986">
        <f>VLOOKUP($AB421,sample!$1:$1048576,4,FALSE)</f>
        <v>6530490016</v>
      </c>
      <c r="AF421" s="988" t="str">
        <f>VLOOKUP($AB421,sample!$1:$1048576,5,FALSE)</f>
        <v>N</v>
      </c>
      <c r="AL421" s="986" t="str">
        <f>VLOOKUP($AB421,sample!$1:$1048576,11,FALSE)</f>
        <v xml:space="preserve">                  </v>
      </c>
      <c r="AM421" s="986" t="str">
        <f>VLOOKUP($AB421,sample!$1:$1048576,12,FALSE)</f>
        <v xml:space="preserve">                          </v>
      </c>
      <c r="AN421" s="986" t="str">
        <f>VLOOKUP($AB421,sample!$1:$1048576,13,FALSE)</f>
        <v>GOLDJPJXXXX</v>
      </c>
      <c r="AP421" s="988"/>
    </row>
    <row r="422" spans="1:42" s="584" customFormat="1">
      <c r="A422" s="929">
        <v>2019200437</v>
      </c>
      <c r="B422" s="816">
        <v>44260</v>
      </c>
      <c r="C422" s="816" t="s">
        <v>133</v>
      </c>
      <c r="D422" s="1133" t="str">
        <f>IFERROR(VLOOKUP(G422,PosAggregate!$B$13:$B$89,1,FALSE),"")</f>
        <v/>
      </c>
      <c r="E422" s="905" t="s">
        <v>1217</v>
      </c>
      <c r="F422" s="1006" t="str">
        <f t="shared" si="99"/>
        <v/>
      </c>
      <c r="G422" s="561" t="s">
        <v>1168</v>
      </c>
      <c r="I422" s="832" t="s">
        <v>12626</v>
      </c>
      <c r="J422" s="832" t="s">
        <v>2</v>
      </c>
      <c r="K422" s="938">
        <v>29.857177</v>
      </c>
      <c r="L422" s="817"/>
      <c r="M422" s="938">
        <v>3800</v>
      </c>
      <c r="N422" s="985">
        <f t="shared" si="103"/>
        <v>-113457.2726</v>
      </c>
      <c r="O422" s="817">
        <v>-68.069999999999993</v>
      </c>
      <c r="P422" s="817">
        <v>-340.37</v>
      </c>
      <c r="Q422" s="817"/>
      <c r="R422" s="982">
        <f t="shared" si="93"/>
        <v>-113865.7126</v>
      </c>
      <c r="S422" s="878">
        <v>1</v>
      </c>
      <c r="T422" s="998">
        <f t="shared" si="98"/>
        <v>-113865.7126</v>
      </c>
      <c r="U422" s="584">
        <v>44264</v>
      </c>
      <c r="V422" s="561" t="s">
        <v>1656</v>
      </c>
      <c r="W422" s="819">
        <v>44216.554416666666</v>
      </c>
      <c r="X422" s="971">
        <f t="shared" si="100"/>
        <v>5.9996154005908998E-2</v>
      </c>
      <c r="Y422" s="584" t="s">
        <v>1693</v>
      </c>
      <c r="Z422" s="988" t="str">
        <f>VLOOKUP(AA422,'place of settlement'!A:C,2,FALSE)</f>
        <v>SICVFRPPXXX</v>
      </c>
      <c r="AA422" s="988" t="str">
        <f t="shared" si="101"/>
        <v>FR</v>
      </c>
      <c r="AB422" s="988" t="str">
        <f t="shared" si="102"/>
        <v>Tavira SecuritiesFR</v>
      </c>
      <c r="AC422" s="988" t="str">
        <f>VLOOKUP(AB422,sample!$1:$1048576,2,FALSE)</f>
        <v>GSILGB2XXXX</v>
      </c>
      <c r="AD422" s="988" t="str">
        <f>VLOOKUP($AB422,sample!$1:$1048576,3,FALSE)</f>
        <v>SICVFRPPXXX</v>
      </c>
      <c r="AE422" s="986" t="str">
        <f>VLOOKUP($AB422,sample!$1:$1048576,4,FALSE)</f>
        <v>SICVPARBFRPPXXX000L10</v>
      </c>
      <c r="AF422" s="988" t="str">
        <f>VLOOKUP($AB422,sample!$1:$1048576,5,FALSE)</f>
        <v>N</v>
      </c>
      <c r="AL422" s="986" t="str">
        <f>VLOOKUP($AB422,sample!$1:$1048576,11,FALSE)</f>
        <v xml:space="preserve">        </v>
      </c>
      <c r="AM422" s="986" t="str">
        <f>VLOOKUP($AB422,sample!$1:$1048576,12,FALSE)</f>
        <v xml:space="preserve">        </v>
      </c>
      <c r="AN422" s="986" t="str">
        <f>VLOOKUP($AB422,sample!$1:$1048576,13,FALSE)</f>
        <v>PARBFRPPXXX</v>
      </c>
      <c r="AP422" s="988"/>
    </row>
    <row r="423" spans="1:42" s="584" customFormat="1">
      <c r="A423" s="1000">
        <f>(A422+1)</f>
        <v>2019200438</v>
      </c>
      <c r="B423" s="816">
        <v>44264</v>
      </c>
      <c r="C423" s="816" t="s">
        <v>134</v>
      </c>
      <c r="D423" s="1133" t="str">
        <f>IFERROR(VLOOKUP(G423,PosAggregate!$B$13:$B$89,1,FALSE),"")</f>
        <v/>
      </c>
      <c r="E423" s="905" t="s">
        <v>12671</v>
      </c>
      <c r="F423" s="1006" t="str">
        <f t="shared" si="99"/>
        <v/>
      </c>
      <c r="G423" s="561" t="s">
        <v>2064</v>
      </c>
      <c r="I423" s="832" t="s">
        <v>1101</v>
      </c>
      <c r="J423" s="832" t="s">
        <v>123</v>
      </c>
      <c r="K423" s="938">
        <v>288547.27269999997</v>
      </c>
      <c r="L423" s="817"/>
      <c r="M423" s="938">
        <v>-165</v>
      </c>
      <c r="N423" s="985">
        <f t="shared" si="103"/>
        <v>47610299.995499998</v>
      </c>
      <c r="O423" s="817">
        <v>-71415</v>
      </c>
      <c r="P423" s="817">
        <v>-109498</v>
      </c>
      <c r="Q423" s="817"/>
      <c r="R423" s="982">
        <f t="shared" si="93"/>
        <v>47429386.995499998</v>
      </c>
      <c r="S423" s="878">
        <v>1351.0860039318775</v>
      </c>
      <c r="T423" s="998">
        <f t="shared" si="98"/>
        <v>35104.639421526728</v>
      </c>
      <c r="U423" s="584">
        <v>44266</v>
      </c>
      <c r="V423" s="561" t="s">
        <v>1184</v>
      </c>
      <c r="W423" s="819">
        <v>44216.554416666666</v>
      </c>
      <c r="X423" s="971">
        <f t="shared" si="100"/>
        <v>-0.14999905484054912</v>
      </c>
      <c r="Y423" s="584" t="s">
        <v>1693</v>
      </c>
      <c r="Z423" s="988" t="str">
        <f>VLOOKUP(AA423,'place of settlement'!A:C,2,FALSE)</f>
        <v>KSDCKRSEXXX</v>
      </c>
      <c r="AA423" s="988" t="str">
        <f t="shared" si="101"/>
        <v>KR</v>
      </c>
      <c r="AB423" s="988" t="str">
        <f t="shared" si="102"/>
        <v>SamsungKR</v>
      </c>
      <c r="AC423" s="988" t="e">
        <f>VLOOKUP(AB423,sample!$1:$1048576,2,FALSE)</f>
        <v>#N/A</v>
      </c>
      <c r="AD423" s="988" t="e">
        <f>VLOOKUP($AB423,sample!$1:$1048576,3,FALSE)</f>
        <v>#N/A</v>
      </c>
      <c r="AE423" s="986" t="e">
        <f>VLOOKUP($AB423,sample!$1:$1048576,4,FALSE)</f>
        <v>#N/A</v>
      </c>
      <c r="AF423" s="988" t="e">
        <f>VLOOKUP($AB423,sample!$1:$1048576,5,FALSE)</f>
        <v>#N/A</v>
      </c>
      <c r="AL423" s="986" t="e">
        <f>VLOOKUP($AB423,sample!$1:$1048576,11,FALSE)</f>
        <v>#N/A</v>
      </c>
      <c r="AM423" s="986" t="e">
        <f>VLOOKUP($AB423,sample!$1:$1048576,12,FALSE)</f>
        <v>#N/A</v>
      </c>
      <c r="AN423" s="986" t="e">
        <f>VLOOKUP($AB423,sample!$1:$1048576,13,FALSE)</f>
        <v>#N/A</v>
      </c>
      <c r="AP423" s="988"/>
    </row>
    <row r="424" spans="1:42" s="584" customFormat="1">
      <c r="A424" s="1000">
        <f t="shared" ref="A424:A433" si="106">(A423+1)</f>
        <v>2019200439</v>
      </c>
      <c r="B424" s="816">
        <v>44264</v>
      </c>
      <c r="C424" s="816" t="s">
        <v>134</v>
      </c>
      <c r="D424" s="1133" t="str">
        <f>IFERROR(VLOOKUP(G424,PosAggregate!$B$13:$B$89,1,FALSE),"")</f>
        <v/>
      </c>
      <c r="E424" s="905" t="s">
        <v>1211</v>
      </c>
      <c r="F424" s="1006" t="str">
        <f t="shared" si="99"/>
        <v/>
      </c>
      <c r="G424" s="561" t="s">
        <v>1161</v>
      </c>
      <c r="I424" s="832" t="s">
        <v>1094</v>
      </c>
      <c r="J424" s="832" t="s">
        <v>123</v>
      </c>
      <c r="K424" s="938">
        <v>64285.188300000002</v>
      </c>
      <c r="L424" s="817"/>
      <c r="M424" s="938">
        <v>-2390</v>
      </c>
      <c r="N424" s="985">
        <f t="shared" si="103"/>
        <v>153641600.037</v>
      </c>
      <c r="O424" s="817">
        <v>-230462</v>
      </c>
      <c r="P424" s="817">
        <v>-353361</v>
      </c>
      <c r="Q424" s="817"/>
      <c r="R424" s="982">
        <f t="shared" si="93"/>
        <v>153057777.037</v>
      </c>
      <c r="S424" s="878">
        <v>1351.0860039318786</v>
      </c>
      <c r="T424" s="998">
        <f t="shared" si="98"/>
        <v>113284.9993202336</v>
      </c>
      <c r="U424" s="584">
        <v>44266</v>
      </c>
      <c r="V424" s="561" t="s">
        <v>1184</v>
      </c>
      <c r="W424" s="819">
        <v>44216.554416666666</v>
      </c>
      <c r="X424" s="971">
        <f t="shared" si="100"/>
        <v>-0.14999973961772078</v>
      </c>
      <c r="Y424" s="584" t="s">
        <v>1693</v>
      </c>
      <c r="Z424" s="988" t="str">
        <f>VLOOKUP(AA424,'place of settlement'!A:C,2,FALSE)</f>
        <v>KSDCKRSEXXX</v>
      </c>
      <c r="AA424" s="988" t="str">
        <f t="shared" si="101"/>
        <v>KR</v>
      </c>
      <c r="AB424" s="988" t="str">
        <f t="shared" si="102"/>
        <v>SamsungKR</v>
      </c>
      <c r="AC424" s="988" t="e">
        <f>VLOOKUP(AB424,sample!$1:$1048576,2,FALSE)</f>
        <v>#N/A</v>
      </c>
      <c r="AD424" s="988" t="e">
        <f>VLOOKUP($AB424,sample!$1:$1048576,3,FALSE)</f>
        <v>#N/A</v>
      </c>
      <c r="AE424" s="986" t="e">
        <f>VLOOKUP($AB424,sample!$1:$1048576,4,FALSE)</f>
        <v>#N/A</v>
      </c>
      <c r="AF424" s="988" t="e">
        <f>VLOOKUP($AB424,sample!$1:$1048576,5,FALSE)</f>
        <v>#N/A</v>
      </c>
      <c r="AL424" s="986" t="e">
        <f>VLOOKUP($AB424,sample!$1:$1048576,11,FALSE)</f>
        <v>#N/A</v>
      </c>
      <c r="AM424" s="986" t="e">
        <f>VLOOKUP($AB424,sample!$1:$1048576,12,FALSE)</f>
        <v>#N/A</v>
      </c>
      <c r="AN424" s="986" t="e">
        <f>VLOOKUP($AB424,sample!$1:$1048576,13,FALSE)</f>
        <v>#N/A</v>
      </c>
      <c r="AP424" s="988"/>
    </row>
    <row r="425" spans="1:42" s="584" customFormat="1">
      <c r="A425" s="1000">
        <f t="shared" si="106"/>
        <v>2019200440</v>
      </c>
      <c r="B425" s="816">
        <v>44264</v>
      </c>
      <c r="C425" s="816" t="s">
        <v>134</v>
      </c>
      <c r="D425" s="1133" t="str">
        <f>IFERROR(VLOOKUP(G425,PosAggregate!$B$13:$B$89,1,FALSE),"")</f>
        <v/>
      </c>
      <c r="E425" s="905" t="s">
        <v>1606</v>
      </c>
      <c r="F425" s="1006" t="str">
        <f t="shared" si="99"/>
        <v/>
      </c>
      <c r="G425" s="561" t="s">
        <v>1574</v>
      </c>
      <c r="I425" s="832" t="s">
        <v>1578</v>
      </c>
      <c r="J425" s="832" t="s">
        <v>123</v>
      </c>
      <c r="K425" s="938">
        <v>17759.7965</v>
      </c>
      <c r="L425" s="817"/>
      <c r="M425" s="938">
        <v>-8355</v>
      </c>
      <c r="N425" s="985">
        <f t="shared" si="103"/>
        <v>148383099.75749999</v>
      </c>
      <c r="O425" s="817">
        <v>-222575</v>
      </c>
      <c r="P425" s="817">
        <v>-341212</v>
      </c>
      <c r="Q425" s="817"/>
      <c r="R425" s="982">
        <f t="shared" si="93"/>
        <v>147819312.75749999</v>
      </c>
      <c r="S425" s="878">
        <v>1351.0860039318754</v>
      </c>
      <c r="T425" s="998">
        <f t="shared" si="98"/>
        <v>109407.77443280609</v>
      </c>
      <c r="U425" s="584">
        <v>44266</v>
      </c>
      <c r="V425" s="561" t="s">
        <v>1184</v>
      </c>
      <c r="W425" s="819">
        <v>44216.554416666666</v>
      </c>
      <c r="X425" s="971">
        <f t="shared" si="100"/>
        <v>-0.15000023612106136</v>
      </c>
      <c r="Y425" s="584" t="s">
        <v>1693</v>
      </c>
      <c r="Z425" s="988" t="str">
        <f>VLOOKUP(AA425,'place of settlement'!A:C,2,FALSE)</f>
        <v>KSDCKRSEXXX</v>
      </c>
      <c r="AA425" s="988" t="str">
        <f t="shared" si="101"/>
        <v>KR</v>
      </c>
      <c r="AB425" s="988" t="str">
        <f t="shared" si="102"/>
        <v>SamsungKR</v>
      </c>
      <c r="AC425" s="988" t="e">
        <f>VLOOKUP(AB425,sample!$1:$1048576,2,FALSE)</f>
        <v>#N/A</v>
      </c>
      <c r="AD425" s="988" t="e">
        <f>VLOOKUP($AB425,sample!$1:$1048576,3,FALSE)</f>
        <v>#N/A</v>
      </c>
      <c r="AE425" s="986" t="e">
        <f>VLOOKUP($AB425,sample!$1:$1048576,4,FALSE)</f>
        <v>#N/A</v>
      </c>
      <c r="AF425" s="988" t="e">
        <f>VLOOKUP($AB425,sample!$1:$1048576,5,FALSE)</f>
        <v>#N/A</v>
      </c>
      <c r="AL425" s="986" t="e">
        <f>VLOOKUP($AB425,sample!$1:$1048576,11,FALSE)</f>
        <v>#N/A</v>
      </c>
      <c r="AM425" s="986" t="e">
        <f>VLOOKUP($AB425,sample!$1:$1048576,12,FALSE)</f>
        <v>#N/A</v>
      </c>
      <c r="AN425" s="986" t="e">
        <f>VLOOKUP($AB425,sample!$1:$1048576,13,FALSE)</f>
        <v>#N/A</v>
      </c>
      <c r="AP425" s="988"/>
    </row>
    <row r="426" spans="1:42" s="584" customFormat="1">
      <c r="A426" s="1000">
        <f t="shared" si="106"/>
        <v>2019200441</v>
      </c>
      <c r="B426" s="816">
        <v>44264</v>
      </c>
      <c r="C426" s="816" t="s">
        <v>133</v>
      </c>
      <c r="D426" s="1133" t="str">
        <f>IFERROR(VLOOKUP(G426,PosAggregate!$B$13:$B$89,1,FALSE),"")</f>
        <v/>
      </c>
      <c r="E426" s="905" t="s">
        <v>1190</v>
      </c>
      <c r="F426" s="1006" t="str">
        <f t="shared" si="99"/>
        <v/>
      </c>
      <c r="G426" s="561" t="s">
        <v>1590</v>
      </c>
      <c r="I426" s="832" t="s">
        <v>1085</v>
      </c>
      <c r="J426" s="832" t="s">
        <v>125</v>
      </c>
      <c r="K426" s="938">
        <v>2098.8435899999999</v>
      </c>
      <c r="L426" s="938"/>
      <c r="M426" s="938">
        <v>3900</v>
      </c>
      <c r="N426" s="985">
        <f t="shared" si="103"/>
        <v>-8185490.0010000002</v>
      </c>
      <c r="O426" s="817">
        <v>-4911</v>
      </c>
      <c r="P426" s="817"/>
      <c r="Q426" s="817"/>
      <c r="R426" s="982">
        <f t="shared" si="93"/>
        <v>-8190401.0010000002</v>
      </c>
      <c r="S426" s="878">
        <v>128.92299675501567</v>
      </c>
      <c r="T426" s="998">
        <f t="shared" si="98"/>
        <v>-63529.402877313718</v>
      </c>
      <c r="U426" s="584">
        <v>44266</v>
      </c>
      <c r="V426" s="561" t="s">
        <v>1656</v>
      </c>
      <c r="W426" s="819">
        <v>44216.554416666666</v>
      </c>
      <c r="X426" s="971">
        <f t="shared" si="100"/>
        <v>5.9996408271221831E-2</v>
      </c>
      <c r="Y426" s="584" t="s">
        <v>1693</v>
      </c>
      <c r="Z426" s="988" t="str">
        <f>VLOOKUP(AA426,'place of settlement'!A:C,2,FALSE)</f>
        <v>JJSDJPJTXXX</v>
      </c>
      <c r="AA426" s="988" t="str">
        <f t="shared" si="101"/>
        <v>JP</v>
      </c>
      <c r="AB426" s="988" t="str">
        <f t="shared" si="102"/>
        <v>Tavira SecuritiesJP</v>
      </c>
      <c r="AC426" s="988" t="str">
        <f>VLOOKUP(AB426,sample!$1:$1048576,2,FALSE)</f>
        <v>GSILGB2XXXX</v>
      </c>
      <c r="AD426" s="988" t="str">
        <f>VLOOKUP($AB426,sample!$1:$1048576,3,FALSE)</f>
        <v>JJSDJPJTXXX</v>
      </c>
      <c r="AE426" s="986">
        <f>VLOOKUP($AB426,sample!$1:$1048576,4,FALSE)</f>
        <v>6530490016</v>
      </c>
      <c r="AF426" s="988" t="str">
        <f>VLOOKUP($AB426,sample!$1:$1048576,5,FALSE)</f>
        <v>N</v>
      </c>
      <c r="AL426" s="986" t="str">
        <f>VLOOKUP($AB426,sample!$1:$1048576,11,FALSE)</f>
        <v xml:space="preserve">                  </v>
      </c>
      <c r="AM426" s="986" t="str">
        <f>VLOOKUP($AB426,sample!$1:$1048576,12,FALSE)</f>
        <v xml:space="preserve">                          </v>
      </c>
      <c r="AN426" s="986" t="str">
        <f>VLOOKUP($AB426,sample!$1:$1048576,13,FALSE)</f>
        <v>GOLDJPJXXXX</v>
      </c>
      <c r="AP426" s="988"/>
    </row>
    <row r="427" spans="1:42" s="584" customFormat="1">
      <c r="A427" s="1000">
        <f t="shared" si="106"/>
        <v>2019200442</v>
      </c>
      <c r="B427" s="816">
        <v>44264</v>
      </c>
      <c r="C427" s="816" t="s">
        <v>133</v>
      </c>
      <c r="D427" s="1133" t="str">
        <f>IFERROR(VLOOKUP(G427,PosAggregate!$B$13:$B$89,1,FALSE),"")</f>
        <v/>
      </c>
      <c r="E427" s="905" t="s">
        <v>1611</v>
      </c>
      <c r="F427" s="1006" t="str">
        <f t="shared" si="99"/>
        <v/>
      </c>
      <c r="G427" s="561" t="s">
        <v>1601</v>
      </c>
      <c r="I427" s="832" t="s">
        <v>1602</v>
      </c>
      <c r="J427" s="832" t="s">
        <v>1065</v>
      </c>
      <c r="K427" s="938">
        <v>2.6724559999999999</v>
      </c>
      <c r="L427" s="938"/>
      <c r="M427" s="938">
        <v>570000</v>
      </c>
      <c r="N427" s="985">
        <f t="shared" si="103"/>
        <v>-1523299.92</v>
      </c>
      <c r="O427" s="817">
        <v>-913.98</v>
      </c>
      <c r="P427" s="817">
        <v>-1640.59</v>
      </c>
      <c r="Q427" s="817"/>
      <c r="R427" s="982">
        <f t="shared" si="93"/>
        <v>-1525854.49</v>
      </c>
      <c r="S427" s="878">
        <v>9.2005968876572268</v>
      </c>
      <c r="T427" s="998">
        <f t="shared" si="98"/>
        <v>-165842.98917029638</v>
      </c>
      <c r="U427" s="584">
        <v>44266</v>
      </c>
      <c r="V427" s="561" t="s">
        <v>1656</v>
      </c>
      <c r="W427" s="819">
        <v>44216.554416666666</v>
      </c>
      <c r="X427" s="971">
        <f t="shared" si="100"/>
        <v>6.0000003151053805E-2</v>
      </c>
      <c r="Y427" s="584" t="s">
        <v>1693</v>
      </c>
      <c r="Z427" s="988" t="str">
        <f>VLOOKUP(AA427,'place of settlement'!A:C,2,FALSE)</f>
        <v>XHKCHKH1XXX</v>
      </c>
      <c r="AA427" s="584" t="s">
        <v>1769</v>
      </c>
      <c r="AB427" s="988" t="str">
        <f t="shared" si="102"/>
        <v>Tavira SecuritiesHK</v>
      </c>
      <c r="AC427" s="988" t="str">
        <f>VLOOKUP(AB427,sample!$1:$1048576,2,FALSE)</f>
        <v>GSILGB2XXXX</v>
      </c>
      <c r="AD427" s="988" t="str">
        <f>VLOOKUP($AB427,sample!$1:$1048576,3,FALSE)</f>
        <v>XHKCHKH1XXX</v>
      </c>
      <c r="AE427" s="986" t="str">
        <f>VLOOKUP($AB427,sample!$1:$1048576,4,FALSE)</f>
        <v xml:space="preserve">        </v>
      </c>
      <c r="AF427" s="988" t="str">
        <f>VLOOKUP($AB427,sample!$1:$1048576,5,FALSE)</f>
        <v>N</v>
      </c>
      <c r="AL427" s="986" t="str">
        <f>VLOOKUP($AB427,sample!$1:$1048576,11,FALSE)</f>
        <v>CCASS</v>
      </c>
      <c r="AM427" s="986" t="str">
        <f>VLOOKUP($AB427,sample!$1:$1048576,12,FALSE)</f>
        <v>B01451</v>
      </c>
      <c r="AN427" s="986" t="str">
        <f>VLOOKUP($AB427,sample!$1:$1048576,13,FALSE)</f>
        <v>GSASHKH1XX</v>
      </c>
      <c r="AP427" s="988"/>
    </row>
    <row r="428" spans="1:42" s="584" customFormat="1">
      <c r="A428" s="1000">
        <f t="shared" si="106"/>
        <v>2019200443</v>
      </c>
      <c r="B428" s="816">
        <v>44265</v>
      </c>
      <c r="C428" s="816" t="s">
        <v>133</v>
      </c>
      <c r="D428" s="1133" t="str">
        <f>IFERROR(VLOOKUP(G428,PosAggregate!$B$13:$B$89,1,FALSE),"")</f>
        <v/>
      </c>
      <c r="E428" s="905" t="s">
        <v>1654</v>
      </c>
      <c r="F428" s="1006" t="str">
        <f t="shared" si="99"/>
        <v/>
      </c>
      <c r="G428" s="561" t="s">
        <v>1647</v>
      </c>
      <c r="I428" s="832" t="s">
        <v>1655</v>
      </c>
      <c r="J428" s="832" t="s">
        <v>1069</v>
      </c>
      <c r="K428" s="938">
        <v>2.1118410000000001</v>
      </c>
      <c r="L428" s="938"/>
      <c r="M428" s="938">
        <v>80000</v>
      </c>
      <c r="N428" s="985">
        <f t="shared" si="103"/>
        <v>-168947.28</v>
      </c>
      <c r="O428" s="817">
        <v>-101.37</v>
      </c>
      <c r="P428" s="817"/>
      <c r="Q428" s="817"/>
      <c r="R428" s="982">
        <f t="shared" si="93"/>
        <v>-169048.65</v>
      </c>
      <c r="S428" s="878">
        <v>1.5429873405672969</v>
      </c>
      <c r="T428" s="998">
        <f t="shared" si="98"/>
        <v>-109559.3240174267</v>
      </c>
      <c r="U428" s="584">
        <v>44267</v>
      </c>
      <c r="V428" s="561" t="s">
        <v>1656</v>
      </c>
      <c r="W428" s="819">
        <v>44216.554416666666</v>
      </c>
      <c r="X428" s="971">
        <f t="shared" si="100"/>
        <v>6.0000965981813981E-2</v>
      </c>
      <c r="Y428" s="584" t="s">
        <v>1693</v>
      </c>
      <c r="Z428" s="988" t="str">
        <f>VLOOKUP(AA428,'place of settlement'!A:C,2,FALSE)</f>
        <v>CAETAU21XXX</v>
      </c>
      <c r="AA428" s="988" t="str">
        <f t="shared" si="101"/>
        <v>AU</v>
      </c>
      <c r="AB428" s="988" t="str">
        <f t="shared" si="102"/>
        <v>Tavira SecuritiesAU</v>
      </c>
      <c r="AC428" s="988" t="str">
        <f>VLOOKUP(AB428,sample!$1:$1048576,2,FALSE)</f>
        <v>GSILGB2XXXX</v>
      </c>
      <c r="AD428" s="988" t="str">
        <f>VLOOKUP($AB428,sample!$1:$1048576,3,FALSE)</f>
        <v>CAETAU21</v>
      </c>
      <c r="AE428" s="986" t="str">
        <f>VLOOKUP($AB428,sample!$1:$1048576,4,FALSE)</f>
        <v>011-109048-061</v>
      </c>
      <c r="AF428" s="988" t="str">
        <f>VLOOKUP($AB428,sample!$1:$1048576,5,FALSE)</f>
        <v>N</v>
      </c>
      <c r="AL428" s="986" t="str">
        <f>VLOOKUP($AB428,sample!$1:$1048576,11,FALSE)</f>
        <v xml:space="preserve">        </v>
      </c>
      <c r="AM428" s="986" t="str">
        <f>VLOOKUP($AB428,sample!$1:$1048576,12,FALSE)</f>
        <v xml:space="preserve">        </v>
      </c>
      <c r="AN428" s="986" t="str">
        <f>VLOOKUP($AB428,sample!$1:$1048576,13,FALSE)</f>
        <v>HKBAAU2SSYD</v>
      </c>
      <c r="AP428" s="988"/>
    </row>
    <row r="429" spans="1:42" s="584" customFormat="1">
      <c r="A429" s="1000">
        <f t="shared" si="106"/>
        <v>2019200444</v>
      </c>
      <c r="B429" s="816">
        <v>44266</v>
      </c>
      <c r="C429" s="816" t="s">
        <v>134</v>
      </c>
      <c r="D429" s="1133" t="str">
        <f>IFERROR(VLOOKUP(G429,PosAggregate!$B$13:$B$89,1,FALSE),"")</f>
        <v/>
      </c>
      <c r="E429" s="905" t="s">
        <v>1643</v>
      </c>
      <c r="F429" s="1006" t="str">
        <f t="shared" si="99"/>
        <v/>
      </c>
      <c r="G429" s="561" t="s">
        <v>1637</v>
      </c>
      <c r="I429" s="832" t="s">
        <v>1636</v>
      </c>
      <c r="J429" s="832" t="s">
        <v>2</v>
      </c>
      <c r="K429" s="938">
        <v>230.8</v>
      </c>
      <c r="L429" s="938"/>
      <c r="M429" s="938">
        <v>-790</v>
      </c>
      <c r="N429" s="985">
        <f t="shared" si="103"/>
        <v>182332</v>
      </c>
      <c r="O429" s="817">
        <v>-109.4</v>
      </c>
      <c r="R429" s="982">
        <f t="shared" si="93"/>
        <v>182222.6</v>
      </c>
      <c r="S429" s="878">
        <v>1</v>
      </c>
      <c r="T429" s="998">
        <f t="shared" si="98"/>
        <v>182222.6</v>
      </c>
      <c r="U429" s="584">
        <v>44270</v>
      </c>
      <c r="V429" s="561" t="s">
        <v>2103</v>
      </c>
      <c r="W429" s="819">
        <v>44216.554416666666</v>
      </c>
      <c r="X429" s="971">
        <f t="shared" ref="X429:X488" si="107">+O429/N429*100</f>
        <v>-6.0000438760064063E-2</v>
      </c>
      <c r="Y429" s="584" t="s">
        <v>1693</v>
      </c>
      <c r="Z429" s="988" t="str">
        <f>VLOOKUP(AA429,'place of settlement'!A:C,2,FALSE)</f>
        <v>DAKVDEFFXXX</v>
      </c>
      <c r="AA429" s="988" t="str">
        <f t="shared" ref="AA429:AA434" si="108">LEFT(E429,2)</f>
        <v>DE</v>
      </c>
      <c r="AB429" s="988" t="str">
        <f t="shared" ref="AB429:AB430" si="109">CONCATENATE(V429,AA429)</f>
        <v>Equita DE</v>
      </c>
      <c r="AC429" s="988" t="e">
        <f>VLOOKUP(AB429,sample!$1:$1048576,2,FALSE)</f>
        <v>#N/A</v>
      </c>
      <c r="AD429" s="988" t="e">
        <f>VLOOKUP($AB429,sample!$1:$1048576,3,FALSE)</f>
        <v>#N/A</v>
      </c>
      <c r="AE429" s="986" t="e">
        <f>VLOOKUP($AB429,sample!$1:$1048576,4,FALSE)</f>
        <v>#N/A</v>
      </c>
      <c r="AF429" s="988" t="e">
        <f>VLOOKUP($AB429,sample!$1:$1048576,5,FALSE)</f>
        <v>#N/A</v>
      </c>
      <c r="AL429" s="986" t="e">
        <f>VLOOKUP($AB429,sample!$1:$1048576,11,FALSE)</f>
        <v>#N/A</v>
      </c>
      <c r="AM429" s="986" t="e">
        <f>VLOOKUP($AB429,sample!$1:$1048576,12,FALSE)</f>
        <v>#N/A</v>
      </c>
      <c r="AN429" s="986" t="e">
        <f>VLOOKUP($AB429,sample!$1:$1048576,13,FALSE)</f>
        <v>#N/A</v>
      </c>
      <c r="AP429" s="988"/>
    </row>
    <row r="430" spans="1:42" s="584" customFormat="1">
      <c r="A430" s="1000">
        <f t="shared" si="106"/>
        <v>2019200445</v>
      </c>
      <c r="B430" s="816">
        <v>44266</v>
      </c>
      <c r="C430" s="816" t="s">
        <v>133</v>
      </c>
      <c r="D430" s="1133" t="str">
        <f>IFERROR(VLOOKUP(G430,PosAggregate!$B$13:$B$89,1,FALSE),"")</f>
        <v/>
      </c>
      <c r="E430" s="905" t="s">
        <v>1635</v>
      </c>
      <c r="F430" s="1006" t="str">
        <f t="shared" si="99"/>
        <v/>
      </c>
      <c r="G430" s="561" t="s">
        <v>1648</v>
      </c>
      <c r="I430" s="832" t="s">
        <v>1636</v>
      </c>
      <c r="J430" s="832" t="s">
        <v>2</v>
      </c>
      <c r="K430" s="938">
        <v>192.04</v>
      </c>
      <c r="L430" s="938"/>
      <c r="M430" s="938">
        <v>960</v>
      </c>
      <c r="N430" s="985">
        <f t="shared" si="103"/>
        <v>-184358.39999999999</v>
      </c>
      <c r="O430" s="817">
        <v>-110.62</v>
      </c>
      <c r="R430" s="982">
        <f t="shared" si="93"/>
        <v>-184469.02</v>
      </c>
      <c r="S430" s="878">
        <v>1</v>
      </c>
      <c r="T430" s="998">
        <f t="shared" si="98"/>
        <v>-184469.02</v>
      </c>
      <c r="U430" s="584">
        <v>44270</v>
      </c>
      <c r="V430" s="561" t="s">
        <v>1183</v>
      </c>
      <c r="W430" s="819">
        <v>44216.554416666666</v>
      </c>
      <c r="X430" s="971">
        <f t="shared" si="107"/>
        <v>6.0002690411719781E-2</v>
      </c>
      <c r="Y430" s="584" t="s">
        <v>1693</v>
      </c>
      <c r="Z430" s="988" t="str">
        <f>VLOOKUP(AA430,'place of settlement'!A:C,2,FALSE)</f>
        <v>DAKVDEFFXXX</v>
      </c>
      <c r="AA430" s="988" t="str">
        <f t="shared" si="108"/>
        <v>DE</v>
      </c>
      <c r="AB430" s="988" t="str">
        <f t="shared" si="109"/>
        <v>EquitaDE</v>
      </c>
      <c r="AC430" s="988" t="str">
        <f>VLOOKUP(AB430,sample!$1:$1048576,2,FALSE)</f>
        <v>EMSIITM1XXX</v>
      </c>
      <c r="AD430" s="988" t="str">
        <f>VLOOKUP($AB430,sample!$1:$1048576,3,FALSE)</f>
        <v>DAKVDEFFXXX</v>
      </c>
      <c r="AE430" s="986" t="str">
        <f>VLOOKUP($AB430,sample!$1:$1048576,4,FALSE)</f>
        <v>DAKV8135000</v>
      </c>
      <c r="AF430" s="988" t="str">
        <f>VLOOKUP($AB430,sample!$1:$1048576,5,FALSE)</f>
        <v>N</v>
      </c>
      <c r="AL430" s="986" t="str">
        <f>VLOOKUP($AB430,sample!$1:$1048576,11,FALSE)</f>
        <v xml:space="preserve">        </v>
      </c>
      <c r="AM430" s="986" t="str">
        <f>VLOOKUP($AB430,sample!$1:$1048576,12,FALSE)</f>
        <v xml:space="preserve">        </v>
      </c>
      <c r="AN430" s="986" t="str">
        <f>VLOOKUP($AB430,sample!$1:$1048576,13,FALSE)</f>
        <v>BCITITMMD03</v>
      </c>
      <c r="AP430" s="988"/>
    </row>
    <row r="431" spans="1:42" s="584" customFormat="1">
      <c r="A431" s="1000">
        <f t="shared" si="106"/>
        <v>2019200446</v>
      </c>
      <c r="B431" s="816">
        <v>44272</v>
      </c>
      <c r="C431" s="816" t="s">
        <v>133</v>
      </c>
      <c r="D431" s="1133" t="str">
        <f>IFERROR(VLOOKUP(G431,PosAggregate!$B$13:$B$89,1,FALSE),"")</f>
        <v/>
      </c>
      <c r="E431" s="905" t="s">
        <v>1654</v>
      </c>
      <c r="F431" s="1006" t="str">
        <f t="shared" si="99"/>
        <v/>
      </c>
      <c r="G431" s="561" t="s">
        <v>1647</v>
      </c>
      <c r="I431" s="832" t="s">
        <v>1655</v>
      </c>
      <c r="J431" s="832" t="s">
        <v>1069</v>
      </c>
      <c r="K431" s="938">
        <v>2.03376</v>
      </c>
      <c r="L431" s="938"/>
      <c r="M431" s="938">
        <v>70000</v>
      </c>
      <c r="N431" s="985">
        <f t="shared" si="103"/>
        <v>-142363.20000000001</v>
      </c>
      <c r="O431" s="817">
        <v>-85.42</v>
      </c>
      <c r="R431" s="982">
        <f t="shared" si="93"/>
        <v>-142448.62000000002</v>
      </c>
      <c r="S431" s="878">
        <v>1.5364733322226722</v>
      </c>
      <c r="T431" s="998">
        <f t="shared" si="98"/>
        <v>-92711.417121658029</v>
      </c>
      <c r="U431" s="584">
        <v>44274</v>
      </c>
      <c r="V431" s="561" t="s">
        <v>1656</v>
      </c>
      <c r="W431" s="819">
        <v>44216.554416666666</v>
      </c>
      <c r="X431" s="971">
        <f t="shared" si="107"/>
        <v>6.0001461051732471E-2</v>
      </c>
      <c r="Y431" s="584" t="s">
        <v>1693</v>
      </c>
      <c r="Z431" s="988" t="str">
        <f>VLOOKUP(AA431,'place of settlement'!A:C,2,FALSE)</f>
        <v>CAETAU21XXX</v>
      </c>
      <c r="AA431" s="988" t="str">
        <f t="shared" si="108"/>
        <v>AU</v>
      </c>
      <c r="AB431" s="988" t="str">
        <f t="shared" ref="AB431" si="110">CONCATENATE(V431,AA431)</f>
        <v>Tavira SecuritiesAU</v>
      </c>
      <c r="AC431" s="988" t="str">
        <f>VLOOKUP(AB431,sample!$1:$1048576,2,FALSE)</f>
        <v>GSILGB2XXXX</v>
      </c>
      <c r="AD431" s="988" t="str">
        <f>VLOOKUP($AB431,sample!$1:$1048576,3,FALSE)</f>
        <v>CAETAU21</v>
      </c>
      <c r="AE431" s="986" t="str">
        <f>VLOOKUP($AB431,sample!$1:$1048576,4,FALSE)</f>
        <v>011-109048-061</v>
      </c>
      <c r="AF431" s="988" t="str">
        <f>VLOOKUP($AB431,sample!$1:$1048576,5,FALSE)</f>
        <v>N</v>
      </c>
      <c r="AL431" s="986" t="str">
        <f>VLOOKUP($AB431,sample!$1:$1048576,11,FALSE)</f>
        <v xml:space="preserve">        </v>
      </c>
      <c r="AM431" s="986" t="str">
        <f>VLOOKUP($AB431,sample!$1:$1048576,12,FALSE)</f>
        <v xml:space="preserve">        </v>
      </c>
      <c r="AN431" s="986" t="str">
        <f>VLOOKUP($AB431,sample!$1:$1048576,13,FALSE)</f>
        <v>HKBAAU2SSYD</v>
      </c>
      <c r="AP431" s="988"/>
    </row>
    <row r="432" spans="1:42">
      <c r="A432" s="1000">
        <f t="shared" si="106"/>
        <v>2019200447</v>
      </c>
      <c r="B432" s="881">
        <v>44277</v>
      </c>
      <c r="C432" s="881" t="s">
        <v>133</v>
      </c>
      <c r="D432" s="1133" t="str">
        <f>IFERROR(VLOOKUP(G432,PosAggregate!$B$13:$B$89,1,FALSE),"")</f>
        <v/>
      </c>
      <c r="E432" s="769" t="s">
        <v>1190</v>
      </c>
      <c r="F432" s="1006" t="str">
        <f t="shared" si="99"/>
        <v/>
      </c>
      <c r="G432" s="594" t="s">
        <v>1139</v>
      </c>
      <c r="I432" s="833" t="s">
        <v>1085</v>
      </c>
      <c r="J432" s="833" t="s">
        <v>125</v>
      </c>
      <c r="K432" s="938">
        <v>2243.5</v>
      </c>
      <c r="L432" s="938"/>
      <c r="M432" s="938">
        <v>2600</v>
      </c>
      <c r="N432" s="1009">
        <f t="shared" si="103"/>
        <v>-5833100</v>
      </c>
      <c r="O432" s="817">
        <v>-3500</v>
      </c>
      <c r="R432" s="982">
        <f t="shared" si="93"/>
        <v>-5836600</v>
      </c>
      <c r="S432" s="878">
        <v>129.58863019568611</v>
      </c>
      <c r="T432" s="998">
        <f t="shared" si="98"/>
        <v>-45039.445136401293</v>
      </c>
      <c r="U432" s="716">
        <v>44279</v>
      </c>
      <c r="V432" s="594" t="s">
        <v>1656</v>
      </c>
      <c r="W432" s="914">
        <v>44216.554416666666</v>
      </c>
      <c r="X432" s="971">
        <f t="shared" si="107"/>
        <v>6.0002400096003834E-2</v>
      </c>
      <c r="Y432" s="584" t="s">
        <v>1693</v>
      </c>
      <c r="Z432" s="988" t="str">
        <f>VLOOKUP(AA432,'place of settlement'!A:C,2,FALSE)</f>
        <v>JJSDJPJTXXX</v>
      </c>
      <c r="AA432" s="988" t="str">
        <f t="shared" si="108"/>
        <v>JP</v>
      </c>
      <c r="AB432" s="988" t="str">
        <f t="shared" ref="AB432" si="111">CONCATENATE(V432,AA432)</f>
        <v>Tavira SecuritiesJP</v>
      </c>
      <c r="AC432" s="988" t="str">
        <f>VLOOKUP(AB432,sample!$1:$1048576,2,FALSE)</f>
        <v>GSILGB2XXXX</v>
      </c>
      <c r="AD432" s="988" t="str">
        <f>VLOOKUP($AB432,sample!$1:$1048576,3,FALSE)</f>
        <v>JJSDJPJTXXX</v>
      </c>
      <c r="AE432" s="986">
        <f>VLOOKUP($AB432,sample!$1:$1048576,4,FALSE)</f>
        <v>6530490016</v>
      </c>
      <c r="AF432" s="988" t="str">
        <f>VLOOKUP($AB432,sample!$1:$1048576,5,FALSE)</f>
        <v>N</v>
      </c>
      <c r="AG432" s="584"/>
      <c r="AH432" s="584"/>
      <c r="AI432" s="584"/>
      <c r="AJ432" s="584"/>
      <c r="AK432" s="584"/>
      <c r="AL432" s="986" t="str">
        <f>VLOOKUP($AB432,sample!$1:$1048576,11,FALSE)</f>
        <v xml:space="preserve">                  </v>
      </c>
      <c r="AM432" s="986" t="str">
        <f>VLOOKUP($AB432,sample!$1:$1048576,12,FALSE)</f>
        <v xml:space="preserve">                          </v>
      </c>
      <c r="AN432" s="986" t="str">
        <f>VLOOKUP($AB432,sample!$1:$1048576,13,FALSE)</f>
        <v>GOLDJPJXXXX</v>
      </c>
      <c r="AO432" s="584"/>
      <c r="AP432" s="988"/>
    </row>
    <row r="433" spans="1:42" ht="14.25" customHeight="1">
      <c r="A433" s="1000">
        <f t="shared" si="106"/>
        <v>2019200448</v>
      </c>
      <c r="B433" s="881">
        <v>44278</v>
      </c>
      <c r="C433" s="881" t="s">
        <v>133</v>
      </c>
      <c r="D433" s="1133" t="str">
        <f>IFERROR(VLOOKUP(G433,PosAggregate!$B$13:$B$89,1,FALSE),"")</f>
        <v/>
      </c>
      <c r="E433" s="769" t="s">
        <v>1217</v>
      </c>
      <c r="F433" s="1006" t="str">
        <f t="shared" si="99"/>
        <v/>
      </c>
      <c r="G433" s="594" t="s">
        <v>1168</v>
      </c>
      <c r="I433" s="833" t="s">
        <v>12626</v>
      </c>
      <c r="J433" s="833" t="s">
        <v>2</v>
      </c>
      <c r="K433" s="938">
        <v>28.1433</v>
      </c>
      <c r="L433" s="938"/>
      <c r="M433" s="938">
        <v>5100</v>
      </c>
      <c r="N433" s="1009">
        <f t="shared" si="103"/>
        <v>-143530.82999999999</v>
      </c>
      <c r="O433" s="817">
        <v>-86.12</v>
      </c>
      <c r="P433" s="817">
        <v>-430.59</v>
      </c>
      <c r="R433" s="982">
        <f t="shared" si="93"/>
        <v>-144047.53999999998</v>
      </c>
      <c r="S433" s="878">
        <v>1</v>
      </c>
      <c r="T433" s="998">
        <f t="shared" si="98"/>
        <v>-144047.53999999998</v>
      </c>
      <c r="U433" s="716">
        <v>44280</v>
      </c>
      <c r="V433" s="594" t="s">
        <v>2103</v>
      </c>
      <c r="W433" s="914">
        <v>44216.554416666666</v>
      </c>
      <c r="X433" s="971">
        <f t="shared" si="107"/>
        <v>6.0001046465069575E-2</v>
      </c>
      <c r="Y433" s="584" t="s">
        <v>1693</v>
      </c>
      <c r="Z433" s="988" t="str">
        <f>VLOOKUP(AA433,'place of settlement'!A:C,2,FALSE)</f>
        <v>SICVFRPPXXX</v>
      </c>
      <c r="AA433" s="988" t="str">
        <f t="shared" si="108"/>
        <v>FR</v>
      </c>
      <c r="AB433" s="988" t="str">
        <f t="shared" ref="AB433:AB475" si="112">CONCATENATE(V433,AA433)</f>
        <v>Equita FR</v>
      </c>
      <c r="AC433" s="988" t="e">
        <f>VLOOKUP(AB433,sample!$1:$1048576,2,FALSE)</f>
        <v>#N/A</v>
      </c>
      <c r="AD433" s="988" t="e">
        <f>VLOOKUP($AB433,sample!$1:$1048576,3,FALSE)</f>
        <v>#N/A</v>
      </c>
      <c r="AE433" s="986" t="e">
        <f>VLOOKUP($AB433,sample!$1:$1048576,4,FALSE)</f>
        <v>#N/A</v>
      </c>
      <c r="AF433" s="988" t="e">
        <f>VLOOKUP($AB433,sample!$1:$1048576,5,FALSE)</f>
        <v>#N/A</v>
      </c>
      <c r="AG433" s="584"/>
      <c r="AH433" s="584"/>
      <c r="AI433" s="584"/>
      <c r="AJ433" s="584"/>
      <c r="AK433" s="584"/>
      <c r="AL433" s="986" t="e">
        <f>VLOOKUP($AB433,sample!$1:$1048576,11,FALSE)</f>
        <v>#N/A</v>
      </c>
      <c r="AM433" s="986" t="e">
        <f>VLOOKUP($AB433,sample!$1:$1048576,12,FALSE)</f>
        <v>#N/A</v>
      </c>
      <c r="AN433" s="986" t="e">
        <f>VLOOKUP($AB433,sample!$1:$1048576,13,FALSE)</f>
        <v>#N/A</v>
      </c>
      <c r="AO433" s="584"/>
      <c r="AP433" s="988"/>
    </row>
    <row r="434" spans="1:42" s="584" customFormat="1">
      <c r="A434" s="1000">
        <f>(A433+1)</f>
        <v>2019200449</v>
      </c>
      <c r="B434" s="816">
        <v>44279</v>
      </c>
      <c r="C434" s="816" t="s">
        <v>133</v>
      </c>
      <c r="D434" s="1133" t="str">
        <f>IFERROR(VLOOKUP(G434,PosAggregate!$B$13:$B$89,1,FALSE),"")</f>
        <v/>
      </c>
      <c r="E434" s="905" t="s">
        <v>1217</v>
      </c>
      <c r="F434" s="1006" t="str">
        <f t="shared" si="99"/>
        <v/>
      </c>
      <c r="G434" s="561" t="s">
        <v>1168</v>
      </c>
      <c r="I434" s="832" t="s">
        <v>12626</v>
      </c>
      <c r="J434" s="832" t="s">
        <v>2</v>
      </c>
      <c r="K434" s="938">
        <v>28.3385</v>
      </c>
      <c r="L434" s="938"/>
      <c r="M434" s="938">
        <v>5000</v>
      </c>
      <c r="N434" s="1009">
        <f t="shared" si="103"/>
        <v>-141692.5</v>
      </c>
      <c r="O434" s="817">
        <v>-85.02</v>
      </c>
      <c r="P434" s="817">
        <v>-425.08</v>
      </c>
      <c r="R434" s="982">
        <f t="shared" si="93"/>
        <v>-142202.59999999998</v>
      </c>
      <c r="S434" s="878">
        <v>1</v>
      </c>
      <c r="T434" s="998">
        <f t="shared" si="98"/>
        <v>-142202.59999999998</v>
      </c>
      <c r="U434" s="584">
        <v>44281</v>
      </c>
      <c r="V434" s="561" t="s">
        <v>2103</v>
      </c>
      <c r="W434" s="819">
        <v>44216.554416666666</v>
      </c>
      <c r="X434" s="971">
        <f t="shared" si="107"/>
        <v>6.0003175891455089E-2</v>
      </c>
      <c r="Y434" s="584" t="s">
        <v>1693</v>
      </c>
      <c r="Z434" s="988" t="str">
        <f>VLOOKUP(AA434,'place of settlement'!A:C,2,FALSE)</f>
        <v>SICVFRPPXXX</v>
      </c>
      <c r="AA434" s="988" t="str">
        <f t="shared" si="108"/>
        <v>FR</v>
      </c>
      <c r="AB434" s="988" t="str">
        <f t="shared" si="112"/>
        <v>Equita FR</v>
      </c>
      <c r="AC434" s="988" t="e">
        <f>VLOOKUP(AB434,sample!$1:$1048576,2,FALSE)</f>
        <v>#N/A</v>
      </c>
      <c r="AD434" s="988" t="e">
        <f>VLOOKUP($AB434,sample!$1:$1048576,3,FALSE)</f>
        <v>#N/A</v>
      </c>
      <c r="AE434" s="986" t="e">
        <f>VLOOKUP($AB434,sample!$1:$1048576,4,FALSE)</f>
        <v>#N/A</v>
      </c>
      <c r="AF434" s="988" t="e">
        <f>VLOOKUP($AB434,sample!$1:$1048576,5,FALSE)</f>
        <v>#N/A</v>
      </c>
      <c r="AL434" s="986" t="e">
        <f>VLOOKUP($AB434,sample!$1:$1048576,11,FALSE)</f>
        <v>#N/A</v>
      </c>
      <c r="AM434" s="986" t="e">
        <f>VLOOKUP($AB434,sample!$1:$1048576,12,FALSE)</f>
        <v>#N/A</v>
      </c>
      <c r="AN434" s="986" t="e">
        <f>VLOOKUP($AB434,sample!$1:$1048576,13,FALSE)</f>
        <v>#N/A</v>
      </c>
      <c r="AP434" s="988"/>
    </row>
    <row r="435" spans="1:42" s="584" customFormat="1">
      <c r="A435" s="1000">
        <f t="shared" ref="A435:A444" si="113">(A434+1)</f>
        <v>2019200450</v>
      </c>
      <c r="B435" s="816">
        <v>44280</v>
      </c>
      <c r="C435" s="816" t="s">
        <v>133</v>
      </c>
      <c r="D435" s="1133" t="str">
        <f>IFERROR(VLOOKUP(G435,PosAggregate!$B$13:$B$89,1,FALSE),"")</f>
        <v/>
      </c>
      <c r="E435" s="905" t="s">
        <v>1611</v>
      </c>
      <c r="F435" s="1006" t="str">
        <f t="shared" si="99"/>
        <v/>
      </c>
      <c r="G435" s="561" t="s">
        <v>1601</v>
      </c>
      <c r="I435" s="832" t="s">
        <v>1602</v>
      </c>
      <c r="J435" s="832" t="s">
        <v>1065</v>
      </c>
      <c r="K435" s="938">
        <v>2.5767730000000002</v>
      </c>
      <c r="L435" s="938"/>
      <c r="M435" s="938">
        <v>330000</v>
      </c>
      <c r="N435" s="1009">
        <f t="shared" si="103"/>
        <v>-850335.09000000008</v>
      </c>
      <c r="O435" s="817">
        <v>-510.2</v>
      </c>
      <c r="P435" s="817">
        <v>-915.82</v>
      </c>
      <c r="R435" s="982">
        <f t="shared" ref="R435:R488" si="114">SUM(N435:Q435)</f>
        <v>-851761.11</v>
      </c>
      <c r="S435" s="878">
        <v>9.1456437514764808</v>
      </c>
      <c r="T435" s="998">
        <f t="shared" si="98"/>
        <v>-93132.985839568806</v>
      </c>
      <c r="U435" s="584">
        <v>44284</v>
      </c>
      <c r="V435" s="561" t="s">
        <v>1656</v>
      </c>
      <c r="W435" s="819">
        <v>44216.554416666666</v>
      </c>
      <c r="X435" s="971">
        <f t="shared" si="107"/>
        <v>5.9999876048864455E-2</v>
      </c>
      <c r="Y435" s="584" t="s">
        <v>1693</v>
      </c>
      <c r="Z435" s="988" t="str">
        <f>VLOOKUP(AA435,'place of settlement'!A:C,2,FALSE)</f>
        <v>XHKCHKH1XXX</v>
      </c>
      <c r="AA435" s="584" t="s">
        <v>1769</v>
      </c>
      <c r="AB435" s="988" t="str">
        <f t="shared" si="112"/>
        <v>Tavira SecuritiesHK</v>
      </c>
      <c r="AC435" s="988" t="str">
        <f>VLOOKUP(AB435,sample!$1:$1048576,2,FALSE)</f>
        <v>GSILGB2XXXX</v>
      </c>
      <c r="AD435" s="988" t="str">
        <f>VLOOKUP($AB435,sample!$1:$1048576,3,FALSE)</f>
        <v>XHKCHKH1XXX</v>
      </c>
      <c r="AE435" s="986" t="str">
        <f>VLOOKUP($AB435,sample!$1:$1048576,4,FALSE)</f>
        <v xml:space="preserve">        </v>
      </c>
      <c r="AF435" s="988" t="str">
        <f>VLOOKUP($AB435,sample!$1:$1048576,5,FALSE)</f>
        <v>N</v>
      </c>
      <c r="AL435" s="986" t="str">
        <f>VLOOKUP($AB435,sample!$1:$1048576,11,FALSE)</f>
        <v>CCASS</v>
      </c>
      <c r="AM435" s="986" t="str">
        <f>VLOOKUP($AB435,sample!$1:$1048576,12,FALSE)</f>
        <v>B01451</v>
      </c>
      <c r="AN435" s="986" t="str">
        <f>VLOOKUP($AB435,sample!$1:$1048576,13,FALSE)</f>
        <v>GSASHKH1XX</v>
      </c>
      <c r="AP435" s="988"/>
    </row>
    <row r="436" spans="1:42" s="584" customFormat="1">
      <c r="A436" s="1000">
        <f t="shared" si="113"/>
        <v>2019200451</v>
      </c>
      <c r="B436" s="816">
        <v>44280</v>
      </c>
      <c r="C436" s="816" t="s">
        <v>133</v>
      </c>
      <c r="D436" s="1133" t="str">
        <f>IFERROR(VLOOKUP(G436,PosAggregate!$B$13:$B$89,1,FALSE),"")</f>
        <v/>
      </c>
      <c r="E436" s="905" t="s">
        <v>12683</v>
      </c>
      <c r="F436" s="1006" t="str">
        <f t="shared" si="99"/>
        <v/>
      </c>
      <c r="G436" s="561" t="s">
        <v>12586</v>
      </c>
      <c r="I436" s="832" t="s">
        <v>12619</v>
      </c>
      <c r="J436" s="832" t="s">
        <v>125</v>
      </c>
      <c r="K436" s="938">
        <v>825.39340700000002</v>
      </c>
      <c r="L436" s="938"/>
      <c r="M436" s="938">
        <v>9100</v>
      </c>
      <c r="N436" s="1009">
        <f t="shared" si="103"/>
        <v>-7511080.0037000002</v>
      </c>
      <c r="O436" s="817">
        <v>-4507</v>
      </c>
      <c r="P436" s="817"/>
      <c r="R436" s="982">
        <f t="shared" si="114"/>
        <v>-7515587.0037000002</v>
      </c>
      <c r="S436" s="878">
        <v>128.41956059532234</v>
      </c>
      <c r="T436" s="998">
        <f t="shared" si="98"/>
        <v>-58523.693500114299</v>
      </c>
      <c r="U436" s="584">
        <v>44284</v>
      </c>
      <c r="V436" s="561" t="s">
        <v>1656</v>
      </c>
      <c r="W436" s="819">
        <v>44216.554416666666</v>
      </c>
      <c r="X436" s="971">
        <f t="shared" si="107"/>
        <v>6.0004686380385065E-2</v>
      </c>
      <c r="Y436" s="584" t="s">
        <v>1693</v>
      </c>
      <c r="Z436" s="988" t="str">
        <f>VLOOKUP(AA436,'place of settlement'!A:C,2,FALSE)</f>
        <v>JJSDJPJTXXX</v>
      </c>
      <c r="AA436" s="988" t="str">
        <f t="shared" ref="AA436:AA465" si="115">LEFT(E436,2)</f>
        <v>JP</v>
      </c>
      <c r="AB436" s="988" t="str">
        <f t="shared" si="112"/>
        <v>Tavira SecuritiesJP</v>
      </c>
      <c r="AC436" s="988" t="str">
        <f>VLOOKUP(AB436,sample!$1:$1048576,2,FALSE)</f>
        <v>GSILGB2XXXX</v>
      </c>
      <c r="AD436" s="988" t="str">
        <f>VLOOKUP($AB436,sample!$1:$1048576,3,FALSE)</f>
        <v>JJSDJPJTXXX</v>
      </c>
      <c r="AE436" s="986">
        <f>VLOOKUP($AB436,sample!$1:$1048576,4,FALSE)</f>
        <v>6530490016</v>
      </c>
      <c r="AF436" s="988" t="str">
        <f>VLOOKUP($AB436,sample!$1:$1048576,5,FALSE)</f>
        <v>N</v>
      </c>
      <c r="AL436" s="986" t="str">
        <f>VLOOKUP($AB436,sample!$1:$1048576,11,FALSE)</f>
        <v xml:space="preserve">                  </v>
      </c>
      <c r="AM436" s="986" t="str">
        <f>VLOOKUP($AB436,sample!$1:$1048576,12,FALSE)</f>
        <v xml:space="preserve">                          </v>
      </c>
      <c r="AN436" s="986" t="str">
        <f>VLOOKUP($AB436,sample!$1:$1048576,13,FALSE)</f>
        <v>GOLDJPJXXXX</v>
      </c>
      <c r="AP436" s="988"/>
    </row>
    <row r="437" spans="1:42" s="584" customFormat="1">
      <c r="A437" s="1000">
        <f t="shared" si="113"/>
        <v>2019200452</v>
      </c>
      <c r="B437" s="816">
        <v>44280</v>
      </c>
      <c r="C437" s="816" t="s">
        <v>133</v>
      </c>
      <c r="D437" s="1133" t="str">
        <f>IFERROR(VLOOKUP(G437,PosAggregate!$B$13:$B$89,1,FALSE),"")</f>
        <v/>
      </c>
      <c r="E437" s="905" t="s">
        <v>1218</v>
      </c>
      <c r="F437" s="1006" t="str">
        <f t="shared" si="99"/>
        <v/>
      </c>
      <c r="G437" s="561" t="s">
        <v>1169</v>
      </c>
      <c r="I437" s="832" t="s">
        <v>1060</v>
      </c>
      <c r="J437" s="832" t="s">
        <v>2</v>
      </c>
      <c r="K437" s="938">
        <v>111.36279999999999</v>
      </c>
      <c r="L437" s="938"/>
      <c r="M437" s="938">
        <v>1090</v>
      </c>
      <c r="N437" s="1009">
        <f t="shared" si="103"/>
        <v>-121385.45199999999</v>
      </c>
      <c r="O437" s="817">
        <v>-72.83</v>
      </c>
      <c r="R437" s="982">
        <f t="shared" si="114"/>
        <v>-121458.28199999999</v>
      </c>
      <c r="S437" s="878">
        <v>1</v>
      </c>
      <c r="T437" s="998">
        <f t="shared" si="98"/>
        <v>-121458.28199999999</v>
      </c>
      <c r="U437" s="584">
        <v>44284</v>
      </c>
      <c r="V437" s="561" t="s">
        <v>1183</v>
      </c>
      <c r="W437" s="819">
        <v>44216.554416666666</v>
      </c>
      <c r="X437" s="971">
        <f t="shared" si="107"/>
        <v>5.9998952757534731E-2</v>
      </c>
      <c r="Y437" s="584" t="s">
        <v>1693</v>
      </c>
      <c r="Z437" s="988" t="str">
        <f>VLOOKUP(AA437,'place of settlement'!A:C,2,FALSE)</f>
        <v>DAKVDEFFXXX</v>
      </c>
      <c r="AA437" s="988" t="str">
        <f t="shared" si="115"/>
        <v>DE</v>
      </c>
      <c r="AB437" s="988" t="str">
        <f t="shared" si="112"/>
        <v>EquitaDE</v>
      </c>
      <c r="AC437" s="988" t="str">
        <f>VLOOKUP(AB437,sample!$1:$1048576,2,FALSE)</f>
        <v>EMSIITM1XXX</v>
      </c>
      <c r="AD437" s="988" t="str">
        <f>VLOOKUP($AB437,sample!$1:$1048576,3,FALSE)</f>
        <v>DAKVDEFFXXX</v>
      </c>
      <c r="AE437" s="986" t="str">
        <f>VLOOKUP($AB437,sample!$1:$1048576,4,FALSE)</f>
        <v>DAKV8135000</v>
      </c>
      <c r="AF437" s="988" t="str">
        <f>VLOOKUP($AB437,sample!$1:$1048576,5,FALSE)</f>
        <v>N</v>
      </c>
      <c r="AL437" s="986" t="str">
        <f>VLOOKUP($AB437,sample!$1:$1048576,11,FALSE)</f>
        <v xml:space="preserve">        </v>
      </c>
      <c r="AM437" s="986" t="str">
        <f>VLOOKUP($AB437,sample!$1:$1048576,12,FALSE)</f>
        <v xml:space="preserve">        </v>
      </c>
      <c r="AN437" s="986" t="str">
        <f>VLOOKUP($AB437,sample!$1:$1048576,13,FALSE)</f>
        <v>BCITITMMD03</v>
      </c>
      <c r="AP437" s="988"/>
    </row>
    <row r="438" spans="1:42" s="584" customFormat="1">
      <c r="A438" s="1000">
        <f t="shared" si="113"/>
        <v>2019200453</v>
      </c>
      <c r="B438" s="816">
        <v>44293</v>
      </c>
      <c r="C438" s="816" t="s">
        <v>134</v>
      </c>
      <c r="D438" s="1133" t="str">
        <f>IFERROR(VLOOKUP(G438,PosAggregate!$B$13:$B$89,1,FALSE),"")</f>
        <v/>
      </c>
      <c r="E438" s="905" t="s">
        <v>12676</v>
      </c>
      <c r="F438" s="1006" t="str">
        <f t="shared" si="99"/>
        <v/>
      </c>
      <c r="G438" s="561" t="s">
        <v>2097</v>
      </c>
      <c r="I438" s="951" t="s">
        <v>12613</v>
      </c>
      <c r="J438" s="832" t="s">
        <v>125</v>
      </c>
      <c r="K438" s="938">
        <v>4530</v>
      </c>
      <c r="L438" s="938"/>
      <c r="M438" s="938">
        <v>-22000</v>
      </c>
      <c r="N438" s="1009">
        <f t="shared" si="103"/>
        <v>99660000</v>
      </c>
      <c r="O438" s="817">
        <v>-59796</v>
      </c>
      <c r="P438" s="817"/>
      <c r="R438" s="982">
        <f t="shared" si="114"/>
        <v>99600204</v>
      </c>
      <c r="S438" s="878">
        <v>130.31551697521707</v>
      </c>
      <c r="T438" s="998">
        <f t="shared" si="98"/>
        <v>764300.41726298491</v>
      </c>
      <c r="U438" s="584">
        <v>44295</v>
      </c>
      <c r="V438" s="561" t="s">
        <v>1656</v>
      </c>
      <c r="W438" s="819">
        <v>44216.554416666666</v>
      </c>
      <c r="X438" s="971">
        <f t="shared" si="107"/>
        <v>-0.06</v>
      </c>
      <c r="Y438" s="584" t="s">
        <v>1693</v>
      </c>
      <c r="Z438" s="988" t="str">
        <f>VLOOKUP(AA438,'place of settlement'!A:C,2,FALSE)</f>
        <v>JJSDJPJTXXX</v>
      </c>
      <c r="AA438" s="988" t="str">
        <f t="shared" si="115"/>
        <v>JP</v>
      </c>
      <c r="AB438" s="988" t="str">
        <f t="shared" si="112"/>
        <v>Tavira SecuritiesJP</v>
      </c>
      <c r="AC438" s="988" t="str">
        <f>VLOOKUP(AB438,sample!$1:$1048576,2,FALSE)</f>
        <v>GSILGB2XXXX</v>
      </c>
      <c r="AD438" s="988" t="str">
        <f>VLOOKUP($AB438,sample!$1:$1048576,3,FALSE)</f>
        <v>JJSDJPJTXXX</v>
      </c>
      <c r="AE438" s="986">
        <f>VLOOKUP($AB438,sample!$1:$1048576,4,FALSE)</f>
        <v>6530490016</v>
      </c>
      <c r="AF438" s="988" t="str">
        <f>VLOOKUP($AB438,sample!$1:$1048576,5,FALSE)</f>
        <v>N</v>
      </c>
      <c r="AL438" s="986" t="str">
        <f>VLOOKUP($AB438,sample!$1:$1048576,11,FALSE)</f>
        <v xml:space="preserve">                  </v>
      </c>
      <c r="AM438" s="986" t="str">
        <f>VLOOKUP($AB438,sample!$1:$1048576,12,FALSE)</f>
        <v xml:space="preserve">                          </v>
      </c>
      <c r="AN438" s="986" t="str">
        <f>VLOOKUP($AB438,sample!$1:$1048576,13,FALSE)</f>
        <v>GOLDJPJXXXX</v>
      </c>
      <c r="AP438" s="988"/>
    </row>
    <row r="439" spans="1:42" s="584" customFormat="1">
      <c r="A439" s="1000">
        <f>(A438+1)</f>
        <v>2019200454</v>
      </c>
      <c r="B439" s="816">
        <v>44293</v>
      </c>
      <c r="C439" s="816" t="s">
        <v>133</v>
      </c>
      <c r="D439" s="1133" t="str">
        <f>IFERROR(VLOOKUP(G439,PosAggregate!$B$13:$B$89,1,FALSE),"")</f>
        <v/>
      </c>
      <c r="E439" s="905" t="s">
        <v>12683</v>
      </c>
      <c r="F439" s="1006" t="str">
        <f t="shared" si="99"/>
        <v/>
      </c>
      <c r="G439" s="561" t="s">
        <v>12586</v>
      </c>
      <c r="I439" s="951" t="s">
        <v>12619</v>
      </c>
      <c r="J439" s="832" t="s">
        <v>125</v>
      </c>
      <c r="K439" s="938">
        <v>824.11785699999996</v>
      </c>
      <c r="L439" s="938"/>
      <c r="M439" s="938">
        <v>2800</v>
      </c>
      <c r="N439" s="1009">
        <f t="shared" si="103"/>
        <v>-2307529.9995999997</v>
      </c>
      <c r="O439" s="817">
        <v>-1385</v>
      </c>
      <c r="P439" s="817"/>
      <c r="R439" s="982">
        <f t="shared" si="114"/>
        <v>-2308914.9995999997</v>
      </c>
      <c r="S439" s="878">
        <v>130.31551697521704</v>
      </c>
      <c r="T439" s="998">
        <f t="shared" si="98"/>
        <v>-17717.882361155054</v>
      </c>
      <c r="U439" s="584">
        <v>44295</v>
      </c>
      <c r="V439" s="561" t="s">
        <v>1656</v>
      </c>
      <c r="W439" s="819">
        <v>44216.554416666666</v>
      </c>
      <c r="X439" s="971">
        <f t="shared" si="107"/>
        <v>6.0020888146203245E-2</v>
      </c>
      <c r="Y439" s="584" t="s">
        <v>1693</v>
      </c>
      <c r="Z439" s="988" t="str">
        <f>VLOOKUP(AA439,'place of settlement'!A:C,2,FALSE)</f>
        <v>JJSDJPJTXXX</v>
      </c>
      <c r="AA439" s="988" t="str">
        <f t="shared" si="115"/>
        <v>JP</v>
      </c>
      <c r="AB439" s="988" t="str">
        <f t="shared" si="112"/>
        <v>Tavira SecuritiesJP</v>
      </c>
      <c r="AC439" s="988" t="str">
        <f>VLOOKUP(AB439,sample!$1:$1048576,2,FALSE)</f>
        <v>GSILGB2XXXX</v>
      </c>
      <c r="AD439" s="988" t="str">
        <f>VLOOKUP($AB439,sample!$1:$1048576,3,FALSE)</f>
        <v>JJSDJPJTXXX</v>
      </c>
      <c r="AE439" s="986">
        <f>VLOOKUP($AB439,sample!$1:$1048576,4,FALSE)</f>
        <v>6530490016</v>
      </c>
      <c r="AF439" s="988" t="str">
        <f>VLOOKUP($AB439,sample!$1:$1048576,5,FALSE)</f>
        <v>N</v>
      </c>
      <c r="AL439" s="986" t="str">
        <f>VLOOKUP($AB439,sample!$1:$1048576,11,FALSE)</f>
        <v xml:space="preserve">                  </v>
      </c>
      <c r="AM439" s="986" t="str">
        <f>VLOOKUP($AB439,sample!$1:$1048576,12,FALSE)</f>
        <v xml:space="preserve">                          </v>
      </c>
      <c r="AN439" s="986" t="str">
        <f>VLOOKUP($AB439,sample!$1:$1048576,13,FALSE)</f>
        <v>GOLDJPJXXXX</v>
      </c>
      <c r="AP439" s="988"/>
    </row>
    <row r="440" spans="1:42" s="584" customFormat="1">
      <c r="A440" s="1000">
        <f t="shared" si="113"/>
        <v>2019200455</v>
      </c>
      <c r="B440" s="816">
        <v>44294</v>
      </c>
      <c r="C440" s="816" t="s">
        <v>133</v>
      </c>
      <c r="D440" s="1133" t="str">
        <f>IFERROR(VLOOKUP(G440,PosAggregate!$B$13:$B$89,1,FALSE),"")</f>
        <v/>
      </c>
      <c r="E440" s="905" t="s">
        <v>1197</v>
      </c>
      <c r="F440" s="1006" t="str">
        <f t="shared" si="99"/>
        <v/>
      </c>
      <c r="G440" s="561" t="s">
        <v>1146</v>
      </c>
      <c r="I440" s="951" t="s">
        <v>1103</v>
      </c>
      <c r="J440" s="832" t="s">
        <v>125</v>
      </c>
      <c r="K440" s="938">
        <v>1876.63607</v>
      </c>
      <c r="L440" s="938"/>
      <c r="M440" s="938">
        <v>11600</v>
      </c>
      <c r="N440" s="1009">
        <f t="shared" si="103"/>
        <v>-21768978.412</v>
      </c>
      <c r="O440" s="817">
        <v>-13061</v>
      </c>
      <c r="P440" s="817"/>
      <c r="R440" s="982">
        <f t="shared" si="114"/>
        <v>-21782039.412</v>
      </c>
      <c r="S440" s="878">
        <v>130.43943755799336</v>
      </c>
      <c r="T440" s="998">
        <f t="shared" si="98"/>
        <v>-166989.67597369244</v>
      </c>
      <c r="U440" s="584">
        <v>44298</v>
      </c>
      <c r="V440" s="561" t="s">
        <v>1656</v>
      </c>
      <c r="W440" s="819">
        <v>44216.554416666666</v>
      </c>
      <c r="X440" s="971">
        <f t="shared" si="107"/>
        <v>5.999822202405334E-2</v>
      </c>
      <c r="Y440" s="584" t="s">
        <v>1693</v>
      </c>
      <c r="Z440" s="988" t="str">
        <f>VLOOKUP(AA440,'place of settlement'!A:C,2,FALSE)</f>
        <v>JJSDJPJTXXX</v>
      </c>
      <c r="AA440" s="988" t="str">
        <f t="shared" si="115"/>
        <v>JP</v>
      </c>
      <c r="AB440" s="988" t="str">
        <f t="shared" si="112"/>
        <v>Tavira SecuritiesJP</v>
      </c>
      <c r="AC440" s="988" t="str">
        <f>VLOOKUP(AB440,sample!$1:$1048576,2,FALSE)</f>
        <v>GSILGB2XXXX</v>
      </c>
      <c r="AD440" s="988" t="str">
        <f>VLOOKUP($AB440,sample!$1:$1048576,3,FALSE)</f>
        <v>JJSDJPJTXXX</v>
      </c>
      <c r="AE440" s="986">
        <f>VLOOKUP($AB440,sample!$1:$1048576,4,FALSE)</f>
        <v>6530490016</v>
      </c>
      <c r="AF440" s="988" t="str">
        <f>VLOOKUP($AB440,sample!$1:$1048576,5,FALSE)</f>
        <v>N</v>
      </c>
      <c r="AL440" s="986" t="str">
        <f>VLOOKUP($AB440,sample!$1:$1048576,11,FALSE)</f>
        <v xml:space="preserve">                  </v>
      </c>
      <c r="AM440" s="986" t="str">
        <f>VLOOKUP($AB440,sample!$1:$1048576,12,FALSE)</f>
        <v xml:space="preserve">                          </v>
      </c>
      <c r="AN440" s="986" t="str">
        <f>VLOOKUP($AB440,sample!$1:$1048576,13,FALSE)</f>
        <v>GOLDJPJXXXX</v>
      </c>
      <c r="AP440" s="988"/>
    </row>
    <row r="441" spans="1:42" s="584" customFormat="1">
      <c r="A441" s="1000">
        <f t="shared" si="113"/>
        <v>2019200456</v>
      </c>
      <c r="B441" s="816">
        <v>44294</v>
      </c>
      <c r="C441" s="816" t="s">
        <v>134</v>
      </c>
      <c r="D441" s="1133" t="str">
        <f>IFERROR(VLOOKUP(G441,PosAggregate!$B$13:$B$89,1,FALSE),"")</f>
        <v/>
      </c>
      <c r="E441" s="905" t="s">
        <v>1614</v>
      </c>
      <c r="F441" s="1006" t="str">
        <f t="shared" si="99"/>
        <v/>
      </c>
      <c r="G441" s="561" t="s">
        <v>1594</v>
      </c>
      <c r="I441" s="832" t="s">
        <v>1597</v>
      </c>
      <c r="J441" s="832" t="s">
        <v>125</v>
      </c>
      <c r="K441" s="938">
        <v>1232.67983</v>
      </c>
      <c r="L441" s="938"/>
      <c r="M441" s="938">
        <v>-17600</v>
      </c>
      <c r="N441" s="1009">
        <f t="shared" si="103"/>
        <v>21695165.008000001</v>
      </c>
      <c r="O441" s="817">
        <v>-13017</v>
      </c>
      <c r="P441" s="817"/>
      <c r="R441" s="982">
        <f t="shared" si="114"/>
        <v>21682148.008000001</v>
      </c>
      <c r="S441" s="878">
        <v>130.43943755799293</v>
      </c>
      <c r="T441" s="998">
        <f t="shared" si="98"/>
        <v>166223.86920642917</v>
      </c>
      <c r="U441" s="584">
        <v>44298</v>
      </c>
      <c r="V441" s="561" t="s">
        <v>1656</v>
      </c>
      <c r="W441" s="819">
        <v>44216.554416666666</v>
      </c>
      <c r="X441" s="971">
        <f t="shared" si="107"/>
        <v>-5.9999543655003484E-2</v>
      </c>
      <c r="Y441" s="584" t="s">
        <v>1693</v>
      </c>
      <c r="Z441" s="988" t="str">
        <f>VLOOKUP(AA441,'place of settlement'!A:C,2,FALSE)</f>
        <v>JJSDJPJTXXX</v>
      </c>
      <c r="AA441" s="988" t="str">
        <f t="shared" si="115"/>
        <v>JP</v>
      </c>
      <c r="AB441" s="988" t="str">
        <f t="shared" si="112"/>
        <v>Tavira SecuritiesJP</v>
      </c>
      <c r="AC441" s="988" t="str">
        <f>VLOOKUP(AB441,sample!$1:$1048576,2,FALSE)</f>
        <v>GSILGB2XXXX</v>
      </c>
      <c r="AD441" s="988" t="str">
        <f>VLOOKUP($AB441,sample!$1:$1048576,3,FALSE)</f>
        <v>JJSDJPJTXXX</v>
      </c>
      <c r="AE441" s="986">
        <f>VLOOKUP($AB441,sample!$1:$1048576,4,FALSE)</f>
        <v>6530490016</v>
      </c>
      <c r="AF441" s="988" t="str">
        <f>VLOOKUP($AB441,sample!$1:$1048576,5,FALSE)</f>
        <v>N</v>
      </c>
      <c r="AL441" s="986" t="str">
        <f>VLOOKUP($AB441,sample!$1:$1048576,11,FALSE)</f>
        <v xml:space="preserve">                  </v>
      </c>
      <c r="AM441" s="986" t="str">
        <f>VLOOKUP($AB441,sample!$1:$1048576,12,FALSE)</f>
        <v xml:space="preserve">                          </v>
      </c>
      <c r="AN441" s="986" t="str">
        <f>VLOOKUP($AB441,sample!$1:$1048576,13,FALSE)</f>
        <v>GOLDJPJXXXX</v>
      </c>
      <c r="AP441" s="988"/>
    </row>
    <row r="442" spans="1:42" s="584" customFormat="1">
      <c r="A442" s="1000">
        <f t="shared" si="113"/>
        <v>2019200457</v>
      </c>
      <c r="B442" s="816">
        <v>44299</v>
      </c>
      <c r="C442" s="816" t="s">
        <v>133</v>
      </c>
      <c r="D442" s="1133" t="str">
        <f>IFERROR(VLOOKUP(G442,PosAggregate!$B$13:$B$89,1,FALSE),"")</f>
        <v/>
      </c>
      <c r="E442" s="905" t="s">
        <v>1186</v>
      </c>
      <c r="F442" s="1006" t="str">
        <f t="shared" si="99"/>
        <v/>
      </c>
      <c r="G442" s="561" t="s">
        <v>1134</v>
      </c>
      <c r="I442" s="951" t="s">
        <v>1081</v>
      </c>
      <c r="J442" s="832" t="s">
        <v>125</v>
      </c>
      <c r="K442" s="938">
        <v>1397.6220000000001</v>
      </c>
      <c r="L442" s="938"/>
      <c r="M442" s="938">
        <v>5000</v>
      </c>
      <c r="N442" s="1009">
        <f t="shared" si="103"/>
        <v>-6988110</v>
      </c>
      <c r="O442" s="817">
        <v>-4193</v>
      </c>
      <c r="P442" s="817"/>
      <c r="R442" s="982">
        <f t="shared" si="114"/>
        <v>-6992303</v>
      </c>
      <c r="S442" s="878">
        <v>130.24889841610087</v>
      </c>
      <c r="T442" s="998">
        <f t="shared" si="98"/>
        <v>-53684.162284904502</v>
      </c>
      <c r="U442" s="584">
        <v>44301</v>
      </c>
      <c r="V442" s="561" t="s">
        <v>1656</v>
      </c>
      <c r="W442" s="819">
        <v>44216.554416666666</v>
      </c>
      <c r="X442" s="971">
        <f t="shared" si="107"/>
        <v>6.0001917542797698E-2</v>
      </c>
      <c r="Y442" s="584" t="s">
        <v>1693</v>
      </c>
      <c r="Z442" s="988" t="str">
        <f>VLOOKUP(AA442,'place of settlement'!A:C,2,FALSE)</f>
        <v>JJSDJPJTXXX</v>
      </c>
      <c r="AA442" s="988" t="str">
        <f t="shared" si="115"/>
        <v>JP</v>
      </c>
      <c r="AB442" s="988" t="str">
        <f t="shared" si="112"/>
        <v>Tavira SecuritiesJP</v>
      </c>
      <c r="AC442" s="988" t="str">
        <f>VLOOKUP(AB442,sample!$1:$1048576,2,FALSE)</f>
        <v>GSILGB2XXXX</v>
      </c>
      <c r="AD442" s="988" t="str">
        <f>VLOOKUP($AB442,sample!$1:$1048576,3,FALSE)</f>
        <v>JJSDJPJTXXX</v>
      </c>
      <c r="AE442" s="986">
        <f>VLOOKUP($AB442,sample!$1:$1048576,4,FALSE)</f>
        <v>6530490016</v>
      </c>
      <c r="AF442" s="988" t="str">
        <f>VLOOKUP($AB442,sample!$1:$1048576,5,FALSE)</f>
        <v>N</v>
      </c>
      <c r="AL442" s="986" t="str">
        <f>VLOOKUP($AB442,sample!$1:$1048576,11,FALSE)</f>
        <v xml:space="preserve">                  </v>
      </c>
      <c r="AM442" s="986" t="str">
        <f>VLOOKUP($AB442,sample!$1:$1048576,12,FALSE)</f>
        <v xml:space="preserve">                          </v>
      </c>
      <c r="AN442" s="986" t="str">
        <f>VLOOKUP($AB442,sample!$1:$1048576,13,FALSE)</f>
        <v>GOLDJPJXXXX</v>
      </c>
      <c r="AP442" s="988"/>
    </row>
    <row r="443" spans="1:42" s="584" customFormat="1">
      <c r="A443" s="1000">
        <f>(A442+1)</f>
        <v>2019200458</v>
      </c>
      <c r="B443" s="816">
        <v>44299</v>
      </c>
      <c r="C443" s="816" t="s">
        <v>133</v>
      </c>
      <c r="D443" s="1133" t="str">
        <f>IFERROR(VLOOKUP(G443,PosAggregate!$B$13:$B$89,1,FALSE),"")</f>
        <v/>
      </c>
      <c r="E443" s="905" t="s">
        <v>1217</v>
      </c>
      <c r="F443" s="1006" t="str">
        <f t="shared" si="99"/>
        <v/>
      </c>
      <c r="G443" s="561" t="s">
        <v>1168</v>
      </c>
      <c r="I443" s="951" t="s">
        <v>12626</v>
      </c>
      <c r="J443" s="832" t="s">
        <v>2</v>
      </c>
      <c r="K443" s="938">
        <v>27.2988</v>
      </c>
      <c r="L443" s="938"/>
      <c r="M443" s="938">
        <v>4200</v>
      </c>
      <c r="N443" s="1009">
        <f t="shared" si="103"/>
        <v>-114654.96</v>
      </c>
      <c r="O443" s="817">
        <v>-68.790000000000006</v>
      </c>
      <c r="P443" s="817">
        <v>-343.96</v>
      </c>
      <c r="R443" s="982">
        <f t="shared" si="114"/>
        <v>-115067.71</v>
      </c>
      <c r="S443" s="878">
        <v>1</v>
      </c>
      <c r="T443" s="998">
        <f t="shared" si="98"/>
        <v>-115067.71</v>
      </c>
      <c r="U443" s="584">
        <v>44301</v>
      </c>
      <c r="V443" s="561" t="s">
        <v>1183</v>
      </c>
      <c r="W443" s="819">
        <v>44216.554416666666</v>
      </c>
      <c r="X443" s="971">
        <f t="shared" si="107"/>
        <v>5.9997404386168726E-2</v>
      </c>
      <c r="Y443" s="584" t="s">
        <v>1693</v>
      </c>
      <c r="Z443" s="988" t="str">
        <f>VLOOKUP(AA443,'place of settlement'!A:C,2,FALSE)</f>
        <v>SICVFRPPXXX</v>
      </c>
      <c r="AA443" s="988" t="str">
        <f t="shared" si="115"/>
        <v>FR</v>
      </c>
      <c r="AB443" s="988" t="str">
        <f t="shared" si="112"/>
        <v>EquitaFR</v>
      </c>
      <c r="AC443" s="988" t="str">
        <f>VLOOKUP(AB443,sample!$1:$1048576,2,FALSE)</f>
        <v>EMSIITM1XXX</v>
      </c>
      <c r="AD443" s="988" t="str">
        <f>VLOOKUP($AB443,sample!$1:$1048576,3,FALSE)</f>
        <v>SICVFRPPXXX</v>
      </c>
      <c r="AE443" s="986" t="str">
        <f>VLOOKUP($AB443,sample!$1:$1048576,4,FALSE)</f>
        <v>SICVBCITITMMD00000L10</v>
      </c>
      <c r="AF443" s="988" t="str">
        <f>VLOOKUP($AB443,sample!$1:$1048576,5,FALSE)</f>
        <v>N</v>
      </c>
      <c r="AL443" s="986" t="str">
        <f>VLOOKUP($AB443,sample!$1:$1048576,11,FALSE)</f>
        <v xml:space="preserve">        </v>
      </c>
      <c r="AM443" s="986" t="str">
        <f>VLOOKUP($AB443,sample!$1:$1048576,12,FALSE)</f>
        <v xml:space="preserve">        </v>
      </c>
      <c r="AN443" s="986" t="str">
        <f>VLOOKUP($AB443,sample!$1:$1048576,13,FALSE)</f>
        <v>BCITITMMD00</v>
      </c>
      <c r="AP443" s="988"/>
    </row>
    <row r="444" spans="1:42" s="584" customFormat="1">
      <c r="A444" s="1000">
        <f t="shared" si="113"/>
        <v>2019200459</v>
      </c>
      <c r="B444" s="816">
        <v>44301</v>
      </c>
      <c r="C444" s="816" t="s">
        <v>134</v>
      </c>
      <c r="D444" s="1133" t="str">
        <f>IFERROR(VLOOKUP(G444,PosAggregate!$B$13:$B$89,1,FALSE),"")</f>
        <v/>
      </c>
      <c r="E444" s="905" t="s">
        <v>12676</v>
      </c>
      <c r="F444" s="1006" t="str">
        <f t="shared" si="99"/>
        <v/>
      </c>
      <c r="G444" s="561" t="s">
        <v>2097</v>
      </c>
      <c r="I444" s="951" t="s">
        <v>12613</v>
      </c>
      <c r="J444" s="832" t="s">
        <v>125</v>
      </c>
      <c r="K444" s="938">
        <v>4914.7</v>
      </c>
      <c r="L444" s="938"/>
      <c r="M444" s="938">
        <v>-11000</v>
      </c>
      <c r="N444" s="1009">
        <f t="shared" si="103"/>
        <v>54061700</v>
      </c>
      <c r="O444" s="817">
        <v>-32437</v>
      </c>
      <c r="P444" s="817"/>
      <c r="R444" s="982">
        <f t="shared" si="114"/>
        <v>54029263</v>
      </c>
      <c r="S444" s="878">
        <v>130.45301008552335</v>
      </c>
      <c r="T444" s="998">
        <f t="shared" ref="T444:T507" si="116">+R444/S444</f>
        <v>414166.4723916995</v>
      </c>
      <c r="U444" s="584">
        <v>44305</v>
      </c>
      <c r="V444" s="561" t="s">
        <v>1656</v>
      </c>
      <c r="W444" s="819">
        <v>44216.554416666666</v>
      </c>
      <c r="X444" s="971">
        <f t="shared" si="107"/>
        <v>-5.9999963005232915E-2</v>
      </c>
      <c r="Y444" s="584" t="s">
        <v>1693</v>
      </c>
      <c r="Z444" s="988" t="str">
        <f>VLOOKUP(AA444,'place of settlement'!A:C,2,FALSE)</f>
        <v>JJSDJPJTXXX</v>
      </c>
      <c r="AA444" s="988" t="str">
        <f t="shared" si="115"/>
        <v>JP</v>
      </c>
      <c r="AB444" s="988" t="str">
        <f t="shared" si="112"/>
        <v>Tavira SecuritiesJP</v>
      </c>
      <c r="AC444" s="988" t="str">
        <f>VLOOKUP(AB444,sample!$1:$1048576,2,FALSE)</f>
        <v>GSILGB2XXXX</v>
      </c>
      <c r="AD444" s="988" t="str">
        <f>VLOOKUP($AB444,sample!$1:$1048576,3,FALSE)</f>
        <v>JJSDJPJTXXX</v>
      </c>
      <c r="AE444" s="986">
        <f>VLOOKUP($AB444,sample!$1:$1048576,4,FALSE)</f>
        <v>6530490016</v>
      </c>
      <c r="AF444" s="988" t="str">
        <f>VLOOKUP($AB444,sample!$1:$1048576,5,FALSE)</f>
        <v>N</v>
      </c>
      <c r="AL444" s="986" t="str">
        <f>VLOOKUP($AB444,sample!$1:$1048576,11,FALSE)</f>
        <v xml:space="preserve">                  </v>
      </c>
      <c r="AM444" s="986" t="str">
        <f>VLOOKUP($AB444,sample!$1:$1048576,12,FALSE)</f>
        <v xml:space="preserve">                          </v>
      </c>
      <c r="AN444" s="986" t="str">
        <f>VLOOKUP($AB444,sample!$1:$1048576,13,FALSE)</f>
        <v>GOLDJPJXXXX</v>
      </c>
      <c r="AP444" s="988"/>
    </row>
    <row r="445" spans="1:42" s="584" customFormat="1">
      <c r="A445" s="929">
        <v>2019200462</v>
      </c>
      <c r="B445" s="816">
        <v>44307</v>
      </c>
      <c r="C445" s="816" t="s">
        <v>134</v>
      </c>
      <c r="D445" s="1133" t="str">
        <f>IFERROR(VLOOKUP(G445,PosAggregate!$B$13:$B$89,1,FALSE),"")</f>
        <v/>
      </c>
      <c r="E445" s="905" t="s">
        <v>12695</v>
      </c>
      <c r="F445" s="1006" t="str">
        <f t="shared" si="99"/>
        <v/>
      </c>
      <c r="G445" s="561" t="s">
        <v>2109</v>
      </c>
      <c r="I445" s="832" t="s">
        <v>12702</v>
      </c>
      <c r="J445" s="832" t="s">
        <v>2</v>
      </c>
      <c r="K445" s="938">
        <v>4.9228290000000001</v>
      </c>
      <c r="L445" s="938"/>
      <c r="M445" s="938">
        <v>-4187</v>
      </c>
      <c r="N445" s="1009">
        <f t="shared" si="103"/>
        <v>20611.885022999999</v>
      </c>
      <c r="O445" s="817">
        <v>-12.37</v>
      </c>
      <c r="P445" s="817"/>
      <c r="R445" s="982">
        <f t="shared" si="114"/>
        <v>20599.515023</v>
      </c>
      <c r="S445" s="878">
        <v>1</v>
      </c>
      <c r="T445" s="998">
        <f t="shared" si="116"/>
        <v>20599.515023</v>
      </c>
      <c r="U445" s="584">
        <v>44309</v>
      </c>
      <c r="V445" s="561" t="s">
        <v>1656</v>
      </c>
      <c r="W445" s="819">
        <v>44216.554416666666</v>
      </c>
      <c r="X445" s="971">
        <f t="shared" si="107"/>
        <v>-6.0013919086957836E-2</v>
      </c>
      <c r="Y445" s="584" t="s">
        <v>1693</v>
      </c>
      <c r="Z445" s="988" t="str">
        <f>VLOOKUP(AA445,'place of settlement'!A:C,2,FALSE)</f>
        <v>MOTIITMMXXX</v>
      </c>
      <c r="AA445" s="988" t="str">
        <f t="shared" si="115"/>
        <v>IT</v>
      </c>
      <c r="AB445" s="988" t="str">
        <f t="shared" si="112"/>
        <v>Tavira SecuritiesIT</v>
      </c>
      <c r="AC445" s="988" t="str">
        <f>VLOOKUP(AB445,sample!$1:$1048576,2,FALSE)</f>
        <v>GSILGB2XXXX</v>
      </c>
      <c r="AD445" s="988" t="str">
        <f>VLOOKUP($AB445,sample!$1:$1048576,3,FALSE)</f>
        <v>MOTIITMMXXX</v>
      </c>
      <c r="AE445" s="986" t="str">
        <f>VLOOKUP($AB445,sample!$1:$1048576,4,FALSE)</f>
        <v>MOTICITIITMXXXX6013800</v>
      </c>
      <c r="AF445" s="988" t="str">
        <f>VLOOKUP($AB445,sample!$1:$1048576,5,FALSE)</f>
        <v>N</v>
      </c>
      <c r="AL445" s="986" t="str">
        <f>VLOOKUP($AB445,sample!$1:$1048576,11,FALSE)</f>
        <v xml:space="preserve">        </v>
      </c>
      <c r="AM445" s="986" t="str">
        <f>VLOOKUP($AB445,sample!$1:$1048576,12,FALSE)</f>
        <v xml:space="preserve">        </v>
      </c>
      <c r="AN445" s="986" t="str">
        <f>VLOOKUP($AB445,sample!$1:$1048576,13,FALSE)</f>
        <v>CITIITM1012</v>
      </c>
      <c r="AP445" s="988"/>
    </row>
    <row r="446" spans="1:42" s="584" customFormat="1">
      <c r="A446" s="929" t="s">
        <v>1707</v>
      </c>
      <c r="B446" s="816">
        <v>44306</v>
      </c>
      <c r="C446" s="816"/>
      <c r="D446" s="1136"/>
      <c r="E446" s="905" t="s">
        <v>12605</v>
      </c>
      <c r="F446" s="1006" t="str">
        <f t="shared" si="99"/>
        <v/>
      </c>
      <c r="G446" s="561" t="s">
        <v>12604</v>
      </c>
      <c r="I446" s="832" t="e">
        <v>#N/A</v>
      </c>
      <c r="J446" s="832" t="s">
        <v>12606</v>
      </c>
      <c r="K446" s="938"/>
      <c r="L446" s="938"/>
      <c r="M446" s="938">
        <v>-16000</v>
      </c>
      <c r="N446" s="1009">
        <f t="shared" si="103"/>
        <v>0</v>
      </c>
      <c r="O446" s="817"/>
      <c r="P446" s="817"/>
      <c r="R446" s="982">
        <f t="shared" si="114"/>
        <v>0</v>
      </c>
      <c r="S446" s="878"/>
      <c r="T446" s="934">
        <v>0</v>
      </c>
      <c r="V446" s="561"/>
      <c r="W446" s="819"/>
      <c r="X446" s="971" t="e">
        <f t="shared" si="107"/>
        <v>#DIV/0!</v>
      </c>
      <c r="Y446" s="584" t="s">
        <v>1693</v>
      </c>
      <c r="Z446" s="988" t="e">
        <f>VLOOKUP(AA446,'place of settlement'!A:C,2,FALSE)</f>
        <v>#N/A</v>
      </c>
      <c r="AA446" s="988" t="str">
        <f t="shared" si="115"/>
        <v>NU</v>
      </c>
      <c r="AB446" s="988" t="str">
        <f t="shared" si="112"/>
        <v>NU</v>
      </c>
      <c r="AC446" s="988" t="e">
        <f>VLOOKUP(AB446,sample!$1:$1048576,2,FALSE)</f>
        <v>#N/A</v>
      </c>
      <c r="AD446" s="988" t="e">
        <f>VLOOKUP($AB446,sample!$1:$1048576,3,FALSE)</f>
        <v>#N/A</v>
      </c>
      <c r="AE446" s="986" t="e">
        <f>VLOOKUP($AB446,sample!$1:$1048576,4,FALSE)</f>
        <v>#N/A</v>
      </c>
      <c r="AF446" s="988" t="e">
        <f>VLOOKUP($AB446,sample!$1:$1048576,5,FALSE)</f>
        <v>#N/A</v>
      </c>
      <c r="AL446" s="986" t="e">
        <f>VLOOKUP($AB446,sample!$1:$1048576,11,FALSE)</f>
        <v>#N/A</v>
      </c>
      <c r="AM446" s="986" t="e">
        <f>VLOOKUP($AB446,sample!$1:$1048576,12,FALSE)</f>
        <v>#N/A</v>
      </c>
      <c r="AN446" s="986" t="e">
        <f>VLOOKUP($AB446,sample!$1:$1048576,13,FALSE)</f>
        <v>#N/A</v>
      </c>
      <c r="AP446" s="988"/>
    </row>
    <row r="447" spans="1:42" s="584" customFormat="1">
      <c r="A447" s="929" t="s">
        <v>1707</v>
      </c>
      <c r="B447" s="816">
        <v>44306</v>
      </c>
      <c r="C447" s="816"/>
      <c r="D447" s="1136"/>
      <c r="E447" s="905" t="s">
        <v>12695</v>
      </c>
      <c r="F447" s="1006" t="str">
        <f t="shared" si="99"/>
        <v/>
      </c>
      <c r="G447" s="561" t="s">
        <v>2109</v>
      </c>
      <c r="I447" s="832" t="s">
        <v>12702</v>
      </c>
      <c r="J447" s="832" t="s">
        <v>2</v>
      </c>
      <c r="K447" s="938"/>
      <c r="L447" s="938"/>
      <c r="M447" s="938">
        <v>16000</v>
      </c>
      <c r="N447" s="1009">
        <f t="shared" si="103"/>
        <v>0</v>
      </c>
      <c r="O447" s="817"/>
      <c r="P447" s="817"/>
      <c r="R447" s="982">
        <f t="shared" si="114"/>
        <v>0</v>
      </c>
      <c r="S447" s="878"/>
      <c r="T447" s="934">
        <v>0</v>
      </c>
      <c r="V447" s="561"/>
      <c r="W447" s="819"/>
      <c r="X447" s="971" t="e">
        <f t="shared" si="107"/>
        <v>#DIV/0!</v>
      </c>
      <c r="Y447" s="584" t="s">
        <v>1693</v>
      </c>
      <c r="Z447" s="988" t="str">
        <f>VLOOKUP(AA447,'place of settlement'!A:C,2,FALSE)</f>
        <v>MOTIITMMXXX</v>
      </c>
      <c r="AA447" s="988" t="str">
        <f t="shared" si="115"/>
        <v>IT</v>
      </c>
      <c r="AB447" s="988" t="str">
        <f t="shared" si="112"/>
        <v>IT</v>
      </c>
      <c r="AC447" s="988" t="e">
        <f>VLOOKUP(AB447,sample!$1:$1048576,2,FALSE)</f>
        <v>#N/A</v>
      </c>
      <c r="AD447" s="988" t="e">
        <f>VLOOKUP($AB447,sample!$1:$1048576,3,FALSE)</f>
        <v>#N/A</v>
      </c>
      <c r="AE447" s="986" t="e">
        <f>VLOOKUP($AB447,sample!$1:$1048576,4,FALSE)</f>
        <v>#N/A</v>
      </c>
      <c r="AF447" s="988" t="e">
        <f>VLOOKUP($AB447,sample!$1:$1048576,5,FALSE)</f>
        <v>#N/A</v>
      </c>
      <c r="AL447" s="986" t="e">
        <f>VLOOKUP($AB447,sample!$1:$1048576,11,FALSE)</f>
        <v>#N/A</v>
      </c>
      <c r="AM447" s="986" t="e">
        <f>VLOOKUP($AB447,sample!$1:$1048576,12,FALSE)</f>
        <v>#N/A</v>
      </c>
      <c r="AN447" s="986" t="e">
        <f>VLOOKUP($AB447,sample!$1:$1048576,13,FALSE)</f>
        <v>#N/A</v>
      </c>
      <c r="AP447" s="988"/>
    </row>
    <row r="448" spans="1:42" s="584" customFormat="1">
      <c r="A448" s="929">
        <v>2019200460</v>
      </c>
      <c r="B448" s="816">
        <v>44307</v>
      </c>
      <c r="C448" s="816" t="s">
        <v>133</v>
      </c>
      <c r="D448" s="1133" t="str">
        <f>IFERROR(VLOOKUP(G448,PosAggregate!$B$13:$B$89,1,FALSE),"")</f>
        <v/>
      </c>
      <c r="E448" s="905" t="s">
        <v>1186</v>
      </c>
      <c r="F448" s="1006" t="str">
        <f t="shared" si="99"/>
        <v/>
      </c>
      <c r="G448" s="561" t="s">
        <v>1134</v>
      </c>
      <c r="I448" s="951" t="s">
        <v>1081</v>
      </c>
      <c r="J448" s="832" t="s">
        <v>125</v>
      </c>
      <c r="K448" s="938">
        <v>1312.2236359999999</v>
      </c>
      <c r="L448" s="938"/>
      <c r="M448" s="938">
        <v>11000</v>
      </c>
      <c r="N448" s="1009">
        <f t="shared" si="103"/>
        <v>-14434459.995999999</v>
      </c>
      <c r="O448" s="817">
        <v>-8661</v>
      </c>
      <c r="P448" s="817"/>
      <c r="R448" s="982">
        <f t="shared" si="114"/>
        <v>-14443120.995999999</v>
      </c>
      <c r="S448" s="878">
        <v>130.24889841610087</v>
      </c>
      <c r="T448" s="998">
        <f t="shared" si="116"/>
        <v>-110888.62302588654</v>
      </c>
      <c r="U448" s="584">
        <v>44309</v>
      </c>
      <c r="V448" s="561" t="s">
        <v>1656</v>
      </c>
      <c r="W448" s="819">
        <v>44216.554416666666</v>
      </c>
      <c r="X448" s="971">
        <f t="shared" si="107"/>
        <v>6.0002244645106846E-2</v>
      </c>
      <c r="Y448" s="584" t="s">
        <v>1693</v>
      </c>
      <c r="Z448" s="988" t="str">
        <f>VLOOKUP(AA448,'place of settlement'!A:C,2,FALSE)</f>
        <v>JJSDJPJTXXX</v>
      </c>
      <c r="AA448" s="988" t="str">
        <f t="shared" si="115"/>
        <v>JP</v>
      </c>
      <c r="AB448" s="988" t="str">
        <f t="shared" si="112"/>
        <v>Tavira SecuritiesJP</v>
      </c>
      <c r="AC448" s="988" t="str">
        <f>VLOOKUP(AB448,sample!$1:$1048576,2,FALSE)</f>
        <v>GSILGB2XXXX</v>
      </c>
      <c r="AD448" s="988" t="str">
        <f>VLOOKUP($AB448,sample!$1:$1048576,3,FALSE)</f>
        <v>JJSDJPJTXXX</v>
      </c>
      <c r="AE448" s="986">
        <f>VLOOKUP($AB448,sample!$1:$1048576,4,FALSE)</f>
        <v>6530490016</v>
      </c>
      <c r="AF448" s="988" t="str">
        <f>VLOOKUP($AB448,sample!$1:$1048576,5,FALSE)</f>
        <v>N</v>
      </c>
      <c r="AL448" s="986" t="str">
        <f>VLOOKUP($AB448,sample!$1:$1048576,11,FALSE)</f>
        <v xml:space="preserve">                  </v>
      </c>
      <c r="AM448" s="986" t="str">
        <f>VLOOKUP($AB448,sample!$1:$1048576,12,FALSE)</f>
        <v xml:space="preserve">                          </v>
      </c>
      <c r="AN448" s="986" t="str">
        <f>VLOOKUP($AB448,sample!$1:$1048576,13,FALSE)</f>
        <v>GOLDJPJXXXX</v>
      </c>
      <c r="AP448" s="988"/>
    </row>
    <row r="449" spans="1:42" s="584" customFormat="1">
      <c r="A449" s="1000">
        <f t="shared" ref="A449" si="117">(A448+1)</f>
        <v>2019200461</v>
      </c>
      <c r="B449" s="816">
        <v>44307</v>
      </c>
      <c r="C449" s="816" t="s">
        <v>133</v>
      </c>
      <c r="D449" s="1133" t="str">
        <f>IFERROR(VLOOKUP(G449,PosAggregate!$B$13:$B$89,1,FALSE),"")</f>
        <v/>
      </c>
      <c r="E449" s="905" t="s">
        <v>12676</v>
      </c>
      <c r="F449" s="1006" t="str">
        <f t="shared" si="99"/>
        <v/>
      </c>
      <c r="G449" s="561" t="s">
        <v>2097</v>
      </c>
      <c r="I449" s="951" t="s">
        <v>12613</v>
      </c>
      <c r="J449" s="832" t="s">
        <v>125</v>
      </c>
      <c r="K449" s="938">
        <v>4188.8545450000001</v>
      </c>
      <c r="L449" s="938"/>
      <c r="M449" s="938">
        <v>11000</v>
      </c>
      <c r="N449" s="1009">
        <f t="shared" si="103"/>
        <v>-46077399.995000005</v>
      </c>
      <c r="O449" s="817">
        <v>-27646</v>
      </c>
      <c r="P449" s="817"/>
      <c r="R449" s="982">
        <f t="shared" si="114"/>
        <v>-46105045.995000005</v>
      </c>
      <c r="S449" s="878">
        <v>130.24889841610087</v>
      </c>
      <c r="T449" s="998">
        <f t="shared" si="116"/>
        <v>-353976.47546860692</v>
      </c>
      <c r="U449" s="584">
        <v>44309</v>
      </c>
      <c r="V449" s="561" t="s">
        <v>1656</v>
      </c>
      <c r="W449" s="819">
        <v>44216.554416666666</v>
      </c>
      <c r="X449" s="971">
        <f t="shared" si="107"/>
        <v>5.9999045091519806E-2</v>
      </c>
      <c r="Y449" s="584" t="s">
        <v>1693</v>
      </c>
      <c r="Z449" s="988" t="str">
        <f>VLOOKUP(AA449,'place of settlement'!A:C,2,FALSE)</f>
        <v>JJSDJPJTXXX</v>
      </c>
      <c r="AA449" s="988" t="str">
        <f t="shared" si="115"/>
        <v>JP</v>
      </c>
      <c r="AB449" s="988" t="str">
        <f t="shared" si="112"/>
        <v>Tavira SecuritiesJP</v>
      </c>
      <c r="AC449" s="988" t="str">
        <f>VLOOKUP(AB449,sample!$1:$1048576,2,FALSE)</f>
        <v>GSILGB2XXXX</v>
      </c>
      <c r="AD449" s="988" t="str">
        <f>VLOOKUP($AB449,sample!$1:$1048576,3,FALSE)</f>
        <v>JJSDJPJTXXX</v>
      </c>
      <c r="AE449" s="986">
        <f>VLOOKUP($AB449,sample!$1:$1048576,4,FALSE)</f>
        <v>6530490016</v>
      </c>
      <c r="AF449" s="988" t="str">
        <f>VLOOKUP($AB449,sample!$1:$1048576,5,FALSE)</f>
        <v>N</v>
      </c>
      <c r="AL449" s="986" t="str">
        <f>VLOOKUP($AB449,sample!$1:$1048576,11,FALSE)</f>
        <v xml:space="preserve">                  </v>
      </c>
      <c r="AM449" s="986" t="str">
        <f>VLOOKUP($AB449,sample!$1:$1048576,12,FALSE)</f>
        <v xml:space="preserve">                          </v>
      </c>
      <c r="AN449" s="986" t="str">
        <f>VLOOKUP($AB449,sample!$1:$1048576,13,FALSE)</f>
        <v>GOLDJPJXXXX</v>
      </c>
      <c r="AP449" s="988"/>
    </row>
    <row r="450" spans="1:42">
      <c r="A450" s="929">
        <v>2019200463</v>
      </c>
      <c r="B450" s="881">
        <v>44308</v>
      </c>
      <c r="C450" s="881" t="s">
        <v>133</v>
      </c>
      <c r="D450" s="1133" t="str">
        <f>IFERROR(VLOOKUP(G450,PosAggregate!$B$13:$B$89,1,FALSE),"")</f>
        <v/>
      </c>
      <c r="E450" s="905" t="s">
        <v>1222</v>
      </c>
      <c r="F450" s="1006" t="str">
        <f t="shared" si="99"/>
        <v/>
      </c>
      <c r="G450" s="594" t="s">
        <v>1173</v>
      </c>
      <c r="I450" s="952" t="s">
        <v>130</v>
      </c>
      <c r="J450" s="833" t="s">
        <v>2</v>
      </c>
      <c r="K450" s="938">
        <v>33.870199999999997</v>
      </c>
      <c r="L450" s="938"/>
      <c r="M450" s="938">
        <v>4500</v>
      </c>
      <c r="N450" s="1009">
        <f t="shared" si="103"/>
        <v>-152415.9</v>
      </c>
      <c r="O450" s="817">
        <v>-91.45</v>
      </c>
      <c r="P450" s="817">
        <v>-457.25</v>
      </c>
      <c r="R450" s="982">
        <f t="shared" si="114"/>
        <v>-152964.6</v>
      </c>
      <c r="S450" s="878">
        <v>1</v>
      </c>
      <c r="T450" s="998">
        <f t="shared" si="116"/>
        <v>-152964.6</v>
      </c>
      <c r="U450" s="716">
        <v>44312</v>
      </c>
      <c r="V450" s="561" t="s">
        <v>1183</v>
      </c>
      <c r="W450" s="914">
        <v>44216.554416666666</v>
      </c>
      <c r="X450" s="971">
        <f t="shared" si="107"/>
        <v>6.0000301805782738E-2</v>
      </c>
      <c r="Y450" s="584" t="s">
        <v>1693</v>
      </c>
      <c r="Z450" s="988" t="str">
        <f>VLOOKUP(AA450,'place of settlement'!A:C,2,FALSE)</f>
        <v>SICVFRPPXXX</v>
      </c>
      <c r="AA450" s="988" t="str">
        <f t="shared" si="115"/>
        <v>FR</v>
      </c>
      <c r="AB450" s="988" t="str">
        <f t="shared" si="112"/>
        <v>EquitaFR</v>
      </c>
      <c r="AC450" s="988" t="str">
        <f>VLOOKUP(AB450,sample!$1:$1048576,2,FALSE)</f>
        <v>EMSIITM1XXX</v>
      </c>
      <c r="AD450" s="988" t="str">
        <f>VLOOKUP($AB450,sample!$1:$1048576,3,FALSE)</f>
        <v>SICVFRPPXXX</v>
      </c>
      <c r="AE450" s="986" t="str">
        <f>VLOOKUP($AB450,sample!$1:$1048576,4,FALSE)</f>
        <v>SICVBCITITMMD00000L10</v>
      </c>
      <c r="AF450" s="988" t="str">
        <f>VLOOKUP($AB450,sample!$1:$1048576,5,FALSE)</f>
        <v>N</v>
      </c>
      <c r="AG450" s="584"/>
      <c r="AH450" s="584"/>
      <c r="AI450" s="584"/>
      <c r="AJ450" s="584"/>
      <c r="AK450" s="584"/>
      <c r="AL450" s="986" t="str">
        <f>VLOOKUP($AB450,sample!$1:$1048576,11,FALSE)</f>
        <v xml:space="preserve">        </v>
      </c>
      <c r="AM450" s="986" t="str">
        <f>VLOOKUP($AB450,sample!$1:$1048576,12,FALSE)</f>
        <v xml:space="preserve">        </v>
      </c>
      <c r="AN450" s="986" t="str">
        <f>VLOOKUP($AB450,sample!$1:$1048576,13,FALSE)</f>
        <v>BCITITMMD00</v>
      </c>
      <c r="AO450" s="584"/>
      <c r="AP450" s="988"/>
    </row>
    <row r="451" spans="1:42">
      <c r="A451" s="929">
        <v>2019200464</v>
      </c>
      <c r="B451" s="881">
        <v>44309</v>
      </c>
      <c r="C451" s="881" t="s">
        <v>134</v>
      </c>
      <c r="D451" s="1133" t="str">
        <f>IFERROR(VLOOKUP(G451,PosAggregate!$B$13:$B$89,1,FALSE),"")</f>
        <v/>
      </c>
      <c r="E451" s="905" t="s">
        <v>12695</v>
      </c>
      <c r="F451" s="1006" t="str">
        <f t="shared" si="99"/>
        <v/>
      </c>
      <c r="G451" s="594" t="s">
        <v>2109</v>
      </c>
      <c r="I451" s="833" t="s">
        <v>12702</v>
      </c>
      <c r="J451" s="833" t="s">
        <v>2</v>
      </c>
      <c r="K451" s="938">
        <v>4.8864960000000002</v>
      </c>
      <c r="L451" s="938"/>
      <c r="M451" s="938">
        <v>-1240</v>
      </c>
      <c r="N451" s="1009">
        <f t="shared" si="103"/>
        <v>6059.25504</v>
      </c>
      <c r="O451" s="817">
        <v>-3.64</v>
      </c>
      <c r="P451" s="817"/>
      <c r="R451" s="982">
        <f t="shared" si="114"/>
        <v>6055.6150399999997</v>
      </c>
      <c r="S451" s="878">
        <v>1</v>
      </c>
      <c r="T451" s="998">
        <f t="shared" si="116"/>
        <v>6055.6150399999997</v>
      </c>
      <c r="U451" s="716">
        <v>44312</v>
      </c>
      <c r="V451" s="594" t="s">
        <v>1656</v>
      </c>
      <c r="W451" s="914">
        <v>44216.554416666666</v>
      </c>
      <c r="X451" s="971">
        <f t="shared" si="107"/>
        <v>-6.0073391464307797E-2</v>
      </c>
      <c r="Y451" s="584" t="s">
        <v>1693</v>
      </c>
      <c r="Z451" s="988" t="str">
        <f>VLOOKUP(AA451,'place of settlement'!A:C,2,FALSE)</f>
        <v>MOTIITMMXXX</v>
      </c>
      <c r="AA451" s="988" t="str">
        <f t="shared" si="115"/>
        <v>IT</v>
      </c>
      <c r="AB451" s="988" t="str">
        <f t="shared" si="112"/>
        <v>Tavira SecuritiesIT</v>
      </c>
      <c r="AC451" s="988" t="str">
        <f>VLOOKUP(AB451,sample!$1:$1048576,2,FALSE)</f>
        <v>GSILGB2XXXX</v>
      </c>
      <c r="AD451" s="988" t="str">
        <f>VLOOKUP($AB451,sample!$1:$1048576,3,FALSE)</f>
        <v>MOTIITMMXXX</v>
      </c>
      <c r="AE451" s="986" t="str">
        <f>VLOOKUP($AB451,sample!$1:$1048576,4,FALSE)</f>
        <v>MOTICITIITMXXXX6013800</v>
      </c>
      <c r="AF451" s="988" t="str">
        <f>VLOOKUP($AB451,sample!$1:$1048576,5,FALSE)</f>
        <v>N</v>
      </c>
      <c r="AG451" s="584"/>
      <c r="AH451" s="584"/>
      <c r="AI451" s="584"/>
      <c r="AJ451" s="584"/>
      <c r="AK451" s="584"/>
      <c r="AL451" s="986" t="str">
        <f>VLOOKUP($AB451,sample!$1:$1048576,11,FALSE)</f>
        <v xml:space="preserve">        </v>
      </c>
      <c r="AM451" s="986" t="str">
        <f>VLOOKUP($AB451,sample!$1:$1048576,12,FALSE)</f>
        <v xml:space="preserve">        </v>
      </c>
      <c r="AN451" s="986" t="str">
        <f>VLOOKUP($AB451,sample!$1:$1048576,13,FALSE)</f>
        <v>CITIITM1012</v>
      </c>
      <c r="AO451" s="584"/>
      <c r="AP451" s="988"/>
    </row>
    <row r="452" spans="1:42">
      <c r="A452" s="929">
        <v>2019200465</v>
      </c>
      <c r="B452" s="881">
        <v>44309</v>
      </c>
      <c r="C452" s="881" t="s">
        <v>134</v>
      </c>
      <c r="D452" s="1133" t="str">
        <f>IFERROR(VLOOKUP(G452,PosAggregate!$B$13:$B$89,1,FALSE),"")</f>
        <v/>
      </c>
      <c r="E452" s="905" t="s">
        <v>12695</v>
      </c>
      <c r="F452" s="1006" t="str">
        <f t="shared" si="99"/>
        <v/>
      </c>
      <c r="G452" s="594" t="s">
        <v>2109</v>
      </c>
      <c r="I452" s="833" t="s">
        <v>12702</v>
      </c>
      <c r="J452" s="833" t="s">
        <v>2</v>
      </c>
      <c r="K452" s="938">
        <v>4.8109859999999998</v>
      </c>
      <c r="L452" s="938"/>
      <c r="M452" s="938">
        <v>-4084</v>
      </c>
      <c r="N452" s="1009">
        <f t="shared" si="103"/>
        <v>19648.066823999998</v>
      </c>
      <c r="O452" s="817">
        <v>-11.79</v>
      </c>
      <c r="P452" s="817"/>
      <c r="R452" s="982">
        <f t="shared" si="114"/>
        <v>19636.276823999997</v>
      </c>
      <c r="S452" s="878">
        <v>1</v>
      </c>
      <c r="T452" s="998">
        <f t="shared" si="116"/>
        <v>19636.276823999997</v>
      </c>
      <c r="U452" s="716">
        <v>44313</v>
      </c>
      <c r="V452" s="594" t="s">
        <v>1656</v>
      </c>
      <c r="W452" s="914">
        <v>44216.554416666666</v>
      </c>
      <c r="X452" s="971">
        <f t="shared" si="107"/>
        <v>-6.0005903408260924E-2</v>
      </c>
      <c r="Y452" s="584" t="s">
        <v>1693</v>
      </c>
      <c r="Z452" s="988" t="str">
        <f>VLOOKUP(AA452,'place of settlement'!A:C,2,FALSE)</f>
        <v>MOTIITMMXXX</v>
      </c>
      <c r="AA452" s="988" t="str">
        <f t="shared" si="115"/>
        <v>IT</v>
      </c>
      <c r="AB452" s="988" t="str">
        <f t="shared" si="112"/>
        <v>Tavira SecuritiesIT</v>
      </c>
      <c r="AC452" s="988" t="str">
        <f>VLOOKUP(AB452,sample!$1:$1048576,2,FALSE)</f>
        <v>GSILGB2XXXX</v>
      </c>
      <c r="AD452" s="988" t="str">
        <f>VLOOKUP($AB452,sample!$1:$1048576,3,FALSE)</f>
        <v>MOTIITMMXXX</v>
      </c>
      <c r="AE452" s="986" t="str">
        <f>VLOOKUP($AB452,sample!$1:$1048576,4,FALSE)</f>
        <v>MOTICITIITMXXXX6013800</v>
      </c>
      <c r="AF452" s="988" t="str">
        <f>VLOOKUP($AB452,sample!$1:$1048576,5,FALSE)</f>
        <v>N</v>
      </c>
      <c r="AG452" s="584"/>
      <c r="AH452" s="584"/>
      <c r="AI452" s="584"/>
      <c r="AJ452" s="584"/>
      <c r="AK452" s="584"/>
      <c r="AL452" s="986" t="str">
        <f>VLOOKUP($AB452,sample!$1:$1048576,11,FALSE)</f>
        <v xml:space="preserve">        </v>
      </c>
      <c r="AM452" s="986" t="str">
        <f>VLOOKUP($AB452,sample!$1:$1048576,12,FALSE)</f>
        <v xml:space="preserve">        </v>
      </c>
      <c r="AN452" s="986" t="str">
        <f>VLOOKUP($AB452,sample!$1:$1048576,13,FALSE)</f>
        <v>CITIITM1012</v>
      </c>
      <c r="AO452" s="584"/>
      <c r="AP452" s="988"/>
    </row>
    <row r="453" spans="1:42">
      <c r="A453" s="929">
        <v>2019200466</v>
      </c>
      <c r="B453" s="881">
        <v>44312</v>
      </c>
      <c r="C453" s="881" t="s">
        <v>133</v>
      </c>
      <c r="D453" s="1133" t="str">
        <f>IFERROR(VLOOKUP(G453,PosAggregate!$B$13:$B$89,1,FALSE),"")</f>
        <v/>
      </c>
      <c r="E453" s="905" t="s">
        <v>1186</v>
      </c>
      <c r="F453" s="1006" t="str">
        <f t="shared" si="99"/>
        <v/>
      </c>
      <c r="G453" s="594" t="s">
        <v>1134</v>
      </c>
      <c r="I453" s="952" t="s">
        <v>1081</v>
      </c>
      <c r="J453" s="833" t="s">
        <v>125</v>
      </c>
      <c r="K453" s="938">
        <v>1319.5</v>
      </c>
      <c r="L453" s="938"/>
      <c r="M453" s="938">
        <v>9000</v>
      </c>
      <c r="N453" s="1009">
        <f t="shared" si="103"/>
        <v>-11875500</v>
      </c>
      <c r="O453" s="817">
        <v>-7124</v>
      </c>
      <c r="R453" s="982">
        <f t="shared" si="114"/>
        <v>-11882624</v>
      </c>
      <c r="S453" s="878">
        <v>130.56103374429861</v>
      </c>
      <c r="T453" s="998">
        <f t="shared" si="116"/>
        <v>-91012.024485589631</v>
      </c>
      <c r="U453" s="716">
        <v>44314</v>
      </c>
      <c r="V453" s="594" t="s">
        <v>1656</v>
      </c>
      <c r="W453" s="914">
        <v>44216.554416666666</v>
      </c>
      <c r="X453" s="971">
        <f t="shared" si="107"/>
        <v>5.9989053092501368E-2</v>
      </c>
      <c r="Y453" s="584" t="s">
        <v>1693</v>
      </c>
      <c r="Z453" s="988" t="str">
        <f>VLOOKUP(AA453,'place of settlement'!A:C,2,FALSE)</f>
        <v>JJSDJPJTXXX</v>
      </c>
      <c r="AA453" s="988" t="str">
        <f t="shared" si="115"/>
        <v>JP</v>
      </c>
      <c r="AB453" s="988" t="str">
        <f t="shared" si="112"/>
        <v>Tavira SecuritiesJP</v>
      </c>
      <c r="AC453" s="988" t="str">
        <f>VLOOKUP(AB453,sample!$1:$1048576,2,FALSE)</f>
        <v>GSILGB2XXXX</v>
      </c>
      <c r="AD453" s="988" t="str">
        <f>VLOOKUP($AB453,sample!$1:$1048576,3,FALSE)</f>
        <v>JJSDJPJTXXX</v>
      </c>
      <c r="AE453" s="986">
        <f>VLOOKUP($AB453,sample!$1:$1048576,4,FALSE)</f>
        <v>6530490016</v>
      </c>
      <c r="AF453" s="988" t="str">
        <f>VLOOKUP($AB453,sample!$1:$1048576,5,FALSE)</f>
        <v>N</v>
      </c>
      <c r="AG453" s="584"/>
      <c r="AH453" s="584"/>
      <c r="AI453" s="584"/>
      <c r="AJ453" s="584"/>
      <c r="AK453" s="584"/>
      <c r="AL453" s="986" t="str">
        <f>VLOOKUP($AB453,sample!$1:$1048576,11,FALSE)</f>
        <v xml:space="preserve">                  </v>
      </c>
      <c r="AM453" s="986" t="str">
        <f>VLOOKUP($AB453,sample!$1:$1048576,12,FALSE)</f>
        <v xml:space="preserve">                          </v>
      </c>
      <c r="AN453" s="986" t="str">
        <f>VLOOKUP($AB453,sample!$1:$1048576,13,FALSE)</f>
        <v>GOLDJPJXXXX</v>
      </c>
      <c r="AO453" s="584"/>
      <c r="AP453" s="988"/>
    </row>
    <row r="454" spans="1:42">
      <c r="A454" s="929">
        <v>2019200467</v>
      </c>
      <c r="B454" s="881">
        <v>44312</v>
      </c>
      <c r="C454" s="881" t="s">
        <v>133</v>
      </c>
      <c r="D454" s="1133" t="str">
        <f>IFERROR(VLOOKUP(G454,PosAggregate!$B$13:$B$89,1,FALSE),"")</f>
        <v/>
      </c>
      <c r="E454" s="905" t="s">
        <v>1197</v>
      </c>
      <c r="F454" s="1006" t="str">
        <f t="shared" si="99"/>
        <v/>
      </c>
      <c r="G454" s="594" t="s">
        <v>1146</v>
      </c>
      <c r="I454" s="952" t="s">
        <v>1103</v>
      </c>
      <c r="J454" s="833" t="s">
        <v>125</v>
      </c>
      <c r="K454" s="938">
        <v>1791.192</v>
      </c>
      <c r="L454" s="938"/>
      <c r="M454" s="938">
        <v>5000</v>
      </c>
      <c r="N454" s="1009">
        <f t="shared" si="103"/>
        <v>-8955960</v>
      </c>
      <c r="O454" s="817">
        <v>-5374</v>
      </c>
      <c r="R454" s="982">
        <f t="shared" si="114"/>
        <v>-8961334</v>
      </c>
      <c r="S454" s="878">
        <v>130.56103374429793</v>
      </c>
      <c r="T454" s="998">
        <f t="shared" si="116"/>
        <v>-68637.125051802635</v>
      </c>
      <c r="U454" s="716">
        <v>44314</v>
      </c>
      <c r="V454" s="594" t="s">
        <v>1656</v>
      </c>
      <c r="W454" s="914">
        <v>44216.554416666666</v>
      </c>
      <c r="X454" s="971">
        <f t="shared" si="107"/>
        <v>6.0004734277509054E-2</v>
      </c>
      <c r="Y454" s="584" t="s">
        <v>1693</v>
      </c>
      <c r="Z454" s="988" t="str">
        <f>VLOOKUP(AA454,'place of settlement'!A:C,2,FALSE)</f>
        <v>JJSDJPJTXXX</v>
      </c>
      <c r="AA454" s="988" t="str">
        <f t="shared" si="115"/>
        <v>JP</v>
      </c>
      <c r="AB454" s="988" t="str">
        <f t="shared" si="112"/>
        <v>Tavira SecuritiesJP</v>
      </c>
      <c r="AC454" s="988" t="str">
        <f>VLOOKUP(AB454,sample!$1:$1048576,2,FALSE)</f>
        <v>GSILGB2XXXX</v>
      </c>
      <c r="AD454" s="988" t="str">
        <f>VLOOKUP($AB454,sample!$1:$1048576,3,FALSE)</f>
        <v>JJSDJPJTXXX</v>
      </c>
      <c r="AE454" s="986">
        <f>VLOOKUP($AB454,sample!$1:$1048576,4,FALSE)</f>
        <v>6530490016</v>
      </c>
      <c r="AF454" s="988" t="str">
        <f>VLOOKUP($AB454,sample!$1:$1048576,5,FALSE)</f>
        <v>N</v>
      </c>
      <c r="AG454" s="584"/>
      <c r="AH454" s="584"/>
      <c r="AI454" s="584"/>
      <c r="AJ454" s="584"/>
      <c r="AK454" s="584"/>
      <c r="AL454" s="986" t="str">
        <f>VLOOKUP($AB454,sample!$1:$1048576,11,FALSE)</f>
        <v xml:space="preserve">                  </v>
      </c>
      <c r="AM454" s="986" t="str">
        <f>VLOOKUP($AB454,sample!$1:$1048576,12,FALSE)</f>
        <v xml:space="preserve">                          </v>
      </c>
      <c r="AN454" s="986" t="str">
        <f>VLOOKUP($AB454,sample!$1:$1048576,13,FALSE)</f>
        <v>GOLDJPJXXXX</v>
      </c>
      <c r="AO454" s="584"/>
      <c r="AP454" s="988"/>
    </row>
    <row r="455" spans="1:42">
      <c r="A455" s="929">
        <v>2019200468</v>
      </c>
      <c r="B455" s="881">
        <v>44313</v>
      </c>
      <c r="C455" s="881" t="s">
        <v>134</v>
      </c>
      <c r="D455" s="1133" t="str">
        <f>IFERROR(VLOOKUP(G455,PosAggregate!$B$13:$B$89,1,FALSE),"")</f>
        <v/>
      </c>
      <c r="E455" s="905" t="s">
        <v>12695</v>
      </c>
      <c r="F455" s="1006" t="str">
        <f t="shared" si="99"/>
        <v/>
      </c>
      <c r="G455" s="594" t="s">
        <v>2109</v>
      </c>
      <c r="I455" s="833" t="s">
        <v>12702</v>
      </c>
      <c r="J455" s="833" t="s">
        <v>2</v>
      </c>
      <c r="K455" s="938">
        <v>4.7933789999999998</v>
      </c>
      <c r="L455" s="938"/>
      <c r="M455" s="938">
        <v>-5062</v>
      </c>
      <c r="N455" s="1009">
        <f t="shared" si="103"/>
        <v>24264.084498</v>
      </c>
      <c r="O455" s="817">
        <v>-14.56</v>
      </c>
      <c r="R455" s="982">
        <f t="shared" si="114"/>
        <v>24249.524497999999</v>
      </c>
      <c r="S455" s="878">
        <v>1</v>
      </c>
      <c r="T455" s="998">
        <f t="shared" si="116"/>
        <v>24249.524497999999</v>
      </c>
      <c r="U455" s="716">
        <v>44315</v>
      </c>
      <c r="V455" s="594" t="s">
        <v>1656</v>
      </c>
      <c r="W455" s="914">
        <v>44216.554416666666</v>
      </c>
      <c r="X455" s="971">
        <f t="shared" si="107"/>
        <v>-6.0006385162399707E-2</v>
      </c>
      <c r="Y455" s="584" t="s">
        <v>1693</v>
      </c>
      <c r="Z455" s="988" t="str">
        <f>VLOOKUP(AA455,'place of settlement'!A:C,2,FALSE)</f>
        <v>MOTIITMMXXX</v>
      </c>
      <c r="AA455" s="988" t="str">
        <f t="shared" si="115"/>
        <v>IT</v>
      </c>
      <c r="AB455" s="988" t="str">
        <f t="shared" si="112"/>
        <v>Tavira SecuritiesIT</v>
      </c>
      <c r="AC455" s="988" t="str">
        <f>VLOOKUP(AB455,sample!$1:$1048576,2,FALSE)</f>
        <v>GSILGB2XXXX</v>
      </c>
      <c r="AD455" s="988" t="str">
        <f>VLOOKUP($AB455,sample!$1:$1048576,3,FALSE)</f>
        <v>MOTIITMMXXX</v>
      </c>
      <c r="AE455" s="986" t="str">
        <f>VLOOKUP($AB455,sample!$1:$1048576,4,FALSE)</f>
        <v>MOTICITIITMXXXX6013800</v>
      </c>
      <c r="AF455" s="988" t="str">
        <f>VLOOKUP($AB455,sample!$1:$1048576,5,FALSE)</f>
        <v>N</v>
      </c>
      <c r="AG455" s="584"/>
      <c r="AH455" s="584"/>
      <c r="AI455" s="584"/>
      <c r="AJ455" s="584"/>
      <c r="AK455" s="584"/>
      <c r="AL455" s="986" t="str">
        <f>VLOOKUP($AB455,sample!$1:$1048576,11,FALSE)</f>
        <v xml:space="preserve">        </v>
      </c>
      <c r="AM455" s="986" t="str">
        <f>VLOOKUP($AB455,sample!$1:$1048576,12,FALSE)</f>
        <v xml:space="preserve">        </v>
      </c>
      <c r="AN455" s="986" t="str">
        <f>VLOOKUP($AB455,sample!$1:$1048576,13,FALSE)</f>
        <v>CITIITM1012</v>
      </c>
      <c r="AO455" s="584"/>
      <c r="AP455" s="988"/>
    </row>
    <row r="456" spans="1:42">
      <c r="A456" s="929">
        <v>2019200469</v>
      </c>
      <c r="B456" s="881">
        <v>44314</v>
      </c>
      <c r="C456" s="881" t="s">
        <v>134</v>
      </c>
      <c r="D456" s="1133" t="str">
        <f>IFERROR(VLOOKUP(G456,PosAggregate!$B$13:$B$89,1,FALSE),"")</f>
        <v/>
      </c>
      <c r="E456" s="905" t="s">
        <v>12695</v>
      </c>
      <c r="F456" s="1006" t="str">
        <f t="shared" si="99"/>
        <v/>
      </c>
      <c r="G456" s="594" t="s">
        <v>2109</v>
      </c>
      <c r="I456" s="833" t="s">
        <v>12702</v>
      </c>
      <c r="J456" s="833" t="s">
        <v>2</v>
      </c>
      <c r="K456" s="938">
        <v>4.7937180000000001</v>
      </c>
      <c r="L456" s="938"/>
      <c r="M456" s="938">
        <v>-1427</v>
      </c>
      <c r="N456" s="1009">
        <f t="shared" si="103"/>
        <v>6840.6355860000003</v>
      </c>
      <c r="O456" s="817">
        <v>-4.0999999999999996</v>
      </c>
      <c r="R456" s="982">
        <f t="shared" si="114"/>
        <v>6836.535586</v>
      </c>
      <c r="S456" s="878">
        <v>1</v>
      </c>
      <c r="T456" s="998">
        <f t="shared" si="116"/>
        <v>6836.535586</v>
      </c>
      <c r="U456" s="716">
        <v>44316</v>
      </c>
      <c r="V456" s="594" t="s">
        <v>1656</v>
      </c>
      <c r="W456" s="914">
        <v>44216.554416666666</v>
      </c>
      <c r="X456" s="971">
        <f t="shared" si="107"/>
        <v>-5.9935951103593836E-2</v>
      </c>
      <c r="Y456" s="584" t="s">
        <v>1693</v>
      </c>
      <c r="Z456" s="988" t="str">
        <f>VLOOKUP(AA456,'place of settlement'!A:C,2,FALSE)</f>
        <v>MOTIITMMXXX</v>
      </c>
      <c r="AA456" s="988" t="str">
        <f t="shared" si="115"/>
        <v>IT</v>
      </c>
      <c r="AB456" s="988" t="str">
        <f t="shared" si="112"/>
        <v>Tavira SecuritiesIT</v>
      </c>
      <c r="AC456" s="988" t="str">
        <f>VLOOKUP(AB456,sample!$1:$1048576,2,FALSE)</f>
        <v>GSILGB2XXXX</v>
      </c>
      <c r="AD456" s="988" t="str">
        <f>VLOOKUP($AB456,sample!$1:$1048576,3,FALSE)</f>
        <v>MOTIITMMXXX</v>
      </c>
      <c r="AE456" s="986" t="str">
        <f>VLOOKUP($AB456,sample!$1:$1048576,4,FALSE)</f>
        <v>MOTICITIITMXXXX6013800</v>
      </c>
      <c r="AF456" s="988" t="str">
        <f>VLOOKUP($AB456,sample!$1:$1048576,5,FALSE)</f>
        <v>N</v>
      </c>
      <c r="AG456" s="584"/>
      <c r="AH456" s="584"/>
      <c r="AI456" s="584"/>
      <c r="AJ456" s="584"/>
      <c r="AK456" s="584"/>
      <c r="AL456" s="986" t="str">
        <f>VLOOKUP($AB456,sample!$1:$1048576,11,FALSE)</f>
        <v xml:space="preserve">        </v>
      </c>
      <c r="AM456" s="986" t="str">
        <f>VLOOKUP($AB456,sample!$1:$1048576,12,FALSE)</f>
        <v xml:space="preserve">        </v>
      </c>
      <c r="AN456" s="986" t="str">
        <f>VLOOKUP($AB456,sample!$1:$1048576,13,FALSE)</f>
        <v>CITIITM1012</v>
      </c>
      <c r="AO456" s="584"/>
      <c r="AP456" s="988"/>
    </row>
    <row r="457" spans="1:42">
      <c r="A457" s="929">
        <v>2019200470</v>
      </c>
      <c r="B457" s="881">
        <v>44316</v>
      </c>
      <c r="C457" s="881" t="s">
        <v>134</v>
      </c>
      <c r="D457" s="1133" t="str">
        <f>IFERROR(VLOOKUP(G457,PosAggregate!$B$13:$B$89,1,FALSE),"")</f>
        <v/>
      </c>
      <c r="E457" s="905" t="s">
        <v>12686</v>
      </c>
      <c r="F457" s="1006" t="str">
        <f t="shared" si="99"/>
        <v/>
      </c>
      <c r="G457" s="594" t="s">
        <v>12589</v>
      </c>
      <c r="I457" s="833" t="s">
        <v>12627</v>
      </c>
      <c r="J457" s="833" t="s">
        <v>125</v>
      </c>
      <c r="K457" s="938">
        <v>4243.6636360000002</v>
      </c>
      <c r="L457" s="938"/>
      <c r="M457" s="938">
        <v>-2200</v>
      </c>
      <c r="N457" s="1009">
        <f t="shared" si="103"/>
        <v>9336059.9992000014</v>
      </c>
      <c r="O457" s="817">
        <v>-5602</v>
      </c>
      <c r="R457" s="982">
        <f t="shared" si="114"/>
        <v>9330457.9992000014</v>
      </c>
      <c r="S457" s="878">
        <v>131.97692736482404</v>
      </c>
      <c r="T457" s="998">
        <f t="shared" si="116"/>
        <v>70697.645304378093</v>
      </c>
      <c r="U457" s="716">
        <v>44323</v>
      </c>
      <c r="V457" s="594" t="s">
        <v>1656</v>
      </c>
      <c r="W457" s="914">
        <v>44216.554416666666</v>
      </c>
      <c r="X457" s="971">
        <f t="shared" si="107"/>
        <v>-6.0003898866117303E-2</v>
      </c>
      <c r="Y457" s="584" t="s">
        <v>1693</v>
      </c>
      <c r="Z457" s="988" t="str">
        <f>VLOOKUP(AA457,'place of settlement'!A:C,2,FALSE)</f>
        <v>JJSDJPJTXXX</v>
      </c>
      <c r="AA457" s="988" t="str">
        <f t="shared" si="115"/>
        <v>JP</v>
      </c>
      <c r="AB457" s="988" t="str">
        <f t="shared" si="112"/>
        <v>Tavira SecuritiesJP</v>
      </c>
      <c r="AC457" s="988" t="str">
        <f>VLOOKUP(AB457,sample!$1:$1048576,2,FALSE)</f>
        <v>GSILGB2XXXX</v>
      </c>
      <c r="AD457" s="988" t="str">
        <f>VLOOKUP($AB457,sample!$1:$1048576,3,FALSE)</f>
        <v>JJSDJPJTXXX</v>
      </c>
      <c r="AE457" s="986">
        <f>VLOOKUP($AB457,sample!$1:$1048576,4,FALSE)</f>
        <v>6530490016</v>
      </c>
      <c r="AF457" s="988" t="str">
        <f>VLOOKUP($AB457,sample!$1:$1048576,5,FALSE)</f>
        <v>N</v>
      </c>
      <c r="AG457" s="584"/>
      <c r="AH457" s="584"/>
      <c r="AI457" s="584"/>
      <c r="AJ457" s="584"/>
      <c r="AK457" s="584"/>
      <c r="AL457" s="986" t="str">
        <f>VLOOKUP($AB457,sample!$1:$1048576,11,FALSE)</f>
        <v xml:space="preserve">                  </v>
      </c>
      <c r="AM457" s="986" t="str">
        <f>VLOOKUP($AB457,sample!$1:$1048576,12,FALSE)</f>
        <v xml:space="preserve">                          </v>
      </c>
      <c r="AN457" s="986" t="str">
        <f>VLOOKUP($AB457,sample!$1:$1048576,13,FALSE)</f>
        <v>GOLDJPJXXXX</v>
      </c>
      <c r="AO457" s="584"/>
      <c r="AP457" s="988"/>
    </row>
    <row r="458" spans="1:42">
      <c r="A458" s="929">
        <v>2019200471</v>
      </c>
      <c r="B458" s="881">
        <v>44322</v>
      </c>
      <c r="C458" s="881" t="s">
        <v>133</v>
      </c>
      <c r="D458" s="1133" t="str">
        <f>IFERROR(VLOOKUP(G458,PosAggregate!$B$13:$B$89,1,FALSE),"")</f>
        <v/>
      </c>
      <c r="E458" s="905" t="s">
        <v>1186</v>
      </c>
      <c r="F458" s="1006" t="str">
        <f t="shared" si="99"/>
        <v/>
      </c>
      <c r="G458" s="594" t="s">
        <v>1134</v>
      </c>
      <c r="I458" s="833" t="s">
        <v>1081</v>
      </c>
      <c r="J458" s="833" t="s">
        <v>125</v>
      </c>
      <c r="K458" s="938">
        <v>1308</v>
      </c>
      <c r="L458" s="938"/>
      <c r="M458" s="938">
        <v>25000</v>
      </c>
      <c r="N458" s="1009">
        <f t="shared" si="103"/>
        <v>-32700000</v>
      </c>
      <c r="O458" s="817">
        <v>-19620</v>
      </c>
      <c r="R458" s="982">
        <f t="shared" si="114"/>
        <v>-32719620</v>
      </c>
      <c r="S458" s="878">
        <v>131.07000084034618</v>
      </c>
      <c r="T458" s="998">
        <f t="shared" si="116"/>
        <v>-249634.69741527759</v>
      </c>
      <c r="U458" s="716">
        <v>44326</v>
      </c>
      <c r="V458" s="594" t="s">
        <v>1656</v>
      </c>
      <c r="W458" s="914">
        <v>44216.554416666666</v>
      </c>
      <c r="X458" s="971">
        <f t="shared" si="107"/>
        <v>0.06</v>
      </c>
      <c r="Y458" s="584" t="s">
        <v>1693</v>
      </c>
      <c r="Z458" s="988" t="str">
        <f>VLOOKUP(AA458,'place of settlement'!A:C,2,FALSE)</f>
        <v>JJSDJPJTXXX</v>
      </c>
      <c r="AA458" s="988" t="str">
        <f t="shared" si="115"/>
        <v>JP</v>
      </c>
      <c r="AB458" s="988" t="str">
        <f t="shared" si="112"/>
        <v>Tavira SecuritiesJP</v>
      </c>
      <c r="AC458" s="988" t="str">
        <f>VLOOKUP(AB458,sample!$1:$1048576,2,FALSE)</f>
        <v>GSILGB2XXXX</v>
      </c>
      <c r="AD458" s="988" t="str">
        <f>VLOOKUP($AB458,sample!$1:$1048576,3,FALSE)</f>
        <v>JJSDJPJTXXX</v>
      </c>
      <c r="AE458" s="986">
        <f>VLOOKUP($AB458,sample!$1:$1048576,4,FALSE)</f>
        <v>6530490016</v>
      </c>
      <c r="AF458" s="988" t="str">
        <f>VLOOKUP($AB458,sample!$1:$1048576,5,FALSE)</f>
        <v>N</v>
      </c>
      <c r="AG458" s="584"/>
      <c r="AH458" s="584"/>
      <c r="AI458" s="584"/>
      <c r="AJ458" s="584"/>
      <c r="AK458" s="584"/>
      <c r="AL458" s="986" t="str">
        <f>VLOOKUP($AB458,sample!$1:$1048576,11,FALSE)</f>
        <v xml:space="preserve">                  </v>
      </c>
      <c r="AM458" s="986" t="str">
        <f>VLOOKUP($AB458,sample!$1:$1048576,12,FALSE)</f>
        <v xml:space="preserve">                          </v>
      </c>
      <c r="AN458" s="986" t="str">
        <f>VLOOKUP($AB458,sample!$1:$1048576,13,FALSE)</f>
        <v>GOLDJPJXXXX</v>
      </c>
      <c r="AO458" s="584"/>
      <c r="AP458" s="988"/>
    </row>
    <row r="459" spans="1:42">
      <c r="A459" s="1000">
        <f>(A458+1)</f>
        <v>2019200472</v>
      </c>
      <c r="B459" s="881">
        <v>44327</v>
      </c>
      <c r="C459" s="881" t="s">
        <v>134</v>
      </c>
      <c r="D459" s="1133" t="str">
        <f>IFERROR(VLOOKUP(G459,PosAggregate!$B$13:$B$89,1,FALSE),"")</f>
        <v/>
      </c>
      <c r="E459" s="905" t="s">
        <v>1209</v>
      </c>
      <c r="F459" s="1006" t="str">
        <f t="shared" si="99"/>
        <v/>
      </c>
      <c r="G459" s="594" t="s">
        <v>1159</v>
      </c>
      <c r="I459" s="833" t="s">
        <v>1102</v>
      </c>
      <c r="J459" s="833" t="s">
        <v>123</v>
      </c>
      <c r="K459" s="938">
        <v>191298</v>
      </c>
      <c r="L459" s="938"/>
      <c r="M459" s="938">
        <v>-500</v>
      </c>
      <c r="N459" s="1009">
        <f t="shared" si="103"/>
        <v>95649000</v>
      </c>
      <c r="O459" s="817">
        <v>-143474</v>
      </c>
      <c r="P459" s="817">
        <v>-219959</v>
      </c>
      <c r="R459" s="982">
        <f t="shared" si="114"/>
        <v>95285567</v>
      </c>
      <c r="S459" s="878">
        <v>1354.4216284400886</v>
      </c>
      <c r="T459" s="998">
        <f t="shared" si="116"/>
        <v>70351.480660968242</v>
      </c>
      <c r="U459" s="716">
        <v>44329</v>
      </c>
      <c r="V459" s="594" t="s">
        <v>1114</v>
      </c>
      <c r="W459" s="914">
        <v>44327.373985763887</v>
      </c>
      <c r="X459" s="971">
        <f t="shared" si="107"/>
        <v>-0.15000052274461834</v>
      </c>
      <c r="Y459" s="584" t="s">
        <v>1693</v>
      </c>
      <c r="Z459" s="988" t="str">
        <f>VLOOKUP(AA459,'place of settlement'!A:C,2,FALSE)</f>
        <v>KSDCKRSEXXX</v>
      </c>
      <c r="AA459" s="988" t="str">
        <f t="shared" si="115"/>
        <v>KR</v>
      </c>
      <c r="AB459" s="584" t="s">
        <v>1902</v>
      </c>
      <c r="AC459" s="988" t="e">
        <f>VLOOKUP(AB459,sample!$1:$1048576,2,FALSE)</f>
        <v>#N/A</v>
      </c>
      <c r="AD459" s="988" t="e">
        <f>VLOOKUP($AB459,sample!$1:$1048576,3,FALSE)</f>
        <v>#N/A</v>
      </c>
      <c r="AE459" s="986" t="e">
        <f>VLOOKUP($AB459,sample!$1:$1048576,4,FALSE)</f>
        <v>#N/A</v>
      </c>
      <c r="AF459" s="988" t="e">
        <f>VLOOKUP($AB459,sample!$1:$1048576,5,FALSE)</f>
        <v>#N/A</v>
      </c>
      <c r="AG459" s="584"/>
      <c r="AH459" s="584"/>
      <c r="AI459" s="584"/>
      <c r="AJ459" s="584"/>
      <c r="AK459" s="584"/>
      <c r="AL459" s="986" t="e">
        <f>VLOOKUP($AB459,sample!$1:$1048576,11,FALSE)</f>
        <v>#N/A</v>
      </c>
      <c r="AM459" s="986" t="e">
        <f>VLOOKUP($AB459,sample!$1:$1048576,12,FALSE)</f>
        <v>#N/A</v>
      </c>
      <c r="AN459" s="986" t="e">
        <f>VLOOKUP($AB459,sample!$1:$1048576,13,FALSE)</f>
        <v>#N/A</v>
      </c>
      <c r="AO459" s="584"/>
      <c r="AP459" s="988"/>
    </row>
    <row r="460" spans="1:42">
      <c r="A460" s="1000">
        <f t="shared" ref="A460:A469" si="118">(A459+1)</f>
        <v>2019200473</v>
      </c>
      <c r="B460" s="881">
        <v>44327</v>
      </c>
      <c r="C460" s="881" t="s">
        <v>134</v>
      </c>
      <c r="D460" s="1133" t="str">
        <f>IFERROR(VLOOKUP(G460,PosAggregate!$B$13:$B$89,1,FALSE),"")</f>
        <v/>
      </c>
      <c r="E460" s="905" t="s">
        <v>1208</v>
      </c>
      <c r="F460" s="1006" t="str">
        <f t="shared" ref="F460:F480" si="119">IF(D460=G460,"YES","")</f>
        <v/>
      </c>
      <c r="G460" s="594" t="s">
        <v>1158</v>
      </c>
      <c r="I460" s="833" t="s">
        <v>1082</v>
      </c>
      <c r="J460" s="833" t="s">
        <v>123</v>
      </c>
      <c r="K460" s="938">
        <v>438754.87800000003</v>
      </c>
      <c r="L460" s="938"/>
      <c r="M460" s="938">
        <v>-410</v>
      </c>
      <c r="N460" s="1009">
        <f t="shared" si="103"/>
        <v>179889499.98000002</v>
      </c>
      <c r="O460" s="817">
        <v>-269834</v>
      </c>
      <c r="P460" s="817">
        <v>-413621</v>
      </c>
      <c r="R460" s="982">
        <f t="shared" si="114"/>
        <v>179206044.98000002</v>
      </c>
      <c r="S460" s="878">
        <v>1354.4216284400898</v>
      </c>
      <c r="T460" s="998">
        <f t="shared" si="116"/>
        <v>132311.86007151601</v>
      </c>
      <c r="U460" s="716">
        <v>44329</v>
      </c>
      <c r="V460" s="594" t="s">
        <v>1114</v>
      </c>
      <c r="W460" s="914">
        <v>44327.374343981479</v>
      </c>
      <c r="X460" s="971">
        <f t="shared" si="107"/>
        <v>-0.14999986104247326</v>
      </c>
      <c r="Y460" s="584" t="s">
        <v>1693</v>
      </c>
      <c r="Z460" s="988" t="str">
        <f>VLOOKUP(AA460,'place of settlement'!A:C,2,FALSE)</f>
        <v>KSDCKRSEXXX</v>
      </c>
      <c r="AA460" s="988" t="str">
        <f t="shared" si="115"/>
        <v>KR</v>
      </c>
      <c r="AB460" s="584" t="s">
        <v>1902</v>
      </c>
      <c r="AC460" s="988" t="e">
        <f>VLOOKUP(AB460,sample!$1:$1048576,2,FALSE)</f>
        <v>#N/A</v>
      </c>
      <c r="AD460" s="988" t="e">
        <f>VLOOKUP($AB460,sample!$1:$1048576,3,FALSE)</f>
        <v>#N/A</v>
      </c>
      <c r="AE460" s="986" t="e">
        <f>VLOOKUP($AB460,sample!$1:$1048576,4,FALSE)</f>
        <v>#N/A</v>
      </c>
      <c r="AF460" s="988" t="e">
        <f>VLOOKUP($AB460,sample!$1:$1048576,5,FALSE)</f>
        <v>#N/A</v>
      </c>
      <c r="AG460" s="584"/>
      <c r="AH460" s="584"/>
      <c r="AI460" s="584"/>
      <c r="AJ460" s="584"/>
      <c r="AK460" s="584"/>
      <c r="AL460" s="986" t="e">
        <f>VLOOKUP($AB460,sample!$1:$1048576,11,FALSE)</f>
        <v>#N/A</v>
      </c>
      <c r="AM460" s="986" t="e">
        <f>VLOOKUP($AB460,sample!$1:$1048576,12,FALSE)</f>
        <v>#N/A</v>
      </c>
      <c r="AN460" s="986" t="e">
        <f>VLOOKUP($AB460,sample!$1:$1048576,13,FALSE)</f>
        <v>#N/A</v>
      </c>
      <c r="AO460" s="584"/>
      <c r="AP460" s="988"/>
    </row>
    <row r="461" spans="1:42">
      <c r="A461" s="1000">
        <f t="shared" si="118"/>
        <v>2019200474</v>
      </c>
      <c r="B461" s="881">
        <v>44327</v>
      </c>
      <c r="C461" s="881" t="s">
        <v>134</v>
      </c>
      <c r="D461" s="1133" t="str">
        <f>IFERROR(VLOOKUP(G461,PosAggregate!$B$13:$B$89,1,FALSE),"")</f>
        <v/>
      </c>
      <c r="E461" s="905" t="s">
        <v>1206</v>
      </c>
      <c r="F461" s="1006" t="str">
        <f t="shared" si="119"/>
        <v/>
      </c>
      <c r="G461" s="594" t="s">
        <v>1156</v>
      </c>
      <c r="I461" s="833" t="s">
        <v>1080</v>
      </c>
      <c r="J461" s="833" t="s">
        <v>123</v>
      </c>
      <c r="K461" s="938">
        <v>431132.5</v>
      </c>
      <c r="L461" s="938"/>
      <c r="M461" s="938">
        <v>-600</v>
      </c>
      <c r="N461" s="1009">
        <f t="shared" si="103"/>
        <v>258679500</v>
      </c>
      <c r="O461" s="817">
        <v>-388019</v>
      </c>
      <c r="P461" s="817">
        <v>-594897</v>
      </c>
      <c r="R461" s="982">
        <f t="shared" si="114"/>
        <v>257696584</v>
      </c>
      <c r="S461" s="878">
        <v>1354.4216284400868</v>
      </c>
      <c r="T461" s="998">
        <f t="shared" si="116"/>
        <v>190263.19322498864</v>
      </c>
      <c r="U461" s="716">
        <v>44329</v>
      </c>
      <c r="V461" s="594" t="s">
        <v>1114</v>
      </c>
      <c r="W461" s="914">
        <v>44327.374733101853</v>
      </c>
      <c r="X461" s="971">
        <f t="shared" si="107"/>
        <v>-0.14999990335531033</v>
      </c>
      <c r="Y461" s="584" t="s">
        <v>1693</v>
      </c>
      <c r="Z461" s="988" t="str">
        <f>VLOOKUP(AA461,'place of settlement'!A:C,2,FALSE)</f>
        <v>KSDCKRSEXXX</v>
      </c>
      <c r="AA461" s="988" t="str">
        <f t="shared" si="115"/>
        <v>KR</v>
      </c>
      <c r="AB461" s="584" t="s">
        <v>1902</v>
      </c>
      <c r="AC461" s="988" t="e">
        <f>VLOOKUP(AB461,sample!$1:$1048576,2,FALSE)</f>
        <v>#N/A</v>
      </c>
      <c r="AD461" s="988" t="e">
        <f>VLOOKUP($AB461,sample!$1:$1048576,3,FALSE)</f>
        <v>#N/A</v>
      </c>
      <c r="AE461" s="986" t="e">
        <f>VLOOKUP($AB461,sample!$1:$1048576,4,FALSE)</f>
        <v>#N/A</v>
      </c>
      <c r="AF461" s="988" t="e">
        <f>VLOOKUP($AB461,sample!$1:$1048576,5,FALSE)</f>
        <v>#N/A</v>
      </c>
      <c r="AG461" s="584"/>
      <c r="AH461" s="584"/>
      <c r="AI461" s="584"/>
      <c r="AJ461" s="584"/>
      <c r="AK461" s="584"/>
      <c r="AL461" s="986" t="e">
        <f>VLOOKUP($AB461,sample!$1:$1048576,11,FALSE)</f>
        <v>#N/A</v>
      </c>
      <c r="AM461" s="986" t="e">
        <f>VLOOKUP($AB461,sample!$1:$1048576,12,FALSE)</f>
        <v>#N/A</v>
      </c>
      <c r="AN461" s="986" t="e">
        <f>VLOOKUP($AB461,sample!$1:$1048576,13,FALSE)</f>
        <v>#N/A</v>
      </c>
      <c r="AO461" s="584"/>
      <c r="AP461" s="988"/>
    </row>
    <row r="462" spans="1:42">
      <c r="A462" s="1000">
        <f t="shared" si="118"/>
        <v>2019200475</v>
      </c>
      <c r="B462" s="881">
        <v>44327</v>
      </c>
      <c r="C462" s="881" t="s">
        <v>133</v>
      </c>
      <c r="D462" s="1133" t="str">
        <f>IFERROR(VLOOKUP(G462,PosAggregate!$B$13:$B$89,1,FALSE),"")</f>
        <v/>
      </c>
      <c r="E462" s="905" t="s">
        <v>1186</v>
      </c>
      <c r="F462" s="1006" t="str">
        <f t="shared" si="119"/>
        <v/>
      </c>
      <c r="G462" s="594" t="s">
        <v>1134</v>
      </c>
      <c r="I462" s="833" t="s">
        <v>1081</v>
      </c>
      <c r="J462" s="833" t="s">
        <v>125</v>
      </c>
      <c r="K462" s="938">
        <v>1242.160455</v>
      </c>
      <c r="L462" s="938"/>
      <c r="M462" s="938">
        <v>22000</v>
      </c>
      <c r="N462" s="1009">
        <f t="shared" si="103"/>
        <v>-27327530.009999998</v>
      </c>
      <c r="O462" s="817">
        <v>-16397</v>
      </c>
      <c r="P462" s="817"/>
      <c r="R462" s="982">
        <f t="shared" si="114"/>
        <v>-27343927.009999998</v>
      </c>
      <c r="S462" s="878">
        <v>131.93930646354627</v>
      </c>
      <c r="T462" s="998">
        <f t="shared" si="116"/>
        <v>-207246.25392475363</v>
      </c>
      <c r="U462" s="716">
        <v>44329</v>
      </c>
      <c r="V462" s="594" t="s">
        <v>1656</v>
      </c>
      <c r="W462" s="914">
        <v>44216.554416666666</v>
      </c>
      <c r="X462" s="971">
        <f t="shared" si="107"/>
        <v>6.0001763767160168E-2</v>
      </c>
      <c r="Y462" s="584" t="s">
        <v>1693</v>
      </c>
      <c r="Z462" s="988" t="str">
        <f>VLOOKUP(AA462,'place of settlement'!A:C,2,FALSE)</f>
        <v>JJSDJPJTXXX</v>
      </c>
      <c r="AA462" s="988" t="str">
        <f t="shared" si="115"/>
        <v>JP</v>
      </c>
      <c r="AB462" s="988" t="str">
        <f t="shared" si="112"/>
        <v>Tavira SecuritiesJP</v>
      </c>
      <c r="AC462" s="988" t="str">
        <f>VLOOKUP(AB462,sample!$1:$1048576,2,FALSE)</f>
        <v>GSILGB2XXXX</v>
      </c>
      <c r="AD462" s="988" t="str">
        <f>VLOOKUP($AB462,sample!$1:$1048576,3,FALSE)</f>
        <v>JJSDJPJTXXX</v>
      </c>
      <c r="AE462" s="986">
        <f>VLOOKUP($AB462,sample!$1:$1048576,4,FALSE)</f>
        <v>6530490016</v>
      </c>
      <c r="AF462" s="988" t="str">
        <f>VLOOKUP($AB462,sample!$1:$1048576,5,FALSE)</f>
        <v>N</v>
      </c>
      <c r="AG462" s="584"/>
      <c r="AH462" s="584"/>
      <c r="AI462" s="584"/>
      <c r="AJ462" s="584"/>
      <c r="AK462" s="584"/>
      <c r="AL462" s="986" t="str">
        <f>VLOOKUP($AB462,sample!$1:$1048576,11,FALSE)</f>
        <v xml:space="preserve">                  </v>
      </c>
      <c r="AM462" s="986" t="str">
        <f>VLOOKUP($AB462,sample!$1:$1048576,12,FALSE)</f>
        <v xml:space="preserve">                          </v>
      </c>
      <c r="AN462" s="986" t="str">
        <f>VLOOKUP($AB462,sample!$1:$1048576,13,FALSE)</f>
        <v>GOLDJPJXXXX</v>
      </c>
      <c r="AO462" s="584"/>
      <c r="AP462" s="988"/>
    </row>
    <row r="463" spans="1:42" s="920" customFormat="1">
      <c r="A463" s="1005">
        <f t="shared" si="118"/>
        <v>2019200476</v>
      </c>
      <c r="B463" s="917">
        <v>44333</v>
      </c>
      <c r="C463" s="917" t="s">
        <v>133</v>
      </c>
      <c r="D463" s="1134" t="str">
        <f>IFERROR(VLOOKUP(G463,PosAggregate!$B$13:$B$89,1,FALSE),"")</f>
        <v/>
      </c>
      <c r="E463" s="918" t="s">
        <v>1630</v>
      </c>
      <c r="F463" s="1006" t="str">
        <f t="shared" si="119"/>
        <v/>
      </c>
      <c r="G463" s="919" t="s">
        <v>1623</v>
      </c>
      <c r="I463" s="921" t="s">
        <v>1624</v>
      </c>
      <c r="J463" s="921" t="s">
        <v>125</v>
      </c>
      <c r="K463" s="953">
        <v>2937.417778</v>
      </c>
      <c r="L463" s="953"/>
      <c r="M463" s="953">
        <v>4500</v>
      </c>
      <c r="N463" s="990">
        <f t="shared" si="103"/>
        <v>-13218380.001</v>
      </c>
      <c r="O463" s="817">
        <v>-7931</v>
      </c>
      <c r="R463" s="991">
        <f t="shared" si="114"/>
        <v>-13226311.001</v>
      </c>
      <c r="S463" s="922">
        <v>132.73928033797884</v>
      </c>
      <c r="T463" s="998">
        <f t="shared" si="116"/>
        <v>-99641.273987047069</v>
      </c>
      <c r="U463" s="716">
        <v>44335</v>
      </c>
      <c r="V463" s="919" t="s">
        <v>1656</v>
      </c>
      <c r="W463" s="927">
        <v>44216.554416666666</v>
      </c>
      <c r="X463" s="992">
        <f t="shared" si="107"/>
        <v>5.9999788169200784E-2</v>
      </c>
      <c r="Y463" s="920" t="s">
        <v>1693</v>
      </c>
      <c r="Z463" s="989" t="str">
        <f>VLOOKUP(AA463,'place of settlement'!A:C,2,FALSE)</f>
        <v>JJSDJPJTXXX</v>
      </c>
      <c r="AA463" s="989" t="str">
        <f t="shared" si="115"/>
        <v>JP</v>
      </c>
      <c r="AB463" s="989" t="str">
        <f t="shared" si="112"/>
        <v>Tavira SecuritiesJP</v>
      </c>
      <c r="AC463" s="989" t="str">
        <f>VLOOKUP(AB463,sample!$1:$1048576,2,FALSE)</f>
        <v>GSILGB2XXXX</v>
      </c>
      <c r="AD463" s="989" t="str">
        <f>VLOOKUP($AB463,sample!$1:$1048576,3,FALSE)</f>
        <v>JJSDJPJTXXX</v>
      </c>
      <c r="AE463" s="987">
        <f>VLOOKUP($AB463,sample!$1:$1048576,4,FALSE)</f>
        <v>6530490016</v>
      </c>
      <c r="AF463" s="989" t="str">
        <f>VLOOKUP($AB463,sample!$1:$1048576,5,FALSE)</f>
        <v>N</v>
      </c>
      <c r="AL463" s="986" t="str">
        <f>VLOOKUP($AB463,sample!$1:$1048576,11,FALSE)</f>
        <v xml:space="preserve">                  </v>
      </c>
      <c r="AM463" s="986" t="str">
        <f>VLOOKUP($AB463,sample!$1:$1048576,12,FALSE)</f>
        <v xml:space="preserve">                          </v>
      </c>
      <c r="AN463" s="986" t="str">
        <f>VLOOKUP($AB463,sample!$1:$1048576,13,FALSE)</f>
        <v>GOLDJPJXXXX</v>
      </c>
      <c r="AP463" s="988"/>
    </row>
    <row r="464" spans="1:42" s="920" customFormat="1">
      <c r="A464" s="1005">
        <f t="shared" si="118"/>
        <v>2019200477</v>
      </c>
      <c r="B464" s="917">
        <v>44333</v>
      </c>
      <c r="C464" s="917" t="s">
        <v>133</v>
      </c>
      <c r="D464" s="1134" t="str">
        <f>IFERROR(VLOOKUP(G464,PosAggregate!$B$13:$B$89,1,FALSE),"")</f>
        <v/>
      </c>
      <c r="E464" s="918" t="s">
        <v>12684</v>
      </c>
      <c r="F464" s="1006" t="str">
        <f t="shared" si="119"/>
        <v/>
      </c>
      <c r="G464" s="919" t="s">
        <v>12587</v>
      </c>
      <c r="I464" s="921" t="s">
        <v>12620</v>
      </c>
      <c r="J464" s="921" t="s">
        <v>125</v>
      </c>
      <c r="K464" s="953">
        <v>2194.1759999999999</v>
      </c>
      <c r="L464" s="953"/>
      <c r="M464" s="953">
        <v>5000</v>
      </c>
      <c r="N464" s="990">
        <f t="shared" si="103"/>
        <v>-10970880</v>
      </c>
      <c r="O464" s="817">
        <v>-6583</v>
      </c>
      <c r="R464" s="991">
        <f t="shared" si="114"/>
        <v>-10977463</v>
      </c>
      <c r="S464" s="922">
        <v>132.7392803379787</v>
      </c>
      <c r="T464" s="998">
        <f t="shared" si="116"/>
        <v>-82699.431336747904</v>
      </c>
      <c r="U464" s="716">
        <v>44335</v>
      </c>
      <c r="V464" s="919" t="s">
        <v>1656</v>
      </c>
      <c r="W464" s="927">
        <v>44216.554416666666</v>
      </c>
      <c r="X464" s="992">
        <f t="shared" si="107"/>
        <v>6.0004302298448255E-2</v>
      </c>
      <c r="Y464" s="920" t="s">
        <v>1693</v>
      </c>
      <c r="Z464" s="989" t="str">
        <f>VLOOKUP(AA464,'place of settlement'!A:C,2,FALSE)</f>
        <v>JJSDJPJTXXX</v>
      </c>
      <c r="AA464" s="989" t="str">
        <f t="shared" si="115"/>
        <v>JP</v>
      </c>
      <c r="AB464" s="989" t="str">
        <f t="shared" si="112"/>
        <v>Tavira SecuritiesJP</v>
      </c>
      <c r="AC464" s="989" t="str">
        <f>VLOOKUP(AB464,sample!$1:$1048576,2,FALSE)</f>
        <v>GSILGB2XXXX</v>
      </c>
      <c r="AD464" s="989" t="str">
        <f>VLOOKUP($AB464,sample!$1:$1048576,3,FALSE)</f>
        <v>JJSDJPJTXXX</v>
      </c>
      <c r="AE464" s="987">
        <f>VLOOKUP($AB464,sample!$1:$1048576,4,FALSE)</f>
        <v>6530490016</v>
      </c>
      <c r="AF464" s="989" t="str">
        <f>VLOOKUP($AB464,sample!$1:$1048576,5,FALSE)</f>
        <v>N</v>
      </c>
      <c r="AL464" s="986" t="str">
        <f>VLOOKUP($AB464,sample!$1:$1048576,11,FALSE)</f>
        <v xml:space="preserve">                  </v>
      </c>
      <c r="AM464" s="986" t="str">
        <f>VLOOKUP($AB464,sample!$1:$1048576,12,FALSE)</f>
        <v xml:space="preserve">                          </v>
      </c>
      <c r="AN464" s="986" t="str">
        <f>VLOOKUP($AB464,sample!$1:$1048576,13,FALSE)</f>
        <v>GOLDJPJXXXX</v>
      </c>
      <c r="AP464" s="988"/>
    </row>
    <row r="465" spans="1:42" s="920" customFormat="1">
      <c r="A465" s="1005">
        <f t="shared" si="118"/>
        <v>2019200478</v>
      </c>
      <c r="B465" s="917">
        <v>44333</v>
      </c>
      <c r="C465" s="917" t="s">
        <v>133</v>
      </c>
      <c r="D465" s="1134" t="str">
        <f>IFERROR(VLOOKUP(G465,PosAggregate!$B$13:$B$89,1,FALSE),"")</f>
        <v/>
      </c>
      <c r="E465" s="918" t="s">
        <v>12688</v>
      </c>
      <c r="F465" s="1006" t="str">
        <f t="shared" si="119"/>
        <v/>
      </c>
      <c r="G465" s="919" t="s">
        <v>12597</v>
      </c>
      <c r="I465" s="921" t="s">
        <v>12623</v>
      </c>
      <c r="J465" s="921" t="s">
        <v>125</v>
      </c>
      <c r="K465" s="953">
        <v>2599.2220000000002</v>
      </c>
      <c r="L465" s="953"/>
      <c r="M465" s="953">
        <v>5000</v>
      </c>
      <c r="N465" s="990">
        <f t="shared" si="103"/>
        <v>-12996110.000000002</v>
      </c>
      <c r="O465" s="817">
        <v>-7798</v>
      </c>
      <c r="R465" s="991">
        <f t="shared" si="114"/>
        <v>-13003908.000000002</v>
      </c>
      <c r="S465" s="922">
        <v>132.73928033797898</v>
      </c>
      <c r="T465" s="998">
        <f t="shared" si="116"/>
        <v>-97965.786516919674</v>
      </c>
      <c r="U465" s="716">
        <v>44335</v>
      </c>
      <c r="V465" s="919" t="s">
        <v>1656</v>
      </c>
      <c r="W465" s="927">
        <v>44216.554416666666</v>
      </c>
      <c r="X465" s="992">
        <f t="shared" si="107"/>
        <v>6.0002569999792241E-2</v>
      </c>
      <c r="Y465" s="920" t="s">
        <v>1693</v>
      </c>
      <c r="Z465" s="989" t="str">
        <f>VLOOKUP(AA465,'place of settlement'!A:C,2,FALSE)</f>
        <v>JJSDJPJTXXX</v>
      </c>
      <c r="AA465" s="989" t="str">
        <f t="shared" si="115"/>
        <v>JP</v>
      </c>
      <c r="AB465" s="989" t="str">
        <f t="shared" si="112"/>
        <v>Tavira SecuritiesJP</v>
      </c>
      <c r="AC465" s="989" t="str">
        <f>VLOOKUP(AB465,sample!$1:$1048576,2,FALSE)</f>
        <v>GSILGB2XXXX</v>
      </c>
      <c r="AD465" s="989" t="str">
        <f>VLOOKUP($AB465,sample!$1:$1048576,3,FALSE)</f>
        <v>JJSDJPJTXXX</v>
      </c>
      <c r="AE465" s="987">
        <f>VLOOKUP($AB465,sample!$1:$1048576,4,FALSE)</f>
        <v>6530490016</v>
      </c>
      <c r="AF465" s="989" t="str">
        <f>VLOOKUP($AB465,sample!$1:$1048576,5,FALSE)</f>
        <v>N</v>
      </c>
      <c r="AL465" s="986" t="str">
        <f>VLOOKUP($AB465,sample!$1:$1048576,11,FALSE)</f>
        <v xml:space="preserve">                  </v>
      </c>
      <c r="AM465" s="986" t="str">
        <f>VLOOKUP($AB465,sample!$1:$1048576,12,FALSE)</f>
        <v xml:space="preserve">                          </v>
      </c>
      <c r="AN465" s="986" t="str">
        <f>VLOOKUP($AB465,sample!$1:$1048576,13,FALSE)</f>
        <v>GOLDJPJXXXX</v>
      </c>
      <c r="AP465" s="988"/>
    </row>
    <row r="466" spans="1:42">
      <c r="A466" s="1005">
        <f t="shared" si="118"/>
        <v>2019200479</v>
      </c>
      <c r="B466" s="881">
        <v>44335</v>
      </c>
      <c r="C466" s="881" t="s">
        <v>133</v>
      </c>
      <c r="D466" s="1133" t="str">
        <f>IFERROR(VLOOKUP(G466,PosAggregate!$B$13:$B$89,1,FALSE),"")</f>
        <v/>
      </c>
      <c r="E466" s="905" t="s">
        <v>1186</v>
      </c>
      <c r="F466" s="1006" t="str">
        <f t="shared" si="119"/>
        <v/>
      </c>
      <c r="G466" s="594" t="s">
        <v>1134</v>
      </c>
      <c r="I466" s="833" t="s">
        <v>1081</v>
      </c>
      <c r="J466" s="833" t="s">
        <v>125</v>
      </c>
      <c r="K466" s="938">
        <v>1198.1313640000001</v>
      </c>
      <c r="L466" s="938"/>
      <c r="M466" s="938">
        <v>11000</v>
      </c>
      <c r="N466" s="1009">
        <f t="shared" si="103"/>
        <v>-13179445.004000001</v>
      </c>
      <c r="O466" s="817">
        <v>-7908</v>
      </c>
      <c r="R466" s="982">
        <f t="shared" si="114"/>
        <v>-13187353.004000001</v>
      </c>
      <c r="S466" s="922">
        <v>132.73928033797898</v>
      </c>
      <c r="T466" s="998">
        <f t="shared" si="116"/>
        <v>-99347.781383344394</v>
      </c>
      <c r="U466" s="716">
        <v>44337</v>
      </c>
      <c r="V466" s="594" t="s">
        <v>1656</v>
      </c>
      <c r="W466" s="914">
        <v>44216.554416666666</v>
      </c>
      <c r="X466" s="971">
        <f t="shared" si="107"/>
        <v>6.0002526643571856E-2</v>
      </c>
      <c r="Y466" s="584" t="s">
        <v>1693</v>
      </c>
      <c r="Z466" s="988" t="str">
        <f>VLOOKUP(AA466,'place of settlement'!A:C,2,FALSE)</f>
        <v>JJSDJPJTXXX</v>
      </c>
      <c r="AA466" s="988" t="str">
        <f t="shared" ref="AA466:AA475" si="120">LEFT(E466,2)</f>
        <v>JP</v>
      </c>
      <c r="AB466" s="988" t="str">
        <f t="shared" si="112"/>
        <v>Tavira SecuritiesJP</v>
      </c>
      <c r="AC466" s="988" t="str">
        <f>VLOOKUP(AB466,sample!$1:$1048576,2,FALSE)</f>
        <v>GSILGB2XXXX</v>
      </c>
      <c r="AD466" s="988" t="str">
        <f>VLOOKUP($AB466,sample!$1:$1048576,3,FALSE)</f>
        <v>JJSDJPJTXXX</v>
      </c>
      <c r="AE466" s="986">
        <f>VLOOKUP($AB466,sample!$1:$1048576,4,FALSE)</f>
        <v>6530490016</v>
      </c>
      <c r="AF466" s="988" t="str">
        <f>VLOOKUP($AB466,sample!$1:$1048576,5,FALSE)</f>
        <v>N</v>
      </c>
      <c r="AL466" s="986" t="str">
        <f>VLOOKUP($AB466,sample!$1:$1048576,11,FALSE)</f>
        <v xml:space="preserve">                  </v>
      </c>
      <c r="AM466" s="986" t="str">
        <f>VLOOKUP($AB466,sample!$1:$1048576,12,FALSE)</f>
        <v xml:space="preserve">                          </v>
      </c>
      <c r="AN466" s="986" t="str">
        <f>VLOOKUP($AB466,sample!$1:$1048576,13,FALSE)</f>
        <v>GOLDJPJXXXX</v>
      </c>
      <c r="AP466" s="988"/>
    </row>
    <row r="467" spans="1:42">
      <c r="A467" s="1005">
        <f t="shared" si="118"/>
        <v>2019200480</v>
      </c>
      <c r="B467" s="881">
        <v>44342</v>
      </c>
      <c r="C467" s="881" t="s">
        <v>133</v>
      </c>
      <c r="D467" s="1133" t="str">
        <f>IFERROR(VLOOKUP(G467,PosAggregate!$B$13:$B$89,1,FALSE),"")</f>
        <v/>
      </c>
      <c r="E467" s="905" t="s">
        <v>12673</v>
      </c>
      <c r="F467" s="1006" t="str">
        <f t="shared" si="119"/>
        <v/>
      </c>
      <c r="G467" s="594" t="s">
        <v>2098</v>
      </c>
      <c r="I467" s="833" t="s">
        <v>12610</v>
      </c>
      <c r="J467" s="833" t="s">
        <v>123</v>
      </c>
      <c r="K467" s="938">
        <v>42803.475700000003</v>
      </c>
      <c r="L467" s="938"/>
      <c r="M467" s="938">
        <v>5970</v>
      </c>
      <c r="N467" s="1009">
        <f t="shared" si="103"/>
        <v>-255536749.92900002</v>
      </c>
      <c r="O467" s="817">
        <v>-383305</v>
      </c>
      <c r="R467" s="982">
        <f t="shared" si="114"/>
        <v>-255920054.92900002</v>
      </c>
      <c r="S467" s="878">
        <v>1374.8851567380834</v>
      </c>
      <c r="T467" s="998">
        <f t="shared" si="116"/>
        <v>-186139.22310149207</v>
      </c>
      <c r="U467" s="716">
        <v>44344</v>
      </c>
      <c r="V467" s="594" t="s">
        <v>1184</v>
      </c>
      <c r="W467" s="914">
        <v>44216.554416666666</v>
      </c>
      <c r="X467" s="971">
        <f t="shared" si="107"/>
        <v>0.14999995112503384</v>
      </c>
      <c r="Y467" s="584" t="s">
        <v>1693</v>
      </c>
      <c r="Z467" s="988" t="str">
        <f>VLOOKUP(AA467,'place of settlement'!A:C,2,FALSE)</f>
        <v>KSDCKRSEXXX</v>
      </c>
      <c r="AA467" s="988" t="str">
        <f t="shared" si="120"/>
        <v>KR</v>
      </c>
      <c r="AB467" s="988" t="str">
        <f t="shared" si="112"/>
        <v>SamsungKR</v>
      </c>
      <c r="AC467" s="988" t="e">
        <f>VLOOKUP(AB467,sample!$1:$1048576,2,FALSE)</f>
        <v>#N/A</v>
      </c>
      <c r="AD467" s="988" t="e">
        <f>VLOOKUP($AB467,sample!$1:$1048576,3,FALSE)</f>
        <v>#N/A</v>
      </c>
      <c r="AE467" s="986" t="e">
        <f>VLOOKUP($AB467,sample!$1:$1048576,4,FALSE)</f>
        <v>#N/A</v>
      </c>
      <c r="AF467" s="988" t="e">
        <f>VLOOKUP($AB467,sample!$1:$1048576,5,FALSE)</f>
        <v>#N/A</v>
      </c>
      <c r="AL467" s="986" t="e">
        <f>VLOOKUP($AB467,sample!$1:$1048576,11,FALSE)</f>
        <v>#N/A</v>
      </c>
      <c r="AM467" s="986" t="e">
        <f>VLOOKUP($AB467,sample!$1:$1048576,12,FALSE)</f>
        <v>#N/A</v>
      </c>
      <c r="AN467" s="986" t="e">
        <f>VLOOKUP($AB467,sample!$1:$1048576,13,FALSE)</f>
        <v>#N/A</v>
      </c>
      <c r="AP467" s="988"/>
    </row>
    <row r="468" spans="1:42">
      <c r="A468" s="1005">
        <f t="shared" si="118"/>
        <v>2019200481</v>
      </c>
      <c r="B468" s="881">
        <v>44343</v>
      </c>
      <c r="C468" s="881" t="s">
        <v>133</v>
      </c>
      <c r="D468" s="1133" t="str">
        <f>IFERROR(VLOOKUP(G468,PosAggregate!$B$13:$B$89,1,FALSE),"")</f>
        <v/>
      </c>
      <c r="E468" s="905" t="s">
        <v>12673</v>
      </c>
      <c r="F468" s="1006" t="str">
        <f t="shared" si="119"/>
        <v/>
      </c>
      <c r="G468" s="594" t="s">
        <v>2098</v>
      </c>
      <c r="I468" s="833" t="s">
        <v>12610</v>
      </c>
      <c r="J468" s="833" t="s">
        <v>123</v>
      </c>
      <c r="K468" s="938">
        <v>42857.657899999998</v>
      </c>
      <c r="L468" s="938"/>
      <c r="M468" s="938">
        <v>1900</v>
      </c>
      <c r="N468" s="1009">
        <f t="shared" si="103"/>
        <v>-81429550.00999999</v>
      </c>
      <c r="O468" s="817">
        <v>-122144</v>
      </c>
      <c r="R468" s="982">
        <f t="shared" si="114"/>
        <v>-81551694.00999999</v>
      </c>
      <c r="S468" s="878">
        <v>1361.1551307994257</v>
      </c>
      <c r="T468" s="998">
        <f t="shared" si="116"/>
        <v>-59913.592627831866</v>
      </c>
      <c r="U468" s="716">
        <v>44347</v>
      </c>
      <c r="V468" s="594" t="s">
        <v>1184</v>
      </c>
      <c r="W468" s="914">
        <v>44216.554416666666</v>
      </c>
      <c r="X468" s="971">
        <f t="shared" si="107"/>
        <v>0.14999960086356864</v>
      </c>
      <c r="Y468" s="584" t="s">
        <v>1693</v>
      </c>
      <c r="Z468" s="988" t="str">
        <f>VLOOKUP(AA468,'place of settlement'!A:C,2,FALSE)</f>
        <v>KSDCKRSEXXX</v>
      </c>
      <c r="AA468" s="988" t="str">
        <f t="shared" si="120"/>
        <v>KR</v>
      </c>
      <c r="AB468" s="988" t="str">
        <f t="shared" si="112"/>
        <v>SamsungKR</v>
      </c>
      <c r="AC468" s="988" t="e">
        <f>VLOOKUP(AB468,sample!$1:$1048576,2,FALSE)</f>
        <v>#N/A</v>
      </c>
      <c r="AD468" s="988" t="e">
        <f>VLOOKUP($AB468,sample!$1:$1048576,3,FALSE)</f>
        <v>#N/A</v>
      </c>
      <c r="AE468" s="986" t="e">
        <f>VLOOKUP($AB468,sample!$1:$1048576,4,FALSE)</f>
        <v>#N/A</v>
      </c>
      <c r="AF468" s="988" t="e">
        <f>VLOOKUP($AB468,sample!$1:$1048576,5,FALSE)</f>
        <v>#N/A</v>
      </c>
      <c r="AL468" s="986" t="e">
        <f>VLOOKUP($AB468,sample!$1:$1048576,11,FALSE)</f>
        <v>#N/A</v>
      </c>
      <c r="AM468" s="986" t="e">
        <f>VLOOKUP($AB468,sample!$1:$1048576,12,FALSE)</f>
        <v>#N/A</v>
      </c>
      <c r="AN468" s="986" t="e">
        <f>VLOOKUP($AB468,sample!$1:$1048576,13,FALSE)</f>
        <v>#N/A</v>
      </c>
      <c r="AP468" s="988"/>
    </row>
    <row r="469" spans="1:42">
      <c r="A469" s="1005">
        <f t="shared" si="118"/>
        <v>2019200482</v>
      </c>
      <c r="B469" s="881">
        <v>44347</v>
      </c>
      <c r="C469" s="881" t="s">
        <v>133</v>
      </c>
      <c r="D469" s="1133" t="str">
        <f>IFERROR(VLOOKUP(G469,PosAggregate!$B$13:$B$89,1,FALSE),"")</f>
        <v/>
      </c>
      <c r="E469" s="905" t="s">
        <v>1190</v>
      </c>
      <c r="F469" s="1006" t="str">
        <f t="shared" si="119"/>
        <v/>
      </c>
      <c r="G469" s="594" t="s">
        <v>1590</v>
      </c>
      <c r="I469" s="833" t="s">
        <v>1085</v>
      </c>
      <c r="J469" s="833" t="s">
        <v>125</v>
      </c>
      <c r="K469" s="938">
        <v>2316.8222000000001</v>
      </c>
      <c r="L469" s="938"/>
      <c r="M469" s="938">
        <v>4500</v>
      </c>
      <c r="N469" s="1009">
        <f t="shared" ref="N469:N532" si="121">-K469*M469</f>
        <v>-10425699.9</v>
      </c>
      <c r="O469" s="817">
        <v>-6255</v>
      </c>
      <c r="R469" s="982">
        <f t="shared" si="114"/>
        <v>-10431954.9</v>
      </c>
      <c r="S469" s="878">
        <v>133.84771029119571</v>
      </c>
      <c r="T469" s="998">
        <f t="shared" si="116"/>
        <v>-77938.986608769788</v>
      </c>
      <c r="U469" s="716">
        <v>44349</v>
      </c>
      <c r="V469" s="594" t="s">
        <v>1656</v>
      </c>
      <c r="W469" s="914">
        <v>44216.554416666666</v>
      </c>
      <c r="X469" s="971">
        <f t="shared" si="107"/>
        <v>5.9995972068983112E-2</v>
      </c>
      <c r="Y469" s="584" t="s">
        <v>1693</v>
      </c>
      <c r="Z469" s="988" t="str">
        <f>VLOOKUP(AA469,'place of settlement'!A:C,2,FALSE)</f>
        <v>JJSDJPJTXXX</v>
      </c>
      <c r="AA469" s="988" t="str">
        <f t="shared" si="120"/>
        <v>JP</v>
      </c>
      <c r="AB469" s="988" t="str">
        <f t="shared" si="112"/>
        <v>Tavira SecuritiesJP</v>
      </c>
      <c r="AC469" s="988" t="str">
        <f>VLOOKUP(AB469,sample!$1:$1048576,2,FALSE)</f>
        <v>GSILGB2XXXX</v>
      </c>
      <c r="AD469" s="988" t="str">
        <f>VLOOKUP($AB469,sample!$1:$1048576,3,FALSE)</f>
        <v>JJSDJPJTXXX</v>
      </c>
      <c r="AE469" s="986">
        <f>VLOOKUP($AB469,sample!$1:$1048576,4,FALSE)</f>
        <v>6530490016</v>
      </c>
      <c r="AF469" s="988" t="str">
        <f>VLOOKUP($AB469,sample!$1:$1048576,5,FALSE)</f>
        <v>N</v>
      </c>
      <c r="AL469" s="986" t="str">
        <f>VLOOKUP($AB469,sample!$1:$1048576,11,FALSE)</f>
        <v xml:space="preserve">                  </v>
      </c>
      <c r="AM469" s="986" t="str">
        <f>VLOOKUP($AB469,sample!$1:$1048576,12,FALSE)</f>
        <v xml:space="preserve">                          </v>
      </c>
      <c r="AN469" s="986" t="str">
        <f>VLOOKUP($AB469,sample!$1:$1048576,13,FALSE)</f>
        <v>GOLDJPJXXXX</v>
      </c>
      <c r="AP469" s="988"/>
    </row>
    <row r="470" spans="1:42">
      <c r="A470" s="716" t="s">
        <v>2062</v>
      </c>
      <c r="B470" s="881">
        <v>44347</v>
      </c>
      <c r="C470" s="881" t="s">
        <v>12632</v>
      </c>
      <c r="D470" s="1133" t="str">
        <f>IFERROR(VLOOKUP(G470,PosAggregate!$B$13:$B$89,1,FALSE),"")</f>
        <v/>
      </c>
      <c r="E470" s="905" t="s">
        <v>12689</v>
      </c>
      <c r="F470" s="1006" t="str">
        <f t="shared" si="119"/>
        <v/>
      </c>
      <c r="G470" s="594" t="s">
        <v>12630</v>
      </c>
      <c r="I470" s="833" t="s">
        <v>12631</v>
      </c>
      <c r="J470" s="833" t="s">
        <v>123</v>
      </c>
      <c r="K470" s="938"/>
      <c r="L470" s="938"/>
      <c r="M470" s="938">
        <v>373</v>
      </c>
      <c r="N470" s="1009">
        <f t="shared" si="121"/>
        <v>0</v>
      </c>
      <c r="O470" s="817"/>
      <c r="R470" s="982">
        <f t="shared" si="114"/>
        <v>0</v>
      </c>
      <c r="S470" s="878"/>
      <c r="T470" s="998" t="e">
        <f t="shared" si="116"/>
        <v>#DIV/0!</v>
      </c>
      <c r="X470" s="971" t="e">
        <f t="shared" si="107"/>
        <v>#DIV/0!</v>
      </c>
      <c r="Y470" s="584" t="s">
        <v>1693</v>
      </c>
      <c r="Z470" s="988" t="str">
        <f>VLOOKUP(AA470,'place of settlement'!A:C,2,FALSE)</f>
        <v>KSDCKRSEXXX</v>
      </c>
      <c r="AA470" s="988" t="str">
        <f t="shared" si="120"/>
        <v>KR</v>
      </c>
      <c r="AB470" s="988" t="str">
        <f t="shared" si="112"/>
        <v>KR</v>
      </c>
      <c r="AC470" s="988" t="e">
        <f>VLOOKUP(AB470,sample!$1:$1048576,2,FALSE)</f>
        <v>#N/A</v>
      </c>
      <c r="AD470" s="988" t="e">
        <f>VLOOKUP($AB470,sample!$1:$1048576,3,FALSE)</f>
        <v>#N/A</v>
      </c>
      <c r="AE470" s="986" t="e">
        <f>VLOOKUP($AB470,sample!$1:$1048576,4,FALSE)</f>
        <v>#N/A</v>
      </c>
      <c r="AF470" s="988" t="e">
        <f>VLOOKUP($AB470,sample!$1:$1048576,5,FALSE)</f>
        <v>#N/A</v>
      </c>
      <c r="AL470" s="986" t="e">
        <f>VLOOKUP($AB470,sample!$1:$1048576,11,FALSE)</f>
        <v>#N/A</v>
      </c>
      <c r="AM470" s="986" t="e">
        <f>VLOOKUP($AB470,sample!$1:$1048576,12,FALSE)</f>
        <v>#N/A</v>
      </c>
      <c r="AN470" s="986" t="e">
        <f>VLOOKUP($AB470,sample!$1:$1048576,13,FALSE)</f>
        <v>#N/A</v>
      </c>
      <c r="AP470" s="988"/>
    </row>
    <row r="471" spans="1:42">
      <c r="A471" s="716" t="s">
        <v>2062</v>
      </c>
      <c r="B471" s="881">
        <v>44347</v>
      </c>
      <c r="C471" s="881" t="s">
        <v>12632</v>
      </c>
      <c r="D471" s="1133" t="str">
        <f>IFERROR(VLOOKUP(G471,PosAggregate!$B$13:$B$89,1,FALSE),"")</f>
        <v/>
      </c>
      <c r="E471" s="905" t="s">
        <v>1211</v>
      </c>
      <c r="F471" s="1006" t="str">
        <f t="shared" si="119"/>
        <v/>
      </c>
      <c r="G471" s="594" t="s">
        <v>1161</v>
      </c>
      <c r="I471" s="833" t="s">
        <v>1094</v>
      </c>
      <c r="J471" s="833" t="s">
        <v>123</v>
      </c>
      <c r="K471" s="938"/>
      <c r="L471" s="938"/>
      <c r="M471" s="938">
        <v>-374</v>
      </c>
      <c r="N471" s="1009">
        <f t="shared" si="121"/>
        <v>0</v>
      </c>
      <c r="O471" s="817"/>
      <c r="R471" s="982">
        <f t="shared" si="114"/>
        <v>0</v>
      </c>
      <c r="S471" s="878"/>
      <c r="T471" s="998" t="e">
        <f t="shared" si="116"/>
        <v>#DIV/0!</v>
      </c>
      <c r="X471" s="971" t="e">
        <f t="shared" si="107"/>
        <v>#DIV/0!</v>
      </c>
      <c r="Y471" s="584" t="s">
        <v>1693</v>
      </c>
      <c r="Z471" s="988" t="str">
        <f>VLOOKUP(AA471,'place of settlement'!A:C,2,FALSE)</f>
        <v>KSDCKRSEXXX</v>
      </c>
      <c r="AA471" s="988" t="str">
        <f t="shared" si="120"/>
        <v>KR</v>
      </c>
      <c r="AB471" s="988" t="str">
        <f t="shared" si="112"/>
        <v>KR</v>
      </c>
      <c r="AC471" s="988" t="e">
        <f>VLOOKUP(AB471,sample!$1:$1048576,2,FALSE)</f>
        <v>#N/A</v>
      </c>
      <c r="AD471" s="988" t="e">
        <f>VLOOKUP($AB471,sample!$1:$1048576,3,FALSE)</f>
        <v>#N/A</v>
      </c>
      <c r="AE471" s="986" t="e">
        <f>VLOOKUP($AB471,sample!$1:$1048576,4,FALSE)</f>
        <v>#N/A</v>
      </c>
      <c r="AF471" s="988" t="e">
        <f>VLOOKUP($AB471,sample!$1:$1048576,5,FALSE)</f>
        <v>#N/A</v>
      </c>
      <c r="AL471" s="986" t="e">
        <f>VLOOKUP($AB471,sample!$1:$1048576,11,FALSE)</f>
        <v>#N/A</v>
      </c>
      <c r="AM471" s="986" t="e">
        <f>VLOOKUP($AB471,sample!$1:$1048576,12,FALSE)</f>
        <v>#N/A</v>
      </c>
      <c r="AN471" s="986" t="e">
        <f>VLOOKUP($AB471,sample!$1:$1048576,13,FALSE)</f>
        <v>#N/A</v>
      </c>
      <c r="AP471" s="988"/>
    </row>
    <row r="472" spans="1:42">
      <c r="A472" s="808">
        <v>2019200483</v>
      </c>
      <c r="B472" s="881">
        <v>44351</v>
      </c>
      <c r="C472" s="881" t="s">
        <v>134</v>
      </c>
      <c r="D472" s="1133" t="str">
        <f>IFERROR(VLOOKUP(G472,PosAggregate!$B$13:$B$89,1,FALSE),"")</f>
        <v/>
      </c>
      <c r="E472" s="905" t="s">
        <v>12671</v>
      </c>
      <c r="F472" s="1006" t="str">
        <f t="shared" si="119"/>
        <v/>
      </c>
      <c r="G472" s="594" t="s">
        <v>2064</v>
      </c>
      <c r="I472" s="833" t="s">
        <v>1101</v>
      </c>
      <c r="J472" s="833" t="s">
        <v>123</v>
      </c>
      <c r="K472" s="938">
        <v>340049.76190500002</v>
      </c>
      <c r="L472" s="938"/>
      <c r="M472" s="938">
        <v>-420</v>
      </c>
      <c r="N472" s="1009">
        <f t="shared" si="121"/>
        <v>142820900.00010002</v>
      </c>
      <c r="O472" s="817">
        <v>-214231</v>
      </c>
      <c r="P472" s="817">
        <v>-328436</v>
      </c>
      <c r="R472" s="982">
        <f t="shared" si="114"/>
        <v>142278233.00010002</v>
      </c>
      <c r="S472" s="878">
        <v>1353.5965858803829</v>
      </c>
      <c r="T472" s="998">
        <f t="shared" si="116"/>
        <v>105111.25285349465</v>
      </c>
      <c r="U472" s="716">
        <v>44355</v>
      </c>
      <c r="V472" s="594" t="s">
        <v>1114</v>
      </c>
      <c r="W472" s="914">
        <v>44351.389093518519</v>
      </c>
      <c r="X472" s="971">
        <f t="shared" si="107"/>
        <v>-0.14999975493772266</v>
      </c>
      <c r="Y472" s="584" t="s">
        <v>1693</v>
      </c>
      <c r="Z472" s="988" t="str">
        <f>VLOOKUP(AA472,'place of settlement'!A:C,2,FALSE)</f>
        <v>KSDCKRSEXXX</v>
      </c>
      <c r="AA472" s="988" t="str">
        <f t="shared" si="120"/>
        <v>KR</v>
      </c>
      <c r="AB472" s="988" t="str">
        <f t="shared" si="112"/>
        <v>Samsung SecuritiesKR</v>
      </c>
      <c r="AC472" s="988" t="str">
        <f>VLOOKUP(AB472,sample!$1:$1048576,2,FALSE)</f>
        <v>SAMCKRS1XXX</v>
      </c>
      <c r="AD472" s="988" t="str">
        <f>VLOOKUP($AB472,sample!$1:$1048576,3,FALSE)</f>
        <v>KSDCKRSEXXX</v>
      </c>
      <c r="AE472" s="986" t="str">
        <f>VLOOKUP($AB472,sample!$1:$1048576,4,FALSE)</f>
        <v>30-00</v>
      </c>
      <c r="AF472" s="988" t="str">
        <f>VLOOKUP($AB472,sample!$1:$1048576,5,FALSE)</f>
        <v>N</v>
      </c>
      <c r="AL472" s="986" t="str">
        <f>VLOOKUP($AB472,sample!$1:$1048576,11,FALSE)</f>
        <v xml:space="preserve">        </v>
      </c>
      <c r="AM472" s="986" t="str">
        <f>VLOOKUP($AB472,sample!$1:$1048576,12,FALSE)</f>
        <v xml:space="preserve">        </v>
      </c>
      <c r="AN472" s="986" t="str">
        <f>VLOOKUP($AB472,sample!$1:$1048576,13,FALSE)</f>
        <v>SAMCKRS1XXX</v>
      </c>
      <c r="AP472" s="988"/>
    </row>
    <row r="473" spans="1:42">
      <c r="A473" s="808">
        <v>2019200484</v>
      </c>
      <c r="B473" s="881">
        <v>44351</v>
      </c>
      <c r="C473" s="881" t="s">
        <v>134</v>
      </c>
      <c r="D473" s="1133" t="str">
        <f>IFERROR(VLOOKUP(G473,PosAggregate!$B$13:$B$89,1,FALSE),"")</f>
        <v/>
      </c>
      <c r="E473" s="905" t="s">
        <v>12689</v>
      </c>
      <c r="F473" s="1006" t="str">
        <f t="shared" si="119"/>
        <v/>
      </c>
      <c r="G473" s="594" t="s">
        <v>12630</v>
      </c>
      <c r="I473" s="833" t="s">
        <v>12631</v>
      </c>
      <c r="J473" s="833" t="s">
        <v>123</v>
      </c>
      <c r="K473" s="938">
        <v>152423.86060000001</v>
      </c>
      <c r="L473" s="938"/>
      <c r="M473" s="938">
        <v>-373</v>
      </c>
      <c r="N473" s="1009">
        <f t="shared" si="121"/>
        <v>56854100.003800005</v>
      </c>
      <c r="O473" s="817">
        <v>-85281</v>
      </c>
      <c r="P473" s="817">
        <v>-130729</v>
      </c>
      <c r="R473" s="982">
        <f t="shared" si="114"/>
        <v>56638090.003800005</v>
      </c>
      <c r="S473" s="878">
        <v>1353.5965858803888</v>
      </c>
      <c r="T473" s="998">
        <f t="shared" si="116"/>
        <v>41842.66611973034</v>
      </c>
      <c r="U473" s="716">
        <v>44355</v>
      </c>
      <c r="V473" s="594" t="s">
        <v>1114</v>
      </c>
      <c r="W473" s="914">
        <v>44351.389583217591</v>
      </c>
      <c r="X473" s="971">
        <f t="shared" si="107"/>
        <v>-0.14999973615675916</v>
      </c>
      <c r="Y473" s="584" t="s">
        <v>1693</v>
      </c>
      <c r="Z473" s="988" t="str">
        <f>VLOOKUP(AA473,'place of settlement'!A:C,2,FALSE)</f>
        <v>KSDCKRSEXXX</v>
      </c>
      <c r="AA473" s="988" t="str">
        <f t="shared" si="120"/>
        <v>KR</v>
      </c>
      <c r="AB473" s="988" t="str">
        <f t="shared" si="112"/>
        <v>Samsung SecuritiesKR</v>
      </c>
      <c r="AC473" s="988" t="str">
        <f>VLOOKUP(AB473,sample!$1:$1048576,2,FALSE)</f>
        <v>SAMCKRS1XXX</v>
      </c>
      <c r="AD473" s="988" t="str">
        <f>VLOOKUP($AB473,sample!$1:$1048576,3,FALSE)</f>
        <v>KSDCKRSEXXX</v>
      </c>
      <c r="AE473" s="986" t="str">
        <f>VLOOKUP($AB473,sample!$1:$1048576,4,FALSE)</f>
        <v>30-00</v>
      </c>
      <c r="AF473" s="988" t="str">
        <f>VLOOKUP($AB473,sample!$1:$1048576,5,FALSE)</f>
        <v>N</v>
      </c>
      <c r="AL473" s="986" t="str">
        <f>VLOOKUP($AB473,sample!$1:$1048576,11,FALSE)</f>
        <v xml:space="preserve">        </v>
      </c>
      <c r="AM473" s="986" t="str">
        <f>VLOOKUP($AB473,sample!$1:$1048576,12,FALSE)</f>
        <v xml:space="preserve">        </v>
      </c>
      <c r="AN473" s="986" t="str">
        <f>VLOOKUP($AB473,sample!$1:$1048576,13,FALSE)</f>
        <v>SAMCKRS1XXX</v>
      </c>
      <c r="AP473" s="988"/>
    </row>
    <row r="474" spans="1:42">
      <c r="A474" s="808">
        <v>2019200485</v>
      </c>
      <c r="B474" s="881">
        <v>43834</v>
      </c>
      <c r="C474" s="881" t="s">
        <v>133</v>
      </c>
      <c r="D474" s="1133" t="str">
        <f>IFERROR(VLOOKUP(G474,PosAggregate!$B$13:$B$89,1,FALSE),"")</f>
        <v/>
      </c>
      <c r="E474" s="905" t="s">
        <v>1212</v>
      </c>
      <c r="F474" s="1006" t="str">
        <f t="shared" si="119"/>
        <v/>
      </c>
      <c r="G474" s="594" t="s">
        <v>12732</v>
      </c>
      <c r="I474" s="833" t="s">
        <v>12699</v>
      </c>
      <c r="J474" s="833" t="s">
        <v>123</v>
      </c>
      <c r="K474" s="938">
        <v>37650</v>
      </c>
      <c r="L474" s="938"/>
      <c r="M474" s="938">
        <v>5076</v>
      </c>
      <c r="N474" s="1009">
        <f t="shared" si="121"/>
        <v>-191111400</v>
      </c>
      <c r="O474" s="817"/>
      <c r="P474" s="817"/>
      <c r="R474" s="982">
        <f t="shared" si="114"/>
        <v>-191111400</v>
      </c>
      <c r="S474" s="878">
        <v>1369.23</v>
      </c>
      <c r="T474" s="934">
        <v>182702.68691162186</v>
      </c>
      <c r="U474" s="716">
        <v>44355</v>
      </c>
      <c r="V474" s="594" t="s">
        <v>1114</v>
      </c>
      <c r="W474" s="914">
        <v>44507.92603761574</v>
      </c>
      <c r="X474" s="971">
        <f t="shared" si="107"/>
        <v>0</v>
      </c>
      <c r="Y474" s="584" t="s">
        <v>1693</v>
      </c>
      <c r="Z474" s="988" t="str">
        <f>VLOOKUP(AA474,'place of settlement'!A:C,2,FALSE)</f>
        <v>KSDCKRSEXXX</v>
      </c>
      <c r="AA474" s="988" t="str">
        <f t="shared" si="120"/>
        <v>KR</v>
      </c>
      <c r="AB474" s="988" t="str">
        <f t="shared" si="112"/>
        <v>Samsung SecuritiesKR</v>
      </c>
      <c r="AC474" s="988" t="str">
        <f>VLOOKUP(AB474,sample!$1:$1048576,2,FALSE)</f>
        <v>SAMCKRS1XXX</v>
      </c>
      <c r="AD474" s="988" t="str">
        <f>VLOOKUP($AB474,sample!$1:$1048576,3,FALSE)</f>
        <v>KSDCKRSEXXX</v>
      </c>
      <c r="AE474" s="986" t="str">
        <f>VLOOKUP($AB474,sample!$1:$1048576,4,FALSE)</f>
        <v>30-00</v>
      </c>
      <c r="AF474" s="988" t="str">
        <f>VLOOKUP($AB474,sample!$1:$1048576,5,FALSE)</f>
        <v>N</v>
      </c>
      <c r="AL474" s="986" t="str">
        <f>VLOOKUP($AB474,sample!$1:$1048576,11,FALSE)</f>
        <v xml:space="preserve">        </v>
      </c>
      <c r="AM474" s="986" t="str">
        <f>VLOOKUP($AB474,sample!$1:$1048576,12,FALSE)</f>
        <v xml:space="preserve">        </v>
      </c>
      <c r="AN474" s="986" t="str">
        <f>VLOOKUP($AB474,sample!$1:$1048576,13,FALSE)</f>
        <v>SAMCKRS1XXX</v>
      </c>
      <c r="AP474" s="988"/>
    </row>
    <row r="475" spans="1:42">
      <c r="A475" s="808">
        <v>2019200486</v>
      </c>
      <c r="B475" s="881">
        <v>44364</v>
      </c>
      <c r="C475" s="881" t="s">
        <v>133</v>
      </c>
      <c r="D475" s="1133" t="str">
        <f>IFERROR(VLOOKUP(G475,PosAggregate!$B$13:$B$89,1,FALSE),"")</f>
        <v/>
      </c>
      <c r="E475" s="905" t="s">
        <v>1197</v>
      </c>
      <c r="F475" s="1006" t="str">
        <f t="shared" si="119"/>
        <v/>
      </c>
      <c r="G475" s="594" t="s">
        <v>1146</v>
      </c>
      <c r="I475" s="833" t="s">
        <v>1103</v>
      </c>
      <c r="J475" s="833" t="s">
        <v>125</v>
      </c>
      <c r="K475" s="938">
        <v>1721.38</v>
      </c>
      <c r="L475" s="938"/>
      <c r="M475" s="938">
        <v>5000</v>
      </c>
      <c r="N475" s="1009">
        <f t="shared" si="121"/>
        <v>-8606900</v>
      </c>
      <c r="O475" s="817">
        <v>-5164</v>
      </c>
      <c r="P475" s="817"/>
      <c r="R475" s="982">
        <f t="shared" si="114"/>
        <v>-8612064</v>
      </c>
      <c r="S475" s="878">
        <v>132.76161919040521</v>
      </c>
      <c r="T475" s="998">
        <f t="shared" si="116"/>
        <v>-64868.627337609338</v>
      </c>
      <c r="U475" s="716">
        <v>44368</v>
      </c>
      <c r="V475" s="594" t="s">
        <v>1656</v>
      </c>
      <c r="W475" s="914">
        <v>44216.554416666666</v>
      </c>
      <c r="X475" s="971">
        <f t="shared" si="107"/>
        <v>5.9998373398087577E-2</v>
      </c>
      <c r="Y475" s="584" t="s">
        <v>1693</v>
      </c>
      <c r="Z475" s="988" t="str">
        <f>VLOOKUP(AA475,'place of settlement'!A:C,2,FALSE)</f>
        <v>JJSDJPJTXXX</v>
      </c>
      <c r="AA475" s="988" t="str">
        <f t="shared" si="120"/>
        <v>JP</v>
      </c>
      <c r="AB475" s="988" t="str">
        <f t="shared" si="112"/>
        <v>Tavira SecuritiesJP</v>
      </c>
      <c r="AC475" s="988" t="str">
        <f>VLOOKUP(AB475,sample!$1:$1048576,2,FALSE)</f>
        <v>GSILGB2XXXX</v>
      </c>
      <c r="AD475" s="988" t="str">
        <f>VLOOKUP($AB475,sample!$1:$1048576,3,FALSE)</f>
        <v>JJSDJPJTXXX</v>
      </c>
      <c r="AE475" s="986">
        <f>VLOOKUP($AB475,sample!$1:$1048576,4,FALSE)</f>
        <v>6530490016</v>
      </c>
      <c r="AF475" s="988" t="str">
        <f>VLOOKUP($AB475,sample!$1:$1048576,5,FALSE)</f>
        <v>N</v>
      </c>
      <c r="AL475" s="986" t="str">
        <f>VLOOKUP($AB475,sample!$1:$1048576,11,FALSE)</f>
        <v xml:space="preserve">                  </v>
      </c>
      <c r="AM475" s="986" t="str">
        <f>VLOOKUP($AB475,sample!$1:$1048576,12,FALSE)</f>
        <v xml:space="preserve">                          </v>
      </c>
      <c r="AN475" s="986" t="str">
        <f>VLOOKUP($AB475,sample!$1:$1048576,13,FALSE)</f>
        <v>GOLDJPJXXXX</v>
      </c>
      <c r="AP475" s="988"/>
    </row>
    <row r="476" spans="1:42">
      <c r="A476" s="808">
        <v>2019200487</v>
      </c>
      <c r="B476" s="881">
        <v>44365</v>
      </c>
      <c r="C476" s="881" t="s">
        <v>133</v>
      </c>
      <c r="D476" s="1133" t="str">
        <f>IFERROR(VLOOKUP(G476,PosAggregate!$B$13:$B$89,1,FALSE),"")</f>
        <v/>
      </c>
      <c r="E476" s="905" t="s">
        <v>1222</v>
      </c>
      <c r="F476" s="1006" t="str">
        <f t="shared" si="119"/>
        <v/>
      </c>
      <c r="G476" s="594" t="s">
        <v>1173</v>
      </c>
      <c r="I476" s="833" t="s">
        <v>130</v>
      </c>
      <c r="J476" s="833" t="s">
        <v>2</v>
      </c>
      <c r="K476" s="938">
        <v>35.155099999999997</v>
      </c>
      <c r="L476" s="938"/>
      <c r="M476" s="938">
        <v>3900</v>
      </c>
      <c r="N476" s="1009">
        <f t="shared" si="121"/>
        <v>-137104.88999999998</v>
      </c>
      <c r="O476" s="817">
        <v>-82.26</v>
      </c>
      <c r="P476" s="817">
        <v>-411.31</v>
      </c>
      <c r="R476" s="982">
        <f t="shared" si="114"/>
        <v>-137598.46</v>
      </c>
      <c r="S476" s="878">
        <v>1</v>
      </c>
      <c r="T476" s="998">
        <f t="shared" si="116"/>
        <v>-137598.46</v>
      </c>
      <c r="U476" s="716">
        <v>44369</v>
      </c>
      <c r="V476" s="594" t="s">
        <v>1183</v>
      </c>
      <c r="W476" s="914">
        <v>44216.554416666666</v>
      </c>
      <c r="X476" s="971">
        <f t="shared" si="107"/>
        <v>5.9997860032563397E-2</v>
      </c>
      <c r="Y476" s="584" t="s">
        <v>1693</v>
      </c>
      <c r="Z476" s="988" t="str">
        <f>VLOOKUP(AA476,'place of settlement'!A:C,2,FALSE)</f>
        <v>SICVFRPPXXX</v>
      </c>
      <c r="AA476" s="988" t="str">
        <f t="shared" ref="AA476:AA538" si="122">LEFT(E476,2)</f>
        <v>FR</v>
      </c>
      <c r="AB476" s="988" t="str">
        <f t="shared" ref="AB476:AB538" si="123">CONCATENATE(V476,AA476)</f>
        <v>EquitaFR</v>
      </c>
      <c r="AC476" s="988" t="str">
        <f>VLOOKUP(AB476,sample!$1:$1048576,2,FALSE)</f>
        <v>EMSIITM1XXX</v>
      </c>
      <c r="AD476" s="988" t="str">
        <f>VLOOKUP($AB476,sample!$1:$1048576,3,FALSE)</f>
        <v>SICVFRPPXXX</v>
      </c>
      <c r="AE476" s="986" t="str">
        <f>VLOOKUP($AB476,sample!$1:$1048576,4,FALSE)</f>
        <v>SICVBCITITMMD00000L10</v>
      </c>
      <c r="AF476" s="988" t="str">
        <f>VLOOKUP($AB476,sample!$1:$1048576,5,FALSE)</f>
        <v>N</v>
      </c>
      <c r="AL476" s="986" t="str">
        <f>VLOOKUP($AB476,sample!$1:$1048576,11,FALSE)</f>
        <v xml:space="preserve">        </v>
      </c>
      <c r="AM476" s="986" t="str">
        <f>VLOOKUP($AB476,sample!$1:$1048576,12,FALSE)</f>
        <v xml:space="preserve">        </v>
      </c>
      <c r="AN476" s="986" t="str">
        <f>VLOOKUP($AB476,sample!$1:$1048576,13,FALSE)</f>
        <v>BCITITMMD00</v>
      </c>
      <c r="AP476" s="988"/>
    </row>
    <row r="477" spans="1:42">
      <c r="A477" s="808">
        <v>2019200488</v>
      </c>
      <c r="B477" s="881">
        <v>44365</v>
      </c>
      <c r="C477" s="881" t="s">
        <v>133</v>
      </c>
      <c r="D477" s="1133" t="str">
        <f>IFERROR(VLOOKUP(G477,PosAggregate!$B$13:$B$89,1,FALSE),"")</f>
        <v/>
      </c>
      <c r="E477" s="905" t="s">
        <v>1217</v>
      </c>
      <c r="F477" s="1006" t="str">
        <f t="shared" si="119"/>
        <v/>
      </c>
      <c r="G477" s="594" t="s">
        <v>1168</v>
      </c>
      <c r="I477" s="833" t="s">
        <v>12626</v>
      </c>
      <c r="J477" s="833" t="s">
        <v>2</v>
      </c>
      <c r="K477" s="938">
        <v>26.3658</v>
      </c>
      <c r="L477" s="938"/>
      <c r="M477" s="938">
        <v>6800</v>
      </c>
      <c r="N477" s="1009">
        <f t="shared" si="121"/>
        <v>-179287.44</v>
      </c>
      <c r="O477" s="817">
        <v>-107.57</v>
      </c>
      <c r="P477" s="817">
        <v>-537.86</v>
      </c>
      <c r="R477" s="982">
        <f t="shared" si="114"/>
        <v>-179932.87</v>
      </c>
      <c r="S477" s="878">
        <v>1</v>
      </c>
      <c r="T477" s="998">
        <f t="shared" si="116"/>
        <v>-179932.87</v>
      </c>
      <c r="U477" s="716">
        <v>44369</v>
      </c>
      <c r="V477" s="594" t="s">
        <v>1183</v>
      </c>
      <c r="W477" s="914">
        <v>44216.554416666666</v>
      </c>
      <c r="X477" s="971">
        <f t="shared" si="107"/>
        <v>5.9998625670599118E-2</v>
      </c>
      <c r="Y477" s="584" t="s">
        <v>1693</v>
      </c>
      <c r="Z477" s="988" t="str">
        <f>VLOOKUP(AA477,'place of settlement'!A:C,2,FALSE)</f>
        <v>SICVFRPPXXX</v>
      </c>
      <c r="AA477" s="988" t="str">
        <f t="shared" si="122"/>
        <v>FR</v>
      </c>
      <c r="AB477" s="988" t="str">
        <f t="shared" si="123"/>
        <v>EquitaFR</v>
      </c>
      <c r="AC477" s="988" t="str">
        <f>VLOOKUP(AB477,sample!$1:$1048576,2,FALSE)</f>
        <v>EMSIITM1XXX</v>
      </c>
      <c r="AD477" s="988" t="str">
        <f>VLOOKUP($AB477,sample!$1:$1048576,3,FALSE)</f>
        <v>SICVFRPPXXX</v>
      </c>
      <c r="AE477" s="986" t="str">
        <f>VLOOKUP($AB477,sample!$1:$1048576,4,FALSE)</f>
        <v>SICVBCITITMMD00000L10</v>
      </c>
      <c r="AF477" s="988" t="str">
        <f>VLOOKUP($AB477,sample!$1:$1048576,5,FALSE)</f>
        <v>N</v>
      </c>
      <c r="AL477" s="986" t="str">
        <f>VLOOKUP($AB477,sample!$1:$1048576,11,FALSE)</f>
        <v xml:space="preserve">        </v>
      </c>
      <c r="AM477" s="986" t="str">
        <f>VLOOKUP($AB477,sample!$1:$1048576,12,FALSE)</f>
        <v xml:space="preserve">        </v>
      </c>
      <c r="AN477" s="986" t="str">
        <f>VLOOKUP($AB477,sample!$1:$1048576,13,FALSE)</f>
        <v>BCITITMMD00</v>
      </c>
      <c r="AP477" s="988"/>
    </row>
    <row r="478" spans="1:42">
      <c r="A478" s="954">
        <v>2019200489</v>
      </c>
      <c r="B478" s="881">
        <v>44372</v>
      </c>
      <c r="C478" s="881" t="s">
        <v>133</v>
      </c>
      <c r="D478" s="1133" t="str">
        <f>IFERROR(VLOOKUP(G478,PosAggregate!$B$13:$B$89,1,FALSE),"")</f>
        <v/>
      </c>
      <c r="E478" s="905" t="s">
        <v>1197</v>
      </c>
      <c r="F478" s="1006" t="str">
        <f t="shared" si="119"/>
        <v/>
      </c>
      <c r="G478" s="594" t="s">
        <v>1146</v>
      </c>
      <c r="I478" s="833" t="s">
        <v>1103</v>
      </c>
      <c r="J478" s="833" t="s">
        <v>125</v>
      </c>
      <c r="K478" s="938">
        <v>1724.521667</v>
      </c>
      <c r="L478" s="938"/>
      <c r="M478" s="938">
        <v>6000</v>
      </c>
      <c r="N478" s="1009">
        <f t="shared" si="121"/>
        <v>-10347130.002</v>
      </c>
      <c r="O478" s="817">
        <v>-6208</v>
      </c>
      <c r="P478" s="817"/>
      <c r="R478" s="982">
        <f t="shared" si="114"/>
        <v>-10353338.002</v>
      </c>
      <c r="S478" s="878">
        <v>132.25644818782632</v>
      </c>
      <c r="T478" s="998">
        <f t="shared" si="116"/>
        <v>-78282.29280206078</v>
      </c>
      <c r="U478" s="716">
        <v>44376</v>
      </c>
      <c r="V478" s="594" t="s">
        <v>1656</v>
      </c>
      <c r="W478" s="914">
        <v>44216.554416666666</v>
      </c>
      <c r="X478" s="971">
        <f t="shared" si="107"/>
        <v>5.9997313253047496E-2</v>
      </c>
      <c r="Y478" s="584" t="s">
        <v>1693</v>
      </c>
      <c r="Z478" s="988" t="str">
        <f>VLOOKUP(AA478,'place of settlement'!A:C,2,FALSE)</f>
        <v>JJSDJPJTXXX</v>
      </c>
      <c r="AA478" s="988" t="str">
        <f t="shared" si="122"/>
        <v>JP</v>
      </c>
      <c r="AB478" s="988" t="str">
        <f t="shared" si="123"/>
        <v>Tavira SecuritiesJP</v>
      </c>
      <c r="AC478" s="988" t="str">
        <f>VLOOKUP(AB478,sample!$1:$1048576,2,FALSE)</f>
        <v>GSILGB2XXXX</v>
      </c>
      <c r="AD478" s="988" t="str">
        <f>VLOOKUP($AB478,sample!$1:$1048576,3,FALSE)</f>
        <v>JJSDJPJTXXX</v>
      </c>
      <c r="AE478" s="986">
        <f>VLOOKUP($AB478,sample!$1:$1048576,4,FALSE)</f>
        <v>6530490016</v>
      </c>
      <c r="AF478" s="988" t="str">
        <f>VLOOKUP($AB478,sample!$1:$1048576,5,FALSE)</f>
        <v>N</v>
      </c>
      <c r="AL478" s="986" t="str">
        <f>VLOOKUP($AB478,sample!$1:$1048576,11,FALSE)</f>
        <v xml:space="preserve">                  </v>
      </c>
      <c r="AM478" s="986" t="str">
        <f>VLOOKUP($AB478,sample!$1:$1048576,12,FALSE)</f>
        <v xml:space="preserve">                          </v>
      </c>
      <c r="AN478" s="986" t="str">
        <f>VLOOKUP($AB478,sample!$1:$1048576,13,FALSE)</f>
        <v>GOLDJPJXXXX</v>
      </c>
      <c r="AP478" s="988"/>
    </row>
    <row r="479" spans="1:42">
      <c r="A479" s="954">
        <v>2019200490</v>
      </c>
      <c r="B479" s="881">
        <v>44372</v>
      </c>
      <c r="C479" s="881" t="s">
        <v>134</v>
      </c>
      <c r="D479" s="1133" t="str">
        <f>IFERROR(VLOOKUP(G479,PosAggregate!$B$13:$B$89,1,FALSE),"")</f>
        <v/>
      </c>
      <c r="E479" s="905" t="s">
        <v>1186</v>
      </c>
      <c r="F479" s="1006" t="str">
        <f t="shared" si="119"/>
        <v/>
      </c>
      <c r="G479" s="594" t="s">
        <v>1134</v>
      </c>
      <c r="I479" s="833" t="s">
        <v>1081</v>
      </c>
      <c r="J479" s="833" t="s">
        <v>125</v>
      </c>
      <c r="K479" s="938">
        <v>1303.4107140000001</v>
      </c>
      <c r="L479" s="938"/>
      <c r="M479" s="938">
        <v>-4200</v>
      </c>
      <c r="N479" s="1009">
        <f t="shared" si="121"/>
        <v>5474324.9988000002</v>
      </c>
      <c r="O479" s="817">
        <v>-3285</v>
      </c>
      <c r="R479" s="982">
        <f t="shared" si="114"/>
        <v>5471039.9988000002</v>
      </c>
      <c r="S479" s="878">
        <v>132.25644818782661</v>
      </c>
      <c r="T479" s="998">
        <f t="shared" si="116"/>
        <v>41366.905536660073</v>
      </c>
      <c r="U479" s="716">
        <v>44376</v>
      </c>
      <c r="V479" s="594" t="s">
        <v>1656</v>
      </c>
      <c r="W479" s="914">
        <v>44372.436921643515</v>
      </c>
      <c r="X479" s="971">
        <f t="shared" si="107"/>
        <v>-6.0007398185531344E-2</v>
      </c>
      <c r="Y479" s="584" t="s">
        <v>1693</v>
      </c>
      <c r="Z479" s="988" t="str">
        <f>VLOOKUP(AA479,'place of settlement'!A:C,2,FALSE)</f>
        <v>JJSDJPJTXXX</v>
      </c>
      <c r="AA479" s="988" t="str">
        <f t="shared" si="122"/>
        <v>JP</v>
      </c>
      <c r="AB479" s="988" t="str">
        <f t="shared" si="123"/>
        <v>Tavira SecuritiesJP</v>
      </c>
      <c r="AC479" s="988" t="str">
        <f>VLOOKUP(AB479,sample!$1:$1048576,2,FALSE)</f>
        <v>GSILGB2XXXX</v>
      </c>
      <c r="AD479" s="988" t="str">
        <f>VLOOKUP($AB479,sample!$1:$1048576,3,FALSE)</f>
        <v>JJSDJPJTXXX</v>
      </c>
      <c r="AE479" s="986">
        <f>VLOOKUP($AB479,sample!$1:$1048576,4,FALSE)</f>
        <v>6530490016</v>
      </c>
      <c r="AF479" s="988" t="str">
        <f>VLOOKUP($AB479,sample!$1:$1048576,5,FALSE)</f>
        <v>N</v>
      </c>
      <c r="AL479" s="986" t="str">
        <f>VLOOKUP($AB479,sample!$1:$1048576,11,FALSE)</f>
        <v xml:space="preserve">                  </v>
      </c>
      <c r="AM479" s="986" t="str">
        <f>VLOOKUP($AB479,sample!$1:$1048576,12,FALSE)</f>
        <v xml:space="preserve">                          </v>
      </c>
      <c r="AN479" s="986" t="str">
        <f>VLOOKUP($AB479,sample!$1:$1048576,13,FALSE)</f>
        <v>GOLDJPJXXXX</v>
      </c>
      <c r="AP479" s="988"/>
    </row>
    <row r="480" spans="1:42">
      <c r="A480" s="808">
        <v>2019200491</v>
      </c>
      <c r="B480" s="881">
        <v>44382</v>
      </c>
      <c r="C480" s="881" t="s">
        <v>134</v>
      </c>
      <c r="D480" s="1133" t="str">
        <f>IFERROR(VLOOKUP(G480,PosAggregate!$B$13:$B$89,1,FALSE),"")</f>
        <v/>
      </c>
      <c r="E480" s="905" t="s">
        <v>1186</v>
      </c>
      <c r="F480" s="1006" t="str">
        <f t="shared" si="119"/>
        <v/>
      </c>
      <c r="G480" s="594" t="s">
        <v>1134</v>
      </c>
      <c r="I480" s="833" t="s">
        <v>1081</v>
      </c>
      <c r="J480" s="833" t="s">
        <v>125</v>
      </c>
      <c r="K480" s="955">
        <v>1321.9576</v>
      </c>
      <c r="L480" s="955"/>
      <c r="M480" s="955">
        <v>-3300</v>
      </c>
      <c r="N480" s="1009">
        <f t="shared" si="121"/>
        <v>4362460.08</v>
      </c>
      <c r="O480" s="885">
        <v>-2617.4760000000001</v>
      </c>
      <c r="R480" s="982">
        <f t="shared" si="114"/>
        <v>4359842.6040000003</v>
      </c>
      <c r="S480" s="956">
        <v>131.73723736193332</v>
      </c>
      <c r="T480" s="998">
        <f t="shared" si="116"/>
        <v>33094.990386217229</v>
      </c>
      <c r="U480" s="716">
        <v>44384</v>
      </c>
      <c r="V480" s="594" t="s">
        <v>1656</v>
      </c>
      <c r="W480" s="914">
        <v>44382.351098611114</v>
      </c>
      <c r="X480" s="1012">
        <f t="shared" si="107"/>
        <v>-5.9999998899703408E-2</v>
      </c>
      <c r="Y480" s="716" t="s">
        <v>1693</v>
      </c>
      <c r="Z480" s="988" t="str">
        <f>VLOOKUP(AA480,'place of settlement'!A:C,2,FALSE)</f>
        <v>JJSDJPJTXXX</v>
      </c>
      <c r="AA480" s="988" t="str">
        <f t="shared" si="122"/>
        <v>JP</v>
      </c>
      <c r="AB480" s="988" t="str">
        <f t="shared" si="123"/>
        <v>Tavira SecuritiesJP</v>
      </c>
      <c r="AC480" s="988" t="str">
        <f>VLOOKUP(AB480,sample!$1:$1048576,2,FALSE)</f>
        <v>GSILGB2XXXX</v>
      </c>
      <c r="AD480" s="988" t="str">
        <f>VLOOKUP($AB480,sample!$1:$1048576,3,FALSE)</f>
        <v>JJSDJPJTXXX</v>
      </c>
      <c r="AE480" s="986">
        <f>VLOOKUP($AB480,sample!$1:$1048576,4,FALSE)</f>
        <v>6530490016</v>
      </c>
      <c r="AF480" s="988" t="str">
        <f>VLOOKUP($AB480,sample!$1:$1048576,5,FALSE)</f>
        <v>N</v>
      </c>
      <c r="AL480" s="986" t="str">
        <f>VLOOKUP($AB480,sample!$1:$1048576,11,FALSE)</f>
        <v xml:space="preserve">                  </v>
      </c>
      <c r="AM480" s="986" t="str">
        <f>VLOOKUP($AB480,sample!$1:$1048576,12,FALSE)</f>
        <v xml:space="preserve">                          </v>
      </c>
      <c r="AN480" s="986" t="str">
        <f>VLOOKUP($AB480,sample!$1:$1048576,13,FALSE)</f>
        <v>GOLDJPJXXXX</v>
      </c>
      <c r="AP480" s="988"/>
    </row>
    <row r="481" spans="1:16383">
      <c r="A481" s="808">
        <v>2019200492</v>
      </c>
      <c r="B481" s="881">
        <v>44389</v>
      </c>
      <c r="C481" s="881" t="s">
        <v>133</v>
      </c>
      <c r="D481" s="1133" t="str">
        <f>IFERROR(VLOOKUP(G481,PosAggregate!$B$13:$B$89,1,FALSE),"")</f>
        <v>FR FP</v>
      </c>
      <c r="E481" s="1013" t="e">
        <f ca="1">_xll.BDP(G481  &amp; " Equity", "ID_ISIN", "Fill", "")</f>
        <v>#NAME?</v>
      </c>
      <c r="F481" s="1006" t="str">
        <f t="shared" ref="F481:F515" si="124">IF(D481=G481,"YES","NO")</f>
        <v>YES</v>
      </c>
      <c r="G481" s="594" t="s">
        <v>12714</v>
      </c>
      <c r="I481" s="1007" t="e">
        <f ca="1">_xll.BDP(G481&amp; " Equity","security_name")</f>
        <v>#NAME?</v>
      </c>
      <c r="J481" s="957" t="s">
        <v>2</v>
      </c>
      <c r="K481" s="938">
        <v>24.5</v>
      </c>
      <c r="L481" s="938"/>
      <c r="M481" s="938">
        <v>4200</v>
      </c>
      <c r="N481" s="1009">
        <f t="shared" si="121"/>
        <v>-102900</v>
      </c>
      <c r="O481" s="885">
        <v>-61.68</v>
      </c>
      <c r="P481" s="885">
        <v>-308.41000000000003</v>
      </c>
      <c r="R481" s="982">
        <f t="shared" si="114"/>
        <v>-103270.09</v>
      </c>
      <c r="S481" s="878">
        <v>1</v>
      </c>
      <c r="T481" s="998">
        <f t="shared" si="116"/>
        <v>-103270.09</v>
      </c>
      <c r="U481" s="716">
        <v>44391</v>
      </c>
      <c r="V481" s="594" t="s">
        <v>1111</v>
      </c>
      <c r="W481" s="914">
        <v>44391.385765393519</v>
      </c>
      <c r="X481" s="971">
        <f t="shared" si="107"/>
        <v>5.9941690962099121E-2</v>
      </c>
      <c r="Y481" s="584" t="s">
        <v>1693</v>
      </c>
      <c r="Z481" s="988" t="e">
        <f ca="1">VLOOKUP(AA481,'place of settlement'!A:C,2,FALSE)</f>
        <v>#NAME?</v>
      </c>
      <c r="AA481" s="988" t="e">
        <f t="shared" ca="1" si="122"/>
        <v>#NAME?</v>
      </c>
      <c r="AB481" s="988" t="e">
        <f t="shared" ca="1" si="123"/>
        <v>#NAME?</v>
      </c>
      <c r="AC481" s="988" t="e">
        <f ca="1">VLOOKUP(AB481,sample!$1:$1048576,2,FALSE)</f>
        <v>#NAME?</v>
      </c>
      <c r="AD481" s="988" t="e">
        <f ca="1">VLOOKUP($AB481,sample!$1:$1048576,3,FALSE)</f>
        <v>#NAME?</v>
      </c>
      <c r="AE481" s="986" t="e">
        <f ca="1">VLOOKUP($AB481,sample!$1:$1048576,4,FALSE)</f>
        <v>#NAME?</v>
      </c>
      <c r="AF481" s="988" t="e">
        <f ca="1">VLOOKUP($AB481,sample!$1:$1048576,5,FALSE)</f>
        <v>#NAME?</v>
      </c>
      <c r="AL481" s="986" t="e">
        <f ca="1">VLOOKUP($AB481,sample!$1:$1048576,11,FALSE)</f>
        <v>#NAME?</v>
      </c>
      <c r="AM481" s="986" t="e">
        <f ca="1">VLOOKUP($AB481,sample!$1:$1048576,12,FALSE)</f>
        <v>#NAME?</v>
      </c>
      <c r="AN481" s="986" t="e">
        <f ca="1">VLOOKUP($AB481,sample!$1:$1048576,13,FALSE)</f>
        <v>#NAME?</v>
      </c>
      <c r="AP481" s="988"/>
    </row>
    <row r="482" spans="1:16383">
      <c r="A482" s="958">
        <v>2019200492</v>
      </c>
      <c r="B482" s="959">
        <v>44391</v>
      </c>
      <c r="C482" s="959" t="s">
        <v>133</v>
      </c>
      <c r="D482" s="1137" t="s">
        <v>12714</v>
      </c>
      <c r="E482" s="1013" t="e">
        <f ca="1">_xll.BDP(G482  &amp; " Equity", "ID_ISIN", "Fill", "")</f>
        <v>#NAME?</v>
      </c>
      <c r="F482" s="960" t="s">
        <v>1230</v>
      </c>
      <c r="G482" s="961" t="s">
        <v>12714</v>
      </c>
      <c r="H482" s="962"/>
      <c r="I482" s="957" t="s">
        <v>12762</v>
      </c>
      <c r="J482" s="957" t="s">
        <v>2</v>
      </c>
      <c r="K482" s="963">
        <v>24.5</v>
      </c>
      <c r="L482" s="963">
        <v>4200</v>
      </c>
      <c r="M482" s="956">
        <v>4200</v>
      </c>
      <c r="N482" s="964">
        <v>-102900</v>
      </c>
      <c r="O482" s="965">
        <v>-61.68</v>
      </c>
      <c r="P482" s="965">
        <v>-308.41000000000003</v>
      </c>
      <c r="Q482" s="962"/>
      <c r="R482" s="966">
        <v>-103270.09</v>
      </c>
      <c r="S482" s="967">
        <v>1</v>
      </c>
      <c r="T482" s="998">
        <f t="shared" si="116"/>
        <v>-103270.09</v>
      </c>
      <c r="U482" s="962">
        <v>44393</v>
      </c>
      <c r="V482" s="961" t="s">
        <v>1111</v>
      </c>
      <c r="W482" s="968">
        <v>44391.385765393519</v>
      </c>
      <c r="X482" s="969">
        <v>5.9941690962099121E-2</v>
      </c>
      <c r="Y482" s="962" t="s">
        <v>1693</v>
      </c>
      <c r="Z482" s="988" t="e">
        <f ca="1">VLOOKUP(AA482,'place of settlement'!A:C,2,FALSE)</f>
        <v>#NAME?</v>
      </c>
      <c r="AA482" s="988" t="e">
        <f t="shared" ca="1" si="122"/>
        <v>#NAME?</v>
      </c>
      <c r="AB482" s="988" t="e">
        <f t="shared" ca="1" si="123"/>
        <v>#NAME?</v>
      </c>
      <c r="AC482" s="988" t="e">
        <f ca="1">VLOOKUP(AB482,sample!$1:$1048576,2,FALSE)</f>
        <v>#NAME?</v>
      </c>
      <c r="AD482" s="988" t="e">
        <f ca="1">VLOOKUP($AB482,sample!$1:$1048576,3,FALSE)</f>
        <v>#NAME?</v>
      </c>
      <c r="AE482" s="986" t="e">
        <f ca="1">VLOOKUP($AB482,sample!$1:$1048576,4,FALSE)</f>
        <v>#NAME?</v>
      </c>
      <c r="AF482" s="988" t="e">
        <f ca="1">VLOOKUP($AB482,sample!$1:$1048576,5,FALSE)</f>
        <v>#NAME?</v>
      </c>
      <c r="AG482" s="962"/>
      <c r="AH482" s="962"/>
      <c r="AI482" s="962"/>
      <c r="AJ482" s="962"/>
      <c r="AK482" s="962"/>
      <c r="AL482" s="986" t="e">
        <f ca="1">VLOOKUP($AB482,sample!$1:$1048576,11,FALSE)</f>
        <v>#NAME?</v>
      </c>
      <c r="AM482" s="986" t="e">
        <f ca="1">VLOOKUP($AB482,sample!$1:$1048576,12,FALSE)</f>
        <v>#NAME?</v>
      </c>
      <c r="AN482" s="986" t="e">
        <f ca="1">VLOOKUP($AB482,sample!$1:$1048576,13,FALSE)</f>
        <v>#NAME?</v>
      </c>
      <c r="AO482" s="962"/>
      <c r="AP482" s="988"/>
      <c r="AQ482" s="962"/>
      <c r="AR482" s="962"/>
      <c r="AS482" s="962"/>
      <c r="AT482" s="962"/>
      <c r="AU482" s="962"/>
      <c r="AV482" s="962"/>
      <c r="AW482" s="962"/>
      <c r="AX482" s="962"/>
      <c r="AY482" s="962"/>
      <c r="AZ482" s="962"/>
      <c r="BA482" s="962"/>
      <c r="BB482" s="962"/>
      <c r="BC482" s="962"/>
      <c r="BD482" s="962"/>
      <c r="BE482" s="962"/>
      <c r="BF482" s="962"/>
      <c r="BG482" s="962"/>
      <c r="BH482" s="962"/>
      <c r="BI482" s="962"/>
      <c r="BJ482" s="962"/>
      <c r="BK482" s="962"/>
      <c r="BL482" s="962"/>
      <c r="BM482" s="962"/>
      <c r="BN482" s="962"/>
      <c r="BO482" s="962"/>
      <c r="BP482" s="962"/>
      <c r="BQ482" s="962"/>
      <c r="BR482" s="962"/>
      <c r="BS482" s="962"/>
      <c r="BT482" s="962"/>
      <c r="BU482" s="962"/>
      <c r="BV482" s="962"/>
      <c r="BW482" s="962"/>
      <c r="BX482" s="962"/>
      <c r="BY482" s="962"/>
      <c r="BZ482" s="962"/>
      <c r="CA482" s="962"/>
      <c r="CB482" s="962"/>
      <c r="CC482" s="962"/>
      <c r="CD482" s="962"/>
      <c r="CE482" s="962"/>
      <c r="CF482" s="962"/>
      <c r="CG482" s="962"/>
      <c r="CH482" s="962"/>
      <c r="CI482" s="962"/>
      <c r="CJ482" s="962"/>
      <c r="CK482" s="962"/>
      <c r="CL482" s="962"/>
      <c r="CM482" s="962"/>
      <c r="CN482" s="962"/>
      <c r="CO482" s="962"/>
      <c r="CP482" s="962"/>
      <c r="CQ482" s="962"/>
      <c r="CR482" s="962"/>
      <c r="CS482" s="962"/>
      <c r="CT482" s="962"/>
      <c r="CU482" s="962"/>
      <c r="CV482" s="962"/>
      <c r="CW482" s="962"/>
      <c r="CX482" s="962"/>
      <c r="CY482" s="962"/>
      <c r="CZ482" s="962"/>
      <c r="DA482" s="962"/>
      <c r="DB482" s="962"/>
      <c r="DC482" s="962"/>
      <c r="DD482" s="962"/>
      <c r="DE482" s="962"/>
      <c r="DF482" s="962"/>
      <c r="DG482" s="962"/>
      <c r="DH482" s="962"/>
      <c r="DI482" s="962"/>
      <c r="DJ482" s="962"/>
      <c r="DK482" s="962"/>
      <c r="DL482" s="962"/>
      <c r="DM482" s="962"/>
      <c r="DN482" s="962"/>
      <c r="DO482" s="962"/>
      <c r="DP482" s="962"/>
      <c r="DQ482" s="962"/>
      <c r="DR482" s="962"/>
      <c r="DS482" s="962"/>
      <c r="DT482" s="962"/>
      <c r="DU482" s="962"/>
      <c r="DV482" s="962"/>
      <c r="DW482" s="962"/>
      <c r="DX482" s="962"/>
      <c r="DY482" s="962"/>
      <c r="DZ482" s="962"/>
      <c r="EA482" s="962"/>
      <c r="EB482" s="962"/>
      <c r="EC482" s="962"/>
      <c r="ED482" s="962"/>
      <c r="EE482" s="962"/>
      <c r="EF482" s="962"/>
      <c r="EG482" s="962"/>
      <c r="EH482" s="962"/>
      <c r="EI482" s="962"/>
      <c r="EJ482" s="962"/>
      <c r="EK482" s="962"/>
      <c r="EL482" s="962"/>
      <c r="EM482" s="962"/>
      <c r="EN482" s="962"/>
      <c r="EO482" s="962"/>
      <c r="EP482" s="962"/>
      <c r="EQ482" s="962"/>
      <c r="ER482" s="962"/>
      <c r="ES482" s="962"/>
      <c r="ET482" s="962"/>
      <c r="EU482" s="962"/>
      <c r="EV482" s="962"/>
      <c r="EW482" s="962"/>
      <c r="EX482" s="962"/>
      <c r="EY482" s="962"/>
      <c r="EZ482" s="962"/>
      <c r="FA482" s="962"/>
      <c r="FB482" s="962"/>
      <c r="FC482" s="962"/>
      <c r="FD482" s="962"/>
      <c r="FE482" s="962"/>
      <c r="FF482" s="962"/>
      <c r="FG482" s="962"/>
      <c r="FH482" s="962"/>
      <c r="FI482" s="962"/>
      <c r="FJ482" s="962"/>
      <c r="FK482" s="962"/>
      <c r="FL482" s="962"/>
      <c r="FM482" s="962"/>
      <c r="FN482" s="962"/>
      <c r="FO482" s="962"/>
      <c r="FP482" s="962"/>
      <c r="FQ482" s="962"/>
      <c r="FR482" s="962"/>
      <c r="FS482" s="962"/>
      <c r="FT482" s="962"/>
      <c r="FU482" s="962"/>
      <c r="FV482" s="962"/>
      <c r="FW482" s="962"/>
      <c r="FX482" s="962"/>
      <c r="FY482" s="962"/>
      <c r="FZ482" s="962"/>
      <c r="GA482" s="962"/>
      <c r="GB482" s="962"/>
      <c r="GC482" s="962"/>
      <c r="GD482" s="962"/>
      <c r="GE482" s="962"/>
      <c r="GF482" s="962"/>
      <c r="GG482" s="962"/>
      <c r="GH482" s="962"/>
      <c r="GI482" s="962"/>
      <c r="GJ482" s="962"/>
      <c r="GK482" s="962"/>
      <c r="GL482" s="962"/>
      <c r="GM482" s="962"/>
      <c r="GN482" s="962"/>
      <c r="GO482" s="962"/>
      <c r="GP482" s="962"/>
      <c r="GQ482" s="962"/>
      <c r="GR482" s="962"/>
      <c r="GS482" s="962"/>
      <c r="GT482" s="962"/>
      <c r="GU482" s="962"/>
      <c r="GV482" s="962"/>
      <c r="GW482" s="962"/>
      <c r="GX482" s="962"/>
      <c r="GY482" s="962"/>
      <c r="GZ482" s="962"/>
      <c r="HA482" s="962"/>
      <c r="HB482" s="962"/>
      <c r="HC482" s="962"/>
      <c r="HD482" s="962"/>
      <c r="HE482" s="962"/>
      <c r="HF482" s="962"/>
      <c r="HG482" s="962"/>
      <c r="HH482" s="962"/>
      <c r="HI482" s="962"/>
      <c r="HJ482" s="962"/>
      <c r="HK482" s="962"/>
      <c r="HL482" s="962"/>
      <c r="HM482" s="962"/>
      <c r="HN482" s="962"/>
      <c r="HO482" s="962"/>
      <c r="HP482" s="962"/>
      <c r="HQ482" s="962"/>
      <c r="HR482" s="962"/>
      <c r="HS482" s="962"/>
      <c r="HT482" s="962"/>
      <c r="HU482" s="962"/>
      <c r="HV482" s="962"/>
      <c r="HW482" s="962"/>
      <c r="HX482" s="962"/>
      <c r="HY482" s="962"/>
      <c r="HZ482" s="962"/>
      <c r="IA482" s="962"/>
      <c r="IB482" s="962"/>
      <c r="IC482" s="962"/>
      <c r="ID482" s="962"/>
      <c r="IE482" s="962"/>
      <c r="IF482" s="962"/>
      <c r="IG482" s="962"/>
      <c r="IH482" s="962"/>
      <c r="II482" s="962"/>
      <c r="IJ482" s="962"/>
      <c r="IK482" s="962"/>
      <c r="IL482" s="962"/>
      <c r="IM482" s="962"/>
      <c r="IN482" s="962"/>
      <c r="IO482" s="962"/>
      <c r="IP482" s="962"/>
      <c r="IQ482" s="962"/>
      <c r="IR482" s="962"/>
      <c r="IS482" s="962"/>
      <c r="IT482" s="962"/>
      <c r="IU482" s="962"/>
      <c r="IV482" s="962"/>
      <c r="IW482" s="962"/>
      <c r="IX482" s="962"/>
      <c r="IY482" s="962"/>
      <c r="IZ482" s="962"/>
      <c r="JA482" s="962"/>
      <c r="JB482" s="962"/>
      <c r="JC482" s="962"/>
      <c r="JD482" s="962"/>
      <c r="JE482" s="962"/>
      <c r="JF482" s="962"/>
      <c r="JG482" s="962"/>
      <c r="JH482" s="962"/>
      <c r="JI482" s="962"/>
      <c r="JJ482" s="962"/>
      <c r="JK482" s="962"/>
      <c r="JL482" s="962"/>
      <c r="JM482" s="962"/>
      <c r="JN482" s="962"/>
      <c r="JO482" s="962"/>
      <c r="JP482" s="962"/>
      <c r="JQ482" s="962"/>
      <c r="JR482" s="962"/>
      <c r="JS482" s="962"/>
      <c r="JT482" s="962"/>
      <c r="JU482" s="962"/>
      <c r="JV482" s="962"/>
      <c r="JW482" s="962"/>
      <c r="JX482" s="962"/>
      <c r="JY482" s="962"/>
      <c r="JZ482" s="962"/>
      <c r="KA482" s="962"/>
      <c r="KB482" s="962"/>
      <c r="KC482" s="962"/>
      <c r="KD482" s="962"/>
      <c r="KE482" s="962"/>
      <c r="KF482" s="962"/>
      <c r="KG482" s="962"/>
      <c r="KH482" s="962"/>
      <c r="KI482" s="962"/>
      <c r="KJ482" s="962"/>
      <c r="KK482" s="962"/>
      <c r="KL482" s="962"/>
      <c r="KM482" s="962"/>
      <c r="KN482" s="962"/>
      <c r="KO482" s="962"/>
      <c r="KP482" s="962"/>
      <c r="KQ482" s="962"/>
      <c r="KR482" s="962"/>
      <c r="KS482" s="962"/>
      <c r="KT482" s="962"/>
      <c r="KU482" s="962"/>
      <c r="KV482" s="962"/>
      <c r="KW482" s="962"/>
      <c r="KX482" s="962"/>
      <c r="KY482" s="962"/>
      <c r="KZ482" s="962"/>
      <c r="LA482" s="962"/>
      <c r="LB482" s="962"/>
      <c r="LC482" s="962"/>
      <c r="LD482" s="962"/>
      <c r="LE482" s="962"/>
      <c r="LF482" s="962"/>
      <c r="LG482" s="962"/>
      <c r="LH482" s="962"/>
      <c r="LI482" s="962"/>
      <c r="LJ482" s="962"/>
      <c r="LK482" s="962"/>
      <c r="LL482" s="962"/>
      <c r="LM482" s="962"/>
      <c r="LN482" s="962"/>
      <c r="LO482" s="962"/>
      <c r="LP482" s="962"/>
      <c r="LQ482" s="962"/>
      <c r="LR482" s="962"/>
      <c r="LS482" s="962"/>
      <c r="LT482" s="962"/>
      <c r="LU482" s="962"/>
      <c r="LV482" s="962"/>
      <c r="LW482" s="962"/>
      <c r="LX482" s="962"/>
      <c r="LY482" s="962"/>
      <c r="LZ482" s="962"/>
      <c r="MA482" s="962"/>
      <c r="MB482" s="962"/>
      <c r="MC482" s="962"/>
      <c r="MD482" s="962"/>
      <c r="ME482" s="962"/>
      <c r="MF482" s="962"/>
      <c r="MG482" s="962"/>
      <c r="MH482" s="962"/>
      <c r="MI482" s="962"/>
      <c r="MJ482" s="962"/>
      <c r="MK482" s="962"/>
      <c r="ML482" s="962"/>
      <c r="MM482" s="962"/>
      <c r="MN482" s="962"/>
      <c r="MO482" s="962"/>
      <c r="MP482" s="962"/>
      <c r="MQ482" s="962"/>
      <c r="MR482" s="962"/>
      <c r="MS482" s="962"/>
      <c r="MT482" s="962"/>
      <c r="MU482" s="962"/>
      <c r="MV482" s="962"/>
      <c r="MW482" s="962"/>
      <c r="MX482" s="962"/>
      <c r="MY482" s="962"/>
      <c r="MZ482" s="962"/>
      <c r="NA482" s="962"/>
      <c r="NB482" s="962"/>
      <c r="NC482" s="962"/>
      <c r="ND482" s="962"/>
      <c r="NE482" s="962"/>
      <c r="NF482" s="962"/>
      <c r="NG482" s="962"/>
      <c r="NH482" s="962"/>
      <c r="NI482" s="962"/>
      <c r="NJ482" s="962"/>
      <c r="NK482" s="962"/>
      <c r="NL482" s="962"/>
      <c r="NM482" s="962"/>
      <c r="NN482" s="962"/>
      <c r="NO482" s="962"/>
      <c r="NP482" s="962"/>
      <c r="NQ482" s="962"/>
      <c r="NR482" s="962"/>
      <c r="NS482" s="962"/>
      <c r="NT482" s="962"/>
      <c r="NU482" s="962"/>
      <c r="NV482" s="962"/>
      <c r="NW482" s="962"/>
      <c r="NX482" s="962"/>
      <c r="NY482" s="962"/>
      <c r="NZ482" s="962"/>
      <c r="OA482" s="962"/>
      <c r="OB482" s="962"/>
      <c r="OC482" s="962"/>
      <c r="OD482" s="962"/>
      <c r="OE482" s="962"/>
      <c r="OF482" s="962"/>
      <c r="OG482" s="962"/>
      <c r="OH482" s="962"/>
      <c r="OI482" s="962"/>
      <c r="OJ482" s="962"/>
      <c r="OK482" s="962"/>
      <c r="OL482" s="962"/>
      <c r="OM482" s="962"/>
      <c r="ON482" s="962"/>
      <c r="OO482" s="962"/>
      <c r="OP482" s="962"/>
      <c r="OQ482" s="962"/>
      <c r="OR482" s="962"/>
      <c r="OS482" s="962"/>
      <c r="OT482" s="962"/>
      <c r="OU482" s="962"/>
      <c r="OV482" s="962"/>
      <c r="OW482" s="962"/>
      <c r="OX482" s="962"/>
      <c r="OY482" s="962"/>
      <c r="OZ482" s="962"/>
      <c r="PA482" s="962"/>
      <c r="PB482" s="962"/>
      <c r="PC482" s="962"/>
      <c r="PD482" s="962"/>
      <c r="PE482" s="962"/>
      <c r="PF482" s="962"/>
      <c r="PG482" s="962"/>
      <c r="PH482" s="962"/>
      <c r="PI482" s="962"/>
      <c r="PJ482" s="962"/>
      <c r="PK482" s="962"/>
      <c r="PL482" s="962"/>
      <c r="PM482" s="962"/>
      <c r="PN482" s="962"/>
      <c r="PO482" s="962"/>
      <c r="PP482" s="962"/>
      <c r="PQ482" s="962"/>
      <c r="PR482" s="962"/>
      <c r="PS482" s="962"/>
      <c r="PT482" s="962"/>
      <c r="PU482" s="962"/>
      <c r="PV482" s="962"/>
      <c r="PW482" s="962"/>
      <c r="PX482" s="962"/>
      <c r="PY482" s="962"/>
      <c r="PZ482" s="962"/>
      <c r="QA482" s="962"/>
      <c r="QB482" s="962"/>
      <c r="QC482" s="962"/>
      <c r="QD482" s="962"/>
      <c r="QE482" s="962"/>
      <c r="QF482" s="962"/>
      <c r="QG482" s="962"/>
      <c r="QH482" s="962"/>
      <c r="QI482" s="962"/>
      <c r="QJ482" s="962"/>
      <c r="QK482" s="962"/>
      <c r="QL482" s="962"/>
      <c r="QM482" s="962"/>
      <c r="QN482" s="962"/>
      <c r="QO482" s="962"/>
      <c r="QP482" s="962"/>
      <c r="QQ482" s="962"/>
      <c r="QR482" s="962"/>
      <c r="QS482" s="962"/>
      <c r="QT482" s="962"/>
      <c r="QU482" s="962"/>
      <c r="QV482" s="962"/>
      <c r="QW482" s="962"/>
      <c r="QX482" s="962"/>
      <c r="QY482" s="962"/>
      <c r="QZ482" s="962"/>
      <c r="RA482" s="962"/>
      <c r="RB482" s="962"/>
      <c r="RC482" s="962"/>
      <c r="RD482" s="962"/>
      <c r="RE482" s="962"/>
      <c r="RF482" s="962"/>
      <c r="RG482" s="962"/>
      <c r="RH482" s="962"/>
      <c r="RI482" s="962"/>
      <c r="RJ482" s="962"/>
      <c r="RK482" s="962"/>
      <c r="RL482" s="962"/>
      <c r="RM482" s="962"/>
      <c r="RN482" s="962"/>
      <c r="RO482" s="962"/>
      <c r="RP482" s="962"/>
      <c r="RQ482" s="962"/>
      <c r="RR482" s="962"/>
      <c r="RS482" s="962"/>
      <c r="RT482" s="962"/>
      <c r="RU482" s="962"/>
      <c r="RV482" s="962"/>
      <c r="RW482" s="962"/>
      <c r="RX482" s="962"/>
      <c r="RY482" s="962"/>
      <c r="RZ482" s="962"/>
      <c r="SA482" s="962"/>
      <c r="SB482" s="962"/>
      <c r="SC482" s="962"/>
      <c r="SD482" s="962"/>
      <c r="SE482" s="962"/>
      <c r="SF482" s="962"/>
      <c r="SG482" s="962"/>
      <c r="SH482" s="962"/>
      <c r="SI482" s="962"/>
      <c r="SJ482" s="962"/>
      <c r="SK482" s="962"/>
      <c r="SL482" s="962"/>
      <c r="SM482" s="962"/>
      <c r="SN482" s="962"/>
      <c r="SO482" s="962"/>
      <c r="SP482" s="962"/>
      <c r="SQ482" s="962"/>
      <c r="SR482" s="962"/>
      <c r="SS482" s="962"/>
      <c r="ST482" s="962"/>
      <c r="SU482" s="962"/>
      <c r="SV482" s="962"/>
      <c r="SW482" s="962"/>
      <c r="SX482" s="962"/>
      <c r="SY482" s="962"/>
      <c r="SZ482" s="962"/>
      <c r="TA482" s="962"/>
      <c r="TB482" s="962"/>
      <c r="TC482" s="962"/>
      <c r="TD482" s="962"/>
      <c r="TE482" s="962"/>
      <c r="TF482" s="962"/>
      <c r="TG482" s="962"/>
      <c r="TH482" s="962"/>
      <c r="TI482" s="962"/>
      <c r="TJ482" s="962"/>
      <c r="TK482" s="962"/>
      <c r="TL482" s="962"/>
      <c r="TM482" s="962"/>
      <c r="TN482" s="962"/>
      <c r="TO482" s="962"/>
      <c r="TP482" s="962"/>
      <c r="TQ482" s="962"/>
      <c r="TR482" s="962"/>
      <c r="TS482" s="962"/>
      <c r="TT482" s="962"/>
      <c r="TU482" s="962"/>
      <c r="TV482" s="962"/>
      <c r="TW482" s="962"/>
      <c r="TX482" s="962"/>
      <c r="TY482" s="962"/>
      <c r="TZ482" s="962"/>
      <c r="UA482" s="962"/>
      <c r="UB482" s="962"/>
      <c r="UC482" s="962"/>
      <c r="UD482" s="962"/>
      <c r="UE482" s="962"/>
      <c r="UF482" s="962"/>
      <c r="UG482" s="962"/>
      <c r="UH482" s="962"/>
      <c r="UI482" s="962"/>
      <c r="UJ482" s="962"/>
      <c r="UK482" s="962"/>
      <c r="UL482" s="962"/>
      <c r="UM482" s="962"/>
      <c r="UN482" s="962"/>
      <c r="UO482" s="962"/>
      <c r="UP482" s="962"/>
      <c r="UQ482" s="962"/>
      <c r="UR482" s="962"/>
      <c r="US482" s="962"/>
      <c r="UT482" s="962"/>
      <c r="UU482" s="962"/>
      <c r="UV482" s="962"/>
      <c r="UW482" s="962"/>
      <c r="UX482" s="962"/>
      <c r="UY482" s="962"/>
      <c r="UZ482" s="962"/>
      <c r="VA482" s="962"/>
      <c r="VB482" s="962"/>
      <c r="VC482" s="962"/>
      <c r="VD482" s="962"/>
      <c r="VE482" s="962"/>
      <c r="VF482" s="962"/>
      <c r="VG482" s="962"/>
      <c r="VH482" s="962"/>
      <c r="VI482" s="962"/>
      <c r="VJ482" s="962"/>
      <c r="VK482" s="962"/>
      <c r="VL482" s="962"/>
      <c r="VM482" s="962"/>
      <c r="VN482" s="962"/>
      <c r="VO482" s="962"/>
      <c r="VP482" s="962"/>
      <c r="VQ482" s="962"/>
      <c r="VR482" s="962"/>
      <c r="VS482" s="962"/>
      <c r="VT482" s="962"/>
      <c r="VU482" s="962"/>
      <c r="VV482" s="962"/>
      <c r="VW482" s="962"/>
      <c r="VX482" s="962"/>
      <c r="VY482" s="962"/>
      <c r="VZ482" s="962"/>
      <c r="WA482" s="962"/>
      <c r="WB482" s="962"/>
      <c r="WC482" s="962"/>
      <c r="WD482" s="962"/>
      <c r="WE482" s="962"/>
      <c r="WF482" s="962"/>
      <c r="WG482" s="962"/>
      <c r="WH482" s="962"/>
      <c r="WI482" s="962"/>
      <c r="WJ482" s="962"/>
      <c r="WK482" s="962"/>
      <c r="WL482" s="962"/>
      <c r="WM482" s="962"/>
      <c r="WN482" s="962"/>
      <c r="WO482" s="962"/>
      <c r="WP482" s="962"/>
      <c r="WQ482" s="962"/>
      <c r="WR482" s="962"/>
      <c r="WS482" s="962"/>
      <c r="WT482" s="962"/>
      <c r="WU482" s="962"/>
      <c r="WV482" s="962"/>
      <c r="WW482" s="962"/>
      <c r="WX482" s="962"/>
      <c r="WY482" s="962"/>
      <c r="WZ482" s="962"/>
      <c r="XA482" s="962"/>
      <c r="XB482" s="962"/>
      <c r="XC482" s="962"/>
      <c r="XD482" s="962"/>
      <c r="XE482" s="962"/>
      <c r="XF482" s="962"/>
      <c r="XG482" s="962"/>
      <c r="XH482" s="962"/>
      <c r="XI482" s="962"/>
      <c r="XJ482" s="962"/>
      <c r="XK482" s="962"/>
      <c r="XL482" s="962"/>
      <c r="XM482" s="962"/>
      <c r="XN482" s="962"/>
      <c r="XO482" s="962"/>
      <c r="XP482" s="962"/>
      <c r="XQ482" s="962"/>
      <c r="XR482" s="962"/>
      <c r="XS482" s="962"/>
      <c r="XT482" s="962"/>
      <c r="XU482" s="962"/>
      <c r="XV482" s="962"/>
      <c r="XW482" s="962"/>
      <c r="XX482" s="962"/>
      <c r="XY482" s="962"/>
      <c r="XZ482" s="962"/>
      <c r="YA482" s="962"/>
      <c r="YB482" s="962"/>
      <c r="YC482" s="962"/>
      <c r="YD482" s="962"/>
      <c r="YE482" s="962"/>
      <c r="YF482" s="962"/>
      <c r="YG482" s="962"/>
      <c r="YH482" s="962"/>
      <c r="YI482" s="962"/>
      <c r="YJ482" s="962"/>
      <c r="YK482" s="962"/>
      <c r="YL482" s="962"/>
      <c r="YM482" s="962"/>
      <c r="YN482" s="962"/>
      <c r="YO482" s="962"/>
      <c r="YP482" s="962"/>
      <c r="YQ482" s="962"/>
      <c r="YR482" s="962"/>
      <c r="YS482" s="962"/>
      <c r="YT482" s="962"/>
      <c r="YU482" s="962"/>
      <c r="YV482" s="962"/>
      <c r="YW482" s="962"/>
      <c r="YX482" s="962"/>
      <c r="YY482" s="962"/>
      <c r="YZ482" s="962"/>
      <c r="ZA482" s="962"/>
      <c r="ZB482" s="962"/>
      <c r="ZC482" s="962"/>
      <c r="ZD482" s="962"/>
      <c r="ZE482" s="962"/>
      <c r="ZF482" s="962"/>
      <c r="ZG482" s="962"/>
      <c r="ZH482" s="962"/>
      <c r="ZI482" s="962"/>
      <c r="ZJ482" s="962"/>
      <c r="ZK482" s="962"/>
      <c r="ZL482" s="962"/>
      <c r="ZM482" s="962"/>
      <c r="ZN482" s="962"/>
      <c r="ZO482" s="962"/>
      <c r="ZP482" s="962"/>
      <c r="ZQ482" s="962"/>
      <c r="ZR482" s="962"/>
      <c r="ZS482" s="962"/>
      <c r="ZT482" s="962"/>
      <c r="ZU482" s="962"/>
      <c r="ZV482" s="962"/>
      <c r="ZW482" s="962"/>
      <c r="ZX482" s="962"/>
      <c r="ZY482" s="962"/>
      <c r="ZZ482" s="962"/>
      <c r="AAA482" s="962"/>
      <c r="AAB482" s="962"/>
      <c r="AAC482" s="962"/>
      <c r="AAD482" s="962"/>
      <c r="AAE482" s="962"/>
      <c r="AAF482" s="962"/>
      <c r="AAG482" s="962"/>
      <c r="AAH482" s="962"/>
      <c r="AAI482" s="962"/>
      <c r="AAJ482" s="962"/>
      <c r="AAK482" s="962"/>
      <c r="AAL482" s="962"/>
      <c r="AAM482" s="962"/>
      <c r="AAN482" s="962"/>
      <c r="AAO482" s="962"/>
      <c r="AAP482" s="962"/>
      <c r="AAQ482" s="962"/>
      <c r="AAR482" s="962"/>
      <c r="AAS482" s="962"/>
      <c r="AAT482" s="962"/>
      <c r="AAU482" s="962"/>
      <c r="AAV482" s="962"/>
      <c r="AAW482" s="962"/>
      <c r="AAX482" s="962"/>
      <c r="AAY482" s="962"/>
      <c r="AAZ482" s="962"/>
      <c r="ABA482" s="962"/>
      <c r="ABB482" s="962"/>
      <c r="ABC482" s="962"/>
      <c r="ABD482" s="962"/>
      <c r="ABE482" s="962"/>
      <c r="ABF482" s="962"/>
      <c r="ABG482" s="962"/>
      <c r="ABH482" s="962"/>
      <c r="ABI482" s="962"/>
      <c r="ABJ482" s="962"/>
      <c r="ABK482" s="962"/>
      <c r="ABL482" s="962"/>
      <c r="ABM482" s="962"/>
      <c r="ABN482" s="962"/>
      <c r="ABO482" s="962"/>
      <c r="ABP482" s="962"/>
      <c r="ABQ482" s="962"/>
      <c r="ABR482" s="962"/>
      <c r="ABS482" s="962"/>
      <c r="ABT482" s="962"/>
      <c r="ABU482" s="962"/>
      <c r="ABV482" s="962"/>
      <c r="ABW482" s="962"/>
      <c r="ABX482" s="962"/>
      <c r="ABY482" s="962"/>
      <c r="ABZ482" s="962"/>
      <c r="ACA482" s="962"/>
      <c r="ACB482" s="962"/>
      <c r="ACC482" s="962"/>
      <c r="ACD482" s="962"/>
      <c r="ACE482" s="962"/>
      <c r="ACF482" s="962"/>
      <c r="ACG482" s="962"/>
      <c r="ACH482" s="962"/>
      <c r="ACI482" s="962"/>
      <c r="ACJ482" s="962"/>
      <c r="ACK482" s="962"/>
      <c r="ACL482" s="962"/>
      <c r="ACM482" s="962"/>
      <c r="ACN482" s="962"/>
      <c r="ACO482" s="962"/>
      <c r="ACP482" s="962"/>
      <c r="ACQ482" s="962"/>
      <c r="ACR482" s="962"/>
      <c r="ACS482" s="962"/>
      <c r="ACT482" s="962"/>
      <c r="ACU482" s="962"/>
      <c r="ACV482" s="962"/>
      <c r="ACW482" s="962"/>
      <c r="ACX482" s="962"/>
      <c r="ACY482" s="962"/>
      <c r="ACZ482" s="962"/>
      <c r="ADA482" s="962"/>
      <c r="ADB482" s="962"/>
      <c r="ADC482" s="962"/>
      <c r="ADD482" s="962"/>
      <c r="ADE482" s="962"/>
      <c r="ADF482" s="962"/>
      <c r="ADG482" s="962"/>
      <c r="ADH482" s="962"/>
      <c r="ADI482" s="962"/>
      <c r="ADJ482" s="962"/>
      <c r="ADK482" s="962"/>
      <c r="ADL482" s="962"/>
      <c r="ADM482" s="962"/>
      <c r="ADN482" s="962"/>
      <c r="ADO482" s="962"/>
      <c r="ADP482" s="962"/>
      <c r="ADQ482" s="962"/>
      <c r="ADR482" s="962"/>
      <c r="ADS482" s="962"/>
      <c r="ADT482" s="962"/>
      <c r="ADU482" s="962"/>
      <c r="ADV482" s="962"/>
      <c r="ADW482" s="962"/>
      <c r="ADX482" s="962"/>
      <c r="ADY482" s="962"/>
      <c r="ADZ482" s="962"/>
      <c r="AEA482" s="962"/>
      <c r="AEB482" s="962"/>
      <c r="AEC482" s="962"/>
      <c r="AED482" s="962"/>
      <c r="AEE482" s="962"/>
      <c r="AEF482" s="962"/>
      <c r="AEG482" s="962"/>
      <c r="AEH482" s="962"/>
      <c r="AEI482" s="962"/>
      <c r="AEJ482" s="962"/>
      <c r="AEK482" s="962"/>
      <c r="AEL482" s="962"/>
      <c r="AEM482" s="962"/>
      <c r="AEN482" s="962"/>
      <c r="AEO482" s="962"/>
      <c r="AEP482" s="962"/>
      <c r="AEQ482" s="962"/>
      <c r="AER482" s="962"/>
      <c r="AES482" s="962"/>
      <c r="AET482" s="962"/>
      <c r="AEU482" s="962"/>
      <c r="AEV482" s="962"/>
      <c r="AEW482" s="962"/>
      <c r="AEX482" s="962"/>
      <c r="AEY482" s="962"/>
      <c r="AEZ482" s="962"/>
      <c r="AFA482" s="962"/>
      <c r="AFB482" s="962"/>
      <c r="AFC482" s="962"/>
      <c r="AFD482" s="962"/>
      <c r="AFE482" s="962"/>
      <c r="AFF482" s="962"/>
      <c r="AFG482" s="962"/>
      <c r="AFH482" s="962"/>
      <c r="AFI482" s="962"/>
      <c r="AFJ482" s="962"/>
      <c r="AFK482" s="962"/>
      <c r="AFL482" s="962"/>
      <c r="AFM482" s="962"/>
      <c r="AFN482" s="962"/>
      <c r="AFO482" s="962"/>
      <c r="AFP482" s="962"/>
      <c r="AFQ482" s="962"/>
      <c r="AFR482" s="962"/>
      <c r="AFS482" s="962"/>
      <c r="AFT482" s="962"/>
      <c r="AFU482" s="962"/>
      <c r="AFV482" s="962"/>
      <c r="AFW482" s="962"/>
      <c r="AFX482" s="962"/>
      <c r="AFY482" s="962"/>
      <c r="AFZ482" s="962"/>
      <c r="AGA482" s="962"/>
      <c r="AGB482" s="962"/>
      <c r="AGC482" s="962"/>
      <c r="AGD482" s="962"/>
      <c r="AGE482" s="962"/>
      <c r="AGF482" s="962"/>
      <c r="AGG482" s="962"/>
      <c r="AGH482" s="962"/>
      <c r="AGI482" s="962"/>
      <c r="AGJ482" s="962"/>
      <c r="AGK482" s="962"/>
      <c r="AGL482" s="962"/>
      <c r="AGM482" s="962"/>
      <c r="AGN482" s="962"/>
      <c r="AGO482" s="962"/>
      <c r="AGP482" s="962"/>
      <c r="AGQ482" s="962"/>
      <c r="AGR482" s="962"/>
      <c r="AGS482" s="962"/>
      <c r="AGT482" s="962"/>
      <c r="AGU482" s="962"/>
      <c r="AGV482" s="962"/>
      <c r="AGW482" s="962"/>
      <c r="AGX482" s="962"/>
      <c r="AGY482" s="962"/>
      <c r="AGZ482" s="962"/>
      <c r="AHA482" s="962"/>
      <c r="AHB482" s="962"/>
      <c r="AHC482" s="962"/>
      <c r="AHD482" s="962"/>
      <c r="AHE482" s="962"/>
      <c r="AHF482" s="962"/>
      <c r="AHG482" s="962"/>
      <c r="AHH482" s="962"/>
      <c r="AHI482" s="962"/>
      <c r="AHJ482" s="962"/>
      <c r="AHK482" s="962"/>
      <c r="AHL482" s="962"/>
      <c r="AHM482" s="962"/>
      <c r="AHN482" s="962"/>
      <c r="AHO482" s="962"/>
      <c r="AHP482" s="962"/>
      <c r="AHQ482" s="962"/>
      <c r="AHR482" s="962"/>
      <c r="AHS482" s="962"/>
      <c r="AHT482" s="962"/>
      <c r="AHU482" s="962"/>
      <c r="AHV482" s="962"/>
      <c r="AHW482" s="962"/>
      <c r="AHX482" s="962"/>
      <c r="AHY482" s="962"/>
      <c r="AHZ482" s="962"/>
      <c r="AIA482" s="962"/>
      <c r="AIB482" s="962"/>
      <c r="AIC482" s="962"/>
      <c r="AID482" s="962"/>
      <c r="AIE482" s="962"/>
      <c r="AIF482" s="962"/>
      <c r="AIG482" s="962"/>
      <c r="AIH482" s="962"/>
      <c r="AII482" s="962"/>
      <c r="AIJ482" s="962"/>
      <c r="AIK482" s="962"/>
      <c r="AIL482" s="962"/>
      <c r="AIM482" s="962"/>
      <c r="AIN482" s="962"/>
      <c r="AIO482" s="962"/>
      <c r="AIP482" s="962"/>
      <c r="AIQ482" s="962"/>
      <c r="AIR482" s="962"/>
      <c r="AIS482" s="962"/>
      <c r="AIT482" s="962"/>
      <c r="AIU482" s="962"/>
      <c r="AIV482" s="962"/>
      <c r="AIW482" s="962"/>
      <c r="AIX482" s="962"/>
      <c r="AIY482" s="962"/>
      <c r="AIZ482" s="962"/>
      <c r="AJA482" s="962"/>
      <c r="AJB482" s="962"/>
      <c r="AJC482" s="962"/>
      <c r="AJD482" s="962"/>
      <c r="AJE482" s="962"/>
      <c r="AJF482" s="962"/>
      <c r="AJG482" s="962"/>
      <c r="AJH482" s="962"/>
      <c r="AJI482" s="962"/>
      <c r="AJJ482" s="962"/>
      <c r="AJK482" s="962"/>
      <c r="AJL482" s="962"/>
      <c r="AJM482" s="962"/>
      <c r="AJN482" s="962"/>
      <c r="AJO482" s="962"/>
      <c r="AJP482" s="962"/>
      <c r="AJQ482" s="962"/>
      <c r="AJR482" s="962"/>
      <c r="AJS482" s="962"/>
      <c r="AJT482" s="962"/>
      <c r="AJU482" s="962"/>
      <c r="AJV482" s="962"/>
      <c r="AJW482" s="962"/>
      <c r="AJX482" s="962"/>
      <c r="AJY482" s="962"/>
      <c r="AJZ482" s="962"/>
      <c r="AKA482" s="962"/>
      <c r="AKB482" s="962"/>
      <c r="AKC482" s="962"/>
      <c r="AKD482" s="962"/>
      <c r="AKE482" s="962"/>
      <c r="AKF482" s="962"/>
      <c r="AKG482" s="962"/>
      <c r="AKH482" s="962"/>
      <c r="AKI482" s="962"/>
      <c r="AKJ482" s="962"/>
      <c r="AKK482" s="962"/>
      <c r="AKL482" s="962"/>
      <c r="AKM482" s="962"/>
      <c r="AKN482" s="962"/>
      <c r="AKO482" s="962"/>
      <c r="AKP482" s="962"/>
      <c r="AKQ482" s="962"/>
      <c r="AKR482" s="962"/>
      <c r="AKS482" s="962"/>
      <c r="AKT482" s="962"/>
      <c r="AKU482" s="962"/>
      <c r="AKV482" s="962"/>
      <c r="AKW482" s="962"/>
      <c r="AKX482" s="962"/>
      <c r="AKY482" s="962"/>
      <c r="AKZ482" s="962"/>
      <c r="ALA482" s="962"/>
      <c r="ALB482" s="962"/>
      <c r="ALC482" s="962"/>
      <c r="ALD482" s="962"/>
      <c r="ALE482" s="962"/>
      <c r="ALF482" s="962"/>
      <c r="ALG482" s="962"/>
      <c r="ALH482" s="962"/>
      <c r="ALI482" s="962"/>
      <c r="ALJ482" s="962"/>
      <c r="ALK482" s="962"/>
      <c r="ALL482" s="962"/>
      <c r="ALM482" s="962"/>
      <c r="ALN482" s="962"/>
      <c r="ALO482" s="962"/>
      <c r="ALP482" s="962"/>
      <c r="ALQ482" s="962"/>
      <c r="ALR482" s="962"/>
      <c r="ALS482" s="962"/>
      <c r="ALT482" s="962"/>
      <c r="ALU482" s="962"/>
      <c r="ALV482" s="962"/>
      <c r="ALW482" s="962"/>
      <c r="ALX482" s="962"/>
      <c r="ALY482" s="962"/>
      <c r="ALZ482" s="962"/>
      <c r="AMA482" s="962"/>
      <c r="AMB482" s="962"/>
      <c r="AMC482" s="962"/>
      <c r="AMD482" s="962"/>
      <c r="AME482" s="962"/>
      <c r="AMF482" s="962"/>
      <c r="AMG482" s="962"/>
      <c r="AMH482" s="962"/>
      <c r="AMI482" s="962"/>
      <c r="AMJ482" s="962"/>
      <c r="AMK482" s="962"/>
      <c r="AML482" s="962"/>
      <c r="AMM482" s="962"/>
      <c r="AMN482" s="962"/>
      <c r="AMO482" s="962"/>
      <c r="AMP482" s="962"/>
      <c r="AMQ482" s="962"/>
      <c r="AMR482" s="962"/>
      <c r="AMS482" s="962"/>
      <c r="AMT482" s="962"/>
      <c r="AMU482" s="962"/>
      <c r="AMV482" s="962"/>
      <c r="AMW482" s="962"/>
      <c r="AMX482" s="962"/>
      <c r="AMY482" s="962"/>
      <c r="AMZ482" s="962"/>
      <c r="ANA482" s="962"/>
      <c r="ANB482" s="962"/>
      <c r="ANC482" s="962"/>
      <c r="AND482" s="962"/>
      <c r="ANE482" s="962"/>
      <c r="ANF482" s="962"/>
      <c r="ANG482" s="962"/>
      <c r="ANH482" s="962"/>
      <c r="ANI482" s="962"/>
      <c r="ANJ482" s="962"/>
      <c r="ANK482" s="962"/>
      <c r="ANL482" s="962"/>
      <c r="ANM482" s="962"/>
      <c r="ANN482" s="962"/>
      <c r="ANO482" s="962"/>
      <c r="ANP482" s="962"/>
      <c r="ANQ482" s="962"/>
      <c r="ANR482" s="962"/>
      <c r="ANS482" s="962"/>
      <c r="ANT482" s="962"/>
      <c r="ANU482" s="962"/>
      <c r="ANV482" s="962"/>
      <c r="ANW482" s="962"/>
      <c r="ANX482" s="962"/>
      <c r="ANY482" s="962"/>
      <c r="ANZ482" s="962"/>
      <c r="AOA482" s="962"/>
      <c r="AOB482" s="962"/>
      <c r="AOC482" s="962"/>
      <c r="AOD482" s="962"/>
      <c r="AOE482" s="962"/>
      <c r="AOF482" s="962"/>
      <c r="AOG482" s="962"/>
      <c r="AOH482" s="962"/>
      <c r="AOI482" s="962"/>
      <c r="AOJ482" s="962"/>
      <c r="AOK482" s="962"/>
      <c r="AOL482" s="962"/>
      <c r="AOM482" s="962"/>
      <c r="AON482" s="962"/>
      <c r="AOO482" s="962"/>
      <c r="AOP482" s="962"/>
      <c r="AOQ482" s="962"/>
      <c r="AOR482" s="962"/>
      <c r="AOS482" s="962"/>
      <c r="AOT482" s="962"/>
      <c r="AOU482" s="962"/>
      <c r="AOV482" s="962"/>
      <c r="AOW482" s="962"/>
      <c r="AOX482" s="962"/>
      <c r="AOY482" s="962"/>
      <c r="AOZ482" s="962"/>
      <c r="APA482" s="962"/>
      <c r="APB482" s="962"/>
      <c r="APC482" s="962"/>
      <c r="APD482" s="962"/>
      <c r="APE482" s="962"/>
      <c r="APF482" s="962"/>
      <c r="APG482" s="962"/>
      <c r="APH482" s="962"/>
      <c r="API482" s="962"/>
      <c r="APJ482" s="962"/>
      <c r="APK482" s="962"/>
      <c r="APL482" s="962"/>
      <c r="APM482" s="962"/>
      <c r="APN482" s="962"/>
      <c r="APO482" s="962"/>
      <c r="APP482" s="962"/>
      <c r="APQ482" s="962"/>
      <c r="APR482" s="962"/>
      <c r="APS482" s="962"/>
      <c r="APT482" s="962"/>
      <c r="APU482" s="962"/>
      <c r="APV482" s="962"/>
      <c r="APW482" s="962"/>
      <c r="APX482" s="962"/>
      <c r="APY482" s="962"/>
      <c r="APZ482" s="962"/>
      <c r="AQA482" s="962"/>
      <c r="AQB482" s="962"/>
      <c r="AQC482" s="962"/>
      <c r="AQD482" s="962"/>
      <c r="AQE482" s="962"/>
      <c r="AQF482" s="962"/>
      <c r="AQG482" s="962"/>
      <c r="AQH482" s="962"/>
      <c r="AQI482" s="962"/>
      <c r="AQJ482" s="962"/>
      <c r="AQK482" s="962"/>
      <c r="AQL482" s="962"/>
      <c r="AQM482" s="962"/>
      <c r="AQN482" s="962"/>
      <c r="AQO482" s="962"/>
      <c r="AQP482" s="962"/>
      <c r="AQQ482" s="962"/>
      <c r="AQR482" s="962"/>
      <c r="AQS482" s="962"/>
      <c r="AQT482" s="962"/>
      <c r="AQU482" s="962"/>
      <c r="AQV482" s="962"/>
      <c r="AQW482" s="962"/>
      <c r="AQX482" s="962"/>
      <c r="AQY482" s="962"/>
      <c r="AQZ482" s="962"/>
      <c r="ARA482" s="962"/>
      <c r="ARB482" s="962"/>
      <c r="ARC482" s="962"/>
      <c r="ARD482" s="962"/>
      <c r="ARE482" s="962"/>
      <c r="ARF482" s="962"/>
      <c r="ARG482" s="962"/>
      <c r="ARH482" s="962"/>
      <c r="ARI482" s="962"/>
      <c r="ARJ482" s="962"/>
      <c r="ARK482" s="962"/>
      <c r="ARL482" s="962"/>
      <c r="ARM482" s="962"/>
      <c r="ARN482" s="962"/>
      <c r="ARO482" s="962"/>
      <c r="ARP482" s="962"/>
      <c r="ARQ482" s="962"/>
      <c r="ARR482" s="962"/>
      <c r="ARS482" s="962"/>
      <c r="ART482" s="962"/>
      <c r="ARU482" s="962"/>
      <c r="ARV482" s="962"/>
      <c r="ARW482" s="962"/>
      <c r="ARX482" s="962"/>
      <c r="ARY482" s="962"/>
      <c r="ARZ482" s="962"/>
      <c r="ASA482" s="962"/>
      <c r="ASB482" s="962"/>
      <c r="ASC482" s="962"/>
      <c r="ASD482" s="962"/>
      <c r="ASE482" s="962"/>
      <c r="ASF482" s="962"/>
      <c r="ASG482" s="962"/>
      <c r="ASH482" s="962"/>
      <c r="ASI482" s="962"/>
      <c r="ASJ482" s="962"/>
      <c r="ASK482" s="962"/>
      <c r="ASL482" s="962"/>
      <c r="ASM482" s="962"/>
      <c r="ASN482" s="962"/>
      <c r="ASO482" s="962"/>
      <c r="ASP482" s="962"/>
      <c r="ASQ482" s="962"/>
      <c r="ASR482" s="962"/>
      <c r="ASS482" s="962"/>
      <c r="AST482" s="962"/>
      <c r="ASU482" s="962"/>
      <c r="ASV482" s="962"/>
      <c r="ASW482" s="962"/>
      <c r="ASX482" s="962"/>
      <c r="ASY482" s="962"/>
      <c r="ASZ482" s="962"/>
      <c r="ATA482" s="962"/>
      <c r="ATB482" s="962"/>
      <c r="ATC482" s="962"/>
      <c r="ATD482" s="962"/>
      <c r="ATE482" s="962"/>
      <c r="ATF482" s="962"/>
      <c r="ATG482" s="962"/>
      <c r="ATH482" s="962"/>
      <c r="ATI482" s="962"/>
      <c r="ATJ482" s="962"/>
      <c r="ATK482" s="962"/>
      <c r="ATL482" s="962"/>
      <c r="ATM482" s="962"/>
      <c r="ATN482" s="962"/>
      <c r="ATO482" s="962"/>
      <c r="ATP482" s="962"/>
      <c r="ATQ482" s="962"/>
      <c r="ATR482" s="962"/>
      <c r="ATS482" s="962"/>
      <c r="ATT482" s="962"/>
      <c r="ATU482" s="962"/>
      <c r="ATV482" s="962"/>
      <c r="ATW482" s="962"/>
      <c r="ATX482" s="962"/>
      <c r="ATY482" s="962"/>
      <c r="ATZ482" s="962"/>
      <c r="AUA482" s="962"/>
      <c r="AUB482" s="962"/>
      <c r="AUC482" s="962"/>
      <c r="AUD482" s="962"/>
      <c r="AUE482" s="962"/>
      <c r="AUF482" s="962"/>
      <c r="AUG482" s="962"/>
      <c r="AUH482" s="962"/>
      <c r="AUI482" s="962"/>
      <c r="AUJ482" s="962"/>
      <c r="AUK482" s="962"/>
      <c r="AUL482" s="962"/>
      <c r="AUM482" s="962"/>
      <c r="AUN482" s="962"/>
      <c r="AUO482" s="962"/>
      <c r="AUP482" s="962"/>
      <c r="AUQ482" s="962"/>
      <c r="AUR482" s="962"/>
      <c r="AUS482" s="962"/>
      <c r="AUT482" s="962"/>
      <c r="AUU482" s="962"/>
      <c r="AUV482" s="962"/>
      <c r="AUW482" s="962"/>
      <c r="AUX482" s="962"/>
      <c r="AUY482" s="962"/>
      <c r="AUZ482" s="962"/>
      <c r="AVA482" s="962"/>
      <c r="AVB482" s="962"/>
      <c r="AVC482" s="962"/>
      <c r="AVD482" s="962"/>
      <c r="AVE482" s="962"/>
      <c r="AVF482" s="962"/>
      <c r="AVG482" s="962"/>
      <c r="AVH482" s="962"/>
      <c r="AVI482" s="962"/>
      <c r="AVJ482" s="962"/>
      <c r="AVK482" s="962"/>
      <c r="AVL482" s="962"/>
      <c r="AVM482" s="962"/>
      <c r="AVN482" s="962"/>
      <c r="AVO482" s="962"/>
      <c r="AVP482" s="962"/>
      <c r="AVQ482" s="962"/>
      <c r="AVR482" s="962"/>
      <c r="AVS482" s="962"/>
      <c r="AVT482" s="962"/>
      <c r="AVU482" s="962"/>
      <c r="AVV482" s="962"/>
      <c r="AVW482" s="962"/>
      <c r="AVX482" s="962"/>
      <c r="AVY482" s="962"/>
      <c r="AVZ482" s="962"/>
      <c r="AWA482" s="962"/>
      <c r="AWB482" s="962"/>
      <c r="AWC482" s="962"/>
      <c r="AWD482" s="962"/>
      <c r="AWE482" s="962"/>
      <c r="AWF482" s="962"/>
      <c r="AWG482" s="962"/>
      <c r="AWH482" s="962"/>
      <c r="AWI482" s="962"/>
      <c r="AWJ482" s="962"/>
      <c r="AWK482" s="962"/>
      <c r="AWL482" s="962"/>
      <c r="AWM482" s="962"/>
      <c r="AWN482" s="962"/>
      <c r="AWO482" s="962"/>
      <c r="AWP482" s="962"/>
      <c r="AWQ482" s="962"/>
      <c r="AWR482" s="962"/>
      <c r="AWS482" s="962"/>
      <c r="AWT482" s="962"/>
      <c r="AWU482" s="962"/>
      <c r="AWV482" s="962"/>
      <c r="AWW482" s="962"/>
      <c r="AWX482" s="962"/>
      <c r="AWY482" s="962"/>
      <c r="AWZ482" s="962"/>
      <c r="AXA482" s="962"/>
      <c r="AXB482" s="962"/>
      <c r="AXC482" s="962"/>
      <c r="AXD482" s="962"/>
      <c r="AXE482" s="962"/>
      <c r="AXF482" s="962"/>
      <c r="AXG482" s="962"/>
      <c r="AXH482" s="962"/>
      <c r="AXI482" s="962"/>
      <c r="AXJ482" s="962"/>
      <c r="AXK482" s="962"/>
      <c r="AXL482" s="962"/>
      <c r="AXM482" s="962"/>
      <c r="AXN482" s="962"/>
      <c r="AXO482" s="962"/>
      <c r="AXP482" s="962"/>
      <c r="AXQ482" s="962"/>
      <c r="AXR482" s="962"/>
      <c r="AXS482" s="962"/>
      <c r="AXT482" s="962"/>
      <c r="AXU482" s="962"/>
      <c r="AXV482" s="962"/>
      <c r="AXW482" s="962"/>
      <c r="AXX482" s="962"/>
      <c r="AXY482" s="962"/>
      <c r="AXZ482" s="962"/>
      <c r="AYA482" s="962"/>
      <c r="AYB482" s="962"/>
      <c r="AYC482" s="962"/>
      <c r="AYD482" s="962"/>
      <c r="AYE482" s="962"/>
      <c r="AYF482" s="962"/>
      <c r="AYG482" s="962"/>
      <c r="AYH482" s="962"/>
      <c r="AYI482" s="962"/>
      <c r="AYJ482" s="962"/>
      <c r="AYK482" s="962"/>
      <c r="AYL482" s="962"/>
      <c r="AYM482" s="962"/>
      <c r="AYN482" s="962"/>
      <c r="AYO482" s="962"/>
      <c r="AYP482" s="962"/>
      <c r="AYQ482" s="962"/>
      <c r="AYR482" s="962"/>
      <c r="AYS482" s="962"/>
      <c r="AYT482" s="962"/>
      <c r="AYU482" s="962"/>
      <c r="AYV482" s="962"/>
      <c r="AYW482" s="962"/>
      <c r="AYX482" s="962"/>
      <c r="AYY482" s="962"/>
      <c r="AYZ482" s="962"/>
      <c r="AZA482" s="962"/>
      <c r="AZB482" s="962"/>
      <c r="AZC482" s="962"/>
      <c r="AZD482" s="962"/>
      <c r="AZE482" s="962"/>
      <c r="AZF482" s="962"/>
      <c r="AZG482" s="962"/>
      <c r="AZH482" s="962"/>
      <c r="AZI482" s="962"/>
      <c r="AZJ482" s="962"/>
      <c r="AZK482" s="962"/>
      <c r="AZL482" s="962"/>
      <c r="AZM482" s="962"/>
      <c r="AZN482" s="962"/>
      <c r="AZO482" s="962"/>
      <c r="AZP482" s="962"/>
      <c r="AZQ482" s="962"/>
      <c r="AZR482" s="962"/>
      <c r="AZS482" s="962"/>
      <c r="AZT482" s="962"/>
      <c r="AZU482" s="962"/>
      <c r="AZV482" s="962"/>
      <c r="AZW482" s="962"/>
      <c r="AZX482" s="962"/>
      <c r="AZY482" s="962"/>
      <c r="AZZ482" s="962"/>
      <c r="BAA482" s="962"/>
      <c r="BAB482" s="962"/>
      <c r="BAC482" s="962"/>
      <c r="BAD482" s="962"/>
      <c r="BAE482" s="962"/>
      <c r="BAF482" s="962"/>
      <c r="BAG482" s="962"/>
      <c r="BAH482" s="962"/>
      <c r="BAI482" s="962"/>
      <c r="BAJ482" s="962"/>
      <c r="BAK482" s="962"/>
      <c r="BAL482" s="962"/>
      <c r="BAM482" s="962"/>
      <c r="BAN482" s="962"/>
      <c r="BAO482" s="962"/>
      <c r="BAP482" s="962"/>
      <c r="BAQ482" s="962"/>
      <c r="BAR482" s="962"/>
      <c r="BAS482" s="962"/>
      <c r="BAT482" s="962"/>
      <c r="BAU482" s="962"/>
      <c r="BAV482" s="962"/>
      <c r="BAW482" s="962"/>
      <c r="BAX482" s="962"/>
      <c r="BAY482" s="962"/>
      <c r="BAZ482" s="962"/>
      <c r="BBA482" s="962"/>
      <c r="BBB482" s="962"/>
      <c r="BBC482" s="962"/>
      <c r="BBD482" s="962"/>
      <c r="BBE482" s="962"/>
      <c r="BBF482" s="962"/>
      <c r="BBG482" s="962"/>
      <c r="BBH482" s="962"/>
      <c r="BBI482" s="962"/>
      <c r="BBJ482" s="962"/>
      <c r="BBK482" s="962"/>
      <c r="BBL482" s="962"/>
      <c r="BBM482" s="962"/>
      <c r="BBN482" s="962"/>
      <c r="BBO482" s="962"/>
      <c r="BBP482" s="962"/>
      <c r="BBQ482" s="962"/>
      <c r="BBR482" s="962"/>
      <c r="BBS482" s="962"/>
      <c r="BBT482" s="962"/>
      <c r="BBU482" s="962"/>
      <c r="BBV482" s="962"/>
      <c r="BBW482" s="962"/>
      <c r="BBX482" s="962"/>
      <c r="BBY482" s="962"/>
      <c r="BBZ482" s="962"/>
      <c r="BCA482" s="962"/>
      <c r="BCB482" s="962"/>
      <c r="BCC482" s="962"/>
      <c r="BCD482" s="962"/>
      <c r="BCE482" s="962"/>
      <c r="BCF482" s="962"/>
      <c r="BCG482" s="962"/>
      <c r="BCH482" s="962"/>
      <c r="BCI482" s="962"/>
      <c r="BCJ482" s="962"/>
      <c r="BCK482" s="962"/>
      <c r="BCL482" s="962"/>
      <c r="BCM482" s="962"/>
      <c r="BCN482" s="962"/>
      <c r="BCO482" s="962"/>
      <c r="BCP482" s="962"/>
      <c r="BCQ482" s="962"/>
      <c r="BCR482" s="962"/>
      <c r="BCS482" s="962"/>
      <c r="BCT482" s="962"/>
      <c r="BCU482" s="962"/>
      <c r="BCV482" s="962"/>
      <c r="BCW482" s="962"/>
      <c r="BCX482" s="962"/>
      <c r="BCY482" s="962"/>
      <c r="BCZ482" s="962"/>
      <c r="BDA482" s="962"/>
      <c r="BDB482" s="962"/>
      <c r="BDC482" s="962"/>
      <c r="BDD482" s="962"/>
      <c r="BDE482" s="962"/>
      <c r="BDF482" s="962"/>
      <c r="BDG482" s="962"/>
      <c r="BDH482" s="962"/>
      <c r="BDI482" s="962"/>
      <c r="BDJ482" s="962"/>
      <c r="BDK482" s="962"/>
      <c r="BDL482" s="962"/>
      <c r="BDM482" s="962"/>
      <c r="BDN482" s="962"/>
      <c r="BDO482" s="962"/>
      <c r="BDP482" s="962"/>
      <c r="BDQ482" s="962"/>
      <c r="BDR482" s="962"/>
      <c r="BDS482" s="962"/>
      <c r="BDT482" s="962"/>
      <c r="BDU482" s="962"/>
      <c r="BDV482" s="962"/>
      <c r="BDW482" s="962"/>
      <c r="BDX482" s="962"/>
      <c r="BDY482" s="962"/>
      <c r="BDZ482" s="962"/>
      <c r="BEA482" s="962"/>
      <c r="BEB482" s="962"/>
      <c r="BEC482" s="962"/>
      <c r="BED482" s="962"/>
      <c r="BEE482" s="962"/>
      <c r="BEF482" s="962"/>
      <c r="BEG482" s="962"/>
      <c r="BEH482" s="962"/>
      <c r="BEI482" s="962"/>
      <c r="BEJ482" s="962"/>
      <c r="BEK482" s="962"/>
      <c r="BEL482" s="962"/>
      <c r="BEM482" s="962"/>
      <c r="BEN482" s="962"/>
      <c r="BEO482" s="962"/>
      <c r="BEP482" s="962"/>
      <c r="BEQ482" s="962"/>
      <c r="BER482" s="962"/>
      <c r="BES482" s="962"/>
      <c r="BET482" s="962"/>
      <c r="BEU482" s="962"/>
      <c r="BEV482" s="962"/>
      <c r="BEW482" s="962"/>
      <c r="BEX482" s="962"/>
      <c r="BEY482" s="962"/>
      <c r="BEZ482" s="962"/>
      <c r="BFA482" s="962"/>
      <c r="BFB482" s="962"/>
      <c r="BFC482" s="962"/>
      <c r="BFD482" s="962"/>
      <c r="BFE482" s="962"/>
      <c r="BFF482" s="962"/>
      <c r="BFG482" s="962"/>
      <c r="BFH482" s="962"/>
      <c r="BFI482" s="962"/>
      <c r="BFJ482" s="962"/>
      <c r="BFK482" s="962"/>
      <c r="BFL482" s="962"/>
      <c r="BFM482" s="962"/>
      <c r="BFN482" s="962"/>
      <c r="BFO482" s="962"/>
      <c r="BFP482" s="962"/>
      <c r="BFQ482" s="962"/>
      <c r="BFR482" s="962"/>
      <c r="BFS482" s="962"/>
      <c r="BFT482" s="962"/>
      <c r="BFU482" s="962"/>
      <c r="BFV482" s="962"/>
      <c r="BFW482" s="962"/>
      <c r="BFX482" s="962"/>
      <c r="BFY482" s="962"/>
      <c r="BFZ482" s="962"/>
      <c r="BGA482" s="962"/>
      <c r="BGB482" s="962"/>
      <c r="BGC482" s="962"/>
      <c r="BGD482" s="962"/>
      <c r="BGE482" s="962"/>
      <c r="BGF482" s="962"/>
      <c r="BGG482" s="962"/>
      <c r="BGH482" s="962"/>
      <c r="BGI482" s="962"/>
      <c r="BGJ482" s="962"/>
      <c r="BGK482" s="962"/>
      <c r="BGL482" s="962"/>
      <c r="BGM482" s="962"/>
      <c r="BGN482" s="962"/>
      <c r="BGO482" s="962"/>
      <c r="BGP482" s="962"/>
      <c r="BGQ482" s="962"/>
      <c r="BGR482" s="962"/>
      <c r="BGS482" s="962"/>
      <c r="BGT482" s="962"/>
      <c r="BGU482" s="962"/>
      <c r="BGV482" s="962"/>
      <c r="BGW482" s="962"/>
      <c r="BGX482" s="962"/>
      <c r="BGY482" s="962"/>
      <c r="BGZ482" s="962"/>
      <c r="BHA482" s="962"/>
      <c r="BHB482" s="962"/>
      <c r="BHC482" s="962"/>
      <c r="BHD482" s="962"/>
      <c r="BHE482" s="962"/>
      <c r="BHF482" s="962"/>
      <c r="BHG482" s="962"/>
      <c r="BHH482" s="962"/>
      <c r="BHI482" s="962"/>
      <c r="BHJ482" s="962"/>
      <c r="BHK482" s="962"/>
      <c r="BHL482" s="962"/>
      <c r="BHM482" s="962"/>
      <c r="BHN482" s="962"/>
      <c r="BHO482" s="962"/>
      <c r="BHP482" s="962"/>
      <c r="BHQ482" s="962"/>
      <c r="BHR482" s="962"/>
      <c r="BHS482" s="962"/>
      <c r="BHT482" s="962"/>
      <c r="BHU482" s="962"/>
      <c r="BHV482" s="962"/>
      <c r="BHW482" s="962"/>
      <c r="BHX482" s="962"/>
      <c r="BHY482" s="962"/>
      <c r="BHZ482" s="962"/>
      <c r="BIA482" s="962"/>
      <c r="BIB482" s="962"/>
      <c r="BIC482" s="962"/>
      <c r="BID482" s="962"/>
      <c r="BIE482" s="962"/>
      <c r="BIF482" s="962"/>
      <c r="BIG482" s="962"/>
      <c r="BIH482" s="962"/>
      <c r="BII482" s="962"/>
      <c r="BIJ482" s="962"/>
      <c r="BIK482" s="962"/>
      <c r="BIL482" s="962"/>
      <c r="BIM482" s="962"/>
      <c r="BIN482" s="962"/>
      <c r="BIO482" s="962"/>
      <c r="BIP482" s="962"/>
      <c r="BIQ482" s="962"/>
      <c r="BIR482" s="962"/>
      <c r="BIS482" s="962"/>
      <c r="BIT482" s="962"/>
      <c r="BIU482" s="962"/>
      <c r="BIV482" s="962"/>
      <c r="BIW482" s="962"/>
      <c r="BIX482" s="962"/>
      <c r="BIY482" s="962"/>
      <c r="BIZ482" s="962"/>
      <c r="BJA482" s="962"/>
      <c r="BJB482" s="962"/>
      <c r="BJC482" s="962"/>
      <c r="BJD482" s="962"/>
      <c r="BJE482" s="962"/>
      <c r="BJF482" s="962"/>
      <c r="BJG482" s="962"/>
      <c r="BJH482" s="962"/>
      <c r="BJI482" s="962"/>
      <c r="BJJ482" s="962"/>
      <c r="BJK482" s="962"/>
      <c r="BJL482" s="962"/>
      <c r="BJM482" s="962"/>
      <c r="BJN482" s="962"/>
      <c r="BJO482" s="962"/>
      <c r="BJP482" s="962"/>
      <c r="BJQ482" s="962"/>
      <c r="BJR482" s="962"/>
      <c r="BJS482" s="962"/>
      <c r="BJT482" s="962"/>
      <c r="BJU482" s="962"/>
      <c r="BJV482" s="962"/>
      <c r="BJW482" s="962"/>
      <c r="BJX482" s="962"/>
      <c r="BJY482" s="962"/>
      <c r="BJZ482" s="962"/>
      <c r="BKA482" s="962"/>
      <c r="BKB482" s="962"/>
      <c r="BKC482" s="962"/>
      <c r="BKD482" s="962"/>
      <c r="BKE482" s="962"/>
      <c r="BKF482" s="962"/>
      <c r="BKG482" s="962"/>
      <c r="BKH482" s="962"/>
      <c r="BKI482" s="962"/>
      <c r="BKJ482" s="962"/>
      <c r="BKK482" s="962"/>
      <c r="BKL482" s="962"/>
      <c r="BKM482" s="962"/>
      <c r="BKN482" s="962"/>
      <c r="BKO482" s="962"/>
      <c r="BKP482" s="962"/>
      <c r="BKQ482" s="962"/>
      <c r="BKR482" s="962"/>
      <c r="BKS482" s="962"/>
      <c r="BKT482" s="962"/>
      <c r="BKU482" s="962"/>
      <c r="BKV482" s="962"/>
      <c r="BKW482" s="962"/>
      <c r="BKX482" s="962"/>
      <c r="BKY482" s="962"/>
      <c r="BKZ482" s="962"/>
      <c r="BLA482" s="962"/>
      <c r="BLB482" s="962"/>
      <c r="BLC482" s="962"/>
      <c r="BLD482" s="962"/>
      <c r="BLE482" s="962"/>
      <c r="BLF482" s="962"/>
      <c r="BLG482" s="962"/>
      <c r="BLH482" s="962"/>
      <c r="BLI482" s="962"/>
      <c r="BLJ482" s="962"/>
      <c r="BLK482" s="962"/>
      <c r="BLL482" s="962"/>
      <c r="BLM482" s="962"/>
      <c r="BLN482" s="962"/>
      <c r="BLO482" s="962"/>
      <c r="BLP482" s="962"/>
      <c r="BLQ482" s="962"/>
      <c r="BLR482" s="962"/>
      <c r="BLS482" s="962"/>
      <c r="BLT482" s="962"/>
      <c r="BLU482" s="962"/>
      <c r="BLV482" s="962"/>
      <c r="BLW482" s="962"/>
      <c r="BLX482" s="962"/>
      <c r="BLY482" s="962"/>
      <c r="BLZ482" s="962"/>
      <c r="BMA482" s="962"/>
      <c r="BMB482" s="962"/>
      <c r="BMC482" s="962"/>
      <c r="BMD482" s="962"/>
      <c r="BME482" s="962"/>
      <c r="BMF482" s="962"/>
      <c r="BMG482" s="962"/>
      <c r="BMH482" s="962"/>
      <c r="BMI482" s="962"/>
      <c r="BMJ482" s="962"/>
      <c r="BMK482" s="962"/>
      <c r="BML482" s="962"/>
      <c r="BMM482" s="962"/>
      <c r="BMN482" s="962"/>
      <c r="BMO482" s="962"/>
      <c r="BMP482" s="962"/>
      <c r="BMQ482" s="962"/>
      <c r="BMR482" s="962"/>
      <c r="BMS482" s="962"/>
      <c r="BMT482" s="962"/>
      <c r="BMU482" s="962"/>
      <c r="BMV482" s="962"/>
      <c r="BMW482" s="962"/>
      <c r="BMX482" s="962"/>
      <c r="BMY482" s="962"/>
      <c r="BMZ482" s="962"/>
      <c r="BNA482" s="962"/>
      <c r="BNB482" s="962"/>
      <c r="BNC482" s="962"/>
      <c r="BND482" s="962"/>
      <c r="BNE482" s="962"/>
      <c r="BNF482" s="962"/>
      <c r="BNG482" s="962"/>
      <c r="BNH482" s="962"/>
      <c r="BNI482" s="962"/>
      <c r="BNJ482" s="962"/>
      <c r="BNK482" s="962"/>
      <c r="BNL482" s="962"/>
      <c r="BNM482" s="962"/>
      <c r="BNN482" s="962"/>
      <c r="BNO482" s="962"/>
      <c r="BNP482" s="962"/>
      <c r="BNQ482" s="962"/>
      <c r="BNR482" s="962"/>
      <c r="BNS482" s="962"/>
      <c r="BNT482" s="962"/>
      <c r="BNU482" s="962"/>
      <c r="BNV482" s="962"/>
      <c r="BNW482" s="962"/>
      <c r="BNX482" s="962"/>
      <c r="BNY482" s="962"/>
      <c r="BNZ482" s="962"/>
      <c r="BOA482" s="962"/>
      <c r="BOB482" s="962"/>
      <c r="BOC482" s="962"/>
      <c r="BOD482" s="962"/>
      <c r="BOE482" s="962"/>
      <c r="BOF482" s="962"/>
      <c r="BOG482" s="962"/>
      <c r="BOH482" s="962"/>
      <c r="BOI482" s="962"/>
      <c r="BOJ482" s="962"/>
      <c r="BOK482" s="962"/>
      <c r="BOL482" s="962"/>
      <c r="BOM482" s="962"/>
      <c r="BON482" s="962"/>
      <c r="BOO482" s="962"/>
      <c r="BOP482" s="962"/>
      <c r="BOQ482" s="962"/>
      <c r="BOR482" s="962"/>
      <c r="BOS482" s="962"/>
      <c r="BOT482" s="962"/>
      <c r="BOU482" s="962"/>
      <c r="BOV482" s="962"/>
      <c r="BOW482" s="962"/>
      <c r="BOX482" s="962"/>
      <c r="BOY482" s="962"/>
      <c r="BOZ482" s="962"/>
      <c r="BPA482" s="962"/>
      <c r="BPB482" s="962"/>
      <c r="BPC482" s="962"/>
      <c r="BPD482" s="962"/>
      <c r="BPE482" s="962"/>
      <c r="BPF482" s="962"/>
      <c r="BPG482" s="962"/>
      <c r="BPH482" s="962"/>
      <c r="BPI482" s="962"/>
      <c r="BPJ482" s="962"/>
      <c r="BPK482" s="962"/>
      <c r="BPL482" s="962"/>
      <c r="BPM482" s="962"/>
      <c r="BPN482" s="962"/>
      <c r="BPO482" s="962"/>
      <c r="BPP482" s="962"/>
      <c r="BPQ482" s="962"/>
      <c r="BPR482" s="962"/>
      <c r="BPS482" s="962"/>
      <c r="BPT482" s="962"/>
      <c r="BPU482" s="962"/>
      <c r="BPV482" s="962"/>
      <c r="BPW482" s="962"/>
      <c r="BPX482" s="962"/>
      <c r="BPY482" s="962"/>
      <c r="BPZ482" s="962"/>
      <c r="BQA482" s="962"/>
      <c r="BQB482" s="962"/>
      <c r="BQC482" s="962"/>
      <c r="BQD482" s="962"/>
      <c r="BQE482" s="962"/>
      <c r="BQF482" s="962"/>
      <c r="BQG482" s="962"/>
      <c r="BQH482" s="962"/>
      <c r="BQI482" s="962"/>
      <c r="BQJ482" s="962"/>
      <c r="BQK482" s="962"/>
      <c r="BQL482" s="962"/>
      <c r="BQM482" s="962"/>
      <c r="BQN482" s="962"/>
      <c r="BQO482" s="962"/>
      <c r="BQP482" s="962"/>
      <c r="BQQ482" s="962"/>
      <c r="BQR482" s="962"/>
      <c r="BQS482" s="962"/>
      <c r="BQT482" s="962"/>
      <c r="BQU482" s="962"/>
      <c r="BQV482" s="962"/>
      <c r="BQW482" s="962"/>
      <c r="BQX482" s="962"/>
      <c r="BQY482" s="962"/>
      <c r="BQZ482" s="962"/>
      <c r="BRA482" s="962"/>
      <c r="BRB482" s="962"/>
      <c r="BRC482" s="962"/>
      <c r="BRD482" s="962"/>
      <c r="BRE482" s="962"/>
      <c r="BRF482" s="962"/>
      <c r="BRG482" s="962"/>
      <c r="BRH482" s="962"/>
      <c r="BRI482" s="962"/>
      <c r="BRJ482" s="962"/>
      <c r="BRK482" s="962"/>
      <c r="BRL482" s="962"/>
      <c r="BRM482" s="962"/>
      <c r="BRN482" s="962"/>
      <c r="BRO482" s="962"/>
      <c r="BRP482" s="962"/>
      <c r="BRQ482" s="962"/>
      <c r="BRR482" s="962"/>
      <c r="BRS482" s="962"/>
      <c r="BRT482" s="962"/>
      <c r="BRU482" s="962"/>
      <c r="BRV482" s="962"/>
      <c r="BRW482" s="962"/>
      <c r="BRX482" s="962"/>
      <c r="BRY482" s="962"/>
      <c r="BRZ482" s="962"/>
      <c r="BSA482" s="962"/>
      <c r="BSB482" s="962"/>
      <c r="BSC482" s="962"/>
      <c r="BSD482" s="962"/>
      <c r="BSE482" s="962"/>
      <c r="BSF482" s="962"/>
      <c r="BSG482" s="962"/>
      <c r="BSH482" s="962"/>
      <c r="BSI482" s="962"/>
      <c r="BSJ482" s="962"/>
      <c r="BSK482" s="962"/>
      <c r="BSL482" s="962"/>
      <c r="BSM482" s="962"/>
      <c r="BSN482" s="962"/>
      <c r="BSO482" s="962"/>
      <c r="BSP482" s="962"/>
      <c r="BSQ482" s="962"/>
      <c r="BSR482" s="962"/>
      <c r="BSS482" s="962"/>
      <c r="BST482" s="962"/>
      <c r="BSU482" s="962"/>
      <c r="BSV482" s="962"/>
      <c r="BSW482" s="962"/>
      <c r="BSX482" s="962"/>
      <c r="BSY482" s="962"/>
      <c r="BSZ482" s="962"/>
      <c r="BTA482" s="962"/>
      <c r="BTB482" s="962"/>
      <c r="BTC482" s="962"/>
      <c r="BTD482" s="962"/>
      <c r="BTE482" s="962"/>
      <c r="BTF482" s="962"/>
      <c r="BTG482" s="962"/>
      <c r="BTH482" s="962"/>
      <c r="BTI482" s="962"/>
      <c r="BTJ482" s="962"/>
      <c r="BTK482" s="962"/>
      <c r="BTL482" s="962"/>
      <c r="BTM482" s="962"/>
      <c r="BTN482" s="962"/>
      <c r="BTO482" s="962"/>
      <c r="BTP482" s="962"/>
      <c r="BTQ482" s="962"/>
      <c r="BTR482" s="962"/>
      <c r="BTS482" s="962"/>
      <c r="BTT482" s="962"/>
      <c r="BTU482" s="962"/>
      <c r="BTV482" s="962"/>
      <c r="BTW482" s="962"/>
      <c r="BTX482" s="962"/>
      <c r="BTY482" s="962"/>
      <c r="BTZ482" s="962"/>
      <c r="BUA482" s="962"/>
      <c r="BUB482" s="962"/>
      <c r="BUC482" s="962"/>
      <c r="BUD482" s="962"/>
      <c r="BUE482" s="962"/>
      <c r="BUF482" s="962"/>
      <c r="BUG482" s="962"/>
      <c r="BUH482" s="962"/>
      <c r="BUI482" s="962"/>
      <c r="BUJ482" s="962"/>
      <c r="BUK482" s="962"/>
      <c r="BUL482" s="962"/>
      <c r="BUM482" s="962"/>
      <c r="BUN482" s="962"/>
      <c r="BUO482" s="962"/>
      <c r="BUP482" s="962"/>
      <c r="BUQ482" s="962"/>
      <c r="BUR482" s="962"/>
      <c r="BUS482" s="962"/>
      <c r="BUT482" s="962"/>
      <c r="BUU482" s="962"/>
      <c r="BUV482" s="962"/>
      <c r="BUW482" s="962"/>
      <c r="BUX482" s="962"/>
      <c r="BUY482" s="962"/>
      <c r="BUZ482" s="962"/>
      <c r="BVA482" s="962"/>
      <c r="BVB482" s="962"/>
      <c r="BVC482" s="962"/>
      <c r="BVD482" s="962"/>
      <c r="BVE482" s="962"/>
      <c r="BVF482" s="962"/>
      <c r="BVG482" s="962"/>
      <c r="BVH482" s="962"/>
      <c r="BVI482" s="962"/>
      <c r="BVJ482" s="962"/>
      <c r="BVK482" s="962"/>
      <c r="BVL482" s="962"/>
      <c r="BVM482" s="962"/>
      <c r="BVN482" s="962"/>
      <c r="BVO482" s="962"/>
      <c r="BVP482" s="962"/>
      <c r="BVQ482" s="962"/>
      <c r="BVR482" s="962"/>
      <c r="BVS482" s="962"/>
      <c r="BVT482" s="962"/>
      <c r="BVU482" s="962"/>
      <c r="BVV482" s="962"/>
      <c r="BVW482" s="962"/>
      <c r="BVX482" s="962"/>
      <c r="BVY482" s="962"/>
      <c r="BVZ482" s="962"/>
      <c r="BWA482" s="962"/>
      <c r="BWB482" s="962"/>
      <c r="BWC482" s="962"/>
      <c r="BWD482" s="962"/>
      <c r="BWE482" s="962"/>
      <c r="BWF482" s="962"/>
      <c r="BWG482" s="962"/>
      <c r="BWH482" s="962"/>
      <c r="BWI482" s="962"/>
      <c r="BWJ482" s="962"/>
      <c r="BWK482" s="962"/>
      <c r="BWL482" s="962"/>
      <c r="BWM482" s="962"/>
      <c r="BWN482" s="962"/>
      <c r="BWO482" s="962"/>
      <c r="BWP482" s="962"/>
      <c r="BWQ482" s="962"/>
      <c r="BWR482" s="962"/>
      <c r="BWS482" s="962"/>
      <c r="BWT482" s="962"/>
      <c r="BWU482" s="962"/>
      <c r="BWV482" s="962"/>
      <c r="BWW482" s="962"/>
      <c r="BWX482" s="962"/>
      <c r="BWY482" s="962"/>
      <c r="BWZ482" s="962"/>
      <c r="BXA482" s="962"/>
      <c r="BXB482" s="962"/>
      <c r="BXC482" s="962"/>
      <c r="BXD482" s="962"/>
      <c r="BXE482" s="962"/>
      <c r="BXF482" s="962"/>
      <c r="BXG482" s="962"/>
      <c r="BXH482" s="962"/>
      <c r="BXI482" s="962"/>
      <c r="BXJ482" s="962"/>
      <c r="BXK482" s="962"/>
      <c r="BXL482" s="962"/>
      <c r="BXM482" s="962"/>
      <c r="BXN482" s="962"/>
      <c r="BXO482" s="962"/>
      <c r="BXP482" s="962"/>
      <c r="BXQ482" s="962"/>
      <c r="BXR482" s="962"/>
      <c r="BXS482" s="962"/>
      <c r="BXT482" s="962"/>
      <c r="BXU482" s="962"/>
      <c r="BXV482" s="962"/>
      <c r="BXW482" s="962"/>
      <c r="BXX482" s="962"/>
      <c r="BXY482" s="962"/>
      <c r="BXZ482" s="962"/>
      <c r="BYA482" s="962"/>
      <c r="BYB482" s="962"/>
      <c r="BYC482" s="962"/>
      <c r="BYD482" s="962"/>
      <c r="BYE482" s="962"/>
      <c r="BYF482" s="962"/>
      <c r="BYG482" s="962"/>
      <c r="BYH482" s="962"/>
      <c r="BYI482" s="962"/>
      <c r="BYJ482" s="962"/>
      <c r="BYK482" s="962"/>
      <c r="BYL482" s="962"/>
      <c r="BYM482" s="962"/>
      <c r="BYN482" s="962"/>
      <c r="BYO482" s="962"/>
      <c r="BYP482" s="962"/>
      <c r="BYQ482" s="962"/>
      <c r="BYR482" s="962"/>
      <c r="BYS482" s="962"/>
      <c r="BYT482" s="962"/>
      <c r="BYU482" s="962"/>
      <c r="BYV482" s="962"/>
      <c r="BYW482" s="962"/>
      <c r="BYX482" s="962"/>
      <c r="BYY482" s="962"/>
      <c r="BYZ482" s="962"/>
      <c r="BZA482" s="962"/>
      <c r="BZB482" s="962"/>
      <c r="BZC482" s="962"/>
      <c r="BZD482" s="962"/>
      <c r="BZE482" s="962"/>
      <c r="BZF482" s="962"/>
      <c r="BZG482" s="962"/>
      <c r="BZH482" s="962"/>
      <c r="BZI482" s="962"/>
      <c r="BZJ482" s="962"/>
      <c r="BZK482" s="962"/>
      <c r="BZL482" s="962"/>
      <c r="BZM482" s="962"/>
      <c r="BZN482" s="962"/>
      <c r="BZO482" s="962"/>
      <c r="BZP482" s="962"/>
      <c r="BZQ482" s="962"/>
      <c r="BZR482" s="962"/>
      <c r="BZS482" s="962"/>
      <c r="BZT482" s="962"/>
      <c r="BZU482" s="962"/>
      <c r="BZV482" s="962"/>
      <c r="BZW482" s="962"/>
      <c r="BZX482" s="962"/>
      <c r="BZY482" s="962"/>
      <c r="BZZ482" s="962"/>
      <c r="CAA482" s="962"/>
      <c r="CAB482" s="962"/>
      <c r="CAC482" s="962"/>
      <c r="CAD482" s="962"/>
      <c r="CAE482" s="962"/>
      <c r="CAF482" s="962"/>
      <c r="CAG482" s="962"/>
      <c r="CAH482" s="962"/>
      <c r="CAI482" s="962"/>
      <c r="CAJ482" s="962"/>
      <c r="CAK482" s="962"/>
      <c r="CAL482" s="962"/>
      <c r="CAM482" s="962"/>
      <c r="CAN482" s="962"/>
      <c r="CAO482" s="962"/>
      <c r="CAP482" s="962"/>
      <c r="CAQ482" s="962"/>
      <c r="CAR482" s="962"/>
      <c r="CAS482" s="962"/>
      <c r="CAT482" s="962"/>
      <c r="CAU482" s="962"/>
      <c r="CAV482" s="962"/>
      <c r="CAW482" s="962"/>
      <c r="CAX482" s="962"/>
      <c r="CAY482" s="962"/>
      <c r="CAZ482" s="962"/>
      <c r="CBA482" s="962"/>
      <c r="CBB482" s="962"/>
      <c r="CBC482" s="962"/>
      <c r="CBD482" s="962"/>
      <c r="CBE482" s="962"/>
      <c r="CBF482" s="962"/>
      <c r="CBG482" s="962"/>
      <c r="CBH482" s="962"/>
      <c r="CBI482" s="962"/>
      <c r="CBJ482" s="962"/>
      <c r="CBK482" s="962"/>
      <c r="CBL482" s="962"/>
      <c r="CBM482" s="962"/>
      <c r="CBN482" s="962"/>
      <c r="CBO482" s="962"/>
      <c r="CBP482" s="962"/>
      <c r="CBQ482" s="962"/>
      <c r="CBR482" s="962"/>
      <c r="CBS482" s="962"/>
      <c r="CBT482" s="962"/>
      <c r="CBU482" s="962"/>
      <c r="CBV482" s="962"/>
      <c r="CBW482" s="962"/>
      <c r="CBX482" s="962"/>
      <c r="CBY482" s="962"/>
      <c r="CBZ482" s="962"/>
      <c r="CCA482" s="962"/>
      <c r="CCB482" s="962"/>
      <c r="CCC482" s="962"/>
      <c r="CCD482" s="962"/>
      <c r="CCE482" s="962"/>
      <c r="CCF482" s="962"/>
      <c r="CCG482" s="962"/>
      <c r="CCH482" s="962"/>
      <c r="CCI482" s="962"/>
      <c r="CCJ482" s="962"/>
      <c r="CCK482" s="962"/>
      <c r="CCL482" s="962"/>
      <c r="CCM482" s="962"/>
      <c r="CCN482" s="962"/>
      <c r="CCO482" s="962"/>
      <c r="CCP482" s="962"/>
      <c r="CCQ482" s="962"/>
      <c r="CCR482" s="962"/>
      <c r="CCS482" s="962"/>
      <c r="CCT482" s="962"/>
      <c r="CCU482" s="962"/>
      <c r="CCV482" s="962"/>
      <c r="CCW482" s="962"/>
      <c r="CCX482" s="962"/>
      <c r="CCY482" s="962"/>
      <c r="CCZ482" s="962"/>
      <c r="CDA482" s="962"/>
      <c r="CDB482" s="962"/>
      <c r="CDC482" s="962"/>
      <c r="CDD482" s="962"/>
      <c r="CDE482" s="962"/>
      <c r="CDF482" s="962"/>
      <c r="CDG482" s="962"/>
      <c r="CDH482" s="962"/>
      <c r="CDI482" s="962"/>
      <c r="CDJ482" s="962"/>
      <c r="CDK482" s="962"/>
      <c r="CDL482" s="962"/>
      <c r="CDM482" s="962"/>
      <c r="CDN482" s="962"/>
      <c r="CDO482" s="962"/>
      <c r="CDP482" s="962"/>
      <c r="CDQ482" s="962"/>
      <c r="CDR482" s="962"/>
      <c r="CDS482" s="962"/>
      <c r="CDT482" s="962"/>
      <c r="CDU482" s="962"/>
      <c r="CDV482" s="962"/>
      <c r="CDW482" s="962"/>
      <c r="CDX482" s="962"/>
      <c r="CDY482" s="962"/>
      <c r="CDZ482" s="962"/>
      <c r="CEA482" s="962"/>
      <c r="CEB482" s="962"/>
      <c r="CEC482" s="962"/>
      <c r="CED482" s="962"/>
      <c r="CEE482" s="962"/>
      <c r="CEF482" s="962"/>
      <c r="CEG482" s="962"/>
      <c r="CEH482" s="962"/>
      <c r="CEI482" s="962"/>
      <c r="CEJ482" s="962"/>
      <c r="CEK482" s="962"/>
      <c r="CEL482" s="962"/>
      <c r="CEM482" s="962"/>
      <c r="CEN482" s="962"/>
      <c r="CEO482" s="962"/>
      <c r="CEP482" s="962"/>
      <c r="CEQ482" s="962"/>
      <c r="CER482" s="962"/>
      <c r="CES482" s="962"/>
      <c r="CET482" s="962"/>
      <c r="CEU482" s="962"/>
      <c r="CEV482" s="962"/>
      <c r="CEW482" s="962"/>
      <c r="CEX482" s="962"/>
      <c r="CEY482" s="962"/>
      <c r="CEZ482" s="962"/>
      <c r="CFA482" s="962"/>
      <c r="CFB482" s="962"/>
      <c r="CFC482" s="962"/>
      <c r="CFD482" s="962"/>
      <c r="CFE482" s="962"/>
      <c r="CFF482" s="962"/>
      <c r="CFG482" s="962"/>
      <c r="CFH482" s="962"/>
      <c r="CFI482" s="962"/>
      <c r="CFJ482" s="962"/>
      <c r="CFK482" s="962"/>
      <c r="CFL482" s="962"/>
      <c r="CFM482" s="962"/>
      <c r="CFN482" s="962"/>
      <c r="CFO482" s="962"/>
      <c r="CFP482" s="962"/>
      <c r="CFQ482" s="962"/>
      <c r="CFR482" s="962"/>
      <c r="CFS482" s="962"/>
      <c r="CFT482" s="962"/>
      <c r="CFU482" s="962"/>
      <c r="CFV482" s="962"/>
      <c r="CFW482" s="962"/>
      <c r="CFX482" s="962"/>
      <c r="CFY482" s="962"/>
      <c r="CFZ482" s="962"/>
      <c r="CGA482" s="962"/>
      <c r="CGB482" s="962"/>
      <c r="CGC482" s="962"/>
      <c r="CGD482" s="962"/>
      <c r="CGE482" s="962"/>
      <c r="CGF482" s="962"/>
      <c r="CGG482" s="962"/>
      <c r="CGH482" s="962"/>
      <c r="CGI482" s="962"/>
      <c r="CGJ482" s="962"/>
      <c r="CGK482" s="962"/>
      <c r="CGL482" s="962"/>
      <c r="CGM482" s="962"/>
      <c r="CGN482" s="962"/>
      <c r="CGO482" s="962"/>
      <c r="CGP482" s="962"/>
      <c r="CGQ482" s="962"/>
      <c r="CGR482" s="962"/>
      <c r="CGS482" s="962"/>
      <c r="CGT482" s="962"/>
      <c r="CGU482" s="962"/>
      <c r="CGV482" s="962"/>
      <c r="CGW482" s="962"/>
      <c r="CGX482" s="962"/>
      <c r="CGY482" s="962"/>
      <c r="CGZ482" s="962"/>
      <c r="CHA482" s="962"/>
      <c r="CHB482" s="962"/>
      <c r="CHC482" s="962"/>
      <c r="CHD482" s="962"/>
      <c r="CHE482" s="962"/>
      <c r="CHF482" s="962"/>
      <c r="CHG482" s="962"/>
      <c r="CHH482" s="962"/>
      <c r="CHI482" s="962"/>
      <c r="CHJ482" s="962"/>
      <c r="CHK482" s="962"/>
      <c r="CHL482" s="962"/>
      <c r="CHM482" s="962"/>
      <c r="CHN482" s="962"/>
      <c r="CHO482" s="962"/>
      <c r="CHP482" s="962"/>
      <c r="CHQ482" s="962"/>
      <c r="CHR482" s="962"/>
      <c r="CHS482" s="962"/>
      <c r="CHT482" s="962"/>
      <c r="CHU482" s="962"/>
      <c r="CHV482" s="962"/>
      <c r="CHW482" s="962"/>
      <c r="CHX482" s="962"/>
      <c r="CHY482" s="962"/>
      <c r="CHZ482" s="962"/>
      <c r="CIA482" s="962"/>
      <c r="CIB482" s="962"/>
      <c r="CIC482" s="962"/>
      <c r="CID482" s="962"/>
      <c r="CIE482" s="962"/>
      <c r="CIF482" s="962"/>
      <c r="CIG482" s="962"/>
      <c r="CIH482" s="962"/>
      <c r="CII482" s="962"/>
      <c r="CIJ482" s="962"/>
      <c r="CIK482" s="962"/>
      <c r="CIL482" s="962"/>
      <c r="CIM482" s="962"/>
      <c r="CIN482" s="962"/>
      <c r="CIO482" s="962"/>
      <c r="CIP482" s="962"/>
      <c r="CIQ482" s="962"/>
      <c r="CIR482" s="962"/>
      <c r="CIS482" s="962"/>
      <c r="CIT482" s="962"/>
      <c r="CIU482" s="962"/>
      <c r="CIV482" s="962"/>
      <c r="CIW482" s="962"/>
      <c r="CIX482" s="962"/>
      <c r="CIY482" s="962"/>
      <c r="CIZ482" s="962"/>
      <c r="CJA482" s="962"/>
      <c r="CJB482" s="962"/>
      <c r="CJC482" s="962"/>
      <c r="CJD482" s="962"/>
      <c r="CJE482" s="962"/>
      <c r="CJF482" s="962"/>
      <c r="CJG482" s="962"/>
      <c r="CJH482" s="962"/>
      <c r="CJI482" s="962"/>
      <c r="CJJ482" s="962"/>
      <c r="CJK482" s="962"/>
      <c r="CJL482" s="962"/>
      <c r="CJM482" s="962"/>
      <c r="CJN482" s="962"/>
      <c r="CJO482" s="962"/>
      <c r="CJP482" s="962"/>
      <c r="CJQ482" s="962"/>
      <c r="CJR482" s="962"/>
      <c r="CJS482" s="962"/>
      <c r="CJT482" s="962"/>
      <c r="CJU482" s="962"/>
      <c r="CJV482" s="962"/>
      <c r="CJW482" s="962"/>
      <c r="CJX482" s="962"/>
      <c r="CJY482" s="962"/>
      <c r="CJZ482" s="962"/>
      <c r="CKA482" s="962"/>
      <c r="CKB482" s="962"/>
      <c r="CKC482" s="962"/>
      <c r="CKD482" s="962"/>
      <c r="CKE482" s="962"/>
      <c r="CKF482" s="962"/>
      <c r="CKG482" s="962"/>
      <c r="CKH482" s="962"/>
      <c r="CKI482" s="962"/>
      <c r="CKJ482" s="962"/>
      <c r="CKK482" s="962"/>
      <c r="CKL482" s="962"/>
      <c r="CKM482" s="962"/>
      <c r="CKN482" s="962"/>
      <c r="CKO482" s="962"/>
      <c r="CKP482" s="962"/>
      <c r="CKQ482" s="962"/>
      <c r="CKR482" s="962"/>
      <c r="CKS482" s="962"/>
      <c r="CKT482" s="962"/>
      <c r="CKU482" s="962"/>
      <c r="CKV482" s="962"/>
      <c r="CKW482" s="962"/>
      <c r="CKX482" s="962"/>
      <c r="CKY482" s="962"/>
      <c r="CKZ482" s="962"/>
      <c r="CLA482" s="962"/>
      <c r="CLB482" s="962"/>
      <c r="CLC482" s="962"/>
      <c r="CLD482" s="962"/>
      <c r="CLE482" s="962"/>
      <c r="CLF482" s="962"/>
      <c r="CLG482" s="962"/>
      <c r="CLH482" s="962"/>
      <c r="CLI482" s="962"/>
      <c r="CLJ482" s="962"/>
      <c r="CLK482" s="962"/>
      <c r="CLL482" s="962"/>
      <c r="CLM482" s="962"/>
      <c r="CLN482" s="962"/>
      <c r="CLO482" s="962"/>
      <c r="CLP482" s="962"/>
      <c r="CLQ482" s="962"/>
      <c r="CLR482" s="962"/>
      <c r="CLS482" s="962"/>
      <c r="CLT482" s="962"/>
      <c r="CLU482" s="962"/>
      <c r="CLV482" s="962"/>
      <c r="CLW482" s="962"/>
      <c r="CLX482" s="962"/>
      <c r="CLY482" s="962"/>
      <c r="CLZ482" s="962"/>
      <c r="CMA482" s="962"/>
      <c r="CMB482" s="962"/>
      <c r="CMC482" s="962"/>
      <c r="CMD482" s="962"/>
      <c r="CME482" s="962"/>
      <c r="CMF482" s="962"/>
      <c r="CMG482" s="962"/>
      <c r="CMH482" s="962"/>
      <c r="CMI482" s="962"/>
      <c r="CMJ482" s="962"/>
      <c r="CMK482" s="962"/>
      <c r="CML482" s="962"/>
      <c r="CMM482" s="962"/>
      <c r="CMN482" s="962"/>
      <c r="CMO482" s="962"/>
      <c r="CMP482" s="962"/>
      <c r="CMQ482" s="962"/>
      <c r="CMR482" s="962"/>
      <c r="CMS482" s="962"/>
      <c r="CMT482" s="962"/>
      <c r="CMU482" s="962"/>
      <c r="CMV482" s="962"/>
      <c r="CMW482" s="962"/>
      <c r="CMX482" s="962"/>
      <c r="CMY482" s="962"/>
      <c r="CMZ482" s="962"/>
      <c r="CNA482" s="962"/>
      <c r="CNB482" s="962"/>
      <c r="CNC482" s="962"/>
      <c r="CND482" s="962"/>
      <c r="CNE482" s="962"/>
      <c r="CNF482" s="962"/>
      <c r="CNG482" s="962"/>
      <c r="CNH482" s="962"/>
      <c r="CNI482" s="962"/>
      <c r="CNJ482" s="962"/>
      <c r="CNK482" s="962"/>
      <c r="CNL482" s="962"/>
      <c r="CNM482" s="962"/>
      <c r="CNN482" s="962"/>
      <c r="CNO482" s="962"/>
      <c r="CNP482" s="962"/>
      <c r="CNQ482" s="962"/>
      <c r="CNR482" s="962"/>
      <c r="CNS482" s="962"/>
      <c r="CNT482" s="962"/>
      <c r="CNU482" s="962"/>
      <c r="CNV482" s="962"/>
      <c r="CNW482" s="962"/>
      <c r="CNX482" s="962"/>
      <c r="CNY482" s="962"/>
      <c r="CNZ482" s="962"/>
      <c r="COA482" s="962"/>
      <c r="COB482" s="962"/>
      <c r="COC482" s="962"/>
      <c r="COD482" s="962"/>
      <c r="COE482" s="962"/>
      <c r="COF482" s="962"/>
      <c r="COG482" s="962"/>
      <c r="COH482" s="962"/>
      <c r="COI482" s="962"/>
      <c r="COJ482" s="962"/>
      <c r="COK482" s="962"/>
      <c r="COL482" s="962"/>
      <c r="COM482" s="962"/>
      <c r="CON482" s="962"/>
      <c r="COO482" s="962"/>
      <c r="COP482" s="962"/>
      <c r="COQ482" s="962"/>
      <c r="COR482" s="962"/>
      <c r="COS482" s="962"/>
      <c r="COT482" s="962"/>
      <c r="COU482" s="962"/>
      <c r="COV482" s="962"/>
      <c r="COW482" s="962"/>
      <c r="COX482" s="962"/>
      <c r="COY482" s="962"/>
      <c r="COZ482" s="962"/>
      <c r="CPA482" s="962"/>
      <c r="CPB482" s="962"/>
      <c r="CPC482" s="962"/>
      <c r="CPD482" s="962"/>
      <c r="CPE482" s="962"/>
      <c r="CPF482" s="962"/>
      <c r="CPG482" s="962"/>
      <c r="CPH482" s="962"/>
      <c r="CPI482" s="962"/>
      <c r="CPJ482" s="962"/>
      <c r="CPK482" s="962"/>
      <c r="CPL482" s="962"/>
      <c r="CPM482" s="962"/>
      <c r="CPN482" s="962"/>
      <c r="CPO482" s="962"/>
      <c r="CPP482" s="962"/>
      <c r="CPQ482" s="962"/>
      <c r="CPR482" s="962"/>
      <c r="CPS482" s="962"/>
      <c r="CPT482" s="962"/>
      <c r="CPU482" s="962"/>
      <c r="CPV482" s="962"/>
      <c r="CPW482" s="962"/>
      <c r="CPX482" s="962"/>
      <c r="CPY482" s="962"/>
      <c r="CPZ482" s="962"/>
      <c r="CQA482" s="962"/>
      <c r="CQB482" s="962"/>
      <c r="CQC482" s="962"/>
      <c r="CQD482" s="962"/>
      <c r="CQE482" s="962"/>
      <c r="CQF482" s="962"/>
      <c r="CQG482" s="962"/>
      <c r="CQH482" s="962"/>
      <c r="CQI482" s="962"/>
      <c r="CQJ482" s="962"/>
      <c r="CQK482" s="962"/>
      <c r="CQL482" s="962"/>
      <c r="CQM482" s="962"/>
      <c r="CQN482" s="962"/>
      <c r="CQO482" s="962"/>
      <c r="CQP482" s="962"/>
      <c r="CQQ482" s="962"/>
      <c r="CQR482" s="962"/>
      <c r="CQS482" s="962"/>
      <c r="CQT482" s="962"/>
      <c r="CQU482" s="962"/>
      <c r="CQV482" s="962"/>
      <c r="CQW482" s="962"/>
      <c r="CQX482" s="962"/>
      <c r="CQY482" s="962"/>
      <c r="CQZ482" s="962"/>
      <c r="CRA482" s="962"/>
      <c r="CRB482" s="962"/>
      <c r="CRC482" s="962"/>
      <c r="CRD482" s="962"/>
      <c r="CRE482" s="962"/>
      <c r="CRF482" s="962"/>
      <c r="CRG482" s="962"/>
      <c r="CRH482" s="962"/>
      <c r="CRI482" s="962"/>
      <c r="CRJ482" s="962"/>
      <c r="CRK482" s="962"/>
      <c r="CRL482" s="962"/>
      <c r="CRM482" s="962"/>
      <c r="CRN482" s="962"/>
      <c r="CRO482" s="962"/>
      <c r="CRP482" s="962"/>
      <c r="CRQ482" s="962"/>
      <c r="CRR482" s="962"/>
      <c r="CRS482" s="962"/>
      <c r="CRT482" s="962"/>
      <c r="CRU482" s="962"/>
      <c r="CRV482" s="962"/>
      <c r="CRW482" s="962"/>
      <c r="CRX482" s="962"/>
      <c r="CRY482" s="962"/>
      <c r="CRZ482" s="962"/>
      <c r="CSA482" s="962"/>
      <c r="CSB482" s="962"/>
      <c r="CSC482" s="962"/>
      <c r="CSD482" s="962"/>
      <c r="CSE482" s="962"/>
      <c r="CSF482" s="962"/>
      <c r="CSG482" s="962"/>
      <c r="CSH482" s="962"/>
      <c r="CSI482" s="962"/>
      <c r="CSJ482" s="962"/>
      <c r="CSK482" s="962"/>
      <c r="CSL482" s="962"/>
      <c r="CSM482" s="962"/>
      <c r="CSN482" s="962"/>
      <c r="CSO482" s="962"/>
      <c r="CSP482" s="962"/>
      <c r="CSQ482" s="962"/>
      <c r="CSR482" s="962"/>
      <c r="CSS482" s="962"/>
      <c r="CST482" s="962"/>
      <c r="CSU482" s="962"/>
      <c r="CSV482" s="962"/>
      <c r="CSW482" s="962"/>
      <c r="CSX482" s="962"/>
      <c r="CSY482" s="962"/>
      <c r="CSZ482" s="962"/>
      <c r="CTA482" s="962"/>
      <c r="CTB482" s="962"/>
      <c r="CTC482" s="962"/>
      <c r="CTD482" s="962"/>
      <c r="CTE482" s="962"/>
      <c r="CTF482" s="962"/>
      <c r="CTG482" s="962"/>
      <c r="CTH482" s="962"/>
      <c r="CTI482" s="962"/>
      <c r="CTJ482" s="962"/>
      <c r="CTK482" s="962"/>
      <c r="CTL482" s="962"/>
      <c r="CTM482" s="962"/>
      <c r="CTN482" s="962"/>
      <c r="CTO482" s="962"/>
      <c r="CTP482" s="962"/>
      <c r="CTQ482" s="962"/>
      <c r="CTR482" s="962"/>
      <c r="CTS482" s="962"/>
      <c r="CTT482" s="962"/>
      <c r="CTU482" s="962"/>
      <c r="CTV482" s="962"/>
      <c r="CTW482" s="962"/>
      <c r="CTX482" s="962"/>
      <c r="CTY482" s="962"/>
      <c r="CTZ482" s="962"/>
      <c r="CUA482" s="962"/>
      <c r="CUB482" s="962"/>
      <c r="CUC482" s="962"/>
      <c r="CUD482" s="962"/>
      <c r="CUE482" s="962"/>
      <c r="CUF482" s="962"/>
      <c r="CUG482" s="962"/>
      <c r="CUH482" s="962"/>
      <c r="CUI482" s="962"/>
      <c r="CUJ482" s="962"/>
      <c r="CUK482" s="962"/>
      <c r="CUL482" s="962"/>
      <c r="CUM482" s="962"/>
      <c r="CUN482" s="962"/>
      <c r="CUO482" s="962"/>
      <c r="CUP482" s="962"/>
      <c r="CUQ482" s="962"/>
      <c r="CUR482" s="962"/>
      <c r="CUS482" s="962"/>
      <c r="CUT482" s="962"/>
      <c r="CUU482" s="962"/>
      <c r="CUV482" s="962"/>
      <c r="CUW482" s="962"/>
      <c r="CUX482" s="962"/>
      <c r="CUY482" s="962"/>
      <c r="CUZ482" s="962"/>
      <c r="CVA482" s="962"/>
      <c r="CVB482" s="962"/>
      <c r="CVC482" s="962"/>
      <c r="CVD482" s="962"/>
      <c r="CVE482" s="962"/>
      <c r="CVF482" s="962"/>
      <c r="CVG482" s="962"/>
      <c r="CVH482" s="962"/>
      <c r="CVI482" s="962"/>
      <c r="CVJ482" s="962"/>
      <c r="CVK482" s="962"/>
      <c r="CVL482" s="962"/>
      <c r="CVM482" s="962"/>
      <c r="CVN482" s="962"/>
      <c r="CVO482" s="962"/>
      <c r="CVP482" s="962"/>
      <c r="CVQ482" s="962"/>
      <c r="CVR482" s="962"/>
      <c r="CVS482" s="962"/>
      <c r="CVT482" s="962"/>
      <c r="CVU482" s="962"/>
      <c r="CVV482" s="962"/>
      <c r="CVW482" s="962"/>
      <c r="CVX482" s="962"/>
      <c r="CVY482" s="962"/>
      <c r="CVZ482" s="962"/>
      <c r="CWA482" s="962"/>
      <c r="CWB482" s="962"/>
      <c r="CWC482" s="962"/>
      <c r="CWD482" s="962"/>
      <c r="CWE482" s="962"/>
      <c r="CWF482" s="962"/>
      <c r="CWG482" s="962"/>
      <c r="CWH482" s="962"/>
      <c r="CWI482" s="962"/>
      <c r="CWJ482" s="962"/>
      <c r="CWK482" s="962"/>
      <c r="CWL482" s="962"/>
      <c r="CWM482" s="962"/>
      <c r="CWN482" s="962"/>
      <c r="CWO482" s="962"/>
      <c r="CWP482" s="962"/>
      <c r="CWQ482" s="962"/>
      <c r="CWR482" s="962"/>
      <c r="CWS482" s="962"/>
      <c r="CWT482" s="962"/>
      <c r="CWU482" s="962"/>
      <c r="CWV482" s="962"/>
      <c r="CWW482" s="962"/>
      <c r="CWX482" s="962"/>
      <c r="CWY482" s="962"/>
      <c r="CWZ482" s="962"/>
      <c r="CXA482" s="962"/>
      <c r="CXB482" s="962"/>
      <c r="CXC482" s="962"/>
      <c r="CXD482" s="962"/>
      <c r="CXE482" s="962"/>
      <c r="CXF482" s="962"/>
      <c r="CXG482" s="962"/>
      <c r="CXH482" s="962"/>
      <c r="CXI482" s="962"/>
      <c r="CXJ482" s="962"/>
      <c r="CXK482" s="962"/>
      <c r="CXL482" s="962"/>
      <c r="CXM482" s="962"/>
      <c r="CXN482" s="962"/>
      <c r="CXO482" s="962"/>
      <c r="CXP482" s="962"/>
      <c r="CXQ482" s="962"/>
      <c r="CXR482" s="962"/>
      <c r="CXS482" s="962"/>
      <c r="CXT482" s="962"/>
      <c r="CXU482" s="962"/>
      <c r="CXV482" s="962"/>
      <c r="CXW482" s="962"/>
      <c r="CXX482" s="962"/>
      <c r="CXY482" s="962"/>
      <c r="CXZ482" s="962"/>
      <c r="CYA482" s="962"/>
      <c r="CYB482" s="962"/>
      <c r="CYC482" s="962"/>
      <c r="CYD482" s="962"/>
      <c r="CYE482" s="962"/>
      <c r="CYF482" s="962"/>
      <c r="CYG482" s="962"/>
      <c r="CYH482" s="962"/>
      <c r="CYI482" s="962"/>
      <c r="CYJ482" s="962"/>
      <c r="CYK482" s="962"/>
      <c r="CYL482" s="962"/>
      <c r="CYM482" s="962"/>
      <c r="CYN482" s="962"/>
      <c r="CYO482" s="962"/>
      <c r="CYP482" s="962"/>
      <c r="CYQ482" s="962"/>
      <c r="CYR482" s="962"/>
      <c r="CYS482" s="962"/>
      <c r="CYT482" s="962"/>
      <c r="CYU482" s="962"/>
      <c r="CYV482" s="962"/>
      <c r="CYW482" s="962"/>
      <c r="CYX482" s="962"/>
      <c r="CYY482" s="962"/>
      <c r="CYZ482" s="962"/>
      <c r="CZA482" s="962"/>
      <c r="CZB482" s="962"/>
      <c r="CZC482" s="962"/>
      <c r="CZD482" s="962"/>
      <c r="CZE482" s="962"/>
      <c r="CZF482" s="962"/>
      <c r="CZG482" s="962"/>
      <c r="CZH482" s="962"/>
      <c r="CZI482" s="962"/>
      <c r="CZJ482" s="962"/>
      <c r="CZK482" s="962"/>
      <c r="CZL482" s="962"/>
      <c r="CZM482" s="962"/>
      <c r="CZN482" s="962"/>
      <c r="CZO482" s="962"/>
      <c r="CZP482" s="962"/>
      <c r="CZQ482" s="962"/>
      <c r="CZR482" s="962"/>
      <c r="CZS482" s="962"/>
      <c r="CZT482" s="962"/>
      <c r="CZU482" s="962"/>
      <c r="CZV482" s="962"/>
      <c r="CZW482" s="962"/>
      <c r="CZX482" s="962"/>
      <c r="CZY482" s="962"/>
      <c r="CZZ482" s="962"/>
      <c r="DAA482" s="962"/>
      <c r="DAB482" s="962"/>
      <c r="DAC482" s="962"/>
      <c r="DAD482" s="962"/>
      <c r="DAE482" s="962"/>
      <c r="DAF482" s="962"/>
      <c r="DAG482" s="962"/>
      <c r="DAH482" s="962"/>
      <c r="DAI482" s="962"/>
      <c r="DAJ482" s="962"/>
      <c r="DAK482" s="962"/>
      <c r="DAL482" s="962"/>
      <c r="DAM482" s="962"/>
      <c r="DAN482" s="962"/>
      <c r="DAO482" s="962"/>
      <c r="DAP482" s="962"/>
      <c r="DAQ482" s="962"/>
      <c r="DAR482" s="962"/>
      <c r="DAS482" s="962"/>
      <c r="DAT482" s="962"/>
      <c r="DAU482" s="962"/>
      <c r="DAV482" s="962"/>
      <c r="DAW482" s="962"/>
      <c r="DAX482" s="962"/>
      <c r="DAY482" s="962"/>
      <c r="DAZ482" s="962"/>
      <c r="DBA482" s="962"/>
      <c r="DBB482" s="962"/>
      <c r="DBC482" s="962"/>
      <c r="DBD482" s="962"/>
      <c r="DBE482" s="962"/>
      <c r="DBF482" s="962"/>
      <c r="DBG482" s="962"/>
      <c r="DBH482" s="962"/>
      <c r="DBI482" s="962"/>
      <c r="DBJ482" s="962"/>
      <c r="DBK482" s="962"/>
      <c r="DBL482" s="962"/>
      <c r="DBM482" s="962"/>
      <c r="DBN482" s="962"/>
      <c r="DBO482" s="962"/>
      <c r="DBP482" s="962"/>
      <c r="DBQ482" s="962"/>
      <c r="DBR482" s="962"/>
      <c r="DBS482" s="962"/>
      <c r="DBT482" s="962"/>
      <c r="DBU482" s="962"/>
      <c r="DBV482" s="962"/>
      <c r="DBW482" s="962"/>
      <c r="DBX482" s="962"/>
      <c r="DBY482" s="962"/>
      <c r="DBZ482" s="962"/>
      <c r="DCA482" s="962"/>
      <c r="DCB482" s="962"/>
      <c r="DCC482" s="962"/>
      <c r="DCD482" s="962"/>
      <c r="DCE482" s="962"/>
      <c r="DCF482" s="962"/>
      <c r="DCG482" s="962"/>
      <c r="DCH482" s="962"/>
      <c r="DCI482" s="962"/>
      <c r="DCJ482" s="962"/>
      <c r="DCK482" s="962"/>
      <c r="DCL482" s="962"/>
      <c r="DCM482" s="962"/>
      <c r="DCN482" s="962"/>
      <c r="DCO482" s="962"/>
      <c r="DCP482" s="962"/>
      <c r="DCQ482" s="962"/>
      <c r="DCR482" s="962"/>
      <c r="DCS482" s="962"/>
      <c r="DCT482" s="962"/>
      <c r="DCU482" s="962"/>
      <c r="DCV482" s="962"/>
      <c r="DCW482" s="962"/>
      <c r="DCX482" s="962"/>
      <c r="DCY482" s="962"/>
      <c r="DCZ482" s="962"/>
      <c r="DDA482" s="962"/>
      <c r="DDB482" s="962"/>
      <c r="DDC482" s="962"/>
      <c r="DDD482" s="962"/>
      <c r="DDE482" s="962"/>
      <c r="DDF482" s="962"/>
      <c r="DDG482" s="962"/>
      <c r="DDH482" s="962"/>
      <c r="DDI482" s="962"/>
      <c r="DDJ482" s="962"/>
      <c r="DDK482" s="962"/>
      <c r="DDL482" s="962"/>
      <c r="DDM482" s="962"/>
      <c r="DDN482" s="962"/>
      <c r="DDO482" s="962"/>
      <c r="DDP482" s="962"/>
      <c r="DDQ482" s="962"/>
      <c r="DDR482" s="962"/>
      <c r="DDS482" s="962"/>
      <c r="DDT482" s="962"/>
      <c r="DDU482" s="962"/>
      <c r="DDV482" s="962"/>
      <c r="DDW482" s="962"/>
      <c r="DDX482" s="962"/>
      <c r="DDY482" s="962"/>
      <c r="DDZ482" s="962"/>
      <c r="DEA482" s="962"/>
      <c r="DEB482" s="962"/>
      <c r="DEC482" s="962"/>
      <c r="DED482" s="962"/>
      <c r="DEE482" s="962"/>
      <c r="DEF482" s="962"/>
      <c r="DEG482" s="962"/>
      <c r="DEH482" s="962"/>
      <c r="DEI482" s="962"/>
      <c r="DEJ482" s="962"/>
      <c r="DEK482" s="962"/>
      <c r="DEL482" s="962"/>
      <c r="DEM482" s="962"/>
      <c r="DEN482" s="962"/>
      <c r="DEO482" s="962"/>
      <c r="DEP482" s="962"/>
      <c r="DEQ482" s="962"/>
      <c r="DER482" s="962"/>
      <c r="DES482" s="962"/>
      <c r="DET482" s="962"/>
      <c r="DEU482" s="962"/>
      <c r="DEV482" s="962"/>
      <c r="DEW482" s="962"/>
      <c r="DEX482" s="962"/>
      <c r="DEY482" s="962"/>
      <c r="DEZ482" s="962"/>
      <c r="DFA482" s="962"/>
      <c r="DFB482" s="962"/>
      <c r="DFC482" s="962"/>
      <c r="DFD482" s="962"/>
      <c r="DFE482" s="962"/>
      <c r="DFF482" s="962"/>
      <c r="DFG482" s="962"/>
      <c r="DFH482" s="962"/>
      <c r="DFI482" s="962"/>
      <c r="DFJ482" s="962"/>
      <c r="DFK482" s="962"/>
      <c r="DFL482" s="962"/>
      <c r="DFM482" s="962"/>
      <c r="DFN482" s="962"/>
      <c r="DFO482" s="962"/>
      <c r="DFP482" s="962"/>
      <c r="DFQ482" s="962"/>
      <c r="DFR482" s="962"/>
      <c r="DFS482" s="962"/>
      <c r="DFT482" s="962"/>
      <c r="DFU482" s="962"/>
      <c r="DFV482" s="962"/>
      <c r="DFW482" s="962"/>
      <c r="DFX482" s="962"/>
      <c r="DFY482" s="962"/>
      <c r="DFZ482" s="962"/>
      <c r="DGA482" s="962"/>
      <c r="DGB482" s="962"/>
      <c r="DGC482" s="962"/>
      <c r="DGD482" s="962"/>
      <c r="DGE482" s="962"/>
      <c r="DGF482" s="962"/>
      <c r="DGG482" s="962"/>
      <c r="DGH482" s="962"/>
      <c r="DGI482" s="962"/>
      <c r="DGJ482" s="962"/>
      <c r="DGK482" s="962"/>
      <c r="DGL482" s="962"/>
      <c r="DGM482" s="962"/>
      <c r="DGN482" s="962"/>
      <c r="DGO482" s="962"/>
      <c r="DGP482" s="962"/>
      <c r="DGQ482" s="962"/>
      <c r="DGR482" s="962"/>
      <c r="DGS482" s="962"/>
      <c r="DGT482" s="962"/>
      <c r="DGU482" s="962"/>
      <c r="DGV482" s="962"/>
      <c r="DGW482" s="962"/>
      <c r="DGX482" s="962"/>
      <c r="DGY482" s="962"/>
      <c r="DGZ482" s="962"/>
      <c r="DHA482" s="962"/>
      <c r="DHB482" s="962"/>
      <c r="DHC482" s="962"/>
      <c r="DHD482" s="962"/>
      <c r="DHE482" s="962"/>
      <c r="DHF482" s="962"/>
      <c r="DHG482" s="962"/>
      <c r="DHH482" s="962"/>
      <c r="DHI482" s="962"/>
      <c r="DHJ482" s="962"/>
      <c r="DHK482" s="962"/>
      <c r="DHL482" s="962"/>
      <c r="DHM482" s="962"/>
      <c r="DHN482" s="962"/>
      <c r="DHO482" s="962"/>
      <c r="DHP482" s="962"/>
      <c r="DHQ482" s="962"/>
      <c r="DHR482" s="962"/>
      <c r="DHS482" s="962"/>
      <c r="DHT482" s="962"/>
      <c r="DHU482" s="962"/>
      <c r="DHV482" s="962"/>
      <c r="DHW482" s="962"/>
      <c r="DHX482" s="962"/>
      <c r="DHY482" s="962"/>
      <c r="DHZ482" s="962"/>
      <c r="DIA482" s="962"/>
      <c r="DIB482" s="962"/>
      <c r="DIC482" s="962"/>
      <c r="DID482" s="962"/>
      <c r="DIE482" s="962"/>
      <c r="DIF482" s="962"/>
      <c r="DIG482" s="962"/>
      <c r="DIH482" s="962"/>
      <c r="DII482" s="962"/>
      <c r="DIJ482" s="962"/>
      <c r="DIK482" s="962"/>
      <c r="DIL482" s="962"/>
      <c r="DIM482" s="962"/>
      <c r="DIN482" s="962"/>
      <c r="DIO482" s="962"/>
      <c r="DIP482" s="962"/>
      <c r="DIQ482" s="962"/>
      <c r="DIR482" s="962"/>
      <c r="DIS482" s="962"/>
      <c r="DIT482" s="962"/>
      <c r="DIU482" s="962"/>
      <c r="DIV482" s="962"/>
      <c r="DIW482" s="962"/>
      <c r="DIX482" s="962"/>
      <c r="DIY482" s="962"/>
      <c r="DIZ482" s="962"/>
      <c r="DJA482" s="962"/>
      <c r="DJB482" s="962"/>
      <c r="DJC482" s="962"/>
      <c r="DJD482" s="962"/>
      <c r="DJE482" s="962"/>
      <c r="DJF482" s="962"/>
      <c r="DJG482" s="962"/>
      <c r="DJH482" s="962"/>
      <c r="DJI482" s="962"/>
      <c r="DJJ482" s="962"/>
      <c r="DJK482" s="962"/>
      <c r="DJL482" s="962"/>
      <c r="DJM482" s="962"/>
      <c r="DJN482" s="962"/>
      <c r="DJO482" s="962"/>
      <c r="DJP482" s="962"/>
      <c r="DJQ482" s="962"/>
      <c r="DJR482" s="962"/>
      <c r="DJS482" s="962"/>
      <c r="DJT482" s="962"/>
      <c r="DJU482" s="962"/>
      <c r="DJV482" s="962"/>
      <c r="DJW482" s="962"/>
      <c r="DJX482" s="962"/>
      <c r="DJY482" s="962"/>
      <c r="DJZ482" s="962"/>
      <c r="DKA482" s="962"/>
      <c r="DKB482" s="962"/>
      <c r="DKC482" s="962"/>
      <c r="DKD482" s="962"/>
      <c r="DKE482" s="962"/>
      <c r="DKF482" s="962"/>
      <c r="DKG482" s="962"/>
      <c r="DKH482" s="962"/>
      <c r="DKI482" s="962"/>
      <c r="DKJ482" s="962"/>
      <c r="DKK482" s="962"/>
      <c r="DKL482" s="962"/>
      <c r="DKM482" s="962"/>
      <c r="DKN482" s="962"/>
      <c r="DKO482" s="962"/>
      <c r="DKP482" s="962"/>
      <c r="DKQ482" s="962"/>
      <c r="DKR482" s="962"/>
      <c r="DKS482" s="962"/>
      <c r="DKT482" s="962"/>
      <c r="DKU482" s="962"/>
      <c r="DKV482" s="962"/>
      <c r="DKW482" s="962"/>
      <c r="DKX482" s="962"/>
      <c r="DKY482" s="962"/>
      <c r="DKZ482" s="962"/>
      <c r="DLA482" s="962"/>
      <c r="DLB482" s="962"/>
      <c r="DLC482" s="962"/>
      <c r="DLD482" s="962"/>
      <c r="DLE482" s="962"/>
      <c r="DLF482" s="962"/>
      <c r="DLG482" s="962"/>
      <c r="DLH482" s="962"/>
      <c r="DLI482" s="962"/>
      <c r="DLJ482" s="962"/>
      <c r="DLK482" s="962"/>
      <c r="DLL482" s="962"/>
      <c r="DLM482" s="962"/>
      <c r="DLN482" s="962"/>
      <c r="DLO482" s="962"/>
      <c r="DLP482" s="962"/>
      <c r="DLQ482" s="962"/>
      <c r="DLR482" s="962"/>
      <c r="DLS482" s="962"/>
      <c r="DLT482" s="962"/>
      <c r="DLU482" s="962"/>
      <c r="DLV482" s="962"/>
      <c r="DLW482" s="962"/>
      <c r="DLX482" s="962"/>
      <c r="DLY482" s="962"/>
      <c r="DLZ482" s="962"/>
      <c r="DMA482" s="962"/>
      <c r="DMB482" s="962"/>
      <c r="DMC482" s="962"/>
      <c r="DMD482" s="962"/>
      <c r="DME482" s="962"/>
      <c r="DMF482" s="962"/>
      <c r="DMG482" s="962"/>
      <c r="DMH482" s="962"/>
      <c r="DMI482" s="962"/>
      <c r="DMJ482" s="962"/>
      <c r="DMK482" s="962"/>
      <c r="DML482" s="962"/>
      <c r="DMM482" s="962"/>
      <c r="DMN482" s="962"/>
      <c r="DMO482" s="962"/>
      <c r="DMP482" s="962"/>
      <c r="DMQ482" s="962"/>
      <c r="DMR482" s="962"/>
      <c r="DMS482" s="962"/>
      <c r="DMT482" s="962"/>
      <c r="DMU482" s="962"/>
      <c r="DMV482" s="962"/>
      <c r="DMW482" s="962"/>
      <c r="DMX482" s="962"/>
      <c r="DMY482" s="962"/>
      <c r="DMZ482" s="962"/>
      <c r="DNA482" s="962"/>
      <c r="DNB482" s="962"/>
      <c r="DNC482" s="962"/>
      <c r="DND482" s="962"/>
      <c r="DNE482" s="962"/>
      <c r="DNF482" s="962"/>
      <c r="DNG482" s="962"/>
      <c r="DNH482" s="962"/>
      <c r="DNI482" s="962"/>
      <c r="DNJ482" s="962"/>
      <c r="DNK482" s="962"/>
      <c r="DNL482" s="962"/>
      <c r="DNM482" s="962"/>
      <c r="DNN482" s="962"/>
      <c r="DNO482" s="962"/>
      <c r="DNP482" s="962"/>
      <c r="DNQ482" s="962"/>
      <c r="DNR482" s="962"/>
      <c r="DNS482" s="962"/>
      <c r="DNT482" s="962"/>
      <c r="DNU482" s="962"/>
      <c r="DNV482" s="962"/>
      <c r="DNW482" s="962"/>
      <c r="DNX482" s="962"/>
      <c r="DNY482" s="962"/>
      <c r="DNZ482" s="962"/>
      <c r="DOA482" s="962"/>
      <c r="DOB482" s="962"/>
      <c r="DOC482" s="962"/>
      <c r="DOD482" s="962"/>
      <c r="DOE482" s="962"/>
      <c r="DOF482" s="962"/>
      <c r="DOG482" s="962"/>
      <c r="DOH482" s="962"/>
      <c r="DOI482" s="962"/>
      <c r="DOJ482" s="962"/>
      <c r="DOK482" s="962"/>
      <c r="DOL482" s="962"/>
      <c r="DOM482" s="962"/>
      <c r="DON482" s="962"/>
      <c r="DOO482" s="962"/>
      <c r="DOP482" s="962"/>
      <c r="DOQ482" s="962"/>
      <c r="DOR482" s="962"/>
      <c r="DOS482" s="962"/>
      <c r="DOT482" s="962"/>
      <c r="DOU482" s="962"/>
      <c r="DOV482" s="962"/>
      <c r="DOW482" s="962"/>
      <c r="DOX482" s="962"/>
      <c r="DOY482" s="962"/>
      <c r="DOZ482" s="962"/>
      <c r="DPA482" s="962"/>
      <c r="DPB482" s="962"/>
      <c r="DPC482" s="962"/>
      <c r="DPD482" s="962"/>
      <c r="DPE482" s="962"/>
      <c r="DPF482" s="962"/>
      <c r="DPG482" s="962"/>
      <c r="DPH482" s="962"/>
      <c r="DPI482" s="962"/>
      <c r="DPJ482" s="962"/>
      <c r="DPK482" s="962"/>
      <c r="DPL482" s="962"/>
      <c r="DPM482" s="962"/>
      <c r="DPN482" s="962"/>
      <c r="DPO482" s="962"/>
      <c r="DPP482" s="962"/>
      <c r="DPQ482" s="962"/>
      <c r="DPR482" s="962"/>
      <c r="DPS482" s="962"/>
      <c r="DPT482" s="962"/>
      <c r="DPU482" s="962"/>
      <c r="DPV482" s="962"/>
      <c r="DPW482" s="962"/>
      <c r="DPX482" s="962"/>
      <c r="DPY482" s="962"/>
      <c r="DPZ482" s="962"/>
      <c r="DQA482" s="962"/>
      <c r="DQB482" s="962"/>
      <c r="DQC482" s="962"/>
      <c r="DQD482" s="962"/>
      <c r="DQE482" s="962"/>
      <c r="DQF482" s="962"/>
      <c r="DQG482" s="962"/>
      <c r="DQH482" s="962"/>
      <c r="DQI482" s="962"/>
      <c r="DQJ482" s="962"/>
      <c r="DQK482" s="962"/>
      <c r="DQL482" s="962"/>
      <c r="DQM482" s="962"/>
      <c r="DQN482" s="962"/>
      <c r="DQO482" s="962"/>
      <c r="DQP482" s="962"/>
      <c r="DQQ482" s="962"/>
      <c r="DQR482" s="962"/>
      <c r="DQS482" s="962"/>
      <c r="DQT482" s="962"/>
      <c r="DQU482" s="962"/>
      <c r="DQV482" s="962"/>
      <c r="DQW482" s="962"/>
      <c r="DQX482" s="962"/>
      <c r="DQY482" s="962"/>
      <c r="DQZ482" s="962"/>
      <c r="DRA482" s="962"/>
      <c r="DRB482" s="962"/>
      <c r="DRC482" s="962"/>
      <c r="DRD482" s="962"/>
      <c r="DRE482" s="962"/>
      <c r="DRF482" s="962"/>
      <c r="DRG482" s="962"/>
      <c r="DRH482" s="962"/>
      <c r="DRI482" s="962"/>
      <c r="DRJ482" s="962"/>
      <c r="DRK482" s="962"/>
      <c r="DRL482" s="962"/>
      <c r="DRM482" s="962"/>
      <c r="DRN482" s="962"/>
      <c r="DRO482" s="962"/>
      <c r="DRP482" s="962"/>
      <c r="DRQ482" s="962"/>
      <c r="DRR482" s="962"/>
      <c r="DRS482" s="962"/>
      <c r="DRT482" s="962"/>
      <c r="DRU482" s="962"/>
      <c r="DRV482" s="962"/>
      <c r="DRW482" s="962"/>
      <c r="DRX482" s="962"/>
      <c r="DRY482" s="962"/>
      <c r="DRZ482" s="962"/>
      <c r="DSA482" s="962"/>
      <c r="DSB482" s="962"/>
      <c r="DSC482" s="962"/>
      <c r="DSD482" s="962"/>
      <c r="DSE482" s="962"/>
      <c r="DSF482" s="962"/>
      <c r="DSG482" s="962"/>
      <c r="DSH482" s="962"/>
      <c r="DSI482" s="962"/>
      <c r="DSJ482" s="962"/>
      <c r="DSK482" s="962"/>
      <c r="DSL482" s="962"/>
      <c r="DSM482" s="962"/>
      <c r="DSN482" s="962"/>
      <c r="DSO482" s="962"/>
      <c r="DSP482" s="962"/>
      <c r="DSQ482" s="962"/>
      <c r="DSR482" s="962"/>
      <c r="DSS482" s="962"/>
      <c r="DST482" s="962"/>
      <c r="DSU482" s="962"/>
      <c r="DSV482" s="962"/>
      <c r="DSW482" s="962"/>
      <c r="DSX482" s="962"/>
      <c r="DSY482" s="962"/>
      <c r="DSZ482" s="962"/>
      <c r="DTA482" s="962"/>
      <c r="DTB482" s="962"/>
      <c r="DTC482" s="962"/>
      <c r="DTD482" s="962"/>
      <c r="DTE482" s="962"/>
      <c r="DTF482" s="962"/>
      <c r="DTG482" s="962"/>
      <c r="DTH482" s="962"/>
      <c r="DTI482" s="962"/>
      <c r="DTJ482" s="962"/>
      <c r="DTK482" s="962"/>
      <c r="DTL482" s="962"/>
      <c r="DTM482" s="962"/>
      <c r="DTN482" s="962"/>
      <c r="DTO482" s="962"/>
      <c r="DTP482" s="962"/>
      <c r="DTQ482" s="962"/>
      <c r="DTR482" s="962"/>
      <c r="DTS482" s="962"/>
      <c r="DTT482" s="962"/>
      <c r="DTU482" s="962"/>
      <c r="DTV482" s="962"/>
      <c r="DTW482" s="962"/>
      <c r="DTX482" s="962"/>
      <c r="DTY482" s="962"/>
      <c r="DTZ482" s="962"/>
      <c r="DUA482" s="962"/>
      <c r="DUB482" s="962"/>
      <c r="DUC482" s="962"/>
      <c r="DUD482" s="962"/>
      <c r="DUE482" s="962"/>
      <c r="DUF482" s="962"/>
      <c r="DUG482" s="962"/>
      <c r="DUH482" s="962"/>
      <c r="DUI482" s="962"/>
      <c r="DUJ482" s="962"/>
      <c r="DUK482" s="962"/>
      <c r="DUL482" s="962"/>
      <c r="DUM482" s="962"/>
      <c r="DUN482" s="962"/>
      <c r="DUO482" s="962"/>
      <c r="DUP482" s="962"/>
      <c r="DUQ482" s="962"/>
      <c r="DUR482" s="962"/>
      <c r="DUS482" s="962"/>
      <c r="DUT482" s="962"/>
      <c r="DUU482" s="962"/>
      <c r="DUV482" s="962"/>
      <c r="DUW482" s="962"/>
      <c r="DUX482" s="962"/>
      <c r="DUY482" s="962"/>
      <c r="DUZ482" s="962"/>
      <c r="DVA482" s="962"/>
      <c r="DVB482" s="962"/>
      <c r="DVC482" s="962"/>
      <c r="DVD482" s="962"/>
      <c r="DVE482" s="962"/>
      <c r="DVF482" s="962"/>
      <c r="DVG482" s="962"/>
      <c r="DVH482" s="962"/>
      <c r="DVI482" s="962"/>
      <c r="DVJ482" s="962"/>
      <c r="DVK482" s="962"/>
      <c r="DVL482" s="962"/>
      <c r="DVM482" s="962"/>
      <c r="DVN482" s="962"/>
      <c r="DVO482" s="962"/>
      <c r="DVP482" s="962"/>
      <c r="DVQ482" s="962"/>
      <c r="DVR482" s="962"/>
      <c r="DVS482" s="962"/>
      <c r="DVT482" s="962"/>
      <c r="DVU482" s="962"/>
      <c r="DVV482" s="962"/>
      <c r="DVW482" s="962"/>
      <c r="DVX482" s="962"/>
      <c r="DVY482" s="962"/>
      <c r="DVZ482" s="962"/>
      <c r="DWA482" s="962"/>
      <c r="DWB482" s="962"/>
      <c r="DWC482" s="962"/>
      <c r="DWD482" s="962"/>
      <c r="DWE482" s="962"/>
      <c r="DWF482" s="962"/>
      <c r="DWG482" s="962"/>
      <c r="DWH482" s="962"/>
      <c r="DWI482" s="962"/>
      <c r="DWJ482" s="962"/>
      <c r="DWK482" s="962"/>
      <c r="DWL482" s="962"/>
      <c r="DWM482" s="962"/>
      <c r="DWN482" s="962"/>
      <c r="DWO482" s="962"/>
      <c r="DWP482" s="962"/>
      <c r="DWQ482" s="962"/>
      <c r="DWR482" s="962"/>
      <c r="DWS482" s="962"/>
      <c r="DWT482" s="962"/>
      <c r="DWU482" s="962"/>
      <c r="DWV482" s="962"/>
      <c r="DWW482" s="962"/>
      <c r="DWX482" s="962"/>
      <c r="DWY482" s="962"/>
      <c r="DWZ482" s="962"/>
      <c r="DXA482" s="962"/>
      <c r="DXB482" s="962"/>
      <c r="DXC482" s="962"/>
      <c r="DXD482" s="962"/>
      <c r="DXE482" s="962"/>
      <c r="DXF482" s="962"/>
      <c r="DXG482" s="962"/>
      <c r="DXH482" s="962"/>
      <c r="DXI482" s="962"/>
      <c r="DXJ482" s="962"/>
      <c r="DXK482" s="962"/>
      <c r="DXL482" s="962"/>
      <c r="DXM482" s="962"/>
      <c r="DXN482" s="962"/>
      <c r="DXO482" s="962"/>
      <c r="DXP482" s="962"/>
      <c r="DXQ482" s="962"/>
      <c r="DXR482" s="962"/>
      <c r="DXS482" s="962"/>
      <c r="DXT482" s="962"/>
      <c r="DXU482" s="962"/>
      <c r="DXV482" s="962"/>
      <c r="DXW482" s="962"/>
      <c r="DXX482" s="962"/>
      <c r="DXY482" s="962"/>
      <c r="DXZ482" s="962"/>
      <c r="DYA482" s="962"/>
      <c r="DYB482" s="962"/>
      <c r="DYC482" s="962"/>
      <c r="DYD482" s="962"/>
      <c r="DYE482" s="962"/>
      <c r="DYF482" s="962"/>
      <c r="DYG482" s="962"/>
      <c r="DYH482" s="962"/>
      <c r="DYI482" s="962"/>
      <c r="DYJ482" s="962"/>
      <c r="DYK482" s="962"/>
      <c r="DYL482" s="962"/>
      <c r="DYM482" s="962"/>
      <c r="DYN482" s="962"/>
      <c r="DYO482" s="962"/>
      <c r="DYP482" s="962"/>
      <c r="DYQ482" s="962"/>
      <c r="DYR482" s="962"/>
      <c r="DYS482" s="962"/>
      <c r="DYT482" s="962"/>
      <c r="DYU482" s="962"/>
      <c r="DYV482" s="962"/>
      <c r="DYW482" s="962"/>
      <c r="DYX482" s="962"/>
      <c r="DYY482" s="962"/>
      <c r="DYZ482" s="962"/>
      <c r="DZA482" s="962"/>
      <c r="DZB482" s="962"/>
      <c r="DZC482" s="962"/>
      <c r="DZD482" s="962"/>
      <c r="DZE482" s="962"/>
      <c r="DZF482" s="962"/>
      <c r="DZG482" s="962"/>
      <c r="DZH482" s="962"/>
      <c r="DZI482" s="962"/>
      <c r="DZJ482" s="962"/>
      <c r="DZK482" s="962"/>
      <c r="DZL482" s="962"/>
      <c r="DZM482" s="962"/>
      <c r="DZN482" s="962"/>
      <c r="DZO482" s="962"/>
      <c r="DZP482" s="962"/>
      <c r="DZQ482" s="962"/>
      <c r="DZR482" s="962"/>
      <c r="DZS482" s="962"/>
      <c r="DZT482" s="962"/>
      <c r="DZU482" s="962"/>
      <c r="DZV482" s="962"/>
      <c r="DZW482" s="962"/>
      <c r="DZX482" s="962"/>
      <c r="DZY482" s="962"/>
      <c r="DZZ482" s="962"/>
      <c r="EAA482" s="962"/>
      <c r="EAB482" s="962"/>
      <c r="EAC482" s="962"/>
      <c r="EAD482" s="962"/>
      <c r="EAE482" s="962"/>
      <c r="EAF482" s="962"/>
      <c r="EAG482" s="962"/>
      <c r="EAH482" s="962"/>
      <c r="EAI482" s="962"/>
      <c r="EAJ482" s="962"/>
      <c r="EAK482" s="962"/>
      <c r="EAL482" s="962"/>
      <c r="EAM482" s="962"/>
      <c r="EAN482" s="962"/>
      <c r="EAO482" s="962"/>
      <c r="EAP482" s="962"/>
      <c r="EAQ482" s="962"/>
      <c r="EAR482" s="962"/>
      <c r="EAS482" s="962"/>
      <c r="EAT482" s="962"/>
      <c r="EAU482" s="962"/>
      <c r="EAV482" s="962"/>
      <c r="EAW482" s="962"/>
      <c r="EAX482" s="962"/>
      <c r="EAY482" s="962"/>
      <c r="EAZ482" s="962"/>
      <c r="EBA482" s="962"/>
      <c r="EBB482" s="962"/>
      <c r="EBC482" s="962"/>
      <c r="EBD482" s="962"/>
      <c r="EBE482" s="962"/>
      <c r="EBF482" s="962"/>
      <c r="EBG482" s="962"/>
      <c r="EBH482" s="962"/>
      <c r="EBI482" s="962"/>
      <c r="EBJ482" s="962"/>
      <c r="EBK482" s="962"/>
      <c r="EBL482" s="962"/>
      <c r="EBM482" s="962"/>
      <c r="EBN482" s="962"/>
      <c r="EBO482" s="962"/>
      <c r="EBP482" s="962"/>
      <c r="EBQ482" s="962"/>
      <c r="EBR482" s="962"/>
      <c r="EBS482" s="962"/>
      <c r="EBT482" s="962"/>
      <c r="EBU482" s="962"/>
      <c r="EBV482" s="962"/>
      <c r="EBW482" s="962"/>
      <c r="EBX482" s="962"/>
      <c r="EBY482" s="962"/>
      <c r="EBZ482" s="962"/>
      <c r="ECA482" s="962"/>
      <c r="ECB482" s="962"/>
      <c r="ECC482" s="962"/>
      <c r="ECD482" s="962"/>
      <c r="ECE482" s="962"/>
      <c r="ECF482" s="962"/>
      <c r="ECG482" s="962"/>
      <c r="ECH482" s="962"/>
      <c r="ECI482" s="962"/>
      <c r="ECJ482" s="962"/>
      <c r="ECK482" s="962"/>
      <c r="ECL482" s="962"/>
      <c r="ECM482" s="962"/>
      <c r="ECN482" s="962"/>
      <c r="ECO482" s="962"/>
      <c r="ECP482" s="962"/>
      <c r="ECQ482" s="962"/>
      <c r="ECR482" s="962"/>
      <c r="ECS482" s="962"/>
      <c r="ECT482" s="962"/>
      <c r="ECU482" s="962"/>
      <c r="ECV482" s="962"/>
      <c r="ECW482" s="962"/>
      <c r="ECX482" s="962"/>
      <c r="ECY482" s="962"/>
      <c r="ECZ482" s="962"/>
      <c r="EDA482" s="962"/>
      <c r="EDB482" s="962"/>
      <c r="EDC482" s="962"/>
      <c r="EDD482" s="962"/>
      <c r="EDE482" s="962"/>
      <c r="EDF482" s="962"/>
      <c r="EDG482" s="962"/>
      <c r="EDH482" s="962"/>
      <c r="EDI482" s="962"/>
      <c r="EDJ482" s="962"/>
      <c r="EDK482" s="962"/>
      <c r="EDL482" s="962"/>
      <c r="EDM482" s="962"/>
      <c r="EDN482" s="962"/>
      <c r="EDO482" s="962"/>
      <c r="EDP482" s="962"/>
      <c r="EDQ482" s="962"/>
      <c r="EDR482" s="962"/>
      <c r="EDS482" s="962"/>
      <c r="EDT482" s="962"/>
      <c r="EDU482" s="962"/>
      <c r="EDV482" s="962"/>
      <c r="EDW482" s="962"/>
      <c r="EDX482" s="962"/>
      <c r="EDY482" s="962"/>
      <c r="EDZ482" s="962"/>
      <c r="EEA482" s="962"/>
      <c r="EEB482" s="962"/>
      <c r="EEC482" s="962"/>
      <c r="EED482" s="962"/>
      <c r="EEE482" s="962"/>
      <c r="EEF482" s="962"/>
      <c r="EEG482" s="962"/>
      <c r="EEH482" s="962"/>
      <c r="EEI482" s="962"/>
      <c r="EEJ482" s="962"/>
      <c r="EEK482" s="962"/>
      <c r="EEL482" s="962"/>
      <c r="EEM482" s="962"/>
      <c r="EEN482" s="962"/>
      <c r="EEO482" s="962"/>
      <c r="EEP482" s="962"/>
      <c r="EEQ482" s="962"/>
      <c r="EER482" s="962"/>
      <c r="EES482" s="962"/>
      <c r="EET482" s="962"/>
      <c r="EEU482" s="962"/>
      <c r="EEV482" s="962"/>
      <c r="EEW482" s="962"/>
      <c r="EEX482" s="962"/>
      <c r="EEY482" s="962"/>
      <c r="EEZ482" s="962"/>
      <c r="EFA482" s="962"/>
      <c r="EFB482" s="962"/>
      <c r="EFC482" s="962"/>
      <c r="EFD482" s="962"/>
      <c r="EFE482" s="962"/>
      <c r="EFF482" s="962"/>
      <c r="EFG482" s="962"/>
      <c r="EFH482" s="962"/>
      <c r="EFI482" s="962"/>
      <c r="EFJ482" s="962"/>
      <c r="EFK482" s="962"/>
      <c r="EFL482" s="962"/>
      <c r="EFM482" s="962"/>
      <c r="EFN482" s="962"/>
      <c r="EFO482" s="962"/>
      <c r="EFP482" s="962"/>
      <c r="EFQ482" s="962"/>
      <c r="EFR482" s="962"/>
      <c r="EFS482" s="962"/>
      <c r="EFT482" s="962"/>
      <c r="EFU482" s="962"/>
      <c r="EFV482" s="962"/>
      <c r="EFW482" s="962"/>
      <c r="EFX482" s="962"/>
      <c r="EFY482" s="962"/>
      <c r="EFZ482" s="962"/>
      <c r="EGA482" s="962"/>
      <c r="EGB482" s="962"/>
      <c r="EGC482" s="962"/>
      <c r="EGD482" s="962"/>
      <c r="EGE482" s="962"/>
      <c r="EGF482" s="962"/>
      <c r="EGG482" s="962"/>
      <c r="EGH482" s="962"/>
      <c r="EGI482" s="962"/>
      <c r="EGJ482" s="962"/>
      <c r="EGK482" s="962"/>
      <c r="EGL482" s="962"/>
      <c r="EGM482" s="962"/>
      <c r="EGN482" s="962"/>
      <c r="EGO482" s="962"/>
      <c r="EGP482" s="962"/>
      <c r="EGQ482" s="962"/>
      <c r="EGR482" s="962"/>
      <c r="EGS482" s="962"/>
      <c r="EGT482" s="962"/>
      <c r="EGU482" s="962"/>
      <c r="EGV482" s="962"/>
      <c r="EGW482" s="962"/>
      <c r="EGX482" s="962"/>
      <c r="EGY482" s="962"/>
      <c r="EGZ482" s="962"/>
      <c r="EHA482" s="962"/>
      <c r="EHB482" s="962"/>
      <c r="EHC482" s="962"/>
      <c r="EHD482" s="962"/>
      <c r="EHE482" s="962"/>
      <c r="EHF482" s="962"/>
      <c r="EHG482" s="962"/>
      <c r="EHH482" s="962"/>
      <c r="EHI482" s="962"/>
      <c r="EHJ482" s="962"/>
      <c r="EHK482" s="962"/>
      <c r="EHL482" s="962"/>
      <c r="EHM482" s="962"/>
      <c r="EHN482" s="962"/>
      <c r="EHO482" s="962"/>
      <c r="EHP482" s="962"/>
      <c r="EHQ482" s="962"/>
      <c r="EHR482" s="962"/>
      <c r="EHS482" s="962"/>
      <c r="EHT482" s="962"/>
      <c r="EHU482" s="962"/>
      <c r="EHV482" s="962"/>
      <c r="EHW482" s="962"/>
      <c r="EHX482" s="962"/>
      <c r="EHY482" s="962"/>
      <c r="EHZ482" s="962"/>
      <c r="EIA482" s="962"/>
      <c r="EIB482" s="962"/>
      <c r="EIC482" s="962"/>
      <c r="EID482" s="962"/>
      <c r="EIE482" s="962"/>
      <c r="EIF482" s="962"/>
      <c r="EIG482" s="962"/>
      <c r="EIH482" s="962"/>
      <c r="EII482" s="962"/>
      <c r="EIJ482" s="962"/>
      <c r="EIK482" s="962"/>
      <c r="EIL482" s="962"/>
      <c r="EIM482" s="962"/>
      <c r="EIN482" s="962"/>
      <c r="EIO482" s="962"/>
      <c r="EIP482" s="962"/>
      <c r="EIQ482" s="962"/>
      <c r="EIR482" s="962"/>
      <c r="EIS482" s="962"/>
      <c r="EIT482" s="962"/>
      <c r="EIU482" s="962"/>
      <c r="EIV482" s="962"/>
      <c r="EIW482" s="962"/>
      <c r="EIX482" s="962"/>
      <c r="EIY482" s="962"/>
      <c r="EIZ482" s="962"/>
      <c r="EJA482" s="962"/>
      <c r="EJB482" s="962"/>
      <c r="EJC482" s="962"/>
      <c r="EJD482" s="962"/>
      <c r="EJE482" s="962"/>
      <c r="EJF482" s="962"/>
      <c r="EJG482" s="962"/>
      <c r="EJH482" s="962"/>
      <c r="EJI482" s="962"/>
      <c r="EJJ482" s="962"/>
      <c r="EJK482" s="962"/>
      <c r="EJL482" s="962"/>
      <c r="EJM482" s="962"/>
      <c r="EJN482" s="962"/>
      <c r="EJO482" s="962"/>
      <c r="EJP482" s="962"/>
      <c r="EJQ482" s="962"/>
      <c r="EJR482" s="962"/>
      <c r="EJS482" s="962"/>
      <c r="EJT482" s="962"/>
      <c r="EJU482" s="962"/>
      <c r="EJV482" s="962"/>
      <c r="EJW482" s="962"/>
      <c r="EJX482" s="962"/>
      <c r="EJY482" s="962"/>
      <c r="EJZ482" s="962"/>
      <c r="EKA482" s="962"/>
      <c r="EKB482" s="962"/>
      <c r="EKC482" s="962"/>
      <c r="EKD482" s="962"/>
      <c r="EKE482" s="962"/>
      <c r="EKF482" s="962"/>
      <c r="EKG482" s="962"/>
      <c r="EKH482" s="962"/>
      <c r="EKI482" s="962"/>
      <c r="EKJ482" s="962"/>
      <c r="EKK482" s="962"/>
      <c r="EKL482" s="962"/>
      <c r="EKM482" s="962"/>
      <c r="EKN482" s="962"/>
      <c r="EKO482" s="962"/>
      <c r="EKP482" s="962"/>
      <c r="EKQ482" s="962"/>
      <c r="EKR482" s="962"/>
      <c r="EKS482" s="962"/>
      <c r="EKT482" s="962"/>
      <c r="EKU482" s="962"/>
      <c r="EKV482" s="962"/>
      <c r="EKW482" s="962"/>
      <c r="EKX482" s="962"/>
      <c r="EKY482" s="962"/>
      <c r="EKZ482" s="962"/>
      <c r="ELA482" s="962"/>
      <c r="ELB482" s="962"/>
      <c r="ELC482" s="962"/>
      <c r="ELD482" s="962"/>
      <c r="ELE482" s="962"/>
      <c r="ELF482" s="962"/>
      <c r="ELG482" s="962"/>
      <c r="ELH482" s="962"/>
      <c r="ELI482" s="962"/>
      <c r="ELJ482" s="962"/>
      <c r="ELK482" s="962"/>
      <c r="ELL482" s="962"/>
      <c r="ELM482" s="962"/>
      <c r="ELN482" s="962"/>
      <c r="ELO482" s="962"/>
      <c r="ELP482" s="962"/>
      <c r="ELQ482" s="962"/>
      <c r="ELR482" s="962"/>
      <c r="ELS482" s="962"/>
      <c r="ELT482" s="962"/>
      <c r="ELU482" s="962"/>
      <c r="ELV482" s="962"/>
      <c r="ELW482" s="962"/>
      <c r="ELX482" s="962"/>
      <c r="ELY482" s="962"/>
      <c r="ELZ482" s="962"/>
      <c r="EMA482" s="962"/>
      <c r="EMB482" s="962"/>
      <c r="EMC482" s="962"/>
      <c r="EMD482" s="962"/>
      <c r="EME482" s="962"/>
      <c r="EMF482" s="962"/>
      <c r="EMG482" s="962"/>
      <c r="EMH482" s="962"/>
      <c r="EMI482" s="962"/>
      <c r="EMJ482" s="962"/>
      <c r="EMK482" s="962"/>
      <c r="EML482" s="962"/>
      <c r="EMM482" s="962"/>
      <c r="EMN482" s="962"/>
      <c r="EMO482" s="962"/>
      <c r="EMP482" s="962"/>
      <c r="EMQ482" s="962"/>
      <c r="EMR482" s="962"/>
      <c r="EMS482" s="962"/>
      <c r="EMT482" s="962"/>
      <c r="EMU482" s="962"/>
      <c r="EMV482" s="962"/>
      <c r="EMW482" s="962"/>
      <c r="EMX482" s="962"/>
      <c r="EMY482" s="962"/>
      <c r="EMZ482" s="962"/>
      <c r="ENA482" s="962"/>
      <c r="ENB482" s="962"/>
      <c r="ENC482" s="962"/>
      <c r="END482" s="962"/>
      <c r="ENE482" s="962"/>
      <c r="ENF482" s="962"/>
      <c r="ENG482" s="962"/>
      <c r="ENH482" s="962"/>
      <c r="ENI482" s="962"/>
      <c r="ENJ482" s="962"/>
      <c r="ENK482" s="962"/>
      <c r="ENL482" s="962"/>
      <c r="ENM482" s="962"/>
      <c r="ENN482" s="962"/>
      <c r="ENO482" s="962"/>
      <c r="ENP482" s="962"/>
      <c r="ENQ482" s="962"/>
      <c r="ENR482" s="962"/>
      <c r="ENS482" s="962"/>
      <c r="ENT482" s="962"/>
      <c r="ENU482" s="962"/>
      <c r="ENV482" s="962"/>
      <c r="ENW482" s="962"/>
      <c r="ENX482" s="962"/>
      <c r="ENY482" s="962"/>
      <c r="ENZ482" s="962"/>
      <c r="EOA482" s="962"/>
      <c r="EOB482" s="962"/>
      <c r="EOC482" s="962"/>
      <c r="EOD482" s="962"/>
      <c r="EOE482" s="962"/>
      <c r="EOF482" s="962"/>
      <c r="EOG482" s="962"/>
      <c r="EOH482" s="962"/>
      <c r="EOI482" s="962"/>
      <c r="EOJ482" s="962"/>
      <c r="EOK482" s="962"/>
      <c r="EOL482" s="962"/>
      <c r="EOM482" s="962"/>
      <c r="EON482" s="962"/>
      <c r="EOO482" s="962"/>
      <c r="EOP482" s="962"/>
      <c r="EOQ482" s="962"/>
      <c r="EOR482" s="962"/>
      <c r="EOS482" s="962"/>
      <c r="EOT482" s="962"/>
      <c r="EOU482" s="962"/>
      <c r="EOV482" s="962"/>
      <c r="EOW482" s="962"/>
      <c r="EOX482" s="962"/>
      <c r="EOY482" s="962"/>
      <c r="EOZ482" s="962"/>
      <c r="EPA482" s="962"/>
      <c r="EPB482" s="962"/>
      <c r="EPC482" s="962"/>
      <c r="EPD482" s="962"/>
      <c r="EPE482" s="962"/>
      <c r="EPF482" s="962"/>
      <c r="EPG482" s="962"/>
      <c r="EPH482" s="962"/>
      <c r="EPI482" s="962"/>
      <c r="EPJ482" s="962"/>
      <c r="EPK482" s="962"/>
      <c r="EPL482" s="962"/>
      <c r="EPM482" s="962"/>
      <c r="EPN482" s="962"/>
      <c r="EPO482" s="962"/>
      <c r="EPP482" s="962"/>
      <c r="EPQ482" s="962"/>
      <c r="EPR482" s="962"/>
      <c r="EPS482" s="962"/>
      <c r="EPT482" s="962"/>
      <c r="EPU482" s="962"/>
      <c r="EPV482" s="962"/>
      <c r="EPW482" s="962"/>
      <c r="EPX482" s="962"/>
      <c r="EPY482" s="962"/>
      <c r="EPZ482" s="962"/>
      <c r="EQA482" s="962"/>
      <c r="EQB482" s="962"/>
      <c r="EQC482" s="962"/>
      <c r="EQD482" s="962"/>
      <c r="EQE482" s="962"/>
      <c r="EQF482" s="962"/>
      <c r="EQG482" s="962"/>
      <c r="EQH482" s="962"/>
      <c r="EQI482" s="962"/>
      <c r="EQJ482" s="962"/>
      <c r="EQK482" s="962"/>
      <c r="EQL482" s="962"/>
      <c r="EQM482" s="962"/>
      <c r="EQN482" s="962"/>
      <c r="EQO482" s="962"/>
      <c r="EQP482" s="962"/>
      <c r="EQQ482" s="962"/>
      <c r="EQR482" s="962"/>
      <c r="EQS482" s="962"/>
      <c r="EQT482" s="962"/>
      <c r="EQU482" s="962"/>
      <c r="EQV482" s="962"/>
      <c r="EQW482" s="962"/>
      <c r="EQX482" s="962"/>
      <c r="EQY482" s="962"/>
      <c r="EQZ482" s="962"/>
      <c r="ERA482" s="962"/>
      <c r="ERB482" s="962"/>
      <c r="ERC482" s="962"/>
      <c r="ERD482" s="962"/>
      <c r="ERE482" s="962"/>
      <c r="ERF482" s="962"/>
      <c r="ERG482" s="962"/>
      <c r="ERH482" s="962"/>
      <c r="ERI482" s="962"/>
      <c r="ERJ482" s="962"/>
      <c r="ERK482" s="962"/>
      <c r="ERL482" s="962"/>
      <c r="ERM482" s="962"/>
      <c r="ERN482" s="962"/>
      <c r="ERO482" s="962"/>
      <c r="ERP482" s="962"/>
      <c r="ERQ482" s="962"/>
      <c r="ERR482" s="962"/>
      <c r="ERS482" s="962"/>
      <c r="ERT482" s="962"/>
      <c r="ERU482" s="962"/>
      <c r="ERV482" s="962"/>
      <c r="ERW482" s="962"/>
      <c r="ERX482" s="962"/>
      <c r="ERY482" s="962"/>
      <c r="ERZ482" s="962"/>
      <c r="ESA482" s="962"/>
      <c r="ESB482" s="962"/>
      <c r="ESC482" s="962"/>
      <c r="ESD482" s="962"/>
      <c r="ESE482" s="962"/>
      <c r="ESF482" s="962"/>
      <c r="ESG482" s="962"/>
      <c r="ESH482" s="962"/>
      <c r="ESI482" s="962"/>
      <c r="ESJ482" s="962"/>
      <c r="ESK482" s="962"/>
      <c r="ESL482" s="962"/>
      <c r="ESM482" s="962"/>
      <c r="ESN482" s="962"/>
      <c r="ESO482" s="962"/>
      <c r="ESP482" s="962"/>
      <c r="ESQ482" s="962"/>
      <c r="ESR482" s="962"/>
      <c r="ESS482" s="962"/>
      <c r="EST482" s="962"/>
      <c r="ESU482" s="962"/>
      <c r="ESV482" s="962"/>
      <c r="ESW482" s="962"/>
      <c r="ESX482" s="962"/>
      <c r="ESY482" s="962"/>
      <c r="ESZ482" s="962"/>
      <c r="ETA482" s="962"/>
      <c r="ETB482" s="962"/>
      <c r="ETC482" s="962"/>
      <c r="ETD482" s="962"/>
      <c r="ETE482" s="962"/>
      <c r="ETF482" s="962"/>
      <c r="ETG482" s="962"/>
      <c r="ETH482" s="962"/>
      <c r="ETI482" s="962"/>
      <c r="ETJ482" s="962"/>
      <c r="ETK482" s="962"/>
      <c r="ETL482" s="962"/>
      <c r="ETM482" s="962"/>
      <c r="ETN482" s="962"/>
      <c r="ETO482" s="962"/>
      <c r="ETP482" s="962"/>
      <c r="ETQ482" s="962"/>
      <c r="ETR482" s="962"/>
      <c r="ETS482" s="962"/>
      <c r="ETT482" s="962"/>
      <c r="ETU482" s="962"/>
      <c r="ETV482" s="962"/>
      <c r="ETW482" s="962"/>
      <c r="ETX482" s="962"/>
      <c r="ETY482" s="962"/>
      <c r="ETZ482" s="962"/>
      <c r="EUA482" s="962"/>
      <c r="EUB482" s="962"/>
      <c r="EUC482" s="962"/>
      <c r="EUD482" s="962"/>
      <c r="EUE482" s="962"/>
      <c r="EUF482" s="962"/>
      <c r="EUG482" s="962"/>
      <c r="EUH482" s="962"/>
      <c r="EUI482" s="962"/>
      <c r="EUJ482" s="962"/>
      <c r="EUK482" s="962"/>
      <c r="EUL482" s="962"/>
      <c r="EUM482" s="962"/>
      <c r="EUN482" s="962"/>
      <c r="EUO482" s="962"/>
      <c r="EUP482" s="962"/>
      <c r="EUQ482" s="962"/>
      <c r="EUR482" s="962"/>
      <c r="EUS482" s="962"/>
      <c r="EUT482" s="962"/>
      <c r="EUU482" s="962"/>
      <c r="EUV482" s="962"/>
      <c r="EUW482" s="962"/>
      <c r="EUX482" s="962"/>
      <c r="EUY482" s="962"/>
      <c r="EUZ482" s="962"/>
      <c r="EVA482" s="962"/>
      <c r="EVB482" s="962"/>
      <c r="EVC482" s="962"/>
      <c r="EVD482" s="962"/>
      <c r="EVE482" s="962"/>
      <c r="EVF482" s="962"/>
      <c r="EVG482" s="962"/>
      <c r="EVH482" s="962"/>
      <c r="EVI482" s="962"/>
      <c r="EVJ482" s="962"/>
      <c r="EVK482" s="962"/>
      <c r="EVL482" s="962"/>
      <c r="EVM482" s="962"/>
      <c r="EVN482" s="962"/>
      <c r="EVO482" s="962"/>
      <c r="EVP482" s="962"/>
      <c r="EVQ482" s="962"/>
      <c r="EVR482" s="962"/>
      <c r="EVS482" s="962"/>
      <c r="EVT482" s="962"/>
      <c r="EVU482" s="962"/>
      <c r="EVV482" s="962"/>
      <c r="EVW482" s="962"/>
      <c r="EVX482" s="962"/>
      <c r="EVY482" s="962"/>
      <c r="EVZ482" s="962"/>
      <c r="EWA482" s="962"/>
      <c r="EWB482" s="962"/>
      <c r="EWC482" s="962"/>
      <c r="EWD482" s="962"/>
      <c r="EWE482" s="962"/>
      <c r="EWF482" s="962"/>
      <c r="EWG482" s="962"/>
      <c r="EWH482" s="962"/>
      <c r="EWI482" s="962"/>
      <c r="EWJ482" s="962"/>
      <c r="EWK482" s="962"/>
      <c r="EWL482" s="962"/>
      <c r="EWM482" s="962"/>
      <c r="EWN482" s="962"/>
      <c r="EWO482" s="962"/>
      <c r="EWP482" s="962"/>
      <c r="EWQ482" s="962"/>
      <c r="EWR482" s="962"/>
      <c r="EWS482" s="962"/>
      <c r="EWT482" s="962"/>
      <c r="EWU482" s="962"/>
      <c r="EWV482" s="962"/>
      <c r="EWW482" s="962"/>
      <c r="EWX482" s="962"/>
      <c r="EWY482" s="962"/>
      <c r="EWZ482" s="962"/>
      <c r="EXA482" s="962"/>
      <c r="EXB482" s="962"/>
      <c r="EXC482" s="962"/>
      <c r="EXD482" s="962"/>
      <c r="EXE482" s="962"/>
      <c r="EXF482" s="962"/>
      <c r="EXG482" s="962"/>
      <c r="EXH482" s="962"/>
      <c r="EXI482" s="962"/>
      <c r="EXJ482" s="962"/>
      <c r="EXK482" s="962"/>
      <c r="EXL482" s="962"/>
      <c r="EXM482" s="962"/>
      <c r="EXN482" s="962"/>
      <c r="EXO482" s="962"/>
      <c r="EXP482" s="962"/>
      <c r="EXQ482" s="962"/>
      <c r="EXR482" s="962"/>
      <c r="EXS482" s="962"/>
      <c r="EXT482" s="962"/>
      <c r="EXU482" s="962"/>
      <c r="EXV482" s="962"/>
      <c r="EXW482" s="962"/>
      <c r="EXX482" s="962"/>
      <c r="EXY482" s="962"/>
      <c r="EXZ482" s="962"/>
      <c r="EYA482" s="962"/>
      <c r="EYB482" s="962"/>
      <c r="EYC482" s="962"/>
      <c r="EYD482" s="962"/>
      <c r="EYE482" s="962"/>
      <c r="EYF482" s="962"/>
      <c r="EYG482" s="962"/>
      <c r="EYH482" s="962"/>
      <c r="EYI482" s="962"/>
      <c r="EYJ482" s="962"/>
      <c r="EYK482" s="962"/>
      <c r="EYL482" s="962"/>
      <c r="EYM482" s="962"/>
      <c r="EYN482" s="962"/>
      <c r="EYO482" s="962"/>
      <c r="EYP482" s="962"/>
      <c r="EYQ482" s="962"/>
      <c r="EYR482" s="962"/>
      <c r="EYS482" s="962"/>
      <c r="EYT482" s="962"/>
      <c r="EYU482" s="962"/>
      <c r="EYV482" s="962"/>
      <c r="EYW482" s="962"/>
      <c r="EYX482" s="962"/>
      <c r="EYY482" s="962"/>
      <c r="EYZ482" s="962"/>
      <c r="EZA482" s="962"/>
      <c r="EZB482" s="962"/>
      <c r="EZC482" s="962"/>
      <c r="EZD482" s="962"/>
      <c r="EZE482" s="962"/>
      <c r="EZF482" s="962"/>
      <c r="EZG482" s="962"/>
      <c r="EZH482" s="962"/>
      <c r="EZI482" s="962"/>
      <c r="EZJ482" s="962"/>
      <c r="EZK482" s="962"/>
      <c r="EZL482" s="962"/>
      <c r="EZM482" s="962"/>
      <c r="EZN482" s="962"/>
      <c r="EZO482" s="962"/>
      <c r="EZP482" s="962"/>
      <c r="EZQ482" s="962"/>
      <c r="EZR482" s="962"/>
      <c r="EZS482" s="962"/>
      <c r="EZT482" s="962"/>
      <c r="EZU482" s="962"/>
      <c r="EZV482" s="962"/>
      <c r="EZW482" s="962"/>
      <c r="EZX482" s="962"/>
      <c r="EZY482" s="962"/>
      <c r="EZZ482" s="962"/>
      <c r="FAA482" s="962"/>
      <c r="FAB482" s="962"/>
      <c r="FAC482" s="962"/>
      <c r="FAD482" s="962"/>
      <c r="FAE482" s="962"/>
      <c r="FAF482" s="962"/>
      <c r="FAG482" s="962"/>
      <c r="FAH482" s="962"/>
      <c r="FAI482" s="962"/>
      <c r="FAJ482" s="962"/>
      <c r="FAK482" s="962"/>
      <c r="FAL482" s="962"/>
      <c r="FAM482" s="962"/>
      <c r="FAN482" s="962"/>
      <c r="FAO482" s="962"/>
      <c r="FAP482" s="962"/>
      <c r="FAQ482" s="962"/>
      <c r="FAR482" s="962"/>
      <c r="FAS482" s="962"/>
      <c r="FAT482" s="962"/>
      <c r="FAU482" s="962"/>
      <c r="FAV482" s="962"/>
      <c r="FAW482" s="962"/>
      <c r="FAX482" s="962"/>
      <c r="FAY482" s="962"/>
      <c r="FAZ482" s="962"/>
      <c r="FBA482" s="962"/>
      <c r="FBB482" s="962"/>
      <c r="FBC482" s="962"/>
      <c r="FBD482" s="962"/>
      <c r="FBE482" s="962"/>
      <c r="FBF482" s="962"/>
      <c r="FBG482" s="962"/>
      <c r="FBH482" s="962"/>
      <c r="FBI482" s="962"/>
      <c r="FBJ482" s="962"/>
      <c r="FBK482" s="962"/>
      <c r="FBL482" s="962"/>
      <c r="FBM482" s="962"/>
      <c r="FBN482" s="962"/>
      <c r="FBO482" s="962"/>
      <c r="FBP482" s="962"/>
      <c r="FBQ482" s="962"/>
      <c r="FBR482" s="962"/>
      <c r="FBS482" s="962"/>
      <c r="FBT482" s="962"/>
      <c r="FBU482" s="962"/>
      <c r="FBV482" s="962"/>
      <c r="FBW482" s="962"/>
      <c r="FBX482" s="962"/>
      <c r="FBY482" s="962"/>
      <c r="FBZ482" s="962"/>
      <c r="FCA482" s="962"/>
      <c r="FCB482" s="962"/>
      <c r="FCC482" s="962"/>
      <c r="FCD482" s="962"/>
      <c r="FCE482" s="962"/>
      <c r="FCF482" s="962"/>
      <c r="FCG482" s="962"/>
      <c r="FCH482" s="962"/>
      <c r="FCI482" s="962"/>
      <c r="FCJ482" s="962"/>
      <c r="FCK482" s="962"/>
      <c r="FCL482" s="962"/>
      <c r="FCM482" s="962"/>
      <c r="FCN482" s="962"/>
      <c r="FCO482" s="962"/>
      <c r="FCP482" s="962"/>
      <c r="FCQ482" s="962"/>
      <c r="FCR482" s="962"/>
      <c r="FCS482" s="962"/>
      <c r="FCT482" s="962"/>
      <c r="FCU482" s="962"/>
      <c r="FCV482" s="962"/>
      <c r="FCW482" s="962"/>
      <c r="FCX482" s="962"/>
      <c r="FCY482" s="962"/>
      <c r="FCZ482" s="962"/>
      <c r="FDA482" s="962"/>
      <c r="FDB482" s="962"/>
      <c r="FDC482" s="962"/>
      <c r="FDD482" s="962"/>
      <c r="FDE482" s="962"/>
      <c r="FDF482" s="962"/>
      <c r="FDG482" s="962"/>
      <c r="FDH482" s="962"/>
      <c r="FDI482" s="962"/>
      <c r="FDJ482" s="962"/>
      <c r="FDK482" s="962"/>
      <c r="FDL482" s="962"/>
      <c r="FDM482" s="962"/>
      <c r="FDN482" s="962"/>
      <c r="FDO482" s="962"/>
      <c r="FDP482" s="962"/>
      <c r="FDQ482" s="962"/>
      <c r="FDR482" s="962"/>
      <c r="FDS482" s="962"/>
      <c r="FDT482" s="962"/>
      <c r="FDU482" s="962"/>
      <c r="FDV482" s="962"/>
      <c r="FDW482" s="962"/>
      <c r="FDX482" s="962"/>
      <c r="FDY482" s="962"/>
      <c r="FDZ482" s="962"/>
      <c r="FEA482" s="962"/>
      <c r="FEB482" s="962"/>
      <c r="FEC482" s="962"/>
      <c r="FED482" s="962"/>
      <c r="FEE482" s="962"/>
      <c r="FEF482" s="962"/>
      <c r="FEG482" s="962"/>
      <c r="FEH482" s="962"/>
      <c r="FEI482" s="962"/>
      <c r="FEJ482" s="962"/>
      <c r="FEK482" s="962"/>
      <c r="FEL482" s="962"/>
      <c r="FEM482" s="962"/>
      <c r="FEN482" s="962"/>
      <c r="FEO482" s="962"/>
      <c r="FEP482" s="962"/>
      <c r="FEQ482" s="962"/>
      <c r="FER482" s="962"/>
      <c r="FES482" s="962"/>
      <c r="FET482" s="962"/>
      <c r="FEU482" s="962"/>
      <c r="FEV482" s="962"/>
      <c r="FEW482" s="962"/>
      <c r="FEX482" s="962"/>
      <c r="FEY482" s="962"/>
      <c r="FEZ482" s="962"/>
      <c r="FFA482" s="962"/>
      <c r="FFB482" s="962"/>
      <c r="FFC482" s="962"/>
      <c r="FFD482" s="962"/>
      <c r="FFE482" s="962"/>
      <c r="FFF482" s="962"/>
      <c r="FFG482" s="962"/>
      <c r="FFH482" s="962"/>
      <c r="FFI482" s="962"/>
      <c r="FFJ482" s="962"/>
      <c r="FFK482" s="962"/>
      <c r="FFL482" s="962"/>
      <c r="FFM482" s="962"/>
      <c r="FFN482" s="962"/>
      <c r="FFO482" s="962"/>
      <c r="FFP482" s="962"/>
      <c r="FFQ482" s="962"/>
      <c r="FFR482" s="962"/>
      <c r="FFS482" s="962"/>
      <c r="FFT482" s="962"/>
      <c r="FFU482" s="962"/>
      <c r="FFV482" s="962"/>
      <c r="FFW482" s="962"/>
      <c r="FFX482" s="962"/>
      <c r="FFY482" s="962"/>
      <c r="FFZ482" s="962"/>
      <c r="FGA482" s="962"/>
      <c r="FGB482" s="962"/>
      <c r="FGC482" s="962"/>
      <c r="FGD482" s="962"/>
      <c r="FGE482" s="962"/>
      <c r="FGF482" s="962"/>
      <c r="FGG482" s="962"/>
      <c r="FGH482" s="962"/>
      <c r="FGI482" s="962"/>
      <c r="FGJ482" s="962"/>
      <c r="FGK482" s="962"/>
      <c r="FGL482" s="962"/>
      <c r="FGM482" s="962"/>
      <c r="FGN482" s="962"/>
      <c r="FGO482" s="962"/>
      <c r="FGP482" s="962"/>
      <c r="FGQ482" s="962"/>
      <c r="FGR482" s="962"/>
      <c r="FGS482" s="962"/>
      <c r="FGT482" s="962"/>
      <c r="FGU482" s="962"/>
      <c r="FGV482" s="962"/>
      <c r="FGW482" s="962"/>
      <c r="FGX482" s="962"/>
      <c r="FGY482" s="962"/>
      <c r="FGZ482" s="962"/>
      <c r="FHA482" s="962"/>
      <c r="FHB482" s="962"/>
      <c r="FHC482" s="962"/>
      <c r="FHD482" s="962"/>
      <c r="FHE482" s="962"/>
      <c r="FHF482" s="962"/>
      <c r="FHG482" s="962"/>
      <c r="FHH482" s="962"/>
      <c r="FHI482" s="962"/>
      <c r="FHJ482" s="962"/>
      <c r="FHK482" s="962"/>
      <c r="FHL482" s="962"/>
      <c r="FHM482" s="962"/>
      <c r="FHN482" s="962"/>
      <c r="FHO482" s="962"/>
      <c r="FHP482" s="962"/>
      <c r="FHQ482" s="962"/>
      <c r="FHR482" s="962"/>
      <c r="FHS482" s="962"/>
      <c r="FHT482" s="962"/>
      <c r="FHU482" s="962"/>
      <c r="FHV482" s="962"/>
      <c r="FHW482" s="962"/>
      <c r="FHX482" s="962"/>
      <c r="FHY482" s="962"/>
      <c r="FHZ482" s="962"/>
      <c r="FIA482" s="962"/>
      <c r="FIB482" s="962"/>
      <c r="FIC482" s="962"/>
      <c r="FID482" s="962"/>
      <c r="FIE482" s="962"/>
      <c r="FIF482" s="962"/>
      <c r="FIG482" s="962"/>
      <c r="FIH482" s="962"/>
      <c r="FII482" s="962"/>
      <c r="FIJ482" s="962"/>
      <c r="FIK482" s="962"/>
      <c r="FIL482" s="962"/>
      <c r="FIM482" s="962"/>
      <c r="FIN482" s="962"/>
      <c r="FIO482" s="962"/>
      <c r="FIP482" s="962"/>
      <c r="FIQ482" s="962"/>
      <c r="FIR482" s="962"/>
      <c r="FIS482" s="962"/>
      <c r="FIT482" s="962"/>
      <c r="FIU482" s="962"/>
      <c r="FIV482" s="962"/>
      <c r="FIW482" s="962"/>
      <c r="FIX482" s="962"/>
      <c r="FIY482" s="962"/>
      <c r="FIZ482" s="962"/>
      <c r="FJA482" s="962"/>
      <c r="FJB482" s="962"/>
      <c r="FJC482" s="962"/>
      <c r="FJD482" s="962"/>
      <c r="FJE482" s="962"/>
      <c r="FJF482" s="962"/>
      <c r="FJG482" s="962"/>
      <c r="FJH482" s="962"/>
      <c r="FJI482" s="962"/>
      <c r="FJJ482" s="962"/>
      <c r="FJK482" s="962"/>
      <c r="FJL482" s="962"/>
      <c r="FJM482" s="962"/>
      <c r="FJN482" s="962"/>
      <c r="FJO482" s="962"/>
      <c r="FJP482" s="962"/>
      <c r="FJQ482" s="962"/>
      <c r="FJR482" s="962"/>
      <c r="FJS482" s="962"/>
      <c r="FJT482" s="962"/>
      <c r="FJU482" s="962"/>
      <c r="FJV482" s="962"/>
      <c r="FJW482" s="962"/>
      <c r="FJX482" s="962"/>
      <c r="FJY482" s="962"/>
      <c r="FJZ482" s="962"/>
      <c r="FKA482" s="962"/>
      <c r="FKB482" s="962"/>
      <c r="FKC482" s="962"/>
      <c r="FKD482" s="962"/>
      <c r="FKE482" s="962"/>
      <c r="FKF482" s="962"/>
      <c r="FKG482" s="962"/>
      <c r="FKH482" s="962"/>
      <c r="FKI482" s="962"/>
      <c r="FKJ482" s="962"/>
      <c r="FKK482" s="962"/>
      <c r="FKL482" s="962"/>
      <c r="FKM482" s="962"/>
      <c r="FKN482" s="962"/>
      <c r="FKO482" s="962"/>
      <c r="FKP482" s="962"/>
      <c r="FKQ482" s="962"/>
      <c r="FKR482" s="962"/>
      <c r="FKS482" s="962"/>
      <c r="FKT482" s="962"/>
      <c r="FKU482" s="962"/>
      <c r="FKV482" s="962"/>
      <c r="FKW482" s="962"/>
      <c r="FKX482" s="962"/>
      <c r="FKY482" s="962"/>
      <c r="FKZ482" s="962"/>
      <c r="FLA482" s="962"/>
      <c r="FLB482" s="962"/>
      <c r="FLC482" s="962"/>
      <c r="FLD482" s="962"/>
      <c r="FLE482" s="962"/>
      <c r="FLF482" s="962"/>
      <c r="FLG482" s="962"/>
      <c r="FLH482" s="962"/>
      <c r="FLI482" s="962"/>
      <c r="FLJ482" s="962"/>
      <c r="FLK482" s="962"/>
      <c r="FLL482" s="962"/>
      <c r="FLM482" s="962"/>
      <c r="FLN482" s="962"/>
      <c r="FLO482" s="962"/>
      <c r="FLP482" s="962"/>
      <c r="FLQ482" s="962"/>
      <c r="FLR482" s="962"/>
      <c r="FLS482" s="962"/>
      <c r="FLT482" s="962"/>
      <c r="FLU482" s="962"/>
      <c r="FLV482" s="962"/>
      <c r="FLW482" s="962"/>
      <c r="FLX482" s="962"/>
      <c r="FLY482" s="962"/>
      <c r="FLZ482" s="962"/>
      <c r="FMA482" s="962"/>
      <c r="FMB482" s="962"/>
      <c r="FMC482" s="962"/>
      <c r="FMD482" s="962"/>
      <c r="FME482" s="962"/>
      <c r="FMF482" s="962"/>
      <c r="FMG482" s="962"/>
      <c r="FMH482" s="962"/>
      <c r="FMI482" s="962"/>
      <c r="FMJ482" s="962"/>
      <c r="FMK482" s="962"/>
      <c r="FML482" s="962"/>
      <c r="FMM482" s="962"/>
      <c r="FMN482" s="962"/>
      <c r="FMO482" s="962"/>
      <c r="FMP482" s="962"/>
      <c r="FMQ482" s="962"/>
      <c r="FMR482" s="962"/>
      <c r="FMS482" s="962"/>
      <c r="FMT482" s="962"/>
      <c r="FMU482" s="962"/>
      <c r="FMV482" s="962"/>
      <c r="FMW482" s="962"/>
      <c r="FMX482" s="962"/>
      <c r="FMY482" s="962"/>
      <c r="FMZ482" s="962"/>
      <c r="FNA482" s="962"/>
      <c r="FNB482" s="962"/>
      <c r="FNC482" s="962"/>
      <c r="FND482" s="962"/>
      <c r="FNE482" s="962"/>
      <c r="FNF482" s="962"/>
      <c r="FNG482" s="962"/>
      <c r="FNH482" s="962"/>
      <c r="FNI482" s="962"/>
      <c r="FNJ482" s="962"/>
      <c r="FNK482" s="962"/>
      <c r="FNL482" s="962"/>
      <c r="FNM482" s="962"/>
      <c r="FNN482" s="962"/>
      <c r="FNO482" s="962"/>
      <c r="FNP482" s="962"/>
      <c r="FNQ482" s="962"/>
      <c r="FNR482" s="962"/>
      <c r="FNS482" s="962"/>
      <c r="FNT482" s="962"/>
      <c r="FNU482" s="962"/>
      <c r="FNV482" s="962"/>
      <c r="FNW482" s="962"/>
      <c r="FNX482" s="962"/>
      <c r="FNY482" s="962"/>
      <c r="FNZ482" s="962"/>
      <c r="FOA482" s="962"/>
      <c r="FOB482" s="962"/>
      <c r="FOC482" s="962"/>
      <c r="FOD482" s="962"/>
      <c r="FOE482" s="962"/>
      <c r="FOF482" s="962"/>
      <c r="FOG482" s="962"/>
      <c r="FOH482" s="962"/>
      <c r="FOI482" s="962"/>
      <c r="FOJ482" s="962"/>
      <c r="FOK482" s="962"/>
      <c r="FOL482" s="962"/>
      <c r="FOM482" s="962"/>
      <c r="FON482" s="962"/>
      <c r="FOO482" s="962"/>
      <c r="FOP482" s="962"/>
      <c r="FOQ482" s="962"/>
      <c r="FOR482" s="962"/>
      <c r="FOS482" s="962"/>
      <c r="FOT482" s="962"/>
      <c r="FOU482" s="962"/>
      <c r="FOV482" s="962"/>
      <c r="FOW482" s="962"/>
      <c r="FOX482" s="962"/>
      <c r="FOY482" s="962"/>
      <c r="FOZ482" s="962"/>
      <c r="FPA482" s="962"/>
      <c r="FPB482" s="962"/>
      <c r="FPC482" s="962"/>
      <c r="FPD482" s="962"/>
      <c r="FPE482" s="962"/>
      <c r="FPF482" s="962"/>
      <c r="FPG482" s="962"/>
      <c r="FPH482" s="962"/>
      <c r="FPI482" s="962"/>
      <c r="FPJ482" s="962"/>
      <c r="FPK482" s="962"/>
      <c r="FPL482" s="962"/>
      <c r="FPM482" s="962"/>
      <c r="FPN482" s="962"/>
      <c r="FPO482" s="962"/>
      <c r="FPP482" s="962"/>
      <c r="FPQ482" s="962"/>
      <c r="FPR482" s="962"/>
      <c r="FPS482" s="962"/>
      <c r="FPT482" s="962"/>
      <c r="FPU482" s="962"/>
      <c r="FPV482" s="962"/>
      <c r="FPW482" s="962"/>
      <c r="FPX482" s="962"/>
      <c r="FPY482" s="962"/>
      <c r="FPZ482" s="962"/>
      <c r="FQA482" s="962"/>
      <c r="FQB482" s="962"/>
      <c r="FQC482" s="962"/>
      <c r="FQD482" s="962"/>
      <c r="FQE482" s="962"/>
      <c r="FQF482" s="962"/>
      <c r="FQG482" s="962"/>
      <c r="FQH482" s="962"/>
      <c r="FQI482" s="962"/>
      <c r="FQJ482" s="962"/>
      <c r="FQK482" s="962"/>
      <c r="FQL482" s="962"/>
      <c r="FQM482" s="962"/>
      <c r="FQN482" s="962"/>
      <c r="FQO482" s="962"/>
      <c r="FQP482" s="962"/>
      <c r="FQQ482" s="962"/>
      <c r="FQR482" s="962"/>
      <c r="FQS482" s="962"/>
      <c r="FQT482" s="962"/>
      <c r="FQU482" s="962"/>
      <c r="FQV482" s="962"/>
      <c r="FQW482" s="962"/>
      <c r="FQX482" s="962"/>
      <c r="FQY482" s="962"/>
      <c r="FQZ482" s="962"/>
      <c r="FRA482" s="962"/>
      <c r="FRB482" s="962"/>
      <c r="FRC482" s="962"/>
      <c r="FRD482" s="962"/>
      <c r="FRE482" s="962"/>
      <c r="FRF482" s="962"/>
      <c r="FRG482" s="962"/>
      <c r="FRH482" s="962"/>
      <c r="FRI482" s="962"/>
      <c r="FRJ482" s="962"/>
      <c r="FRK482" s="962"/>
      <c r="FRL482" s="962"/>
      <c r="FRM482" s="962"/>
      <c r="FRN482" s="962"/>
      <c r="FRO482" s="962"/>
      <c r="FRP482" s="962"/>
      <c r="FRQ482" s="962"/>
      <c r="FRR482" s="962"/>
      <c r="FRS482" s="962"/>
      <c r="FRT482" s="962"/>
      <c r="FRU482" s="962"/>
      <c r="FRV482" s="962"/>
      <c r="FRW482" s="962"/>
      <c r="FRX482" s="962"/>
      <c r="FRY482" s="962"/>
      <c r="FRZ482" s="962"/>
      <c r="FSA482" s="962"/>
      <c r="FSB482" s="962"/>
      <c r="FSC482" s="962"/>
      <c r="FSD482" s="962"/>
      <c r="FSE482" s="962"/>
      <c r="FSF482" s="962"/>
      <c r="FSG482" s="962"/>
      <c r="FSH482" s="962"/>
      <c r="FSI482" s="962"/>
      <c r="FSJ482" s="962"/>
      <c r="FSK482" s="962"/>
      <c r="FSL482" s="962"/>
      <c r="FSM482" s="962"/>
      <c r="FSN482" s="962"/>
      <c r="FSO482" s="962"/>
      <c r="FSP482" s="962"/>
      <c r="FSQ482" s="962"/>
      <c r="FSR482" s="962"/>
      <c r="FSS482" s="962"/>
      <c r="FST482" s="962"/>
      <c r="FSU482" s="962"/>
      <c r="FSV482" s="962"/>
      <c r="FSW482" s="962"/>
      <c r="FSX482" s="962"/>
      <c r="FSY482" s="962"/>
      <c r="FSZ482" s="962"/>
      <c r="FTA482" s="962"/>
      <c r="FTB482" s="962"/>
      <c r="FTC482" s="962"/>
      <c r="FTD482" s="962"/>
      <c r="FTE482" s="962"/>
      <c r="FTF482" s="962"/>
      <c r="FTG482" s="962"/>
      <c r="FTH482" s="962"/>
      <c r="FTI482" s="962"/>
      <c r="FTJ482" s="962"/>
      <c r="FTK482" s="962"/>
      <c r="FTL482" s="962"/>
      <c r="FTM482" s="962"/>
      <c r="FTN482" s="962"/>
      <c r="FTO482" s="962"/>
      <c r="FTP482" s="962"/>
      <c r="FTQ482" s="962"/>
      <c r="FTR482" s="962"/>
      <c r="FTS482" s="962"/>
      <c r="FTT482" s="962"/>
      <c r="FTU482" s="962"/>
      <c r="FTV482" s="962"/>
      <c r="FTW482" s="962"/>
      <c r="FTX482" s="962"/>
      <c r="FTY482" s="962"/>
      <c r="FTZ482" s="962"/>
      <c r="FUA482" s="962"/>
      <c r="FUB482" s="962"/>
      <c r="FUC482" s="962"/>
      <c r="FUD482" s="962"/>
      <c r="FUE482" s="962"/>
      <c r="FUF482" s="962"/>
      <c r="FUG482" s="962"/>
      <c r="FUH482" s="962"/>
      <c r="FUI482" s="962"/>
      <c r="FUJ482" s="962"/>
      <c r="FUK482" s="962"/>
      <c r="FUL482" s="962"/>
      <c r="FUM482" s="962"/>
      <c r="FUN482" s="962"/>
      <c r="FUO482" s="962"/>
      <c r="FUP482" s="962"/>
      <c r="FUQ482" s="962"/>
      <c r="FUR482" s="962"/>
      <c r="FUS482" s="962"/>
      <c r="FUT482" s="962"/>
      <c r="FUU482" s="962"/>
      <c r="FUV482" s="962"/>
      <c r="FUW482" s="962"/>
      <c r="FUX482" s="962"/>
      <c r="FUY482" s="962"/>
      <c r="FUZ482" s="962"/>
      <c r="FVA482" s="962"/>
      <c r="FVB482" s="962"/>
      <c r="FVC482" s="962"/>
      <c r="FVD482" s="962"/>
      <c r="FVE482" s="962"/>
      <c r="FVF482" s="962"/>
      <c r="FVG482" s="962"/>
      <c r="FVH482" s="962"/>
      <c r="FVI482" s="962"/>
      <c r="FVJ482" s="962"/>
      <c r="FVK482" s="962"/>
      <c r="FVL482" s="962"/>
      <c r="FVM482" s="962"/>
      <c r="FVN482" s="962"/>
      <c r="FVO482" s="962"/>
      <c r="FVP482" s="962"/>
      <c r="FVQ482" s="962"/>
      <c r="FVR482" s="962"/>
      <c r="FVS482" s="962"/>
      <c r="FVT482" s="962"/>
      <c r="FVU482" s="962"/>
      <c r="FVV482" s="962"/>
      <c r="FVW482" s="962"/>
      <c r="FVX482" s="962"/>
      <c r="FVY482" s="962"/>
      <c r="FVZ482" s="962"/>
      <c r="FWA482" s="962"/>
      <c r="FWB482" s="962"/>
      <c r="FWC482" s="962"/>
      <c r="FWD482" s="962"/>
      <c r="FWE482" s="962"/>
      <c r="FWF482" s="962"/>
      <c r="FWG482" s="962"/>
      <c r="FWH482" s="962"/>
      <c r="FWI482" s="962"/>
      <c r="FWJ482" s="962"/>
      <c r="FWK482" s="962"/>
      <c r="FWL482" s="962"/>
      <c r="FWM482" s="962"/>
      <c r="FWN482" s="962"/>
      <c r="FWO482" s="962"/>
      <c r="FWP482" s="962"/>
      <c r="FWQ482" s="962"/>
      <c r="FWR482" s="962"/>
      <c r="FWS482" s="962"/>
      <c r="FWT482" s="962"/>
      <c r="FWU482" s="962"/>
      <c r="FWV482" s="962"/>
      <c r="FWW482" s="962"/>
      <c r="FWX482" s="962"/>
      <c r="FWY482" s="962"/>
      <c r="FWZ482" s="962"/>
      <c r="FXA482" s="962"/>
      <c r="FXB482" s="962"/>
      <c r="FXC482" s="962"/>
      <c r="FXD482" s="962"/>
      <c r="FXE482" s="962"/>
      <c r="FXF482" s="962"/>
      <c r="FXG482" s="962"/>
      <c r="FXH482" s="962"/>
      <c r="FXI482" s="962"/>
      <c r="FXJ482" s="962"/>
      <c r="FXK482" s="962"/>
      <c r="FXL482" s="962"/>
      <c r="FXM482" s="962"/>
      <c r="FXN482" s="962"/>
      <c r="FXO482" s="962"/>
      <c r="FXP482" s="962"/>
      <c r="FXQ482" s="962"/>
      <c r="FXR482" s="962"/>
      <c r="FXS482" s="962"/>
      <c r="FXT482" s="962"/>
      <c r="FXU482" s="962"/>
      <c r="FXV482" s="962"/>
      <c r="FXW482" s="962"/>
      <c r="FXX482" s="962"/>
      <c r="FXY482" s="962"/>
      <c r="FXZ482" s="962"/>
      <c r="FYA482" s="962"/>
      <c r="FYB482" s="962"/>
      <c r="FYC482" s="962"/>
      <c r="FYD482" s="962"/>
      <c r="FYE482" s="962"/>
      <c r="FYF482" s="962"/>
      <c r="FYG482" s="962"/>
      <c r="FYH482" s="962"/>
      <c r="FYI482" s="962"/>
      <c r="FYJ482" s="962"/>
      <c r="FYK482" s="962"/>
      <c r="FYL482" s="962"/>
      <c r="FYM482" s="962"/>
      <c r="FYN482" s="962"/>
      <c r="FYO482" s="962"/>
      <c r="FYP482" s="962"/>
      <c r="FYQ482" s="962"/>
      <c r="FYR482" s="962"/>
      <c r="FYS482" s="962"/>
      <c r="FYT482" s="962"/>
      <c r="FYU482" s="962"/>
      <c r="FYV482" s="962"/>
      <c r="FYW482" s="962"/>
      <c r="FYX482" s="962"/>
      <c r="FYY482" s="962"/>
      <c r="FYZ482" s="962"/>
      <c r="FZA482" s="962"/>
      <c r="FZB482" s="962"/>
      <c r="FZC482" s="962"/>
      <c r="FZD482" s="962"/>
      <c r="FZE482" s="962"/>
      <c r="FZF482" s="962"/>
      <c r="FZG482" s="962"/>
      <c r="FZH482" s="962"/>
      <c r="FZI482" s="962"/>
      <c r="FZJ482" s="962"/>
      <c r="FZK482" s="962"/>
      <c r="FZL482" s="962"/>
      <c r="FZM482" s="962"/>
      <c r="FZN482" s="962"/>
      <c r="FZO482" s="962"/>
      <c r="FZP482" s="962"/>
      <c r="FZQ482" s="962"/>
      <c r="FZR482" s="962"/>
      <c r="FZS482" s="962"/>
      <c r="FZT482" s="962"/>
      <c r="FZU482" s="962"/>
      <c r="FZV482" s="962"/>
      <c r="FZW482" s="962"/>
      <c r="FZX482" s="962"/>
      <c r="FZY482" s="962"/>
      <c r="FZZ482" s="962"/>
      <c r="GAA482" s="962"/>
      <c r="GAB482" s="962"/>
      <c r="GAC482" s="962"/>
      <c r="GAD482" s="962"/>
      <c r="GAE482" s="962"/>
      <c r="GAF482" s="962"/>
      <c r="GAG482" s="962"/>
      <c r="GAH482" s="962"/>
      <c r="GAI482" s="962"/>
      <c r="GAJ482" s="962"/>
      <c r="GAK482" s="962"/>
      <c r="GAL482" s="962"/>
      <c r="GAM482" s="962"/>
      <c r="GAN482" s="962"/>
      <c r="GAO482" s="962"/>
      <c r="GAP482" s="962"/>
      <c r="GAQ482" s="962"/>
      <c r="GAR482" s="962"/>
      <c r="GAS482" s="962"/>
      <c r="GAT482" s="962"/>
      <c r="GAU482" s="962"/>
      <c r="GAV482" s="962"/>
      <c r="GAW482" s="962"/>
      <c r="GAX482" s="962"/>
      <c r="GAY482" s="962"/>
      <c r="GAZ482" s="962"/>
      <c r="GBA482" s="962"/>
      <c r="GBB482" s="962"/>
      <c r="GBC482" s="962"/>
      <c r="GBD482" s="962"/>
      <c r="GBE482" s="962"/>
      <c r="GBF482" s="962"/>
      <c r="GBG482" s="962"/>
      <c r="GBH482" s="962"/>
      <c r="GBI482" s="962"/>
      <c r="GBJ482" s="962"/>
      <c r="GBK482" s="962"/>
      <c r="GBL482" s="962"/>
      <c r="GBM482" s="962"/>
      <c r="GBN482" s="962"/>
      <c r="GBO482" s="962"/>
      <c r="GBP482" s="962"/>
      <c r="GBQ482" s="962"/>
      <c r="GBR482" s="962"/>
      <c r="GBS482" s="962"/>
      <c r="GBT482" s="962"/>
      <c r="GBU482" s="962"/>
      <c r="GBV482" s="962"/>
      <c r="GBW482" s="962"/>
      <c r="GBX482" s="962"/>
      <c r="GBY482" s="962"/>
      <c r="GBZ482" s="962"/>
      <c r="GCA482" s="962"/>
      <c r="GCB482" s="962"/>
      <c r="GCC482" s="962"/>
      <c r="GCD482" s="962"/>
      <c r="GCE482" s="962"/>
      <c r="GCF482" s="962"/>
      <c r="GCG482" s="962"/>
      <c r="GCH482" s="962"/>
      <c r="GCI482" s="962"/>
      <c r="GCJ482" s="962"/>
      <c r="GCK482" s="962"/>
      <c r="GCL482" s="962"/>
      <c r="GCM482" s="962"/>
      <c r="GCN482" s="962"/>
      <c r="GCO482" s="962"/>
      <c r="GCP482" s="962"/>
      <c r="GCQ482" s="962"/>
      <c r="GCR482" s="962"/>
      <c r="GCS482" s="962"/>
      <c r="GCT482" s="962"/>
      <c r="GCU482" s="962"/>
      <c r="GCV482" s="962"/>
      <c r="GCW482" s="962"/>
      <c r="GCX482" s="962"/>
      <c r="GCY482" s="962"/>
      <c r="GCZ482" s="962"/>
      <c r="GDA482" s="962"/>
      <c r="GDB482" s="962"/>
      <c r="GDC482" s="962"/>
      <c r="GDD482" s="962"/>
      <c r="GDE482" s="962"/>
      <c r="GDF482" s="962"/>
      <c r="GDG482" s="962"/>
      <c r="GDH482" s="962"/>
      <c r="GDI482" s="962"/>
      <c r="GDJ482" s="962"/>
      <c r="GDK482" s="962"/>
      <c r="GDL482" s="962"/>
      <c r="GDM482" s="962"/>
      <c r="GDN482" s="962"/>
      <c r="GDO482" s="962"/>
      <c r="GDP482" s="962"/>
      <c r="GDQ482" s="962"/>
      <c r="GDR482" s="962"/>
      <c r="GDS482" s="962"/>
      <c r="GDT482" s="962"/>
      <c r="GDU482" s="962"/>
      <c r="GDV482" s="962"/>
      <c r="GDW482" s="962"/>
      <c r="GDX482" s="962"/>
      <c r="GDY482" s="962"/>
      <c r="GDZ482" s="962"/>
      <c r="GEA482" s="962"/>
      <c r="GEB482" s="962"/>
      <c r="GEC482" s="962"/>
      <c r="GED482" s="962"/>
      <c r="GEE482" s="962"/>
      <c r="GEF482" s="962"/>
      <c r="GEG482" s="962"/>
      <c r="GEH482" s="962"/>
      <c r="GEI482" s="962"/>
      <c r="GEJ482" s="962"/>
      <c r="GEK482" s="962"/>
      <c r="GEL482" s="962"/>
      <c r="GEM482" s="962"/>
      <c r="GEN482" s="962"/>
      <c r="GEO482" s="962"/>
      <c r="GEP482" s="962"/>
      <c r="GEQ482" s="962"/>
      <c r="GER482" s="962"/>
      <c r="GES482" s="962"/>
      <c r="GET482" s="962"/>
      <c r="GEU482" s="962"/>
      <c r="GEV482" s="962"/>
      <c r="GEW482" s="962"/>
      <c r="GEX482" s="962"/>
      <c r="GEY482" s="962"/>
      <c r="GEZ482" s="962"/>
      <c r="GFA482" s="962"/>
      <c r="GFB482" s="962"/>
      <c r="GFC482" s="962"/>
      <c r="GFD482" s="962"/>
      <c r="GFE482" s="962"/>
      <c r="GFF482" s="962"/>
      <c r="GFG482" s="962"/>
      <c r="GFH482" s="962"/>
      <c r="GFI482" s="962"/>
      <c r="GFJ482" s="962"/>
      <c r="GFK482" s="962"/>
      <c r="GFL482" s="962"/>
      <c r="GFM482" s="962"/>
      <c r="GFN482" s="962"/>
      <c r="GFO482" s="962"/>
      <c r="GFP482" s="962"/>
      <c r="GFQ482" s="962"/>
      <c r="GFR482" s="962"/>
      <c r="GFS482" s="962"/>
      <c r="GFT482" s="962"/>
      <c r="GFU482" s="962"/>
      <c r="GFV482" s="962"/>
      <c r="GFW482" s="962"/>
      <c r="GFX482" s="962"/>
      <c r="GFY482" s="962"/>
      <c r="GFZ482" s="962"/>
      <c r="GGA482" s="962"/>
      <c r="GGB482" s="962"/>
      <c r="GGC482" s="962"/>
      <c r="GGD482" s="962"/>
      <c r="GGE482" s="962"/>
      <c r="GGF482" s="962"/>
      <c r="GGG482" s="962"/>
      <c r="GGH482" s="962"/>
      <c r="GGI482" s="962"/>
      <c r="GGJ482" s="962"/>
      <c r="GGK482" s="962"/>
      <c r="GGL482" s="962"/>
      <c r="GGM482" s="962"/>
      <c r="GGN482" s="962"/>
      <c r="GGO482" s="962"/>
      <c r="GGP482" s="962"/>
      <c r="GGQ482" s="962"/>
      <c r="GGR482" s="962"/>
      <c r="GGS482" s="962"/>
      <c r="GGT482" s="962"/>
      <c r="GGU482" s="962"/>
      <c r="GGV482" s="962"/>
      <c r="GGW482" s="962"/>
      <c r="GGX482" s="962"/>
      <c r="GGY482" s="962"/>
      <c r="GGZ482" s="962"/>
      <c r="GHA482" s="962"/>
      <c r="GHB482" s="962"/>
      <c r="GHC482" s="962"/>
      <c r="GHD482" s="962"/>
      <c r="GHE482" s="962"/>
      <c r="GHF482" s="962"/>
      <c r="GHG482" s="962"/>
      <c r="GHH482" s="962"/>
      <c r="GHI482" s="962"/>
      <c r="GHJ482" s="962"/>
      <c r="GHK482" s="962"/>
      <c r="GHL482" s="962"/>
      <c r="GHM482" s="962"/>
      <c r="GHN482" s="962"/>
      <c r="GHO482" s="962"/>
      <c r="GHP482" s="962"/>
      <c r="GHQ482" s="962"/>
      <c r="GHR482" s="962"/>
      <c r="GHS482" s="962"/>
      <c r="GHT482" s="962"/>
      <c r="GHU482" s="962"/>
      <c r="GHV482" s="962"/>
      <c r="GHW482" s="962"/>
      <c r="GHX482" s="962"/>
      <c r="GHY482" s="962"/>
      <c r="GHZ482" s="962"/>
      <c r="GIA482" s="962"/>
      <c r="GIB482" s="962"/>
      <c r="GIC482" s="962"/>
      <c r="GID482" s="962"/>
      <c r="GIE482" s="962"/>
      <c r="GIF482" s="962"/>
      <c r="GIG482" s="962"/>
      <c r="GIH482" s="962"/>
      <c r="GII482" s="962"/>
      <c r="GIJ482" s="962"/>
      <c r="GIK482" s="962"/>
      <c r="GIL482" s="962"/>
      <c r="GIM482" s="962"/>
      <c r="GIN482" s="962"/>
      <c r="GIO482" s="962"/>
      <c r="GIP482" s="962"/>
      <c r="GIQ482" s="962"/>
      <c r="GIR482" s="962"/>
      <c r="GIS482" s="962"/>
      <c r="GIT482" s="962"/>
      <c r="GIU482" s="962"/>
      <c r="GIV482" s="962"/>
      <c r="GIW482" s="962"/>
      <c r="GIX482" s="962"/>
      <c r="GIY482" s="962"/>
      <c r="GIZ482" s="962"/>
      <c r="GJA482" s="962"/>
      <c r="GJB482" s="962"/>
      <c r="GJC482" s="962"/>
      <c r="GJD482" s="962"/>
      <c r="GJE482" s="962"/>
      <c r="GJF482" s="962"/>
      <c r="GJG482" s="962"/>
      <c r="GJH482" s="962"/>
      <c r="GJI482" s="962"/>
      <c r="GJJ482" s="962"/>
      <c r="GJK482" s="962"/>
      <c r="GJL482" s="962"/>
      <c r="GJM482" s="962"/>
      <c r="GJN482" s="962"/>
      <c r="GJO482" s="962"/>
      <c r="GJP482" s="962"/>
      <c r="GJQ482" s="962"/>
      <c r="GJR482" s="962"/>
      <c r="GJS482" s="962"/>
      <c r="GJT482" s="962"/>
      <c r="GJU482" s="962"/>
      <c r="GJV482" s="962"/>
      <c r="GJW482" s="962"/>
      <c r="GJX482" s="962"/>
      <c r="GJY482" s="962"/>
      <c r="GJZ482" s="962"/>
      <c r="GKA482" s="962"/>
      <c r="GKB482" s="962"/>
      <c r="GKC482" s="962"/>
      <c r="GKD482" s="962"/>
      <c r="GKE482" s="962"/>
      <c r="GKF482" s="962"/>
      <c r="GKG482" s="962"/>
      <c r="GKH482" s="962"/>
      <c r="GKI482" s="962"/>
      <c r="GKJ482" s="962"/>
      <c r="GKK482" s="962"/>
      <c r="GKL482" s="962"/>
      <c r="GKM482" s="962"/>
      <c r="GKN482" s="962"/>
      <c r="GKO482" s="962"/>
      <c r="GKP482" s="962"/>
      <c r="GKQ482" s="962"/>
      <c r="GKR482" s="962"/>
      <c r="GKS482" s="962"/>
      <c r="GKT482" s="962"/>
      <c r="GKU482" s="962"/>
      <c r="GKV482" s="962"/>
      <c r="GKW482" s="962"/>
      <c r="GKX482" s="962"/>
      <c r="GKY482" s="962"/>
      <c r="GKZ482" s="962"/>
      <c r="GLA482" s="962"/>
      <c r="GLB482" s="962"/>
      <c r="GLC482" s="962"/>
      <c r="GLD482" s="962"/>
      <c r="GLE482" s="962"/>
      <c r="GLF482" s="962"/>
      <c r="GLG482" s="962"/>
      <c r="GLH482" s="962"/>
      <c r="GLI482" s="962"/>
      <c r="GLJ482" s="962"/>
      <c r="GLK482" s="962"/>
      <c r="GLL482" s="962"/>
      <c r="GLM482" s="962"/>
      <c r="GLN482" s="962"/>
      <c r="GLO482" s="962"/>
      <c r="GLP482" s="962"/>
      <c r="GLQ482" s="962"/>
      <c r="GLR482" s="962"/>
      <c r="GLS482" s="962"/>
      <c r="GLT482" s="962"/>
      <c r="GLU482" s="962"/>
      <c r="GLV482" s="962"/>
      <c r="GLW482" s="962"/>
      <c r="GLX482" s="962"/>
      <c r="GLY482" s="962"/>
      <c r="GLZ482" s="962"/>
      <c r="GMA482" s="962"/>
      <c r="GMB482" s="962"/>
      <c r="GMC482" s="962"/>
      <c r="GMD482" s="962"/>
      <c r="GME482" s="962"/>
      <c r="GMF482" s="962"/>
      <c r="GMG482" s="962"/>
      <c r="GMH482" s="962"/>
      <c r="GMI482" s="962"/>
      <c r="GMJ482" s="962"/>
      <c r="GMK482" s="962"/>
      <c r="GML482" s="962"/>
      <c r="GMM482" s="962"/>
      <c r="GMN482" s="962"/>
      <c r="GMO482" s="962"/>
      <c r="GMP482" s="962"/>
      <c r="GMQ482" s="962"/>
      <c r="GMR482" s="962"/>
      <c r="GMS482" s="962"/>
      <c r="GMT482" s="962"/>
      <c r="GMU482" s="962"/>
      <c r="GMV482" s="962"/>
      <c r="GMW482" s="962"/>
      <c r="GMX482" s="962"/>
      <c r="GMY482" s="962"/>
      <c r="GMZ482" s="962"/>
      <c r="GNA482" s="962"/>
      <c r="GNB482" s="962"/>
      <c r="GNC482" s="962"/>
      <c r="GND482" s="962"/>
      <c r="GNE482" s="962"/>
      <c r="GNF482" s="962"/>
      <c r="GNG482" s="962"/>
      <c r="GNH482" s="962"/>
      <c r="GNI482" s="962"/>
      <c r="GNJ482" s="962"/>
      <c r="GNK482" s="962"/>
      <c r="GNL482" s="962"/>
      <c r="GNM482" s="962"/>
      <c r="GNN482" s="962"/>
      <c r="GNO482" s="962"/>
      <c r="GNP482" s="962"/>
      <c r="GNQ482" s="962"/>
      <c r="GNR482" s="962"/>
      <c r="GNS482" s="962"/>
      <c r="GNT482" s="962"/>
      <c r="GNU482" s="962"/>
      <c r="GNV482" s="962"/>
      <c r="GNW482" s="962"/>
      <c r="GNX482" s="962"/>
      <c r="GNY482" s="962"/>
      <c r="GNZ482" s="962"/>
      <c r="GOA482" s="962"/>
      <c r="GOB482" s="962"/>
      <c r="GOC482" s="962"/>
      <c r="GOD482" s="962"/>
      <c r="GOE482" s="962"/>
      <c r="GOF482" s="962"/>
      <c r="GOG482" s="962"/>
      <c r="GOH482" s="962"/>
      <c r="GOI482" s="962"/>
      <c r="GOJ482" s="962"/>
      <c r="GOK482" s="962"/>
      <c r="GOL482" s="962"/>
      <c r="GOM482" s="962"/>
      <c r="GON482" s="962"/>
      <c r="GOO482" s="962"/>
      <c r="GOP482" s="962"/>
      <c r="GOQ482" s="962"/>
      <c r="GOR482" s="962"/>
      <c r="GOS482" s="962"/>
      <c r="GOT482" s="962"/>
      <c r="GOU482" s="962"/>
      <c r="GOV482" s="962"/>
      <c r="GOW482" s="962"/>
      <c r="GOX482" s="962"/>
      <c r="GOY482" s="962"/>
      <c r="GOZ482" s="962"/>
      <c r="GPA482" s="962"/>
      <c r="GPB482" s="962"/>
      <c r="GPC482" s="962"/>
      <c r="GPD482" s="962"/>
      <c r="GPE482" s="962"/>
      <c r="GPF482" s="962"/>
      <c r="GPG482" s="962"/>
      <c r="GPH482" s="962"/>
      <c r="GPI482" s="962"/>
      <c r="GPJ482" s="962"/>
      <c r="GPK482" s="962"/>
      <c r="GPL482" s="962"/>
      <c r="GPM482" s="962"/>
      <c r="GPN482" s="962"/>
      <c r="GPO482" s="962"/>
      <c r="GPP482" s="962"/>
      <c r="GPQ482" s="962"/>
      <c r="GPR482" s="962"/>
      <c r="GPS482" s="962"/>
      <c r="GPT482" s="962"/>
      <c r="GPU482" s="962"/>
      <c r="GPV482" s="962"/>
      <c r="GPW482" s="962"/>
      <c r="GPX482" s="962"/>
      <c r="GPY482" s="962"/>
      <c r="GPZ482" s="962"/>
      <c r="GQA482" s="962"/>
      <c r="GQB482" s="962"/>
      <c r="GQC482" s="962"/>
      <c r="GQD482" s="962"/>
      <c r="GQE482" s="962"/>
      <c r="GQF482" s="962"/>
      <c r="GQG482" s="962"/>
      <c r="GQH482" s="962"/>
      <c r="GQI482" s="962"/>
      <c r="GQJ482" s="962"/>
      <c r="GQK482" s="962"/>
      <c r="GQL482" s="962"/>
      <c r="GQM482" s="962"/>
      <c r="GQN482" s="962"/>
      <c r="GQO482" s="962"/>
      <c r="GQP482" s="962"/>
      <c r="GQQ482" s="962"/>
      <c r="GQR482" s="962"/>
      <c r="GQS482" s="962"/>
      <c r="GQT482" s="962"/>
      <c r="GQU482" s="962"/>
      <c r="GQV482" s="962"/>
      <c r="GQW482" s="962"/>
      <c r="GQX482" s="962"/>
      <c r="GQY482" s="962"/>
      <c r="GQZ482" s="962"/>
      <c r="GRA482" s="962"/>
      <c r="GRB482" s="962"/>
      <c r="GRC482" s="962"/>
      <c r="GRD482" s="962"/>
      <c r="GRE482" s="962"/>
      <c r="GRF482" s="962"/>
      <c r="GRG482" s="962"/>
      <c r="GRH482" s="962"/>
      <c r="GRI482" s="962"/>
      <c r="GRJ482" s="962"/>
      <c r="GRK482" s="962"/>
      <c r="GRL482" s="962"/>
      <c r="GRM482" s="962"/>
      <c r="GRN482" s="962"/>
      <c r="GRO482" s="962"/>
      <c r="GRP482" s="962"/>
      <c r="GRQ482" s="962"/>
      <c r="GRR482" s="962"/>
      <c r="GRS482" s="962"/>
      <c r="GRT482" s="962"/>
      <c r="GRU482" s="962"/>
      <c r="GRV482" s="962"/>
      <c r="GRW482" s="962"/>
      <c r="GRX482" s="962"/>
      <c r="GRY482" s="962"/>
      <c r="GRZ482" s="962"/>
      <c r="GSA482" s="962"/>
      <c r="GSB482" s="962"/>
      <c r="GSC482" s="962"/>
      <c r="GSD482" s="962"/>
      <c r="GSE482" s="962"/>
      <c r="GSF482" s="962"/>
      <c r="GSG482" s="962"/>
      <c r="GSH482" s="962"/>
      <c r="GSI482" s="962"/>
      <c r="GSJ482" s="962"/>
      <c r="GSK482" s="962"/>
      <c r="GSL482" s="962"/>
      <c r="GSM482" s="962"/>
      <c r="GSN482" s="962"/>
      <c r="GSO482" s="962"/>
      <c r="GSP482" s="962"/>
      <c r="GSQ482" s="962"/>
      <c r="GSR482" s="962"/>
      <c r="GSS482" s="962"/>
      <c r="GST482" s="962"/>
      <c r="GSU482" s="962"/>
      <c r="GSV482" s="962"/>
      <c r="GSW482" s="962"/>
      <c r="GSX482" s="962"/>
      <c r="GSY482" s="962"/>
      <c r="GSZ482" s="962"/>
      <c r="GTA482" s="962"/>
      <c r="GTB482" s="962"/>
      <c r="GTC482" s="962"/>
      <c r="GTD482" s="962"/>
      <c r="GTE482" s="962"/>
      <c r="GTF482" s="962"/>
      <c r="GTG482" s="962"/>
      <c r="GTH482" s="962"/>
      <c r="GTI482" s="962"/>
      <c r="GTJ482" s="962"/>
      <c r="GTK482" s="962"/>
      <c r="GTL482" s="962"/>
      <c r="GTM482" s="962"/>
      <c r="GTN482" s="962"/>
      <c r="GTO482" s="962"/>
      <c r="GTP482" s="962"/>
      <c r="GTQ482" s="962"/>
      <c r="GTR482" s="962"/>
      <c r="GTS482" s="962"/>
      <c r="GTT482" s="962"/>
      <c r="GTU482" s="962"/>
      <c r="GTV482" s="962"/>
      <c r="GTW482" s="962"/>
      <c r="GTX482" s="962"/>
      <c r="GTY482" s="962"/>
      <c r="GTZ482" s="962"/>
      <c r="GUA482" s="962"/>
      <c r="GUB482" s="962"/>
      <c r="GUC482" s="962"/>
      <c r="GUD482" s="962"/>
      <c r="GUE482" s="962"/>
      <c r="GUF482" s="962"/>
      <c r="GUG482" s="962"/>
      <c r="GUH482" s="962"/>
      <c r="GUI482" s="962"/>
      <c r="GUJ482" s="962"/>
      <c r="GUK482" s="962"/>
      <c r="GUL482" s="962"/>
      <c r="GUM482" s="962"/>
      <c r="GUN482" s="962"/>
      <c r="GUO482" s="962"/>
      <c r="GUP482" s="962"/>
      <c r="GUQ482" s="962"/>
      <c r="GUR482" s="962"/>
      <c r="GUS482" s="962"/>
      <c r="GUT482" s="962"/>
      <c r="GUU482" s="962"/>
      <c r="GUV482" s="962"/>
      <c r="GUW482" s="962"/>
      <c r="GUX482" s="962"/>
      <c r="GUY482" s="962"/>
      <c r="GUZ482" s="962"/>
      <c r="GVA482" s="962"/>
      <c r="GVB482" s="962"/>
      <c r="GVC482" s="962"/>
      <c r="GVD482" s="962"/>
      <c r="GVE482" s="962"/>
      <c r="GVF482" s="962"/>
      <c r="GVG482" s="962"/>
      <c r="GVH482" s="962"/>
      <c r="GVI482" s="962"/>
      <c r="GVJ482" s="962"/>
      <c r="GVK482" s="962"/>
      <c r="GVL482" s="962"/>
      <c r="GVM482" s="962"/>
      <c r="GVN482" s="962"/>
      <c r="GVO482" s="962"/>
      <c r="GVP482" s="962"/>
      <c r="GVQ482" s="962"/>
      <c r="GVR482" s="962"/>
      <c r="GVS482" s="962"/>
      <c r="GVT482" s="962"/>
      <c r="GVU482" s="962"/>
      <c r="GVV482" s="962"/>
      <c r="GVW482" s="962"/>
      <c r="GVX482" s="962"/>
      <c r="GVY482" s="962"/>
      <c r="GVZ482" s="962"/>
      <c r="GWA482" s="962"/>
      <c r="GWB482" s="962"/>
      <c r="GWC482" s="962"/>
      <c r="GWD482" s="962"/>
      <c r="GWE482" s="962"/>
      <c r="GWF482" s="962"/>
      <c r="GWG482" s="962"/>
      <c r="GWH482" s="962"/>
      <c r="GWI482" s="962"/>
      <c r="GWJ482" s="962"/>
      <c r="GWK482" s="962"/>
      <c r="GWL482" s="962"/>
      <c r="GWM482" s="962"/>
      <c r="GWN482" s="962"/>
      <c r="GWO482" s="962"/>
      <c r="GWP482" s="962"/>
      <c r="GWQ482" s="962"/>
      <c r="GWR482" s="962"/>
      <c r="GWS482" s="962"/>
      <c r="GWT482" s="962"/>
      <c r="GWU482" s="962"/>
      <c r="GWV482" s="962"/>
      <c r="GWW482" s="962"/>
      <c r="GWX482" s="962"/>
      <c r="GWY482" s="962"/>
      <c r="GWZ482" s="962"/>
      <c r="GXA482" s="962"/>
      <c r="GXB482" s="962"/>
      <c r="GXC482" s="962"/>
      <c r="GXD482" s="962"/>
      <c r="GXE482" s="962"/>
      <c r="GXF482" s="962"/>
      <c r="GXG482" s="962"/>
      <c r="GXH482" s="962"/>
      <c r="GXI482" s="962"/>
      <c r="GXJ482" s="962"/>
      <c r="GXK482" s="962"/>
      <c r="GXL482" s="962"/>
      <c r="GXM482" s="962"/>
      <c r="GXN482" s="962"/>
      <c r="GXO482" s="962"/>
      <c r="GXP482" s="962"/>
      <c r="GXQ482" s="962"/>
      <c r="GXR482" s="962"/>
      <c r="GXS482" s="962"/>
      <c r="GXT482" s="962"/>
      <c r="GXU482" s="962"/>
      <c r="GXV482" s="962"/>
      <c r="GXW482" s="962"/>
      <c r="GXX482" s="962"/>
      <c r="GXY482" s="962"/>
      <c r="GXZ482" s="962"/>
      <c r="GYA482" s="962"/>
      <c r="GYB482" s="962"/>
      <c r="GYC482" s="962"/>
      <c r="GYD482" s="962"/>
      <c r="GYE482" s="962"/>
      <c r="GYF482" s="962"/>
      <c r="GYG482" s="962"/>
      <c r="GYH482" s="962"/>
      <c r="GYI482" s="962"/>
      <c r="GYJ482" s="962"/>
      <c r="GYK482" s="962"/>
      <c r="GYL482" s="962"/>
      <c r="GYM482" s="962"/>
      <c r="GYN482" s="962"/>
      <c r="GYO482" s="962"/>
      <c r="GYP482" s="962"/>
      <c r="GYQ482" s="962"/>
      <c r="GYR482" s="962"/>
      <c r="GYS482" s="962"/>
      <c r="GYT482" s="962"/>
      <c r="GYU482" s="962"/>
      <c r="GYV482" s="962"/>
      <c r="GYW482" s="962"/>
      <c r="GYX482" s="962"/>
      <c r="GYY482" s="962"/>
      <c r="GYZ482" s="962"/>
      <c r="GZA482" s="962"/>
      <c r="GZB482" s="962"/>
      <c r="GZC482" s="962"/>
      <c r="GZD482" s="962"/>
      <c r="GZE482" s="962"/>
      <c r="GZF482" s="962"/>
      <c r="GZG482" s="962"/>
      <c r="GZH482" s="962"/>
      <c r="GZI482" s="962"/>
      <c r="GZJ482" s="962"/>
      <c r="GZK482" s="962"/>
      <c r="GZL482" s="962"/>
      <c r="GZM482" s="962"/>
      <c r="GZN482" s="962"/>
      <c r="GZO482" s="962"/>
      <c r="GZP482" s="962"/>
      <c r="GZQ482" s="962"/>
      <c r="GZR482" s="962"/>
      <c r="GZS482" s="962"/>
      <c r="GZT482" s="962"/>
      <c r="GZU482" s="962"/>
      <c r="GZV482" s="962"/>
      <c r="GZW482" s="962"/>
      <c r="GZX482" s="962"/>
      <c r="GZY482" s="962"/>
      <c r="GZZ482" s="962"/>
      <c r="HAA482" s="962"/>
      <c r="HAB482" s="962"/>
      <c r="HAC482" s="962"/>
      <c r="HAD482" s="962"/>
      <c r="HAE482" s="962"/>
      <c r="HAF482" s="962"/>
      <c r="HAG482" s="962"/>
      <c r="HAH482" s="962"/>
      <c r="HAI482" s="962"/>
      <c r="HAJ482" s="962"/>
      <c r="HAK482" s="962"/>
      <c r="HAL482" s="962"/>
      <c r="HAM482" s="962"/>
      <c r="HAN482" s="962"/>
      <c r="HAO482" s="962"/>
      <c r="HAP482" s="962"/>
      <c r="HAQ482" s="962"/>
      <c r="HAR482" s="962"/>
      <c r="HAS482" s="962"/>
      <c r="HAT482" s="962"/>
      <c r="HAU482" s="962"/>
      <c r="HAV482" s="962"/>
      <c r="HAW482" s="962"/>
      <c r="HAX482" s="962"/>
      <c r="HAY482" s="962"/>
      <c r="HAZ482" s="962"/>
      <c r="HBA482" s="962"/>
      <c r="HBB482" s="962"/>
      <c r="HBC482" s="962"/>
      <c r="HBD482" s="962"/>
      <c r="HBE482" s="962"/>
      <c r="HBF482" s="962"/>
      <c r="HBG482" s="962"/>
      <c r="HBH482" s="962"/>
      <c r="HBI482" s="962"/>
      <c r="HBJ482" s="962"/>
      <c r="HBK482" s="962"/>
      <c r="HBL482" s="962"/>
      <c r="HBM482" s="962"/>
      <c r="HBN482" s="962"/>
      <c r="HBO482" s="962"/>
      <c r="HBP482" s="962"/>
      <c r="HBQ482" s="962"/>
      <c r="HBR482" s="962"/>
      <c r="HBS482" s="962"/>
      <c r="HBT482" s="962"/>
      <c r="HBU482" s="962"/>
      <c r="HBV482" s="962"/>
      <c r="HBW482" s="962"/>
      <c r="HBX482" s="962"/>
      <c r="HBY482" s="962"/>
      <c r="HBZ482" s="962"/>
      <c r="HCA482" s="962"/>
      <c r="HCB482" s="962"/>
      <c r="HCC482" s="962"/>
      <c r="HCD482" s="962"/>
      <c r="HCE482" s="962"/>
      <c r="HCF482" s="962"/>
      <c r="HCG482" s="962"/>
      <c r="HCH482" s="962"/>
      <c r="HCI482" s="962"/>
      <c r="HCJ482" s="962"/>
      <c r="HCK482" s="962"/>
      <c r="HCL482" s="962"/>
      <c r="HCM482" s="962"/>
      <c r="HCN482" s="962"/>
      <c r="HCO482" s="962"/>
      <c r="HCP482" s="962"/>
      <c r="HCQ482" s="962"/>
      <c r="HCR482" s="962"/>
      <c r="HCS482" s="962"/>
      <c r="HCT482" s="962"/>
      <c r="HCU482" s="962"/>
      <c r="HCV482" s="962"/>
      <c r="HCW482" s="962"/>
      <c r="HCX482" s="962"/>
      <c r="HCY482" s="962"/>
      <c r="HCZ482" s="962"/>
      <c r="HDA482" s="962"/>
      <c r="HDB482" s="962"/>
      <c r="HDC482" s="962"/>
      <c r="HDD482" s="962"/>
      <c r="HDE482" s="962"/>
      <c r="HDF482" s="962"/>
      <c r="HDG482" s="962"/>
      <c r="HDH482" s="962"/>
      <c r="HDI482" s="962"/>
      <c r="HDJ482" s="962"/>
      <c r="HDK482" s="962"/>
      <c r="HDL482" s="962"/>
      <c r="HDM482" s="962"/>
      <c r="HDN482" s="962"/>
      <c r="HDO482" s="962"/>
      <c r="HDP482" s="962"/>
      <c r="HDQ482" s="962"/>
      <c r="HDR482" s="962"/>
      <c r="HDS482" s="962"/>
      <c r="HDT482" s="962"/>
      <c r="HDU482" s="962"/>
      <c r="HDV482" s="962"/>
      <c r="HDW482" s="962"/>
      <c r="HDX482" s="962"/>
      <c r="HDY482" s="962"/>
      <c r="HDZ482" s="962"/>
      <c r="HEA482" s="962"/>
      <c r="HEB482" s="962"/>
      <c r="HEC482" s="962"/>
      <c r="HED482" s="962"/>
      <c r="HEE482" s="962"/>
      <c r="HEF482" s="962"/>
      <c r="HEG482" s="962"/>
      <c r="HEH482" s="962"/>
      <c r="HEI482" s="962"/>
      <c r="HEJ482" s="962"/>
      <c r="HEK482" s="962"/>
      <c r="HEL482" s="962"/>
      <c r="HEM482" s="962"/>
      <c r="HEN482" s="962"/>
      <c r="HEO482" s="962"/>
      <c r="HEP482" s="962"/>
      <c r="HEQ482" s="962"/>
      <c r="HER482" s="962"/>
      <c r="HES482" s="962"/>
      <c r="HET482" s="962"/>
      <c r="HEU482" s="962"/>
      <c r="HEV482" s="962"/>
      <c r="HEW482" s="962"/>
      <c r="HEX482" s="962"/>
      <c r="HEY482" s="962"/>
      <c r="HEZ482" s="962"/>
      <c r="HFA482" s="962"/>
      <c r="HFB482" s="962"/>
      <c r="HFC482" s="962"/>
      <c r="HFD482" s="962"/>
      <c r="HFE482" s="962"/>
      <c r="HFF482" s="962"/>
      <c r="HFG482" s="962"/>
      <c r="HFH482" s="962"/>
      <c r="HFI482" s="962"/>
      <c r="HFJ482" s="962"/>
      <c r="HFK482" s="962"/>
      <c r="HFL482" s="962"/>
      <c r="HFM482" s="962"/>
      <c r="HFN482" s="962"/>
      <c r="HFO482" s="962"/>
      <c r="HFP482" s="962"/>
      <c r="HFQ482" s="962"/>
      <c r="HFR482" s="962"/>
      <c r="HFS482" s="962"/>
      <c r="HFT482" s="962"/>
      <c r="HFU482" s="962"/>
      <c r="HFV482" s="962"/>
      <c r="HFW482" s="962"/>
      <c r="HFX482" s="962"/>
      <c r="HFY482" s="962"/>
      <c r="HFZ482" s="962"/>
      <c r="HGA482" s="962"/>
      <c r="HGB482" s="962"/>
      <c r="HGC482" s="962"/>
      <c r="HGD482" s="962"/>
      <c r="HGE482" s="962"/>
      <c r="HGF482" s="962"/>
      <c r="HGG482" s="962"/>
      <c r="HGH482" s="962"/>
      <c r="HGI482" s="962"/>
      <c r="HGJ482" s="962"/>
      <c r="HGK482" s="962"/>
      <c r="HGL482" s="962"/>
      <c r="HGM482" s="962"/>
      <c r="HGN482" s="962"/>
      <c r="HGO482" s="962"/>
      <c r="HGP482" s="962"/>
      <c r="HGQ482" s="962"/>
      <c r="HGR482" s="962"/>
      <c r="HGS482" s="962"/>
      <c r="HGT482" s="962"/>
      <c r="HGU482" s="962"/>
      <c r="HGV482" s="962"/>
      <c r="HGW482" s="962"/>
      <c r="HGX482" s="962"/>
      <c r="HGY482" s="962"/>
      <c r="HGZ482" s="962"/>
      <c r="HHA482" s="962"/>
      <c r="HHB482" s="962"/>
      <c r="HHC482" s="962"/>
      <c r="HHD482" s="962"/>
      <c r="HHE482" s="962"/>
      <c r="HHF482" s="962"/>
      <c r="HHG482" s="962"/>
      <c r="HHH482" s="962"/>
      <c r="HHI482" s="962"/>
      <c r="HHJ482" s="962"/>
      <c r="HHK482" s="962"/>
      <c r="HHL482" s="962"/>
      <c r="HHM482" s="962"/>
      <c r="HHN482" s="962"/>
      <c r="HHO482" s="962"/>
      <c r="HHP482" s="962"/>
      <c r="HHQ482" s="962"/>
      <c r="HHR482" s="962"/>
      <c r="HHS482" s="962"/>
      <c r="HHT482" s="962"/>
      <c r="HHU482" s="962"/>
      <c r="HHV482" s="962"/>
      <c r="HHW482" s="962"/>
      <c r="HHX482" s="962"/>
      <c r="HHY482" s="962"/>
      <c r="HHZ482" s="962"/>
      <c r="HIA482" s="962"/>
      <c r="HIB482" s="962"/>
      <c r="HIC482" s="962"/>
      <c r="HID482" s="962"/>
      <c r="HIE482" s="962"/>
      <c r="HIF482" s="962"/>
      <c r="HIG482" s="962"/>
      <c r="HIH482" s="962"/>
      <c r="HII482" s="962"/>
      <c r="HIJ482" s="962"/>
      <c r="HIK482" s="962"/>
      <c r="HIL482" s="962"/>
      <c r="HIM482" s="962"/>
      <c r="HIN482" s="962"/>
      <c r="HIO482" s="962"/>
      <c r="HIP482" s="962"/>
      <c r="HIQ482" s="962"/>
      <c r="HIR482" s="962"/>
      <c r="HIS482" s="962"/>
      <c r="HIT482" s="962"/>
      <c r="HIU482" s="962"/>
      <c r="HIV482" s="962"/>
      <c r="HIW482" s="962"/>
      <c r="HIX482" s="962"/>
      <c r="HIY482" s="962"/>
      <c r="HIZ482" s="962"/>
      <c r="HJA482" s="962"/>
      <c r="HJB482" s="962"/>
      <c r="HJC482" s="962"/>
      <c r="HJD482" s="962"/>
      <c r="HJE482" s="962"/>
      <c r="HJF482" s="962"/>
      <c r="HJG482" s="962"/>
      <c r="HJH482" s="962"/>
      <c r="HJI482" s="962"/>
      <c r="HJJ482" s="962"/>
      <c r="HJK482" s="962"/>
      <c r="HJL482" s="962"/>
      <c r="HJM482" s="962"/>
      <c r="HJN482" s="962"/>
      <c r="HJO482" s="962"/>
      <c r="HJP482" s="962"/>
      <c r="HJQ482" s="962"/>
      <c r="HJR482" s="962"/>
      <c r="HJS482" s="962"/>
      <c r="HJT482" s="962"/>
      <c r="HJU482" s="962"/>
      <c r="HJV482" s="962"/>
      <c r="HJW482" s="962"/>
      <c r="HJX482" s="962"/>
      <c r="HJY482" s="962"/>
      <c r="HJZ482" s="962"/>
      <c r="HKA482" s="962"/>
      <c r="HKB482" s="962"/>
      <c r="HKC482" s="962"/>
      <c r="HKD482" s="962"/>
      <c r="HKE482" s="962"/>
      <c r="HKF482" s="962"/>
      <c r="HKG482" s="962"/>
      <c r="HKH482" s="962"/>
      <c r="HKI482" s="962"/>
      <c r="HKJ482" s="962"/>
      <c r="HKK482" s="962"/>
      <c r="HKL482" s="962"/>
      <c r="HKM482" s="962"/>
      <c r="HKN482" s="962"/>
      <c r="HKO482" s="962"/>
      <c r="HKP482" s="962"/>
      <c r="HKQ482" s="962"/>
      <c r="HKR482" s="962"/>
      <c r="HKS482" s="962"/>
      <c r="HKT482" s="962"/>
      <c r="HKU482" s="962"/>
      <c r="HKV482" s="962"/>
      <c r="HKW482" s="962"/>
      <c r="HKX482" s="962"/>
      <c r="HKY482" s="962"/>
      <c r="HKZ482" s="962"/>
      <c r="HLA482" s="962"/>
      <c r="HLB482" s="962"/>
      <c r="HLC482" s="962"/>
      <c r="HLD482" s="962"/>
      <c r="HLE482" s="962"/>
      <c r="HLF482" s="962"/>
      <c r="HLG482" s="962"/>
      <c r="HLH482" s="962"/>
      <c r="HLI482" s="962"/>
      <c r="HLJ482" s="962"/>
      <c r="HLK482" s="962"/>
      <c r="HLL482" s="962"/>
      <c r="HLM482" s="962"/>
      <c r="HLN482" s="962"/>
      <c r="HLO482" s="962"/>
      <c r="HLP482" s="962"/>
      <c r="HLQ482" s="962"/>
      <c r="HLR482" s="962"/>
      <c r="HLS482" s="962"/>
      <c r="HLT482" s="962"/>
      <c r="HLU482" s="962"/>
      <c r="HLV482" s="962"/>
      <c r="HLW482" s="962"/>
      <c r="HLX482" s="962"/>
      <c r="HLY482" s="962"/>
      <c r="HLZ482" s="962"/>
      <c r="HMA482" s="962"/>
      <c r="HMB482" s="962"/>
      <c r="HMC482" s="962"/>
      <c r="HMD482" s="962"/>
      <c r="HME482" s="962"/>
      <c r="HMF482" s="962"/>
      <c r="HMG482" s="962"/>
      <c r="HMH482" s="962"/>
      <c r="HMI482" s="962"/>
      <c r="HMJ482" s="962"/>
      <c r="HMK482" s="962"/>
      <c r="HML482" s="962"/>
      <c r="HMM482" s="962"/>
      <c r="HMN482" s="962"/>
      <c r="HMO482" s="962"/>
      <c r="HMP482" s="962"/>
      <c r="HMQ482" s="962"/>
      <c r="HMR482" s="962"/>
      <c r="HMS482" s="962"/>
      <c r="HMT482" s="962"/>
      <c r="HMU482" s="962"/>
      <c r="HMV482" s="962"/>
      <c r="HMW482" s="962"/>
      <c r="HMX482" s="962"/>
      <c r="HMY482" s="962"/>
      <c r="HMZ482" s="962"/>
      <c r="HNA482" s="962"/>
      <c r="HNB482" s="962"/>
      <c r="HNC482" s="962"/>
      <c r="HND482" s="962"/>
      <c r="HNE482" s="962"/>
      <c r="HNF482" s="962"/>
      <c r="HNG482" s="962"/>
      <c r="HNH482" s="962"/>
      <c r="HNI482" s="962"/>
      <c r="HNJ482" s="962"/>
      <c r="HNK482" s="962"/>
      <c r="HNL482" s="962"/>
      <c r="HNM482" s="962"/>
      <c r="HNN482" s="962"/>
      <c r="HNO482" s="962"/>
      <c r="HNP482" s="962"/>
      <c r="HNQ482" s="962"/>
      <c r="HNR482" s="962"/>
      <c r="HNS482" s="962"/>
      <c r="HNT482" s="962"/>
      <c r="HNU482" s="962"/>
      <c r="HNV482" s="962"/>
      <c r="HNW482" s="962"/>
      <c r="HNX482" s="962"/>
      <c r="HNY482" s="962"/>
      <c r="HNZ482" s="962"/>
      <c r="HOA482" s="962"/>
      <c r="HOB482" s="962"/>
      <c r="HOC482" s="962"/>
      <c r="HOD482" s="962"/>
      <c r="HOE482" s="962"/>
      <c r="HOF482" s="962"/>
      <c r="HOG482" s="962"/>
      <c r="HOH482" s="962"/>
      <c r="HOI482" s="962"/>
      <c r="HOJ482" s="962"/>
      <c r="HOK482" s="962"/>
      <c r="HOL482" s="962"/>
      <c r="HOM482" s="962"/>
      <c r="HON482" s="962"/>
      <c r="HOO482" s="962"/>
      <c r="HOP482" s="962"/>
      <c r="HOQ482" s="962"/>
      <c r="HOR482" s="962"/>
      <c r="HOS482" s="962"/>
      <c r="HOT482" s="962"/>
      <c r="HOU482" s="962"/>
      <c r="HOV482" s="962"/>
      <c r="HOW482" s="962"/>
      <c r="HOX482" s="962"/>
      <c r="HOY482" s="962"/>
      <c r="HOZ482" s="962"/>
      <c r="HPA482" s="962"/>
      <c r="HPB482" s="962"/>
      <c r="HPC482" s="962"/>
      <c r="HPD482" s="962"/>
      <c r="HPE482" s="962"/>
      <c r="HPF482" s="962"/>
      <c r="HPG482" s="962"/>
      <c r="HPH482" s="962"/>
      <c r="HPI482" s="962"/>
      <c r="HPJ482" s="962"/>
      <c r="HPK482" s="962"/>
      <c r="HPL482" s="962"/>
      <c r="HPM482" s="962"/>
      <c r="HPN482" s="962"/>
      <c r="HPO482" s="962"/>
      <c r="HPP482" s="962"/>
      <c r="HPQ482" s="962"/>
      <c r="HPR482" s="962"/>
      <c r="HPS482" s="962"/>
      <c r="HPT482" s="962"/>
      <c r="HPU482" s="962"/>
      <c r="HPV482" s="962"/>
      <c r="HPW482" s="962"/>
      <c r="HPX482" s="962"/>
      <c r="HPY482" s="962"/>
      <c r="HPZ482" s="962"/>
      <c r="HQA482" s="962"/>
      <c r="HQB482" s="962"/>
      <c r="HQC482" s="962"/>
      <c r="HQD482" s="962"/>
      <c r="HQE482" s="962"/>
      <c r="HQF482" s="962"/>
      <c r="HQG482" s="962"/>
      <c r="HQH482" s="962"/>
      <c r="HQI482" s="962"/>
      <c r="HQJ482" s="962"/>
      <c r="HQK482" s="962"/>
      <c r="HQL482" s="962"/>
      <c r="HQM482" s="962"/>
      <c r="HQN482" s="962"/>
      <c r="HQO482" s="962"/>
      <c r="HQP482" s="962"/>
      <c r="HQQ482" s="962"/>
      <c r="HQR482" s="962"/>
      <c r="HQS482" s="962"/>
      <c r="HQT482" s="962"/>
      <c r="HQU482" s="962"/>
      <c r="HQV482" s="962"/>
      <c r="HQW482" s="962"/>
      <c r="HQX482" s="962"/>
      <c r="HQY482" s="962"/>
      <c r="HQZ482" s="962"/>
      <c r="HRA482" s="962"/>
      <c r="HRB482" s="962"/>
      <c r="HRC482" s="962"/>
      <c r="HRD482" s="962"/>
      <c r="HRE482" s="962"/>
      <c r="HRF482" s="962"/>
      <c r="HRG482" s="962"/>
      <c r="HRH482" s="962"/>
      <c r="HRI482" s="962"/>
      <c r="HRJ482" s="962"/>
      <c r="HRK482" s="962"/>
      <c r="HRL482" s="962"/>
      <c r="HRM482" s="962"/>
      <c r="HRN482" s="962"/>
      <c r="HRO482" s="962"/>
      <c r="HRP482" s="962"/>
      <c r="HRQ482" s="962"/>
      <c r="HRR482" s="962"/>
      <c r="HRS482" s="962"/>
      <c r="HRT482" s="962"/>
      <c r="HRU482" s="962"/>
      <c r="HRV482" s="962"/>
      <c r="HRW482" s="962"/>
      <c r="HRX482" s="962"/>
      <c r="HRY482" s="962"/>
      <c r="HRZ482" s="962"/>
      <c r="HSA482" s="962"/>
      <c r="HSB482" s="962"/>
      <c r="HSC482" s="962"/>
      <c r="HSD482" s="962"/>
      <c r="HSE482" s="962"/>
      <c r="HSF482" s="962"/>
      <c r="HSG482" s="962"/>
      <c r="HSH482" s="962"/>
      <c r="HSI482" s="962"/>
      <c r="HSJ482" s="962"/>
      <c r="HSK482" s="962"/>
      <c r="HSL482" s="962"/>
      <c r="HSM482" s="962"/>
      <c r="HSN482" s="962"/>
      <c r="HSO482" s="962"/>
      <c r="HSP482" s="962"/>
      <c r="HSQ482" s="962"/>
      <c r="HSR482" s="962"/>
      <c r="HSS482" s="962"/>
      <c r="HST482" s="962"/>
      <c r="HSU482" s="962"/>
      <c r="HSV482" s="962"/>
      <c r="HSW482" s="962"/>
      <c r="HSX482" s="962"/>
      <c r="HSY482" s="962"/>
      <c r="HSZ482" s="962"/>
      <c r="HTA482" s="962"/>
      <c r="HTB482" s="962"/>
      <c r="HTC482" s="962"/>
      <c r="HTD482" s="962"/>
      <c r="HTE482" s="962"/>
      <c r="HTF482" s="962"/>
      <c r="HTG482" s="962"/>
      <c r="HTH482" s="962"/>
      <c r="HTI482" s="962"/>
      <c r="HTJ482" s="962"/>
      <c r="HTK482" s="962"/>
      <c r="HTL482" s="962"/>
      <c r="HTM482" s="962"/>
      <c r="HTN482" s="962"/>
      <c r="HTO482" s="962"/>
      <c r="HTP482" s="962"/>
      <c r="HTQ482" s="962"/>
      <c r="HTR482" s="962"/>
      <c r="HTS482" s="962"/>
      <c r="HTT482" s="962"/>
      <c r="HTU482" s="962"/>
      <c r="HTV482" s="962"/>
      <c r="HTW482" s="962"/>
      <c r="HTX482" s="962"/>
      <c r="HTY482" s="962"/>
      <c r="HTZ482" s="962"/>
      <c r="HUA482" s="962"/>
      <c r="HUB482" s="962"/>
      <c r="HUC482" s="962"/>
      <c r="HUD482" s="962"/>
      <c r="HUE482" s="962"/>
      <c r="HUF482" s="962"/>
      <c r="HUG482" s="962"/>
      <c r="HUH482" s="962"/>
      <c r="HUI482" s="962"/>
      <c r="HUJ482" s="962"/>
      <c r="HUK482" s="962"/>
      <c r="HUL482" s="962"/>
      <c r="HUM482" s="962"/>
      <c r="HUN482" s="962"/>
      <c r="HUO482" s="962"/>
      <c r="HUP482" s="962"/>
      <c r="HUQ482" s="962"/>
      <c r="HUR482" s="962"/>
      <c r="HUS482" s="962"/>
      <c r="HUT482" s="962"/>
      <c r="HUU482" s="962"/>
      <c r="HUV482" s="962"/>
      <c r="HUW482" s="962"/>
      <c r="HUX482" s="962"/>
      <c r="HUY482" s="962"/>
      <c r="HUZ482" s="962"/>
      <c r="HVA482" s="962"/>
      <c r="HVB482" s="962"/>
      <c r="HVC482" s="962"/>
      <c r="HVD482" s="962"/>
      <c r="HVE482" s="962"/>
      <c r="HVF482" s="962"/>
      <c r="HVG482" s="962"/>
      <c r="HVH482" s="962"/>
      <c r="HVI482" s="962"/>
      <c r="HVJ482" s="962"/>
      <c r="HVK482" s="962"/>
      <c r="HVL482" s="962"/>
      <c r="HVM482" s="962"/>
      <c r="HVN482" s="962"/>
      <c r="HVO482" s="962"/>
      <c r="HVP482" s="962"/>
      <c r="HVQ482" s="962"/>
      <c r="HVR482" s="962"/>
      <c r="HVS482" s="962"/>
      <c r="HVT482" s="962"/>
      <c r="HVU482" s="962"/>
      <c r="HVV482" s="962"/>
      <c r="HVW482" s="962"/>
      <c r="HVX482" s="962"/>
      <c r="HVY482" s="962"/>
      <c r="HVZ482" s="962"/>
      <c r="HWA482" s="962"/>
      <c r="HWB482" s="962"/>
      <c r="HWC482" s="962"/>
      <c r="HWD482" s="962"/>
      <c r="HWE482" s="962"/>
      <c r="HWF482" s="962"/>
      <c r="HWG482" s="962"/>
      <c r="HWH482" s="962"/>
      <c r="HWI482" s="962"/>
      <c r="HWJ482" s="962"/>
      <c r="HWK482" s="962"/>
      <c r="HWL482" s="962"/>
      <c r="HWM482" s="962"/>
      <c r="HWN482" s="962"/>
      <c r="HWO482" s="962"/>
      <c r="HWP482" s="962"/>
      <c r="HWQ482" s="962"/>
      <c r="HWR482" s="962"/>
      <c r="HWS482" s="962"/>
      <c r="HWT482" s="962"/>
      <c r="HWU482" s="962"/>
      <c r="HWV482" s="962"/>
      <c r="HWW482" s="962"/>
      <c r="HWX482" s="962"/>
      <c r="HWY482" s="962"/>
      <c r="HWZ482" s="962"/>
      <c r="HXA482" s="962"/>
      <c r="HXB482" s="962"/>
      <c r="HXC482" s="962"/>
      <c r="HXD482" s="962"/>
      <c r="HXE482" s="962"/>
      <c r="HXF482" s="962"/>
      <c r="HXG482" s="962"/>
      <c r="HXH482" s="962"/>
      <c r="HXI482" s="962"/>
      <c r="HXJ482" s="962"/>
      <c r="HXK482" s="962"/>
      <c r="HXL482" s="962"/>
      <c r="HXM482" s="962"/>
      <c r="HXN482" s="962"/>
      <c r="HXO482" s="962"/>
      <c r="HXP482" s="962"/>
      <c r="HXQ482" s="962"/>
      <c r="HXR482" s="962"/>
      <c r="HXS482" s="962"/>
      <c r="HXT482" s="962"/>
      <c r="HXU482" s="962"/>
      <c r="HXV482" s="962"/>
      <c r="HXW482" s="962"/>
      <c r="HXX482" s="962"/>
      <c r="HXY482" s="962"/>
      <c r="HXZ482" s="962"/>
      <c r="HYA482" s="962"/>
      <c r="HYB482" s="962"/>
      <c r="HYC482" s="962"/>
      <c r="HYD482" s="962"/>
      <c r="HYE482" s="962"/>
      <c r="HYF482" s="962"/>
      <c r="HYG482" s="962"/>
      <c r="HYH482" s="962"/>
      <c r="HYI482" s="962"/>
      <c r="HYJ482" s="962"/>
      <c r="HYK482" s="962"/>
      <c r="HYL482" s="962"/>
      <c r="HYM482" s="962"/>
      <c r="HYN482" s="962"/>
      <c r="HYO482" s="962"/>
      <c r="HYP482" s="962"/>
      <c r="HYQ482" s="962"/>
      <c r="HYR482" s="962"/>
      <c r="HYS482" s="962"/>
      <c r="HYT482" s="962"/>
      <c r="HYU482" s="962"/>
      <c r="HYV482" s="962"/>
      <c r="HYW482" s="962"/>
      <c r="HYX482" s="962"/>
      <c r="HYY482" s="962"/>
      <c r="HYZ482" s="962"/>
      <c r="HZA482" s="962"/>
      <c r="HZB482" s="962"/>
      <c r="HZC482" s="962"/>
      <c r="HZD482" s="962"/>
      <c r="HZE482" s="962"/>
      <c r="HZF482" s="962"/>
      <c r="HZG482" s="962"/>
      <c r="HZH482" s="962"/>
      <c r="HZI482" s="962"/>
      <c r="HZJ482" s="962"/>
      <c r="HZK482" s="962"/>
      <c r="HZL482" s="962"/>
      <c r="HZM482" s="962"/>
      <c r="HZN482" s="962"/>
      <c r="HZO482" s="962"/>
      <c r="HZP482" s="962"/>
      <c r="HZQ482" s="962"/>
      <c r="HZR482" s="962"/>
      <c r="HZS482" s="962"/>
      <c r="HZT482" s="962"/>
      <c r="HZU482" s="962"/>
      <c r="HZV482" s="962"/>
      <c r="HZW482" s="962"/>
      <c r="HZX482" s="962"/>
      <c r="HZY482" s="962"/>
      <c r="HZZ482" s="962"/>
      <c r="IAA482" s="962"/>
      <c r="IAB482" s="962"/>
      <c r="IAC482" s="962"/>
      <c r="IAD482" s="962"/>
      <c r="IAE482" s="962"/>
      <c r="IAF482" s="962"/>
      <c r="IAG482" s="962"/>
      <c r="IAH482" s="962"/>
      <c r="IAI482" s="962"/>
      <c r="IAJ482" s="962"/>
      <c r="IAK482" s="962"/>
      <c r="IAL482" s="962"/>
      <c r="IAM482" s="962"/>
      <c r="IAN482" s="962"/>
      <c r="IAO482" s="962"/>
      <c r="IAP482" s="962"/>
      <c r="IAQ482" s="962"/>
      <c r="IAR482" s="962"/>
      <c r="IAS482" s="962"/>
      <c r="IAT482" s="962"/>
      <c r="IAU482" s="962"/>
      <c r="IAV482" s="962"/>
      <c r="IAW482" s="962"/>
      <c r="IAX482" s="962"/>
      <c r="IAY482" s="962"/>
      <c r="IAZ482" s="962"/>
      <c r="IBA482" s="962"/>
      <c r="IBB482" s="962"/>
      <c r="IBC482" s="962"/>
      <c r="IBD482" s="962"/>
      <c r="IBE482" s="962"/>
      <c r="IBF482" s="962"/>
      <c r="IBG482" s="962"/>
      <c r="IBH482" s="962"/>
      <c r="IBI482" s="962"/>
      <c r="IBJ482" s="962"/>
      <c r="IBK482" s="962"/>
      <c r="IBL482" s="962"/>
      <c r="IBM482" s="962"/>
      <c r="IBN482" s="962"/>
      <c r="IBO482" s="962"/>
      <c r="IBP482" s="962"/>
      <c r="IBQ482" s="962"/>
      <c r="IBR482" s="962"/>
      <c r="IBS482" s="962"/>
      <c r="IBT482" s="962"/>
      <c r="IBU482" s="962"/>
      <c r="IBV482" s="962"/>
      <c r="IBW482" s="962"/>
      <c r="IBX482" s="962"/>
      <c r="IBY482" s="962"/>
      <c r="IBZ482" s="962"/>
      <c r="ICA482" s="962"/>
      <c r="ICB482" s="962"/>
      <c r="ICC482" s="962"/>
      <c r="ICD482" s="962"/>
      <c r="ICE482" s="962"/>
      <c r="ICF482" s="962"/>
      <c r="ICG482" s="962"/>
      <c r="ICH482" s="962"/>
      <c r="ICI482" s="962"/>
      <c r="ICJ482" s="962"/>
      <c r="ICK482" s="962"/>
      <c r="ICL482" s="962"/>
      <c r="ICM482" s="962"/>
      <c r="ICN482" s="962"/>
      <c r="ICO482" s="962"/>
      <c r="ICP482" s="962"/>
      <c r="ICQ482" s="962"/>
      <c r="ICR482" s="962"/>
      <c r="ICS482" s="962"/>
      <c r="ICT482" s="962"/>
      <c r="ICU482" s="962"/>
      <c r="ICV482" s="962"/>
      <c r="ICW482" s="962"/>
      <c r="ICX482" s="962"/>
      <c r="ICY482" s="962"/>
      <c r="ICZ482" s="962"/>
      <c r="IDA482" s="962"/>
      <c r="IDB482" s="962"/>
      <c r="IDC482" s="962"/>
      <c r="IDD482" s="962"/>
      <c r="IDE482" s="962"/>
      <c r="IDF482" s="962"/>
      <c r="IDG482" s="962"/>
      <c r="IDH482" s="962"/>
      <c r="IDI482" s="962"/>
      <c r="IDJ482" s="962"/>
      <c r="IDK482" s="962"/>
      <c r="IDL482" s="962"/>
      <c r="IDM482" s="962"/>
      <c r="IDN482" s="962"/>
      <c r="IDO482" s="962"/>
      <c r="IDP482" s="962"/>
      <c r="IDQ482" s="962"/>
      <c r="IDR482" s="962"/>
      <c r="IDS482" s="962"/>
      <c r="IDT482" s="962"/>
      <c r="IDU482" s="962"/>
      <c r="IDV482" s="962"/>
      <c r="IDW482" s="962"/>
      <c r="IDX482" s="962"/>
      <c r="IDY482" s="962"/>
      <c r="IDZ482" s="962"/>
      <c r="IEA482" s="962"/>
      <c r="IEB482" s="962"/>
      <c r="IEC482" s="962"/>
      <c r="IED482" s="962"/>
      <c r="IEE482" s="962"/>
      <c r="IEF482" s="962"/>
      <c r="IEG482" s="962"/>
      <c r="IEH482" s="962"/>
      <c r="IEI482" s="962"/>
      <c r="IEJ482" s="962"/>
      <c r="IEK482" s="962"/>
      <c r="IEL482" s="962"/>
      <c r="IEM482" s="962"/>
      <c r="IEN482" s="962"/>
      <c r="IEO482" s="962"/>
      <c r="IEP482" s="962"/>
      <c r="IEQ482" s="962"/>
      <c r="IER482" s="962"/>
      <c r="IES482" s="962"/>
      <c r="IET482" s="962"/>
      <c r="IEU482" s="962"/>
      <c r="IEV482" s="962"/>
      <c r="IEW482" s="962"/>
      <c r="IEX482" s="962"/>
      <c r="IEY482" s="962"/>
      <c r="IEZ482" s="962"/>
      <c r="IFA482" s="962"/>
      <c r="IFB482" s="962"/>
      <c r="IFC482" s="962"/>
      <c r="IFD482" s="962"/>
      <c r="IFE482" s="962"/>
      <c r="IFF482" s="962"/>
      <c r="IFG482" s="962"/>
      <c r="IFH482" s="962"/>
      <c r="IFI482" s="962"/>
      <c r="IFJ482" s="962"/>
      <c r="IFK482" s="962"/>
      <c r="IFL482" s="962"/>
      <c r="IFM482" s="962"/>
      <c r="IFN482" s="962"/>
      <c r="IFO482" s="962"/>
      <c r="IFP482" s="962"/>
      <c r="IFQ482" s="962"/>
      <c r="IFR482" s="962"/>
      <c r="IFS482" s="962"/>
      <c r="IFT482" s="962"/>
      <c r="IFU482" s="962"/>
      <c r="IFV482" s="962"/>
      <c r="IFW482" s="962"/>
      <c r="IFX482" s="962"/>
      <c r="IFY482" s="962"/>
      <c r="IFZ482" s="962"/>
      <c r="IGA482" s="962"/>
      <c r="IGB482" s="962"/>
      <c r="IGC482" s="962"/>
      <c r="IGD482" s="962"/>
      <c r="IGE482" s="962"/>
      <c r="IGF482" s="962"/>
      <c r="IGG482" s="962"/>
      <c r="IGH482" s="962"/>
      <c r="IGI482" s="962"/>
      <c r="IGJ482" s="962"/>
      <c r="IGK482" s="962"/>
      <c r="IGL482" s="962"/>
      <c r="IGM482" s="962"/>
      <c r="IGN482" s="962"/>
      <c r="IGO482" s="962"/>
      <c r="IGP482" s="962"/>
      <c r="IGQ482" s="962"/>
      <c r="IGR482" s="962"/>
      <c r="IGS482" s="962"/>
      <c r="IGT482" s="962"/>
      <c r="IGU482" s="962"/>
      <c r="IGV482" s="962"/>
      <c r="IGW482" s="962"/>
      <c r="IGX482" s="962"/>
      <c r="IGY482" s="962"/>
      <c r="IGZ482" s="962"/>
      <c r="IHA482" s="962"/>
      <c r="IHB482" s="962"/>
      <c r="IHC482" s="962"/>
      <c r="IHD482" s="962"/>
      <c r="IHE482" s="962"/>
      <c r="IHF482" s="962"/>
      <c r="IHG482" s="962"/>
      <c r="IHH482" s="962"/>
      <c r="IHI482" s="962"/>
      <c r="IHJ482" s="962"/>
      <c r="IHK482" s="962"/>
      <c r="IHL482" s="962"/>
      <c r="IHM482" s="962"/>
      <c r="IHN482" s="962"/>
      <c r="IHO482" s="962"/>
      <c r="IHP482" s="962"/>
      <c r="IHQ482" s="962"/>
      <c r="IHR482" s="962"/>
      <c r="IHS482" s="962"/>
      <c r="IHT482" s="962"/>
      <c r="IHU482" s="962"/>
      <c r="IHV482" s="962"/>
      <c r="IHW482" s="962"/>
      <c r="IHX482" s="962"/>
      <c r="IHY482" s="962"/>
      <c r="IHZ482" s="962"/>
      <c r="IIA482" s="962"/>
      <c r="IIB482" s="962"/>
      <c r="IIC482" s="962"/>
      <c r="IID482" s="962"/>
      <c r="IIE482" s="962"/>
      <c r="IIF482" s="962"/>
      <c r="IIG482" s="962"/>
      <c r="IIH482" s="962"/>
      <c r="III482" s="962"/>
      <c r="IIJ482" s="962"/>
      <c r="IIK482" s="962"/>
      <c r="IIL482" s="962"/>
      <c r="IIM482" s="962"/>
      <c r="IIN482" s="962"/>
      <c r="IIO482" s="962"/>
      <c r="IIP482" s="962"/>
      <c r="IIQ482" s="962"/>
      <c r="IIR482" s="962"/>
      <c r="IIS482" s="962"/>
      <c r="IIT482" s="962"/>
      <c r="IIU482" s="962"/>
      <c r="IIV482" s="962"/>
      <c r="IIW482" s="962"/>
      <c r="IIX482" s="962"/>
      <c r="IIY482" s="962"/>
      <c r="IIZ482" s="962"/>
      <c r="IJA482" s="962"/>
      <c r="IJB482" s="962"/>
      <c r="IJC482" s="962"/>
      <c r="IJD482" s="962"/>
      <c r="IJE482" s="962"/>
      <c r="IJF482" s="962"/>
      <c r="IJG482" s="962"/>
      <c r="IJH482" s="962"/>
      <c r="IJI482" s="962"/>
      <c r="IJJ482" s="962"/>
      <c r="IJK482" s="962"/>
      <c r="IJL482" s="962"/>
      <c r="IJM482" s="962"/>
      <c r="IJN482" s="962"/>
      <c r="IJO482" s="962"/>
      <c r="IJP482" s="962"/>
      <c r="IJQ482" s="962"/>
      <c r="IJR482" s="962"/>
      <c r="IJS482" s="962"/>
      <c r="IJT482" s="962"/>
      <c r="IJU482" s="962"/>
      <c r="IJV482" s="962"/>
      <c r="IJW482" s="962"/>
      <c r="IJX482" s="962"/>
      <c r="IJY482" s="962"/>
      <c r="IJZ482" s="962"/>
      <c r="IKA482" s="962"/>
      <c r="IKB482" s="962"/>
      <c r="IKC482" s="962"/>
      <c r="IKD482" s="962"/>
      <c r="IKE482" s="962"/>
      <c r="IKF482" s="962"/>
      <c r="IKG482" s="962"/>
      <c r="IKH482" s="962"/>
      <c r="IKI482" s="962"/>
      <c r="IKJ482" s="962"/>
      <c r="IKK482" s="962"/>
      <c r="IKL482" s="962"/>
      <c r="IKM482" s="962"/>
      <c r="IKN482" s="962"/>
      <c r="IKO482" s="962"/>
      <c r="IKP482" s="962"/>
      <c r="IKQ482" s="962"/>
      <c r="IKR482" s="962"/>
      <c r="IKS482" s="962"/>
      <c r="IKT482" s="962"/>
      <c r="IKU482" s="962"/>
      <c r="IKV482" s="962"/>
      <c r="IKW482" s="962"/>
      <c r="IKX482" s="962"/>
      <c r="IKY482" s="962"/>
      <c r="IKZ482" s="962"/>
      <c r="ILA482" s="962"/>
      <c r="ILB482" s="962"/>
      <c r="ILC482" s="962"/>
      <c r="ILD482" s="962"/>
      <c r="ILE482" s="962"/>
      <c r="ILF482" s="962"/>
      <c r="ILG482" s="962"/>
      <c r="ILH482" s="962"/>
      <c r="ILI482" s="962"/>
      <c r="ILJ482" s="962"/>
      <c r="ILK482" s="962"/>
      <c r="ILL482" s="962"/>
      <c r="ILM482" s="962"/>
      <c r="ILN482" s="962"/>
      <c r="ILO482" s="962"/>
      <c r="ILP482" s="962"/>
      <c r="ILQ482" s="962"/>
      <c r="ILR482" s="962"/>
      <c r="ILS482" s="962"/>
      <c r="ILT482" s="962"/>
      <c r="ILU482" s="962"/>
      <c r="ILV482" s="962"/>
      <c r="ILW482" s="962"/>
      <c r="ILX482" s="962"/>
      <c r="ILY482" s="962"/>
      <c r="ILZ482" s="962"/>
      <c r="IMA482" s="962"/>
      <c r="IMB482" s="962"/>
      <c r="IMC482" s="962"/>
      <c r="IMD482" s="962"/>
      <c r="IME482" s="962"/>
      <c r="IMF482" s="962"/>
      <c r="IMG482" s="962"/>
      <c r="IMH482" s="962"/>
      <c r="IMI482" s="962"/>
      <c r="IMJ482" s="962"/>
      <c r="IMK482" s="962"/>
      <c r="IML482" s="962"/>
      <c r="IMM482" s="962"/>
      <c r="IMN482" s="962"/>
      <c r="IMO482" s="962"/>
      <c r="IMP482" s="962"/>
      <c r="IMQ482" s="962"/>
      <c r="IMR482" s="962"/>
      <c r="IMS482" s="962"/>
      <c r="IMT482" s="962"/>
      <c r="IMU482" s="962"/>
      <c r="IMV482" s="962"/>
      <c r="IMW482" s="962"/>
      <c r="IMX482" s="962"/>
      <c r="IMY482" s="962"/>
      <c r="IMZ482" s="962"/>
      <c r="INA482" s="962"/>
      <c r="INB482" s="962"/>
      <c r="INC482" s="962"/>
      <c r="IND482" s="962"/>
      <c r="INE482" s="962"/>
      <c r="INF482" s="962"/>
      <c r="ING482" s="962"/>
      <c r="INH482" s="962"/>
      <c r="INI482" s="962"/>
      <c r="INJ482" s="962"/>
      <c r="INK482" s="962"/>
      <c r="INL482" s="962"/>
      <c r="INM482" s="962"/>
      <c r="INN482" s="962"/>
      <c r="INO482" s="962"/>
      <c r="INP482" s="962"/>
      <c r="INQ482" s="962"/>
      <c r="INR482" s="962"/>
      <c r="INS482" s="962"/>
      <c r="INT482" s="962"/>
      <c r="INU482" s="962"/>
      <c r="INV482" s="962"/>
      <c r="INW482" s="962"/>
      <c r="INX482" s="962"/>
      <c r="INY482" s="962"/>
      <c r="INZ482" s="962"/>
      <c r="IOA482" s="962"/>
      <c r="IOB482" s="962"/>
      <c r="IOC482" s="962"/>
      <c r="IOD482" s="962"/>
      <c r="IOE482" s="962"/>
      <c r="IOF482" s="962"/>
      <c r="IOG482" s="962"/>
      <c r="IOH482" s="962"/>
      <c r="IOI482" s="962"/>
      <c r="IOJ482" s="962"/>
      <c r="IOK482" s="962"/>
      <c r="IOL482" s="962"/>
      <c r="IOM482" s="962"/>
      <c r="ION482" s="962"/>
      <c r="IOO482" s="962"/>
      <c r="IOP482" s="962"/>
      <c r="IOQ482" s="962"/>
      <c r="IOR482" s="962"/>
      <c r="IOS482" s="962"/>
      <c r="IOT482" s="962"/>
      <c r="IOU482" s="962"/>
      <c r="IOV482" s="962"/>
      <c r="IOW482" s="962"/>
      <c r="IOX482" s="962"/>
      <c r="IOY482" s="962"/>
      <c r="IOZ482" s="962"/>
      <c r="IPA482" s="962"/>
      <c r="IPB482" s="962"/>
      <c r="IPC482" s="962"/>
      <c r="IPD482" s="962"/>
      <c r="IPE482" s="962"/>
      <c r="IPF482" s="962"/>
      <c r="IPG482" s="962"/>
      <c r="IPH482" s="962"/>
      <c r="IPI482" s="962"/>
      <c r="IPJ482" s="962"/>
      <c r="IPK482" s="962"/>
      <c r="IPL482" s="962"/>
      <c r="IPM482" s="962"/>
      <c r="IPN482" s="962"/>
      <c r="IPO482" s="962"/>
      <c r="IPP482" s="962"/>
      <c r="IPQ482" s="962"/>
      <c r="IPR482" s="962"/>
      <c r="IPS482" s="962"/>
      <c r="IPT482" s="962"/>
      <c r="IPU482" s="962"/>
      <c r="IPV482" s="962"/>
      <c r="IPW482" s="962"/>
      <c r="IPX482" s="962"/>
      <c r="IPY482" s="962"/>
      <c r="IPZ482" s="962"/>
      <c r="IQA482" s="962"/>
      <c r="IQB482" s="962"/>
      <c r="IQC482" s="962"/>
      <c r="IQD482" s="962"/>
      <c r="IQE482" s="962"/>
      <c r="IQF482" s="962"/>
      <c r="IQG482" s="962"/>
      <c r="IQH482" s="962"/>
      <c r="IQI482" s="962"/>
      <c r="IQJ482" s="962"/>
      <c r="IQK482" s="962"/>
      <c r="IQL482" s="962"/>
      <c r="IQM482" s="962"/>
      <c r="IQN482" s="962"/>
      <c r="IQO482" s="962"/>
      <c r="IQP482" s="962"/>
      <c r="IQQ482" s="962"/>
      <c r="IQR482" s="962"/>
      <c r="IQS482" s="962"/>
      <c r="IQT482" s="962"/>
      <c r="IQU482" s="962"/>
      <c r="IQV482" s="962"/>
      <c r="IQW482" s="962"/>
      <c r="IQX482" s="962"/>
      <c r="IQY482" s="962"/>
      <c r="IQZ482" s="962"/>
      <c r="IRA482" s="962"/>
      <c r="IRB482" s="962"/>
      <c r="IRC482" s="962"/>
      <c r="IRD482" s="962"/>
      <c r="IRE482" s="962"/>
      <c r="IRF482" s="962"/>
      <c r="IRG482" s="962"/>
      <c r="IRH482" s="962"/>
      <c r="IRI482" s="962"/>
      <c r="IRJ482" s="962"/>
      <c r="IRK482" s="962"/>
      <c r="IRL482" s="962"/>
      <c r="IRM482" s="962"/>
      <c r="IRN482" s="962"/>
      <c r="IRO482" s="962"/>
      <c r="IRP482" s="962"/>
      <c r="IRQ482" s="962"/>
      <c r="IRR482" s="962"/>
      <c r="IRS482" s="962"/>
      <c r="IRT482" s="962"/>
      <c r="IRU482" s="962"/>
      <c r="IRV482" s="962"/>
      <c r="IRW482" s="962"/>
      <c r="IRX482" s="962"/>
      <c r="IRY482" s="962"/>
      <c r="IRZ482" s="962"/>
      <c r="ISA482" s="962"/>
      <c r="ISB482" s="962"/>
      <c r="ISC482" s="962"/>
      <c r="ISD482" s="962"/>
      <c r="ISE482" s="962"/>
      <c r="ISF482" s="962"/>
      <c r="ISG482" s="962"/>
      <c r="ISH482" s="962"/>
      <c r="ISI482" s="962"/>
      <c r="ISJ482" s="962"/>
      <c r="ISK482" s="962"/>
      <c r="ISL482" s="962"/>
      <c r="ISM482" s="962"/>
      <c r="ISN482" s="962"/>
      <c r="ISO482" s="962"/>
      <c r="ISP482" s="962"/>
      <c r="ISQ482" s="962"/>
      <c r="ISR482" s="962"/>
      <c r="ISS482" s="962"/>
      <c r="IST482" s="962"/>
      <c r="ISU482" s="962"/>
      <c r="ISV482" s="962"/>
      <c r="ISW482" s="962"/>
      <c r="ISX482" s="962"/>
      <c r="ISY482" s="962"/>
      <c r="ISZ482" s="962"/>
      <c r="ITA482" s="962"/>
      <c r="ITB482" s="962"/>
      <c r="ITC482" s="962"/>
      <c r="ITD482" s="962"/>
      <c r="ITE482" s="962"/>
      <c r="ITF482" s="962"/>
      <c r="ITG482" s="962"/>
      <c r="ITH482" s="962"/>
      <c r="ITI482" s="962"/>
      <c r="ITJ482" s="962"/>
      <c r="ITK482" s="962"/>
      <c r="ITL482" s="962"/>
      <c r="ITM482" s="962"/>
      <c r="ITN482" s="962"/>
      <c r="ITO482" s="962"/>
      <c r="ITP482" s="962"/>
      <c r="ITQ482" s="962"/>
      <c r="ITR482" s="962"/>
      <c r="ITS482" s="962"/>
      <c r="ITT482" s="962"/>
      <c r="ITU482" s="962"/>
      <c r="ITV482" s="962"/>
      <c r="ITW482" s="962"/>
      <c r="ITX482" s="962"/>
      <c r="ITY482" s="962"/>
      <c r="ITZ482" s="962"/>
      <c r="IUA482" s="962"/>
      <c r="IUB482" s="962"/>
      <c r="IUC482" s="962"/>
      <c r="IUD482" s="962"/>
      <c r="IUE482" s="962"/>
      <c r="IUF482" s="962"/>
      <c r="IUG482" s="962"/>
      <c r="IUH482" s="962"/>
      <c r="IUI482" s="962"/>
      <c r="IUJ482" s="962"/>
      <c r="IUK482" s="962"/>
      <c r="IUL482" s="962"/>
      <c r="IUM482" s="962"/>
      <c r="IUN482" s="962"/>
      <c r="IUO482" s="962"/>
      <c r="IUP482" s="962"/>
      <c r="IUQ482" s="962"/>
      <c r="IUR482" s="962"/>
      <c r="IUS482" s="962"/>
      <c r="IUT482" s="962"/>
      <c r="IUU482" s="962"/>
      <c r="IUV482" s="962"/>
      <c r="IUW482" s="962"/>
      <c r="IUX482" s="962"/>
      <c r="IUY482" s="962"/>
      <c r="IUZ482" s="962"/>
      <c r="IVA482" s="962"/>
      <c r="IVB482" s="962"/>
      <c r="IVC482" s="962"/>
      <c r="IVD482" s="962"/>
      <c r="IVE482" s="962"/>
      <c r="IVF482" s="962"/>
      <c r="IVG482" s="962"/>
      <c r="IVH482" s="962"/>
      <c r="IVI482" s="962"/>
      <c r="IVJ482" s="962"/>
      <c r="IVK482" s="962"/>
      <c r="IVL482" s="962"/>
      <c r="IVM482" s="962"/>
      <c r="IVN482" s="962"/>
      <c r="IVO482" s="962"/>
      <c r="IVP482" s="962"/>
      <c r="IVQ482" s="962"/>
      <c r="IVR482" s="962"/>
      <c r="IVS482" s="962"/>
      <c r="IVT482" s="962"/>
      <c r="IVU482" s="962"/>
      <c r="IVV482" s="962"/>
      <c r="IVW482" s="962"/>
      <c r="IVX482" s="962"/>
      <c r="IVY482" s="962"/>
      <c r="IVZ482" s="962"/>
      <c r="IWA482" s="962"/>
      <c r="IWB482" s="962"/>
      <c r="IWC482" s="962"/>
      <c r="IWD482" s="962"/>
      <c r="IWE482" s="962"/>
      <c r="IWF482" s="962"/>
      <c r="IWG482" s="962"/>
      <c r="IWH482" s="962"/>
      <c r="IWI482" s="962"/>
      <c r="IWJ482" s="962"/>
      <c r="IWK482" s="962"/>
      <c r="IWL482" s="962"/>
      <c r="IWM482" s="962"/>
      <c r="IWN482" s="962"/>
      <c r="IWO482" s="962"/>
      <c r="IWP482" s="962"/>
      <c r="IWQ482" s="962"/>
      <c r="IWR482" s="962"/>
      <c r="IWS482" s="962"/>
      <c r="IWT482" s="962"/>
      <c r="IWU482" s="962"/>
      <c r="IWV482" s="962"/>
      <c r="IWW482" s="962"/>
      <c r="IWX482" s="962"/>
      <c r="IWY482" s="962"/>
      <c r="IWZ482" s="962"/>
      <c r="IXA482" s="962"/>
      <c r="IXB482" s="962"/>
      <c r="IXC482" s="962"/>
      <c r="IXD482" s="962"/>
      <c r="IXE482" s="962"/>
      <c r="IXF482" s="962"/>
      <c r="IXG482" s="962"/>
      <c r="IXH482" s="962"/>
      <c r="IXI482" s="962"/>
      <c r="IXJ482" s="962"/>
      <c r="IXK482" s="962"/>
      <c r="IXL482" s="962"/>
      <c r="IXM482" s="962"/>
      <c r="IXN482" s="962"/>
      <c r="IXO482" s="962"/>
      <c r="IXP482" s="962"/>
      <c r="IXQ482" s="962"/>
      <c r="IXR482" s="962"/>
      <c r="IXS482" s="962"/>
      <c r="IXT482" s="962"/>
      <c r="IXU482" s="962"/>
      <c r="IXV482" s="962"/>
      <c r="IXW482" s="962"/>
      <c r="IXX482" s="962"/>
      <c r="IXY482" s="962"/>
      <c r="IXZ482" s="962"/>
      <c r="IYA482" s="962"/>
      <c r="IYB482" s="962"/>
      <c r="IYC482" s="962"/>
      <c r="IYD482" s="962"/>
      <c r="IYE482" s="962"/>
      <c r="IYF482" s="962"/>
      <c r="IYG482" s="962"/>
      <c r="IYH482" s="962"/>
      <c r="IYI482" s="962"/>
      <c r="IYJ482" s="962"/>
      <c r="IYK482" s="962"/>
      <c r="IYL482" s="962"/>
      <c r="IYM482" s="962"/>
      <c r="IYN482" s="962"/>
      <c r="IYO482" s="962"/>
      <c r="IYP482" s="962"/>
      <c r="IYQ482" s="962"/>
      <c r="IYR482" s="962"/>
      <c r="IYS482" s="962"/>
      <c r="IYT482" s="962"/>
      <c r="IYU482" s="962"/>
      <c r="IYV482" s="962"/>
      <c r="IYW482" s="962"/>
      <c r="IYX482" s="962"/>
      <c r="IYY482" s="962"/>
      <c r="IYZ482" s="962"/>
      <c r="IZA482" s="962"/>
      <c r="IZB482" s="962"/>
      <c r="IZC482" s="962"/>
      <c r="IZD482" s="962"/>
      <c r="IZE482" s="962"/>
      <c r="IZF482" s="962"/>
      <c r="IZG482" s="962"/>
      <c r="IZH482" s="962"/>
      <c r="IZI482" s="962"/>
      <c r="IZJ482" s="962"/>
      <c r="IZK482" s="962"/>
      <c r="IZL482" s="962"/>
      <c r="IZM482" s="962"/>
      <c r="IZN482" s="962"/>
      <c r="IZO482" s="962"/>
      <c r="IZP482" s="962"/>
      <c r="IZQ482" s="962"/>
      <c r="IZR482" s="962"/>
      <c r="IZS482" s="962"/>
      <c r="IZT482" s="962"/>
      <c r="IZU482" s="962"/>
      <c r="IZV482" s="962"/>
      <c r="IZW482" s="962"/>
      <c r="IZX482" s="962"/>
      <c r="IZY482" s="962"/>
      <c r="IZZ482" s="962"/>
      <c r="JAA482" s="962"/>
      <c r="JAB482" s="962"/>
      <c r="JAC482" s="962"/>
      <c r="JAD482" s="962"/>
      <c r="JAE482" s="962"/>
      <c r="JAF482" s="962"/>
      <c r="JAG482" s="962"/>
      <c r="JAH482" s="962"/>
      <c r="JAI482" s="962"/>
      <c r="JAJ482" s="962"/>
      <c r="JAK482" s="962"/>
      <c r="JAL482" s="962"/>
      <c r="JAM482" s="962"/>
      <c r="JAN482" s="962"/>
      <c r="JAO482" s="962"/>
      <c r="JAP482" s="962"/>
      <c r="JAQ482" s="962"/>
      <c r="JAR482" s="962"/>
      <c r="JAS482" s="962"/>
      <c r="JAT482" s="962"/>
      <c r="JAU482" s="962"/>
      <c r="JAV482" s="962"/>
      <c r="JAW482" s="962"/>
      <c r="JAX482" s="962"/>
      <c r="JAY482" s="962"/>
      <c r="JAZ482" s="962"/>
      <c r="JBA482" s="962"/>
      <c r="JBB482" s="962"/>
      <c r="JBC482" s="962"/>
      <c r="JBD482" s="962"/>
      <c r="JBE482" s="962"/>
      <c r="JBF482" s="962"/>
      <c r="JBG482" s="962"/>
      <c r="JBH482" s="962"/>
      <c r="JBI482" s="962"/>
      <c r="JBJ482" s="962"/>
      <c r="JBK482" s="962"/>
      <c r="JBL482" s="962"/>
      <c r="JBM482" s="962"/>
      <c r="JBN482" s="962"/>
      <c r="JBO482" s="962"/>
      <c r="JBP482" s="962"/>
      <c r="JBQ482" s="962"/>
      <c r="JBR482" s="962"/>
      <c r="JBS482" s="962"/>
      <c r="JBT482" s="962"/>
      <c r="JBU482" s="962"/>
      <c r="JBV482" s="962"/>
      <c r="JBW482" s="962"/>
      <c r="JBX482" s="962"/>
      <c r="JBY482" s="962"/>
      <c r="JBZ482" s="962"/>
      <c r="JCA482" s="962"/>
      <c r="JCB482" s="962"/>
      <c r="JCC482" s="962"/>
      <c r="JCD482" s="962"/>
      <c r="JCE482" s="962"/>
      <c r="JCF482" s="962"/>
      <c r="JCG482" s="962"/>
      <c r="JCH482" s="962"/>
      <c r="JCI482" s="962"/>
      <c r="JCJ482" s="962"/>
      <c r="JCK482" s="962"/>
      <c r="JCL482" s="962"/>
      <c r="JCM482" s="962"/>
      <c r="JCN482" s="962"/>
      <c r="JCO482" s="962"/>
      <c r="JCP482" s="962"/>
      <c r="JCQ482" s="962"/>
      <c r="JCR482" s="962"/>
      <c r="JCS482" s="962"/>
      <c r="JCT482" s="962"/>
      <c r="JCU482" s="962"/>
      <c r="JCV482" s="962"/>
      <c r="JCW482" s="962"/>
      <c r="JCX482" s="962"/>
      <c r="JCY482" s="962"/>
      <c r="JCZ482" s="962"/>
      <c r="JDA482" s="962"/>
      <c r="JDB482" s="962"/>
      <c r="JDC482" s="962"/>
      <c r="JDD482" s="962"/>
      <c r="JDE482" s="962"/>
      <c r="JDF482" s="962"/>
      <c r="JDG482" s="962"/>
      <c r="JDH482" s="962"/>
      <c r="JDI482" s="962"/>
      <c r="JDJ482" s="962"/>
      <c r="JDK482" s="962"/>
      <c r="JDL482" s="962"/>
      <c r="JDM482" s="962"/>
      <c r="JDN482" s="962"/>
      <c r="JDO482" s="962"/>
      <c r="JDP482" s="962"/>
      <c r="JDQ482" s="962"/>
      <c r="JDR482" s="962"/>
      <c r="JDS482" s="962"/>
      <c r="JDT482" s="962"/>
      <c r="JDU482" s="962"/>
      <c r="JDV482" s="962"/>
      <c r="JDW482" s="962"/>
      <c r="JDX482" s="962"/>
      <c r="JDY482" s="962"/>
      <c r="JDZ482" s="962"/>
      <c r="JEA482" s="962"/>
      <c r="JEB482" s="962"/>
      <c r="JEC482" s="962"/>
      <c r="JED482" s="962"/>
      <c r="JEE482" s="962"/>
      <c r="JEF482" s="962"/>
      <c r="JEG482" s="962"/>
      <c r="JEH482" s="962"/>
      <c r="JEI482" s="962"/>
      <c r="JEJ482" s="962"/>
      <c r="JEK482" s="962"/>
      <c r="JEL482" s="962"/>
      <c r="JEM482" s="962"/>
      <c r="JEN482" s="962"/>
      <c r="JEO482" s="962"/>
      <c r="JEP482" s="962"/>
      <c r="JEQ482" s="962"/>
      <c r="JER482" s="962"/>
      <c r="JES482" s="962"/>
      <c r="JET482" s="962"/>
      <c r="JEU482" s="962"/>
      <c r="JEV482" s="962"/>
      <c r="JEW482" s="962"/>
      <c r="JEX482" s="962"/>
      <c r="JEY482" s="962"/>
      <c r="JEZ482" s="962"/>
      <c r="JFA482" s="962"/>
      <c r="JFB482" s="962"/>
      <c r="JFC482" s="962"/>
      <c r="JFD482" s="962"/>
      <c r="JFE482" s="962"/>
      <c r="JFF482" s="962"/>
      <c r="JFG482" s="962"/>
      <c r="JFH482" s="962"/>
      <c r="JFI482" s="962"/>
      <c r="JFJ482" s="962"/>
      <c r="JFK482" s="962"/>
      <c r="JFL482" s="962"/>
      <c r="JFM482" s="962"/>
      <c r="JFN482" s="962"/>
      <c r="JFO482" s="962"/>
      <c r="JFP482" s="962"/>
      <c r="JFQ482" s="962"/>
      <c r="JFR482" s="962"/>
      <c r="JFS482" s="962"/>
      <c r="JFT482" s="962"/>
      <c r="JFU482" s="962"/>
      <c r="JFV482" s="962"/>
      <c r="JFW482" s="962"/>
      <c r="JFX482" s="962"/>
      <c r="JFY482" s="962"/>
      <c r="JFZ482" s="962"/>
      <c r="JGA482" s="962"/>
      <c r="JGB482" s="962"/>
      <c r="JGC482" s="962"/>
      <c r="JGD482" s="962"/>
      <c r="JGE482" s="962"/>
      <c r="JGF482" s="962"/>
      <c r="JGG482" s="962"/>
      <c r="JGH482" s="962"/>
      <c r="JGI482" s="962"/>
      <c r="JGJ482" s="962"/>
      <c r="JGK482" s="962"/>
      <c r="JGL482" s="962"/>
      <c r="JGM482" s="962"/>
      <c r="JGN482" s="962"/>
      <c r="JGO482" s="962"/>
      <c r="JGP482" s="962"/>
      <c r="JGQ482" s="962"/>
      <c r="JGR482" s="962"/>
      <c r="JGS482" s="962"/>
      <c r="JGT482" s="962"/>
      <c r="JGU482" s="962"/>
      <c r="JGV482" s="962"/>
      <c r="JGW482" s="962"/>
      <c r="JGX482" s="962"/>
      <c r="JGY482" s="962"/>
      <c r="JGZ482" s="962"/>
      <c r="JHA482" s="962"/>
      <c r="JHB482" s="962"/>
      <c r="JHC482" s="962"/>
      <c r="JHD482" s="962"/>
      <c r="JHE482" s="962"/>
      <c r="JHF482" s="962"/>
      <c r="JHG482" s="962"/>
      <c r="JHH482" s="962"/>
      <c r="JHI482" s="962"/>
      <c r="JHJ482" s="962"/>
      <c r="JHK482" s="962"/>
      <c r="JHL482" s="962"/>
      <c r="JHM482" s="962"/>
      <c r="JHN482" s="962"/>
      <c r="JHO482" s="962"/>
      <c r="JHP482" s="962"/>
      <c r="JHQ482" s="962"/>
      <c r="JHR482" s="962"/>
      <c r="JHS482" s="962"/>
      <c r="JHT482" s="962"/>
      <c r="JHU482" s="962"/>
      <c r="JHV482" s="962"/>
      <c r="JHW482" s="962"/>
      <c r="JHX482" s="962"/>
      <c r="JHY482" s="962"/>
      <c r="JHZ482" s="962"/>
      <c r="JIA482" s="962"/>
      <c r="JIB482" s="962"/>
      <c r="JIC482" s="962"/>
      <c r="JID482" s="962"/>
      <c r="JIE482" s="962"/>
      <c r="JIF482" s="962"/>
      <c r="JIG482" s="962"/>
      <c r="JIH482" s="962"/>
      <c r="JII482" s="962"/>
      <c r="JIJ482" s="962"/>
      <c r="JIK482" s="962"/>
      <c r="JIL482" s="962"/>
      <c r="JIM482" s="962"/>
      <c r="JIN482" s="962"/>
      <c r="JIO482" s="962"/>
      <c r="JIP482" s="962"/>
      <c r="JIQ482" s="962"/>
      <c r="JIR482" s="962"/>
      <c r="JIS482" s="962"/>
      <c r="JIT482" s="962"/>
      <c r="JIU482" s="962"/>
      <c r="JIV482" s="962"/>
      <c r="JIW482" s="962"/>
      <c r="JIX482" s="962"/>
      <c r="JIY482" s="962"/>
      <c r="JIZ482" s="962"/>
      <c r="JJA482" s="962"/>
      <c r="JJB482" s="962"/>
      <c r="JJC482" s="962"/>
      <c r="JJD482" s="962"/>
      <c r="JJE482" s="962"/>
      <c r="JJF482" s="962"/>
      <c r="JJG482" s="962"/>
      <c r="JJH482" s="962"/>
      <c r="JJI482" s="962"/>
      <c r="JJJ482" s="962"/>
      <c r="JJK482" s="962"/>
      <c r="JJL482" s="962"/>
      <c r="JJM482" s="962"/>
      <c r="JJN482" s="962"/>
      <c r="JJO482" s="962"/>
      <c r="JJP482" s="962"/>
      <c r="JJQ482" s="962"/>
      <c r="JJR482" s="962"/>
      <c r="JJS482" s="962"/>
      <c r="JJT482" s="962"/>
      <c r="JJU482" s="962"/>
      <c r="JJV482" s="962"/>
      <c r="JJW482" s="962"/>
      <c r="JJX482" s="962"/>
      <c r="JJY482" s="962"/>
      <c r="JJZ482" s="962"/>
      <c r="JKA482" s="962"/>
      <c r="JKB482" s="962"/>
      <c r="JKC482" s="962"/>
      <c r="JKD482" s="962"/>
      <c r="JKE482" s="962"/>
      <c r="JKF482" s="962"/>
      <c r="JKG482" s="962"/>
      <c r="JKH482" s="962"/>
      <c r="JKI482" s="962"/>
      <c r="JKJ482" s="962"/>
      <c r="JKK482" s="962"/>
      <c r="JKL482" s="962"/>
      <c r="JKM482" s="962"/>
      <c r="JKN482" s="962"/>
      <c r="JKO482" s="962"/>
      <c r="JKP482" s="962"/>
      <c r="JKQ482" s="962"/>
      <c r="JKR482" s="962"/>
      <c r="JKS482" s="962"/>
      <c r="JKT482" s="962"/>
      <c r="JKU482" s="962"/>
      <c r="JKV482" s="962"/>
      <c r="JKW482" s="962"/>
      <c r="JKX482" s="962"/>
      <c r="JKY482" s="962"/>
      <c r="JKZ482" s="962"/>
      <c r="JLA482" s="962"/>
      <c r="JLB482" s="962"/>
      <c r="JLC482" s="962"/>
      <c r="JLD482" s="962"/>
      <c r="JLE482" s="962"/>
      <c r="JLF482" s="962"/>
      <c r="JLG482" s="962"/>
      <c r="JLH482" s="962"/>
      <c r="JLI482" s="962"/>
      <c r="JLJ482" s="962"/>
      <c r="JLK482" s="962"/>
      <c r="JLL482" s="962"/>
      <c r="JLM482" s="962"/>
      <c r="JLN482" s="962"/>
      <c r="JLO482" s="962"/>
      <c r="JLP482" s="962"/>
      <c r="JLQ482" s="962"/>
      <c r="JLR482" s="962"/>
      <c r="JLS482" s="962"/>
      <c r="JLT482" s="962"/>
      <c r="JLU482" s="962"/>
      <c r="JLV482" s="962"/>
      <c r="JLW482" s="962"/>
      <c r="JLX482" s="962"/>
      <c r="JLY482" s="962"/>
      <c r="JLZ482" s="962"/>
      <c r="JMA482" s="962"/>
      <c r="JMB482" s="962"/>
      <c r="JMC482" s="962"/>
      <c r="JMD482" s="962"/>
      <c r="JME482" s="962"/>
      <c r="JMF482" s="962"/>
      <c r="JMG482" s="962"/>
      <c r="JMH482" s="962"/>
      <c r="JMI482" s="962"/>
      <c r="JMJ482" s="962"/>
      <c r="JMK482" s="962"/>
      <c r="JML482" s="962"/>
      <c r="JMM482" s="962"/>
      <c r="JMN482" s="962"/>
      <c r="JMO482" s="962"/>
      <c r="JMP482" s="962"/>
      <c r="JMQ482" s="962"/>
      <c r="JMR482" s="962"/>
      <c r="JMS482" s="962"/>
      <c r="JMT482" s="962"/>
      <c r="JMU482" s="962"/>
      <c r="JMV482" s="962"/>
      <c r="JMW482" s="962"/>
      <c r="JMX482" s="962"/>
      <c r="JMY482" s="962"/>
      <c r="JMZ482" s="962"/>
      <c r="JNA482" s="962"/>
      <c r="JNB482" s="962"/>
      <c r="JNC482" s="962"/>
      <c r="JND482" s="962"/>
      <c r="JNE482" s="962"/>
      <c r="JNF482" s="962"/>
      <c r="JNG482" s="962"/>
      <c r="JNH482" s="962"/>
      <c r="JNI482" s="962"/>
      <c r="JNJ482" s="962"/>
      <c r="JNK482" s="962"/>
      <c r="JNL482" s="962"/>
      <c r="JNM482" s="962"/>
      <c r="JNN482" s="962"/>
      <c r="JNO482" s="962"/>
      <c r="JNP482" s="962"/>
      <c r="JNQ482" s="962"/>
      <c r="JNR482" s="962"/>
      <c r="JNS482" s="962"/>
      <c r="JNT482" s="962"/>
      <c r="JNU482" s="962"/>
      <c r="JNV482" s="962"/>
      <c r="JNW482" s="962"/>
      <c r="JNX482" s="962"/>
      <c r="JNY482" s="962"/>
      <c r="JNZ482" s="962"/>
      <c r="JOA482" s="962"/>
      <c r="JOB482" s="962"/>
      <c r="JOC482" s="962"/>
      <c r="JOD482" s="962"/>
      <c r="JOE482" s="962"/>
      <c r="JOF482" s="962"/>
      <c r="JOG482" s="962"/>
      <c r="JOH482" s="962"/>
      <c r="JOI482" s="962"/>
      <c r="JOJ482" s="962"/>
      <c r="JOK482" s="962"/>
      <c r="JOL482" s="962"/>
      <c r="JOM482" s="962"/>
      <c r="JON482" s="962"/>
      <c r="JOO482" s="962"/>
      <c r="JOP482" s="962"/>
      <c r="JOQ482" s="962"/>
      <c r="JOR482" s="962"/>
      <c r="JOS482" s="962"/>
      <c r="JOT482" s="962"/>
      <c r="JOU482" s="962"/>
      <c r="JOV482" s="962"/>
      <c r="JOW482" s="962"/>
      <c r="JOX482" s="962"/>
      <c r="JOY482" s="962"/>
      <c r="JOZ482" s="962"/>
      <c r="JPA482" s="962"/>
      <c r="JPB482" s="962"/>
      <c r="JPC482" s="962"/>
      <c r="JPD482" s="962"/>
      <c r="JPE482" s="962"/>
      <c r="JPF482" s="962"/>
      <c r="JPG482" s="962"/>
      <c r="JPH482" s="962"/>
      <c r="JPI482" s="962"/>
      <c r="JPJ482" s="962"/>
      <c r="JPK482" s="962"/>
      <c r="JPL482" s="962"/>
      <c r="JPM482" s="962"/>
      <c r="JPN482" s="962"/>
      <c r="JPO482" s="962"/>
      <c r="JPP482" s="962"/>
      <c r="JPQ482" s="962"/>
      <c r="JPR482" s="962"/>
      <c r="JPS482" s="962"/>
      <c r="JPT482" s="962"/>
      <c r="JPU482" s="962"/>
      <c r="JPV482" s="962"/>
      <c r="JPW482" s="962"/>
      <c r="JPX482" s="962"/>
      <c r="JPY482" s="962"/>
      <c r="JPZ482" s="962"/>
      <c r="JQA482" s="962"/>
      <c r="JQB482" s="962"/>
      <c r="JQC482" s="962"/>
      <c r="JQD482" s="962"/>
      <c r="JQE482" s="962"/>
      <c r="JQF482" s="962"/>
      <c r="JQG482" s="962"/>
      <c r="JQH482" s="962"/>
      <c r="JQI482" s="962"/>
      <c r="JQJ482" s="962"/>
      <c r="JQK482" s="962"/>
      <c r="JQL482" s="962"/>
      <c r="JQM482" s="962"/>
      <c r="JQN482" s="962"/>
      <c r="JQO482" s="962"/>
      <c r="JQP482" s="962"/>
      <c r="JQQ482" s="962"/>
      <c r="JQR482" s="962"/>
      <c r="JQS482" s="962"/>
      <c r="JQT482" s="962"/>
      <c r="JQU482" s="962"/>
      <c r="JQV482" s="962"/>
      <c r="JQW482" s="962"/>
      <c r="JQX482" s="962"/>
      <c r="JQY482" s="962"/>
      <c r="JQZ482" s="962"/>
      <c r="JRA482" s="962"/>
      <c r="JRB482" s="962"/>
      <c r="JRC482" s="962"/>
      <c r="JRD482" s="962"/>
      <c r="JRE482" s="962"/>
      <c r="JRF482" s="962"/>
      <c r="JRG482" s="962"/>
      <c r="JRH482" s="962"/>
      <c r="JRI482" s="962"/>
      <c r="JRJ482" s="962"/>
      <c r="JRK482" s="962"/>
      <c r="JRL482" s="962"/>
      <c r="JRM482" s="962"/>
      <c r="JRN482" s="962"/>
      <c r="JRO482" s="962"/>
      <c r="JRP482" s="962"/>
      <c r="JRQ482" s="962"/>
      <c r="JRR482" s="962"/>
      <c r="JRS482" s="962"/>
      <c r="JRT482" s="962"/>
      <c r="JRU482" s="962"/>
      <c r="JRV482" s="962"/>
      <c r="JRW482" s="962"/>
      <c r="JRX482" s="962"/>
      <c r="JRY482" s="962"/>
      <c r="JRZ482" s="962"/>
      <c r="JSA482" s="962"/>
      <c r="JSB482" s="962"/>
      <c r="JSC482" s="962"/>
      <c r="JSD482" s="962"/>
      <c r="JSE482" s="962"/>
      <c r="JSF482" s="962"/>
      <c r="JSG482" s="962"/>
      <c r="JSH482" s="962"/>
      <c r="JSI482" s="962"/>
      <c r="JSJ482" s="962"/>
      <c r="JSK482" s="962"/>
      <c r="JSL482" s="962"/>
      <c r="JSM482" s="962"/>
      <c r="JSN482" s="962"/>
      <c r="JSO482" s="962"/>
      <c r="JSP482" s="962"/>
      <c r="JSQ482" s="962"/>
      <c r="JSR482" s="962"/>
      <c r="JSS482" s="962"/>
      <c r="JST482" s="962"/>
      <c r="JSU482" s="962"/>
      <c r="JSV482" s="962"/>
      <c r="JSW482" s="962"/>
      <c r="JSX482" s="962"/>
      <c r="JSY482" s="962"/>
      <c r="JSZ482" s="962"/>
      <c r="JTA482" s="962"/>
      <c r="JTB482" s="962"/>
      <c r="JTC482" s="962"/>
      <c r="JTD482" s="962"/>
      <c r="JTE482" s="962"/>
      <c r="JTF482" s="962"/>
      <c r="JTG482" s="962"/>
      <c r="JTH482" s="962"/>
      <c r="JTI482" s="962"/>
      <c r="JTJ482" s="962"/>
      <c r="JTK482" s="962"/>
      <c r="JTL482" s="962"/>
      <c r="JTM482" s="962"/>
      <c r="JTN482" s="962"/>
      <c r="JTO482" s="962"/>
      <c r="JTP482" s="962"/>
      <c r="JTQ482" s="962"/>
      <c r="JTR482" s="962"/>
      <c r="JTS482" s="962"/>
      <c r="JTT482" s="962"/>
      <c r="JTU482" s="962"/>
      <c r="JTV482" s="962"/>
      <c r="JTW482" s="962"/>
      <c r="JTX482" s="962"/>
      <c r="JTY482" s="962"/>
      <c r="JTZ482" s="962"/>
      <c r="JUA482" s="962"/>
      <c r="JUB482" s="962"/>
      <c r="JUC482" s="962"/>
      <c r="JUD482" s="962"/>
      <c r="JUE482" s="962"/>
      <c r="JUF482" s="962"/>
      <c r="JUG482" s="962"/>
      <c r="JUH482" s="962"/>
      <c r="JUI482" s="962"/>
      <c r="JUJ482" s="962"/>
      <c r="JUK482" s="962"/>
      <c r="JUL482" s="962"/>
      <c r="JUM482" s="962"/>
      <c r="JUN482" s="962"/>
      <c r="JUO482" s="962"/>
      <c r="JUP482" s="962"/>
      <c r="JUQ482" s="962"/>
      <c r="JUR482" s="962"/>
      <c r="JUS482" s="962"/>
      <c r="JUT482" s="962"/>
      <c r="JUU482" s="962"/>
      <c r="JUV482" s="962"/>
      <c r="JUW482" s="962"/>
      <c r="JUX482" s="962"/>
      <c r="JUY482" s="962"/>
      <c r="JUZ482" s="962"/>
      <c r="JVA482" s="962"/>
      <c r="JVB482" s="962"/>
      <c r="JVC482" s="962"/>
      <c r="JVD482" s="962"/>
      <c r="JVE482" s="962"/>
      <c r="JVF482" s="962"/>
      <c r="JVG482" s="962"/>
      <c r="JVH482" s="962"/>
      <c r="JVI482" s="962"/>
      <c r="JVJ482" s="962"/>
      <c r="JVK482" s="962"/>
      <c r="JVL482" s="962"/>
      <c r="JVM482" s="962"/>
      <c r="JVN482" s="962"/>
      <c r="JVO482" s="962"/>
      <c r="JVP482" s="962"/>
      <c r="JVQ482" s="962"/>
      <c r="JVR482" s="962"/>
      <c r="JVS482" s="962"/>
      <c r="JVT482" s="962"/>
      <c r="JVU482" s="962"/>
      <c r="JVV482" s="962"/>
      <c r="JVW482" s="962"/>
      <c r="JVX482" s="962"/>
      <c r="JVY482" s="962"/>
      <c r="JVZ482" s="962"/>
      <c r="JWA482" s="962"/>
      <c r="JWB482" s="962"/>
      <c r="JWC482" s="962"/>
      <c r="JWD482" s="962"/>
      <c r="JWE482" s="962"/>
      <c r="JWF482" s="962"/>
      <c r="JWG482" s="962"/>
      <c r="JWH482" s="962"/>
      <c r="JWI482" s="962"/>
      <c r="JWJ482" s="962"/>
      <c r="JWK482" s="962"/>
      <c r="JWL482" s="962"/>
      <c r="JWM482" s="962"/>
      <c r="JWN482" s="962"/>
      <c r="JWO482" s="962"/>
      <c r="JWP482" s="962"/>
      <c r="JWQ482" s="962"/>
      <c r="JWR482" s="962"/>
      <c r="JWS482" s="962"/>
      <c r="JWT482" s="962"/>
      <c r="JWU482" s="962"/>
      <c r="JWV482" s="962"/>
      <c r="JWW482" s="962"/>
      <c r="JWX482" s="962"/>
      <c r="JWY482" s="962"/>
      <c r="JWZ482" s="962"/>
      <c r="JXA482" s="962"/>
      <c r="JXB482" s="962"/>
      <c r="JXC482" s="962"/>
      <c r="JXD482" s="962"/>
      <c r="JXE482" s="962"/>
      <c r="JXF482" s="962"/>
      <c r="JXG482" s="962"/>
      <c r="JXH482" s="962"/>
      <c r="JXI482" s="962"/>
      <c r="JXJ482" s="962"/>
      <c r="JXK482" s="962"/>
      <c r="JXL482" s="962"/>
      <c r="JXM482" s="962"/>
      <c r="JXN482" s="962"/>
      <c r="JXO482" s="962"/>
      <c r="JXP482" s="962"/>
      <c r="JXQ482" s="962"/>
      <c r="JXR482" s="962"/>
      <c r="JXS482" s="962"/>
      <c r="JXT482" s="962"/>
      <c r="JXU482" s="962"/>
      <c r="JXV482" s="962"/>
      <c r="JXW482" s="962"/>
      <c r="JXX482" s="962"/>
      <c r="JXY482" s="962"/>
      <c r="JXZ482" s="962"/>
      <c r="JYA482" s="962"/>
      <c r="JYB482" s="962"/>
      <c r="JYC482" s="962"/>
      <c r="JYD482" s="962"/>
      <c r="JYE482" s="962"/>
      <c r="JYF482" s="962"/>
      <c r="JYG482" s="962"/>
      <c r="JYH482" s="962"/>
      <c r="JYI482" s="962"/>
      <c r="JYJ482" s="962"/>
      <c r="JYK482" s="962"/>
      <c r="JYL482" s="962"/>
      <c r="JYM482" s="962"/>
      <c r="JYN482" s="962"/>
      <c r="JYO482" s="962"/>
      <c r="JYP482" s="962"/>
      <c r="JYQ482" s="962"/>
      <c r="JYR482" s="962"/>
      <c r="JYS482" s="962"/>
      <c r="JYT482" s="962"/>
      <c r="JYU482" s="962"/>
      <c r="JYV482" s="962"/>
      <c r="JYW482" s="962"/>
      <c r="JYX482" s="962"/>
      <c r="JYY482" s="962"/>
      <c r="JYZ482" s="962"/>
      <c r="JZA482" s="962"/>
      <c r="JZB482" s="962"/>
      <c r="JZC482" s="962"/>
      <c r="JZD482" s="962"/>
      <c r="JZE482" s="962"/>
      <c r="JZF482" s="962"/>
      <c r="JZG482" s="962"/>
      <c r="JZH482" s="962"/>
      <c r="JZI482" s="962"/>
      <c r="JZJ482" s="962"/>
      <c r="JZK482" s="962"/>
      <c r="JZL482" s="962"/>
      <c r="JZM482" s="962"/>
      <c r="JZN482" s="962"/>
      <c r="JZO482" s="962"/>
      <c r="JZP482" s="962"/>
      <c r="JZQ482" s="962"/>
      <c r="JZR482" s="962"/>
      <c r="JZS482" s="962"/>
      <c r="JZT482" s="962"/>
      <c r="JZU482" s="962"/>
      <c r="JZV482" s="962"/>
      <c r="JZW482" s="962"/>
      <c r="JZX482" s="962"/>
      <c r="JZY482" s="962"/>
      <c r="JZZ482" s="962"/>
      <c r="KAA482" s="962"/>
      <c r="KAB482" s="962"/>
      <c r="KAC482" s="962"/>
      <c r="KAD482" s="962"/>
      <c r="KAE482" s="962"/>
      <c r="KAF482" s="962"/>
      <c r="KAG482" s="962"/>
      <c r="KAH482" s="962"/>
      <c r="KAI482" s="962"/>
      <c r="KAJ482" s="962"/>
      <c r="KAK482" s="962"/>
      <c r="KAL482" s="962"/>
      <c r="KAM482" s="962"/>
      <c r="KAN482" s="962"/>
      <c r="KAO482" s="962"/>
      <c r="KAP482" s="962"/>
      <c r="KAQ482" s="962"/>
      <c r="KAR482" s="962"/>
      <c r="KAS482" s="962"/>
      <c r="KAT482" s="962"/>
      <c r="KAU482" s="962"/>
      <c r="KAV482" s="962"/>
      <c r="KAW482" s="962"/>
      <c r="KAX482" s="962"/>
      <c r="KAY482" s="962"/>
      <c r="KAZ482" s="962"/>
      <c r="KBA482" s="962"/>
      <c r="KBB482" s="962"/>
      <c r="KBC482" s="962"/>
      <c r="KBD482" s="962"/>
      <c r="KBE482" s="962"/>
      <c r="KBF482" s="962"/>
      <c r="KBG482" s="962"/>
      <c r="KBH482" s="962"/>
      <c r="KBI482" s="962"/>
      <c r="KBJ482" s="962"/>
      <c r="KBK482" s="962"/>
      <c r="KBL482" s="962"/>
      <c r="KBM482" s="962"/>
      <c r="KBN482" s="962"/>
      <c r="KBO482" s="962"/>
      <c r="KBP482" s="962"/>
      <c r="KBQ482" s="962"/>
      <c r="KBR482" s="962"/>
      <c r="KBS482" s="962"/>
      <c r="KBT482" s="962"/>
      <c r="KBU482" s="962"/>
      <c r="KBV482" s="962"/>
      <c r="KBW482" s="962"/>
      <c r="KBX482" s="962"/>
      <c r="KBY482" s="962"/>
      <c r="KBZ482" s="962"/>
      <c r="KCA482" s="962"/>
      <c r="KCB482" s="962"/>
      <c r="KCC482" s="962"/>
      <c r="KCD482" s="962"/>
      <c r="KCE482" s="962"/>
      <c r="KCF482" s="962"/>
      <c r="KCG482" s="962"/>
      <c r="KCH482" s="962"/>
      <c r="KCI482" s="962"/>
      <c r="KCJ482" s="962"/>
      <c r="KCK482" s="962"/>
      <c r="KCL482" s="962"/>
      <c r="KCM482" s="962"/>
      <c r="KCN482" s="962"/>
      <c r="KCO482" s="962"/>
      <c r="KCP482" s="962"/>
      <c r="KCQ482" s="962"/>
      <c r="KCR482" s="962"/>
      <c r="KCS482" s="962"/>
      <c r="KCT482" s="962"/>
      <c r="KCU482" s="962"/>
      <c r="KCV482" s="962"/>
      <c r="KCW482" s="962"/>
      <c r="KCX482" s="962"/>
      <c r="KCY482" s="962"/>
      <c r="KCZ482" s="962"/>
      <c r="KDA482" s="962"/>
      <c r="KDB482" s="962"/>
      <c r="KDC482" s="962"/>
      <c r="KDD482" s="962"/>
      <c r="KDE482" s="962"/>
      <c r="KDF482" s="962"/>
      <c r="KDG482" s="962"/>
      <c r="KDH482" s="962"/>
      <c r="KDI482" s="962"/>
      <c r="KDJ482" s="962"/>
      <c r="KDK482" s="962"/>
      <c r="KDL482" s="962"/>
      <c r="KDM482" s="962"/>
      <c r="KDN482" s="962"/>
      <c r="KDO482" s="962"/>
      <c r="KDP482" s="962"/>
      <c r="KDQ482" s="962"/>
      <c r="KDR482" s="962"/>
      <c r="KDS482" s="962"/>
      <c r="KDT482" s="962"/>
      <c r="KDU482" s="962"/>
      <c r="KDV482" s="962"/>
      <c r="KDW482" s="962"/>
      <c r="KDX482" s="962"/>
      <c r="KDY482" s="962"/>
      <c r="KDZ482" s="962"/>
      <c r="KEA482" s="962"/>
      <c r="KEB482" s="962"/>
      <c r="KEC482" s="962"/>
      <c r="KED482" s="962"/>
      <c r="KEE482" s="962"/>
      <c r="KEF482" s="962"/>
      <c r="KEG482" s="962"/>
      <c r="KEH482" s="962"/>
      <c r="KEI482" s="962"/>
      <c r="KEJ482" s="962"/>
      <c r="KEK482" s="962"/>
      <c r="KEL482" s="962"/>
      <c r="KEM482" s="962"/>
      <c r="KEN482" s="962"/>
      <c r="KEO482" s="962"/>
      <c r="KEP482" s="962"/>
      <c r="KEQ482" s="962"/>
      <c r="KER482" s="962"/>
      <c r="KES482" s="962"/>
      <c r="KET482" s="962"/>
      <c r="KEU482" s="962"/>
      <c r="KEV482" s="962"/>
      <c r="KEW482" s="962"/>
      <c r="KEX482" s="962"/>
      <c r="KEY482" s="962"/>
      <c r="KEZ482" s="962"/>
      <c r="KFA482" s="962"/>
      <c r="KFB482" s="962"/>
      <c r="KFC482" s="962"/>
      <c r="KFD482" s="962"/>
      <c r="KFE482" s="962"/>
      <c r="KFF482" s="962"/>
      <c r="KFG482" s="962"/>
      <c r="KFH482" s="962"/>
      <c r="KFI482" s="962"/>
      <c r="KFJ482" s="962"/>
      <c r="KFK482" s="962"/>
      <c r="KFL482" s="962"/>
      <c r="KFM482" s="962"/>
      <c r="KFN482" s="962"/>
      <c r="KFO482" s="962"/>
      <c r="KFP482" s="962"/>
      <c r="KFQ482" s="962"/>
      <c r="KFR482" s="962"/>
      <c r="KFS482" s="962"/>
      <c r="KFT482" s="962"/>
      <c r="KFU482" s="962"/>
      <c r="KFV482" s="962"/>
      <c r="KFW482" s="962"/>
      <c r="KFX482" s="962"/>
      <c r="KFY482" s="962"/>
      <c r="KFZ482" s="962"/>
      <c r="KGA482" s="962"/>
      <c r="KGB482" s="962"/>
      <c r="KGC482" s="962"/>
      <c r="KGD482" s="962"/>
      <c r="KGE482" s="962"/>
      <c r="KGF482" s="962"/>
      <c r="KGG482" s="962"/>
      <c r="KGH482" s="962"/>
      <c r="KGI482" s="962"/>
      <c r="KGJ482" s="962"/>
      <c r="KGK482" s="962"/>
      <c r="KGL482" s="962"/>
      <c r="KGM482" s="962"/>
      <c r="KGN482" s="962"/>
      <c r="KGO482" s="962"/>
      <c r="KGP482" s="962"/>
      <c r="KGQ482" s="962"/>
      <c r="KGR482" s="962"/>
      <c r="KGS482" s="962"/>
      <c r="KGT482" s="962"/>
      <c r="KGU482" s="962"/>
      <c r="KGV482" s="962"/>
      <c r="KGW482" s="962"/>
      <c r="KGX482" s="962"/>
      <c r="KGY482" s="962"/>
      <c r="KGZ482" s="962"/>
      <c r="KHA482" s="962"/>
      <c r="KHB482" s="962"/>
      <c r="KHC482" s="962"/>
      <c r="KHD482" s="962"/>
      <c r="KHE482" s="962"/>
      <c r="KHF482" s="962"/>
      <c r="KHG482" s="962"/>
      <c r="KHH482" s="962"/>
      <c r="KHI482" s="962"/>
      <c r="KHJ482" s="962"/>
      <c r="KHK482" s="962"/>
      <c r="KHL482" s="962"/>
      <c r="KHM482" s="962"/>
      <c r="KHN482" s="962"/>
      <c r="KHO482" s="962"/>
      <c r="KHP482" s="962"/>
      <c r="KHQ482" s="962"/>
      <c r="KHR482" s="962"/>
      <c r="KHS482" s="962"/>
      <c r="KHT482" s="962"/>
      <c r="KHU482" s="962"/>
      <c r="KHV482" s="962"/>
      <c r="KHW482" s="962"/>
      <c r="KHX482" s="962"/>
      <c r="KHY482" s="962"/>
      <c r="KHZ482" s="962"/>
      <c r="KIA482" s="962"/>
      <c r="KIB482" s="962"/>
      <c r="KIC482" s="962"/>
      <c r="KID482" s="962"/>
      <c r="KIE482" s="962"/>
      <c r="KIF482" s="962"/>
      <c r="KIG482" s="962"/>
      <c r="KIH482" s="962"/>
      <c r="KII482" s="962"/>
      <c r="KIJ482" s="962"/>
      <c r="KIK482" s="962"/>
      <c r="KIL482" s="962"/>
      <c r="KIM482" s="962"/>
      <c r="KIN482" s="962"/>
      <c r="KIO482" s="962"/>
      <c r="KIP482" s="962"/>
      <c r="KIQ482" s="962"/>
      <c r="KIR482" s="962"/>
      <c r="KIS482" s="962"/>
      <c r="KIT482" s="962"/>
      <c r="KIU482" s="962"/>
      <c r="KIV482" s="962"/>
      <c r="KIW482" s="962"/>
      <c r="KIX482" s="962"/>
      <c r="KIY482" s="962"/>
      <c r="KIZ482" s="962"/>
      <c r="KJA482" s="962"/>
      <c r="KJB482" s="962"/>
      <c r="KJC482" s="962"/>
      <c r="KJD482" s="962"/>
      <c r="KJE482" s="962"/>
      <c r="KJF482" s="962"/>
      <c r="KJG482" s="962"/>
      <c r="KJH482" s="962"/>
      <c r="KJI482" s="962"/>
      <c r="KJJ482" s="962"/>
      <c r="KJK482" s="962"/>
      <c r="KJL482" s="962"/>
      <c r="KJM482" s="962"/>
      <c r="KJN482" s="962"/>
      <c r="KJO482" s="962"/>
      <c r="KJP482" s="962"/>
      <c r="KJQ482" s="962"/>
      <c r="KJR482" s="962"/>
      <c r="KJS482" s="962"/>
      <c r="KJT482" s="962"/>
      <c r="KJU482" s="962"/>
      <c r="KJV482" s="962"/>
      <c r="KJW482" s="962"/>
      <c r="KJX482" s="962"/>
      <c r="KJY482" s="962"/>
      <c r="KJZ482" s="962"/>
      <c r="KKA482" s="962"/>
      <c r="KKB482" s="962"/>
      <c r="KKC482" s="962"/>
      <c r="KKD482" s="962"/>
      <c r="KKE482" s="962"/>
      <c r="KKF482" s="962"/>
      <c r="KKG482" s="962"/>
      <c r="KKH482" s="962"/>
      <c r="KKI482" s="962"/>
      <c r="KKJ482" s="962"/>
      <c r="KKK482" s="962"/>
      <c r="KKL482" s="962"/>
      <c r="KKM482" s="962"/>
      <c r="KKN482" s="962"/>
      <c r="KKO482" s="962"/>
      <c r="KKP482" s="962"/>
      <c r="KKQ482" s="962"/>
      <c r="KKR482" s="962"/>
      <c r="KKS482" s="962"/>
      <c r="KKT482" s="962"/>
      <c r="KKU482" s="962"/>
      <c r="KKV482" s="962"/>
      <c r="KKW482" s="962"/>
      <c r="KKX482" s="962"/>
      <c r="KKY482" s="962"/>
      <c r="KKZ482" s="962"/>
      <c r="KLA482" s="962"/>
      <c r="KLB482" s="962"/>
      <c r="KLC482" s="962"/>
      <c r="KLD482" s="962"/>
      <c r="KLE482" s="962"/>
      <c r="KLF482" s="962"/>
      <c r="KLG482" s="962"/>
      <c r="KLH482" s="962"/>
      <c r="KLI482" s="962"/>
      <c r="KLJ482" s="962"/>
      <c r="KLK482" s="962"/>
      <c r="KLL482" s="962"/>
      <c r="KLM482" s="962"/>
      <c r="KLN482" s="962"/>
      <c r="KLO482" s="962"/>
      <c r="KLP482" s="962"/>
      <c r="KLQ482" s="962"/>
      <c r="KLR482" s="962"/>
      <c r="KLS482" s="962"/>
      <c r="KLT482" s="962"/>
      <c r="KLU482" s="962"/>
      <c r="KLV482" s="962"/>
      <c r="KLW482" s="962"/>
      <c r="KLX482" s="962"/>
      <c r="KLY482" s="962"/>
      <c r="KLZ482" s="962"/>
      <c r="KMA482" s="962"/>
      <c r="KMB482" s="962"/>
      <c r="KMC482" s="962"/>
      <c r="KMD482" s="962"/>
      <c r="KME482" s="962"/>
      <c r="KMF482" s="962"/>
      <c r="KMG482" s="962"/>
      <c r="KMH482" s="962"/>
      <c r="KMI482" s="962"/>
      <c r="KMJ482" s="962"/>
      <c r="KMK482" s="962"/>
      <c r="KML482" s="962"/>
      <c r="KMM482" s="962"/>
      <c r="KMN482" s="962"/>
      <c r="KMO482" s="962"/>
      <c r="KMP482" s="962"/>
      <c r="KMQ482" s="962"/>
      <c r="KMR482" s="962"/>
      <c r="KMS482" s="962"/>
      <c r="KMT482" s="962"/>
      <c r="KMU482" s="962"/>
      <c r="KMV482" s="962"/>
      <c r="KMW482" s="962"/>
      <c r="KMX482" s="962"/>
      <c r="KMY482" s="962"/>
      <c r="KMZ482" s="962"/>
      <c r="KNA482" s="962"/>
      <c r="KNB482" s="962"/>
      <c r="KNC482" s="962"/>
      <c r="KND482" s="962"/>
      <c r="KNE482" s="962"/>
      <c r="KNF482" s="962"/>
      <c r="KNG482" s="962"/>
      <c r="KNH482" s="962"/>
      <c r="KNI482" s="962"/>
      <c r="KNJ482" s="962"/>
      <c r="KNK482" s="962"/>
      <c r="KNL482" s="962"/>
      <c r="KNM482" s="962"/>
      <c r="KNN482" s="962"/>
      <c r="KNO482" s="962"/>
      <c r="KNP482" s="962"/>
      <c r="KNQ482" s="962"/>
      <c r="KNR482" s="962"/>
      <c r="KNS482" s="962"/>
      <c r="KNT482" s="962"/>
      <c r="KNU482" s="962"/>
      <c r="KNV482" s="962"/>
      <c r="KNW482" s="962"/>
      <c r="KNX482" s="962"/>
      <c r="KNY482" s="962"/>
      <c r="KNZ482" s="962"/>
      <c r="KOA482" s="962"/>
      <c r="KOB482" s="962"/>
      <c r="KOC482" s="962"/>
      <c r="KOD482" s="962"/>
      <c r="KOE482" s="962"/>
      <c r="KOF482" s="962"/>
      <c r="KOG482" s="962"/>
      <c r="KOH482" s="962"/>
      <c r="KOI482" s="962"/>
      <c r="KOJ482" s="962"/>
      <c r="KOK482" s="962"/>
      <c r="KOL482" s="962"/>
      <c r="KOM482" s="962"/>
      <c r="KON482" s="962"/>
      <c r="KOO482" s="962"/>
      <c r="KOP482" s="962"/>
      <c r="KOQ482" s="962"/>
      <c r="KOR482" s="962"/>
      <c r="KOS482" s="962"/>
      <c r="KOT482" s="962"/>
      <c r="KOU482" s="962"/>
      <c r="KOV482" s="962"/>
      <c r="KOW482" s="962"/>
      <c r="KOX482" s="962"/>
      <c r="KOY482" s="962"/>
      <c r="KOZ482" s="962"/>
      <c r="KPA482" s="962"/>
      <c r="KPB482" s="962"/>
      <c r="KPC482" s="962"/>
      <c r="KPD482" s="962"/>
      <c r="KPE482" s="962"/>
      <c r="KPF482" s="962"/>
      <c r="KPG482" s="962"/>
      <c r="KPH482" s="962"/>
      <c r="KPI482" s="962"/>
      <c r="KPJ482" s="962"/>
      <c r="KPK482" s="962"/>
      <c r="KPL482" s="962"/>
      <c r="KPM482" s="962"/>
      <c r="KPN482" s="962"/>
      <c r="KPO482" s="962"/>
      <c r="KPP482" s="962"/>
      <c r="KPQ482" s="962"/>
      <c r="KPR482" s="962"/>
      <c r="KPS482" s="962"/>
      <c r="KPT482" s="962"/>
      <c r="KPU482" s="962"/>
      <c r="KPV482" s="962"/>
      <c r="KPW482" s="962"/>
      <c r="KPX482" s="962"/>
      <c r="KPY482" s="962"/>
      <c r="KPZ482" s="962"/>
      <c r="KQA482" s="962"/>
      <c r="KQB482" s="962"/>
      <c r="KQC482" s="962"/>
      <c r="KQD482" s="962"/>
      <c r="KQE482" s="962"/>
      <c r="KQF482" s="962"/>
      <c r="KQG482" s="962"/>
      <c r="KQH482" s="962"/>
      <c r="KQI482" s="962"/>
      <c r="KQJ482" s="962"/>
      <c r="KQK482" s="962"/>
      <c r="KQL482" s="962"/>
      <c r="KQM482" s="962"/>
      <c r="KQN482" s="962"/>
      <c r="KQO482" s="962"/>
      <c r="KQP482" s="962"/>
      <c r="KQQ482" s="962"/>
      <c r="KQR482" s="962"/>
      <c r="KQS482" s="962"/>
      <c r="KQT482" s="962"/>
      <c r="KQU482" s="962"/>
      <c r="KQV482" s="962"/>
      <c r="KQW482" s="962"/>
      <c r="KQX482" s="962"/>
      <c r="KQY482" s="962"/>
      <c r="KQZ482" s="962"/>
      <c r="KRA482" s="962"/>
      <c r="KRB482" s="962"/>
      <c r="KRC482" s="962"/>
      <c r="KRD482" s="962"/>
      <c r="KRE482" s="962"/>
      <c r="KRF482" s="962"/>
      <c r="KRG482" s="962"/>
      <c r="KRH482" s="962"/>
      <c r="KRI482" s="962"/>
      <c r="KRJ482" s="962"/>
      <c r="KRK482" s="962"/>
      <c r="KRL482" s="962"/>
      <c r="KRM482" s="962"/>
      <c r="KRN482" s="962"/>
      <c r="KRO482" s="962"/>
      <c r="KRP482" s="962"/>
      <c r="KRQ482" s="962"/>
      <c r="KRR482" s="962"/>
      <c r="KRS482" s="962"/>
      <c r="KRT482" s="962"/>
      <c r="KRU482" s="962"/>
      <c r="KRV482" s="962"/>
      <c r="KRW482" s="962"/>
      <c r="KRX482" s="962"/>
      <c r="KRY482" s="962"/>
      <c r="KRZ482" s="962"/>
      <c r="KSA482" s="962"/>
      <c r="KSB482" s="962"/>
      <c r="KSC482" s="962"/>
      <c r="KSD482" s="962"/>
      <c r="KSE482" s="962"/>
      <c r="KSF482" s="962"/>
      <c r="KSG482" s="962"/>
      <c r="KSH482" s="962"/>
      <c r="KSI482" s="962"/>
      <c r="KSJ482" s="962"/>
      <c r="KSK482" s="962"/>
      <c r="KSL482" s="962"/>
      <c r="KSM482" s="962"/>
      <c r="KSN482" s="962"/>
      <c r="KSO482" s="962"/>
      <c r="KSP482" s="962"/>
      <c r="KSQ482" s="962"/>
      <c r="KSR482" s="962"/>
      <c r="KSS482" s="962"/>
      <c r="KST482" s="962"/>
      <c r="KSU482" s="962"/>
      <c r="KSV482" s="962"/>
      <c r="KSW482" s="962"/>
      <c r="KSX482" s="962"/>
      <c r="KSY482" s="962"/>
      <c r="KSZ482" s="962"/>
      <c r="KTA482" s="962"/>
      <c r="KTB482" s="962"/>
      <c r="KTC482" s="962"/>
      <c r="KTD482" s="962"/>
      <c r="KTE482" s="962"/>
      <c r="KTF482" s="962"/>
      <c r="KTG482" s="962"/>
      <c r="KTH482" s="962"/>
      <c r="KTI482" s="962"/>
      <c r="KTJ482" s="962"/>
      <c r="KTK482" s="962"/>
      <c r="KTL482" s="962"/>
      <c r="KTM482" s="962"/>
      <c r="KTN482" s="962"/>
      <c r="KTO482" s="962"/>
      <c r="KTP482" s="962"/>
      <c r="KTQ482" s="962"/>
      <c r="KTR482" s="962"/>
      <c r="KTS482" s="962"/>
      <c r="KTT482" s="962"/>
      <c r="KTU482" s="962"/>
      <c r="KTV482" s="962"/>
      <c r="KTW482" s="962"/>
      <c r="KTX482" s="962"/>
      <c r="KTY482" s="962"/>
      <c r="KTZ482" s="962"/>
      <c r="KUA482" s="962"/>
      <c r="KUB482" s="962"/>
      <c r="KUC482" s="962"/>
      <c r="KUD482" s="962"/>
      <c r="KUE482" s="962"/>
      <c r="KUF482" s="962"/>
      <c r="KUG482" s="962"/>
      <c r="KUH482" s="962"/>
      <c r="KUI482" s="962"/>
      <c r="KUJ482" s="962"/>
      <c r="KUK482" s="962"/>
      <c r="KUL482" s="962"/>
      <c r="KUM482" s="962"/>
      <c r="KUN482" s="962"/>
      <c r="KUO482" s="962"/>
      <c r="KUP482" s="962"/>
      <c r="KUQ482" s="962"/>
      <c r="KUR482" s="962"/>
      <c r="KUS482" s="962"/>
      <c r="KUT482" s="962"/>
      <c r="KUU482" s="962"/>
      <c r="KUV482" s="962"/>
      <c r="KUW482" s="962"/>
      <c r="KUX482" s="962"/>
      <c r="KUY482" s="962"/>
      <c r="KUZ482" s="962"/>
      <c r="KVA482" s="962"/>
      <c r="KVB482" s="962"/>
      <c r="KVC482" s="962"/>
      <c r="KVD482" s="962"/>
      <c r="KVE482" s="962"/>
      <c r="KVF482" s="962"/>
      <c r="KVG482" s="962"/>
      <c r="KVH482" s="962"/>
      <c r="KVI482" s="962"/>
      <c r="KVJ482" s="962"/>
      <c r="KVK482" s="962"/>
      <c r="KVL482" s="962"/>
      <c r="KVM482" s="962"/>
      <c r="KVN482" s="962"/>
      <c r="KVO482" s="962"/>
      <c r="KVP482" s="962"/>
      <c r="KVQ482" s="962"/>
      <c r="KVR482" s="962"/>
      <c r="KVS482" s="962"/>
      <c r="KVT482" s="962"/>
      <c r="KVU482" s="962"/>
      <c r="KVV482" s="962"/>
      <c r="KVW482" s="962"/>
      <c r="KVX482" s="962"/>
      <c r="KVY482" s="962"/>
      <c r="KVZ482" s="962"/>
      <c r="KWA482" s="962"/>
      <c r="KWB482" s="962"/>
      <c r="KWC482" s="962"/>
      <c r="KWD482" s="962"/>
      <c r="KWE482" s="962"/>
      <c r="KWF482" s="962"/>
      <c r="KWG482" s="962"/>
      <c r="KWH482" s="962"/>
      <c r="KWI482" s="962"/>
      <c r="KWJ482" s="962"/>
      <c r="KWK482" s="962"/>
      <c r="KWL482" s="962"/>
      <c r="KWM482" s="962"/>
      <c r="KWN482" s="962"/>
      <c r="KWO482" s="962"/>
      <c r="KWP482" s="962"/>
      <c r="KWQ482" s="962"/>
      <c r="KWR482" s="962"/>
      <c r="KWS482" s="962"/>
      <c r="KWT482" s="962"/>
      <c r="KWU482" s="962"/>
      <c r="KWV482" s="962"/>
      <c r="KWW482" s="962"/>
      <c r="KWX482" s="962"/>
      <c r="KWY482" s="962"/>
      <c r="KWZ482" s="962"/>
      <c r="KXA482" s="962"/>
      <c r="KXB482" s="962"/>
      <c r="KXC482" s="962"/>
      <c r="KXD482" s="962"/>
      <c r="KXE482" s="962"/>
      <c r="KXF482" s="962"/>
      <c r="KXG482" s="962"/>
      <c r="KXH482" s="962"/>
      <c r="KXI482" s="962"/>
      <c r="KXJ482" s="962"/>
      <c r="KXK482" s="962"/>
      <c r="KXL482" s="962"/>
      <c r="KXM482" s="962"/>
      <c r="KXN482" s="962"/>
      <c r="KXO482" s="962"/>
      <c r="KXP482" s="962"/>
      <c r="KXQ482" s="962"/>
      <c r="KXR482" s="962"/>
      <c r="KXS482" s="962"/>
      <c r="KXT482" s="962"/>
      <c r="KXU482" s="962"/>
      <c r="KXV482" s="962"/>
      <c r="KXW482" s="962"/>
      <c r="KXX482" s="962"/>
      <c r="KXY482" s="962"/>
      <c r="KXZ482" s="962"/>
      <c r="KYA482" s="962"/>
      <c r="KYB482" s="962"/>
      <c r="KYC482" s="962"/>
      <c r="KYD482" s="962"/>
      <c r="KYE482" s="962"/>
      <c r="KYF482" s="962"/>
      <c r="KYG482" s="962"/>
      <c r="KYH482" s="962"/>
      <c r="KYI482" s="962"/>
      <c r="KYJ482" s="962"/>
      <c r="KYK482" s="962"/>
      <c r="KYL482" s="962"/>
      <c r="KYM482" s="962"/>
      <c r="KYN482" s="962"/>
      <c r="KYO482" s="962"/>
      <c r="KYP482" s="962"/>
      <c r="KYQ482" s="962"/>
      <c r="KYR482" s="962"/>
      <c r="KYS482" s="962"/>
      <c r="KYT482" s="962"/>
      <c r="KYU482" s="962"/>
      <c r="KYV482" s="962"/>
      <c r="KYW482" s="962"/>
      <c r="KYX482" s="962"/>
      <c r="KYY482" s="962"/>
      <c r="KYZ482" s="962"/>
      <c r="KZA482" s="962"/>
      <c r="KZB482" s="962"/>
      <c r="KZC482" s="962"/>
      <c r="KZD482" s="962"/>
      <c r="KZE482" s="962"/>
      <c r="KZF482" s="962"/>
      <c r="KZG482" s="962"/>
      <c r="KZH482" s="962"/>
      <c r="KZI482" s="962"/>
      <c r="KZJ482" s="962"/>
      <c r="KZK482" s="962"/>
      <c r="KZL482" s="962"/>
      <c r="KZM482" s="962"/>
      <c r="KZN482" s="962"/>
      <c r="KZO482" s="962"/>
      <c r="KZP482" s="962"/>
      <c r="KZQ482" s="962"/>
      <c r="KZR482" s="962"/>
      <c r="KZS482" s="962"/>
      <c r="KZT482" s="962"/>
      <c r="KZU482" s="962"/>
      <c r="KZV482" s="962"/>
      <c r="KZW482" s="962"/>
      <c r="KZX482" s="962"/>
      <c r="KZY482" s="962"/>
      <c r="KZZ482" s="962"/>
      <c r="LAA482" s="962"/>
      <c r="LAB482" s="962"/>
      <c r="LAC482" s="962"/>
      <c r="LAD482" s="962"/>
      <c r="LAE482" s="962"/>
      <c r="LAF482" s="962"/>
      <c r="LAG482" s="962"/>
      <c r="LAH482" s="962"/>
      <c r="LAI482" s="962"/>
      <c r="LAJ482" s="962"/>
      <c r="LAK482" s="962"/>
      <c r="LAL482" s="962"/>
      <c r="LAM482" s="962"/>
      <c r="LAN482" s="962"/>
      <c r="LAO482" s="962"/>
      <c r="LAP482" s="962"/>
      <c r="LAQ482" s="962"/>
      <c r="LAR482" s="962"/>
      <c r="LAS482" s="962"/>
      <c r="LAT482" s="962"/>
      <c r="LAU482" s="962"/>
      <c r="LAV482" s="962"/>
      <c r="LAW482" s="962"/>
      <c r="LAX482" s="962"/>
      <c r="LAY482" s="962"/>
      <c r="LAZ482" s="962"/>
      <c r="LBA482" s="962"/>
      <c r="LBB482" s="962"/>
      <c r="LBC482" s="962"/>
      <c r="LBD482" s="962"/>
      <c r="LBE482" s="962"/>
      <c r="LBF482" s="962"/>
      <c r="LBG482" s="962"/>
      <c r="LBH482" s="962"/>
      <c r="LBI482" s="962"/>
      <c r="LBJ482" s="962"/>
      <c r="LBK482" s="962"/>
      <c r="LBL482" s="962"/>
      <c r="LBM482" s="962"/>
      <c r="LBN482" s="962"/>
      <c r="LBO482" s="962"/>
      <c r="LBP482" s="962"/>
      <c r="LBQ482" s="962"/>
      <c r="LBR482" s="962"/>
      <c r="LBS482" s="962"/>
      <c r="LBT482" s="962"/>
      <c r="LBU482" s="962"/>
      <c r="LBV482" s="962"/>
      <c r="LBW482" s="962"/>
      <c r="LBX482" s="962"/>
      <c r="LBY482" s="962"/>
      <c r="LBZ482" s="962"/>
      <c r="LCA482" s="962"/>
      <c r="LCB482" s="962"/>
      <c r="LCC482" s="962"/>
      <c r="LCD482" s="962"/>
      <c r="LCE482" s="962"/>
      <c r="LCF482" s="962"/>
      <c r="LCG482" s="962"/>
      <c r="LCH482" s="962"/>
      <c r="LCI482" s="962"/>
      <c r="LCJ482" s="962"/>
      <c r="LCK482" s="962"/>
      <c r="LCL482" s="962"/>
      <c r="LCM482" s="962"/>
      <c r="LCN482" s="962"/>
      <c r="LCO482" s="962"/>
      <c r="LCP482" s="962"/>
      <c r="LCQ482" s="962"/>
      <c r="LCR482" s="962"/>
      <c r="LCS482" s="962"/>
      <c r="LCT482" s="962"/>
      <c r="LCU482" s="962"/>
      <c r="LCV482" s="962"/>
      <c r="LCW482" s="962"/>
      <c r="LCX482" s="962"/>
      <c r="LCY482" s="962"/>
      <c r="LCZ482" s="962"/>
      <c r="LDA482" s="962"/>
      <c r="LDB482" s="962"/>
      <c r="LDC482" s="962"/>
      <c r="LDD482" s="962"/>
      <c r="LDE482" s="962"/>
      <c r="LDF482" s="962"/>
      <c r="LDG482" s="962"/>
      <c r="LDH482" s="962"/>
      <c r="LDI482" s="962"/>
      <c r="LDJ482" s="962"/>
      <c r="LDK482" s="962"/>
      <c r="LDL482" s="962"/>
      <c r="LDM482" s="962"/>
      <c r="LDN482" s="962"/>
      <c r="LDO482" s="962"/>
      <c r="LDP482" s="962"/>
      <c r="LDQ482" s="962"/>
      <c r="LDR482" s="962"/>
      <c r="LDS482" s="962"/>
      <c r="LDT482" s="962"/>
      <c r="LDU482" s="962"/>
      <c r="LDV482" s="962"/>
      <c r="LDW482" s="962"/>
      <c r="LDX482" s="962"/>
      <c r="LDY482" s="962"/>
      <c r="LDZ482" s="962"/>
      <c r="LEA482" s="962"/>
      <c r="LEB482" s="962"/>
      <c r="LEC482" s="962"/>
      <c r="LED482" s="962"/>
      <c r="LEE482" s="962"/>
      <c r="LEF482" s="962"/>
      <c r="LEG482" s="962"/>
      <c r="LEH482" s="962"/>
      <c r="LEI482" s="962"/>
      <c r="LEJ482" s="962"/>
      <c r="LEK482" s="962"/>
      <c r="LEL482" s="962"/>
      <c r="LEM482" s="962"/>
      <c r="LEN482" s="962"/>
      <c r="LEO482" s="962"/>
      <c r="LEP482" s="962"/>
      <c r="LEQ482" s="962"/>
      <c r="LER482" s="962"/>
      <c r="LES482" s="962"/>
      <c r="LET482" s="962"/>
      <c r="LEU482" s="962"/>
      <c r="LEV482" s="962"/>
      <c r="LEW482" s="962"/>
      <c r="LEX482" s="962"/>
      <c r="LEY482" s="962"/>
      <c r="LEZ482" s="962"/>
      <c r="LFA482" s="962"/>
      <c r="LFB482" s="962"/>
      <c r="LFC482" s="962"/>
      <c r="LFD482" s="962"/>
      <c r="LFE482" s="962"/>
      <c r="LFF482" s="962"/>
      <c r="LFG482" s="962"/>
      <c r="LFH482" s="962"/>
      <c r="LFI482" s="962"/>
      <c r="LFJ482" s="962"/>
      <c r="LFK482" s="962"/>
      <c r="LFL482" s="962"/>
      <c r="LFM482" s="962"/>
      <c r="LFN482" s="962"/>
      <c r="LFO482" s="962"/>
      <c r="LFP482" s="962"/>
      <c r="LFQ482" s="962"/>
      <c r="LFR482" s="962"/>
      <c r="LFS482" s="962"/>
      <c r="LFT482" s="962"/>
      <c r="LFU482" s="962"/>
      <c r="LFV482" s="962"/>
      <c r="LFW482" s="962"/>
      <c r="LFX482" s="962"/>
      <c r="LFY482" s="962"/>
      <c r="LFZ482" s="962"/>
      <c r="LGA482" s="962"/>
      <c r="LGB482" s="962"/>
      <c r="LGC482" s="962"/>
      <c r="LGD482" s="962"/>
      <c r="LGE482" s="962"/>
      <c r="LGF482" s="962"/>
      <c r="LGG482" s="962"/>
      <c r="LGH482" s="962"/>
      <c r="LGI482" s="962"/>
      <c r="LGJ482" s="962"/>
      <c r="LGK482" s="962"/>
      <c r="LGL482" s="962"/>
      <c r="LGM482" s="962"/>
      <c r="LGN482" s="962"/>
      <c r="LGO482" s="962"/>
      <c r="LGP482" s="962"/>
      <c r="LGQ482" s="962"/>
      <c r="LGR482" s="962"/>
      <c r="LGS482" s="962"/>
      <c r="LGT482" s="962"/>
      <c r="LGU482" s="962"/>
      <c r="LGV482" s="962"/>
      <c r="LGW482" s="962"/>
      <c r="LGX482" s="962"/>
      <c r="LGY482" s="962"/>
      <c r="LGZ482" s="962"/>
      <c r="LHA482" s="962"/>
      <c r="LHB482" s="962"/>
      <c r="LHC482" s="962"/>
      <c r="LHD482" s="962"/>
      <c r="LHE482" s="962"/>
      <c r="LHF482" s="962"/>
      <c r="LHG482" s="962"/>
      <c r="LHH482" s="962"/>
      <c r="LHI482" s="962"/>
      <c r="LHJ482" s="962"/>
      <c r="LHK482" s="962"/>
      <c r="LHL482" s="962"/>
      <c r="LHM482" s="962"/>
      <c r="LHN482" s="962"/>
      <c r="LHO482" s="962"/>
      <c r="LHP482" s="962"/>
      <c r="LHQ482" s="962"/>
      <c r="LHR482" s="962"/>
      <c r="LHS482" s="962"/>
      <c r="LHT482" s="962"/>
      <c r="LHU482" s="962"/>
      <c r="LHV482" s="962"/>
      <c r="LHW482" s="962"/>
      <c r="LHX482" s="962"/>
      <c r="LHY482" s="962"/>
      <c r="LHZ482" s="962"/>
      <c r="LIA482" s="962"/>
      <c r="LIB482" s="962"/>
      <c r="LIC482" s="962"/>
      <c r="LID482" s="962"/>
      <c r="LIE482" s="962"/>
      <c r="LIF482" s="962"/>
      <c r="LIG482" s="962"/>
      <c r="LIH482" s="962"/>
      <c r="LII482" s="962"/>
      <c r="LIJ482" s="962"/>
      <c r="LIK482" s="962"/>
      <c r="LIL482" s="962"/>
      <c r="LIM482" s="962"/>
      <c r="LIN482" s="962"/>
      <c r="LIO482" s="962"/>
      <c r="LIP482" s="962"/>
      <c r="LIQ482" s="962"/>
      <c r="LIR482" s="962"/>
      <c r="LIS482" s="962"/>
      <c r="LIT482" s="962"/>
      <c r="LIU482" s="962"/>
      <c r="LIV482" s="962"/>
      <c r="LIW482" s="962"/>
      <c r="LIX482" s="962"/>
      <c r="LIY482" s="962"/>
      <c r="LIZ482" s="962"/>
      <c r="LJA482" s="962"/>
      <c r="LJB482" s="962"/>
      <c r="LJC482" s="962"/>
      <c r="LJD482" s="962"/>
      <c r="LJE482" s="962"/>
      <c r="LJF482" s="962"/>
      <c r="LJG482" s="962"/>
      <c r="LJH482" s="962"/>
      <c r="LJI482" s="962"/>
      <c r="LJJ482" s="962"/>
      <c r="LJK482" s="962"/>
      <c r="LJL482" s="962"/>
      <c r="LJM482" s="962"/>
      <c r="LJN482" s="962"/>
      <c r="LJO482" s="962"/>
      <c r="LJP482" s="962"/>
      <c r="LJQ482" s="962"/>
      <c r="LJR482" s="962"/>
      <c r="LJS482" s="962"/>
      <c r="LJT482" s="962"/>
      <c r="LJU482" s="962"/>
      <c r="LJV482" s="962"/>
      <c r="LJW482" s="962"/>
      <c r="LJX482" s="962"/>
      <c r="LJY482" s="962"/>
      <c r="LJZ482" s="962"/>
      <c r="LKA482" s="962"/>
      <c r="LKB482" s="962"/>
      <c r="LKC482" s="962"/>
      <c r="LKD482" s="962"/>
      <c r="LKE482" s="962"/>
      <c r="LKF482" s="962"/>
      <c r="LKG482" s="962"/>
      <c r="LKH482" s="962"/>
      <c r="LKI482" s="962"/>
      <c r="LKJ482" s="962"/>
      <c r="LKK482" s="962"/>
      <c r="LKL482" s="962"/>
      <c r="LKM482" s="962"/>
      <c r="LKN482" s="962"/>
      <c r="LKO482" s="962"/>
      <c r="LKP482" s="962"/>
      <c r="LKQ482" s="962"/>
      <c r="LKR482" s="962"/>
      <c r="LKS482" s="962"/>
      <c r="LKT482" s="962"/>
      <c r="LKU482" s="962"/>
      <c r="LKV482" s="962"/>
      <c r="LKW482" s="962"/>
      <c r="LKX482" s="962"/>
      <c r="LKY482" s="962"/>
      <c r="LKZ482" s="962"/>
      <c r="LLA482" s="962"/>
      <c r="LLB482" s="962"/>
      <c r="LLC482" s="962"/>
      <c r="LLD482" s="962"/>
      <c r="LLE482" s="962"/>
      <c r="LLF482" s="962"/>
      <c r="LLG482" s="962"/>
      <c r="LLH482" s="962"/>
      <c r="LLI482" s="962"/>
      <c r="LLJ482" s="962"/>
      <c r="LLK482" s="962"/>
      <c r="LLL482" s="962"/>
      <c r="LLM482" s="962"/>
      <c r="LLN482" s="962"/>
      <c r="LLO482" s="962"/>
      <c r="LLP482" s="962"/>
      <c r="LLQ482" s="962"/>
      <c r="LLR482" s="962"/>
      <c r="LLS482" s="962"/>
      <c r="LLT482" s="962"/>
      <c r="LLU482" s="962"/>
      <c r="LLV482" s="962"/>
      <c r="LLW482" s="962"/>
      <c r="LLX482" s="962"/>
      <c r="LLY482" s="962"/>
      <c r="LLZ482" s="962"/>
      <c r="LMA482" s="962"/>
      <c r="LMB482" s="962"/>
      <c r="LMC482" s="962"/>
      <c r="LMD482" s="962"/>
      <c r="LME482" s="962"/>
      <c r="LMF482" s="962"/>
      <c r="LMG482" s="962"/>
      <c r="LMH482" s="962"/>
      <c r="LMI482" s="962"/>
      <c r="LMJ482" s="962"/>
      <c r="LMK482" s="962"/>
      <c r="LML482" s="962"/>
      <c r="LMM482" s="962"/>
      <c r="LMN482" s="962"/>
      <c r="LMO482" s="962"/>
      <c r="LMP482" s="962"/>
      <c r="LMQ482" s="962"/>
      <c r="LMR482" s="962"/>
      <c r="LMS482" s="962"/>
      <c r="LMT482" s="962"/>
      <c r="LMU482" s="962"/>
      <c r="LMV482" s="962"/>
      <c r="LMW482" s="962"/>
      <c r="LMX482" s="962"/>
      <c r="LMY482" s="962"/>
      <c r="LMZ482" s="962"/>
      <c r="LNA482" s="962"/>
      <c r="LNB482" s="962"/>
      <c r="LNC482" s="962"/>
      <c r="LND482" s="962"/>
      <c r="LNE482" s="962"/>
      <c r="LNF482" s="962"/>
      <c r="LNG482" s="962"/>
      <c r="LNH482" s="962"/>
      <c r="LNI482" s="962"/>
      <c r="LNJ482" s="962"/>
      <c r="LNK482" s="962"/>
      <c r="LNL482" s="962"/>
      <c r="LNM482" s="962"/>
      <c r="LNN482" s="962"/>
      <c r="LNO482" s="962"/>
      <c r="LNP482" s="962"/>
      <c r="LNQ482" s="962"/>
      <c r="LNR482" s="962"/>
      <c r="LNS482" s="962"/>
      <c r="LNT482" s="962"/>
      <c r="LNU482" s="962"/>
      <c r="LNV482" s="962"/>
      <c r="LNW482" s="962"/>
      <c r="LNX482" s="962"/>
      <c r="LNY482" s="962"/>
      <c r="LNZ482" s="962"/>
      <c r="LOA482" s="962"/>
      <c r="LOB482" s="962"/>
      <c r="LOC482" s="962"/>
      <c r="LOD482" s="962"/>
      <c r="LOE482" s="962"/>
      <c r="LOF482" s="962"/>
      <c r="LOG482" s="962"/>
      <c r="LOH482" s="962"/>
      <c r="LOI482" s="962"/>
      <c r="LOJ482" s="962"/>
      <c r="LOK482" s="962"/>
      <c r="LOL482" s="962"/>
      <c r="LOM482" s="962"/>
      <c r="LON482" s="962"/>
      <c r="LOO482" s="962"/>
      <c r="LOP482" s="962"/>
      <c r="LOQ482" s="962"/>
      <c r="LOR482" s="962"/>
      <c r="LOS482" s="962"/>
      <c r="LOT482" s="962"/>
      <c r="LOU482" s="962"/>
      <c r="LOV482" s="962"/>
      <c r="LOW482" s="962"/>
      <c r="LOX482" s="962"/>
      <c r="LOY482" s="962"/>
      <c r="LOZ482" s="962"/>
      <c r="LPA482" s="962"/>
      <c r="LPB482" s="962"/>
      <c r="LPC482" s="962"/>
      <c r="LPD482" s="962"/>
      <c r="LPE482" s="962"/>
      <c r="LPF482" s="962"/>
      <c r="LPG482" s="962"/>
      <c r="LPH482" s="962"/>
      <c r="LPI482" s="962"/>
      <c r="LPJ482" s="962"/>
      <c r="LPK482" s="962"/>
      <c r="LPL482" s="962"/>
      <c r="LPM482" s="962"/>
      <c r="LPN482" s="962"/>
      <c r="LPO482" s="962"/>
      <c r="LPP482" s="962"/>
      <c r="LPQ482" s="962"/>
      <c r="LPR482" s="962"/>
      <c r="LPS482" s="962"/>
      <c r="LPT482" s="962"/>
      <c r="LPU482" s="962"/>
      <c r="LPV482" s="962"/>
      <c r="LPW482" s="962"/>
      <c r="LPX482" s="962"/>
      <c r="LPY482" s="962"/>
      <c r="LPZ482" s="962"/>
      <c r="LQA482" s="962"/>
      <c r="LQB482" s="962"/>
      <c r="LQC482" s="962"/>
      <c r="LQD482" s="962"/>
      <c r="LQE482" s="962"/>
      <c r="LQF482" s="962"/>
      <c r="LQG482" s="962"/>
      <c r="LQH482" s="962"/>
      <c r="LQI482" s="962"/>
      <c r="LQJ482" s="962"/>
      <c r="LQK482" s="962"/>
      <c r="LQL482" s="962"/>
      <c r="LQM482" s="962"/>
      <c r="LQN482" s="962"/>
      <c r="LQO482" s="962"/>
      <c r="LQP482" s="962"/>
      <c r="LQQ482" s="962"/>
      <c r="LQR482" s="962"/>
      <c r="LQS482" s="962"/>
      <c r="LQT482" s="962"/>
      <c r="LQU482" s="962"/>
      <c r="LQV482" s="962"/>
      <c r="LQW482" s="962"/>
      <c r="LQX482" s="962"/>
      <c r="LQY482" s="962"/>
      <c r="LQZ482" s="962"/>
      <c r="LRA482" s="962"/>
      <c r="LRB482" s="962"/>
      <c r="LRC482" s="962"/>
      <c r="LRD482" s="962"/>
      <c r="LRE482" s="962"/>
      <c r="LRF482" s="962"/>
      <c r="LRG482" s="962"/>
      <c r="LRH482" s="962"/>
      <c r="LRI482" s="962"/>
      <c r="LRJ482" s="962"/>
      <c r="LRK482" s="962"/>
      <c r="LRL482" s="962"/>
      <c r="LRM482" s="962"/>
      <c r="LRN482" s="962"/>
      <c r="LRO482" s="962"/>
      <c r="LRP482" s="962"/>
      <c r="LRQ482" s="962"/>
      <c r="LRR482" s="962"/>
      <c r="LRS482" s="962"/>
      <c r="LRT482" s="962"/>
      <c r="LRU482" s="962"/>
      <c r="LRV482" s="962"/>
      <c r="LRW482" s="962"/>
      <c r="LRX482" s="962"/>
      <c r="LRY482" s="962"/>
      <c r="LRZ482" s="962"/>
      <c r="LSA482" s="962"/>
      <c r="LSB482" s="962"/>
      <c r="LSC482" s="962"/>
      <c r="LSD482" s="962"/>
      <c r="LSE482" s="962"/>
      <c r="LSF482" s="962"/>
      <c r="LSG482" s="962"/>
      <c r="LSH482" s="962"/>
      <c r="LSI482" s="962"/>
      <c r="LSJ482" s="962"/>
      <c r="LSK482" s="962"/>
      <c r="LSL482" s="962"/>
      <c r="LSM482" s="962"/>
      <c r="LSN482" s="962"/>
      <c r="LSO482" s="962"/>
      <c r="LSP482" s="962"/>
      <c r="LSQ482" s="962"/>
      <c r="LSR482" s="962"/>
      <c r="LSS482" s="962"/>
      <c r="LST482" s="962"/>
      <c r="LSU482" s="962"/>
      <c r="LSV482" s="962"/>
      <c r="LSW482" s="962"/>
      <c r="LSX482" s="962"/>
      <c r="LSY482" s="962"/>
      <c r="LSZ482" s="962"/>
      <c r="LTA482" s="962"/>
      <c r="LTB482" s="962"/>
      <c r="LTC482" s="962"/>
      <c r="LTD482" s="962"/>
      <c r="LTE482" s="962"/>
      <c r="LTF482" s="962"/>
      <c r="LTG482" s="962"/>
      <c r="LTH482" s="962"/>
      <c r="LTI482" s="962"/>
      <c r="LTJ482" s="962"/>
      <c r="LTK482" s="962"/>
      <c r="LTL482" s="962"/>
      <c r="LTM482" s="962"/>
      <c r="LTN482" s="962"/>
      <c r="LTO482" s="962"/>
      <c r="LTP482" s="962"/>
      <c r="LTQ482" s="962"/>
      <c r="LTR482" s="962"/>
      <c r="LTS482" s="962"/>
      <c r="LTT482" s="962"/>
      <c r="LTU482" s="962"/>
      <c r="LTV482" s="962"/>
      <c r="LTW482" s="962"/>
      <c r="LTX482" s="962"/>
      <c r="LTY482" s="962"/>
      <c r="LTZ482" s="962"/>
      <c r="LUA482" s="962"/>
      <c r="LUB482" s="962"/>
      <c r="LUC482" s="962"/>
      <c r="LUD482" s="962"/>
      <c r="LUE482" s="962"/>
      <c r="LUF482" s="962"/>
      <c r="LUG482" s="962"/>
      <c r="LUH482" s="962"/>
      <c r="LUI482" s="962"/>
      <c r="LUJ482" s="962"/>
      <c r="LUK482" s="962"/>
      <c r="LUL482" s="962"/>
      <c r="LUM482" s="962"/>
      <c r="LUN482" s="962"/>
      <c r="LUO482" s="962"/>
      <c r="LUP482" s="962"/>
      <c r="LUQ482" s="962"/>
      <c r="LUR482" s="962"/>
      <c r="LUS482" s="962"/>
      <c r="LUT482" s="962"/>
      <c r="LUU482" s="962"/>
      <c r="LUV482" s="962"/>
      <c r="LUW482" s="962"/>
      <c r="LUX482" s="962"/>
      <c r="LUY482" s="962"/>
      <c r="LUZ482" s="962"/>
      <c r="LVA482" s="962"/>
      <c r="LVB482" s="962"/>
      <c r="LVC482" s="962"/>
      <c r="LVD482" s="962"/>
      <c r="LVE482" s="962"/>
      <c r="LVF482" s="962"/>
      <c r="LVG482" s="962"/>
      <c r="LVH482" s="962"/>
      <c r="LVI482" s="962"/>
      <c r="LVJ482" s="962"/>
      <c r="LVK482" s="962"/>
      <c r="LVL482" s="962"/>
      <c r="LVM482" s="962"/>
      <c r="LVN482" s="962"/>
      <c r="LVO482" s="962"/>
      <c r="LVP482" s="962"/>
      <c r="LVQ482" s="962"/>
      <c r="LVR482" s="962"/>
      <c r="LVS482" s="962"/>
      <c r="LVT482" s="962"/>
      <c r="LVU482" s="962"/>
      <c r="LVV482" s="962"/>
      <c r="LVW482" s="962"/>
      <c r="LVX482" s="962"/>
      <c r="LVY482" s="962"/>
      <c r="LVZ482" s="962"/>
      <c r="LWA482" s="962"/>
      <c r="LWB482" s="962"/>
      <c r="LWC482" s="962"/>
      <c r="LWD482" s="962"/>
      <c r="LWE482" s="962"/>
      <c r="LWF482" s="962"/>
      <c r="LWG482" s="962"/>
      <c r="LWH482" s="962"/>
      <c r="LWI482" s="962"/>
      <c r="LWJ482" s="962"/>
      <c r="LWK482" s="962"/>
      <c r="LWL482" s="962"/>
      <c r="LWM482" s="962"/>
      <c r="LWN482" s="962"/>
      <c r="LWO482" s="962"/>
      <c r="LWP482" s="962"/>
      <c r="LWQ482" s="962"/>
      <c r="LWR482" s="962"/>
      <c r="LWS482" s="962"/>
      <c r="LWT482" s="962"/>
      <c r="LWU482" s="962"/>
      <c r="LWV482" s="962"/>
      <c r="LWW482" s="962"/>
      <c r="LWX482" s="962"/>
      <c r="LWY482" s="962"/>
      <c r="LWZ482" s="962"/>
      <c r="LXA482" s="962"/>
      <c r="LXB482" s="962"/>
      <c r="LXC482" s="962"/>
      <c r="LXD482" s="962"/>
      <c r="LXE482" s="962"/>
      <c r="LXF482" s="962"/>
      <c r="LXG482" s="962"/>
      <c r="LXH482" s="962"/>
      <c r="LXI482" s="962"/>
      <c r="LXJ482" s="962"/>
      <c r="LXK482" s="962"/>
      <c r="LXL482" s="962"/>
      <c r="LXM482" s="962"/>
      <c r="LXN482" s="962"/>
      <c r="LXO482" s="962"/>
      <c r="LXP482" s="962"/>
      <c r="LXQ482" s="962"/>
      <c r="LXR482" s="962"/>
      <c r="LXS482" s="962"/>
      <c r="LXT482" s="962"/>
      <c r="LXU482" s="962"/>
      <c r="LXV482" s="962"/>
      <c r="LXW482" s="962"/>
      <c r="LXX482" s="962"/>
      <c r="LXY482" s="962"/>
      <c r="LXZ482" s="962"/>
      <c r="LYA482" s="962"/>
      <c r="LYB482" s="962"/>
      <c r="LYC482" s="962"/>
      <c r="LYD482" s="962"/>
      <c r="LYE482" s="962"/>
      <c r="LYF482" s="962"/>
      <c r="LYG482" s="962"/>
      <c r="LYH482" s="962"/>
      <c r="LYI482" s="962"/>
      <c r="LYJ482" s="962"/>
      <c r="LYK482" s="962"/>
      <c r="LYL482" s="962"/>
      <c r="LYM482" s="962"/>
      <c r="LYN482" s="962"/>
      <c r="LYO482" s="962"/>
      <c r="LYP482" s="962"/>
      <c r="LYQ482" s="962"/>
      <c r="LYR482" s="962"/>
      <c r="LYS482" s="962"/>
      <c r="LYT482" s="962"/>
      <c r="LYU482" s="962"/>
      <c r="LYV482" s="962"/>
      <c r="LYW482" s="962"/>
      <c r="LYX482" s="962"/>
      <c r="LYY482" s="962"/>
      <c r="LYZ482" s="962"/>
      <c r="LZA482" s="962"/>
      <c r="LZB482" s="962"/>
      <c r="LZC482" s="962"/>
      <c r="LZD482" s="962"/>
      <c r="LZE482" s="962"/>
      <c r="LZF482" s="962"/>
      <c r="LZG482" s="962"/>
      <c r="LZH482" s="962"/>
      <c r="LZI482" s="962"/>
      <c r="LZJ482" s="962"/>
      <c r="LZK482" s="962"/>
      <c r="LZL482" s="962"/>
      <c r="LZM482" s="962"/>
      <c r="LZN482" s="962"/>
      <c r="LZO482" s="962"/>
      <c r="LZP482" s="962"/>
      <c r="LZQ482" s="962"/>
      <c r="LZR482" s="962"/>
      <c r="LZS482" s="962"/>
      <c r="LZT482" s="962"/>
      <c r="LZU482" s="962"/>
      <c r="LZV482" s="962"/>
      <c r="LZW482" s="962"/>
      <c r="LZX482" s="962"/>
      <c r="LZY482" s="962"/>
      <c r="LZZ482" s="962"/>
      <c r="MAA482" s="962"/>
      <c r="MAB482" s="962"/>
      <c r="MAC482" s="962"/>
      <c r="MAD482" s="962"/>
      <c r="MAE482" s="962"/>
      <c r="MAF482" s="962"/>
      <c r="MAG482" s="962"/>
      <c r="MAH482" s="962"/>
      <c r="MAI482" s="962"/>
      <c r="MAJ482" s="962"/>
      <c r="MAK482" s="962"/>
      <c r="MAL482" s="962"/>
      <c r="MAM482" s="962"/>
      <c r="MAN482" s="962"/>
      <c r="MAO482" s="962"/>
      <c r="MAP482" s="962"/>
      <c r="MAQ482" s="962"/>
      <c r="MAR482" s="962"/>
      <c r="MAS482" s="962"/>
      <c r="MAT482" s="962"/>
      <c r="MAU482" s="962"/>
      <c r="MAV482" s="962"/>
      <c r="MAW482" s="962"/>
      <c r="MAX482" s="962"/>
      <c r="MAY482" s="962"/>
      <c r="MAZ482" s="962"/>
      <c r="MBA482" s="962"/>
      <c r="MBB482" s="962"/>
      <c r="MBC482" s="962"/>
      <c r="MBD482" s="962"/>
      <c r="MBE482" s="962"/>
      <c r="MBF482" s="962"/>
      <c r="MBG482" s="962"/>
      <c r="MBH482" s="962"/>
      <c r="MBI482" s="962"/>
      <c r="MBJ482" s="962"/>
      <c r="MBK482" s="962"/>
      <c r="MBL482" s="962"/>
      <c r="MBM482" s="962"/>
      <c r="MBN482" s="962"/>
      <c r="MBO482" s="962"/>
      <c r="MBP482" s="962"/>
      <c r="MBQ482" s="962"/>
      <c r="MBR482" s="962"/>
      <c r="MBS482" s="962"/>
      <c r="MBT482" s="962"/>
      <c r="MBU482" s="962"/>
      <c r="MBV482" s="962"/>
      <c r="MBW482" s="962"/>
      <c r="MBX482" s="962"/>
      <c r="MBY482" s="962"/>
      <c r="MBZ482" s="962"/>
      <c r="MCA482" s="962"/>
      <c r="MCB482" s="962"/>
      <c r="MCC482" s="962"/>
      <c r="MCD482" s="962"/>
      <c r="MCE482" s="962"/>
      <c r="MCF482" s="962"/>
      <c r="MCG482" s="962"/>
      <c r="MCH482" s="962"/>
      <c r="MCI482" s="962"/>
      <c r="MCJ482" s="962"/>
      <c r="MCK482" s="962"/>
      <c r="MCL482" s="962"/>
      <c r="MCM482" s="962"/>
      <c r="MCN482" s="962"/>
      <c r="MCO482" s="962"/>
      <c r="MCP482" s="962"/>
      <c r="MCQ482" s="962"/>
      <c r="MCR482" s="962"/>
      <c r="MCS482" s="962"/>
      <c r="MCT482" s="962"/>
      <c r="MCU482" s="962"/>
      <c r="MCV482" s="962"/>
      <c r="MCW482" s="962"/>
      <c r="MCX482" s="962"/>
      <c r="MCY482" s="962"/>
      <c r="MCZ482" s="962"/>
      <c r="MDA482" s="962"/>
      <c r="MDB482" s="962"/>
      <c r="MDC482" s="962"/>
      <c r="MDD482" s="962"/>
      <c r="MDE482" s="962"/>
      <c r="MDF482" s="962"/>
      <c r="MDG482" s="962"/>
      <c r="MDH482" s="962"/>
      <c r="MDI482" s="962"/>
      <c r="MDJ482" s="962"/>
      <c r="MDK482" s="962"/>
      <c r="MDL482" s="962"/>
      <c r="MDM482" s="962"/>
      <c r="MDN482" s="962"/>
      <c r="MDO482" s="962"/>
      <c r="MDP482" s="962"/>
      <c r="MDQ482" s="962"/>
      <c r="MDR482" s="962"/>
      <c r="MDS482" s="962"/>
      <c r="MDT482" s="962"/>
      <c r="MDU482" s="962"/>
      <c r="MDV482" s="962"/>
      <c r="MDW482" s="962"/>
      <c r="MDX482" s="962"/>
      <c r="MDY482" s="962"/>
      <c r="MDZ482" s="962"/>
      <c r="MEA482" s="962"/>
      <c r="MEB482" s="962"/>
      <c r="MEC482" s="962"/>
      <c r="MED482" s="962"/>
      <c r="MEE482" s="962"/>
      <c r="MEF482" s="962"/>
      <c r="MEG482" s="962"/>
      <c r="MEH482" s="962"/>
      <c r="MEI482" s="962"/>
      <c r="MEJ482" s="962"/>
      <c r="MEK482" s="962"/>
      <c r="MEL482" s="962"/>
      <c r="MEM482" s="962"/>
      <c r="MEN482" s="962"/>
      <c r="MEO482" s="962"/>
      <c r="MEP482" s="962"/>
      <c r="MEQ482" s="962"/>
      <c r="MER482" s="962"/>
      <c r="MES482" s="962"/>
      <c r="MET482" s="962"/>
      <c r="MEU482" s="962"/>
      <c r="MEV482" s="962"/>
      <c r="MEW482" s="962"/>
      <c r="MEX482" s="962"/>
      <c r="MEY482" s="962"/>
      <c r="MEZ482" s="962"/>
      <c r="MFA482" s="962"/>
      <c r="MFB482" s="962"/>
      <c r="MFC482" s="962"/>
      <c r="MFD482" s="962"/>
      <c r="MFE482" s="962"/>
      <c r="MFF482" s="962"/>
      <c r="MFG482" s="962"/>
      <c r="MFH482" s="962"/>
      <c r="MFI482" s="962"/>
      <c r="MFJ482" s="962"/>
      <c r="MFK482" s="962"/>
      <c r="MFL482" s="962"/>
      <c r="MFM482" s="962"/>
      <c r="MFN482" s="962"/>
      <c r="MFO482" s="962"/>
      <c r="MFP482" s="962"/>
      <c r="MFQ482" s="962"/>
      <c r="MFR482" s="962"/>
      <c r="MFS482" s="962"/>
      <c r="MFT482" s="962"/>
      <c r="MFU482" s="962"/>
      <c r="MFV482" s="962"/>
      <c r="MFW482" s="962"/>
      <c r="MFX482" s="962"/>
      <c r="MFY482" s="962"/>
      <c r="MFZ482" s="962"/>
      <c r="MGA482" s="962"/>
      <c r="MGB482" s="962"/>
      <c r="MGC482" s="962"/>
      <c r="MGD482" s="962"/>
      <c r="MGE482" s="962"/>
      <c r="MGF482" s="962"/>
      <c r="MGG482" s="962"/>
      <c r="MGH482" s="962"/>
      <c r="MGI482" s="962"/>
      <c r="MGJ482" s="962"/>
      <c r="MGK482" s="962"/>
      <c r="MGL482" s="962"/>
      <c r="MGM482" s="962"/>
      <c r="MGN482" s="962"/>
      <c r="MGO482" s="962"/>
      <c r="MGP482" s="962"/>
      <c r="MGQ482" s="962"/>
      <c r="MGR482" s="962"/>
      <c r="MGS482" s="962"/>
      <c r="MGT482" s="962"/>
      <c r="MGU482" s="962"/>
      <c r="MGV482" s="962"/>
      <c r="MGW482" s="962"/>
      <c r="MGX482" s="962"/>
      <c r="MGY482" s="962"/>
      <c r="MGZ482" s="962"/>
      <c r="MHA482" s="962"/>
      <c r="MHB482" s="962"/>
      <c r="MHC482" s="962"/>
      <c r="MHD482" s="962"/>
      <c r="MHE482" s="962"/>
      <c r="MHF482" s="962"/>
      <c r="MHG482" s="962"/>
      <c r="MHH482" s="962"/>
      <c r="MHI482" s="962"/>
      <c r="MHJ482" s="962"/>
      <c r="MHK482" s="962"/>
      <c r="MHL482" s="962"/>
      <c r="MHM482" s="962"/>
      <c r="MHN482" s="962"/>
      <c r="MHO482" s="962"/>
      <c r="MHP482" s="962"/>
      <c r="MHQ482" s="962"/>
      <c r="MHR482" s="962"/>
      <c r="MHS482" s="962"/>
      <c r="MHT482" s="962"/>
      <c r="MHU482" s="962"/>
      <c r="MHV482" s="962"/>
      <c r="MHW482" s="962"/>
      <c r="MHX482" s="962"/>
      <c r="MHY482" s="962"/>
      <c r="MHZ482" s="962"/>
      <c r="MIA482" s="962"/>
      <c r="MIB482" s="962"/>
      <c r="MIC482" s="962"/>
      <c r="MID482" s="962"/>
      <c r="MIE482" s="962"/>
      <c r="MIF482" s="962"/>
      <c r="MIG482" s="962"/>
      <c r="MIH482" s="962"/>
      <c r="MII482" s="962"/>
      <c r="MIJ482" s="962"/>
      <c r="MIK482" s="962"/>
      <c r="MIL482" s="962"/>
      <c r="MIM482" s="962"/>
      <c r="MIN482" s="962"/>
      <c r="MIO482" s="962"/>
      <c r="MIP482" s="962"/>
      <c r="MIQ482" s="962"/>
      <c r="MIR482" s="962"/>
      <c r="MIS482" s="962"/>
      <c r="MIT482" s="962"/>
      <c r="MIU482" s="962"/>
      <c r="MIV482" s="962"/>
      <c r="MIW482" s="962"/>
      <c r="MIX482" s="962"/>
      <c r="MIY482" s="962"/>
      <c r="MIZ482" s="962"/>
      <c r="MJA482" s="962"/>
      <c r="MJB482" s="962"/>
      <c r="MJC482" s="962"/>
      <c r="MJD482" s="962"/>
      <c r="MJE482" s="962"/>
      <c r="MJF482" s="962"/>
      <c r="MJG482" s="962"/>
      <c r="MJH482" s="962"/>
      <c r="MJI482" s="962"/>
      <c r="MJJ482" s="962"/>
      <c r="MJK482" s="962"/>
      <c r="MJL482" s="962"/>
      <c r="MJM482" s="962"/>
      <c r="MJN482" s="962"/>
      <c r="MJO482" s="962"/>
      <c r="MJP482" s="962"/>
      <c r="MJQ482" s="962"/>
      <c r="MJR482" s="962"/>
      <c r="MJS482" s="962"/>
      <c r="MJT482" s="962"/>
      <c r="MJU482" s="962"/>
      <c r="MJV482" s="962"/>
      <c r="MJW482" s="962"/>
      <c r="MJX482" s="962"/>
      <c r="MJY482" s="962"/>
      <c r="MJZ482" s="962"/>
      <c r="MKA482" s="962"/>
      <c r="MKB482" s="962"/>
      <c r="MKC482" s="962"/>
      <c r="MKD482" s="962"/>
      <c r="MKE482" s="962"/>
      <c r="MKF482" s="962"/>
      <c r="MKG482" s="962"/>
      <c r="MKH482" s="962"/>
      <c r="MKI482" s="962"/>
      <c r="MKJ482" s="962"/>
      <c r="MKK482" s="962"/>
      <c r="MKL482" s="962"/>
      <c r="MKM482" s="962"/>
      <c r="MKN482" s="962"/>
      <c r="MKO482" s="962"/>
      <c r="MKP482" s="962"/>
      <c r="MKQ482" s="962"/>
      <c r="MKR482" s="962"/>
      <c r="MKS482" s="962"/>
      <c r="MKT482" s="962"/>
      <c r="MKU482" s="962"/>
      <c r="MKV482" s="962"/>
      <c r="MKW482" s="962"/>
      <c r="MKX482" s="962"/>
      <c r="MKY482" s="962"/>
      <c r="MKZ482" s="962"/>
      <c r="MLA482" s="962"/>
      <c r="MLB482" s="962"/>
      <c r="MLC482" s="962"/>
      <c r="MLD482" s="962"/>
      <c r="MLE482" s="962"/>
      <c r="MLF482" s="962"/>
      <c r="MLG482" s="962"/>
      <c r="MLH482" s="962"/>
      <c r="MLI482" s="962"/>
      <c r="MLJ482" s="962"/>
      <c r="MLK482" s="962"/>
      <c r="MLL482" s="962"/>
      <c r="MLM482" s="962"/>
      <c r="MLN482" s="962"/>
      <c r="MLO482" s="962"/>
      <c r="MLP482" s="962"/>
      <c r="MLQ482" s="962"/>
      <c r="MLR482" s="962"/>
      <c r="MLS482" s="962"/>
      <c r="MLT482" s="962"/>
      <c r="MLU482" s="962"/>
      <c r="MLV482" s="962"/>
      <c r="MLW482" s="962"/>
      <c r="MLX482" s="962"/>
      <c r="MLY482" s="962"/>
      <c r="MLZ482" s="962"/>
      <c r="MMA482" s="962"/>
      <c r="MMB482" s="962"/>
      <c r="MMC482" s="962"/>
      <c r="MMD482" s="962"/>
      <c r="MME482" s="962"/>
      <c r="MMF482" s="962"/>
      <c r="MMG482" s="962"/>
      <c r="MMH482" s="962"/>
      <c r="MMI482" s="962"/>
      <c r="MMJ482" s="962"/>
      <c r="MMK482" s="962"/>
      <c r="MML482" s="962"/>
      <c r="MMM482" s="962"/>
      <c r="MMN482" s="962"/>
      <c r="MMO482" s="962"/>
      <c r="MMP482" s="962"/>
      <c r="MMQ482" s="962"/>
      <c r="MMR482" s="962"/>
      <c r="MMS482" s="962"/>
      <c r="MMT482" s="962"/>
      <c r="MMU482" s="962"/>
      <c r="MMV482" s="962"/>
      <c r="MMW482" s="962"/>
      <c r="MMX482" s="962"/>
      <c r="MMY482" s="962"/>
      <c r="MMZ482" s="962"/>
      <c r="MNA482" s="962"/>
      <c r="MNB482" s="962"/>
      <c r="MNC482" s="962"/>
      <c r="MND482" s="962"/>
      <c r="MNE482" s="962"/>
      <c r="MNF482" s="962"/>
      <c r="MNG482" s="962"/>
      <c r="MNH482" s="962"/>
      <c r="MNI482" s="962"/>
      <c r="MNJ482" s="962"/>
      <c r="MNK482" s="962"/>
      <c r="MNL482" s="962"/>
      <c r="MNM482" s="962"/>
      <c r="MNN482" s="962"/>
      <c r="MNO482" s="962"/>
      <c r="MNP482" s="962"/>
      <c r="MNQ482" s="962"/>
      <c r="MNR482" s="962"/>
      <c r="MNS482" s="962"/>
      <c r="MNT482" s="962"/>
      <c r="MNU482" s="962"/>
      <c r="MNV482" s="962"/>
      <c r="MNW482" s="962"/>
      <c r="MNX482" s="962"/>
      <c r="MNY482" s="962"/>
      <c r="MNZ482" s="962"/>
      <c r="MOA482" s="962"/>
      <c r="MOB482" s="962"/>
      <c r="MOC482" s="962"/>
      <c r="MOD482" s="962"/>
      <c r="MOE482" s="962"/>
      <c r="MOF482" s="962"/>
      <c r="MOG482" s="962"/>
      <c r="MOH482" s="962"/>
      <c r="MOI482" s="962"/>
      <c r="MOJ482" s="962"/>
      <c r="MOK482" s="962"/>
      <c r="MOL482" s="962"/>
      <c r="MOM482" s="962"/>
      <c r="MON482" s="962"/>
      <c r="MOO482" s="962"/>
      <c r="MOP482" s="962"/>
      <c r="MOQ482" s="962"/>
      <c r="MOR482" s="962"/>
      <c r="MOS482" s="962"/>
      <c r="MOT482" s="962"/>
      <c r="MOU482" s="962"/>
      <c r="MOV482" s="962"/>
      <c r="MOW482" s="962"/>
      <c r="MOX482" s="962"/>
      <c r="MOY482" s="962"/>
      <c r="MOZ482" s="962"/>
      <c r="MPA482" s="962"/>
      <c r="MPB482" s="962"/>
      <c r="MPC482" s="962"/>
      <c r="MPD482" s="962"/>
      <c r="MPE482" s="962"/>
      <c r="MPF482" s="962"/>
      <c r="MPG482" s="962"/>
      <c r="MPH482" s="962"/>
      <c r="MPI482" s="962"/>
      <c r="MPJ482" s="962"/>
      <c r="MPK482" s="962"/>
      <c r="MPL482" s="962"/>
      <c r="MPM482" s="962"/>
      <c r="MPN482" s="962"/>
      <c r="MPO482" s="962"/>
      <c r="MPP482" s="962"/>
      <c r="MPQ482" s="962"/>
      <c r="MPR482" s="962"/>
      <c r="MPS482" s="962"/>
      <c r="MPT482" s="962"/>
      <c r="MPU482" s="962"/>
      <c r="MPV482" s="962"/>
      <c r="MPW482" s="962"/>
      <c r="MPX482" s="962"/>
      <c r="MPY482" s="962"/>
      <c r="MPZ482" s="962"/>
      <c r="MQA482" s="962"/>
      <c r="MQB482" s="962"/>
      <c r="MQC482" s="962"/>
      <c r="MQD482" s="962"/>
      <c r="MQE482" s="962"/>
      <c r="MQF482" s="962"/>
      <c r="MQG482" s="962"/>
      <c r="MQH482" s="962"/>
      <c r="MQI482" s="962"/>
      <c r="MQJ482" s="962"/>
      <c r="MQK482" s="962"/>
      <c r="MQL482" s="962"/>
      <c r="MQM482" s="962"/>
      <c r="MQN482" s="962"/>
      <c r="MQO482" s="962"/>
      <c r="MQP482" s="962"/>
      <c r="MQQ482" s="962"/>
      <c r="MQR482" s="962"/>
      <c r="MQS482" s="962"/>
      <c r="MQT482" s="962"/>
      <c r="MQU482" s="962"/>
      <c r="MQV482" s="962"/>
      <c r="MQW482" s="962"/>
      <c r="MQX482" s="962"/>
      <c r="MQY482" s="962"/>
      <c r="MQZ482" s="962"/>
      <c r="MRA482" s="962"/>
      <c r="MRB482" s="962"/>
      <c r="MRC482" s="962"/>
      <c r="MRD482" s="962"/>
      <c r="MRE482" s="962"/>
      <c r="MRF482" s="962"/>
      <c r="MRG482" s="962"/>
      <c r="MRH482" s="962"/>
      <c r="MRI482" s="962"/>
      <c r="MRJ482" s="962"/>
      <c r="MRK482" s="962"/>
      <c r="MRL482" s="962"/>
      <c r="MRM482" s="962"/>
      <c r="MRN482" s="962"/>
      <c r="MRO482" s="962"/>
      <c r="MRP482" s="962"/>
      <c r="MRQ482" s="962"/>
      <c r="MRR482" s="962"/>
      <c r="MRS482" s="962"/>
      <c r="MRT482" s="962"/>
      <c r="MRU482" s="962"/>
      <c r="MRV482" s="962"/>
      <c r="MRW482" s="962"/>
      <c r="MRX482" s="962"/>
      <c r="MRY482" s="962"/>
      <c r="MRZ482" s="962"/>
      <c r="MSA482" s="962"/>
      <c r="MSB482" s="962"/>
      <c r="MSC482" s="962"/>
      <c r="MSD482" s="962"/>
      <c r="MSE482" s="962"/>
      <c r="MSF482" s="962"/>
      <c r="MSG482" s="962"/>
      <c r="MSH482" s="962"/>
      <c r="MSI482" s="962"/>
      <c r="MSJ482" s="962"/>
      <c r="MSK482" s="962"/>
      <c r="MSL482" s="962"/>
      <c r="MSM482" s="962"/>
      <c r="MSN482" s="962"/>
      <c r="MSO482" s="962"/>
      <c r="MSP482" s="962"/>
      <c r="MSQ482" s="962"/>
      <c r="MSR482" s="962"/>
      <c r="MSS482" s="962"/>
      <c r="MST482" s="962"/>
      <c r="MSU482" s="962"/>
      <c r="MSV482" s="962"/>
      <c r="MSW482" s="962"/>
      <c r="MSX482" s="962"/>
      <c r="MSY482" s="962"/>
      <c r="MSZ482" s="962"/>
      <c r="MTA482" s="962"/>
      <c r="MTB482" s="962"/>
      <c r="MTC482" s="962"/>
      <c r="MTD482" s="962"/>
      <c r="MTE482" s="962"/>
      <c r="MTF482" s="962"/>
      <c r="MTG482" s="962"/>
      <c r="MTH482" s="962"/>
      <c r="MTI482" s="962"/>
      <c r="MTJ482" s="962"/>
      <c r="MTK482" s="962"/>
      <c r="MTL482" s="962"/>
      <c r="MTM482" s="962"/>
      <c r="MTN482" s="962"/>
      <c r="MTO482" s="962"/>
      <c r="MTP482" s="962"/>
      <c r="MTQ482" s="962"/>
      <c r="MTR482" s="962"/>
      <c r="MTS482" s="962"/>
      <c r="MTT482" s="962"/>
      <c r="MTU482" s="962"/>
      <c r="MTV482" s="962"/>
      <c r="MTW482" s="962"/>
      <c r="MTX482" s="962"/>
      <c r="MTY482" s="962"/>
      <c r="MTZ482" s="962"/>
      <c r="MUA482" s="962"/>
      <c r="MUB482" s="962"/>
      <c r="MUC482" s="962"/>
      <c r="MUD482" s="962"/>
      <c r="MUE482" s="962"/>
      <c r="MUF482" s="962"/>
      <c r="MUG482" s="962"/>
      <c r="MUH482" s="962"/>
      <c r="MUI482" s="962"/>
      <c r="MUJ482" s="962"/>
      <c r="MUK482" s="962"/>
      <c r="MUL482" s="962"/>
      <c r="MUM482" s="962"/>
      <c r="MUN482" s="962"/>
      <c r="MUO482" s="962"/>
      <c r="MUP482" s="962"/>
      <c r="MUQ482" s="962"/>
      <c r="MUR482" s="962"/>
      <c r="MUS482" s="962"/>
      <c r="MUT482" s="962"/>
      <c r="MUU482" s="962"/>
      <c r="MUV482" s="962"/>
      <c r="MUW482" s="962"/>
      <c r="MUX482" s="962"/>
      <c r="MUY482" s="962"/>
      <c r="MUZ482" s="962"/>
      <c r="MVA482" s="962"/>
      <c r="MVB482" s="962"/>
      <c r="MVC482" s="962"/>
      <c r="MVD482" s="962"/>
      <c r="MVE482" s="962"/>
      <c r="MVF482" s="962"/>
      <c r="MVG482" s="962"/>
      <c r="MVH482" s="962"/>
      <c r="MVI482" s="962"/>
      <c r="MVJ482" s="962"/>
      <c r="MVK482" s="962"/>
      <c r="MVL482" s="962"/>
      <c r="MVM482" s="962"/>
      <c r="MVN482" s="962"/>
      <c r="MVO482" s="962"/>
      <c r="MVP482" s="962"/>
      <c r="MVQ482" s="962"/>
      <c r="MVR482" s="962"/>
      <c r="MVS482" s="962"/>
      <c r="MVT482" s="962"/>
      <c r="MVU482" s="962"/>
      <c r="MVV482" s="962"/>
      <c r="MVW482" s="962"/>
      <c r="MVX482" s="962"/>
      <c r="MVY482" s="962"/>
      <c r="MVZ482" s="962"/>
      <c r="MWA482" s="962"/>
      <c r="MWB482" s="962"/>
      <c r="MWC482" s="962"/>
      <c r="MWD482" s="962"/>
      <c r="MWE482" s="962"/>
      <c r="MWF482" s="962"/>
      <c r="MWG482" s="962"/>
      <c r="MWH482" s="962"/>
      <c r="MWI482" s="962"/>
      <c r="MWJ482" s="962"/>
      <c r="MWK482" s="962"/>
      <c r="MWL482" s="962"/>
      <c r="MWM482" s="962"/>
      <c r="MWN482" s="962"/>
      <c r="MWO482" s="962"/>
      <c r="MWP482" s="962"/>
      <c r="MWQ482" s="962"/>
      <c r="MWR482" s="962"/>
      <c r="MWS482" s="962"/>
      <c r="MWT482" s="962"/>
      <c r="MWU482" s="962"/>
      <c r="MWV482" s="962"/>
      <c r="MWW482" s="962"/>
      <c r="MWX482" s="962"/>
      <c r="MWY482" s="962"/>
      <c r="MWZ482" s="962"/>
      <c r="MXA482" s="962"/>
      <c r="MXB482" s="962"/>
      <c r="MXC482" s="962"/>
      <c r="MXD482" s="962"/>
      <c r="MXE482" s="962"/>
      <c r="MXF482" s="962"/>
      <c r="MXG482" s="962"/>
      <c r="MXH482" s="962"/>
      <c r="MXI482" s="962"/>
      <c r="MXJ482" s="962"/>
      <c r="MXK482" s="962"/>
      <c r="MXL482" s="962"/>
      <c r="MXM482" s="962"/>
      <c r="MXN482" s="962"/>
      <c r="MXO482" s="962"/>
      <c r="MXP482" s="962"/>
      <c r="MXQ482" s="962"/>
      <c r="MXR482" s="962"/>
      <c r="MXS482" s="962"/>
      <c r="MXT482" s="962"/>
      <c r="MXU482" s="962"/>
      <c r="MXV482" s="962"/>
      <c r="MXW482" s="962"/>
      <c r="MXX482" s="962"/>
      <c r="MXY482" s="962"/>
      <c r="MXZ482" s="962"/>
      <c r="MYA482" s="962"/>
      <c r="MYB482" s="962"/>
      <c r="MYC482" s="962"/>
      <c r="MYD482" s="962"/>
      <c r="MYE482" s="962"/>
      <c r="MYF482" s="962"/>
      <c r="MYG482" s="962"/>
      <c r="MYH482" s="962"/>
      <c r="MYI482" s="962"/>
      <c r="MYJ482" s="962"/>
      <c r="MYK482" s="962"/>
      <c r="MYL482" s="962"/>
      <c r="MYM482" s="962"/>
      <c r="MYN482" s="962"/>
      <c r="MYO482" s="962"/>
      <c r="MYP482" s="962"/>
      <c r="MYQ482" s="962"/>
      <c r="MYR482" s="962"/>
      <c r="MYS482" s="962"/>
      <c r="MYT482" s="962"/>
      <c r="MYU482" s="962"/>
      <c r="MYV482" s="962"/>
      <c r="MYW482" s="962"/>
      <c r="MYX482" s="962"/>
      <c r="MYY482" s="962"/>
      <c r="MYZ482" s="962"/>
      <c r="MZA482" s="962"/>
      <c r="MZB482" s="962"/>
      <c r="MZC482" s="962"/>
      <c r="MZD482" s="962"/>
      <c r="MZE482" s="962"/>
      <c r="MZF482" s="962"/>
      <c r="MZG482" s="962"/>
      <c r="MZH482" s="962"/>
      <c r="MZI482" s="962"/>
      <c r="MZJ482" s="962"/>
      <c r="MZK482" s="962"/>
      <c r="MZL482" s="962"/>
      <c r="MZM482" s="962"/>
      <c r="MZN482" s="962"/>
      <c r="MZO482" s="962"/>
      <c r="MZP482" s="962"/>
      <c r="MZQ482" s="962"/>
      <c r="MZR482" s="962"/>
      <c r="MZS482" s="962"/>
      <c r="MZT482" s="962"/>
      <c r="MZU482" s="962"/>
      <c r="MZV482" s="962"/>
      <c r="MZW482" s="962"/>
      <c r="MZX482" s="962"/>
      <c r="MZY482" s="962"/>
      <c r="MZZ482" s="962"/>
      <c r="NAA482" s="962"/>
      <c r="NAB482" s="962"/>
      <c r="NAC482" s="962"/>
      <c r="NAD482" s="962"/>
      <c r="NAE482" s="962"/>
      <c r="NAF482" s="962"/>
      <c r="NAG482" s="962"/>
      <c r="NAH482" s="962"/>
      <c r="NAI482" s="962"/>
      <c r="NAJ482" s="962"/>
      <c r="NAK482" s="962"/>
      <c r="NAL482" s="962"/>
      <c r="NAM482" s="962"/>
      <c r="NAN482" s="962"/>
      <c r="NAO482" s="962"/>
      <c r="NAP482" s="962"/>
      <c r="NAQ482" s="962"/>
      <c r="NAR482" s="962"/>
      <c r="NAS482" s="962"/>
      <c r="NAT482" s="962"/>
      <c r="NAU482" s="962"/>
      <c r="NAV482" s="962"/>
      <c r="NAW482" s="962"/>
      <c r="NAX482" s="962"/>
      <c r="NAY482" s="962"/>
      <c r="NAZ482" s="962"/>
      <c r="NBA482" s="962"/>
      <c r="NBB482" s="962"/>
      <c r="NBC482" s="962"/>
      <c r="NBD482" s="962"/>
      <c r="NBE482" s="962"/>
      <c r="NBF482" s="962"/>
      <c r="NBG482" s="962"/>
      <c r="NBH482" s="962"/>
      <c r="NBI482" s="962"/>
      <c r="NBJ482" s="962"/>
      <c r="NBK482" s="962"/>
      <c r="NBL482" s="962"/>
      <c r="NBM482" s="962"/>
      <c r="NBN482" s="962"/>
      <c r="NBO482" s="962"/>
      <c r="NBP482" s="962"/>
      <c r="NBQ482" s="962"/>
      <c r="NBR482" s="962"/>
      <c r="NBS482" s="962"/>
      <c r="NBT482" s="962"/>
      <c r="NBU482" s="962"/>
      <c r="NBV482" s="962"/>
      <c r="NBW482" s="962"/>
      <c r="NBX482" s="962"/>
      <c r="NBY482" s="962"/>
      <c r="NBZ482" s="962"/>
      <c r="NCA482" s="962"/>
      <c r="NCB482" s="962"/>
      <c r="NCC482" s="962"/>
      <c r="NCD482" s="962"/>
      <c r="NCE482" s="962"/>
      <c r="NCF482" s="962"/>
      <c r="NCG482" s="962"/>
      <c r="NCH482" s="962"/>
      <c r="NCI482" s="962"/>
      <c r="NCJ482" s="962"/>
      <c r="NCK482" s="962"/>
      <c r="NCL482" s="962"/>
      <c r="NCM482" s="962"/>
      <c r="NCN482" s="962"/>
      <c r="NCO482" s="962"/>
      <c r="NCP482" s="962"/>
      <c r="NCQ482" s="962"/>
      <c r="NCR482" s="962"/>
      <c r="NCS482" s="962"/>
      <c r="NCT482" s="962"/>
      <c r="NCU482" s="962"/>
      <c r="NCV482" s="962"/>
      <c r="NCW482" s="962"/>
      <c r="NCX482" s="962"/>
      <c r="NCY482" s="962"/>
      <c r="NCZ482" s="962"/>
      <c r="NDA482" s="962"/>
      <c r="NDB482" s="962"/>
      <c r="NDC482" s="962"/>
      <c r="NDD482" s="962"/>
      <c r="NDE482" s="962"/>
      <c r="NDF482" s="962"/>
      <c r="NDG482" s="962"/>
      <c r="NDH482" s="962"/>
      <c r="NDI482" s="962"/>
      <c r="NDJ482" s="962"/>
      <c r="NDK482" s="962"/>
      <c r="NDL482" s="962"/>
      <c r="NDM482" s="962"/>
      <c r="NDN482" s="962"/>
      <c r="NDO482" s="962"/>
      <c r="NDP482" s="962"/>
      <c r="NDQ482" s="962"/>
      <c r="NDR482" s="962"/>
      <c r="NDS482" s="962"/>
      <c r="NDT482" s="962"/>
      <c r="NDU482" s="962"/>
      <c r="NDV482" s="962"/>
      <c r="NDW482" s="962"/>
      <c r="NDX482" s="962"/>
      <c r="NDY482" s="962"/>
      <c r="NDZ482" s="962"/>
      <c r="NEA482" s="962"/>
      <c r="NEB482" s="962"/>
      <c r="NEC482" s="962"/>
      <c r="NED482" s="962"/>
      <c r="NEE482" s="962"/>
      <c r="NEF482" s="962"/>
      <c r="NEG482" s="962"/>
      <c r="NEH482" s="962"/>
      <c r="NEI482" s="962"/>
      <c r="NEJ482" s="962"/>
      <c r="NEK482" s="962"/>
      <c r="NEL482" s="962"/>
      <c r="NEM482" s="962"/>
      <c r="NEN482" s="962"/>
      <c r="NEO482" s="962"/>
      <c r="NEP482" s="962"/>
      <c r="NEQ482" s="962"/>
      <c r="NER482" s="962"/>
      <c r="NES482" s="962"/>
      <c r="NET482" s="962"/>
      <c r="NEU482" s="962"/>
      <c r="NEV482" s="962"/>
      <c r="NEW482" s="962"/>
      <c r="NEX482" s="962"/>
      <c r="NEY482" s="962"/>
      <c r="NEZ482" s="962"/>
      <c r="NFA482" s="962"/>
      <c r="NFB482" s="962"/>
      <c r="NFC482" s="962"/>
      <c r="NFD482" s="962"/>
      <c r="NFE482" s="962"/>
      <c r="NFF482" s="962"/>
      <c r="NFG482" s="962"/>
      <c r="NFH482" s="962"/>
      <c r="NFI482" s="962"/>
      <c r="NFJ482" s="962"/>
      <c r="NFK482" s="962"/>
      <c r="NFL482" s="962"/>
      <c r="NFM482" s="962"/>
      <c r="NFN482" s="962"/>
      <c r="NFO482" s="962"/>
      <c r="NFP482" s="962"/>
      <c r="NFQ482" s="962"/>
      <c r="NFR482" s="962"/>
      <c r="NFS482" s="962"/>
      <c r="NFT482" s="962"/>
      <c r="NFU482" s="962"/>
      <c r="NFV482" s="962"/>
      <c r="NFW482" s="962"/>
      <c r="NFX482" s="962"/>
      <c r="NFY482" s="962"/>
      <c r="NFZ482" s="962"/>
      <c r="NGA482" s="962"/>
      <c r="NGB482" s="962"/>
      <c r="NGC482" s="962"/>
      <c r="NGD482" s="962"/>
      <c r="NGE482" s="962"/>
      <c r="NGF482" s="962"/>
      <c r="NGG482" s="962"/>
      <c r="NGH482" s="962"/>
      <c r="NGI482" s="962"/>
      <c r="NGJ482" s="962"/>
      <c r="NGK482" s="962"/>
      <c r="NGL482" s="962"/>
      <c r="NGM482" s="962"/>
      <c r="NGN482" s="962"/>
      <c r="NGO482" s="962"/>
      <c r="NGP482" s="962"/>
      <c r="NGQ482" s="962"/>
      <c r="NGR482" s="962"/>
      <c r="NGS482" s="962"/>
      <c r="NGT482" s="962"/>
      <c r="NGU482" s="962"/>
      <c r="NGV482" s="962"/>
      <c r="NGW482" s="962"/>
      <c r="NGX482" s="962"/>
      <c r="NGY482" s="962"/>
      <c r="NGZ482" s="962"/>
      <c r="NHA482" s="962"/>
      <c r="NHB482" s="962"/>
      <c r="NHC482" s="962"/>
      <c r="NHD482" s="962"/>
      <c r="NHE482" s="962"/>
      <c r="NHF482" s="962"/>
      <c r="NHG482" s="962"/>
      <c r="NHH482" s="962"/>
      <c r="NHI482" s="962"/>
      <c r="NHJ482" s="962"/>
      <c r="NHK482" s="962"/>
      <c r="NHL482" s="962"/>
      <c r="NHM482" s="962"/>
      <c r="NHN482" s="962"/>
      <c r="NHO482" s="962"/>
      <c r="NHP482" s="962"/>
      <c r="NHQ482" s="962"/>
      <c r="NHR482" s="962"/>
      <c r="NHS482" s="962"/>
      <c r="NHT482" s="962"/>
      <c r="NHU482" s="962"/>
      <c r="NHV482" s="962"/>
      <c r="NHW482" s="962"/>
      <c r="NHX482" s="962"/>
      <c r="NHY482" s="962"/>
      <c r="NHZ482" s="962"/>
      <c r="NIA482" s="962"/>
      <c r="NIB482" s="962"/>
      <c r="NIC482" s="962"/>
      <c r="NID482" s="962"/>
      <c r="NIE482" s="962"/>
      <c r="NIF482" s="962"/>
      <c r="NIG482" s="962"/>
      <c r="NIH482" s="962"/>
      <c r="NII482" s="962"/>
      <c r="NIJ482" s="962"/>
      <c r="NIK482" s="962"/>
      <c r="NIL482" s="962"/>
      <c r="NIM482" s="962"/>
      <c r="NIN482" s="962"/>
      <c r="NIO482" s="962"/>
      <c r="NIP482" s="962"/>
      <c r="NIQ482" s="962"/>
      <c r="NIR482" s="962"/>
      <c r="NIS482" s="962"/>
      <c r="NIT482" s="962"/>
      <c r="NIU482" s="962"/>
      <c r="NIV482" s="962"/>
      <c r="NIW482" s="962"/>
      <c r="NIX482" s="962"/>
      <c r="NIY482" s="962"/>
      <c r="NIZ482" s="962"/>
      <c r="NJA482" s="962"/>
      <c r="NJB482" s="962"/>
      <c r="NJC482" s="962"/>
      <c r="NJD482" s="962"/>
      <c r="NJE482" s="962"/>
      <c r="NJF482" s="962"/>
      <c r="NJG482" s="962"/>
      <c r="NJH482" s="962"/>
      <c r="NJI482" s="962"/>
      <c r="NJJ482" s="962"/>
      <c r="NJK482" s="962"/>
      <c r="NJL482" s="962"/>
      <c r="NJM482" s="962"/>
      <c r="NJN482" s="962"/>
      <c r="NJO482" s="962"/>
      <c r="NJP482" s="962"/>
      <c r="NJQ482" s="962"/>
      <c r="NJR482" s="962"/>
      <c r="NJS482" s="962"/>
      <c r="NJT482" s="962"/>
      <c r="NJU482" s="962"/>
      <c r="NJV482" s="962"/>
      <c r="NJW482" s="962"/>
      <c r="NJX482" s="962"/>
      <c r="NJY482" s="962"/>
      <c r="NJZ482" s="962"/>
      <c r="NKA482" s="962"/>
      <c r="NKB482" s="962"/>
      <c r="NKC482" s="962"/>
      <c r="NKD482" s="962"/>
      <c r="NKE482" s="962"/>
      <c r="NKF482" s="962"/>
      <c r="NKG482" s="962"/>
      <c r="NKH482" s="962"/>
      <c r="NKI482" s="962"/>
      <c r="NKJ482" s="962"/>
      <c r="NKK482" s="962"/>
      <c r="NKL482" s="962"/>
      <c r="NKM482" s="962"/>
      <c r="NKN482" s="962"/>
      <c r="NKO482" s="962"/>
      <c r="NKP482" s="962"/>
      <c r="NKQ482" s="962"/>
      <c r="NKR482" s="962"/>
      <c r="NKS482" s="962"/>
      <c r="NKT482" s="962"/>
      <c r="NKU482" s="962"/>
      <c r="NKV482" s="962"/>
      <c r="NKW482" s="962"/>
      <c r="NKX482" s="962"/>
      <c r="NKY482" s="962"/>
      <c r="NKZ482" s="962"/>
      <c r="NLA482" s="962"/>
      <c r="NLB482" s="962"/>
      <c r="NLC482" s="962"/>
      <c r="NLD482" s="962"/>
      <c r="NLE482" s="962"/>
      <c r="NLF482" s="962"/>
      <c r="NLG482" s="962"/>
      <c r="NLH482" s="962"/>
      <c r="NLI482" s="962"/>
      <c r="NLJ482" s="962"/>
      <c r="NLK482" s="962"/>
      <c r="NLL482" s="962"/>
      <c r="NLM482" s="962"/>
      <c r="NLN482" s="962"/>
      <c r="NLO482" s="962"/>
      <c r="NLP482" s="962"/>
      <c r="NLQ482" s="962"/>
      <c r="NLR482" s="962"/>
      <c r="NLS482" s="962"/>
      <c r="NLT482" s="962"/>
      <c r="NLU482" s="962"/>
      <c r="NLV482" s="962"/>
      <c r="NLW482" s="962"/>
      <c r="NLX482" s="962"/>
      <c r="NLY482" s="962"/>
      <c r="NLZ482" s="962"/>
      <c r="NMA482" s="962"/>
      <c r="NMB482" s="962"/>
      <c r="NMC482" s="962"/>
      <c r="NMD482" s="962"/>
      <c r="NME482" s="962"/>
      <c r="NMF482" s="962"/>
      <c r="NMG482" s="962"/>
      <c r="NMH482" s="962"/>
      <c r="NMI482" s="962"/>
      <c r="NMJ482" s="962"/>
      <c r="NMK482" s="962"/>
      <c r="NML482" s="962"/>
      <c r="NMM482" s="962"/>
      <c r="NMN482" s="962"/>
      <c r="NMO482" s="962"/>
      <c r="NMP482" s="962"/>
      <c r="NMQ482" s="962"/>
      <c r="NMR482" s="962"/>
      <c r="NMS482" s="962"/>
      <c r="NMT482" s="962"/>
      <c r="NMU482" s="962"/>
      <c r="NMV482" s="962"/>
      <c r="NMW482" s="962"/>
      <c r="NMX482" s="962"/>
      <c r="NMY482" s="962"/>
      <c r="NMZ482" s="962"/>
      <c r="NNA482" s="962"/>
      <c r="NNB482" s="962"/>
      <c r="NNC482" s="962"/>
      <c r="NND482" s="962"/>
      <c r="NNE482" s="962"/>
      <c r="NNF482" s="962"/>
      <c r="NNG482" s="962"/>
      <c r="NNH482" s="962"/>
      <c r="NNI482" s="962"/>
      <c r="NNJ482" s="962"/>
      <c r="NNK482" s="962"/>
      <c r="NNL482" s="962"/>
      <c r="NNM482" s="962"/>
      <c r="NNN482" s="962"/>
      <c r="NNO482" s="962"/>
      <c r="NNP482" s="962"/>
      <c r="NNQ482" s="962"/>
      <c r="NNR482" s="962"/>
      <c r="NNS482" s="962"/>
      <c r="NNT482" s="962"/>
      <c r="NNU482" s="962"/>
      <c r="NNV482" s="962"/>
      <c r="NNW482" s="962"/>
      <c r="NNX482" s="962"/>
      <c r="NNY482" s="962"/>
      <c r="NNZ482" s="962"/>
      <c r="NOA482" s="962"/>
      <c r="NOB482" s="962"/>
      <c r="NOC482" s="962"/>
      <c r="NOD482" s="962"/>
      <c r="NOE482" s="962"/>
      <c r="NOF482" s="962"/>
      <c r="NOG482" s="962"/>
      <c r="NOH482" s="962"/>
      <c r="NOI482" s="962"/>
      <c r="NOJ482" s="962"/>
      <c r="NOK482" s="962"/>
      <c r="NOL482" s="962"/>
      <c r="NOM482" s="962"/>
      <c r="NON482" s="962"/>
      <c r="NOO482" s="962"/>
      <c r="NOP482" s="962"/>
      <c r="NOQ482" s="962"/>
      <c r="NOR482" s="962"/>
      <c r="NOS482" s="962"/>
      <c r="NOT482" s="962"/>
      <c r="NOU482" s="962"/>
      <c r="NOV482" s="962"/>
      <c r="NOW482" s="962"/>
      <c r="NOX482" s="962"/>
      <c r="NOY482" s="962"/>
      <c r="NOZ482" s="962"/>
      <c r="NPA482" s="962"/>
      <c r="NPB482" s="962"/>
      <c r="NPC482" s="962"/>
      <c r="NPD482" s="962"/>
      <c r="NPE482" s="962"/>
      <c r="NPF482" s="962"/>
      <c r="NPG482" s="962"/>
      <c r="NPH482" s="962"/>
      <c r="NPI482" s="962"/>
      <c r="NPJ482" s="962"/>
      <c r="NPK482" s="962"/>
      <c r="NPL482" s="962"/>
      <c r="NPM482" s="962"/>
      <c r="NPN482" s="962"/>
      <c r="NPO482" s="962"/>
      <c r="NPP482" s="962"/>
      <c r="NPQ482" s="962"/>
      <c r="NPR482" s="962"/>
      <c r="NPS482" s="962"/>
      <c r="NPT482" s="962"/>
      <c r="NPU482" s="962"/>
      <c r="NPV482" s="962"/>
      <c r="NPW482" s="962"/>
      <c r="NPX482" s="962"/>
      <c r="NPY482" s="962"/>
      <c r="NPZ482" s="962"/>
      <c r="NQA482" s="962"/>
      <c r="NQB482" s="962"/>
      <c r="NQC482" s="962"/>
      <c r="NQD482" s="962"/>
      <c r="NQE482" s="962"/>
      <c r="NQF482" s="962"/>
      <c r="NQG482" s="962"/>
      <c r="NQH482" s="962"/>
      <c r="NQI482" s="962"/>
      <c r="NQJ482" s="962"/>
      <c r="NQK482" s="962"/>
      <c r="NQL482" s="962"/>
      <c r="NQM482" s="962"/>
      <c r="NQN482" s="962"/>
      <c r="NQO482" s="962"/>
      <c r="NQP482" s="962"/>
      <c r="NQQ482" s="962"/>
      <c r="NQR482" s="962"/>
      <c r="NQS482" s="962"/>
      <c r="NQT482" s="962"/>
      <c r="NQU482" s="962"/>
      <c r="NQV482" s="962"/>
      <c r="NQW482" s="962"/>
      <c r="NQX482" s="962"/>
      <c r="NQY482" s="962"/>
      <c r="NQZ482" s="962"/>
      <c r="NRA482" s="962"/>
      <c r="NRB482" s="962"/>
      <c r="NRC482" s="962"/>
      <c r="NRD482" s="962"/>
      <c r="NRE482" s="962"/>
      <c r="NRF482" s="962"/>
      <c r="NRG482" s="962"/>
      <c r="NRH482" s="962"/>
      <c r="NRI482" s="962"/>
      <c r="NRJ482" s="962"/>
      <c r="NRK482" s="962"/>
      <c r="NRL482" s="962"/>
      <c r="NRM482" s="962"/>
      <c r="NRN482" s="962"/>
      <c r="NRO482" s="962"/>
      <c r="NRP482" s="962"/>
      <c r="NRQ482" s="962"/>
      <c r="NRR482" s="962"/>
      <c r="NRS482" s="962"/>
      <c r="NRT482" s="962"/>
      <c r="NRU482" s="962"/>
      <c r="NRV482" s="962"/>
      <c r="NRW482" s="962"/>
      <c r="NRX482" s="962"/>
      <c r="NRY482" s="962"/>
      <c r="NRZ482" s="962"/>
      <c r="NSA482" s="962"/>
      <c r="NSB482" s="962"/>
      <c r="NSC482" s="962"/>
      <c r="NSD482" s="962"/>
      <c r="NSE482" s="962"/>
      <c r="NSF482" s="962"/>
      <c r="NSG482" s="962"/>
      <c r="NSH482" s="962"/>
      <c r="NSI482" s="962"/>
      <c r="NSJ482" s="962"/>
      <c r="NSK482" s="962"/>
      <c r="NSL482" s="962"/>
      <c r="NSM482" s="962"/>
      <c r="NSN482" s="962"/>
      <c r="NSO482" s="962"/>
      <c r="NSP482" s="962"/>
      <c r="NSQ482" s="962"/>
      <c r="NSR482" s="962"/>
      <c r="NSS482" s="962"/>
      <c r="NST482" s="962"/>
      <c r="NSU482" s="962"/>
      <c r="NSV482" s="962"/>
      <c r="NSW482" s="962"/>
      <c r="NSX482" s="962"/>
      <c r="NSY482" s="962"/>
      <c r="NSZ482" s="962"/>
      <c r="NTA482" s="962"/>
      <c r="NTB482" s="962"/>
      <c r="NTC482" s="962"/>
      <c r="NTD482" s="962"/>
      <c r="NTE482" s="962"/>
      <c r="NTF482" s="962"/>
      <c r="NTG482" s="962"/>
      <c r="NTH482" s="962"/>
      <c r="NTI482" s="962"/>
      <c r="NTJ482" s="962"/>
      <c r="NTK482" s="962"/>
      <c r="NTL482" s="962"/>
      <c r="NTM482" s="962"/>
      <c r="NTN482" s="962"/>
      <c r="NTO482" s="962"/>
      <c r="NTP482" s="962"/>
      <c r="NTQ482" s="962"/>
      <c r="NTR482" s="962"/>
      <c r="NTS482" s="962"/>
      <c r="NTT482" s="962"/>
      <c r="NTU482" s="962"/>
      <c r="NTV482" s="962"/>
      <c r="NTW482" s="962"/>
      <c r="NTX482" s="962"/>
      <c r="NTY482" s="962"/>
      <c r="NTZ482" s="962"/>
      <c r="NUA482" s="962"/>
      <c r="NUB482" s="962"/>
      <c r="NUC482" s="962"/>
      <c r="NUD482" s="962"/>
      <c r="NUE482" s="962"/>
      <c r="NUF482" s="962"/>
      <c r="NUG482" s="962"/>
      <c r="NUH482" s="962"/>
      <c r="NUI482" s="962"/>
      <c r="NUJ482" s="962"/>
      <c r="NUK482" s="962"/>
      <c r="NUL482" s="962"/>
      <c r="NUM482" s="962"/>
      <c r="NUN482" s="962"/>
      <c r="NUO482" s="962"/>
      <c r="NUP482" s="962"/>
      <c r="NUQ482" s="962"/>
      <c r="NUR482" s="962"/>
      <c r="NUS482" s="962"/>
      <c r="NUT482" s="962"/>
      <c r="NUU482" s="962"/>
      <c r="NUV482" s="962"/>
      <c r="NUW482" s="962"/>
      <c r="NUX482" s="962"/>
      <c r="NUY482" s="962"/>
      <c r="NUZ482" s="962"/>
      <c r="NVA482" s="962"/>
      <c r="NVB482" s="962"/>
      <c r="NVC482" s="962"/>
      <c r="NVD482" s="962"/>
      <c r="NVE482" s="962"/>
      <c r="NVF482" s="962"/>
      <c r="NVG482" s="962"/>
      <c r="NVH482" s="962"/>
      <c r="NVI482" s="962"/>
      <c r="NVJ482" s="962"/>
      <c r="NVK482" s="962"/>
      <c r="NVL482" s="962"/>
      <c r="NVM482" s="962"/>
      <c r="NVN482" s="962"/>
      <c r="NVO482" s="962"/>
      <c r="NVP482" s="962"/>
      <c r="NVQ482" s="962"/>
      <c r="NVR482" s="962"/>
      <c r="NVS482" s="962"/>
      <c r="NVT482" s="962"/>
      <c r="NVU482" s="962"/>
      <c r="NVV482" s="962"/>
      <c r="NVW482" s="962"/>
      <c r="NVX482" s="962"/>
      <c r="NVY482" s="962"/>
      <c r="NVZ482" s="962"/>
      <c r="NWA482" s="962"/>
      <c r="NWB482" s="962"/>
      <c r="NWC482" s="962"/>
      <c r="NWD482" s="962"/>
      <c r="NWE482" s="962"/>
      <c r="NWF482" s="962"/>
      <c r="NWG482" s="962"/>
      <c r="NWH482" s="962"/>
      <c r="NWI482" s="962"/>
      <c r="NWJ482" s="962"/>
      <c r="NWK482" s="962"/>
      <c r="NWL482" s="962"/>
      <c r="NWM482" s="962"/>
      <c r="NWN482" s="962"/>
      <c r="NWO482" s="962"/>
      <c r="NWP482" s="962"/>
      <c r="NWQ482" s="962"/>
      <c r="NWR482" s="962"/>
      <c r="NWS482" s="962"/>
      <c r="NWT482" s="962"/>
      <c r="NWU482" s="962"/>
      <c r="NWV482" s="962"/>
      <c r="NWW482" s="962"/>
      <c r="NWX482" s="962"/>
      <c r="NWY482" s="962"/>
      <c r="NWZ482" s="962"/>
      <c r="NXA482" s="962"/>
      <c r="NXB482" s="962"/>
      <c r="NXC482" s="962"/>
      <c r="NXD482" s="962"/>
      <c r="NXE482" s="962"/>
      <c r="NXF482" s="962"/>
      <c r="NXG482" s="962"/>
      <c r="NXH482" s="962"/>
      <c r="NXI482" s="962"/>
      <c r="NXJ482" s="962"/>
      <c r="NXK482" s="962"/>
      <c r="NXL482" s="962"/>
      <c r="NXM482" s="962"/>
      <c r="NXN482" s="962"/>
      <c r="NXO482" s="962"/>
      <c r="NXP482" s="962"/>
      <c r="NXQ482" s="962"/>
      <c r="NXR482" s="962"/>
      <c r="NXS482" s="962"/>
      <c r="NXT482" s="962"/>
      <c r="NXU482" s="962"/>
      <c r="NXV482" s="962"/>
      <c r="NXW482" s="962"/>
      <c r="NXX482" s="962"/>
      <c r="NXY482" s="962"/>
      <c r="NXZ482" s="962"/>
      <c r="NYA482" s="962"/>
      <c r="NYB482" s="962"/>
      <c r="NYC482" s="962"/>
      <c r="NYD482" s="962"/>
      <c r="NYE482" s="962"/>
      <c r="NYF482" s="962"/>
      <c r="NYG482" s="962"/>
      <c r="NYH482" s="962"/>
      <c r="NYI482" s="962"/>
      <c r="NYJ482" s="962"/>
      <c r="NYK482" s="962"/>
      <c r="NYL482" s="962"/>
      <c r="NYM482" s="962"/>
      <c r="NYN482" s="962"/>
      <c r="NYO482" s="962"/>
      <c r="NYP482" s="962"/>
      <c r="NYQ482" s="962"/>
      <c r="NYR482" s="962"/>
      <c r="NYS482" s="962"/>
      <c r="NYT482" s="962"/>
      <c r="NYU482" s="962"/>
      <c r="NYV482" s="962"/>
      <c r="NYW482" s="962"/>
      <c r="NYX482" s="962"/>
      <c r="NYY482" s="962"/>
      <c r="NYZ482" s="962"/>
      <c r="NZA482" s="962"/>
      <c r="NZB482" s="962"/>
      <c r="NZC482" s="962"/>
      <c r="NZD482" s="962"/>
      <c r="NZE482" s="962"/>
      <c r="NZF482" s="962"/>
      <c r="NZG482" s="962"/>
      <c r="NZH482" s="962"/>
      <c r="NZI482" s="962"/>
      <c r="NZJ482" s="962"/>
      <c r="NZK482" s="962"/>
      <c r="NZL482" s="962"/>
      <c r="NZM482" s="962"/>
      <c r="NZN482" s="962"/>
      <c r="NZO482" s="962"/>
      <c r="NZP482" s="962"/>
      <c r="NZQ482" s="962"/>
      <c r="NZR482" s="962"/>
      <c r="NZS482" s="962"/>
      <c r="NZT482" s="962"/>
      <c r="NZU482" s="962"/>
      <c r="NZV482" s="962"/>
      <c r="NZW482" s="962"/>
      <c r="NZX482" s="962"/>
      <c r="NZY482" s="962"/>
      <c r="NZZ482" s="962"/>
      <c r="OAA482" s="962"/>
      <c r="OAB482" s="962"/>
      <c r="OAC482" s="962"/>
      <c r="OAD482" s="962"/>
      <c r="OAE482" s="962"/>
      <c r="OAF482" s="962"/>
      <c r="OAG482" s="962"/>
      <c r="OAH482" s="962"/>
      <c r="OAI482" s="962"/>
      <c r="OAJ482" s="962"/>
      <c r="OAK482" s="962"/>
      <c r="OAL482" s="962"/>
      <c r="OAM482" s="962"/>
      <c r="OAN482" s="962"/>
      <c r="OAO482" s="962"/>
      <c r="OAP482" s="962"/>
      <c r="OAQ482" s="962"/>
      <c r="OAR482" s="962"/>
      <c r="OAS482" s="962"/>
      <c r="OAT482" s="962"/>
      <c r="OAU482" s="962"/>
      <c r="OAV482" s="962"/>
      <c r="OAW482" s="962"/>
      <c r="OAX482" s="962"/>
      <c r="OAY482" s="962"/>
      <c r="OAZ482" s="962"/>
      <c r="OBA482" s="962"/>
      <c r="OBB482" s="962"/>
      <c r="OBC482" s="962"/>
      <c r="OBD482" s="962"/>
      <c r="OBE482" s="962"/>
      <c r="OBF482" s="962"/>
      <c r="OBG482" s="962"/>
      <c r="OBH482" s="962"/>
      <c r="OBI482" s="962"/>
      <c r="OBJ482" s="962"/>
      <c r="OBK482" s="962"/>
      <c r="OBL482" s="962"/>
      <c r="OBM482" s="962"/>
      <c r="OBN482" s="962"/>
      <c r="OBO482" s="962"/>
      <c r="OBP482" s="962"/>
      <c r="OBQ482" s="962"/>
      <c r="OBR482" s="962"/>
      <c r="OBS482" s="962"/>
      <c r="OBT482" s="962"/>
      <c r="OBU482" s="962"/>
      <c r="OBV482" s="962"/>
      <c r="OBW482" s="962"/>
      <c r="OBX482" s="962"/>
      <c r="OBY482" s="962"/>
      <c r="OBZ482" s="962"/>
      <c r="OCA482" s="962"/>
      <c r="OCB482" s="962"/>
      <c r="OCC482" s="962"/>
      <c r="OCD482" s="962"/>
      <c r="OCE482" s="962"/>
      <c r="OCF482" s="962"/>
      <c r="OCG482" s="962"/>
      <c r="OCH482" s="962"/>
      <c r="OCI482" s="962"/>
      <c r="OCJ482" s="962"/>
      <c r="OCK482" s="962"/>
      <c r="OCL482" s="962"/>
      <c r="OCM482" s="962"/>
      <c r="OCN482" s="962"/>
      <c r="OCO482" s="962"/>
      <c r="OCP482" s="962"/>
      <c r="OCQ482" s="962"/>
      <c r="OCR482" s="962"/>
      <c r="OCS482" s="962"/>
      <c r="OCT482" s="962"/>
      <c r="OCU482" s="962"/>
      <c r="OCV482" s="962"/>
      <c r="OCW482" s="962"/>
      <c r="OCX482" s="962"/>
      <c r="OCY482" s="962"/>
      <c r="OCZ482" s="962"/>
      <c r="ODA482" s="962"/>
      <c r="ODB482" s="962"/>
      <c r="ODC482" s="962"/>
      <c r="ODD482" s="962"/>
      <c r="ODE482" s="962"/>
      <c r="ODF482" s="962"/>
      <c r="ODG482" s="962"/>
      <c r="ODH482" s="962"/>
      <c r="ODI482" s="962"/>
      <c r="ODJ482" s="962"/>
      <c r="ODK482" s="962"/>
      <c r="ODL482" s="962"/>
      <c r="ODM482" s="962"/>
      <c r="ODN482" s="962"/>
      <c r="ODO482" s="962"/>
      <c r="ODP482" s="962"/>
      <c r="ODQ482" s="962"/>
      <c r="ODR482" s="962"/>
      <c r="ODS482" s="962"/>
      <c r="ODT482" s="962"/>
      <c r="ODU482" s="962"/>
      <c r="ODV482" s="962"/>
      <c r="ODW482" s="962"/>
      <c r="ODX482" s="962"/>
      <c r="ODY482" s="962"/>
      <c r="ODZ482" s="962"/>
      <c r="OEA482" s="962"/>
      <c r="OEB482" s="962"/>
      <c r="OEC482" s="962"/>
      <c r="OED482" s="962"/>
      <c r="OEE482" s="962"/>
      <c r="OEF482" s="962"/>
      <c r="OEG482" s="962"/>
      <c r="OEH482" s="962"/>
      <c r="OEI482" s="962"/>
      <c r="OEJ482" s="962"/>
      <c r="OEK482" s="962"/>
      <c r="OEL482" s="962"/>
      <c r="OEM482" s="962"/>
      <c r="OEN482" s="962"/>
      <c r="OEO482" s="962"/>
      <c r="OEP482" s="962"/>
      <c r="OEQ482" s="962"/>
      <c r="OER482" s="962"/>
      <c r="OES482" s="962"/>
      <c r="OET482" s="962"/>
      <c r="OEU482" s="962"/>
      <c r="OEV482" s="962"/>
      <c r="OEW482" s="962"/>
      <c r="OEX482" s="962"/>
      <c r="OEY482" s="962"/>
      <c r="OEZ482" s="962"/>
      <c r="OFA482" s="962"/>
      <c r="OFB482" s="962"/>
      <c r="OFC482" s="962"/>
      <c r="OFD482" s="962"/>
      <c r="OFE482" s="962"/>
      <c r="OFF482" s="962"/>
      <c r="OFG482" s="962"/>
      <c r="OFH482" s="962"/>
      <c r="OFI482" s="962"/>
      <c r="OFJ482" s="962"/>
      <c r="OFK482" s="962"/>
      <c r="OFL482" s="962"/>
      <c r="OFM482" s="962"/>
      <c r="OFN482" s="962"/>
      <c r="OFO482" s="962"/>
      <c r="OFP482" s="962"/>
      <c r="OFQ482" s="962"/>
      <c r="OFR482" s="962"/>
      <c r="OFS482" s="962"/>
      <c r="OFT482" s="962"/>
      <c r="OFU482" s="962"/>
      <c r="OFV482" s="962"/>
      <c r="OFW482" s="962"/>
      <c r="OFX482" s="962"/>
      <c r="OFY482" s="962"/>
      <c r="OFZ482" s="962"/>
      <c r="OGA482" s="962"/>
      <c r="OGB482" s="962"/>
      <c r="OGC482" s="962"/>
      <c r="OGD482" s="962"/>
      <c r="OGE482" s="962"/>
      <c r="OGF482" s="962"/>
      <c r="OGG482" s="962"/>
      <c r="OGH482" s="962"/>
      <c r="OGI482" s="962"/>
      <c r="OGJ482" s="962"/>
      <c r="OGK482" s="962"/>
      <c r="OGL482" s="962"/>
      <c r="OGM482" s="962"/>
      <c r="OGN482" s="962"/>
      <c r="OGO482" s="962"/>
      <c r="OGP482" s="962"/>
      <c r="OGQ482" s="962"/>
      <c r="OGR482" s="962"/>
      <c r="OGS482" s="962"/>
      <c r="OGT482" s="962"/>
      <c r="OGU482" s="962"/>
      <c r="OGV482" s="962"/>
      <c r="OGW482" s="962"/>
      <c r="OGX482" s="962"/>
      <c r="OGY482" s="962"/>
      <c r="OGZ482" s="962"/>
      <c r="OHA482" s="962"/>
      <c r="OHB482" s="962"/>
      <c r="OHC482" s="962"/>
      <c r="OHD482" s="962"/>
      <c r="OHE482" s="962"/>
      <c r="OHF482" s="962"/>
      <c r="OHG482" s="962"/>
      <c r="OHH482" s="962"/>
      <c r="OHI482" s="962"/>
      <c r="OHJ482" s="962"/>
      <c r="OHK482" s="962"/>
      <c r="OHL482" s="962"/>
      <c r="OHM482" s="962"/>
      <c r="OHN482" s="962"/>
      <c r="OHO482" s="962"/>
      <c r="OHP482" s="962"/>
      <c r="OHQ482" s="962"/>
      <c r="OHR482" s="962"/>
      <c r="OHS482" s="962"/>
      <c r="OHT482" s="962"/>
      <c r="OHU482" s="962"/>
      <c r="OHV482" s="962"/>
      <c r="OHW482" s="962"/>
      <c r="OHX482" s="962"/>
      <c r="OHY482" s="962"/>
      <c r="OHZ482" s="962"/>
      <c r="OIA482" s="962"/>
      <c r="OIB482" s="962"/>
      <c r="OIC482" s="962"/>
      <c r="OID482" s="962"/>
      <c r="OIE482" s="962"/>
      <c r="OIF482" s="962"/>
      <c r="OIG482" s="962"/>
      <c r="OIH482" s="962"/>
      <c r="OII482" s="962"/>
      <c r="OIJ482" s="962"/>
      <c r="OIK482" s="962"/>
      <c r="OIL482" s="962"/>
      <c r="OIM482" s="962"/>
      <c r="OIN482" s="962"/>
      <c r="OIO482" s="962"/>
      <c r="OIP482" s="962"/>
      <c r="OIQ482" s="962"/>
      <c r="OIR482" s="962"/>
      <c r="OIS482" s="962"/>
      <c r="OIT482" s="962"/>
      <c r="OIU482" s="962"/>
      <c r="OIV482" s="962"/>
      <c r="OIW482" s="962"/>
      <c r="OIX482" s="962"/>
      <c r="OIY482" s="962"/>
      <c r="OIZ482" s="962"/>
      <c r="OJA482" s="962"/>
      <c r="OJB482" s="962"/>
      <c r="OJC482" s="962"/>
      <c r="OJD482" s="962"/>
      <c r="OJE482" s="962"/>
      <c r="OJF482" s="962"/>
      <c r="OJG482" s="962"/>
      <c r="OJH482" s="962"/>
      <c r="OJI482" s="962"/>
      <c r="OJJ482" s="962"/>
      <c r="OJK482" s="962"/>
      <c r="OJL482" s="962"/>
      <c r="OJM482" s="962"/>
      <c r="OJN482" s="962"/>
      <c r="OJO482" s="962"/>
      <c r="OJP482" s="962"/>
      <c r="OJQ482" s="962"/>
      <c r="OJR482" s="962"/>
      <c r="OJS482" s="962"/>
      <c r="OJT482" s="962"/>
      <c r="OJU482" s="962"/>
      <c r="OJV482" s="962"/>
      <c r="OJW482" s="962"/>
      <c r="OJX482" s="962"/>
      <c r="OJY482" s="962"/>
      <c r="OJZ482" s="962"/>
      <c r="OKA482" s="962"/>
      <c r="OKB482" s="962"/>
      <c r="OKC482" s="962"/>
      <c r="OKD482" s="962"/>
      <c r="OKE482" s="962"/>
      <c r="OKF482" s="962"/>
      <c r="OKG482" s="962"/>
      <c r="OKH482" s="962"/>
      <c r="OKI482" s="962"/>
      <c r="OKJ482" s="962"/>
      <c r="OKK482" s="962"/>
      <c r="OKL482" s="962"/>
      <c r="OKM482" s="962"/>
      <c r="OKN482" s="962"/>
      <c r="OKO482" s="962"/>
      <c r="OKP482" s="962"/>
      <c r="OKQ482" s="962"/>
      <c r="OKR482" s="962"/>
      <c r="OKS482" s="962"/>
      <c r="OKT482" s="962"/>
      <c r="OKU482" s="962"/>
      <c r="OKV482" s="962"/>
      <c r="OKW482" s="962"/>
      <c r="OKX482" s="962"/>
      <c r="OKY482" s="962"/>
      <c r="OKZ482" s="962"/>
      <c r="OLA482" s="962"/>
      <c r="OLB482" s="962"/>
      <c r="OLC482" s="962"/>
      <c r="OLD482" s="962"/>
      <c r="OLE482" s="962"/>
      <c r="OLF482" s="962"/>
      <c r="OLG482" s="962"/>
      <c r="OLH482" s="962"/>
      <c r="OLI482" s="962"/>
      <c r="OLJ482" s="962"/>
      <c r="OLK482" s="962"/>
      <c r="OLL482" s="962"/>
      <c r="OLM482" s="962"/>
      <c r="OLN482" s="962"/>
      <c r="OLO482" s="962"/>
      <c r="OLP482" s="962"/>
      <c r="OLQ482" s="962"/>
      <c r="OLR482" s="962"/>
      <c r="OLS482" s="962"/>
      <c r="OLT482" s="962"/>
      <c r="OLU482" s="962"/>
      <c r="OLV482" s="962"/>
      <c r="OLW482" s="962"/>
      <c r="OLX482" s="962"/>
      <c r="OLY482" s="962"/>
      <c r="OLZ482" s="962"/>
      <c r="OMA482" s="962"/>
      <c r="OMB482" s="962"/>
      <c r="OMC482" s="962"/>
      <c r="OMD482" s="962"/>
      <c r="OME482" s="962"/>
      <c r="OMF482" s="962"/>
      <c r="OMG482" s="962"/>
      <c r="OMH482" s="962"/>
      <c r="OMI482" s="962"/>
      <c r="OMJ482" s="962"/>
      <c r="OMK482" s="962"/>
      <c r="OML482" s="962"/>
      <c r="OMM482" s="962"/>
      <c r="OMN482" s="962"/>
      <c r="OMO482" s="962"/>
      <c r="OMP482" s="962"/>
      <c r="OMQ482" s="962"/>
      <c r="OMR482" s="962"/>
      <c r="OMS482" s="962"/>
      <c r="OMT482" s="962"/>
      <c r="OMU482" s="962"/>
      <c r="OMV482" s="962"/>
      <c r="OMW482" s="962"/>
      <c r="OMX482" s="962"/>
      <c r="OMY482" s="962"/>
      <c r="OMZ482" s="962"/>
      <c r="ONA482" s="962"/>
      <c r="ONB482" s="962"/>
      <c r="ONC482" s="962"/>
      <c r="OND482" s="962"/>
      <c r="ONE482" s="962"/>
      <c r="ONF482" s="962"/>
      <c r="ONG482" s="962"/>
      <c r="ONH482" s="962"/>
      <c r="ONI482" s="962"/>
      <c r="ONJ482" s="962"/>
      <c r="ONK482" s="962"/>
      <c r="ONL482" s="962"/>
      <c r="ONM482" s="962"/>
      <c r="ONN482" s="962"/>
      <c r="ONO482" s="962"/>
      <c r="ONP482" s="962"/>
      <c r="ONQ482" s="962"/>
      <c r="ONR482" s="962"/>
      <c r="ONS482" s="962"/>
      <c r="ONT482" s="962"/>
      <c r="ONU482" s="962"/>
      <c r="ONV482" s="962"/>
      <c r="ONW482" s="962"/>
      <c r="ONX482" s="962"/>
      <c r="ONY482" s="962"/>
      <c r="ONZ482" s="962"/>
      <c r="OOA482" s="962"/>
      <c r="OOB482" s="962"/>
      <c r="OOC482" s="962"/>
      <c r="OOD482" s="962"/>
      <c r="OOE482" s="962"/>
      <c r="OOF482" s="962"/>
      <c r="OOG482" s="962"/>
      <c r="OOH482" s="962"/>
      <c r="OOI482" s="962"/>
      <c r="OOJ482" s="962"/>
      <c r="OOK482" s="962"/>
      <c r="OOL482" s="962"/>
      <c r="OOM482" s="962"/>
      <c r="OON482" s="962"/>
      <c r="OOO482" s="962"/>
      <c r="OOP482" s="962"/>
      <c r="OOQ482" s="962"/>
      <c r="OOR482" s="962"/>
      <c r="OOS482" s="962"/>
      <c r="OOT482" s="962"/>
      <c r="OOU482" s="962"/>
      <c r="OOV482" s="962"/>
      <c r="OOW482" s="962"/>
      <c r="OOX482" s="962"/>
      <c r="OOY482" s="962"/>
      <c r="OOZ482" s="962"/>
      <c r="OPA482" s="962"/>
      <c r="OPB482" s="962"/>
      <c r="OPC482" s="962"/>
      <c r="OPD482" s="962"/>
      <c r="OPE482" s="962"/>
      <c r="OPF482" s="962"/>
      <c r="OPG482" s="962"/>
      <c r="OPH482" s="962"/>
      <c r="OPI482" s="962"/>
      <c r="OPJ482" s="962"/>
      <c r="OPK482" s="962"/>
      <c r="OPL482" s="962"/>
      <c r="OPM482" s="962"/>
      <c r="OPN482" s="962"/>
      <c r="OPO482" s="962"/>
      <c r="OPP482" s="962"/>
      <c r="OPQ482" s="962"/>
      <c r="OPR482" s="962"/>
      <c r="OPS482" s="962"/>
      <c r="OPT482" s="962"/>
      <c r="OPU482" s="962"/>
      <c r="OPV482" s="962"/>
      <c r="OPW482" s="962"/>
      <c r="OPX482" s="962"/>
      <c r="OPY482" s="962"/>
      <c r="OPZ482" s="962"/>
      <c r="OQA482" s="962"/>
      <c r="OQB482" s="962"/>
      <c r="OQC482" s="962"/>
      <c r="OQD482" s="962"/>
      <c r="OQE482" s="962"/>
      <c r="OQF482" s="962"/>
      <c r="OQG482" s="962"/>
      <c r="OQH482" s="962"/>
      <c r="OQI482" s="962"/>
      <c r="OQJ482" s="962"/>
      <c r="OQK482" s="962"/>
      <c r="OQL482" s="962"/>
      <c r="OQM482" s="962"/>
      <c r="OQN482" s="962"/>
      <c r="OQO482" s="962"/>
      <c r="OQP482" s="962"/>
      <c r="OQQ482" s="962"/>
      <c r="OQR482" s="962"/>
      <c r="OQS482" s="962"/>
      <c r="OQT482" s="962"/>
      <c r="OQU482" s="962"/>
      <c r="OQV482" s="962"/>
      <c r="OQW482" s="962"/>
      <c r="OQX482" s="962"/>
      <c r="OQY482" s="962"/>
      <c r="OQZ482" s="962"/>
      <c r="ORA482" s="962"/>
      <c r="ORB482" s="962"/>
      <c r="ORC482" s="962"/>
      <c r="ORD482" s="962"/>
      <c r="ORE482" s="962"/>
      <c r="ORF482" s="962"/>
      <c r="ORG482" s="962"/>
      <c r="ORH482" s="962"/>
      <c r="ORI482" s="962"/>
      <c r="ORJ482" s="962"/>
      <c r="ORK482" s="962"/>
      <c r="ORL482" s="962"/>
      <c r="ORM482" s="962"/>
      <c r="ORN482" s="962"/>
      <c r="ORO482" s="962"/>
      <c r="ORP482" s="962"/>
      <c r="ORQ482" s="962"/>
      <c r="ORR482" s="962"/>
      <c r="ORS482" s="962"/>
      <c r="ORT482" s="962"/>
      <c r="ORU482" s="962"/>
      <c r="ORV482" s="962"/>
      <c r="ORW482" s="962"/>
      <c r="ORX482" s="962"/>
      <c r="ORY482" s="962"/>
      <c r="ORZ482" s="962"/>
      <c r="OSA482" s="962"/>
      <c r="OSB482" s="962"/>
      <c r="OSC482" s="962"/>
      <c r="OSD482" s="962"/>
      <c r="OSE482" s="962"/>
      <c r="OSF482" s="962"/>
      <c r="OSG482" s="962"/>
      <c r="OSH482" s="962"/>
      <c r="OSI482" s="962"/>
      <c r="OSJ482" s="962"/>
      <c r="OSK482" s="962"/>
      <c r="OSL482" s="962"/>
      <c r="OSM482" s="962"/>
      <c r="OSN482" s="962"/>
      <c r="OSO482" s="962"/>
      <c r="OSP482" s="962"/>
      <c r="OSQ482" s="962"/>
      <c r="OSR482" s="962"/>
      <c r="OSS482" s="962"/>
      <c r="OST482" s="962"/>
      <c r="OSU482" s="962"/>
      <c r="OSV482" s="962"/>
      <c r="OSW482" s="962"/>
      <c r="OSX482" s="962"/>
      <c r="OSY482" s="962"/>
      <c r="OSZ482" s="962"/>
      <c r="OTA482" s="962"/>
      <c r="OTB482" s="962"/>
      <c r="OTC482" s="962"/>
      <c r="OTD482" s="962"/>
      <c r="OTE482" s="962"/>
      <c r="OTF482" s="962"/>
      <c r="OTG482" s="962"/>
      <c r="OTH482" s="962"/>
      <c r="OTI482" s="962"/>
      <c r="OTJ482" s="962"/>
      <c r="OTK482" s="962"/>
      <c r="OTL482" s="962"/>
      <c r="OTM482" s="962"/>
      <c r="OTN482" s="962"/>
      <c r="OTO482" s="962"/>
      <c r="OTP482" s="962"/>
      <c r="OTQ482" s="962"/>
      <c r="OTR482" s="962"/>
      <c r="OTS482" s="962"/>
      <c r="OTT482" s="962"/>
      <c r="OTU482" s="962"/>
      <c r="OTV482" s="962"/>
      <c r="OTW482" s="962"/>
      <c r="OTX482" s="962"/>
      <c r="OTY482" s="962"/>
      <c r="OTZ482" s="962"/>
      <c r="OUA482" s="962"/>
      <c r="OUB482" s="962"/>
      <c r="OUC482" s="962"/>
      <c r="OUD482" s="962"/>
      <c r="OUE482" s="962"/>
      <c r="OUF482" s="962"/>
      <c r="OUG482" s="962"/>
      <c r="OUH482" s="962"/>
      <c r="OUI482" s="962"/>
      <c r="OUJ482" s="962"/>
      <c r="OUK482" s="962"/>
      <c r="OUL482" s="962"/>
      <c r="OUM482" s="962"/>
      <c r="OUN482" s="962"/>
      <c r="OUO482" s="962"/>
      <c r="OUP482" s="962"/>
      <c r="OUQ482" s="962"/>
      <c r="OUR482" s="962"/>
      <c r="OUS482" s="962"/>
      <c r="OUT482" s="962"/>
      <c r="OUU482" s="962"/>
      <c r="OUV482" s="962"/>
      <c r="OUW482" s="962"/>
      <c r="OUX482" s="962"/>
      <c r="OUY482" s="962"/>
      <c r="OUZ482" s="962"/>
      <c r="OVA482" s="962"/>
      <c r="OVB482" s="962"/>
      <c r="OVC482" s="962"/>
      <c r="OVD482" s="962"/>
      <c r="OVE482" s="962"/>
      <c r="OVF482" s="962"/>
      <c r="OVG482" s="962"/>
      <c r="OVH482" s="962"/>
      <c r="OVI482" s="962"/>
      <c r="OVJ482" s="962"/>
      <c r="OVK482" s="962"/>
      <c r="OVL482" s="962"/>
      <c r="OVM482" s="962"/>
      <c r="OVN482" s="962"/>
      <c r="OVO482" s="962"/>
      <c r="OVP482" s="962"/>
      <c r="OVQ482" s="962"/>
      <c r="OVR482" s="962"/>
      <c r="OVS482" s="962"/>
      <c r="OVT482" s="962"/>
      <c r="OVU482" s="962"/>
      <c r="OVV482" s="962"/>
      <c r="OVW482" s="962"/>
      <c r="OVX482" s="962"/>
      <c r="OVY482" s="962"/>
      <c r="OVZ482" s="962"/>
      <c r="OWA482" s="962"/>
      <c r="OWB482" s="962"/>
      <c r="OWC482" s="962"/>
      <c r="OWD482" s="962"/>
      <c r="OWE482" s="962"/>
      <c r="OWF482" s="962"/>
      <c r="OWG482" s="962"/>
      <c r="OWH482" s="962"/>
      <c r="OWI482" s="962"/>
      <c r="OWJ482" s="962"/>
      <c r="OWK482" s="962"/>
      <c r="OWL482" s="962"/>
      <c r="OWM482" s="962"/>
      <c r="OWN482" s="962"/>
      <c r="OWO482" s="962"/>
      <c r="OWP482" s="962"/>
      <c r="OWQ482" s="962"/>
      <c r="OWR482" s="962"/>
      <c r="OWS482" s="962"/>
      <c r="OWT482" s="962"/>
      <c r="OWU482" s="962"/>
      <c r="OWV482" s="962"/>
      <c r="OWW482" s="962"/>
      <c r="OWX482" s="962"/>
      <c r="OWY482" s="962"/>
      <c r="OWZ482" s="962"/>
      <c r="OXA482" s="962"/>
      <c r="OXB482" s="962"/>
      <c r="OXC482" s="962"/>
      <c r="OXD482" s="962"/>
      <c r="OXE482" s="962"/>
      <c r="OXF482" s="962"/>
      <c r="OXG482" s="962"/>
      <c r="OXH482" s="962"/>
      <c r="OXI482" s="962"/>
      <c r="OXJ482" s="962"/>
      <c r="OXK482" s="962"/>
      <c r="OXL482" s="962"/>
      <c r="OXM482" s="962"/>
      <c r="OXN482" s="962"/>
      <c r="OXO482" s="962"/>
      <c r="OXP482" s="962"/>
      <c r="OXQ482" s="962"/>
      <c r="OXR482" s="962"/>
      <c r="OXS482" s="962"/>
      <c r="OXT482" s="962"/>
      <c r="OXU482" s="962"/>
      <c r="OXV482" s="962"/>
      <c r="OXW482" s="962"/>
      <c r="OXX482" s="962"/>
      <c r="OXY482" s="962"/>
      <c r="OXZ482" s="962"/>
      <c r="OYA482" s="962"/>
      <c r="OYB482" s="962"/>
      <c r="OYC482" s="962"/>
      <c r="OYD482" s="962"/>
      <c r="OYE482" s="962"/>
      <c r="OYF482" s="962"/>
      <c r="OYG482" s="962"/>
      <c r="OYH482" s="962"/>
      <c r="OYI482" s="962"/>
      <c r="OYJ482" s="962"/>
      <c r="OYK482" s="962"/>
      <c r="OYL482" s="962"/>
      <c r="OYM482" s="962"/>
      <c r="OYN482" s="962"/>
      <c r="OYO482" s="962"/>
      <c r="OYP482" s="962"/>
      <c r="OYQ482" s="962"/>
      <c r="OYR482" s="962"/>
      <c r="OYS482" s="962"/>
      <c r="OYT482" s="962"/>
      <c r="OYU482" s="962"/>
      <c r="OYV482" s="962"/>
      <c r="OYW482" s="962"/>
      <c r="OYX482" s="962"/>
      <c r="OYY482" s="962"/>
      <c r="OYZ482" s="962"/>
      <c r="OZA482" s="962"/>
      <c r="OZB482" s="962"/>
      <c r="OZC482" s="962"/>
      <c r="OZD482" s="962"/>
      <c r="OZE482" s="962"/>
      <c r="OZF482" s="962"/>
      <c r="OZG482" s="962"/>
      <c r="OZH482" s="962"/>
      <c r="OZI482" s="962"/>
      <c r="OZJ482" s="962"/>
      <c r="OZK482" s="962"/>
      <c r="OZL482" s="962"/>
      <c r="OZM482" s="962"/>
      <c r="OZN482" s="962"/>
      <c r="OZO482" s="962"/>
      <c r="OZP482" s="962"/>
      <c r="OZQ482" s="962"/>
      <c r="OZR482" s="962"/>
      <c r="OZS482" s="962"/>
      <c r="OZT482" s="962"/>
      <c r="OZU482" s="962"/>
      <c r="OZV482" s="962"/>
      <c r="OZW482" s="962"/>
      <c r="OZX482" s="962"/>
      <c r="OZY482" s="962"/>
      <c r="OZZ482" s="962"/>
      <c r="PAA482" s="962"/>
      <c r="PAB482" s="962"/>
      <c r="PAC482" s="962"/>
      <c r="PAD482" s="962"/>
      <c r="PAE482" s="962"/>
      <c r="PAF482" s="962"/>
      <c r="PAG482" s="962"/>
      <c r="PAH482" s="962"/>
      <c r="PAI482" s="962"/>
      <c r="PAJ482" s="962"/>
      <c r="PAK482" s="962"/>
      <c r="PAL482" s="962"/>
      <c r="PAM482" s="962"/>
      <c r="PAN482" s="962"/>
      <c r="PAO482" s="962"/>
      <c r="PAP482" s="962"/>
      <c r="PAQ482" s="962"/>
      <c r="PAR482" s="962"/>
      <c r="PAS482" s="962"/>
      <c r="PAT482" s="962"/>
      <c r="PAU482" s="962"/>
      <c r="PAV482" s="962"/>
      <c r="PAW482" s="962"/>
      <c r="PAX482" s="962"/>
      <c r="PAY482" s="962"/>
      <c r="PAZ482" s="962"/>
      <c r="PBA482" s="962"/>
      <c r="PBB482" s="962"/>
      <c r="PBC482" s="962"/>
      <c r="PBD482" s="962"/>
      <c r="PBE482" s="962"/>
      <c r="PBF482" s="962"/>
      <c r="PBG482" s="962"/>
      <c r="PBH482" s="962"/>
      <c r="PBI482" s="962"/>
      <c r="PBJ482" s="962"/>
      <c r="PBK482" s="962"/>
      <c r="PBL482" s="962"/>
      <c r="PBM482" s="962"/>
      <c r="PBN482" s="962"/>
      <c r="PBO482" s="962"/>
      <c r="PBP482" s="962"/>
      <c r="PBQ482" s="962"/>
      <c r="PBR482" s="962"/>
      <c r="PBS482" s="962"/>
      <c r="PBT482" s="962"/>
      <c r="PBU482" s="962"/>
      <c r="PBV482" s="962"/>
      <c r="PBW482" s="962"/>
      <c r="PBX482" s="962"/>
      <c r="PBY482" s="962"/>
      <c r="PBZ482" s="962"/>
      <c r="PCA482" s="962"/>
      <c r="PCB482" s="962"/>
      <c r="PCC482" s="962"/>
      <c r="PCD482" s="962"/>
      <c r="PCE482" s="962"/>
      <c r="PCF482" s="962"/>
      <c r="PCG482" s="962"/>
      <c r="PCH482" s="962"/>
      <c r="PCI482" s="962"/>
      <c r="PCJ482" s="962"/>
      <c r="PCK482" s="962"/>
      <c r="PCL482" s="962"/>
      <c r="PCM482" s="962"/>
      <c r="PCN482" s="962"/>
      <c r="PCO482" s="962"/>
      <c r="PCP482" s="962"/>
      <c r="PCQ482" s="962"/>
      <c r="PCR482" s="962"/>
      <c r="PCS482" s="962"/>
      <c r="PCT482" s="962"/>
      <c r="PCU482" s="962"/>
      <c r="PCV482" s="962"/>
      <c r="PCW482" s="962"/>
      <c r="PCX482" s="962"/>
      <c r="PCY482" s="962"/>
      <c r="PCZ482" s="962"/>
      <c r="PDA482" s="962"/>
      <c r="PDB482" s="962"/>
      <c r="PDC482" s="962"/>
      <c r="PDD482" s="962"/>
      <c r="PDE482" s="962"/>
      <c r="PDF482" s="962"/>
      <c r="PDG482" s="962"/>
      <c r="PDH482" s="962"/>
      <c r="PDI482" s="962"/>
      <c r="PDJ482" s="962"/>
      <c r="PDK482" s="962"/>
      <c r="PDL482" s="962"/>
      <c r="PDM482" s="962"/>
      <c r="PDN482" s="962"/>
      <c r="PDO482" s="962"/>
      <c r="PDP482" s="962"/>
      <c r="PDQ482" s="962"/>
      <c r="PDR482" s="962"/>
      <c r="PDS482" s="962"/>
      <c r="PDT482" s="962"/>
      <c r="PDU482" s="962"/>
      <c r="PDV482" s="962"/>
      <c r="PDW482" s="962"/>
      <c r="PDX482" s="962"/>
      <c r="PDY482" s="962"/>
      <c r="PDZ482" s="962"/>
      <c r="PEA482" s="962"/>
      <c r="PEB482" s="962"/>
      <c r="PEC482" s="962"/>
      <c r="PED482" s="962"/>
      <c r="PEE482" s="962"/>
      <c r="PEF482" s="962"/>
      <c r="PEG482" s="962"/>
      <c r="PEH482" s="962"/>
      <c r="PEI482" s="962"/>
      <c r="PEJ482" s="962"/>
      <c r="PEK482" s="962"/>
      <c r="PEL482" s="962"/>
      <c r="PEM482" s="962"/>
      <c r="PEN482" s="962"/>
      <c r="PEO482" s="962"/>
      <c r="PEP482" s="962"/>
      <c r="PEQ482" s="962"/>
      <c r="PER482" s="962"/>
      <c r="PES482" s="962"/>
      <c r="PET482" s="962"/>
      <c r="PEU482" s="962"/>
      <c r="PEV482" s="962"/>
      <c r="PEW482" s="962"/>
      <c r="PEX482" s="962"/>
      <c r="PEY482" s="962"/>
      <c r="PEZ482" s="962"/>
      <c r="PFA482" s="962"/>
      <c r="PFB482" s="962"/>
      <c r="PFC482" s="962"/>
      <c r="PFD482" s="962"/>
      <c r="PFE482" s="962"/>
      <c r="PFF482" s="962"/>
      <c r="PFG482" s="962"/>
      <c r="PFH482" s="962"/>
      <c r="PFI482" s="962"/>
      <c r="PFJ482" s="962"/>
      <c r="PFK482" s="962"/>
      <c r="PFL482" s="962"/>
      <c r="PFM482" s="962"/>
      <c r="PFN482" s="962"/>
      <c r="PFO482" s="962"/>
      <c r="PFP482" s="962"/>
      <c r="PFQ482" s="962"/>
      <c r="PFR482" s="962"/>
      <c r="PFS482" s="962"/>
      <c r="PFT482" s="962"/>
      <c r="PFU482" s="962"/>
      <c r="PFV482" s="962"/>
      <c r="PFW482" s="962"/>
      <c r="PFX482" s="962"/>
      <c r="PFY482" s="962"/>
      <c r="PFZ482" s="962"/>
      <c r="PGA482" s="962"/>
      <c r="PGB482" s="962"/>
      <c r="PGC482" s="962"/>
      <c r="PGD482" s="962"/>
      <c r="PGE482" s="962"/>
      <c r="PGF482" s="962"/>
      <c r="PGG482" s="962"/>
      <c r="PGH482" s="962"/>
      <c r="PGI482" s="962"/>
      <c r="PGJ482" s="962"/>
      <c r="PGK482" s="962"/>
      <c r="PGL482" s="962"/>
      <c r="PGM482" s="962"/>
      <c r="PGN482" s="962"/>
      <c r="PGO482" s="962"/>
      <c r="PGP482" s="962"/>
      <c r="PGQ482" s="962"/>
      <c r="PGR482" s="962"/>
      <c r="PGS482" s="962"/>
      <c r="PGT482" s="962"/>
      <c r="PGU482" s="962"/>
      <c r="PGV482" s="962"/>
      <c r="PGW482" s="962"/>
      <c r="PGX482" s="962"/>
      <c r="PGY482" s="962"/>
      <c r="PGZ482" s="962"/>
      <c r="PHA482" s="962"/>
      <c r="PHB482" s="962"/>
      <c r="PHC482" s="962"/>
      <c r="PHD482" s="962"/>
      <c r="PHE482" s="962"/>
      <c r="PHF482" s="962"/>
      <c r="PHG482" s="962"/>
      <c r="PHH482" s="962"/>
      <c r="PHI482" s="962"/>
      <c r="PHJ482" s="962"/>
      <c r="PHK482" s="962"/>
      <c r="PHL482" s="962"/>
      <c r="PHM482" s="962"/>
      <c r="PHN482" s="962"/>
      <c r="PHO482" s="962"/>
      <c r="PHP482" s="962"/>
      <c r="PHQ482" s="962"/>
      <c r="PHR482" s="962"/>
      <c r="PHS482" s="962"/>
      <c r="PHT482" s="962"/>
      <c r="PHU482" s="962"/>
      <c r="PHV482" s="962"/>
      <c r="PHW482" s="962"/>
      <c r="PHX482" s="962"/>
      <c r="PHY482" s="962"/>
      <c r="PHZ482" s="962"/>
      <c r="PIA482" s="962"/>
      <c r="PIB482" s="962"/>
      <c r="PIC482" s="962"/>
      <c r="PID482" s="962"/>
      <c r="PIE482" s="962"/>
      <c r="PIF482" s="962"/>
      <c r="PIG482" s="962"/>
      <c r="PIH482" s="962"/>
      <c r="PII482" s="962"/>
      <c r="PIJ482" s="962"/>
      <c r="PIK482" s="962"/>
      <c r="PIL482" s="962"/>
      <c r="PIM482" s="962"/>
      <c r="PIN482" s="962"/>
      <c r="PIO482" s="962"/>
      <c r="PIP482" s="962"/>
      <c r="PIQ482" s="962"/>
      <c r="PIR482" s="962"/>
      <c r="PIS482" s="962"/>
      <c r="PIT482" s="962"/>
      <c r="PIU482" s="962"/>
      <c r="PIV482" s="962"/>
      <c r="PIW482" s="962"/>
      <c r="PIX482" s="962"/>
      <c r="PIY482" s="962"/>
      <c r="PIZ482" s="962"/>
      <c r="PJA482" s="962"/>
      <c r="PJB482" s="962"/>
      <c r="PJC482" s="962"/>
      <c r="PJD482" s="962"/>
      <c r="PJE482" s="962"/>
      <c r="PJF482" s="962"/>
      <c r="PJG482" s="962"/>
      <c r="PJH482" s="962"/>
      <c r="PJI482" s="962"/>
      <c r="PJJ482" s="962"/>
      <c r="PJK482" s="962"/>
      <c r="PJL482" s="962"/>
      <c r="PJM482" s="962"/>
      <c r="PJN482" s="962"/>
      <c r="PJO482" s="962"/>
      <c r="PJP482" s="962"/>
      <c r="PJQ482" s="962"/>
      <c r="PJR482" s="962"/>
      <c r="PJS482" s="962"/>
      <c r="PJT482" s="962"/>
      <c r="PJU482" s="962"/>
      <c r="PJV482" s="962"/>
      <c r="PJW482" s="962"/>
      <c r="PJX482" s="962"/>
      <c r="PJY482" s="962"/>
      <c r="PJZ482" s="962"/>
      <c r="PKA482" s="962"/>
      <c r="PKB482" s="962"/>
      <c r="PKC482" s="962"/>
      <c r="PKD482" s="962"/>
      <c r="PKE482" s="962"/>
      <c r="PKF482" s="962"/>
      <c r="PKG482" s="962"/>
      <c r="PKH482" s="962"/>
      <c r="PKI482" s="962"/>
      <c r="PKJ482" s="962"/>
      <c r="PKK482" s="962"/>
      <c r="PKL482" s="962"/>
      <c r="PKM482" s="962"/>
      <c r="PKN482" s="962"/>
      <c r="PKO482" s="962"/>
      <c r="PKP482" s="962"/>
      <c r="PKQ482" s="962"/>
      <c r="PKR482" s="962"/>
      <c r="PKS482" s="962"/>
      <c r="PKT482" s="962"/>
      <c r="PKU482" s="962"/>
      <c r="PKV482" s="962"/>
      <c r="PKW482" s="962"/>
      <c r="PKX482" s="962"/>
      <c r="PKY482" s="962"/>
      <c r="PKZ482" s="962"/>
      <c r="PLA482" s="962"/>
      <c r="PLB482" s="962"/>
      <c r="PLC482" s="962"/>
      <c r="PLD482" s="962"/>
      <c r="PLE482" s="962"/>
      <c r="PLF482" s="962"/>
      <c r="PLG482" s="962"/>
      <c r="PLH482" s="962"/>
      <c r="PLI482" s="962"/>
      <c r="PLJ482" s="962"/>
      <c r="PLK482" s="962"/>
      <c r="PLL482" s="962"/>
      <c r="PLM482" s="962"/>
      <c r="PLN482" s="962"/>
      <c r="PLO482" s="962"/>
      <c r="PLP482" s="962"/>
      <c r="PLQ482" s="962"/>
      <c r="PLR482" s="962"/>
      <c r="PLS482" s="962"/>
      <c r="PLT482" s="962"/>
      <c r="PLU482" s="962"/>
      <c r="PLV482" s="962"/>
      <c r="PLW482" s="962"/>
      <c r="PLX482" s="962"/>
      <c r="PLY482" s="962"/>
      <c r="PLZ482" s="962"/>
      <c r="PMA482" s="962"/>
      <c r="PMB482" s="962"/>
      <c r="PMC482" s="962"/>
      <c r="PMD482" s="962"/>
      <c r="PME482" s="962"/>
      <c r="PMF482" s="962"/>
      <c r="PMG482" s="962"/>
      <c r="PMH482" s="962"/>
      <c r="PMI482" s="962"/>
      <c r="PMJ482" s="962"/>
      <c r="PMK482" s="962"/>
      <c r="PML482" s="962"/>
      <c r="PMM482" s="962"/>
      <c r="PMN482" s="962"/>
      <c r="PMO482" s="962"/>
      <c r="PMP482" s="962"/>
      <c r="PMQ482" s="962"/>
      <c r="PMR482" s="962"/>
      <c r="PMS482" s="962"/>
      <c r="PMT482" s="962"/>
      <c r="PMU482" s="962"/>
      <c r="PMV482" s="962"/>
      <c r="PMW482" s="962"/>
      <c r="PMX482" s="962"/>
      <c r="PMY482" s="962"/>
      <c r="PMZ482" s="962"/>
      <c r="PNA482" s="962"/>
      <c r="PNB482" s="962"/>
      <c r="PNC482" s="962"/>
      <c r="PND482" s="962"/>
      <c r="PNE482" s="962"/>
      <c r="PNF482" s="962"/>
      <c r="PNG482" s="962"/>
      <c r="PNH482" s="962"/>
      <c r="PNI482" s="962"/>
      <c r="PNJ482" s="962"/>
      <c r="PNK482" s="962"/>
      <c r="PNL482" s="962"/>
      <c r="PNM482" s="962"/>
      <c r="PNN482" s="962"/>
      <c r="PNO482" s="962"/>
      <c r="PNP482" s="962"/>
      <c r="PNQ482" s="962"/>
      <c r="PNR482" s="962"/>
      <c r="PNS482" s="962"/>
      <c r="PNT482" s="962"/>
      <c r="PNU482" s="962"/>
      <c r="PNV482" s="962"/>
      <c r="PNW482" s="962"/>
      <c r="PNX482" s="962"/>
      <c r="PNY482" s="962"/>
      <c r="PNZ482" s="962"/>
      <c r="POA482" s="962"/>
      <c r="POB482" s="962"/>
      <c r="POC482" s="962"/>
      <c r="POD482" s="962"/>
      <c r="POE482" s="962"/>
      <c r="POF482" s="962"/>
      <c r="POG482" s="962"/>
      <c r="POH482" s="962"/>
      <c r="POI482" s="962"/>
      <c r="POJ482" s="962"/>
      <c r="POK482" s="962"/>
      <c r="POL482" s="962"/>
      <c r="POM482" s="962"/>
      <c r="PON482" s="962"/>
      <c r="POO482" s="962"/>
      <c r="POP482" s="962"/>
      <c r="POQ482" s="962"/>
      <c r="POR482" s="962"/>
      <c r="POS482" s="962"/>
      <c r="POT482" s="962"/>
      <c r="POU482" s="962"/>
      <c r="POV482" s="962"/>
      <c r="POW482" s="962"/>
      <c r="POX482" s="962"/>
      <c r="POY482" s="962"/>
      <c r="POZ482" s="962"/>
      <c r="PPA482" s="962"/>
      <c r="PPB482" s="962"/>
      <c r="PPC482" s="962"/>
      <c r="PPD482" s="962"/>
      <c r="PPE482" s="962"/>
      <c r="PPF482" s="962"/>
      <c r="PPG482" s="962"/>
      <c r="PPH482" s="962"/>
      <c r="PPI482" s="962"/>
      <c r="PPJ482" s="962"/>
      <c r="PPK482" s="962"/>
      <c r="PPL482" s="962"/>
      <c r="PPM482" s="962"/>
      <c r="PPN482" s="962"/>
      <c r="PPO482" s="962"/>
      <c r="PPP482" s="962"/>
      <c r="PPQ482" s="962"/>
      <c r="PPR482" s="962"/>
      <c r="PPS482" s="962"/>
      <c r="PPT482" s="962"/>
      <c r="PPU482" s="962"/>
      <c r="PPV482" s="962"/>
      <c r="PPW482" s="962"/>
      <c r="PPX482" s="962"/>
      <c r="PPY482" s="962"/>
      <c r="PPZ482" s="962"/>
      <c r="PQA482" s="962"/>
      <c r="PQB482" s="962"/>
      <c r="PQC482" s="962"/>
      <c r="PQD482" s="962"/>
      <c r="PQE482" s="962"/>
      <c r="PQF482" s="962"/>
      <c r="PQG482" s="962"/>
      <c r="PQH482" s="962"/>
      <c r="PQI482" s="962"/>
      <c r="PQJ482" s="962"/>
      <c r="PQK482" s="962"/>
      <c r="PQL482" s="962"/>
      <c r="PQM482" s="962"/>
      <c r="PQN482" s="962"/>
      <c r="PQO482" s="962"/>
      <c r="PQP482" s="962"/>
      <c r="PQQ482" s="962"/>
      <c r="PQR482" s="962"/>
      <c r="PQS482" s="962"/>
      <c r="PQT482" s="962"/>
      <c r="PQU482" s="962"/>
      <c r="PQV482" s="962"/>
      <c r="PQW482" s="962"/>
      <c r="PQX482" s="962"/>
      <c r="PQY482" s="962"/>
      <c r="PQZ482" s="962"/>
      <c r="PRA482" s="962"/>
      <c r="PRB482" s="962"/>
      <c r="PRC482" s="962"/>
      <c r="PRD482" s="962"/>
      <c r="PRE482" s="962"/>
      <c r="PRF482" s="962"/>
      <c r="PRG482" s="962"/>
      <c r="PRH482" s="962"/>
      <c r="PRI482" s="962"/>
      <c r="PRJ482" s="962"/>
      <c r="PRK482" s="962"/>
      <c r="PRL482" s="962"/>
      <c r="PRM482" s="962"/>
      <c r="PRN482" s="962"/>
      <c r="PRO482" s="962"/>
      <c r="PRP482" s="962"/>
      <c r="PRQ482" s="962"/>
      <c r="PRR482" s="962"/>
      <c r="PRS482" s="962"/>
      <c r="PRT482" s="962"/>
      <c r="PRU482" s="962"/>
      <c r="PRV482" s="962"/>
      <c r="PRW482" s="962"/>
      <c r="PRX482" s="962"/>
      <c r="PRY482" s="962"/>
      <c r="PRZ482" s="962"/>
      <c r="PSA482" s="962"/>
      <c r="PSB482" s="962"/>
      <c r="PSC482" s="962"/>
      <c r="PSD482" s="962"/>
      <c r="PSE482" s="962"/>
      <c r="PSF482" s="962"/>
      <c r="PSG482" s="962"/>
      <c r="PSH482" s="962"/>
      <c r="PSI482" s="962"/>
      <c r="PSJ482" s="962"/>
      <c r="PSK482" s="962"/>
      <c r="PSL482" s="962"/>
      <c r="PSM482" s="962"/>
      <c r="PSN482" s="962"/>
      <c r="PSO482" s="962"/>
      <c r="PSP482" s="962"/>
      <c r="PSQ482" s="962"/>
      <c r="PSR482" s="962"/>
      <c r="PSS482" s="962"/>
      <c r="PST482" s="962"/>
      <c r="PSU482" s="962"/>
      <c r="PSV482" s="962"/>
      <c r="PSW482" s="962"/>
      <c r="PSX482" s="962"/>
      <c r="PSY482" s="962"/>
      <c r="PSZ482" s="962"/>
      <c r="PTA482" s="962"/>
      <c r="PTB482" s="962"/>
      <c r="PTC482" s="962"/>
      <c r="PTD482" s="962"/>
      <c r="PTE482" s="962"/>
      <c r="PTF482" s="962"/>
      <c r="PTG482" s="962"/>
      <c r="PTH482" s="962"/>
      <c r="PTI482" s="962"/>
      <c r="PTJ482" s="962"/>
      <c r="PTK482" s="962"/>
      <c r="PTL482" s="962"/>
      <c r="PTM482" s="962"/>
      <c r="PTN482" s="962"/>
      <c r="PTO482" s="962"/>
      <c r="PTP482" s="962"/>
      <c r="PTQ482" s="962"/>
      <c r="PTR482" s="962"/>
      <c r="PTS482" s="962"/>
      <c r="PTT482" s="962"/>
      <c r="PTU482" s="962"/>
      <c r="PTV482" s="962"/>
      <c r="PTW482" s="962"/>
      <c r="PTX482" s="962"/>
      <c r="PTY482" s="962"/>
      <c r="PTZ482" s="962"/>
      <c r="PUA482" s="962"/>
      <c r="PUB482" s="962"/>
      <c r="PUC482" s="962"/>
      <c r="PUD482" s="962"/>
      <c r="PUE482" s="962"/>
      <c r="PUF482" s="962"/>
      <c r="PUG482" s="962"/>
      <c r="PUH482" s="962"/>
      <c r="PUI482" s="962"/>
      <c r="PUJ482" s="962"/>
      <c r="PUK482" s="962"/>
      <c r="PUL482" s="962"/>
      <c r="PUM482" s="962"/>
      <c r="PUN482" s="962"/>
      <c r="PUO482" s="962"/>
      <c r="PUP482" s="962"/>
      <c r="PUQ482" s="962"/>
      <c r="PUR482" s="962"/>
      <c r="PUS482" s="962"/>
      <c r="PUT482" s="962"/>
      <c r="PUU482" s="962"/>
      <c r="PUV482" s="962"/>
      <c r="PUW482" s="962"/>
      <c r="PUX482" s="962"/>
      <c r="PUY482" s="962"/>
      <c r="PUZ482" s="962"/>
      <c r="PVA482" s="962"/>
      <c r="PVB482" s="962"/>
      <c r="PVC482" s="962"/>
      <c r="PVD482" s="962"/>
      <c r="PVE482" s="962"/>
      <c r="PVF482" s="962"/>
      <c r="PVG482" s="962"/>
      <c r="PVH482" s="962"/>
      <c r="PVI482" s="962"/>
      <c r="PVJ482" s="962"/>
      <c r="PVK482" s="962"/>
      <c r="PVL482" s="962"/>
      <c r="PVM482" s="962"/>
      <c r="PVN482" s="962"/>
      <c r="PVO482" s="962"/>
      <c r="PVP482" s="962"/>
      <c r="PVQ482" s="962"/>
      <c r="PVR482" s="962"/>
      <c r="PVS482" s="962"/>
      <c r="PVT482" s="962"/>
      <c r="PVU482" s="962"/>
      <c r="PVV482" s="962"/>
      <c r="PVW482" s="962"/>
      <c r="PVX482" s="962"/>
      <c r="PVY482" s="962"/>
      <c r="PVZ482" s="962"/>
      <c r="PWA482" s="962"/>
      <c r="PWB482" s="962"/>
      <c r="PWC482" s="962"/>
      <c r="PWD482" s="962"/>
      <c r="PWE482" s="962"/>
      <c r="PWF482" s="962"/>
      <c r="PWG482" s="962"/>
      <c r="PWH482" s="962"/>
      <c r="PWI482" s="962"/>
      <c r="PWJ482" s="962"/>
      <c r="PWK482" s="962"/>
      <c r="PWL482" s="962"/>
      <c r="PWM482" s="962"/>
      <c r="PWN482" s="962"/>
      <c r="PWO482" s="962"/>
      <c r="PWP482" s="962"/>
      <c r="PWQ482" s="962"/>
      <c r="PWR482" s="962"/>
      <c r="PWS482" s="962"/>
      <c r="PWT482" s="962"/>
      <c r="PWU482" s="962"/>
      <c r="PWV482" s="962"/>
      <c r="PWW482" s="962"/>
      <c r="PWX482" s="962"/>
      <c r="PWY482" s="962"/>
      <c r="PWZ482" s="962"/>
      <c r="PXA482" s="962"/>
      <c r="PXB482" s="962"/>
      <c r="PXC482" s="962"/>
      <c r="PXD482" s="962"/>
      <c r="PXE482" s="962"/>
      <c r="PXF482" s="962"/>
      <c r="PXG482" s="962"/>
      <c r="PXH482" s="962"/>
      <c r="PXI482" s="962"/>
      <c r="PXJ482" s="962"/>
      <c r="PXK482" s="962"/>
      <c r="PXL482" s="962"/>
      <c r="PXM482" s="962"/>
      <c r="PXN482" s="962"/>
      <c r="PXO482" s="962"/>
      <c r="PXP482" s="962"/>
      <c r="PXQ482" s="962"/>
      <c r="PXR482" s="962"/>
      <c r="PXS482" s="962"/>
      <c r="PXT482" s="962"/>
      <c r="PXU482" s="962"/>
      <c r="PXV482" s="962"/>
      <c r="PXW482" s="962"/>
      <c r="PXX482" s="962"/>
      <c r="PXY482" s="962"/>
      <c r="PXZ482" s="962"/>
      <c r="PYA482" s="962"/>
      <c r="PYB482" s="962"/>
      <c r="PYC482" s="962"/>
      <c r="PYD482" s="962"/>
      <c r="PYE482" s="962"/>
      <c r="PYF482" s="962"/>
      <c r="PYG482" s="962"/>
      <c r="PYH482" s="962"/>
      <c r="PYI482" s="962"/>
      <c r="PYJ482" s="962"/>
      <c r="PYK482" s="962"/>
      <c r="PYL482" s="962"/>
      <c r="PYM482" s="962"/>
      <c r="PYN482" s="962"/>
      <c r="PYO482" s="962"/>
      <c r="PYP482" s="962"/>
      <c r="PYQ482" s="962"/>
      <c r="PYR482" s="962"/>
      <c r="PYS482" s="962"/>
      <c r="PYT482" s="962"/>
      <c r="PYU482" s="962"/>
      <c r="PYV482" s="962"/>
      <c r="PYW482" s="962"/>
      <c r="PYX482" s="962"/>
      <c r="PYY482" s="962"/>
      <c r="PYZ482" s="962"/>
      <c r="PZA482" s="962"/>
      <c r="PZB482" s="962"/>
      <c r="PZC482" s="962"/>
      <c r="PZD482" s="962"/>
      <c r="PZE482" s="962"/>
      <c r="PZF482" s="962"/>
      <c r="PZG482" s="962"/>
      <c r="PZH482" s="962"/>
      <c r="PZI482" s="962"/>
      <c r="PZJ482" s="962"/>
      <c r="PZK482" s="962"/>
      <c r="PZL482" s="962"/>
      <c r="PZM482" s="962"/>
      <c r="PZN482" s="962"/>
      <c r="PZO482" s="962"/>
      <c r="PZP482" s="962"/>
      <c r="PZQ482" s="962"/>
      <c r="PZR482" s="962"/>
      <c r="PZS482" s="962"/>
      <c r="PZT482" s="962"/>
      <c r="PZU482" s="962"/>
      <c r="PZV482" s="962"/>
      <c r="PZW482" s="962"/>
      <c r="PZX482" s="962"/>
      <c r="PZY482" s="962"/>
      <c r="PZZ482" s="962"/>
      <c r="QAA482" s="962"/>
      <c r="QAB482" s="962"/>
      <c r="QAC482" s="962"/>
      <c r="QAD482" s="962"/>
      <c r="QAE482" s="962"/>
      <c r="QAF482" s="962"/>
      <c r="QAG482" s="962"/>
      <c r="QAH482" s="962"/>
      <c r="QAI482" s="962"/>
      <c r="QAJ482" s="962"/>
      <c r="QAK482" s="962"/>
      <c r="QAL482" s="962"/>
      <c r="QAM482" s="962"/>
      <c r="QAN482" s="962"/>
      <c r="QAO482" s="962"/>
      <c r="QAP482" s="962"/>
      <c r="QAQ482" s="962"/>
      <c r="QAR482" s="962"/>
      <c r="QAS482" s="962"/>
      <c r="QAT482" s="962"/>
      <c r="QAU482" s="962"/>
      <c r="QAV482" s="962"/>
      <c r="QAW482" s="962"/>
      <c r="QAX482" s="962"/>
      <c r="QAY482" s="962"/>
      <c r="QAZ482" s="962"/>
      <c r="QBA482" s="962"/>
      <c r="QBB482" s="962"/>
      <c r="QBC482" s="962"/>
      <c r="QBD482" s="962"/>
      <c r="QBE482" s="962"/>
      <c r="QBF482" s="962"/>
      <c r="QBG482" s="962"/>
      <c r="QBH482" s="962"/>
      <c r="QBI482" s="962"/>
      <c r="QBJ482" s="962"/>
      <c r="QBK482" s="962"/>
      <c r="QBL482" s="962"/>
      <c r="QBM482" s="962"/>
      <c r="QBN482" s="962"/>
      <c r="QBO482" s="962"/>
      <c r="QBP482" s="962"/>
      <c r="QBQ482" s="962"/>
      <c r="QBR482" s="962"/>
      <c r="QBS482" s="962"/>
      <c r="QBT482" s="962"/>
      <c r="QBU482" s="962"/>
      <c r="QBV482" s="962"/>
      <c r="QBW482" s="962"/>
      <c r="QBX482" s="962"/>
      <c r="QBY482" s="962"/>
      <c r="QBZ482" s="962"/>
      <c r="QCA482" s="962"/>
      <c r="QCB482" s="962"/>
      <c r="QCC482" s="962"/>
      <c r="QCD482" s="962"/>
      <c r="QCE482" s="962"/>
      <c r="QCF482" s="962"/>
      <c r="QCG482" s="962"/>
      <c r="QCH482" s="962"/>
      <c r="QCI482" s="962"/>
      <c r="QCJ482" s="962"/>
      <c r="QCK482" s="962"/>
      <c r="QCL482" s="962"/>
      <c r="QCM482" s="962"/>
      <c r="QCN482" s="962"/>
      <c r="QCO482" s="962"/>
      <c r="QCP482" s="962"/>
      <c r="QCQ482" s="962"/>
      <c r="QCR482" s="962"/>
      <c r="QCS482" s="962"/>
      <c r="QCT482" s="962"/>
      <c r="QCU482" s="962"/>
      <c r="QCV482" s="962"/>
      <c r="QCW482" s="962"/>
      <c r="QCX482" s="962"/>
      <c r="QCY482" s="962"/>
      <c r="QCZ482" s="962"/>
      <c r="QDA482" s="962"/>
      <c r="QDB482" s="962"/>
      <c r="QDC482" s="962"/>
      <c r="QDD482" s="962"/>
      <c r="QDE482" s="962"/>
      <c r="QDF482" s="962"/>
      <c r="QDG482" s="962"/>
      <c r="QDH482" s="962"/>
      <c r="QDI482" s="962"/>
      <c r="QDJ482" s="962"/>
      <c r="QDK482" s="962"/>
      <c r="QDL482" s="962"/>
      <c r="QDM482" s="962"/>
      <c r="QDN482" s="962"/>
      <c r="QDO482" s="962"/>
      <c r="QDP482" s="962"/>
      <c r="QDQ482" s="962"/>
      <c r="QDR482" s="962"/>
      <c r="QDS482" s="962"/>
      <c r="QDT482" s="962"/>
      <c r="QDU482" s="962"/>
      <c r="QDV482" s="962"/>
      <c r="QDW482" s="962"/>
      <c r="QDX482" s="962"/>
      <c r="QDY482" s="962"/>
      <c r="QDZ482" s="962"/>
      <c r="QEA482" s="962"/>
      <c r="QEB482" s="962"/>
      <c r="QEC482" s="962"/>
      <c r="QED482" s="962"/>
      <c r="QEE482" s="962"/>
      <c r="QEF482" s="962"/>
      <c r="QEG482" s="962"/>
      <c r="QEH482" s="962"/>
      <c r="QEI482" s="962"/>
      <c r="QEJ482" s="962"/>
      <c r="QEK482" s="962"/>
      <c r="QEL482" s="962"/>
      <c r="QEM482" s="962"/>
      <c r="QEN482" s="962"/>
      <c r="QEO482" s="962"/>
      <c r="QEP482" s="962"/>
      <c r="QEQ482" s="962"/>
      <c r="QER482" s="962"/>
      <c r="QES482" s="962"/>
      <c r="QET482" s="962"/>
      <c r="QEU482" s="962"/>
      <c r="QEV482" s="962"/>
      <c r="QEW482" s="962"/>
      <c r="QEX482" s="962"/>
      <c r="QEY482" s="962"/>
      <c r="QEZ482" s="962"/>
      <c r="QFA482" s="962"/>
      <c r="QFB482" s="962"/>
      <c r="QFC482" s="962"/>
      <c r="QFD482" s="962"/>
      <c r="QFE482" s="962"/>
      <c r="QFF482" s="962"/>
      <c r="QFG482" s="962"/>
      <c r="QFH482" s="962"/>
      <c r="QFI482" s="962"/>
      <c r="QFJ482" s="962"/>
      <c r="QFK482" s="962"/>
      <c r="QFL482" s="962"/>
      <c r="QFM482" s="962"/>
      <c r="QFN482" s="962"/>
      <c r="QFO482" s="962"/>
      <c r="QFP482" s="962"/>
      <c r="QFQ482" s="962"/>
      <c r="QFR482" s="962"/>
      <c r="QFS482" s="962"/>
      <c r="QFT482" s="962"/>
      <c r="QFU482" s="962"/>
      <c r="QFV482" s="962"/>
      <c r="QFW482" s="962"/>
      <c r="QFX482" s="962"/>
      <c r="QFY482" s="962"/>
      <c r="QFZ482" s="962"/>
      <c r="QGA482" s="962"/>
      <c r="QGB482" s="962"/>
      <c r="QGC482" s="962"/>
      <c r="QGD482" s="962"/>
      <c r="QGE482" s="962"/>
      <c r="QGF482" s="962"/>
      <c r="QGG482" s="962"/>
      <c r="QGH482" s="962"/>
      <c r="QGI482" s="962"/>
      <c r="QGJ482" s="962"/>
      <c r="QGK482" s="962"/>
      <c r="QGL482" s="962"/>
      <c r="QGM482" s="962"/>
      <c r="QGN482" s="962"/>
      <c r="QGO482" s="962"/>
      <c r="QGP482" s="962"/>
      <c r="QGQ482" s="962"/>
      <c r="QGR482" s="962"/>
      <c r="QGS482" s="962"/>
      <c r="QGT482" s="962"/>
      <c r="QGU482" s="962"/>
      <c r="QGV482" s="962"/>
      <c r="QGW482" s="962"/>
      <c r="QGX482" s="962"/>
      <c r="QGY482" s="962"/>
      <c r="QGZ482" s="962"/>
      <c r="QHA482" s="962"/>
      <c r="QHB482" s="962"/>
      <c r="QHC482" s="962"/>
      <c r="QHD482" s="962"/>
      <c r="QHE482" s="962"/>
      <c r="QHF482" s="962"/>
      <c r="QHG482" s="962"/>
      <c r="QHH482" s="962"/>
      <c r="QHI482" s="962"/>
      <c r="QHJ482" s="962"/>
      <c r="QHK482" s="962"/>
      <c r="QHL482" s="962"/>
      <c r="QHM482" s="962"/>
      <c r="QHN482" s="962"/>
      <c r="QHO482" s="962"/>
      <c r="QHP482" s="962"/>
      <c r="QHQ482" s="962"/>
      <c r="QHR482" s="962"/>
      <c r="QHS482" s="962"/>
      <c r="QHT482" s="962"/>
      <c r="QHU482" s="962"/>
      <c r="QHV482" s="962"/>
      <c r="QHW482" s="962"/>
      <c r="QHX482" s="962"/>
      <c r="QHY482" s="962"/>
      <c r="QHZ482" s="962"/>
      <c r="QIA482" s="962"/>
      <c r="QIB482" s="962"/>
      <c r="QIC482" s="962"/>
      <c r="QID482" s="962"/>
      <c r="QIE482" s="962"/>
      <c r="QIF482" s="962"/>
      <c r="QIG482" s="962"/>
      <c r="QIH482" s="962"/>
      <c r="QII482" s="962"/>
      <c r="QIJ482" s="962"/>
      <c r="QIK482" s="962"/>
      <c r="QIL482" s="962"/>
      <c r="QIM482" s="962"/>
      <c r="QIN482" s="962"/>
      <c r="QIO482" s="962"/>
      <c r="QIP482" s="962"/>
      <c r="QIQ482" s="962"/>
      <c r="QIR482" s="962"/>
      <c r="QIS482" s="962"/>
      <c r="QIT482" s="962"/>
      <c r="QIU482" s="962"/>
      <c r="QIV482" s="962"/>
      <c r="QIW482" s="962"/>
      <c r="QIX482" s="962"/>
      <c r="QIY482" s="962"/>
      <c r="QIZ482" s="962"/>
      <c r="QJA482" s="962"/>
      <c r="QJB482" s="962"/>
      <c r="QJC482" s="962"/>
      <c r="QJD482" s="962"/>
      <c r="QJE482" s="962"/>
      <c r="QJF482" s="962"/>
      <c r="QJG482" s="962"/>
      <c r="QJH482" s="962"/>
      <c r="QJI482" s="962"/>
      <c r="QJJ482" s="962"/>
      <c r="QJK482" s="962"/>
      <c r="QJL482" s="962"/>
      <c r="QJM482" s="962"/>
      <c r="QJN482" s="962"/>
      <c r="QJO482" s="962"/>
      <c r="QJP482" s="962"/>
      <c r="QJQ482" s="962"/>
      <c r="QJR482" s="962"/>
      <c r="QJS482" s="962"/>
      <c r="QJT482" s="962"/>
      <c r="QJU482" s="962"/>
      <c r="QJV482" s="962"/>
      <c r="QJW482" s="962"/>
      <c r="QJX482" s="962"/>
      <c r="QJY482" s="962"/>
      <c r="QJZ482" s="962"/>
      <c r="QKA482" s="962"/>
      <c r="QKB482" s="962"/>
      <c r="QKC482" s="962"/>
      <c r="QKD482" s="962"/>
      <c r="QKE482" s="962"/>
      <c r="QKF482" s="962"/>
      <c r="QKG482" s="962"/>
      <c r="QKH482" s="962"/>
      <c r="QKI482" s="962"/>
      <c r="QKJ482" s="962"/>
      <c r="QKK482" s="962"/>
      <c r="QKL482" s="962"/>
      <c r="QKM482" s="962"/>
      <c r="QKN482" s="962"/>
      <c r="QKO482" s="962"/>
      <c r="QKP482" s="962"/>
      <c r="QKQ482" s="962"/>
      <c r="QKR482" s="962"/>
      <c r="QKS482" s="962"/>
      <c r="QKT482" s="962"/>
      <c r="QKU482" s="962"/>
      <c r="QKV482" s="962"/>
      <c r="QKW482" s="962"/>
      <c r="QKX482" s="962"/>
      <c r="QKY482" s="962"/>
      <c r="QKZ482" s="962"/>
      <c r="QLA482" s="962"/>
      <c r="QLB482" s="962"/>
      <c r="QLC482" s="962"/>
      <c r="QLD482" s="962"/>
      <c r="QLE482" s="962"/>
      <c r="QLF482" s="962"/>
      <c r="QLG482" s="962"/>
      <c r="QLH482" s="962"/>
      <c r="QLI482" s="962"/>
      <c r="QLJ482" s="962"/>
      <c r="QLK482" s="962"/>
      <c r="QLL482" s="962"/>
      <c r="QLM482" s="962"/>
      <c r="QLN482" s="962"/>
      <c r="QLO482" s="962"/>
      <c r="QLP482" s="962"/>
      <c r="QLQ482" s="962"/>
      <c r="QLR482" s="962"/>
      <c r="QLS482" s="962"/>
      <c r="QLT482" s="962"/>
      <c r="QLU482" s="962"/>
      <c r="QLV482" s="962"/>
      <c r="QLW482" s="962"/>
      <c r="QLX482" s="962"/>
      <c r="QLY482" s="962"/>
      <c r="QLZ482" s="962"/>
      <c r="QMA482" s="962"/>
      <c r="QMB482" s="962"/>
      <c r="QMC482" s="962"/>
      <c r="QMD482" s="962"/>
      <c r="QME482" s="962"/>
      <c r="QMF482" s="962"/>
      <c r="QMG482" s="962"/>
      <c r="QMH482" s="962"/>
      <c r="QMI482" s="962"/>
      <c r="QMJ482" s="962"/>
      <c r="QMK482" s="962"/>
      <c r="QML482" s="962"/>
      <c r="QMM482" s="962"/>
      <c r="QMN482" s="962"/>
      <c r="QMO482" s="962"/>
      <c r="QMP482" s="962"/>
      <c r="QMQ482" s="962"/>
      <c r="QMR482" s="962"/>
      <c r="QMS482" s="962"/>
      <c r="QMT482" s="962"/>
      <c r="QMU482" s="962"/>
      <c r="QMV482" s="962"/>
      <c r="QMW482" s="962"/>
      <c r="QMX482" s="962"/>
      <c r="QMY482" s="962"/>
      <c r="QMZ482" s="962"/>
      <c r="QNA482" s="962"/>
      <c r="QNB482" s="962"/>
      <c r="QNC482" s="962"/>
      <c r="QND482" s="962"/>
      <c r="QNE482" s="962"/>
      <c r="QNF482" s="962"/>
      <c r="QNG482" s="962"/>
      <c r="QNH482" s="962"/>
      <c r="QNI482" s="962"/>
      <c r="QNJ482" s="962"/>
      <c r="QNK482" s="962"/>
      <c r="QNL482" s="962"/>
      <c r="QNM482" s="962"/>
      <c r="QNN482" s="962"/>
      <c r="QNO482" s="962"/>
      <c r="QNP482" s="962"/>
      <c r="QNQ482" s="962"/>
      <c r="QNR482" s="962"/>
      <c r="QNS482" s="962"/>
      <c r="QNT482" s="962"/>
      <c r="QNU482" s="962"/>
      <c r="QNV482" s="962"/>
      <c r="QNW482" s="962"/>
      <c r="QNX482" s="962"/>
      <c r="QNY482" s="962"/>
      <c r="QNZ482" s="962"/>
      <c r="QOA482" s="962"/>
      <c r="QOB482" s="962"/>
      <c r="QOC482" s="962"/>
      <c r="QOD482" s="962"/>
      <c r="QOE482" s="962"/>
      <c r="QOF482" s="962"/>
      <c r="QOG482" s="962"/>
      <c r="QOH482" s="962"/>
      <c r="QOI482" s="962"/>
      <c r="QOJ482" s="962"/>
      <c r="QOK482" s="962"/>
      <c r="QOL482" s="962"/>
      <c r="QOM482" s="962"/>
      <c r="QON482" s="962"/>
      <c r="QOO482" s="962"/>
      <c r="QOP482" s="962"/>
      <c r="QOQ482" s="962"/>
      <c r="QOR482" s="962"/>
      <c r="QOS482" s="962"/>
      <c r="QOT482" s="962"/>
      <c r="QOU482" s="962"/>
      <c r="QOV482" s="962"/>
      <c r="QOW482" s="962"/>
      <c r="QOX482" s="962"/>
      <c r="QOY482" s="962"/>
      <c r="QOZ482" s="962"/>
      <c r="QPA482" s="962"/>
      <c r="QPB482" s="962"/>
      <c r="QPC482" s="962"/>
      <c r="QPD482" s="962"/>
      <c r="QPE482" s="962"/>
      <c r="QPF482" s="962"/>
      <c r="QPG482" s="962"/>
      <c r="QPH482" s="962"/>
      <c r="QPI482" s="962"/>
      <c r="QPJ482" s="962"/>
      <c r="QPK482" s="962"/>
      <c r="QPL482" s="962"/>
      <c r="QPM482" s="962"/>
      <c r="QPN482" s="962"/>
      <c r="QPO482" s="962"/>
      <c r="QPP482" s="962"/>
      <c r="QPQ482" s="962"/>
      <c r="QPR482" s="962"/>
      <c r="QPS482" s="962"/>
      <c r="QPT482" s="962"/>
      <c r="QPU482" s="962"/>
      <c r="QPV482" s="962"/>
      <c r="QPW482" s="962"/>
      <c r="QPX482" s="962"/>
      <c r="QPY482" s="962"/>
      <c r="QPZ482" s="962"/>
      <c r="QQA482" s="962"/>
      <c r="QQB482" s="962"/>
      <c r="QQC482" s="962"/>
      <c r="QQD482" s="962"/>
      <c r="QQE482" s="962"/>
      <c r="QQF482" s="962"/>
      <c r="QQG482" s="962"/>
      <c r="QQH482" s="962"/>
      <c r="QQI482" s="962"/>
      <c r="QQJ482" s="962"/>
      <c r="QQK482" s="962"/>
      <c r="QQL482" s="962"/>
      <c r="QQM482" s="962"/>
      <c r="QQN482" s="962"/>
      <c r="QQO482" s="962"/>
      <c r="QQP482" s="962"/>
      <c r="QQQ482" s="962"/>
      <c r="QQR482" s="962"/>
      <c r="QQS482" s="962"/>
      <c r="QQT482" s="962"/>
      <c r="QQU482" s="962"/>
      <c r="QQV482" s="962"/>
      <c r="QQW482" s="962"/>
      <c r="QQX482" s="962"/>
      <c r="QQY482" s="962"/>
      <c r="QQZ482" s="962"/>
      <c r="QRA482" s="962"/>
      <c r="QRB482" s="962"/>
      <c r="QRC482" s="962"/>
      <c r="QRD482" s="962"/>
      <c r="QRE482" s="962"/>
      <c r="QRF482" s="962"/>
      <c r="QRG482" s="962"/>
      <c r="QRH482" s="962"/>
      <c r="QRI482" s="962"/>
      <c r="QRJ482" s="962"/>
      <c r="QRK482" s="962"/>
      <c r="QRL482" s="962"/>
      <c r="QRM482" s="962"/>
      <c r="QRN482" s="962"/>
      <c r="QRO482" s="962"/>
      <c r="QRP482" s="962"/>
      <c r="QRQ482" s="962"/>
      <c r="QRR482" s="962"/>
      <c r="QRS482" s="962"/>
      <c r="QRT482" s="962"/>
      <c r="QRU482" s="962"/>
      <c r="QRV482" s="962"/>
      <c r="QRW482" s="962"/>
      <c r="QRX482" s="962"/>
      <c r="QRY482" s="962"/>
      <c r="QRZ482" s="962"/>
      <c r="QSA482" s="962"/>
      <c r="QSB482" s="962"/>
      <c r="QSC482" s="962"/>
      <c r="QSD482" s="962"/>
      <c r="QSE482" s="962"/>
      <c r="QSF482" s="962"/>
      <c r="QSG482" s="962"/>
      <c r="QSH482" s="962"/>
      <c r="QSI482" s="962"/>
      <c r="QSJ482" s="962"/>
      <c r="QSK482" s="962"/>
      <c r="QSL482" s="962"/>
      <c r="QSM482" s="962"/>
      <c r="QSN482" s="962"/>
      <c r="QSO482" s="962"/>
      <c r="QSP482" s="962"/>
      <c r="QSQ482" s="962"/>
      <c r="QSR482" s="962"/>
      <c r="QSS482" s="962"/>
      <c r="QST482" s="962"/>
      <c r="QSU482" s="962"/>
      <c r="QSV482" s="962"/>
      <c r="QSW482" s="962"/>
      <c r="QSX482" s="962"/>
      <c r="QSY482" s="962"/>
      <c r="QSZ482" s="962"/>
      <c r="QTA482" s="962"/>
      <c r="QTB482" s="962"/>
      <c r="QTC482" s="962"/>
      <c r="QTD482" s="962"/>
      <c r="QTE482" s="962"/>
      <c r="QTF482" s="962"/>
      <c r="QTG482" s="962"/>
      <c r="QTH482" s="962"/>
      <c r="QTI482" s="962"/>
      <c r="QTJ482" s="962"/>
      <c r="QTK482" s="962"/>
      <c r="QTL482" s="962"/>
      <c r="QTM482" s="962"/>
      <c r="QTN482" s="962"/>
      <c r="QTO482" s="962"/>
      <c r="QTP482" s="962"/>
      <c r="QTQ482" s="962"/>
      <c r="QTR482" s="962"/>
      <c r="QTS482" s="962"/>
      <c r="QTT482" s="962"/>
      <c r="QTU482" s="962"/>
      <c r="QTV482" s="962"/>
      <c r="QTW482" s="962"/>
      <c r="QTX482" s="962"/>
      <c r="QTY482" s="962"/>
      <c r="QTZ482" s="962"/>
      <c r="QUA482" s="962"/>
      <c r="QUB482" s="962"/>
      <c r="QUC482" s="962"/>
      <c r="QUD482" s="962"/>
      <c r="QUE482" s="962"/>
      <c r="QUF482" s="962"/>
      <c r="QUG482" s="962"/>
      <c r="QUH482" s="962"/>
      <c r="QUI482" s="962"/>
      <c r="QUJ482" s="962"/>
      <c r="QUK482" s="962"/>
      <c r="QUL482" s="962"/>
      <c r="QUM482" s="962"/>
      <c r="QUN482" s="962"/>
      <c r="QUO482" s="962"/>
      <c r="QUP482" s="962"/>
      <c r="QUQ482" s="962"/>
      <c r="QUR482" s="962"/>
      <c r="QUS482" s="962"/>
      <c r="QUT482" s="962"/>
      <c r="QUU482" s="962"/>
      <c r="QUV482" s="962"/>
      <c r="QUW482" s="962"/>
      <c r="QUX482" s="962"/>
      <c r="QUY482" s="962"/>
      <c r="QUZ482" s="962"/>
      <c r="QVA482" s="962"/>
      <c r="QVB482" s="962"/>
      <c r="QVC482" s="962"/>
      <c r="QVD482" s="962"/>
      <c r="QVE482" s="962"/>
      <c r="QVF482" s="962"/>
      <c r="QVG482" s="962"/>
      <c r="QVH482" s="962"/>
      <c r="QVI482" s="962"/>
      <c r="QVJ482" s="962"/>
      <c r="QVK482" s="962"/>
      <c r="QVL482" s="962"/>
      <c r="QVM482" s="962"/>
      <c r="QVN482" s="962"/>
      <c r="QVO482" s="962"/>
      <c r="QVP482" s="962"/>
      <c r="QVQ482" s="962"/>
      <c r="QVR482" s="962"/>
      <c r="QVS482" s="962"/>
      <c r="QVT482" s="962"/>
      <c r="QVU482" s="962"/>
      <c r="QVV482" s="962"/>
      <c r="QVW482" s="962"/>
      <c r="QVX482" s="962"/>
      <c r="QVY482" s="962"/>
      <c r="QVZ482" s="962"/>
      <c r="QWA482" s="962"/>
      <c r="QWB482" s="962"/>
      <c r="QWC482" s="962"/>
      <c r="QWD482" s="962"/>
      <c r="QWE482" s="962"/>
      <c r="QWF482" s="962"/>
      <c r="QWG482" s="962"/>
      <c r="QWH482" s="962"/>
      <c r="QWI482" s="962"/>
      <c r="QWJ482" s="962"/>
      <c r="QWK482" s="962"/>
      <c r="QWL482" s="962"/>
      <c r="QWM482" s="962"/>
      <c r="QWN482" s="962"/>
      <c r="QWO482" s="962"/>
      <c r="QWP482" s="962"/>
      <c r="QWQ482" s="962"/>
      <c r="QWR482" s="962"/>
      <c r="QWS482" s="962"/>
      <c r="QWT482" s="962"/>
      <c r="QWU482" s="962"/>
      <c r="QWV482" s="962"/>
      <c r="QWW482" s="962"/>
      <c r="QWX482" s="962"/>
      <c r="QWY482" s="962"/>
      <c r="QWZ482" s="962"/>
      <c r="QXA482" s="962"/>
      <c r="QXB482" s="962"/>
      <c r="QXC482" s="962"/>
      <c r="QXD482" s="962"/>
      <c r="QXE482" s="962"/>
      <c r="QXF482" s="962"/>
      <c r="QXG482" s="962"/>
      <c r="QXH482" s="962"/>
      <c r="QXI482" s="962"/>
      <c r="QXJ482" s="962"/>
      <c r="QXK482" s="962"/>
      <c r="QXL482" s="962"/>
      <c r="QXM482" s="962"/>
      <c r="QXN482" s="962"/>
      <c r="QXO482" s="962"/>
      <c r="QXP482" s="962"/>
      <c r="QXQ482" s="962"/>
      <c r="QXR482" s="962"/>
      <c r="QXS482" s="962"/>
      <c r="QXT482" s="962"/>
      <c r="QXU482" s="962"/>
      <c r="QXV482" s="962"/>
      <c r="QXW482" s="962"/>
      <c r="QXX482" s="962"/>
      <c r="QXY482" s="962"/>
      <c r="QXZ482" s="962"/>
      <c r="QYA482" s="962"/>
      <c r="QYB482" s="962"/>
      <c r="QYC482" s="962"/>
      <c r="QYD482" s="962"/>
      <c r="QYE482" s="962"/>
      <c r="QYF482" s="962"/>
      <c r="QYG482" s="962"/>
      <c r="QYH482" s="962"/>
      <c r="QYI482" s="962"/>
      <c r="QYJ482" s="962"/>
      <c r="QYK482" s="962"/>
      <c r="QYL482" s="962"/>
      <c r="QYM482" s="962"/>
      <c r="QYN482" s="962"/>
      <c r="QYO482" s="962"/>
      <c r="QYP482" s="962"/>
      <c r="QYQ482" s="962"/>
      <c r="QYR482" s="962"/>
      <c r="QYS482" s="962"/>
      <c r="QYT482" s="962"/>
      <c r="QYU482" s="962"/>
      <c r="QYV482" s="962"/>
      <c r="QYW482" s="962"/>
      <c r="QYX482" s="962"/>
      <c r="QYY482" s="962"/>
      <c r="QYZ482" s="962"/>
      <c r="QZA482" s="962"/>
      <c r="QZB482" s="962"/>
      <c r="QZC482" s="962"/>
      <c r="QZD482" s="962"/>
      <c r="QZE482" s="962"/>
      <c r="QZF482" s="962"/>
      <c r="QZG482" s="962"/>
      <c r="QZH482" s="962"/>
      <c r="QZI482" s="962"/>
      <c r="QZJ482" s="962"/>
      <c r="QZK482" s="962"/>
      <c r="QZL482" s="962"/>
      <c r="QZM482" s="962"/>
      <c r="QZN482" s="962"/>
      <c r="QZO482" s="962"/>
      <c r="QZP482" s="962"/>
      <c r="QZQ482" s="962"/>
      <c r="QZR482" s="962"/>
      <c r="QZS482" s="962"/>
      <c r="QZT482" s="962"/>
      <c r="QZU482" s="962"/>
      <c r="QZV482" s="962"/>
      <c r="QZW482" s="962"/>
      <c r="QZX482" s="962"/>
      <c r="QZY482" s="962"/>
      <c r="QZZ482" s="962"/>
      <c r="RAA482" s="962"/>
      <c r="RAB482" s="962"/>
      <c r="RAC482" s="962"/>
      <c r="RAD482" s="962"/>
      <c r="RAE482" s="962"/>
      <c r="RAF482" s="962"/>
      <c r="RAG482" s="962"/>
      <c r="RAH482" s="962"/>
      <c r="RAI482" s="962"/>
      <c r="RAJ482" s="962"/>
      <c r="RAK482" s="962"/>
      <c r="RAL482" s="962"/>
      <c r="RAM482" s="962"/>
      <c r="RAN482" s="962"/>
      <c r="RAO482" s="962"/>
      <c r="RAP482" s="962"/>
      <c r="RAQ482" s="962"/>
      <c r="RAR482" s="962"/>
      <c r="RAS482" s="962"/>
      <c r="RAT482" s="962"/>
      <c r="RAU482" s="962"/>
      <c r="RAV482" s="962"/>
      <c r="RAW482" s="962"/>
      <c r="RAX482" s="962"/>
      <c r="RAY482" s="962"/>
      <c r="RAZ482" s="962"/>
      <c r="RBA482" s="962"/>
      <c r="RBB482" s="962"/>
      <c r="RBC482" s="962"/>
      <c r="RBD482" s="962"/>
      <c r="RBE482" s="962"/>
      <c r="RBF482" s="962"/>
      <c r="RBG482" s="962"/>
      <c r="RBH482" s="962"/>
      <c r="RBI482" s="962"/>
      <c r="RBJ482" s="962"/>
      <c r="RBK482" s="962"/>
      <c r="RBL482" s="962"/>
      <c r="RBM482" s="962"/>
      <c r="RBN482" s="962"/>
      <c r="RBO482" s="962"/>
      <c r="RBP482" s="962"/>
      <c r="RBQ482" s="962"/>
      <c r="RBR482" s="962"/>
      <c r="RBS482" s="962"/>
      <c r="RBT482" s="962"/>
      <c r="RBU482" s="962"/>
      <c r="RBV482" s="962"/>
      <c r="RBW482" s="962"/>
      <c r="RBX482" s="962"/>
      <c r="RBY482" s="962"/>
      <c r="RBZ482" s="962"/>
      <c r="RCA482" s="962"/>
      <c r="RCB482" s="962"/>
      <c r="RCC482" s="962"/>
      <c r="RCD482" s="962"/>
      <c r="RCE482" s="962"/>
      <c r="RCF482" s="962"/>
      <c r="RCG482" s="962"/>
      <c r="RCH482" s="962"/>
      <c r="RCI482" s="962"/>
      <c r="RCJ482" s="962"/>
      <c r="RCK482" s="962"/>
      <c r="RCL482" s="962"/>
      <c r="RCM482" s="962"/>
      <c r="RCN482" s="962"/>
      <c r="RCO482" s="962"/>
      <c r="RCP482" s="962"/>
      <c r="RCQ482" s="962"/>
      <c r="RCR482" s="962"/>
      <c r="RCS482" s="962"/>
      <c r="RCT482" s="962"/>
      <c r="RCU482" s="962"/>
      <c r="RCV482" s="962"/>
      <c r="RCW482" s="962"/>
      <c r="RCX482" s="962"/>
      <c r="RCY482" s="962"/>
      <c r="RCZ482" s="962"/>
      <c r="RDA482" s="962"/>
      <c r="RDB482" s="962"/>
      <c r="RDC482" s="962"/>
      <c r="RDD482" s="962"/>
      <c r="RDE482" s="962"/>
      <c r="RDF482" s="962"/>
      <c r="RDG482" s="962"/>
      <c r="RDH482" s="962"/>
      <c r="RDI482" s="962"/>
      <c r="RDJ482" s="962"/>
      <c r="RDK482" s="962"/>
      <c r="RDL482" s="962"/>
      <c r="RDM482" s="962"/>
      <c r="RDN482" s="962"/>
      <c r="RDO482" s="962"/>
      <c r="RDP482" s="962"/>
      <c r="RDQ482" s="962"/>
      <c r="RDR482" s="962"/>
      <c r="RDS482" s="962"/>
      <c r="RDT482" s="962"/>
      <c r="RDU482" s="962"/>
      <c r="RDV482" s="962"/>
      <c r="RDW482" s="962"/>
      <c r="RDX482" s="962"/>
      <c r="RDY482" s="962"/>
      <c r="RDZ482" s="962"/>
      <c r="REA482" s="962"/>
      <c r="REB482" s="962"/>
      <c r="REC482" s="962"/>
      <c r="RED482" s="962"/>
      <c r="REE482" s="962"/>
      <c r="REF482" s="962"/>
      <c r="REG482" s="962"/>
      <c r="REH482" s="962"/>
      <c r="REI482" s="962"/>
      <c r="REJ482" s="962"/>
      <c r="REK482" s="962"/>
      <c r="REL482" s="962"/>
      <c r="REM482" s="962"/>
      <c r="REN482" s="962"/>
      <c r="REO482" s="962"/>
      <c r="REP482" s="962"/>
      <c r="REQ482" s="962"/>
      <c r="RER482" s="962"/>
      <c r="RES482" s="962"/>
      <c r="RET482" s="962"/>
      <c r="REU482" s="962"/>
      <c r="REV482" s="962"/>
      <c r="REW482" s="962"/>
      <c r="REX482" s="962"/>
      <c r="REY482" s="962"/>
      <c r="REZ482" s="962"/>
      <c r="RFA482" s="962"/>
      <c r="RFB482" s="962"/>
      <c r="RFC482" s="962"/>
      <c r="RFD482" s="962"/>
      <c r="RFE482" s="962"/>
      <c r="RFF482" s="962"/>
      <c r="RFG482" s="962"/>
      <c r="RFH482" s="962"/>
      <c r="RFI482" s="962"/>
      <c r="RFJ482" s="962"/>
      <c r="RFK482" s="962"/>
      <c r="RFL482" s="962"/>
      <c r="RFM482" s="962"/>
      <c r="RFN482" s="962"/>
      <c r="RFO482" s="962"/>
      <c r="RFP482" s="962"/>
      <c r="RFQ482" s="962"/>
      <c r="RFR482" s="962"/>
      <c r="RFS482" s="962"/>
      <c r="RFT482" s="962"/>
      <c r="RFU482" s="962"/>
      <c r="RFV482" s="962"/>
      <c r="RFW482" s="962"/>
      <c r="RFX482" s="962"/>
      <c r="RFY482" s="962"/>
      <c r="RFZ482" s="962"/>
      <c r="RGA482" s="962"/>
      <c r="RGB482" s="962"/>
      <c r="RGC482" s="962"/>
      <c r="RGD482" s="962"/>
      <c r="RGE482" s="962"/>
      <c r="RGF482" s="962"/>
      <c r="RGG482" s="962"/>
      <c r="RGH482" s="962"/>
      <c r="RGI482" s="962"/>
      <c r="RGJ482" s="962"/>
      <c r="RGK482" s="962"/>
      <c r="RGL482" s="962"/>
      <c r="RGM482" s="962"/>
      <c r="RGN482" s="962"/>
      <c r="RGO482" s="962"/>
      <c r="RGP482" s="962"/>
      <c r="RGQ482" s="962"/>
      <c r="RGR482" s="962"/>
      <c r="RGS482" s="962"/>
      <c r="RGT482" s="962"/>
      <c r="RGU482" s="962"/>
      <c r="RGV482" s="962"/>
      <c r="RGW482" s="962"/>
      <c r="RGX482" s="962"/>
      <c r="RGY482" s="962"/>
      <c r="RGZ482" s="962"/>
      <c r="RHA482" s="962"/>
      <c r="RHB482" s="962"/>
      <c r="RHC482" s="962"/>
      <c r="RHD482" s="962"/>
      <c r="RHE482" s="962"/>
      <c r="RHF482" s="962"/>
      <c r="RHG482" s="962"/>
      <c r="RHH482" s="962"/>
      <c r="RHI482" s="962"/>
      <c r="RHJ482" s="962"/>
      <c r="RHK482" s="962"/>
      <c r="RHL482" s="962"/>
      <c r="RHM482" s="962"/>
      <c r="RHN482" s="962"/>
      <c r="RHO482" s="962"/>
      <c r="RHP482" s="962"/>
      <c r="RHQ482" s="962"/>
      <c r="RHR482" s="962"/>
      <c r="RHS482" s="962"/>
      <c r="RHT482" s="962"/>
      <c r="RHU482" s="962"/>
      <c r="RHV482" s="962"/>
      <c r="RHW482" s="962"/>
      <c r="RHX482" s="962"/>
      <c r="RHY482" s="962"/>
      <c r="RHZ482" s="962"/>
      <c r="RIA482" s="962"/>
      <c r="RIB482" s="962"/>
      <c r="RIC482" s="962"/>
      <c r="RID482" s="962"/>
      <c r="RIE482" s="962"/>
      <c r="RIF482" s="962"/>
      <c r="RIG482" s="962"/>
      <c r="RIH482" s="962"/>
      <c r="RII482" s="962"/>
      <c r="RIJ482" s="962"/>
      <c r="RIK482" s="962"/>
      <c r="RIL482" s="962"/>
      <c r="RIM482" s="962"/>
      <c r="RIN482" s="962"/>
      <c r="RIO482" s="962"/>
      <c r="RIP482" s="962"/>
      <c r="RIQ482" s="962"/>
      <c r="RIR482" s="962"/>
      <c r="RIS482" s="962"/>
      <c r="RIT482" s="962"/>
      <c r="RIU482" s="962"/>
      <c r="RIV482" s="962"/>
      <c r="RIW482" s="962"/>
      <c r="RIX482" s="962"/>
      <c r="RIY482" s="962"/>
      <c r="RIZ482" s="962"/>
      <c r="RJA482" s="962"/>
      <c r="RJB482" s="962"/>
      <c r="RJC482" s="962"/>
      <c r="RJD482" s="962"/>
      <c r="RJE482" s="962"/>
      <c r="RJF482" s="962"/>
      <c r="RJG482" s="962"/>
      <c r="RJH482" s="962"/>
      <c r="RJI482" s="962"/>
      <c r="RJJ482" s="962"/>
      <c r="RJK482" s="962"/>
      <c r="RJL482" s="962"/>
      <c r="RJM482" s="962"/>
      <c r="RJN482" s="962"/>
      <c r="RJO482" s="962"/>
      <c r="RJP482" s="962"/>
      <c r="RJQ482" s="962"/>
      <c r="RJR482" s="962"/>
      <c r="RJS482" s="962"/>
      <c r="RJT482" s="962"/>
      <c r="RJU482" s="962"/>
      <c r="RJV482" s="962"/>
      <c r="RJW482" s="962"/>
      <c r="RJX482" s="962"/>
      <c r="RJY482" s="962"/>
      <c r="RJZ482" s="962"/>
      <c r="RKA482" s="962"/>
      <c r="RKB482" s="962"/>
      <c r="RKC482" s="962"/>
      <c r="RKD482" s="962"/>
      <c r="RKE482" s="962"/>
      <c r="RKF482" s="962"/>
      <c r="RKG482" s="962"/>
      <c r="RKH482" s="962"/>
      <c r="RKI482" s="962"/>
      <c r="RKJ482" s="962"/>
      <c r="RKK482" s="962"/>
      <c r="RKL482" s="962"/>
      <c r="RKM482" s="962"/>
      <c r="RKN482" s="962"/>
      <c r="RKO482" s="962"/>
      <c r="RKP482" s="962"/>
      <c r="RKQ482" s="962"/>
      <c r="RKR482" s="962"/>
      <c r="RKS482" s="962"/>
      <c r="RKT482" s="962"/>
      <c r="RKU482" s="962"/>
      <c r="RKV482" s="962"/>
      <c r="RKW482" s="962"/>
      <c r="RKX482" s="962"/>
      <c r="RKY482" s="962"/>
      <c r="RKZ482" s="962"/>
      <c r="RLA482" s="962"/>
      <c r="RLB482" s="962"/>
      <c r="RLC482" s="962"/>
      <c r="RLD482" s="962"/>
      <c r="RLE482" s="962"/>
      <c r="RLF482" s="962"/>
      <c r="RLG482" s="962"/>
      <c r="RLH482" s="962"/>
      <c r="RLI482" s="962"/>
      <c r="RLJ482" s="962"/>
      <c r="RLK482" s="962"/>
      <c r="RLL482" s="962"/>
      <c r="RLM482" s="962"/>
      <c r="RLN482" s="962"/>
      <c r="RLO482" s="962"/>
      <c r="RLP482" s="962"/>
      <c r="RLQ482" s="962"/>
      <c r="RLR482" s="962"/>
      <c r="RLS482" s="962"/>
      <c r="RLT482" s="962"/>
      <c r="RLU482" s="962"/>
      <c r="RLV482" s="962"/>
      <c r="RLW482" s="962"/>
      <c r="RLX482" s="962"/>
      <c r="RLY482" s="962"/>
      <c r="RLZ482" s="962"/>
      <c r="RMA482" s="962"/>
      <c r="RMB482" s="962"/>
      <c r="RMC482" s="962"/>
      <c r="RMD482" s="962"/>
      <c r="RME482" s="962"/>
      <c r="RMF482" s="962"/>
      <c r="RMG482" s="962"/>
      <c r="RMH482" s="962"/>
      <c r="RMI482" s="962"/>
      <c r="RMJ482" s="962"/>
      <c r="RMK482" s="962"/>
      <c r="RML482" s="962"/>
      <c r="RMM482" s="962"/>
      <c r="RMN482" s="962"/>
      <c r="RMO482" s="962"/>
      <c r="RMP482" s="962"/>
      <c r="RMQ482" s="962"/>
      <c r="RMR482" s="962"/>
      <c r="RMS482" s="962"/>
      <c r="RMT482" s="962"/>
      <c r="RMU482" s="962"/>
      <c r="RMV482" s="962"/>
      <c r="RMW482" s="962"/>
      <c r="RMX482" s="962"/>
      <c r="RMY482" s="962"/>
      <c r="RMZ482" s="962"/>
      <c r="RNA482" s="962"/>
      <c r="RNB482" s="962"/>
      <c r="RNC482" s="962"/>
      <c r="RND482" s="962"/>
      <c r="RNE482" s="962"/>
      <c r="RNF482" s="962"/>
      <c r="RNG482" s="962"/>
      <c r="RNH482" s="962"/>
      <c r="RNI482" s="962"/>
      <c r="RNJ482" s="962"/>
      <c r="RNK482" s="962"/>
      <c r="RNL482" s="962"/>
      <c r="RNM482" s="962"/>
      <c r="RNN482" s="962"/>
      <c r="RNO482" s="962"/>
      <c r="RNP482" s="962"/>
      <c r="RNQ482" s="962"/>
      <c r="RNR482" s="962"/>
      <c r="RNS482" s="962"/>
      <c r="RNT482" s="962"/>
      <c r="RNU482" s="962"/>
      <c r="RNV482" s="962"/>
      <c r="RNW482" s="962"/>
      <c r="RNX482" s="962"/>
      <c r="RNY482" s="962"/>
      <c r="RNZ482" s="962"/>
      <c r="ROA482" s="962"/>
      <c r="ROB482" s="962"/>
      <c r="ROC482" s="962"/>
      <c r="ROD482" s="962"/>
      <c r="ROE482" s="962"/>
      <c r="ROF482" s="962"/>
      <c r="ROG482" s="962"/>
      <c r="ROH482" s="962"/>
      <c r="ROI482" s="962"/>
      <c r="ROJ482" s="962"/>
      <c r="ROK482" s="962"/>
      <c r="ROL482" s="962"/>
      <c r="ROM482" s="962"/>
      <c r="RON482" s="962"/>
      <c r="ROO482" s="962"/>
      <c r="ROP482" s="962"/>
      <c r="ROQ482" s="962"/>
      <c r="ROR482" s="962"/>
      <c r="ROS482" s="962"/>
      <c r="ROT482" s="962"/>
      <c r="ROU482" s="962"/>
      <c r="ROV482" s="962"/>
      <c r="ROW482" s="962"/>
      <c r="ROX482" s="962"/>
      <c r="ROY482" s="962"/>
      <c r="ROZ482" s="962"/>
      <c r="RPA482" s="962"/>
      <c r="RPB482" s="962"/>
      <c r="RPC482" s="962"/>
      <c r="RPD482" s="962"/>
      <c r="RPE482" s="962"/>
      <c r="RPF482" s="962"/>
      <c r="RPG482" s="962"/>
      <c r="RPH482" s="962"/>
      <c r="RPI482" s="962"/>
      <c r="RPJ482" s="962"/>
      <c r="RPK482" s="962"/>
      <c r="RPL482" s="962"/>
      <c r="RPM482" s="962"/>
      <c r="RPN482" s="962"/>
      <c r="RPO482" s="962"/>
      <c r="RPP482" s="962"/>
      <c r="RPQ482" s="962"/>
      <c r="RPR482" s="962"/>
      <c r="RPS482" s="962"/>
      <c r="RPT482" s="962"/>
      <c r="RPU482" s="962"/>
      <c r="RPV482" s="962"/>
      <c r="RPW482" s="962"/>
      <c r="RPX482" s="962"/>
      <c r="RPY482" s="962"/>
      <c r="RPZ482" s="962"/>
      <c r="RQA482" s="962"/>
      <c r="RQB482" s="962"/>
      <c r="RQC482" s="962"/>
      <c r="RQD482" s="962"/>
      <c r="RQE482" s="962"/>
      <c r="RQF482" s="962"/>
      <c r="RQG482" s="962"/>
      <c r="RQH482" s="962"/>
      <c r="RQI482" s="962"/>
      <c r="RQJ482" s="962"/>
      <c r="RQK482" s="962"/>
      <c r="RQL482" s="962"/>
      <c r="RQM482" s="962"/>
      <c r="RQN482" s="962"/>
      <c r="RQO482" s="962"/>
      <c r="RQP482" s="962"/>
      <c r="RQQ482" s="962"/>
      <c r="RQR482" s="962"/>
      <c r="RQS482" s="962"/>
      <c r="RQT482" s="962"/>
      <c r="RQU482" s="962"/>
      <c r="RQV482" s="962"/>
      <c r="RQW482" s="962"/>
      <c r="RQX482" s="962"/>
      <c r="RQY482" s="962"/>
      <c r="RQZ482" s="962"/>
      <c r="RRA482" s="962"/>
      <c r="RRB482" s="962"/>
      <c r="RRC482" s="962"/>
      <c r="RRD482" s="962"/>
      <c r="RRE482" s="962"/>
      <c r="RRF482" s="962"/>
      <c r="RRG482" s="962"/>
      <c r="RRH482" s="962"/>
      <c r="RRI482" s="962"/>
      <c r="RRJ482" s="962"/>
      <c r="RRK482" s="962"/>
      <c r="RRL482" s="962"/>
      <c r="RRM482" s="962"/>
      <c r="RRN482" s="962"/>
      <c r="RRO482" s="962"/>
      <c r="RRP482" s="962"/>
      <c r="RRQ482" s="962"/>
      <c r="RRR482" s="962"/>
      <c r="RRS482" s="962"/>
      <c r="RRT482" s="962"/>
      <c r="RRU482" s="962"/>
      <c r="RRV482" s="962"/>
      <c r="RRW482" s="962"/>
      <c r="RRX482" s="962"/>
      <c r="RRY482" s="962"/>
      <c r="RRZ482" s="962"/>
      <c r="RSA482" s="962"/>
      <c r="RSB482" s="962"/>
      <c r="RSC482" s="962"/>
      <c r="RSD482" s="962"/>
      <c r="RSE482" s="962"/>
      <c r="RSF482" s="962"/>
      <c r="RSG482" s="962"/>
      <c r="RSH482" s="962"/>
      <c r="RSI482" s="962"/>
      <c r="RSJ482" s="962"/>
      <c r="RSK482" s="962"/>
      <c r="RSL482" s="962"/>
      <c r="RSM482" s="962"/>
      <c r="RSN482" s="962"/>
      <c r="RSO482" s="962"/>
      <c r="RSP482" s="962"/>
      <c r="RSQ482" s="962"/>
      <c r="RSR482" s="962"/>
      <c r="RSS482" s="962"/>
      <c r="RST482" s="962"/>
      <c r="RSU482" s="962"/>
      <c r="RSV482" s="962"/>
      <c r="RSW482" s="962"/>
      <c r="RSX482" s="962"/>
      <c r="RSY482" s="962"/>
      <c r="RSZ482" s="962"/>
      <c r="RTA482" s="962"/>
      <c r="RTB482" s="962"/>
      <c r="RTC482" s="962"/>
      <c r="RTD482" s="962"/>
      <c r="RTE482" s="962"/>
      <c r="RTF482" s="962"/>
      <c r="RTG482" s="962"/>
      <c r="RTH482" s="962"/>
      <c r="RTI482" s="962"/>
      <c r="RTJ482" s="962"/>
      <c r="RTK482" s="962"/>
      <c r="RTL482" s="962"/>
      <c r="RTM482" s="962"/>
      <c r="RTN482" s="962"/>
      <c r="RTO482" s="962"/>
      <c r="RTP482" s="962"/>
      <c r="RTQ482" s="962"/>
      <c r="RTR482" s="962"/>
      <c r="RTS482" s="962"/>
      <c r="RTT482" s="962"/>
      <c r="RTU482" s="962"/>
      <c r="RTV482" s="962"/>
      <c r="RTW482" s="962"/>
      <c r="RTX482" s="962"/>
      <c r="RTY482" s="962"/>
      <c r="RTZ482" s="962"/>
      <c r="RUA482" s="962"/>
      <c r="RUB482" s="962"/>
      <c r="RUC482" s="962"/>
      <c r="RUD482" s="962"/>
      <c r="RUE482" s="962"/>
      <c r="RUF482" s="962"/>
      <c r="RUG482" s="962"/>
      <c r="RUH482" s="962"/>
      <c r="RUI482" s="962"/>
      <c r="RUJ482" s="962"/>
      <c r="RUK482" s="962"/>
      <c r="RUL482" s="962"/>
      <c r="RUM482" s="962"/>
      <c r="RUN482" s="962"/>
      <c r="RUO482" s="962"/>
      <c r="RUP482" s="962"/>
      <c r="RUQ482" s="962"/>
      <c r="RUR482" s="962"/>
      <c r="RUS482" s="962"/>
      <c r="RUT482" s="962"/>
      <c r="RUU482" s="962"/>
      <c r="RUV482" s="962"/>
      <c r="RUW482" s="962"/>
      <c r="RUX482" s="962"/>
      <c r="RUY482" s="962"/>
      <c r="RUZ482" s="962"/>
      <c r="RVA482" s="962"/>
      <c r="RVB482" s="962"/>
      <c r="RVC482" s="962"/>
      <c r="RVD482" s="962"/>
      <c r="RVE482" s="962"/>
      <c r="RVF482" s="962"/>
      <c r="RVG482" s="962"/>
      <c r="RVH482" s="962"/>
      <c r="RVI482" s="962"/>
      <c r="RVJ482" s="962"/>
      <c r="RVK482" s="962"/>
      <c r="RVL482" s="962"/>
      <c r="RVM482" s="962"/>
      <c r="RVN482" s="962"/>
      <c r="RVO482" s="962"/>
      <c r="RVP482" s="962"/>
      <c r="RVQ482" s="962"/>
      <c r="RVR482" s="962"/>
      <c r="RVS482" s="962"/>
      <c r="RVT482" s="962"/>
      <c r="RVU482" s="962"/>
      <c r="RVV482" s="962"/>
      <c r="RVW482" s="962"/>
      <c r="RVX482" s="962"/>
      <c r="RVY482" s="962"/>
      <c r="RVZ482" s="962"/>
      <c r="RWA482" s="962"/>
      <c r="RWB482" s="962"/>
      <c r="RWC482" s="962"/>
      <c r="RWD482" s="962"/>
      <c r="RWE482" s="962"/>
      <c r="RWF482" s="962"/>
      <c r="RWG482" s="962"/>
      <c r="RWH482" s="962"/>
      <c r="RWI482" s="962"/>
      <c r="RWJ482" s="962"/>
      <c r="RWK482" s="962"/>
      <c r="RWL482" s="962"/>
      <c r="RWM482" s="962"/>
      <c r="RWN482" s="962"/>
      <c r="RWO482" s="962"/>
      <c r="RWP482" s="962"/>
      <c r="RWQ482" s="962"/>
      <c r="RWR482" s="962"/>
      <c r="RWS482" s="962"/>
      <c r="RWT482" s="962"/>
      <c r="RWU482" s="962"/>
      <c r="RWV482" s="962"/>
      <c r="RWW482" s="962"/>
      <c r="RWX482" s="962"/>
      <c r="RWY482" s="962"/>
      <c r="RWZ482" s="962"/>
      <c r="RXA482" s="962"/>
      <c r="RXB482" s="962"/>
      <c r="RXC482" s="962"/>
      <c r="RXD482" s="962"/>
      <c r="RXE482" s="962"/>
      <c r="RXF482" s="962"/>
      <c r="RXG482" s="962"/>
      <c r="RXH482" s="962"/>
      <c r="RXI482" s="962"/>
      <c r="RXJ482" s="962"/>
      <c r="RXK482" s="962"/>
      <c r="RXL482" s="962"/>
      <c r="RXM482" s="962"/>
      <c r="RXN482" s="962"/>
      <c r="RXO482" s="962"/>
      <c r="RXP482" s="962"/>
      <c r="RXQ482" s="962"/>
      <c r="RXR482" s="962"/>
      <c r="RXS482" s="962"/>
      <c r="RXT482" s="962"/>
      <c r="RXU482" s="962"/>
      <c r="RXV482" s="962"/>
      <c r="RXW482" s="962"/>
      <c r="RXX482" s="962"/>
      <c r="RXY482" s="962"/>
      <c r="RXZ482" s="962"/>
      <c r="RYA482" s="962"/>
      <c r="RYB482" s="962"/>
      <c r="RYC482" s="962"/>
      <c r="RYD482" s="962"/>
      <c r="RYE482" s="962"/>
      <c r="RYF482" s="962"/>
      <c r="RYG482" s="962"/>
      <c r="RYH482" s="962"/>
      <c r="RYI482" s="962"/>
      <c r="RYJ482" s="962"/>
      <c r="RYK482" s="962"/>
      <c r="RYL482" s="962"/>
      <c r="RYM482" s="962"/>
      <c r="RYN482" s="962"/>
      <c r="RYO482" s="962"/>
      <c r="RYP482" s="962"/>
      <c r="RYQ482" s="962"/>
      <c r="RYR482" s="962"/>
      <c r="RYS482" s="962"/>
      <c r="RYT482" s="962"/>
      <c r="RYU482" s="962"/>
      <c r="RYV482" s="962"/>
      <c r="RYW482" s="962"/>
      <c r="RYX482" s="962"/>
      <c r="RYY482" s="962"/>
      <c r="RYZ482" s="962"/>
      <c r="RZA482" s="962"/>
      <c r="RZB482" s="962"/>
      <c r="RZC482" s="962"/>
      <c r="RZD482" s="962"/>
      <c r="RZE482" s="962"/>
      <c r="RZF482" s="962"/>
      <c r="RZG482" s="962"/>
      <c r="RZH482" s="962"/>
      <c r="RZI482" s="962"/>
      <c r="RZJ482" s="962"/>
      <c r="RZK482" s="962"/>
      <c r="RZL482" s="962"/>
      <c r="RZM482" s="962"/>
      <c r="RZN482" s="962"/>
      <c r="RZO482" s="962"/>
      <c r="RZP482" s="962"/>
      <c r="RZQ482" s="962"/>
      <c r="RZR482" s="962"/>
      <c r="RZS482" s="962"/>
      <c r="RZT482" s="962"/>
      <c r="RZU482" s="962"/>
      <c r="RZV482" s="962"/>
      <c r="RZW482" s="962"/>
      <c r="RZX482" s="962"/>
      <c r="RZY482" s="962"/>
      <c r="RZZ482" s="962"/>
      <c r="SAA482" s="962"/>
      <c r="SAB482" s="962"/>
      <c r="SAC482" s="962"/>
      <c r="SAD482" s="962"/>
      <c r="SAE482" s="962"/>
      <c r="SAF482" s="962"/>
      <c r="SAG482" s="962"/>
      <c r="SAH482" s="962"/>
      <c r="SAI482" s="962"/>
      <c r="SAJ482" s="962"/>
      <c r="SAK482" s="962"/>
      <c r="SAL482" s="962"/>
      <c r="SAM482" s="962"/>
      <c r="SAN482" s="962"/>
      <c r="SAO482" s="962"/>
      <c r="SAP482" s="962"/>
      <c r="SAQ482" s="962"/>
      <c r="SAR482" s="962"/>
      <c r="SAS482" s="962"/>
      <c r="SAT482" s="962"/>
      <c r="SAU482" s="962"/>
      <c r="SAV482" s="962"/>
      <c r="SAW482" s="962"/>
      <c r="SAX482" s="962"/>
      <c r="SAY482" s="962"/>
      <c r="SAZ482" s="962"/>
      <c r="SBA482" s="962"/>
      <c r="SBB482" s="962"/>
      <c r="SBC482" s="962"/>
      <c r="SBD482" s="962"/>
      <c r="SBE482" s="962"/>
      <c r="SBF482" s="962"/>
      <c r="SBG482" s="962"/>
      <c r="SBH482" s="962"/>
      <c r="SBI482" s="962"/>
      <c r="SBJ482" s="962"/>
      <c r="SBK482" s="962"/>
      <c r="SBL482" s="962"/>
      <c r="SBM482" s="962"/>
      <c r="SBN482" s="962"/>
      <c r="SBO482" s="962"/>
      <c r="SBP482" s="962"/>
      <c r="SBQ482" s="962"/>
      <c r="SBR482" s="962"/>
      <c r="SBS482" s="962"/>
      <c r="SBT482" s="962"/>
      <c r="SBU482" s="962"/>
      <c r="SBV482" s="962"/>
      <c r="SBW482" s="962"/>
      <c r="SBX482" s="962"/>
      <c r="SBY482" s="962"/>
      <c r="SBZ482" s="962"/>
      <c r="SCA482" s="962"/>
      <c r="SCB482" s="962"/>
      <c r="SCC482" s="962"/>
      <c r="SCD482" s="962"/>
      <c r="SCE482" s="962"/>
      <c r="SCF482" s="962"/>
      <c r="SCG482" s="962"/>
      <c r="SCH482" s="962"/>
      <c r="SCI482" s="962"/>
      <c r="SCJ482" s="962"/>
      <c r="SCK482" s="962"/>
      <c r="SCL482" s="962"/>
      <c r="SCM482" s="962"/>
      <c r="SCN482" s="962"/>
      <c r="SCO482" s="962"/>
      <c r="SCP482" s="962"/>
      <c r="SCQ482" s="962"/>
      <c r="SCR482" s="962"/>
      <c r="SCS482" s="962"/>
      <c r="SCT482" s="962"/>
      <c r="SCU482" s="962"/>
      <c r="SCV482" s="962"/>
      <c r="SCW482" s="962"/>
      <c r="SCX482" s="962"/>
      <c r="SCY482" s="962"/>
      <c r="SCZ482" s="962"/>
      <c r="SDA482" s="962"/>
      <c r="SDB482" s="962"/>
      <c r="SDC482" s="962"/>
      <c r="SDD482" s="962"/>
      <c r="SDE482" s="962"/>
      <c r="SDF482" s="962"/>
      <c r="SDG482" s="962"/>
      <c r="SDH482" s="962"/>
      <c r="SDI482" s="962"/>
      <c r="SDJ482" s="962"/>
      <c r="SDK482" s="962"/>
      <c r="SDL482" s="962"/>
      <c r="SDM482" s="962"/>
      <c r="SDN482" s="962"/>
      <c r="SDO482" s="962"/>
      <c r="SDP482" s="962"/>
      <c r="SDQ482" s="962"/>
      <c r="SDR482" s="962"/>
      <c r="SDS482" s="962"/>
      <c r="SDT482" s="962"/>
      <c r="SDU482" s="962"/>
      <c r="SDV482" s="962"/>
      <c r="SDW482" s="962"/>
      <c r="SDX482" s="962"/>
      <c r="SDY482" s="962"/>
      <c r="SDZ482" s="962"/>
      <c r="SEA482" s="962"/>
      <c r="SEB482" s="962"/>
      <c r="SEC482" s="962"/>
      <c r="SED482" s="962"/>
      <c r="SEE482" s="962"/>
      <c r="SEF482" s="962"/>
      <c r="SEG482" s="962"/>
      <c r="SEH482" s="962"/>
      <c r="SEI482" s="962"/>
      <c r="SEJ482" s="962"/>
      <c r="SEK482" s="962"/>
      <c r="SEL482" s="962"/>
      <c r="SEM482" s="962"/>
      <c r="SEN482" s="962"/>
      <c r="SEO482" s="962"/>
      <c r="SEP482" s="962"/>
      <c r="SEQ482" s="962"/>
      <c r="SER482" s="962"/>
      <c r="SES482" s="962"/>
      <c r="SET482" s="962"/>
      <c r="SEU482" s="962"/>
      <c r="SEV482" s="962"/>
      <c r="SEW482" s="962"/>
      <c r="SEX482" s="962"/>
      <c r="SEY482" s="962"/>
      <c r="SEZ482" s="962"/>
      <c r="SFA482" s="962"/>
      <c r="SFB482" s="962"/>
      <c r="SFC482" s="962"/>
      <c r="SFD482" s="962"/>
      <c r="SFE482" s="962"/>
      <c r="SFF482" s="962"/>
      <c r="SFG482" s="962"/>
      <c r="SFH482" s="962"/>
      <c r="SFI482" s="962"/>
      <c r="SFJ482" s="962"/>
      <c r="SFK482" s="962"/>
      <c r="SFL482" s="962"/>
      <c r="SFM482" s="962"/>
      <c r="SFN482" s="962"/>
      <c r="SFO482" s="962"/>
      <c r="SFP482" s="962"/>
      <c r="SFQ482" s="962"/>
      <c r="SFR482" s="962"/>
      <c r="SFS482" s="962"/>
      <c r="SFT482" s="962"/>
      <c r="SFU482" s="962"/>
      <c r="SFV482" s="962"/>
      <c r="SFW482" s="962"/>
      <c r="SFX482" s="962"/>
      <c r="SFY482" s="962"/>
      <c r="SFZ482" s="962"/>
      <c r="SGA482" s="962"/>
      <c r="SGB482" s="962"/>
      <c r="SGC482" s="962"/>
      <c r="SGD482" s="962"/>
      <c r="SGE482" s="962"/>
      <c r="SGF482" s="962"/>
      <c r="SGG482" s="962"/>
      <c r="SGH482" s="962"/>
      <c r="SGI482" s="962"/>
      <c r="SGJ482" s="962"/>
      <c r="SGK482" s="962"/>
      <c r="SGL482" s="962"/>
      <c r="SGM482" s="962"/>
      <c r="SGN482" s="962"/>
      <c r="SGO482" s="962"/>
      <c r="SGP482" s="962"/>
      <c r="SGQ482" s="962"/>
      <c r="SGR482" s="962"/>
      <c r="SGS482" s="962"/>
      <c r="SGT482" s="962"/>
      <c r="SGU482" s="962"/>
      <c r="SGV482" s="962"/>
      <c r="SGW482" s="962"/>
      <c r="SGX482" s="962"/>
      <c r="SGY482" s="962"/>
      <c r="SGZ482" s="962"/>
      <c r="SHA482" s="962"/>
      <c r="SHB482" s="962"/>
      <c r="SHC482" s="962"/>
      <c r="SHD482" s="962"/>
      <c r="SHE482" s="962"/>
      <c r="SHF482" s="962"/>
      <c r="SHG482" s="962"/>
      <c r="SHH482" s="962"/>
      <c r="SHI482" s="962"/>
      <c r="SHJ482" s="962"/>
      <c r="SHK482" s="962"/>
      <c r="SHL482" s="962"/>
      <c r="SHM482" s="962"/>
      <c r="SHN482" s="962"/>
      <c r="SHO482" s="962"/>
      <c r="SHP482" s="962"/>
      <c r="SHQ482" s="962"/>
      <c r="SHR482" s="962"/>
      <c r="SHS482" s="962"/>
      <c r="SHT482" s="962"/>
      <c r="SHU482" s="962"/>
      <c r="SHV482" s="962"/>
      <c r="SHW482" s="962"/>
      <c r="SHX482" s="962"/>
      <c r="SHY482" s="962"/>
      <c r="SHZ482" s="962"/>
      <c r="SIA482" s="962"/>
      <c r="SIB482" s="962"/>
      <c r="SIC482" s="962"/>
      <c r="SID482" s="962"/>
      <c r="SIE482" s="962"/>
      <c r="SIF482" s="962"/>
      <c r="SIG482" s="962"/>
      <c r="SIH482" s="962"/>
      <c r="SII482" s="962"/>
      <c r="SIJ482" s="962"/>
      <c r="SIK482" s="962"/>
      <c r="SIL482" s="962"/>
      <c r="SIM482" s="962"/>
      <c r="SIN482" s="962"/>
      <c r="SIO482" s="962"/>
      <c r="SIP482" s="962"/>
      <c r="SIQ482" s="962"/>
      <c r="SIR482" s="962"/>
      <c r="SIS482" s="962"/>
      <c r="SIT482" s="962"/>
      <c r="SIU482" s="962"/>
      <c r="SIV482" s="962"/>
      <c r="SIW482" s="962"/>
      <c r="SIX482" s="962"/>
      <c r="SIY482" s="962"/>
      <c r="SIZ482" s="962"/>
      <c r="SJA482" s="962"/>
      <c r="SJB482" s="962"/>
      <c r="SJC482" s="962"/>
      <c r="SJD482" s="962"/>
      <c r="SJE482" s="962"/>
      <c r="SJF482" s="962"/>
      <c r="SJG482" s="962"/>
      <c r="SJH482" s="962"/>
      <c r="SJI482" s="962"/>
      <c r="SJJ482" s="962"/>
      <c r="SJK482" s="962"/>
      <c r="SJL482" s="962"/>
      <c r="SJM482" s="962"/>
      <c r="SJN482" s="962"/>
      <c r="SJO482" s="962"/>
      <c r="SJP482" s="962"/>
      <c r="SJQ482" s="962"/>
      <c r="SJR482" s="962"/>
      <c r="SJS482" s="962"/>
      <c r="SJT482" s="962"/>
      <c r="SJU482" s="962"/>
      <c r="SJV482" s="962"/>
      <c r="SJW482" s="962"/>
      <c r="SJX482" s="962"/>
      <c r="SJY482" s="962"/>
      <c r="SJZ482" s="962"/>
      <c r="SKA482" s="962"/>
      <c r="SKB482" s="962"/>
      <c r="SKC482" s="962"/>
      <c r="SKD482" s="962"/>
      <c r="SKE482" s="962"/>
      <c r="SKF482" s="962"/>
      <c r="SKG482" s="962"/>
      <c r="SKH482" s="962"/>
      <c r="SKI482" s="962"/>
      <c r="SKJ482" s="962"/>
      <c r="SKK482" s="962"/>
      <c r="SKL482" s="962"/>
      <c r="SKM482" s="962"/>
      <c r="SKN482" s="962"/>
      <c r="SKO482" s="962"/>
      <c r="SKP482" s="962"/>
      <c r="SKQ482" s="962"/>
      <c r="SKR482" s="962"/>
      <c r="SKS482" s="962"/>
      <c r="SKT482" s="962"/>
      <c r="SKU482" s="962"/>
      <c r="SKV482" s="962"/>
      <c r="SKW482" s="962"/>
      <c r="SKX482" s="962"/>
      <c r="SKY482" s="962"/>
      <c r="SKZ482" s="962"/>
      <c r="SLA482" s="962"/>
      <c r="SLB482" s="962"/>
      <c r="SLC482" s="962"/>
      <c r="SLD482" s="962"/>
      <c r="SLE482" s="962"/>
      <c r="SLF482" s="962"/>
      <c r="SLG482" s="962"/>
      <c r="SLH482" s="962"/>
      <c r="SLI482" s="962"/>
      <c r="SLJ482" s="962"/>
      <c r="SLK482" s="962"/>
      <c r="SLL482" s="962"/>
      <c r="SLM482" s="962"/>
      <c r="SLN482" s="962"/>
      <c r="SLO482" s="962"/>
      <c r="SLP482" s="962"/>
      <c r="SLQ482" s="962"/>
      <c r="SLR482" s="962"/>
      <c r="SLS482" s="962"/>
      <c r="SLT482" s="962"/>
      <c r="SLU482" s="962"/>
      <c r="SLV482" s="962"/>
      <c r="SLW482" s="962"/>
      <c r="SLX482" s="962"/>
      <c r="SLY482" s="962"/>
      <c r="SLZ482" s="962"/>
      <c r="SMA482" s="962"/>
      <c r="SMB482" s="962"/>
      <c r="SMC482" s="962"/>
      <c r="SMD482" s="962"/>
      <c r="SME482" s="962"/>
      <c r="SMF482" s="962"/>
      <c r="SMG482" s="962"/>
      <c r="SMH482" s="962"/>
      <c r="SMI482" s="962"/>
      <c r="SMJ482" s="962"/>
      <c r="SMK482" s="962"/>
      <c r="SML482" s="962"/>
      <c r="SMM482" s="962"/>
      <c r="SMN482" s="962"/>
      <c r="SMO482" s="962"/>
      <c r="SMP482" s="962"/>
      <c r="SMQ482" s="962"/>
      <c r="SMR482" s="962"/>
      <c r="SMS482" s="962"/>
      <c r="SMT482" s="962"/>
      <c r="SMU482" s="962"/>
      <c r="SMV482" s="962"/>
      <c r="SMW482" s="962"/>
      <c r="SMX482" s="962"/>
      <c r="SMY482" s="962"/>
      <c r="SMZ482" s="962"/>
      <c r="SNA482" s="962"/>
      <c r="SNB482" s="962"/>
      <c r="SNC482" s="962"/>
      <c r="SND482" s="962"/>
      <c r="SNE482" s="962"/>
      <c r="SNF482" s="962"/>
      <c r="SNG482" s="962"/>
      <c r="SNH482" s="962"/>
      <c r="SNI482" s="962"/>
      <c r="SNJ482" s="962"/>
      <c r="SNK482" s="962"/>
      <c r="SNL482" s="962"/>
      <c r="SNM482" s="962"/>
      <c r="SNN482" s="962"/>
      <c r="SNO482" s="962"/>
      <c r="SNP482" s="962"/>
      <c r="SNQ482" s="962"/>
      <c r="SNR482" s="962"/>
      <c r="SNS482" s="962"/>
      <c r="SNT482" s="962"/>
      <c r="SNU482" s="962"/>
      <c r="SNV482" s="962"/>
      <c r="SNW482" s="962"/>
      <c r="SNX482" s="962"/>
      <c r="SNY482" s="962"/>
      <c r="SNZ482" s="962"/>
      <c r="SOA482" s="962"/>
      <c r="SOB482" s="962"/>
      <c r="SOC482" s="962"/>
      <c r="SOD482" s="962"/>
      <c r="SOE482" s="962"/>
      <c r="SOF482" s="962"/>
      <c r="SOG482" s="962"/>
      <c r="SOH482" s="962"/>
      <c r="SOI482" s="962"/>
      <c r="SOJ482" s="962"/>
      <c r="SOK482" s="962"/>
      <c r="SOL482" s="962"/>
      <c r="SOM482" s="962"/>
      <c r="SON482" s="962"/>
      <c r="SOO482" s="962"/>
      <c r="SOP482" s="962"/>
      <c r="SOQ482" s="962"/>
      <c r="SOR482" s="962"/>
      <c r="SOS482" s="962"/>
      <c r="SOT482" s="962"/>
      <c r="SOU482" s="962"/>
      <c r="SOV482" s="962"/>
      <c r="SOW482" s="962"/>
      <c r="SOX482" s="962"/>
      <c r="SOY482" s="962"/>
      <c r="SOZ482" s="962"/>
      <c r="SPA482" s="962"/>
      <c r="SPB482" s="962"/>
      <c r="SPC482" s="962"/>
      <c r="SPD482" s="962"/>
      <c r="SPE482" s="962"/>
      <c r="SPF482" s="962"/>
      <c r="SPG482" s="962"/>
      <c r="SPH482" s="962"/>
      <c r="SPI482" s="962"/>
      <c r="SPJ482" s="962"/>
      <c r="SPK482" s="962"/>
      <c r="SPL482" s="962"/>
      <c r="SPM482" s="962"/>
      <c r="SPN482" s="962"/>
      <c r="SPO482" s="962"/>
      <c r="SPP482" s="962"/>
      <c r="SPQ482" s="962"/>
      <c r="SPR482" s="962"/>
      <c r="SPS482" s="962"/>
      <c r="SPT482" s="962"/>
      <c r="SPU482" s="962"/>
      <c r="SPV482" s="962"/>
      <c r="SPW482" s="962"/>
      <c r="SPX482" s="962"/>
      <c r="SPY482" s="962"/>
      <c r="SPZ482" s="962"/>
      <c r="SQA482" s="962"/>
      <c r="SQB482" s="962"/>
      <c r="SQC482" s="962"/>
      <c r="SQD482" s="962"/>
      <c r="SQE482" s="962"/>
      <c r="SQF482" s="962"/>
      <c r="SQG482" s="962"/>
      <c r="SQH482" s="962"/>
      <c r="SQI482" s="962"/>
      <c r="SQJ482" s="962"/>
      <c r="SQK482" s="962"/>
      <c r="SQL482" s="962"/>
      <c r="SQM482" s="962"/>
      <c r="SQN482" s="962"/>
      <c r="SQO482" s="962"/>
      <c r="SQP482" s="962"/>
      <c r="SQQ482" s="962"/>
      <c r="SQR482" s="962"/>
      <c r="SQS482" s="962"/>
      <c r="SQT482" s="962"/>
      <c r="SQU482" s="962"/>
      <c r="SQV482" s="962"/>
      <c r="SQW482" s="962"/>
      <c r="SQX482" s="962"/>
      <c r="SQY482" s="962"/>
      <c r="SQZ482" s="962"/>
      <c r="SRA482" s="962"/>
      <c r="SRB482" s="962"/>
      <c r="SRC482" s="962"/>
      <c r="SRD482" s="962"/>
      <c r="SRE482" s="962"/>
      <c r="SRF482" s="962"/>
      <c r="SRG482" s="962"/>
      <c r="SRH482" s="962"/>
      <c r="SRI482" s="962"/>
      <c r="SRJ482" s="962"/>
      <c r="SRK482" s="962"/>
      <c r="SRL482" s="962"/>
      <c r="SRM482" s="962"/>
      <c r="SRN482" s="962"/>
      <c r="SRO482" s="962"/>
      <c r="SRP482" s="962"/>
      <c r="SRQ482" s="962"/>
      <c r="SRR482" s="962"/>
      <c r="SRS482" s="962"/>
      <c r="SRT482" s="962"/>
      <c r="SRU482" s="962"/>
      <c r="SRV482" s="962"/>
      <c r="SRW482" s="962"/>
      <c r="SRX482" s="962"/>
      <c r="SRY482" s="962"/>
      <c r="SRZ482" s="962"/>
      <c r="SSA482" s="962"/>
      <c r="SSB482" s="962"/>
      <c r="SSC482" s="962"/>
      <c r="SSD482" s="962"/>
      <c r="SSE482" s="962"/>
      <c r="SSF482" s="962"/>
      <c r="SSG482" s="962"/>
      <c r="SSH482" s="962"/>
      <c r="SSI482" s="962"/>
      <c r="SSJ482" s="962"/>
      <c r="SSK482" s="962"/>
      <c r="SSL482" s="962"/>
      <c r="SSM482" s="962"/>
      <c r="SSN482" s="962"/>
      <c r="SSO482" s="962"/>
      <c r="SSP482" s="962"/>
      <c r="SSQ482" s="962"/>
      <c r="SSR482" s="962"/>
      <c r="SSS482" s="962"/>
      <c r="SST482" s="962"/>
      <c r="SSU482" s="962"/>
      <c r="SSV482" s="962"/>
      <c r="SSW482" s="962"/>
      <c r="SSX482" s="962"/>
      <c r="SSY482" s="962"/>
      <c r="SSZ482" s="962"/>
      <c r="STA482" s="962"/>
      <c r="STB482" s="962"/>
      <c r="STC482" s="962"/>
      <c r="STD482" s="962"/>
      <c r="STE482" s="962"/>
      <c r="STF482" s="962"/>
      <c r="STG482" s="962"/>
      <c r="STH482" s="962"/>
      <c r="STI482" s="962"/>
      <c r="STJ482" s="962"/>
      <c r="STK482" s="962"/>
      <c r="STL482" s="962"/>
      <c r="STM482" s="962"/>
      <c r="STN482" s="962"/>
      <c r="STO482" s="962"/>
      <c r="STP482" s="962"/>
      <c r="STQ482" s="962"/>
      <c r="STR482" s="962"/>
      <c r="STS482" s="962"/>
      <c r="STT482" s="962"/>
      <c r="STU482" s="962"/>
      <c r="STV482" s="962"/>
      <c r="STW482" s="962"/>
      <c r="STX482" s="962"/>
      <c r="STY482" s="962"/>
      <c r="STZ482" s="962"/>
      <c r="SUA482" s="962"/>
      <c r="SUB482" s="962"/>
      <c r="SUC482" s="962"/>
      <c r="SUD482" s="962"/>
      <c r="SUE482" s="962"/>
      <c r="SUF482" s="962"/>
      <c r="SUG482" s="962"/>
      <c r="SUH482" s="962"/>
      <c r="SUI482" s="962"/>
      <c r="SUJ482" s="962"/>
      <c r="SUK482" s="962"/>
      <c r="SUL482" s="962"/>
      <c r="SUM482" s="962"/>
      <c r="SUN482" s="962"/>
      <c r="SUO482" s="962"/>
      <c r="SUP482" s="962"/>
      <c r="SUQ482" s="962"/>
      <c r="SUR482" s="962"/>
      <c r="SUS482" s="962"/>
      <c r="SUT482" s="962"/>
      <c r="SUU482" s="962"/>
      <c r="SUV482" s="962"/>
      <c r="SUW482" s="962"/>
      <c r="SUX482" s="962"/>
      <c r="SUY482" s="962"/>
      <c r="SUZ482" s="962"/>
      <c r="SVA482" s="962"/>
      <c r="SVB482" s="962"/>
      <c r="SVC482" s="962"/>
      <c r="SVD482" s="962"/>
      <c r="SVE482" s="962"/>
      <c r="SVF482" s="962"/>
      <c r="SVG482" s="962"/>
      <c r="SVH482" s="962"/>
      <c r="SVI482" s="962"/>
      <c r="SVJ482" s="962"/>
      <c r="SVK482" s="962"/>
      <c r="SVL482" s="962"/>
      <c r="SVM482" s="962"/>
      <c r="SVN482" s="962"/>
      <c r="SVO482" s="962"/>
      <c r="SVP482" s="962"/>
      <c r="SVQ482" s="962"/>
      <c r="SVR482" s="962"/>
      <c r="SVS482" s="962"/>
      <c r="SVT482" s="962"/>
      <c r="SVU482" s="962"/>
      <c r="SVV482" s="962"/>
      <c r="SVW482" s="962"/>
      <c r="SVX482" s="962"/>
      <c r="SVY482" s="962"/>
      <c r="SVZ482" s="962"/>
      <c r="SWA482" s="962"/>
      <c r="SWB482" s="962"/>
      <c r="SWC482" s="962"/>
      <c r="SWD482" s="962"/>
      <c r="SWE482" s="962"/>
      <c r="SWF482" s="962"/>
      <c r="SWG482" s="962"/>
      <c r="SWH482" s="962"/>
      <c r="SWI482" s="962"/>
      <c r="SWJ482" s="962"/>
      <c r="SWK482" s="962"/>
      <c r="SWL482" s="962"/>
      <c r="SWM482" s="962"/>
      <c r="SWN482" s="962"/>
      <c r="SWO482" s="962"/>
      <c r="SWP482" s="962"/>
      <c r="SWQ482" s="962"/>
      <c r="SWR482" s="962"/>
      <c r="SWS482" s="962"/>
      <c r="SWT482" s="962"/>
      <c r="SWU482" s="962"/>
      <c r="SWV482" s="962"/>
      <c r="SWW482" s="962"/>
      <c r="SWX482" s="962"/>
      <c r="SWY482" s="962"/>
      <c r="SWZ482" s="962"/>
      <c r="SXA482" s="962"/>
      <c r="SXB482" s="962"/>
      <c r="SXC482" s="962"/>
      <c r="SXD482" s="962"/>
      <c r="SXE482" s="962"/>
      <c r="SXF482" s="962"/>
      <c r="SXG482" s="962"/>
      <c r="SXH482" s="962"/>
      <c r="SXI482" s="962"/>
      <c r="SXJ482" s="962"/>
      <c r="SXK482" s="962"/>
      <c r="SXL482" s="962"/>
      <c r="SXM482" s="962"/>
      <c r="SXN482" s="962"/>
      <c r="SXO482" s="962"/>
      <c r="SXP482" s="962"/>
      <c r="SXQ482" s="962"/>
      <c r="SXR482" s="962"/>
      <c r="SXS482" s="962"/>
      <c r="SXT482" s="962"/>
      <c r="SXU482" s="962"/>
      <c r="SXV482" s="962"/>
      <c r="SXW482" s="962"/>
      <c r="SXX482" s="962"/>
      <c r="SXY482" s="962"/>
      <c r="SXZ482" s="962"/>
      <c r="SYA482" s="962"/>
      <c r="SYB482" s="962"/>
      <c r="SYC482" s="962"/>
      <c r="SYD482" s="962"/>
      <c r="SYE482" s="962"/>
      <c r="SYF482" s="962"/>
      <c r="SYG482" s="962"/>
      <c r="SYH482" s="962"/>
      <c r="SYI482" s="962"/>
      <c r="SYJ482" s="962"/>
      <c r="SYK482" s="962"/>
      <c r="SYL482" s="962"/>
      <c r="SYM482" s="962"/>
      <c r="SYN482" s="962"/>
      <c r="SYO482" s="962"/>
      <c r="SYP482" s="962"/>
      <c r="SYQ482" s="962"/>
      <c r="SYR482" s="962"/>
      <c r="SYS482" s="962"/>
      <c r="SYT482" s="962"/>
      <c r="SYU482" s="962"/>
      <c r="SYV482" s="962"/>
      <c r="SYW482" s="962"/>
      <c r="SYX482" s="962"/>
      <c r="SYY482" s="962"/>
      <c r="SYZ482" s="962"/>
      <c r="SZA482" s="962"/>
      <c r="SZB482" s="962"/>
      <c r="SZC482" s="962"/>
      <c r="SZD482" s="962"/>
      <c r="SZE482" s="962"/>
      <c r="SZF482" s="962"/>
      <c r="SZG482" s="962"/>
      <c r="SZH482" s="962"/>
      <c r="SZI482" s="962"/>
      <c r="SZJ482" s="962"/>
      <c r="SZK482" s="962"/>
      <c r="SZL482" s="962"/>
      <c r="SZM482" s="962"/>
      <c r="SZN482" s="962"/>
      <c r="SZO482" s="962"/>
      <c r="SZP482" s="962"/>
      <c r="SZQ482" s="962"/>
      <c r="SZR482" s="962"/>
      <c r="SZS482" s="962"/>
      <c r="SZT482" s="962"/>
      <c r="SZU482" s="962"/>
      <c r="SZV482" s="962"/>
      <c r="SZW482" s="962"/>
      <c r="SZX482" s="962"/>
      <c r="SZY482" s="962"/>
      <c r="SZZ482" s="962"/>
      <c r="TAA482" s="962"/>
      <c r="TAB482" s="962"/>
      <c r="TAC482" s="962"/>
      <c r="TAD482" s="962"/>
      <c r="TAE482" s="962"/>
      <c r="TAF482" s="962"/>
      <c r="TAG482" s="962"/>
      <c r="TAH482" s="962"/>
      <c r="TAI482" s="962"/>
      <c r="TAJ482" s="962"/>
      <c r="TAK482" s="962"/>
      <c r="TAL482" s="962"/>
      <c r="TAM482" s="962"/>
      <c r="TAN482" s="962"/>
      <c r="TAO482" s="962"/>
      <c r="TAP482" s="962"/>
      <c r="TAQ482" s="962"/>
      <c r="TAR482" s="962"/>
      <c r="TAS482" s="962"/>
      <c r="TAT482" s="962"/>
      <c r="TAU482" s="962"/>
      <c r="TAV482" s="962"/>
      <c r="TAW482" s="962"/>
      <c r="TAX482" s="962"/>
      <c r="TAY482" s="962"/>
      <c r="TAZ482" s="962"/>
      <c r="TBA482" s="962"/>
      <c r="TBB482" s="962"/>
      <c r="TBC482" s="962"/>
      <c r="TBD482" s="962"/>
      <c r="TBE482" s="962"/>
      <c r="TBF482" s="962"/>
      <c r="TBG482" s="962"/>
      <c r="TBH482" s="962"/>
      <c r="TBI482" s="962"/>
      <c r="TBJ482" s="962"/>
      <c r="TBK482" s="962"/>
      <c r="TBL482" s="962"/>
      <c r="TBM482" s="962"/>
      <c r="TBN482" s="962"/>
      <c r="TBO482" s="962"/>
      <c r="TBP482" s="962"/>
      <c r="TBQ482" s="962"/>
      <c r="TBR482" s="962"/>
      <c r="TBS482" s="962"/>
      <c r="TBT482" s="962"/>
      <c r="TBU482" s="962"/>
      <c r="TBV482" s="962"/>
      <c r="TBW482" s="962"/>
      <c r="TBX482" s="962"/>
      <c r="TBY482" s="962"/>
      <c r="TBZ482" s="962"/>
      <c r="TCA482" s="962"/>
      <c r="TCB482" s="962"/>
      <c r="TCC482" s="962"/>
      <c r="TCD482" s="962"/>
      <c r="TCE482" s="962"/>
      <c r="TCF482" s="962"/>
      <c r="TCG482" s="962"/>
      <c r="TCH482" s="962"/>
      <c r="TCI482" s="962"/>
      <c r="TCJ482" s="962"/>
      <c r="TCK482" s="962"/>
      <c r="TCL482" s="962"/>
      <c r="TCM482" s="962"/>
      <c r="TCN482" s="962"/>
      <c r="TCO482" s="962"/>
      <c r="TCP482" s="962"/>
      <c r="TCQ482" s="962"/>
      <c r="TCR482" s="962"/>
      <c r="TCS482" s="962"/>
      <c r="TCT482" s="962"/>
      <c r="TCU482" s="962"/>
      <c r="TCV482" s="962"/>
      <c r="TCW482" s="962"/>
      <c r="TCX482" s="962"/>
      <c r="TCY482" s="962"/>
      <c r="TCZ482" s="962"/>
      <c r="TDA482" s="962"/>
      <c r="TDB482" s="962"/>
      <c r="TDC482" s="962"/>
      <c r="TDD482" s="962"/>
      <c r="TDE482" s="962"/>
      <c r="TDF482" s="962"/>
      <c r="TDG482" s="962"/>
      <c r="TDH482" s="962"/>
      <c r="TDI482" s="962"/>
      <c r="TDJ482" s="962"/>
      <c r="TDK482" s="962"/>
      <c r="TDL482" s="962"/>
      <c r="TDM482" s="962"/>
      <c r="TDN482" s="962"/>
      <c r="TDO482" s="962"/>
      <c r="TDP482" s="962"/>
      <c r="TDQ482" s="962"/>
      <c r="TDR482" s="962"/>
      <c r="TDS482" s="962"/>
      <c r="TDT482" s="962"/>
      <c r="TDU482" s="962"/>
      <c r="TDV482" s="962"/>
      <c r="TDW482" s="962"/>
      <c r="TDX482" s="962"/>
      <c r="TDY482" s="962"/>
      <c r="TDZ482" s="962"/>
      <c r="TEA482" s="962"/>
      <c r="TEB482" s="962"/>
      <c r="TEC482" s="962"/>
      <c r="TED482" s="962"/>
      <c r="TEE482" s="962"/>
      <c r="TEF482" s="962"/>
      <c r="TEG482" s="962"/>
      <c r="TEH482" s="962"/>
      <c r="TEI482" s="962"/>
      <c r="TEJ482" s="962"/>
      <c r="TEK482" s="962"/>
      <c r="TEL482" s="962"/>
      <c r="TEM482" s="962"/>
      <c r="TEN482" s="962"/>
      <c r="TEO482" s="962"/>
      <c r="TEP482" s="962"/>
      <c r="TEQ482" s="962"/>
      <c r="TER482" s="962"/>
      <c r="TES482" s="962"/>
      <c r="TET482" s="962"/>
      <c r="TEU482" s="962"/>
      <c r="TEV482" s="962"/>
      <c r="TEW482" s="962"/>
      <c r="TEX482" s="962"/>
      <c r="TEY482" s="962"/>
      <c r="TEZ482" s="962"/>
      <c r="TFA482" s="962"/>
      <c r="TFB482" s="962"/>
      <c r="TFC482" s="962"/>
      <c r="TFD482" s="962"/>
      <c r="TFE482" s="962"/>
      <c r="TFF482" s="962"/>
      <c r="TFG482" s="962"/>
      <c r="TFH482" s="962"/>
      <c r="TFI482" s="962"/>
      <c r="TFJ482" s="962"/>
      <c r="TFK482" s="962"/>
      <c r="TFL482" s="962"/>
      <c r="TFM482" s="962"/>
      <c r="TFN482" s="962"/>
      <c r="TFO482" s="962"/>
      <c r="TFP482" s="962"/>
      <c r="TFQ482" s="962"/>
      <c r="TFR482" s="962"/>
      <c r="TFS482" s="962"/>
      <c r="TFT482" s="962"/>
      <c r="TFU482" s="962"/>
      <c r="TFV482" s="962"/>
      <c r="TFW482" s="962"/>
      <c r="TFX482" s="962"/>
      <c r="TFY482" s="962"/>
      <c r="TFZ482" s="962"/>
      <c r="TGA482" s="962"/>
      <c r="TGB482" s="962"/>
      <c r="TGC482" s="962"/>
      <c r="TGD482" s="962"/>
      <c r="TGE482" s="962"/>
      <c r="TGF482" s="962"/>
      <c r="TGG482" s="962"/>
      <c r="TGH482" s="962"/>
      <c r="TGI482" s="962"/>
      <c r="TGJ482" s="962"/>
      <c r="TGK482" s="962"/>
      <c r="TGL482" s="962"/>
      <c r="TGM482" s="962"/>
      <c r="TGN482" s="962"/>
      <c r="TGO482" s="962"/>
      <c r="TGP482" s="962"/>
      <c r="TGQ482" s="962"/>
      <c r="TGR482" s="962"/>
      <c r="TGS482" s="962"/>
      <c r="TGT482" s="962"/>
      <c r="TGU482" s="962"/>
      <c r="TGV482" s="962"/>
      <c r="TGW482" s="962"/>
      <c r="TGX482" s="962"/>
      <c r="TGY482" s="962"/>
      <c r="TGZ482" s="962"/>
      <c r="THA482" s="962"/>
      <c r="THB482" s="962"/>
      <c r="THC482" s="962"/>
      <c r="THD482" s="962"/>
      <c r="THE482" s="962"/>
      <c r="THF482" s="962"/>
      <c r="THG482" s="962"/>
      <c r="THH482" s="962"/>
      <c r="THI482" s="962"/>
      <c r="THJ482" s="962"/>
      <c r="THK482" s="962"/>
      <c r="THL482" s="962"/>
      <c r="THM482" s="962"/>
      <c r="THN482" s="962"/>
      <c r="THO482" s="962"/>
      <c r="THP482" s="962"/>
      <c r="THQ482" s="962"/>
      <c r="THR482" s="962"/>
      <c r="THS482" s="962"/>
      <c r="THT482" s="962"/>
      <c r="THU482" s="962"/>
      <c r="THV482" s="962"/>
      <c r="THW482" s="962"/>
      <c r="THX482" s="962"/>
      <c r="THY482" s="962"/>
      <c r="THZ482" s="962"/>
      <c r="TIA482" s="962"/>
      <c r="TIB482" s="962"/>
      <c r="TIC482" s="962"/>
      <c r="TID482" s="962"/>
      <c r="TIE482" s="962"/>
      <c r="TIF482" s="962"/>
      <c r="TIG482" s="962"/>
      <c r="TIH482" s="962"/>
      <c r="TII482" s="962"/>
      <c r="TIJ482" s="962"/>
      <c r="TIK482" s="962"/>
      <c r="TIL482" s="962"/>
      <c r="TIM482" s="962"/>
      <c r="TIN482" s="962"/>
      <c r="TIO482" s="962"/>
      <c r="TIP482" s="962"/>
      <c r="TIQ482" s="962"/>
      <c r="TIR482" s="962"/>
      <c r="TIS482" s="962"/>
      <c r="TIT482" s="962"/>
      <c r="TIU482" s="962"/>
      <c r="TIV482" s="962"/>
      <c r="TIW482" s="962"/>
      <c r="TIX482" s="962"/>
      <c r="TIY482" s="962"/>
      <c r="TIZ482" s="962"/>
      <c r="TJA482" s="962"/>
      <c r="TJB482" s="962"/>
      <c r="TJC482" s="962"/>
      <c r="TJD482" s="962"/>
      <c r="TJE482" s="962"/>
      <c r="TJF482" s="962"/>
      <c r="TJG482" s="962"/>
      <c r="TJH482" s="962"/>
      <c r="TJI482" s="962"/>
      <c r="TJJ482" s="962"/>
      <c r="TJK482" s="962"/>
      <c r="TJL482" s="962"/>
      <c r="TJM482" s="962"/>
      <c r="TJN482" s="962"/>
      <c r="TJO482" s="962"/>
      <c r="TJP482" s="962"/>
      <c r="TJQ482" s="962"/>
      <c r="TJR482" s="962"/>
      <c r="TJS482" s="962"/>
      <c r="TJT482" s="962"/>
      <c r="TJU482" s="962"/>
      <c r="TJV482" s="962"/>
      <c r="TJW482" s="962"/>
      <c r="TJX482" s="962"/>
      <c r="TJY482" s="962"/>
      <c r="TJZ482" s="962"/>
      <c r="TKA482" s="962"/>
      <c r="TKB482" s="962"/>
      <c r="TKC482" s="962"/>
      <c r="TKD482" s="962"/>
      <c r="TKE482" s="962"/>
      <c r="TKF482" s="962"/>
      <c r="TKG482" s="962"/>
      <c r="TKH482" s="962"/>
      <c r="TKI482" s="962"/>
      <c r="TKJ482" s="962"/>
      <c r="TKK482" s="962"/>
      <c r="TKL482" s="962"/>
      <c r="TKM482" s="962"/>
      <c r="TKN482" s="962"/>
      <c r="TKO482" s="962"/>
      <c r="TKP482" s="962"/>
      <c r="TKQ482" s="962"/>
      <c r="TKR482" s="962"/>
      <c r="TKS482" s="962"/>
      <c r="TKT482" s="962"/>
      <c r="TKU482" s="962"/>
      <c r="TKV482" s="962"/>
      <c r="TKW482" s="962"/>
      <c r="TKX482" s="962"/>
      <c r="TKY482" s="962"/>
      <c r="TKZ482" s="962"/>
      <c r="TLA482" s="962"/>
      <c r="TLB482" s="962"/>
      <c r="TLC482" s="962"/>
      <c r="TLD482" s="962"/>
      <c r="TLE482" s="962"/>
      <c r="TLF482" s="962"/>
      <c r="TLG482" s="962"/>
      <c r="TLH482" s="962"/>
      <c r="TLI482" s="962"/>
      <c r="TLJ482" s="962"/>
      <c r="TLK482" s="962"/>
      <c r="TLL482" s="962"/>
      <c r="TLM482" s="962"/>
      <c r="TLN482" s="962"/>
      <c r="TLO482" s="962"/>
      <c r="TLP482" s="962"/>
      <c r="TLQ482" s="962"/>
      <c r="TLR482" s="962"/>
      <c r="TLS482" s="962"/>
      <c r="TLT482" s="962"/>
      <c r="TLU482" s="962"/>
      <c r="TLV482" s="962"/>
      <c r="TLW482" s="962"/>
      <c r="TLX482" s="962"/>
      <c r="TLY482" s="962"/>
      <c r="TLZ482" s="962"/>
      <c r="TMA482" s="962"/>
      <c r="TMB482" s="962"/>
      <c r="TMC482" s="962"/>
      <c r="TMD482" s="962"/>
      <c r="TME482" s="962"/>
      <c r="TMF482" s="962"/>
      <c r="TMG482" s="962"/>
      <c r="TMH482" s="962"/>
      <c r="TMI482" s="962"/>
      <c r="TMJ482" s="962"/>
      <c r="TMK482" s="962"/>
      <c r="TML482" s="962"/>
      <c r="TMM482" s="962"/>
      <c r="TMN482" s="962"/>
      <c r="TMO482" s="962"/>
      <c r="TMP482" s="962"/>
      <c r="TMQ482" s="962"/>
      <c r="TMR482" s="962"/>
      <c r="TMS482" s="962"/>
      <c r="TMT482" s="962"/>
      <c r="TMU482" s="962"/>
      <c r="TMV482" s="962"/>
      <c r="TMW482" s="962"/>
      <c r="TMX482" s="962"/>
      <c r="TMY482" s="962"/>
      <c r="TMZ482" s="962"/>
      <c r="TNA482" s="962"/>
      <c r="TNB482" s="962"/>
      <c r="TNC482" s="962"/>
      <c r="TND482" s="962"/>
      <c r="TNE482" s="962"/>
      <c r="TNF482" s="962"/>
      <c r="TNG482" s="962"/>
      <c r="TNH482" s="962"/>
      <c r="TNI482" s="962"/>
      <c r="TNJ482" s="962"/>
      <c r="TNK482" s="962"/>
      <c r="TNL482" s="962"/>
      <c r="TNM482" s="962"/>
      <c r="TNN482" s="962"/>
      <c r="TNO482" s="962"/>
      <c r="TNP482" s="962"/>
      <c r="TNQ482" s="962"/>
      <c r="TNR482" s="962"/>
      <c r="TNS482" s="962"/>
      <c r="TNT482" s="962"/>
      <c r="TNU482" s="962"/>
      <c r="TNV482" s="962"/>
      <c r="TNW482" s="962"/>
      <c r="TNX482" s="962"/>
      <c r="TNY482" s="962"/>
      <c r="TNZ482" s="962"/>
      <c r="TOA482" s="962"/>
      <c r="TOB482" s="962"/>
      <c r="TOC482" s="962"/>
      <c r="TOD482" s="962"/>
      <c r="TOE482" s="962"/>
      <c r="TOF482" s="962"/>
      <c r="TOG482" s="962"/>
      <c r="TOH482" s="962"/>
      <c r="TOI482" s="962"/>
      <c r="TOJ482" s="962"/>
      <c r="TOK482" s="962"/>
      <c r="TOL482" s="962"/>
      <c r="TOM482" s="962"/>
      <c r="TON482" s="962"/>
      <c r="TOO482" s="962"/>
      <c r="TOP482" s="962"/>
      <c r="TOQ482" s="962"/>
      <c r="TOR482" s="962"/>
      <c r="TOS482" s="962"/>
      <c r="TOT482" s="962"/>
      <c r="TOU482" s="962"/>
      <c r="TOV482" s="962"/>
      <c r="TOW482" s="962"/>
      <c r="TOX482" s="962"/>
      <c r="TOY482" s="962"/>
      <c r="TOZ482" s="962"/>
      <c r="TPA482" s="962"/>
      <c r="TPB482" s="962"/>
      <c r="TPC482" s="962"/>
      <c r="TPD482" s="962"/>
      <c r="TPE482" s="962"/>
      <c r="TPF482" s="962"/>
      <c r="TPG482" s="962"/>
      <c r="TPH482" s="962"/>
      <c r="TPI482" s="962"/>
      <c r="TPJ482" s="962"/>
      <c r="TPK482" s="962"/>
      <c r="TPL482" s="962"/>
      <c r="TPM482" s="962"/>
      <c r="TPN482" s="962"/>
      <c r="TPO482" s="962"/>
      <c r="TPP482" s="962"/>
      <c r="TPQ482" s="962"/>
      <c r="TPR482" s="962"/>
      <c r="TPS482" s="962"/>
      <c r="TPT482" s="962"/>
      <c r="TPU482" s="962"/>
      <c r="TPV482" s="962"/>
      <c r="TPW482" s="962"/>
      <c r="TPX482" s="962"/>
      <c r="TPY482" s="962"/>
      <c r="TPZ482" s="962"/>
      <c r="TQA482" s="962"/>
      <c r="TQB482" s="962"/>
      <c r="TQC482" s="962"/>
      <c r="TQD482" s="962"/>
      <c r="TQE482" s="962"/>
      <c r="TQF482" s="962"/>
      <c r="TQG482" s="962"/>
      <c r="TQH482" s="962"/>
      <c r="TQI482" s="962"/>
      <c r="TQJ482" s="962"/>
      <c r="TQK482" s="962"/>
      <c r="TQL482" s="962"/>
      <c r="TQM482" s="962"/>
      <c r="TQN482" s="962"/>
      <c r="TQO482" s="962"/>
      <c r="TQP482" s="962"/>
      <c r="TQQ482" s="962"/>
      <c r="TQR482" s="962"/>
      <c r="TQS482" s="962"/>
      <c r="TQT482" s="962"/>
      <c r="TQU482" s="962"/>
      <c r="TQV482" s="962"/>
      <c r="TQW482" s="962"/>
      <c r="TQX482" s="962"/>
      <c r="TQY482" s="962"/>
      <c r="TQZ482" s="962"/>
      <c r="TRA482" s="962"/>
      <c r="TRB482" s="962"/>
      <c r="TRC482" s="962"/>
      <c r="TRD482" s="962"/>
      <c r="TRE482" s="962"/>
      <c r="TRF482" s="962"/>
      <c r="TRG482" s="962"/>
      <c r="TRH482" s="962"/>
      <c r="TRI482" s="962"/>
      <c r="TRJ482" s="962"/>
      <c r="TRK482" s="962"/>
      <c r="TRL482" s="962"/>
      <c r="TRM482" s="962"/>
      <c r="TRN482" s="962"/>
      <c r="TRO482" s="962"/>
      <c r="TRP482" s="962"/>
      <c r="TRQ482" s="962"/>
      <c r="TRR482" s="962"/>
      <c r="TRS482" s="962"/>
      <c r="TRT482" s="962"/>
      <c r="TRU482" s="962"/>
      <c r="TRV482" s="962"/>
      <c r="TRW482" s="962"/>
      <c r="TRX482" s="962"/>
      <c r="TRY482" s="962"/>
      <c r="TRZ482" s="962"/>
      <c r="TSA482" s="962"/>
      <c r="TSB482" s="962"/>
      <c r="TSC482" s="962"/>
      <c r="TSD482" s="962"/>
      <c r="TSE482" s="962"/>
      <c r="TSF482" s="962"/>
      <c r="TSG482" s="962"/>
      <c r="TSH482" s="962"/>
      <c r="TSI482" s="962"/>
      <c r="TSJ482" s="962"/>
      <c r="TSK482" s="962"/>
      <c r="TSL482" s="962"/>
      <c r="TSM482" s="962"/>
      <c r="TSN482" s="962"/>
      <c r="TSO482" s="962"/>
      <c r="TSP482" s="962"/>
      <c r="TSQ482" s="962"/>
      <c r="TSR482" s="962"/>
      <c r="TSS482" s="962"/>
      <c r="TST482" s="962"/>
      <c r="TSU482" s="962"/>
      <c r="TSV482" s="962"/>
      <c r="TSW482" s="962"/>
      <c r="TSX482" s="962"/>
      <c r="TSY482" s="962"/>
      <c r="TSZ482" s="962"/>
      <c r="TTA482" s="962"/>
      <c r="TTB482" s="962"/>
      <c r="TTC482" s="962"/>
      <c r="TTD482" s="962"/>
      <c r="TTE482" s="962"/>
      <c r="TTF482" s="962"/>
      <c r="TTG482" s="962"/>
      <c r="TTH482" s="962"/>
      <c r="TTI482" s="962"/>
      <c r="TTJ482" s="962"/>
      <c r="TTK482" s="962"/>
      <c r="TTL482" s="962"/>
      <c r="TTM482" s="962"/>
      <c r="TTN482" s="962"/>
      <c r="TTO482" s="962"/>
      <c r="TTP482" s="962"/>
      <c r="TTQ482" s="962"/>
      <c r="TTR482" s="962"/>
      <c r="TTS482" s="962"/>
      <c r="TTT482" s="962"/>
      <c r="TTU482" s="962"/>
      <c r="TTV482" s="962"/>
      <c r="TTW482" s="962"/>
      <c r="TTX482" s="962"/>
      <c r="TTY482" s="962"/>
      <c r="TTZ482" s="962"/>
      <c r="TUA482" s="962"/>
      <c r="TUB482" s="962"/>
      <c r="TUC482" s="962"/>
      <c r="TUD482" s="962"/>
      <c r="TUE482" s="962"/>
      <c r="TUF482" s="962"/>
      <c r="TUG482" s="962"/>
      <c r="TUH482" s="962"/>
      <c r="TUI482" s="962"/>
      <c r="TUJ482" s="962"/>
      <c r="TUK482" s="962"/>
      <c r="TUL482" s="962"/>
      <c r="TUM482" s="962"/>
      <c r="TUN482" s="962"/>
      <c r="TUO482" s="962"/>
      <c r="TUP482" s="962"/>
      <c r="TUQ482" s="962"/>
      <c r="TUR482" s="962"/>
      <c r="TUS482" s="962"/>
      <c r="TUT482" s="962"/>
      <c r="TUU482" s="962"/>
      <c r="TUV482" s="962"/>
      <c r="TUW482" s="962"/>
      <c r="TUX482" s="962"/>
      <c r="TUY482" s="962"/>
      <c r="TUZ482" s="962"/>
      <c r="TVA482" s="962"/>
      <c r="TVB482" s="962"/>
      <c r="TVC482" s="962"/>
      <c r="TVD482" s="962"/>
      <c r="TVE482" s="962"/>
      <c r="TVF482" s="962"/>
      <c r="TVG482" s="962"/>
      <c r="TVH482" s="962"/>
      <c r="TVI482" s="962"/>
      <c r="TVJ482" s="962"/>
      <c r="TVK482" s="962"/>
      <c r="TVL482" s="962"/>
      <c r="TVM482" s="962"/>
      <c r="TVN482" s="962"/>
      <c r="TVO482" s="962"/>
      <c r="TVP482" s="962"/>
      <c r="TVQ482" s="962"/>
      <c r="TVR482" s="962"/>
      <c r="TVS482" s="962"/>
      <c r="TVT482" s="962"/>
      <c r="TVU482" s="962"/>
      <c r="TVV482" s="962"/>
      <c r="TVW482" s="962"/>
      <c r="TVX482" s="962"/>
      <c r="TVY482" s="962"/>
      <c r="TVZ482" s="962"/>
      <c r="TWA482" s="962"/>
      <c r="TWB482" s="962"/>
      <c r="TWC482" s="962"/>
      <c r="TWD482" s="962"/>
      <c r="TWE482" s="962"/>
      <c r="TWF482" s="962"/>
      <c r="TWG482" s="962"/>
      <c r="TWH482" s="962"/>
      <c r="TWI482" s="962"/>
      <c r="TWJ482" s="962"/>
      <c r="TWK482" s="962"/>
      <c r="TWL482" s="962"/>
      <c r="TWM482" s="962"/>
      <c r="TWN482" s="962"/>
      <c r="TWO482" s="962"/>
      <c r="TWP482" s="962"/>
      <c r="TWQ482" s="962"/>
      <c r="TWR482" s="962"/>
      <c r="TWS482" s="962"/>
      <c r="TWT482" s="962"/>
      <c r="TWU482" s="962"/>
      <c r="TWV482" s="962"/>
      <c r="TWW482" s="962"/>
      <c r="TWX482" s="962"/>
      <c r="TWY482" s="962"/>
      <c r="TWZ482" s="962"/>
      <c r="TXA482" s="962"/>
      <c r="TXB482" s="962"/>
      <c r="TXC482" s="962"/>
      <c r="TXD482" s="962"/>
      <c r="TXE482" s="962"/>
      <c r="TXF482" s="962"/>
      <c r="TXG482" s="962"/>
      <c r="TXH482" s="962"/>
      <c r="TXI482" s="962"/>
      <c r="TXJ482" s="962"/>
      <c r="TXK482" s="962"/>
      <c r="TXL482" s="962"/>
      <c r="TXM482" s="962"/>
      <c r="TXN482" s="962"/>
      <c r="TXO482" s="962"/>
      <c r="TXP482" s="962"/>
      <c r="TXQ482" s="962"/>
      <c r="TXR482" s="962"/>
      <c r="TXS482" s="962"/>
      <c r="TXT482" s="962"/>
      <c r="TXU482" s="962"/>
      <c r="TXV482" s="962"/>
      <c r="TXW482" s="962"/>
      <c r="TXX482" s="962"/>
      <c r="TXY482" s="962"/>
      <c r="TXZ482" s="962"/>
      <c r="TYA482" s="962"/>
      <c r="TYB482" s="962"/>
      <c r="TYC482" s="962"/>
      <c r="TYD482" s="962"/>
      <c r="TYE482" s="962"/>
      <c r="TYF482" s="962"/>
      <c r="TYG482" s="962"/>
      <c r="TYH482" s="962"/>
      <c r="TYI482" s="962"/>
      <c r="TYJ482" s="962"/>
      <c r="TYK482" s="962"/>
      <c r="TYL482" s="962"/>
      <c r="TYM482" s="962"/>
      <c r="TYN482" s="962"/>
      <c r="TYO482" s="962"/>
      <c r="TYP482" s="962"/>
      <c r="TYQ482" s="962"/>
      <c r="TYR482" s="962"/>
      <c r="TYS482" s="962"/>
      <c r="TYT482" s="962"/>
      <c r="TYU482" s="962"/>
      <c r="TYV482" s="962"/>
      <c r="TYW482" s="962"/>
      <c r="TYX482" s="962"/>
      <c r="TYY482" s="962"/>
      <c r="TYZ482" s="962"/>
      <c r="TZA482" s="962"/>
      <c r="TZB482" s="962"/>
      <c r="TZC482" s="962"/>
      <c r="TZD482" s="962"/>
      <c r="TZE482" s="962"/>
      <c r="TZF482" s="962"/>
      <c r="TZG482" s="962"/>
      <c r="TZH482" s="962"/>
      <c r="TZI482" s="962"/>
      <c r="TZJ482" s="962"/>
      <c r="TZK482" s="962"/>
      <c r="TZL482" s="962"/>
      <c r="TZM482" s="962"/>
      <c r="TZN482" s="962"/>
      <c r="TZO482" s="962"/>
      <c r="TZP482" s="962"/>
      <c r="TZQ482" s="962"/>
      <c r="TZR482" s="962"/>
      <c r="TZS482" s="962"/>
      <c r="TZT482" s="962"/>
      <c r="TZU482" s="962"/>
      <c r="TZV482" s="962"/>
      <c r="TZW482" s="962"/>
      <c r="TZX482" s="962"/>
      <c r="TZY482" s="962"/>
      <c r="TZZ482" s="962"/>
      <c r="UAA482" s="962"/>
      <c r="UAB482" s="962"/>
      <c r="UAC482" s="962"/>
      <c r="UAD482" s="962"/>
      <c r="UAE482" s="962"/>
      <c r="UAF482" s="962"/>
      <c r="UAG482" s="962"/>
      <c r="UAH482" s="962"/>
      <c r="UAI482" s="962"/>
      <c r="UAJ482" s="962"/>
      <c r="UAK482" s="962"/>
      <c r="UAL482" s="962"/>
      <c r="UAM482" s="962"/>
      <c r="UAN482" s="962"/>
      <c r="UAO482" s="962"/>
      <c r="UAP482" s="962"/>
      <c r="UAQ482" s="962"/>
      <c r="UAR482" s="962"/>
      <c r="UAS482" s="962"/>
      <c r="UAT482" s="962"/>
      <c r="UAU482" s="962"/>
      <c r="UAV482" s="962"/>
      <c r="UAW482" s="962"/>
      <c r="UAX482" s="962"/>
      <c r="UAY482" s="962"/>
      <c r="UAZ482" s="962"/>
      <c r="UBA482" s="962"/>
      <c r="UBB482" s="962"/>
      <c r="UBC482" s="962"/>
      <c r="UBD482" s="962"/>
      <c r="UBE482" s="962"/>
      <c r="UBF482" s="962"/>
      <c r="UBG482" s="962"/>
      <c r="UBH482" s="962"/>
      <c r="UBI482" s="962"/>
      <c r="UBJ482" s="962"/>
      <c r="UBK482" s="962"/>
      <c r="UBL482" s="962"/>
      <c r="UBM482" s="962"/>
      <c r="UBN482" s="962"/>
      <c r="UBO482" s="962"/>
      <c r="UBP482" s="962"/>
      <c r="UBQ482" s="962"/>
      <c r="UBR482" s="962"/>
      <c r="UBS482" s="962"/>
      <c r="UBT482" s="962"/>
      <c r="UBU482" s="962"/>
      <c r="UBV482" s="962"/>
      <c r="UBW482" s="962"/>
      <c r="UBX482" s="962"/>
      <c r="UBY482" s="962"/>
      <c r="UBZ482" s="962"/>
      <c r="UCA482" s="962"/>
      <c r="UCB482" s="962"/>
      <c r="UCC482" s="962"/>
      <c r="UCD482" s="962"/>
      <c r="UCE482" s="962"/>
      <c r="UCF482" s="962"/>
      <c r="UCG482" s="962"/>
      <c r="UCH482" s="962"/>
      <c r="UCI482" s="962"/>
      <c r="UCJ482" s="962"/>
      <c r="UCK482" s="962"/>
      <c r="UCL482" s="962"/>
      <c r="UCM482" s="962"/>
      <c r="UCN482" s="962"/>
      <c r="UCO482" s="962"/>
      <c r="UCP482" s="962"/>
      <c r="UCQ482" s="962"/>
      <c r="UCR482" s="962"/>
      <c r="UCS482" s="962"/>
      <c r="UCT482" s="962"/>
      <c r="UCU482" s="962"/>
      <c r="UCV482" s="962"/>
      <c r="UCW482" s="962"/>
      <c r="UCX482" s="962"/>
      <c r="UCY482" s="962"/>
      <c r="UCZ482" s="962"/>
      <c r="UDA482" s="962"/>
      <c r="UDB482" s="962"/>
      <c r="UDC482" s="962"/>
      <c r="UDD482" s="962"/>
      <c r="UDE482" s="962"/>
      <c r="UDF482" s="962"/>
      <c r="UDG482" s="962"/>
      <c r="UDH482" s="962"/>
      <c r="UDI482" s="962"/>
      <c r="UDJ482" s="962"/>
      <c r="UDK482" s="962"/>
      <c r="UDL482" s="962"/>
      <c r="UDM482" s="962"/>
      <c r="UDN482" s="962"/>
      <c r="UDO482" s="962"/>
      <c r="UDP482" s="962"/>
      <c r="UDQ482" s="962"/>
      <c r="UDR482" s="962"/>
      <c r="UDS482" s="962"/>
      <c r="UDT482" s="962"/>
      <c r="UDU482" s="962"/>
      <c r="UDV482" s="962"/>
      <c r="UDW482" s="962"/>
      <c r="UDX482" s="962"/>
      <c r="UDY482" s="962"/>
      <c r="UDZ482" s="962"/>
      <c r="UEA482" s="962"/>
      <c r="UEB482" s="962"/>
      <c r="UEC482" s="962"/>
      <c r="UED482" s="962"/>
      <c r="UEE482" s="962"/>
      <c r="UEF482" s="962"/>
      <c r="UEG482" s="962"/>
      <c r="UEH482" s="962"/>
      <c r="UEI482" s="962"/>
      <c r="UEJ482" s="962"/>
      <c r="UEK482" s="962"/>
      <c r="UEL482" s="962"/>
      <c r="UEM482" s="962"/>
      <c r="UEN482" s="962"/>
      <c r="UEO482" s="962"/>
      <c r="UEP482" s="962"/>
      <c r="UEQ482" s="962"/>
      <c r="UER482" s="962"/>
      <c r="UES482" s="962"/>
      <c r="UET482" s="962"/>
      <c r="UEU482" s="962"/>
      <c r="UEV482" s="962"/>
      <c r="UEW482" s="962"/>
      <c r="UEX482" s="962"/>
      <c r="UEY482" s="962"/>
      <c r="UEZ482" s="962"/>
      <c r="UFA482" s="962"/>
      <c r="UFB482" s="962"/>
      <c r="UFC482" s="962"/>
      <c r="UFD482" s="962"/>
      <c r="UFE482" s="962"/>
      <c r="UFF482" s="962"/>
      <c r="UFG482" s="962"/>
      <c r="UFH482" s="962"/>
      <c r="UFI482" s="962"/>
      <c r="UFJ482" s="962"/>
      <c r="UFK482" s="962"/>
      <c r="UFL482" s="962"/>
      <c r="UFM482" s="962"/>
      <c r="UFN482" s="962"/>
      <c r="UFO482" s="962"/>
      <c r="UFP482" s="962"/>
      <c r="UFQ482" s="962"/>
      <c r="UFR482" s="962"/>
      <c r="UFS482" s="962"/>
      <c r="UFT482" s="962"/>
      <c r="UFU482" s="962"/>
      <c r="UFV482" s="962"/>
      <c r="UFW482" s="962"/>
      <c r="UFX482" s="962"/>
      <c r="UFY482" s="962"/>
      <c r="UFZ482" s="962"/>
      <c r="UGA482" s="962"/>
      <c r="UGB482" s="962"/>
      <c r="UGC482" s="962"/>
      <c r="UGD482" s="962"/>
      <c r="UGE482" s="962"/>
      <c r="UGF482" s="962"/>
      <c r="UGG482" s="962"/>
      <c r="UGH482" s="962"/>
      <c r="UGI482" s="962"/>
      <c r="UGJ482" s="962"/>
      <c r="UGK482" s="962"/>
      <c r="UGL482" s="962"/>
      <c r="UGM482" s="962"/>
      <c r="UGN482" s="962"/>
      <c r="UGO482" s="962"/>
      <c r="UGP482" s="962"/>
      <c r="UGQ482" s="962"/>
      <c r="UGR482" s="962"/>
      <c r="UGS482" s="962"/>
      <c r="UGT482" s="962"/>
      <c r="UGU482" s="962"/>
      <c r="UGV482" s="962"/>
      <c r="UGW482" s="962"/>
      <c r="UGX482" s="962"/>
      <c r="UGY482" s="962"/>
      <c r="UGZ482" s="962"/>
      <c r="UHA482" s="962"/>
      <c r="UHB482" s="962"/>
      <c r="UHC482" s="962"/>
      <c r="UHD482" s="962"/>
      <c r="UHE482" s="962"/>
      <c r="UHF482" s="962"/>
      <c r="UHG482" s="962"/>
      <c r="UHH482" s="962"/>
      <c r="UHI482" s="962"/>
      <c r="UHJ482" s="962"/>
      <c r="UHK482" s="962"/>
      <c r="UHL482" s="962"/>
      <c r="UHM482" s="962"/>
      <c r="UHN482" s="962"/>
      <c r="UHO482" s="962"/>
      <c r="UHP482" s="962"/>
      <c r="UHQ482" s="962"/>
      <c r="UHR482" s="962"/>
      <c r="UHS482" s="962"/>
      <c r="UHT482" s="962"/>
      <c r="UHU482" s="962"/>
      <c r="UHV482" s="962"/>
      <c r="UHW482" s="962"/>
      <c r="UHX482" s="962"/>
      <c r="UHY482" s="962"/>
      <c r="UHZ482" s="962"/>
      <c r="UIA482" s="962"/>
      <c r="UIB482" s="962"/>
      <c r="UIC482" s="962"/>
      <c r="UID482" s="962"/>
      <c r="UIE482" s="962"/>
      <c r="UIF482" s="962"/>
      <c r="UIG482" s="962"/>
      <c r="UIH482" s="962"/>
      <c r="UII482" s="962"/>
      <c r="UIJ482" s="962"/>
      <c r="UIK482" s="962"/>
      <c r="UIL482" s="962"/>
      <c r="UIM482" s="962"/>
      <c r="UIN482" s="962"/>
      <c r="UIO482" s="962"/>
      <c r="UIP482" s="962"/>
      <c r="UIQ482" s="962"/>
      <c r="UIR482" s="962"/>
      <c r="UIS482" s="962"/>
      <c r="UIT482" s="962"/>
      <c r="UIU482" s="962"/>
      <c r="UIV482" s="962"/>
      <c r="UIW482" s="962"/>
      <c r="UIX482" s="962"/>
      <c r="UIY482" s="962"/>
      <c r="UIZ482" s="962"/>
      <c r="UJA482" s="962"/>
      <c r="UJB482" s="962"/>
      <c r="UJC482" s="962"/>
      <c r="UJD482" s="962"/>
      <c r="UJE482" s="962"/>
      <c r="UJF482" s="962"/>
      <c r="UJG482" s="962"/>
      <c r="UJH482" s="962"/>
      <c r="UJI482" s="962"/>
      <c r="UJJ482" s="962"/>
      <c r="UJK482" s="962"/>
      <c r="UJL482" s="962"/>
      <c r="UJM482" s="962"/>
      <c r="UJN482" s="962"/>
      <c r="UJO482" s="962"/>
      <c r="UJP482" s="962"/>
      <c r="UJQ482" s="962"/>
      <c r="UJR482" s="962"/>
      <c r="UJS482" s="962"/>
      <c r="UJT482" s="962"/>
      <c r="UJU482" s="962"/>
      <c r="UJV482" s="962"/>
      <c r="UJW482" s="962"/>
      <c r="UJX482" s="962"/>
      <c r="UJY482" s="962"/>
      <c r="UJZ482" s="962"/>
      <c r="UKA482" s="962"/>
      <c r="UKB482" s="962"/>
      <c r="UKC482" s="962"/>
      <c r="UKD482" s="962"/>
      <c r="UKE482" s="962"/>
      <c r="UKF482" s="962"/>
      <c r="UKG482" s="962"/>
      <c r="UKH482" s="962"/>
      <c r="UKI482" s="962"/>
      <c r="UKJ482" s="962"/>
      <c r="UKK482" s="962"/>
      <c r="UKL482" s="962"/>
      <c r="UKM482" s="962"/>
      <c r="UKN482" s="962"/>
      <c r="UKO482" s="962"/>
      <c r="UKP482" s="962"/>
      <c r="UKQ482" s="962"/>
      <c r="UKR482" s="962"/>
      <c r="UKS482" s="962"/>
      <c r="UKT482" s="962"/>
      <c r="UKU482" s="962"/>
      <c r="UKV482" s="962"/>
      <c r="UKW482" s="962"/>
      <c r="UKX482" s="962"/>
      <c r="UKY482" s="962"/>
      <c r="UKZ482" s="962"/>
      <c r="ULA482" s="962"/>
      <c r="ULB482" s="962"/>
      <c r="ULC482" s="962"/>
      <c r="ULD482" s="962"/>
      <c r="ULE482" s="962"/>
      <c r="ULF482" s="962"/>
      <c r="ULG482" s="962"/>
      <c r="ULH482" s="962"/>
      <c r="ULI482" s="962"/>
      <c r="ULJ482" s="962"/>
      <c r="ULK482" s="962"/>
      <c r="ULL482" s="962"/>
      <c r="ULM482" s="962"/>
      <c r="ULN482" s="962"/>
      <c r="ULO482" s="962"/>
      <c r="ULP482" s="962"/>
      <c r="ULQ482" s="962"/>
      <c r="ULR482" s="962"/>
      <c r="ULS482" s="962"/>
      <c r="ULT482" s="962"/>
      <c r="ULU482" s="962"/>
      <c r="ULV482" s="962"/>
      <c r="ULW482" s="962"/>
      <c r="ULX482" s="962"/>
      <c r="ULY482" s="962"/>
      <c r="ULZ482" s="962"/>
      <c r="UMA482" s="962"/>
      <c r="UMB482" s="962"/>
      <c r="UMC482" s="962"/>
      <c r="UMD482" s="962"/>
      <c r="UME482" s="962"/>
      <c r="UMF482" s="962"/>
      <c r="UMG482" s="962"/>
      <c r="UMH482" s="962"/>
      <c r="UMI482" s="962"/>
      <c r="UMJ482" s="962"/>
      <c r="UMK482" s="962"/>
      <c r="UML482" s="962"/>
      <c r="UMM482" s="962"/>
      <c r="UMN482" s="962"/>
      <c r="UMO482" s="962"/>
      <c r="UMP482" s="962"/>
      <c r="UMQ482" s="962"/>
      <c r="UMR482" s="962"/>
      <c r="UMS482" s="962"/>
      <c r="UMT482" s="962"/>
      <c r="UMU482" s="962"/>
      <c r="UMV482" s="962"/>
      <c r="UMW482" s="962"/>
      <c r="UMX482" s="962"/>
      <c r="UMY482" s="962"/>
      <c r="UMZ482" s="962"/>
      <c r="UNA482" s="962"/>
      <c r="UNB482" s="962"/>
      <c r="UNC482" s="962"/>
      <c r="UND482" s="962"/>
      <c r="UNE482" s="962"/>
      <c r="UNF482" s="962"/>
      <c r="UNG482" s="962"/>
      <c r="UNH482" s="962"/>
      <c r="UNI482" s="962"/>
      <c r="UNJ482" s="962"/>
      <c r="UNK482" s="962"/>
      <c r="UNL482" s="962"/>
      <c r="UNM482" s="962"/>
      <c r="UNN482" s="962"/>
      <c r="UNO482" s="962"/>
      <c r="UNP482" s="962"/>
      <c r="UNQ482" s="962"/>
      <c r="UNR482" s="962"/>
      <c r="UNS482" s="962"/>
      <c r="UNT482" s="962"/>
      <c r="UNU482" s="962"/>
      <c r="UNV482" s="962"/>
      <c r="UNW482" s="962"/>
      <c r="UNX482" s="962"/>
      <c r="UNY482" s="962"/>
      <c r="UNZ482" s="962"/>
      <c r="UOA482" s="962"/>
      <c r="UOB482" s="962"/>
      <c r="UOC482" s="962"/>
      <c r="UOD482" s="962"/>
      <c r="UOE482" s="962"/>
      <c r="UOF482" s="962"/>
      <c r="UOG482" s="962"/>
      <c r="UOH482" s="962"/>
      <c r="UOI482" s="962"/>
      <c r="UOJ482" s="962"/>
      <c r="UOK482" s="962"/>
      <c r="UOL482" s="962"/>
      <c r="UOM482" s="962"/>
      <c r="UON482" s="962"/>
      <c r="UOO482" s="962"/>
      <c r="UOP482" s="962"/>
      <c r="UOQ482" s="962"/>
      <c r="UOR482" s="962"/>
      <c r="UOS482" s="962"/>
      <c r="UOT482" s="962"/>
      <c r="UOU482" s="962"/>
      <c r="UOV482" s="962"/>
      <c r="UOW482" s="962"/>
      <c r="UOX482" s="962"/>
      <c r="UOY482" s="962"/>
      <c r="UOZ482" s="962"/>
      <c r="UPA482" s="962"/>
      <c r="UPB482" s="962"/>
      <c r="UPC482" s="962"/>
      <c r="UPD482" s="962"/>
      <c r="UPE482" s="962"/>
      <c r="UPF482" s="962"/>
      <c r="UPG482" s="962"/>
      <c r="UPH482" s="962"/>
      <c r="UPI482" s="962"/>
      <c r="UPJ482" s="962"/>
      <c r="UPK482" s="962"/>
      <c r="UPL482" s="962"/>
      <c r="UPM482" s="962"/>
      <c r="UPN482" s="962"/>
      <c r="UPO482" s="962"/>
      <c r="UPP482" s="962"/>
      <c r="UPQ482" s="962"/>
      <c r="UPR482" s="962"/>
      <c r="UPS482" s="962"/>
      <c r="UPT482" s="962"/>
      <c r="UPU482" s="962"/>
      <c r="UPV482" s="962"/>
      <c r="UPW482" s="962"/>
      <c r="UPX482" s="962"/>
      <c r="UPY482" s="962"/>
      <c r="UPZ482" s="962"/>
      <c r="UQA482" s="962"/>
      <c r="UQB482" s="962"/>
      <c r="UQC482" s="962"/>
      <c r="UQD482" s="962"/>
      <c r="UQE482" s="962"/>
      <c r="UQF482" s="962"/>
      <c r="UQG482" s="962"/>
      <c r="UQH482" s="962"/>
      <c r="UQI482" s="962"/>
      <c r="UQJ482" s="962"/>
      <c r="UQK482" s="962"/>
      <c r="UQL482" s="962"/>
      <c r="UQM482" s="962"/>
      <c r="UQN482" s="962"/>
      <c r="UQO482" s="962"/>
      <c r="UQP482" s="962"/>
      <c r="UQQ482" s="962"/>
      <c r="UQR482" s="962"/>
      <c r="UQS482" s="962"/>
      <c r="UQT482" s="962"/>
      <c r="UQU482" s="962"/>
      <c r="UQV482" s="962"/>
      <c r="UQW482" s="962"/>
      <c r="UQX482" s="962"/>
      <c r="UQY482" s="962"/>
      <c r="UQZ482" s="962"/>
      <c r="URA482" s="962"/>
      <c r="URB482" s="962"/>
      <c r="URC482" s="962"/>
      <c r="URD482" s="962"/>
      <c r="URE482" s="962"/>
      <c r="URF482" s="962"/>
      <c r="URG482" s="962"/>
      <c r="URH482" s="962"/>
      <c r="URI482" s="962"/>
      <c r="URJ482" s="962"/>
      <c r="URK482" s="962"/>
      <c r="URL482" s="962"/>
      <c r="URM482" s="962"/>
      <c r="URN482" s="962"/>
      <c r="URO482" s="962"/>
      <c r="URP482" s="962"/>
      <c r="URQ482" s="962"/>
      <c r="URR482" s="962"/>
      <c r="URS482" s="962"/>
      <c r="URT482" s="962"/>
      <c r="URU482" s="962"/>
      <c r="URV482" s="962"/>
      <c r="URW482" s="962"/>
      <c r="URX482" s="962"/>
      <c r="URY482" s="962"/>
      <c r="URZ482" s="962"/>
      <c r="USA482" s="962"/>
      <c r="USB482" s="962"/>
      <c r="USC482" s="962"/>
      <c r="USD482" s="962"/>
      <c r="USE482" s="962"/>
      <c r="USF482" s="962"/>
      <c r="USG482" s="962"/>
      <c r="USH482" s="962"/>
      <c r="USI482" s="962"/>
      <c r="USJ482" s="962"/>
      <c r="USK482" s="962"/>
      <c r="USL482" s="962"/>
      <c r="USM482" s="962"/>
      <c r="USN482" s="962"/>
      <c r="USO482" s="962"/>
      <c r="USP482" s="962"/>
      <c r="USQ482" s="962"/>
      <c r="USR482" s="962"/>
      <c r="USS482" s="962"/>
      <c r="UST482" s="962"/>
      <c r="USU482" s="962"/>
      <c r="USV482" s="962"/>
      <c r="USW482" s="962"/>
      <c r="USX482" s="962"/>
      <c r="USY482" s="962"/>
      <c r="USZ482" s="962"/>
      <c r="UTA482" s="962"/>
      <c r="UTB482" s="962"/>
      <c r="UTC482" s="962"/>
      <c r="UTD482" s="962"/>
      <c r="UTE482" s="962"/>
      <c r="UTF482" s="962"/>
      <c r="UTG482" s="962"/>
      <c r="UTH482" s="962"/>
      <c r="UTI482" s="962"/>
      <c r="UTJ482" s="962"/>
      <c r="UTK482" s="962"/>
      <c r="UTL482" s="962"/>
      <c r="UTM482" s="962"/>
      <c r="UTN482" s="962"/>
      <c r="UTO482" s="962"/>
      <c r="UTP482" s="962"/>
      <c r="UTQ482" s="962"/>
      <c r="UTR482" s="962"/>
      <c r="UTS482" s="962"/>
      <c r="UTT482" s="962"/>
      <c r="UTU482" s="962"/>
      <c r="UTV482" s="962"/>
      <c r="UTW482" s="962"/>
      <c r="UTX482" s="962"/>
      <c r="UTY482" s="962"/>
      <c r="UTZ482" s="962"/>
      <c r="UUA482" s="962"/>
      <c r="UUB482" s="962"/>
      <c r="UUC482" s="962"/>
      <c r="UUD482" s="962"/>
      <c r="UUE482" s="962"/>
      <c r="UUF482" s="962"/>
      <c r="UUG482" s="962"/>
      <c r="UUH482" s="962"/>
      <c r="UUI482" s="962"/>
      <c r="UUJ482" s="962"/>
      <c r="UUK482" s="962"/>
      <c r="UUL482" s="962"/>
      <c r="UUM482" s="962"/>
      <c r="UUN482" s="962"/>
      <c r="UUO482" s="962"/>
      <c r="UUP482" s="962"/>
      <c r="UUQ482" s="962"/>
      <c r="UUR482" s="962"/>
      <c r="UUS482" s="962"/>
      <c r="UUT482" s="962"/>
      <c r="UUU482" s="962"/>
      <c r="UUV482" s="962"/>
      <c r="UUW482" s="962"/>
      <c r="UUX482" s="962"/>
      <c r="UUY482" s="962"/>
      <c r="UUZ482" s="962"/>
      <c r="UVA482" s="962"/>
      <c r="UVB482" s="962"/>
      <c r="UVC482" s="962"/>
      <c r="UVD482" s="962"/>
      <c r="UVE482" s="962"/>
      <c r="UVF482" s="962"/>
      <c r="UVG482" s="962"/>
      <c r="UVH482" s="962"/>
      <c r="UVI482" s="962"/>
      <c r="UVJ482" s="962"/>
      <c r="UVK482" s="962"/>
      <c r="UVL482" s="962"/>
      <c r="UVM482" s="962"/>
      <c r="UVN482" s="962"/>
      <c r="UVO482" s="962"/>
      <c r="UVP482" s="962"/>
      <c r="UVQ482" s="962"/>
      <c r="UVR482" s="962"/>
      <c r="UVS482" s="962"/>
      <c r="UVT482" s="962"/>
      <c r="UVU482" s="962"/>
      <c r="UVV482" s="962"/>
      <c r="UVW482" s="962"/>
      <c r="UVX482" s="962"/>
      <c r="UVY482" s="962"/>
      <c r="UVZ482" s="962"/>
      <c r="UWA482" s="962"/>
      <c r="UWB482" s="962"/>
      <c r="UWC482" s="962"/>
      <c r="UWD482" s="962"/>
      <c r="UWE482" s="962"/>
      <c r="UWF482" s="962"/>
      <c r="UWG482" s="962"/>
      <c r="UWH482" s="962"/>
      <c r="UWI482" s="962"/>
      <c r="UWJ482" s="962"/>
      <c r="UWK482" s="962"/>
      <c r="UWL482" s="962"/>
      <c r="UWM482" s="962"/>
      <c r="UWN482" s="962"/>
      <c r="UWO482" s="962"/>
      <c r="UWP482" s="962"/>
      <c r="UWQ482" s="962"/>
      <c r="UWR482" s="962"/>
      <c r="UWS482" s="962"/>
      <c r="UWT482" s="962"/>
      <c r="UWU482" s="962"/>
      <c r="UWV482" s="962"/>
      <c r="UWW482" s="962"/>
      <c r="UWX482" s="962"/>
      <c r="UWY482" s="962"/>
      <c r="UWZ482" s="962"/>
      <c r="UXA482" s="962"/>
      <c r="UXB482" s="962"/>
      <c r="UXC482" s="962"/>
      <c r="UXD482" s="962"/>
      <c r="UXE482" s="962"/>
      <c r="UXF482" s="962"/>
      <c r="UXG482" s="962"/>
      <c r="UXH482" s="962"/>
      <c r="UXI482" s="962"/>
      <c r="UXJ482" s="962"/>
      <c r="UXK482" s="962"/>
      <c r="UXL482" s="962"/>
      <c r="UXM482" s="962"/>
      <c r="UXN482" s="962"/>
      <c r="UXO482" s="962"/>
      <c r="UXP482" s="962"/>
      <c r="UXQ482" s="962"/>
      <c r="UXR482" s="962"/>
      <c r="UXS482" s="962"/>
      <c r="UXT482" s="962"/>
      <c r="UXU482" s="962"/>
      <c r="UXV482" s="962"/>
      <c r="UXW482" s="962"/>
      <c r="UXX482" s="962"/>
      <c r="UXY482" s="962"/>
      <c r="UXZ482" s="962"/>
      <c r="UYA482" s="962"/>
      <c r="UYB482" s="962"/>
      <c r="UYC482" s="962"/>
      <c r="UYD482" s="962"/>
      <c r="UYE482" s="962"/>
      <c r="UYF482" s="962"/>
      <c r="UYG482" s="962"/>
      <c r="UYH482" s="962"/>
      <c r="UYI482" s="962"/>
      <c r="UYJ482" s="962"/>
      <c r="UYK482" s="962"/>
      <c r="UYL482" s="962"/>
      <c r="UYM482" s="962"/>
      <c r="UYN482" s="962"/>
      <c r="UYO482" s="962"/>
      <c r="UYP482" s="962"/>
      <c r="UYQ482" s="962"/>
      <c r="UYR482" s="962"/>
      <c r="UYS482" s="962"/>
      <c r="UYT482" s="962"/>
      <c r="UYU482" s="962"/>
      <c r="UYV482" s="962"/>
      <c r="UYW482" s="962"/>
      <c r="UYX482" s="962"/>
      <c r="UYY482" s="962"/>
      <c r="UYZ482" s="962"/>
      <c r="UZA482" s="962"/>
      <c r="UZB482" s="962"/>
      <c r="UZC482" s="962"/>
      <c r="UZD482" s="962"/>
      <c r="UZE482" s="962"/>
      <c r="UZF482" s="962"/>
      <c r="UZG482" s="962"/>
      <c r="UZH482" s="962"/>
      <c r="UZI482" s="962"/>
      <c r="UZJ482" s="962"/>
      <c r="UZK482" s="962"/>
      <c r="UZL482" s="962"/>
      <c r="UZM482" s="962"/>
      <c r="UZN482" s="962"/>
      <c r="UZO482" s="962"/>
      <c r="UZP482" s="962"/>
      <c r="UZQ482" s="962"/>
      <c r="UZR482" s="962"/>
      <c r="UZS482" s="962"/>
      <c r="UZT482" s="962"/>
      <c r="UZU482" s="962"/>
      <c r="UZV482" s="962"/>
      <c r="UZW482" s="962"/>
      <c r="UZX482" s="962"/>
      <c r="UZY482" s="962"/>
      <c r="UZZ482" s="962"/>
      <c r="VAA482" s="962"/>
      <c r="VAB482" s="962"/>
      <c r="VAC482" s="962"/>
      <c r="VAD482" s="962"/>
      <c r="VAE482" s="962"/>
      <c r="VAF482" s="962"/>
      <c r="VAG482" s="962"/>
      <c r="VAH482" s="962"/>
      <c r="VAI482" s="962"/>
      <c r="VAJ482" s="962"/>
      <c r="VAK482" s="962"/>
      <c r="VAL482" s="962"/>
      <c r="VAM482" s="962"/>
      <c r="VAN482" s="962"/>
      <c r="VAO482" s="962"/>
      <c r="VAP482" s="962"/>
      <c r="VAQ482" s="962"/>
      <c r="VAR482" s="962"/>
      <c r="VAS482" s="962"/>
      <c r="VAT482" s="962"/>
      <c r="VAU482" s="962"/>
      <c r="VAV482" s="962"/>
      <c r="VAW482" s="962"/>
      <c r="VAX482" s="962"/>
      <c r="VAY482" s="962"/>
      <c r="VAZ482" s="962"/>
      <c r="VBA482" s="962"/>
      <c r="VBB482" s="962"/>
      <c r="VBC482" s="962"/>
      <c r="VBD482" s="962"/>
      <c r="VBE482" s="962"/>
      <c r="VBF482" s="962"/>
      <c r="VBG482" s="962"/>
      <c r="VBH482" s="962"/>
      <c r="VBI482" s="962"/>
      <c r="VBJ482" s="962"/>
      <c r="VBK482" s="962"/>
      <c r="VBL482" s="962"/>
      <c r="VBM482" s="962"/>
      <c r="VBN482" s="962"/>
      <c r="VBO482" s="962"/>
      <c r="VBP482" s="962"/>
      <c r="VBQ482" s="962"/>
      <c r="VBR482" s="962"/>
      <c r="VBS482" s="962"/>
      <c r="VBT482" s="962"/>
      <c r="VBU482" s="962"/>
      <c r="VBV482" s="962"/>
      <c r="VBW482" s="962"/>
      <c r="VBX482" s="962"/>
      <c r="VBY482" s="962"/>
      <c r="VBZ482" s="962"/>
      <c r="VCA482" s="962"/>
      <c r="VCB482" s="962"/>
      <c r="VCC482" s="962"/>
      <c r="VCD482" s="962"/>
      <c r="VCE482" s="962"/>
      <c r="VCF482" s="962"/>
      <c r="VCG482" s="962"/>
      <c r="VCH482" s="962"/>
      <c r="VCI482" s="962"/>
      <c r="VCJ482" s="962"/>
      <c r="VCK482" s="962"/>
      <c r="VCL482" s="962"/>
      <c r="VCM482" s="962"/>
      <c r="VCN482" s="962"/>
      <c r="VCO482" s="962"/>
      <c r="VCP482" s="962"/>
      <c r="VCQ482" s="962"/>
      <c r="VCR482" s="962"/>
      <c r="VCS482" s="962"/>
      <c r="VCT482" s="962"/>
      <c r="VCU482" s="962"/>
      <c r="VCV482" s="962"/>
      <c r="VCW482" s="962"/>
      <c r="VCX482" s="962"/>
      <c r="VCY482" s="962"/>
      <c r="VCZ482" s="962"/>
      <c r="VDA482" s="962"/>
      <c r="VDB482" s="962"/>
      <c r="VDC482" s="962"/>
      <c r="VDD482" s="962"/>
      <c r="VDE482" s="962"/>
      <c r="VDF482" s="962"/>
      <c r="VDG482" s="962"/>
      <c r="VDH482" s="962"/>
      <c r="VDI482" s="962"/>
      <c r="VDJ482" s="962"/>
      <c r="VDK482" s="962"/>
      <c r="VDL482" s="962"/>
      <c r="VDM482" s="962"/>
      <c r="VDN482" s="962"/>
      <c r="VDO482" s="962"/>
      <c r="VDP482" s="962"/>
      <c r="VDQ482" s="962"/>
      <c r="VDR482" s="962"/>
      <c r="VDS482" s="962"/>
      <c r="VDT482" s="962"/>
      <c r="VDU482" s="962"/>
      <c r="VDV482" s="962"/>
      <c r="VDW482" s="962"/>
      <c r="VDX482" s="962"/>
      <c r="VDY482" s="962"/>
      <c r="VDZ482" s="962"/>
      <c r="VEA482" s="962"/>
      <c r="VEB482" s="962"/>
      <c r="VEC482" s="962"/>
      <c r="VED482" s="962"/>
      <c r="VEE482" s="962"/>
      <c r="VEF482" s="962"/>
      <c r="VEG482" s="962"/>
      <c r="VEH482" s="962"/>
      <c r="VEI482" s="962"/>
      <c r="VEJ482" s="962"/>
      <c r="VEK482" s="962"/>
      <c r="VEL482" s="962"/>
      <c r="VEM482" s="962"/>
      <c r="VEN482" s="962"/>
      <c r="VEO482" s="962"/>
      <c r="VEP482" s="962"/>
      <c r="VEQ482" s="962"/>
      <c r="VER482" s="962"/>
      <c r="VES482" s="962"/>
      <c r="VET482" s="962"/>
      <c r="VEU482" s="962"/>
      <c r="VEV482" s="962"/>
      <c r="VEW482" s="962"/>
      <c r="VEX482" s="962"/>
      <c r="VEY482" s="962"/>
      <c r="VEZ482" s="962"/>
      <c r="VFA482" s="962"/>
      <c r="VFB482" s="962"/>
      <c r="VFC482" s="962"/>
      <c r="VFD482" s="962"/>
      <c r="VFE482" s="962"/>
      <c r="VFF482" s="962"/>
      <c r="VFG482" s="962"/>
      <c r="VFH482" s="962"/>
      <c r="VFI482" s="962"/>
      <c r="VFJ482" s="962"/>
      <c r="VFK482" s="962"/>
      <c r="VFL482" s="962"/>
      <c r="VFM482" s="962"/>
      <c r="VFN482" s="962"/>
      <c r="VFO482" s="962"/>
      <c r="VFP482" s="962"/>
      <c r="VFQ482" s="962"/>
      <c r="VFR482" s="962"/>
      <c r="VFS482" s="962"/>
      <c r="VFT482" s="962"/>
      <c r="VFU482" s="962"/>
      <c r="VFV482" s="962"/>
      <c r="VFW482" s="962"/>
      <c r="VFX482" s="962"/>
      <c r="VFY482" s="962"/>
      <c r="VFZ482" s="962"/>
      <c r="VGA482" s="962"/>
      <c r="VGB482" s="962"/>
      <c r="VGC482" s="962"/>
      <c r="VGD482" s="962"/>
      <c r="VGE482" s="962"/>
      <c r="VGF482" s="962"/>
      <c r="VGG482" s="962"/>
      <c r="VGH482" s="962"/>
      <c r="VGI482" s="962"/>
      <c r="VGJ482" s="962"/>
      <c r="VGK482" s="962"/>
      <c r="VGL482" s="962"/>
      <c r="VGM482" s="962"/>
      <c r="VGN482" s="962"/>
      <c r="VGO482" s="962"/>
      <c r="VGP482" s="962"/>
      <c r="VGQ482" s="962"/>
      <c r="VGR482" s="962"/>
      <c r="VGS482" s="962"/>
      <c r="VGT482" s="962"/>
      <c r="VGU482" s="962"/>
      <c r="VGV482" s="962"/>
      <c r="VGW482" s="962"/>
      <c r="VGX482" s="962"/>
      <c r="VGY482" s="962"/>
      <c r="VGZ482" s="962"/>
      <c r="VHA482" s="962"/>
      <c r="VHB482" s="962"/>
      <c r="VHC482" s="962"/>
      <c r="VHD482" s="962"/>
      <c r="VHE482" s="962"/>
      <c r="VHF482" s="962"/>
      <c r="VHG482" s="962"/>
      <c r="VHH482" s="962"/>
      <c r="VHI482" s="962"/>
      <c r="VHJ482" s="962"/>
      <c r="VHK482" s="962"/>
      <c r="VHL482" s="962"/>
      <c r="VHM482" s="962"/>
      <c r="VHN482" s="962"/>
      <c r="VHO482" s="962"/>
      <c r="VHP482" s="962"/>
      <c r="VHQ482" s="962"/>
      <c r="VHR482" s="962"/>
      <c r="VHS482" s="962"/>
      <c r="VHT482" s="962"/>
      <c r="VHU482" s="962"/>
      <c r="VHV482" s="962"/>
      <c r="VHW482" s="962"/>
      <c r="VHX482" s="962"/>
      <c r="VHY482" s="962"/>
      <c r="VHZ482" s="962"/>
      <c r="VIA482" s="962"/>
      <c r="VIB482" s="962"/>
      <c r="VIC482" s="962"/>
      <c r="VID482" s="962"/>
      <c r="VIE482" s="962"/>
      <c r="VIF482" s="962"/>
      <c r="VIG482" s="962"/>
      <c r="VIH482" s="962"/>
      <c r="VII482" s="962"/>
      <c r="VIJ482" s="962"/>
      <c r="VIK482" s="962"/>
      <c r="VIL482" s="962"/>
      <c r="VIM482" s="962"/>
      <c r="VIN482" s="962"/>
      <c r="VIO482" s="962"/>
      <c r="VIP482" s="962"/>
      <c r="VIQ482" s="962"/>
      <c r="VIR482" s="962"/>
      <c r="VIS482" s="962"/>
      <c r="VIT482" s="962"/>
      <c r="VIU482" s="962"/>
      <c r="VIV482" s="962"/>
      <c r="VIW482" s="962"/>
      <c r="VIX482" s="962"/>
      <c r="VIY482" s="962"/>
      <c r="VIZ482" s="962"/>
      <c r="VJA482" s="962"/>
      <c r="VJB482" s="962"/>
      <c r="VJC482" s="962"/>
      <c r="VJD482" s="962"/>
      <c r="VJE482" s="962"/>
      <c r="VJF482" s="962"/>
      <c r="VJG482" s="962"/>
      <c r="VJH482" s="962"/>
      <c r="VJI482" s="962"/>
      <c r="VJJ482" s="962"/>
      <c r="VJK482" s="962"/>
      <c r="VJL482" s="962"/>
      <c r="VJM482" s="962"/>
      <c r="VJN482" s="962"/>
      <c r="VJO482" s="962"/>
      <c r="VJP482" s="962"/>
      <c r="VJQ482" s="962"/>
      <c r="VJR482" s="962"/>
      <c r="VJS482" s="962"/>
      <c r="VJT482" s="962"/>
      <c r="VJU482" s="962"/>
      <c r="VJV482" s="962"/>
      <c r="VJW482" s="962"/>
      <c r="VJX482" s="962"/>
      <c r="VJY482" s="962"/>
      <c r="VJZ482" s="962"/>
      <c r="VKA482" s="962"/>
      <c r="VKB482" s="962"/>
      <c r="VKC482" s="962"/>
      <c r="VKD482" s="962"/>
      <c r="VKE482" s="962"/>
      <c r="VKF482" s="962"/>
      <c r="VKG482" s="962"/>
      <c r="VKH482" s="962"/>
      <c r="VKI482" s="962"/>
      <c r="VKJ482" s="962"/>
      <c r="VKK482" s="962"/>
      <c r="VKL482" s="962"/>
      <c r="VKM482" s="962"/>
      <c r="VKN482" s="962"/>
      <c r="VKO482" s="962"/>
      <c r="VKP482" s="962"/>
      <c r="VKQ482" s="962"/>
      <c r="VKR482" s="962"/>
      <c r="VKS482" s="962"/>
      <c r="VKT482" s="962"/>
      <c r="VKU482" s="962"/>
      <c r="VKV482" s="962"/>
      <c r="VKW482" s="962"/>
      <c r="VKX482" s="962"/>
      <c r="VKY482" s="962"/>
      <c r="VKZ482" s="962"/>
      <c r="VLA482" s="962"/>
      <c r="VLB482" s="962"/>
      <c r="VLC482" s="962"/>
      <c r="VLD482" s="962"/>
      <c r="VLE482" s="962"/>
      <c r="VLF482" s="962"/>
      <c r="VLG482" s="962"/>
      <c r="VLH482" s="962"/>
      <c r="VLI482" s="962"/>
      <c r="VLJ482" s="962"/>
      <c r="VLK482" s="962"/>
      <c r="VLL482" s="962"/>
      <c r="VLM482" s="962"/>
      <c r="VLN482" s="962"/>
      <c r="VLO482" s="962"/>
      <c r="VLP482" s="962"/>
      <c r="VLQ482" s="962"/>
      <c r="VLR482" s="962"/>
      <c r="VLS482" s="962"/>
      <c r="VLT482" s="962"/>
      <c r="VLU482" s="962"/>
      <c r="VLV482" s="962"/>
      <c r="VLW482" s="962"/>
      <c r="VLX482" s="962"/>
      <c r="VLY482" s="962"/>
      <c r="VLZ482" s="962"/>
      <c r="VMA482" s="962"/>
      <c r="VMB482" s="962"/>
      <c r="VMC482" s="962"/>
      <c r="VMD482" s="962"/>
      <c r="VME482" s="962"/>
      <c r="VMF482" s="962"/>
      <c r="VMG482" s="962"/>
      <c r="VMH482" s="962"/>
      <c r="VMI482" s="962"/>
      <c r="VMJ482" s="962"/>
      <c r="VMK482" s="962"/>
      <c r="VML482" s="962"/>
      <c r="VMM482" s="962"/>
      <c r="VMN482" s="962"/>
      <c r="VMO482" s="962"/>
      <c r="VMP482" s="962"/>
      <c r="VMQ482" s="962"/>
      <c r="VMR482" s="962"/>
      <c r="VMS482" s="962"/>
      <c r="VMT482" s="962"/>
      <c r="VMU482" s="962"/>
      <c r="VMV482" s="962"/>
      <c r="VMW482" s="962"/>
      <c r="VMX482" s="962"/>
      <c r="VMY482" s="962"/>
      <c r="VMZ482" s="962"/>
      <c r="VNA482" s="962"/>
      <c r="VNB482" s="962"/>
      <c r="VNC482" s="962"/>
      <c r="VND482" s="962"/>
      <c r="VNE482" s="962"/>
      <c r="VNF482" s="962"/>
      <c r="VNG482" s="962"/>
      <c r="VNH482" s="962"/>
      <c r="VNI482" s="962"/>
      <c r="VNJ482" s="962"/>
      <c r="VNK482" s="962"/>
      <c r="VNL482" s="962"/>
      <c r="VNM482" s="962"/>
      <c r="VNN482" s="962"/>
      <c r="VNO482" s="962"/>
      <c r="VNP482" s="962"/>
      <c r="VNQ482" s="962"/>
      <c r="VNR482" s="962"/>
      <c r="VNS482" s="962"/>
      <c r="VNT482" s="962"/>
      <c r="VNU482" s="962"/>
      <c r="VNV482" s="962"/>
      <c r="VNW482" s="962"/>
      <c r="VNX482" s="962"/>
      <c r="VNY482" s="962"/>
      <c r="VNZ482" s="962"/>
      <c r="VOA482" s="962"/>
      <c r="VOB482" s="962"/>
      <c r="VOC482" s="962"/>
      <c r="VOD482" s="962"/>
      <c r="VOE482" s="962"/>
      <c r="VOF482" s="962"/>
      <c r="VOG482" s="962"/>
      <c r="VOH482" s="962"/>
      <c r="VOI482" s="962"/>
      <c r="VOJ482" s="962"/>
      <c r="VOK482" s="962"/>
      <c r="VOL482" s="962"/>
      <c r="VOM482" s="962"/>
      <c r="VON482" s="962"/>
      <c r="VOO482" s="962"/>
      <c r="VOP482" s="962"/>
      <c r="VOQ482" s="962"/>
      <c r="VOR482" s="962"/>
      <c r="VOS482" s="962"/>
      <c r="VOT482" s="962"/>
      <c r="VOU482" s="962"/>
      <c r="VOV482" s="962"/>
      <c r="VOW482" s="962"/>
      <c r="VOX482" s="962"/>
      <c r="VOY482" s="962"/>
      <c r="VOZ482" s="962"/>
      <c r="VPA482" s="962"/>
      <c r="VPB482" s="962"/>
      <c r="VPC482" s="962"/>
      <c r="VPD482" s="962"/>
      <c r="VPE482" s="962"/>
      <c r="VPF482" s="962"/>
      <c r="VPG482" s="962"/>
      <c r="VPH482" s="962"/>
      <c r="VPI482" s="962"/>
      <c r="VPJ482" s="962"/>
      <c r="VPK482" s="962"/>
      <c r="VPL482" s="962"/>
      <c r="VPM482" s="962"/>
      <c r="VPN482" s="962"/>
      <c r="VPO482" s="962"/>
      <c r="VPP482" s="962"/>
      <c r="VPQ482" s="962"/>
      <c r="VPR482" s="962"/>
      <c r="VPS482" s="962"/>
      <c r="VPT482" s="962"/>
      <c r="VPU482" s="962"/>
      <c r="VPV482" s="962"/>
      <c r="VPW482" s="962"/>
      <c r="VPX482" s="962"/>
      <c r="VPY482" s="962"/>
      <c r="VPZ482" s="962"/>
      <c r="VQA482" s="962"/>
      <c r="VQB482" s="962"/>
      <c r="VQC482" s="962"/>
      <c r="VQD482" s="962"/>
      <c r="VQE482" s="962"/>
      <c r="VQF482" s="962"/>
      <c r="VQG482" s="962"/>
      <c r="VQH482" s="962"/>
      <c r="VQI482" s="962"/>
      <c r="VQJ482" s="962"/>
      <c r="VQK482" s="962"/>
      <c r="VQL482" s="962"/>
      <c r="VQM482" s="962"/>
      <c r="VQN482" s="962"/>
      <c r="VQO482" s="962"/>
      <c r="VQP482" s="962"/>
      <c r="VQQ482" s="962"/>
      <c r="VQR482" s="962"/>
      <c r="VQS482" s="962"/>
      <c r="VQT482" s="962"/>
      <c r="VQU482" s="962"/>
      <c r="VQV482" s="962"/>
      <c r="VQW482" s="962"/>
      <c r="VQX482" s="962"/>
      <c r="VQY482" s="962"/>
      <c r="VQZ482" s="962"/>
      <c r="VRA482" s="962"/>
      <c r="VRB482" s="962"/>
      <c r="VRC482" s="962"/>
      <c r="VRD482" s="962"/>
      <c r="VRE482" s="962"/>
      <c r="VRF482" s="962"/>
      <c r="VRG482" s="962"/>
      <c r="VRH482" s="962"/>
      <c r="VRI482" s="962"/>
      <c r="VRJ482" s="962"/>
      <c r="VRK482" s="962"/>
      <c r="VRL482" s="962"/>
      <c r="VRM482" s="962"/>
      <c r="VRN482" s="962"/>
      <c r="VRO482" s="962"/>
      <c r="VRP482" s="962"/>
      <c r="VRQ482" s="962"/>
      <c r="VRR482" s="962"/>
      <c r="VRS482" s="962"/>
      <c r="VRT482" s="962"/>
      <c r="VRU482" s="962"/>
      <c r="VRV482" s="962"/>
      <c r="VRW482" s="962"/>
      <c r="VRX482" s="962"/>
      <c r="VRY482" s="962"/>
      <c r="VRZ482" s="962"/>
      <c r="VSA482" s="962"/>
      <c r="VSB482" s="962"/>
      <c r="VSC482" s="962"/>
      <c r="VSD482" s="962"/>
      <c r="VSE482" s="962"/>
      <c r="VSF482" s="962"/>
      <c r="VSG482" s="962"/>
      <c r="VSH482" s="962"/>
      <c r="VSI482" s="962"/>
      <c r="VSJ482" s="962"/>
      <c r="VSK482" s="962"/>
      <c r="VSL482" s="962"/>
      <c r="VSM482" s="962"/>
      <c r="VSN482" s="962"/>
      <c r="VSO482" s="962"/>
      <c r="VSP482" s="962"/>
      <c r="VSQ482" s="962"/>
      <c r="VSR482" s="962"/>
      <c r="VSS482" s="962"/>
      <c r="VST482" s="962"/>
      <c r="VSU482" s="962"/>
      <c r="VSV482" s="962"/>
      <c r="VSW482" s="962"/>
      <c r="VSX482" s="962"/>
      <c r="VSY482" s="962"/>
      <c r="VSZ482" s="962"/>
      <c r="VTA482" s="962"/>
      <c r="VTB482" s="962"/>
      <c r="VTC482" s="962"/>
      <c r="VTD482" s="962"/>
      <c r="VTE482" s="962"/>
      <c r="VTF482" s="962"/>
      <c r="VTG482" s="962"/>
      <c r="VTH482" s="962"/>
      <c r="VTI482" s="962"/>
      <c r="VTJ482" s="962"/>
      <c r="VTK482" s="962"/>
      <c r="VTL482" s="962"/>
      <c r="VTM482" s="962"/>
      <c r="VTN482" s="962"/>
      <c r="VTO482" s="962"/>
      <c r="VTP482" s="962"/>
      <c r="VTQ482" s="962"/>
      <c r="VTR482" s="962"/>
      <c r="VTS482" s="962"/>
      <c r="VTT482" s="962"/>
      <c r="VTU482" s="962"/>
      <c r="VTV482" s="962"/>
      <c r="VTW482" s="962"/>
      <c r="VTX482" s="962"/>
      <c r="VTY482" s="962"/>
      <c r="VTZ482" s="962"/>
      <c r="VUA482" s="962"/>
      <c r="VUB482" s="962"/>
      <c r="VUC482" s="962"/>
      <c r="VUD482" s="962"/>
      <c r="VUE482" s="962"/>
      <c r="VUF482" s="962"/>
      <c r="VUG482" s="962"/>
      <c r="VUH482" s="962"/>
      <c r="VUI482" s="962"/>
      <c r="VUJ482" s="962"/>
      <c r="VUK482" s="962"/>
      <c r="VUL482" s="962"/>
      <c r="VUM482" s="962"/>
      <c r="VUN482" s="962"/>
      <c r="VUO482" s="962"/>
      <c r="VUP482" s="962"/>
      <c r="VUQ482" s="962"/>
      <c r="VUR482" s="962"/>
      <c r="VUS482" s="962"/>
      <c r="VUT482" s="962"/>
      <c r="VUU482" s="962"/>
      <c r="VUV482" s="962"/>
      <c r="VUW482" s="962"/>
      <c r="VUX482" s="962"/>
      <c r="VUY482" s="962"/>
      <c r="VUZ482" s="962"/>
      <c r="VVA482" s="962"/>
      <c r="VVB482" s="962"/>
      <c r="VVC482" s="962"/>
      <c r="VVD482" s="962"/>
      <c r="VVE482" s="962"/>
      <c r="VVF482" s="962"/>
      <c r="VVG482" s="962"/>
      <c r="VVH482" s="962"/>
      <c r="VVI482" s="962"/>
      <c r="VVJ482" s="962"/>
      <c r="VVK482" s="962"/>
      <c r="VVL482" s="962"/>
      <c r="VVM482" s="962"/>
      <c r="VVN482" s="962"/>
      <c r="VVO482" s="962"/>
      <c r="VVP482" s="962"/>
      <c r="VVQ482" s="962"/>
      <c r="VVR482" s="962"/>
      <c r="VVS482" s="962"/>
      <c r="VVT482" s="962"/>
      <c r="VVU482" s="962"/>
      <c r="VVV482" s="962"/>
      <c r="VVW482" s="962"/>
      <c r="VVX482" s="962"/>
      <c r="VVY482" s="962"/>
      <c r="VVZ482" s="962"/>
      <c r="VWA482" s="962"/>
      <c r="VWB482" s="962"/>
      <c r="VWC482" s="962"/>
      <c r="VWD482" s="962"/>
      <c r="VWE482" s="962"/>
      <c r="VWF482" s="962"/>
      <c r="VWG482" s="962"/>
      <c r="VWH482" s="962"/>
      <c r="VWI482" s="962"/>
      <c r="VWJ482" s="962"/>
      <c r="VWK482" s="962"/>
      <c r="VWL482" s="962"/>
      <c r="VWM482" s="962"/>
      <c r="VWN482" s="962"/>
      <c r="VWO482" s="962"/>
      <c r="VWP482" s="962"/>
      <c r="VWQ482" s="962"/>
      <c r="VWR482" s="962"/>
      <c r="VWS482" s="962"/>
      <c r="VWT482" s="962"/>
      <c r="VWU482" s="962"/>
      <c r="VWV482" s="962"/>
      <c r="VWW482" s="962"/>
      <c r="VWX482" s="962"/>
      <c r="VWY482" s="962"/>
      <c r="VWZ482" s="962"/>
      <c r="VXA482" s="962"/>
      <c r="VXB482" s="962"/>
      <c r="VXC482" s="962"/>
      <c r="VXD482" s="962"/>
      <c r="VXE482" s="962"/>
      <c r="VXF482" s="962"/>
      <c r="VXG482" s="962"/>
      <c r="VXH482" s="962"/>
      <c r="VXI482" s="962"/>
      <c r="VXJ482" s="962"/>
      <c r="VXK482" s="962"/>
      <c r="VXL482" s="962"/>
      <c r="VXM482" s="962"/>
      <c r="VXN482" s="962"/>
      <c r="VXO482" s="962"/>
      <c r="VXP482" s="962"/>
      <c r="VXQ482" s="962"/>
      <c r="VXR482" s="962"/>
      <c r="VXS482" s="962"/>
      <c r="VXT482" s="962"/>
      <c r="VXU482" s="962"/>
      <c r="VXV482" s="962"/>
      <c r="VXW482" s="962"/>
      <c r="VXX482" s="962"/>
      <c r="VXY482" s="962"/>
      <c r="VXZ482" s="962"/>
      <c r="VYA482" s="962"/>
      <c r="VYB482" s="962"/>
      <c r="VYC482" s="962"/>
      <c r="VYD482" s="962"/>
      <c r="VYE482" s="962"/>
      <c r="VYF482" s="962"/>
      <c r="VYG482" s="962"/>
      <c r="VYH482" s="962"/>
      <c r="VYI482" s="962"/>
      <c r="VYJ482" s="962"/>
      <c r="VYK482" s="962"/>
      <c r="VYL482" s="962"/>
      <c r="VYM482" s="962"/>
      <c r="VYN482" s="962"/>
      <c r="VYO482" s="962"/>
      <c r="VYP482" s="962"/>
      <c r="VYQ482" s="962"/>
      <c r="VYR482" s="962"/>
      <c r="VYS482" s="962"/>
      <c r="VYT482" s="962"/>
      <c r="VYU482" s="962"/>
      <c r="VYV482" s="962"/>
      <c r="VYW482" s="962"/>
      <c r="VYX482" s="962"/>
      <c r="VYY482" s="962"/>
      <c r="VYZ482" s="962"/>
      <c r="VZA482" s="962"/>
      <c r="VZB482" s="962"/>
      <c r="VZC482" s="962"/>
      <c r="VZD482" s="962"/>
      <c r="VZE482" s="962"/>
      <c r="VZF482" s="962"/>
      <c r="VZG482" s="962"/>
      <c r="VZH482" s="962"/>
      <c r="VZI482" s="962"/>
      <c r="VZJ482" s="962"/>
      <c r="VZK482" s="962"/>
      <c r="VZL482" s="962"/>
      <c r="VZM482" s="962"/>
      <c r="VZN482" s="962"/>
      <c r="VZO482" s="962"/>
      <c r="VZP482" s="962"/>
      <c r="VZQ482" s="962"/>
      <c r="VZR482" s="962"/>
      <c r="VZS482" s="962"/>
      <c r="VZT482" s="962"/>
      <c r="VZU482" s="962"/>
      <c r="VZV482" s="962"/>
      <c r="VZW482" s="962"/>
      <c r="VZX482" s="962"/>
      <c r="VZY482" s="962"/>
      <c r="VZZ482" s="962"/>
      <c r="WAA482" s="962"/>
      <c r="WAB482" s="962"/>
      <c r="WAC482" s="962"/>
      <c r="WAD482" s="962"/>
      <c r="WAE482" s="962"/>
      <c r="WAF482" s="962"/>
      <c r="WAG482" s="962"/>
      <c r="WAH482" s="962"/>
      <c r="WAI482" s="962"/>
      <c r="WAJ482" s="962"/>
      <c r="WAK482" s="962"/>
      <c r="WAL482" s="962"/>
      <c r="WAM482" s="962"/>
      <c r="WAN482" s="962"/>
      <c r="WAO482" s="962"/>
      <c r="WAP482" s="962"/>
      <c r="WAQ482" s="962"/>
      <c r="WAR482" s="962"/>
      <c r="WAS482" s="962"/>
      <c r="WAT482" s="962"/>
      <c r="WAU482" s="962"/>
      <c r="WAV482" s="962"/>
      <c r="WAW482" s="962"/>
      <c r="WAX482" s="962"/>
      <c r="WAY482" s="962"/>
      <c r="WAZ482" s="962"/>
      <c r="WBA482" s="962"/>
      <c r="WBB482" s="962"/>
      <c r="WBC482" s="962"/>
      <c r="WBD482" s="962"/>
      <c r="WBE482" s="962"/>
      <c r="WBF482" s="962"/>
      <c r="WBG482" s="962"/>
      <c r="WBH482" s="962"/>
      <c r="WBI482" s="962"/>
      <c r="WBJ482" s="962"/>
      <c r="WBK482" s="962"/>
      <c r="WBL482" s="962"/>
      <c r="WBM482" s="962"/>
      <c r="WBN482" s="962"/>
      <c r="WBO482" s="962"/>
      <c r="WBP482" s="962"/>
      <c r="WBQ482" s="962"/>
      <c r="WBR482" s="962"/>
      <c r="WBS482" s="962"/>
      <c r="WBT482" s="962"/>
      <c r="WBU482" s="962"/>
      <c r="WBV482" s="962"/>
      <c r="WBW482" s="962"/>
      <c r="WBX482" s="962"/>
      <c r="WBY482" s="962"/>
      <c r="WBZ482" s="962"/>
      <c r="WCA482" s="962"/>
      <c r="WCB482" s="962"/>
      <c r="WCC482" s="962"/>
      <c r="WCD482" s="962"/>
      <c r="WCE482" s="962"/>
      <c r="WCF482" s="962"/>
      <c r="WCG482" s="962"/>
      <c r="WCH482" s="962"/>
      <c r="WCI482" s="962"/>
      <c r="WCJ482" s="962"/>
      <c r="WCK482" s="962"/>
      <c r="WCL482" s="962"/>
      <c r="WCM482" s="962"/>
      <c r="WCN482" s="962"/>
      <c r="WCO482" s="962"/>
      <c r="WCP482" s="962"/>
      <c r="WCQ482" s="962"/>
      <c r="WCR482" s="962"/>
      <c r="WCS482" s="962"/>
      <c r="WCT482" s="962"/>
      <c r="WCU482" s="962"/>
      <c r="WCV482" s="962"/>
      <c r="WCW482" s="962"/>
      <c r="WCX482" s="962"/>
      <c r="WCY482" s="962"/>
      <c r="WCZ482" s="962"/>
      <c r="WDA482" s="962"/>
      <c r="WDB482" s="962"/>
      <c r="WDC482" s="962"/>
      <c r="WDD482" s="962"/>
      <c r="WDE482" s="962"/>
      <c r="WDF482" s="962"/>
      <c r="WDG482" s="962"/>
      <c r="WDH482" s="962"/>
      <c r="WDI482" s="962"/>
      <c r="WDJ482" s="962"/>
      <c r="WDK482" s="962"/>
      <c r="WDL482" s="962"/>
      <c r="WDM482" s="962"/>
      <c r="WDN482" s="962"/>
      <c r="WDO482" s="962"/>
      <c r="WDP482" s="962"/>
      <c r="WDQ482" s="962"/>
      <c r="WDR482" s="962"/>
      <c r="WDS482" s="962"/>
      <c r="WDT482" s="962"/>
      <c r="WDU482" s="962"/>
      <c r="WDV482" s="962"/>
      <c r="WDW482" s="962"/>
      <c r="WDX482" s="962"/>
      <c r="WDY482" s="962"/>
      <c r="WDZ482" s="962"/>
      <c r="WEA482" s="962"/>
      <c r="WEB482" s="962"/>
      <c r="WEC482" s="962"/>
      <c r="WED482" s="962"/>
      <c r="WEE482" s="962"/>
      <c r="WEF482" s="962"/>
      <c r="WEG482" s="962"/>
      <c r="WEH482" s="962"/>
      <c r="WEI482" s="962"/>
      <c r="WEJ482" s="962"/>
      <c r="WEK482" s="962"/>
      <c r="WEL482" s="962"/>
      <c r="WEM482" s="962"/>
      <c r="WEN482" s="962"/>
      <c r="WEO482" s="962"/>
      <c r="WEP482" s="962"/>
      <c r="WEQ482" s="962"/>
      <c r="WER482" s="962"/>
      <c r="WES482" s="962"/>
      <c r="WET482" s="962"/>
      <c r="WEU482" s="962"/>
      <c r="WEV482" s="962"/>
      <c r="WEW482" s="962"/>
      <c r="WEX482" s="962"/>
      <c r="WEY482" s="962"/>
      <c r="WEZ482" s="962"/>
      <c r="WFA482" s="962"/>
      <c r="WFB482" s="962"/>
      <c r="WFC482" s="962"/>
      <c r="WFD482" s="962"/>
      <c r="WFE482" s="962"/>
      <c r="WFF482" s="962"/>
      <c r="WFG482" s="962"/>
      <c r="WFH482" s="962"/>
      <c r="WFI482" s="962"/>
      <c r="WFJ482" s="962"/>
      <c r="WFK482" s="962"/>
      <c r="WFL482" s="962"/>
      <c r="WFM482" s="962"/>
      <c r="WFN482" s="962"/>
      <c r="WFO482" s="962"/>
      <c r="WFP482" s="962"/>
      <c r="WFQ482" s="962"/>
      <c r="WFR482" s="962"/>
      <c r="WFS482" s="962"/>
      <c r="WFT482" s="962"/>
      <c r="WFU482" s="962"/>
      <c r="WFV482" s="962"/>
      <c r="WFW482" s="962"/>
      <c r="WFX482" s="962"/>
      <c r="WFY482" s="962"/>
      <c r="WFZ482" s="962"/>
      <c r="WGA482" s="962"/>
      <c r="WGB482" s="962"/>
      <c r="WGC482" s="962"/>
      <c r="WGD482" s="962"/>
      <c r="WGE482" s="962"/>
      <c r="WGF482" s="962"/>
      <c r="WGG482" s="962"/>
      <c r="WGH482" s="962"/>
      <c r="WGI482" s="962"/>
      <c r="WGJ482" s="962"/>
      <c r="WGK482" s="962"/>
      <c r="WGL482" s="962"/>
      <c r="WGM482" s="962"/>
      <c r="WGN482" s="962"/>
      <c r="WGO482" s="962"/>
      <c r="WGP482" s="962"/>
      <c r="WGQ482" s="962"/>
      <c r="WGR482" s="962"/>
      <c r="WGS482" s="962"/>
      <c r="WGT482" s="962"/>
      <c r="WGU482" s="962"/>
      <c r="WGV482" s="962"/>
      <c r="WGW482" s="962"/>
      <c r="WGX482" s="962"/>
      <c r="WGY482" s="962"/>
      <c r="WGZ482" s="962"/>
      <c r="WHA482" s="962"/>
      <c r="WHB482" s="962"/>
      <c r="WHC482" s="962"/>
      <c r="WHD482" s="962"/>
      <c r="WHE482" s="962"/>
      <c r="WHF482" s="962"/>
      <c r="WHG482" s="962"/>
      <c r="WHH482" s="962"/>
      <c r="WHI482" s="962"/>
      <c r="WHJ482" s="962"/>
      <c r="WHK482" s="962"/>
      <c r="WHL482" s="962"/>
      <c r="WHM482" s="962"/>
      <c r="WHN482" s="962"/>
      <c r="WHO482" s="962"/>
      <c r="WHP482" s="962"/>
      <c r="WHQ482" s="962"/>
      <c r="WHR482" s="962"/>
      <c r="WHS482" s="962"/>
      <c r="WHT482" s="962"/>
      <c r="WHU482" s="962"/>
      <c r="WHV482" s="962"/>
      <c r="WHW482" s="962"/>
      <c r="WHX482" s="962"/>
      <c r="WHY482" s="962"/>
      <c r="WHZ482" s="962"/>
      <c r="WIA482" s="962"/>
      <c r="WIB482" s="962"/>
      <c r="WIC482" s="962"/>
      <c r="WID482" s="962"/>
      <c r="WIE482" s="962"/>
      <c r="WIF482" s="962"/>
      <c r="WIG482" s="962"/>
      <c r="WIH482" s="962"/>
      <c r="WII482" s="962"/>
      <c r="WIJ482" s="962"/>
      <c r="WIK482" s="962"/>
      <c r="WIL482" s="962"/>
      <c r="WIM482" s="962"/>
      <c r="WIN482" s="962"/>
      <c r="WIO482" s="962"/>
      <c r="WIP482" s="962"/>
      <c r="WIQ482" s="962"/>
      <c r="WIR482" s="962"/>
      <c r="WIS482" s="962"/>
      <c r="WIT482" s="962"/>
      <c r="WIU482" s="962"/>
      <c r="WIV482" s="962"/>
      <c r="WIW482" s="962"/>
      <c r="WIX482" s="962"/>
      <c r="WIY482" s="962"/>
      <c r="WIZ482" s="962"/>
      <c r="WJA482" s="962"/>
      <c r="WJB482" s="962"/>
      <c r="WJC482" s="962"/>
      <c r="WJD482" s="962"/>
      <c r="WJE482" s="962"/>
      <c r="WJF482" s="962"/>
      <c r="WJG482" s="962"/>
      <c r="WJH482" s="962"/>
      <c r="WJI482" s="962"/>
      <c r="WJJ482" s="962"/>
      <c r="WJK482" s="962"/>
      <c r="WJL482" s="962"/>
      <c r="WJM482" s="962"/>
      <c r="WJN482" s="962"/>
      <c r="WJO482" s="962"/>
      <c r="WJP482" s="962"/>
      <c r="WJQ482" s="962"/>
      <c r="WJR482" s="962"/>
      <c r="WJS482" s="962"/>
      <c r="WJT482" s="962"/>
      <c r="WJU482" s="962"/>
      <c r="WJV482" s="962"/>
      <c r="WJW482" s="962"/>
      <c r="WJX482" s="962"/>
      <c r="WJY482" s="962"/>
      <c r="WJZ482" s="962"/>
      <c r="WKA482" s="962"/>
      <c r="WKB482" s="962"/>
      <c r="WKC482" s="962"/>
      <c r="WKD482" s="962"/>
      <c r="WKE482" s="962"/>
      <c r="WKF482" s="962"/>
      <c r="WKG482" s="962"/>
      <c r="WKH482" s="962"/>
      <c r="WKI482" s="962"/>
      <c r="WKJ482" s="962"/>
      <c r="WKK482" s="962"/>
      <c r="WKL482" s="962"/>
      <c r="WKM482" s="962"/>
      <c r="WKN482" s="962"/>
      <c r="WKO482" s="962"/>
      <c r="WKP482" s="962"/>
      <c r="WKQ482" s="962"/>
      <c r="WKR482" s="962"/>
      <c r="WKS482" s="962"/>
      <c r="WKT482" s="962"/>
      <c r="WKU482" s="962"/>
      <c r="WKV482" s="962"/>
      <c r="WKW482" s="962"/>
      <c r="WKX482" s="962"/>
      <c r="WKY482" s="962"/>
      <c r="WKZ482" s="962"/>
      <c r="WLA482" s="962"/>
      <c r="WLB482" s="962"/>
      <c r="WLC482" s="962"/>
      <c r="WLD482" s="962"/>
      <c r="WLE482" s="962"/>
      <c r="WLF482" s="962"/>
      <c r="WLG482" s="962"/>
      <c r="WLH482" s="962"/>
      <c r="WLI482" s="962"/>
      <c r="WLJ482" s="962"/>
      <c r="WLK482" s="962"/>
      <c r="WLL482" s="962"/>
      <c r="WLM482" s="962"/>
      <c r="WLN482" s="962"/>
      <c r="WLO482" s="962"/>
      <c r="WLP482" s="962"/>
      <c r="WLQ482" s="962"/>
      <c r="WLR482" s="962"/>
      <c r="WLS482" s="962"/>
      <c r="WLT482" s="962"/>
      <c r="WLU482" s="962"/>
      <c r="WLV482" s="962"/>
      <c r="WLW482" s="962"/>
      <c r="WLX482" s="962"/>
      <c r="WLY482" s="962"/>
      <c r="WLZ482" s="962"/>
      <c r="WMA482" s="962"/>
      <c r="WMB482" s="962"/>
      <c r="WMC482" s="962"/>
      <c r="WMD482" s="962"/>
      <c r="WME482" s="962"/>
      <c r="WMF482" s="962"/>
      <c r="WMG482" s="962"/>
      <c r="WMH482" s="962"/>
      <c r="WMI482" s="962"/>
      <c r="WMJ482" s="962"/>
      <c r="WMK482" s="962"/>
      <c r="WML482" s="962"/>
      <c r="WMM482" s="962"/>
      <c r="WMN482" s="962"/>
      <c r="WMO482" s="962"/>
      <c r="WMP482" s="962"/>
      <c r="WMQ482" s="962"/>
      <c r="WMR482" s="962"/>
      <c r="WMS482" s="962"/>
      <c r="WMT482" s="962"/>
      <c r="WMU482" s="962"/>
      <c r="WMV482" s="962"/>
      <c r="WMW482" s="962"/>
      <c r="WMX482" s="962"/>
      <c r="WMY482" s="962"/>
      <c r="WMZ482" s="962"/>
      <c r="WNA482" s="962"/>
      <c r="WNB482" s="962"/>
      <c r="WNC482" s="962"/>
      <c r="WND482" s="962"/>
      <c r="WNE482" s="962"/>
      <c r="WNF482" s="962"/>
      <c r="WNG482" s="962"/>
      <c r="WNH482" s="962"/>
      <c r="WNI482" s="962"/>
      <c r="WNJ482" s="962"/>
      <c r="WNK482" s="962"/>
      <c r="WNL482" s="962"/>
      <c r="WNM482" s="962"/>
      <c r="WNN482" s="962"/>
      <c r="WNO482" s="962"/>
      <c r="WNP482" s="962"/>
      <c r="WNQ482" s="962"/>
      <c r="WNR482" s="962"/>
      <c r="WNS482" s="962"/>
      <c r="WNT482" s="962"/>
      <c r="WNU482" s="962"/>
      <c r="WNV482" s="962"/>
      <c r="WNW482" s="962"/>
      <c r="WNX482" s="962"/>
      <c r="WNY482" s="962"/>
      <c r="WNZ482" s="962"/>
      <c r="WOA482" s="962"/>
      <c r="WOB482" s="962"/>
      <c r="WOC482" s="962"/>
      <c r="WOD482" s="962"/>
      <c r="WOE482" s="962"/>
      <c r="WOF482" s="962"/>
      <c r="WOG482" s="962"/>
      <c r="WOH482" s="962"/>
      <c r="WOI482" s="962"/>
      <c r="WOJ482" s="962"/>
      <c r="WOK482" s="962"/>
      <c r="WOL482" s="962"/>
      <c r="WOM482" s="962"/>
      <c r="WON482" s="962"/>
      <c r="WOO482" s="962"/>
      <c r="WOP482" s="962"/>
      <c r="WOQ482" s="962"/>
      <c r="WOR482" s="962"/>
      <c r="WOS482" s="962"/>
      <c r="WOT482" s="962"/>
      <c r="WOU482" s="962"/>
      <c r="WOV482" s="962"/>
      <c r="WOW482" s="962"/>
      <c r="WOX482" s="962"/>
      <c r="WOY482" s="962"/>
      <c r="WOZ482" s="962"/>
      <c r="WPA482" s="962"/>
      <c r="WPB482" s="962"/>
      <c r="WPC482" s="962"/>
      <c r="WPD482" s="962"/>
      <c r="WPE482" s="962"/>
      <c r="WPF482" s="962"/>
      <c r="WPG482" s="962"/>
      <c r="WPH482" s="962"/>
      <c r="WPI482" s="962"/>
      <c r="WPJ482" s="962"/>
      <c r="WPK482" s="962"/>
      <c r="WPL482" s="962"/>
      <c r="WPM482" s="962"/>
      <c r="WPN482" s="962"/>
      <c r="WPO482" s="962"/>
      <c r="WPP482" s="962"/>
      <c r="WPQ482" s="962"/>
      <c r="WPR482" s="962"/>
      <c r="WPS482" s="962"/>
      <c r="WPT482" s="962"/>
      <c r="WPU482" s="962"/>
      <c r="WPV482" s="962"/>
      <c r="WPW482" s="962"/>
      <c r="WPX482" s="962"/>
      <c r="WPY482" s="962"/>
      <c r="WPZ482" s="962"/>
      <c r="WQA482" s="962"/>
      <c r="WQB482" s="962"/>
      <c r="WQC482" s="962"/>
      <c r="WQD482" s="962"/>
      <c r="WQE482" s="962"/>
      <c r="WQF482" s="962"/>
      <c r="WQG482" s="962"/>
      <c r="WQH482" s="962"/>
      <c r="WQI482" s="962"/>
      <c r="WQJ482" s="962"/>
      <c r="WQK482" s="962"/>
      <c r="WQL482" s="962"/>
      <c r="WQM482" s="962"/>
      <c r="WQN482" s="962"/>
      <c r="WQO482" s="962"/>
      <c r="WQP482" s="962"/>
      <c r="WQQ482" s="962"/>
      <c r="WQR482" s="962"/>
      <c r="WQS482" s="962"/>
      <c r="WQT482" s="962"/>
      <c r="WQU482" s="962"/>
      <c r="WQV482" s="962"/>
      <c r="WQW482" s="962"/>
      <c r="WQX482" s="962"/>
      <c r="WQY482" s="962"/>
      <c r="WQZ482" s="962"/>
      <c r="WRA482" s="962"/>
      <c r="WRB482" s="962"/>
      <c r="WRC482" s="962"/>
      <c r="WRD482" s="962"/>
      <c r="WRE482" s="962"/>
      <c r="WRF482" s="962"/>
      <c r="WRG482" s="962"/>
      <c r="WRH482" s="962"/>
      <c r="WRI482" s="962"/>
      <c r="WRJ482" s="962"/>
      <c r="WRK482" s="962"/>
      <c r="WRL482" s="962"/>
      <c r="WRM482" s="962"/>
      <c r="WRN482" s="962"/>
      <c r="WRO482" s="962"/>
      <c r="WRP482" s="962"/>
      <c r="WRQ482" s="962"/>
      <c r="WRR482" s="962"/>
      <c r="WRS482" s="962"/>
      <c r="WRT482" s="962"/>
      <c r="WRU482" s="962"/>
      <c r="WRV482" s="962"/>
      <c r="WRW482" s="962"/>
      <c r="WRX482" s="962"/>
      <c r="WRY482" s="962"/>
      <c r="WRZ482" s="962"/>
      <c r="WSA482" s="962"/>
      <c r="WSB482" s="962"/>
      <c r="WSC482" s="962"/>
      <c r="WSD482" s="962"/>
      <c r="WSE482" s="962"/>
      <c r="WSF482" s="962"/>
      <c r="WSG482" s="962"/>
      <c r="WSH482" s="962"/>
      <c r="WSI482" s="962"/>
      <c r="WSJ482" s="962"/>
      <c r="WSK482" s="962"/>
      <c r="WSL482" s="962"/>
      <c r="WSM482" s="962"/>
      <c r="WSN482" s="962"/>
      <c r="WSO482" s="962"/>
      <c r="WSP482" s="962"/>
      <c r="WSQ482" s="962"/>
      <c r="WSR482" s="962"/>
      <c r="WSS482" s="962"/>
      <c r="WST482" s="962"/>
      <c r="WSU482" s="962"/>
      <c r="WSV482" s="962"/>
      <c r="WSW482" s="962"/>
      <c r="WSX482" s="962"/>
      <c r="WSY482" s="962"/>
      <c r="WSZ482" s="962"/>
      <c r="WTA482" s="962"/>
      <c r="WTB482" s="962"/>
      <c r="WTC482" s="962"/>
      <c r="WTD482" s="962"/>
      <c r="WTE482" s="962"/>
      <c r="WTF482" s="962"/>
      <c r="WTG482" s="962"/>
      <c r="WTH482" s="962"/>
      <c r="WTI482" s="962"/>
      <c r="WTJ482" s="962"/>
      <c r="WTK482" s="962"/>
      <c r="WTL482" s="962"/>
      <c r="WTM482" s="962"/>
      <c r="WTN482" s="962"/>
      <c r="WTO482" s="962"/>
      <c r="WTP482" s="962"/>
      <c r="WTQ482" s="962"/>
      <c r="WTR482" s="962"/>
      <c r="WTS482" s="962"/>
      <c r="WTT482" s="962"/>
      <c r="WTU482" s="962"/>
      <c r="WTV482" s="962"/>
      <c r="WTW482" s="962"/>
      <c r="WTX482" s="962"/>
      <c r="WTY482" s="962"/>
      <c r="WTZ482" s="962"/>
      <c r="WUA482" s="962"/>
      <c r="WUB482" s="962"/>
      <c r="WUC482" s="962"/>
      <c r="WUD482" s="962"/>
      <c r="WUE482" s="962"/>
      <c r="WUF482" s="962"/>
      <c r="WUG482" s="962"/>
      <c r="WUH482" s="962"/>
      <c r="WUI482" s="962"/>
      <c r="WUJ482" s="962"/>
      <c r="WUK482" s="962"/>
      <c r="WUL482" s="962"/>
      <c r="WUM482" s="962"/>
      <c r="WUN482" s="962"/>
      <c r="WUO482" s="962"/>
      <c r="WUP482" s="962"/>
      <c r="WUQ482" s="962"/>
      <c r="WUR482" s="962"/>
      <c r="WUS482" s="962"/>
      <c r="WUT482" s="962"/>
      <c r="WUU482" s="962"/>
      <c r="WUV482" s="962"/>
      <c r="WUW482" s="962"/>
      <c r="WUX482" s="962"/>
      <c r="WUY482" s="962"/>
      <c r="WUZ482" s="962"/>
      <c r="WVA482" s="962"/>
      <c r="WVB482" s="962"/>
      <c r="WVC482" s="962"/>
      <c r="WVD482" s="962"/>
      <c r="WVE482" s="962"/>
      <c r="WVF482" s="962"/>
      <c r="WVG482" s="962"/>
      <c r="WVH482" s="962"/>
      <c r="WVI482" s="962"/>
      <c r="WVJ482" s="962"/>
      <c r="WVK482" s="962"/>
      <c r="WVL482" s="962"/>
      <c r="WVM482" s="962"/>
      <c r="WVN482" s="962"/>
      <c r="WVO482" s="962"/>
      <c r="WVP482" s="962"/>
      <c r="WVQ482" s="962"/>
      <c r="WVR482" s="962"/>
      <c r="WVS482" s="962"/>
      <c r="WVT482" s="962"/>
      <c r="WVU482" s="962"/>
      <c r="WVV482" s="962"/>
      <c r="WVW482" s="962"/>
      <c r="WVX482" s="962"/>
      <c r="WVY482" s="962"/>
      <c r="WVZ482" s="962"/>
      <c r="WWA482" s="962"/>
      <c r="WWB482" s="962"/>
      <c r="WWC482" s="962"/>
      <c r="WWD482" s="962"/>
      <c r="WWE482" s="962"/>
      <c r="WWF482" s="962"/>
      <c r="WWG482" s="962"/>
      <c r="WWH482" s="962"/>
      <c r="WWI482" s="962"/>
      <c r="WWJ482" s="962"/>
      <c r="WWK482" s="962"/>
      <c r="WWL482" s="962"/>
      <c r="WWM482" s="962"/>
      <c r="WWN482" s="962"/>
      <c r="WWO482" s="962"/>
      <c r="WWP482" s="962"/>
      <c r="WWQ482" s="962"/>
      <c r="WWR482" s="962"/>
      <c r="WWS482" s="962"/>
      <c r="WWT482" s="962"/>
      <c r="WWU482" s="962"/>
      <c r="WWV482" s="962"/>
      <c r="WWW482" s="962"/>
      <c r="WWX482" s="962"/>
      <c r="WWY482" s="962"/>
      <c r="WWZ482" s="962"/>
      <c r="WXA482" s="962"/>
      <c r="WXB482" s="962"/>
      <c r="WXC482" s="962"/>
      <c r="WXD482" s="962"/>
      <c r="WXE482" s="962"/>
      <c r="WXF482" s="962"/>
      <c r="WXG482" s="962"/>
      <c r="WXH482" s="962"/>
      <c r="WXI482" s="962"/>
      <c r="WXJ482" s="962"/>
      <c r="WXK482" s="962"/>
      <c r="WXL482" s="962"/>
      <c r="WXM482" s="962"/>
      <c r="WXN482" s="962"/>
      <c r="WXO482" s="962"/>
      <c r="WXP482" s="962"/>
      <c r="WXQ482" s="962"/>
      <c r="WXR482" s="962"/>
      <c r="WXS482" s="962"/>
      <c r="WXT482" s="962"/>
      <c r="WXU482" s="962"/>
      <c r="WXV482" s="962"/>
      <c r="WXW482" s="962"/>
      <c r="WXX482" s="962"/>
      <c r="WXY482" s="962"/>
      <c r="WXZ482" s="962"/>
      <c r="WYA482" s="962"/>
      <c r="WYB482" s="962"/>
      <c r="WYC482" s="962"/>
      <c r="WYD482" s="962"/>
      <c r="WYE482" s="962"/>
      <c r="WYF482" s="962"/>
      <c r="WYG482" s="962"/>
      <c r="WYH482" s="962"/>
      <c r="WYI482" s="962"/>
      <c r="WYJ482" s="962"/>
      <c r="WYK482" s="962"/>
      <c r="WYL482" s="962"/>
      <c r="WYM482" s="962"/>
      <c r="WYN482" s="962"/>
      <c r="WYO482" s="962"/>
      <c r="WYP482" s="962"/>
      <c r="WYQ482" s="962"/>
      <c r="WYR482" s="962"/>
      <c r="WYS482" s="962"/>
      <c r="WYT482" s="962"/>
      <c r="WYU482" s="962"/>
      <c r="WYV482" s="962"/>
      <c r="WYW482" s="962"/>
      <c r="WYX482" s="962"/>
      <c r="WYY482" s="962"/>
      <c r="WYZ482" s="962"/>
      <c r="WZA482" s="962"/>
      <c r="WZB482" s="962"/>
      <c r="WZC482" s="962"/>
      <c r="WZD482" s="962"/>
      <c r="WZE482" s="962"/>
      <c r="WZF482" s="962"/>
      <c r="WZG482" s="962"/>
      <c r="WZH482" s="962"/>
      <c r="WZI482" s="962"/>
      <c r="WZJ482" s="962"/>
      <c r="WZK482" s="962"/>
      <c r="WZL482" s="962"/>
      <c r="WZM482" s="962"/>
      <c r="WZN482" s="962"/>
      <c r="WZO482" s="962"/>
      <c r="WZP482" s="962"/>
      <c r="WZQ482" s="962"/>
      <c r="WZR482" s="962"/>
      <c r="WZS482" s="962"/>
      <c r="WZT482" s="962"/>
      <c r="WZU482" s="962"/>
      <c r="WZV482" s="962"/>
      <c r="WZW482" s="962"/>
      <c r="WZX482" s="962"/>
      <c r="WZY482" s="962"/>
      <c r="WZZ482" s="962"/>
      <c r="XAA482" s="962"/>
      <c r="XAB482" s="962"/>
      <c r="XAC482" s="962"/>
      <c r="XAD482" s="962"/>
      <c r="XAE482" s="962"/>
      <c r="XAF482" s="962"/>
      <c r="XAG482" s="962"/>
      <c r="XAH482" s="962"/>
      <c r="XAI482" s="962"/>
      <c r="XAJ482" s="962"/>
      <c r="XAK482" s="962"/>
      <c r="XAL482" s="962"/>
      <c r="XAM482" s="962"/>
      <c r="XAN482" s="962"/>
      <c r="XAO482" s="962"/>
      <c r="XAP482" s="962"/>
      <c r="XAQ482" s="962"/>
      <c r="XAR482" s="962"/>
      <c r="XAS482" s="962"/>
      <c r="XAT482" s="962"/>
      <c r="XAU482" s="962"/>
      <c r="XAV482" s="962"/>
      <c r="XAW482" s="962"/>
      <c r="XAX482" s="962"/>
      <c r="XAY482" s="962"/>
      <c r="XAZ482" s="962"/>
      <c r="XBA482" s="962"/>
      <c r="XBB482" s="962"/>
      <c r="XBC482" s="962"/>
      <c r="XBD482" s="962"/>
      <c r="XBE482" s="962"/>
      <c r="XBF482" s="962"/>
      <c r="XBG482" s="962"/>
      <c r="XBH482" s="962"/>
      <c r="XBI482" s="962"/>
      <c r="XBJ482" s="962"/>
      <c r="XBK482" s="962"/>
      <c r="XBL482" s="962"/>
      <c r="XBM482" s="962"/>
      <c r="XBN482" s="962"/>
      <c r="XBO482" s="962"/>
      <c r="XBP482" s="962"/>
      <c r="XBQ482" s="962"/>
      <c r="XBR482" s="962"/>
      <c r="XBS482" s="962"/>
      <c r="XBT482" s="962"/>
      <c r="XBU482" s="962"/>
      <c r="XBV482" s="962"/>
      <c r="XBW482" s="962"/>
      <c r="XBX482" s="962"/>
      <c r="XBY482" s="962"/>
      <c r="XBZ482" s="962"/>
      <c r="XCA482" s="962"/>
      <c r="XCB482" s="962"/>
      <c r="XCC482" s="962"/>
      <c r="XCD482" s="962"/>
      <c r="XCE482" s="962"/>
      <c r="XCF482" s="962"/>
      <c r="XCG482" s="962"/>
      <c r="XCH482" s="962"/>
      <c r="XCI482" s="962"/>
      <c r="XCJ482" s="962"/>
      <c r="XCK482" s="962"/>
      <c r="XCL482" s="962"/>
      <c r="XCM482" s="962"/>
      <c r="XCN482" s="962"/>
      <c r="XCO482" s="962"/>
      <c r="XCP482" s="962"/>
      <c r="XCQ482" s="962"/>
      <c r="XCR482" s="962"/>
      <c r="XCS482" s="962"/>
      <c r="XCT482" s="962"/>
      <c r="XCU482" s="962"/>
      <c r="XCV482" s="962"/>
      <c r="XCW482" s="962"/>
      <c r="XCX482" s="962"/>
      <c r="XCY482" s="962"/>
      <c r="XCZ482" s="962"/>
      <c r="XDA482" s="962"/>
      <c r="XDB482" s="962"/>
      <c r="XDC482" s="962"/>
      <c r="XDD482" s="962"/>
      <c r="XDE482" s="962"/>
      <c r="XDF482" s="962"/>
      <c r="XDG482" s="962"/>
      <c r="XDH482" s="962"/>
      <c r="XDI482" s="962"/>
      <c r="XDJ482" s="962"/>
      <c r="XDK482" s="962"/>
      <c r="XDL482" s="962"/>
      <c r="XDM482" s="962"/>
      <c r="XDN482" s="962"/>
      <c r="XDO482" s="962"/>
      <c r="XDP482" s="962"/>
      <c r="XDQ482" s="962"/>
      <c r="XDR482" s="962"/>
      <c r="XDS482" s="962"/>
      <c r="XDT482" s="962"/>
      <c r="XDU482" s="962"/>
      <c r="XDV482" s="962"/>
      <c r="XDW482" s="962"/>
      <c r="XDX482" s="962"/>
      <c r="XDY482" s="962"/>
      <c r="XDZ482" s="962"/>
      <c r="XEA482" s="962"/>
      <c r="XEB482" s="962"/>
      <c r="XEC482" s="962"/>
      <c r="XED482" s="962"/>
      <c r="XEE482" s="962"/>
      <c r="XEF482" s="962"/>
      <c r="XEG482" s="962"/>
      <c r="XEH482" s="962"/>
      <c r="XEI482" s="962"/>
      <c r="XEJ482" s="962"/>
      <c r="XEK482" s="962"/>
      <c r="XEL482" s="962"/>
      <c r="XEM482" s="962"/>
      <c r="XEN482" s="962"/>
      <c r="XEO482" s="962"/>
      <c r="XEP482" s="962"/>
      <c r="XEQ482" s="962"/>
      <c r="XER482" s="962"/>
      <c r="XES482" s="962"/>
      <c r="XET482" s="962"/>
      <c r="XEU482" s="962"/>
      <c r="XEV482" s="962"/>
      <c r="XEW482" s="962"/>
      <c r="XEX482" s="962"/>
      <c r="XEY482" s="962"/>
      <c r="XEZ482" s="962"/>
      <c r="XFA482" s="962"/>
      <c r="XFB482" s="962"/>
      <c r="XFC482" s="962"/>
    </row>
    <row r="483" spans="1:16383">
      <c r="A483" s="808">
        <v>2019200495</v>
      </c>
      <c r="B483" s="881">
        <v>44392</v>
      </c>
      <c r="C483" s="881" t="s">
        <v>134</v>
      </c>
      <c r="D483" s="1133" t="str">
        <f>IFERROR(VLOOKUP(G483,PosAggregate!$B$13:$B$89,1,FALSE),"")</f>
        <v>6752 JP</v>
      </c>
      <c r="E483" s="1013" t="e">
        <f ca="1">_xll.BDP(G483  &amp; " Equity", "ID_ISIN", "Fill", "")</f>
        <v>#NAME?</v>
      </c>
      <c r="F483" s="1006" t="str">
        <f t="shared" si="124"/>
        <v>YES</v>
      </c>
      <c r="G483" s="594" t="s">
        <v>12704</v>
      </c>
      <c r="I483" s="833" t="s">
        <v>1081</v>
      </c>
      <c r="J483" s="833" t="s">
        <v>125</v>
      </c>
      <c r="K483" s="938">
        <v>1311.59</v>
      </c>
      <c r="L483" s="938"/>
      <c r="M483" s="938">
        <v>-5000</v>
      </c>
      <c r="N483" s="1009">
        <f t="shared" si="121"/>
        <v>6557950</v>
      </c>
      <c r="O483" s="885">
        <v>-3935</v>
      </c>
      <c r="R483" s="982">
        <f t="shared" si="114"/>
        <v>6554015</v>
      </c>
      <c r="S483" s="878">
        <v>129.88</v>
      </c>
      <c r="T483" s="998">
        <f t="shared" si="116"/>
        <v>50462.080381890977</v>
      </c>
      <c r="U483" s="716">
        <v>44396</v>
      </c>
      <c r="V483" s="594" t="s">
        <v>1656</v>
      </c>
      <c r="W483" s="914">
        <v>44392.727456712964</v>
      </c>
      <c r="X483" s="971">
        <f t="shared" si="107"/>
        <v>-6.0003507193558958E-2</v>
      </c>
      <c r="Y483" s="584" t="s">
        <v>1693</v>
      </c>
      <c r="Z483" s="988" t="e">
        <f ca="1">VLOOKUP(AA483,'place of settlement'!A:C,2,FALSE)</f>
        <v>#NAME?</v>
      </c>
      <c r="AA483" s="988" t="e">
        <f t="shared" ca="1" si="122"/>
        <v>#NAME?</v>
      </c>
      <c r="AB483" s="988" t="e">
        <f t="shared" ca="1" si="123"/>
        <v>#NAME?</v>
      </c>
      <c r="AC483" s="988" t="e">
        <f ca="1">VLOOKUP(AB483,sample!$1:$1048576,2,FALSE)</f>
        <v>#NAME?</v>
      </c>
      <c r="AD483" s="988" t="e">
        <f ca="1">VLOOKUP($AB483,sample!$1:$1048576,3,FALSE)</f>
        <v>#NAME?</v>
      </c>
      <c r="AE483" s="986" t="e">
        <f ca="1">VLOOKUP($AB483,sample!$1:$1048576,4,FALSE)</f>
        <v>#NAME?</v>
      </c>
      <c r="AF483" s="988" t="e">
        <f ca="1">VLOOKUP($AB483,sample!$1:$1048576,5,FALSE)</f>
        <v>#NAME?</v>
      </c>
      <c r="AL483" s="986" t="e">
        <f ca="1">VLOOKUP($AB483,sample!$1:$1048576,11,FALSE)</f>
        <v>#NAME?</v>
      </c>
      <c r="AM483" s="986" t="e">
        <f ca="1">VLOOKUP($AB483,sample!$1:$1048576,12,FALSE)</f>
        <v>#NAME?</v>
      </c>
      <c r="AN483" s="986" t="e">
        <f ca="1">VLOOKUP($AB483,sample!$1:$1048576,13,FALSE)</f>
        <v>#NAME?</v>
      </c>
      <c r="AP483" s="988"/>
    </row>
    <row r="484" spans="1:16383">
      <c r="A484" s="808">
        <v>2019200494</v>
      </c>
      <c r="B484" s="881">
        <v>44392</v>
      </c>
      <c r="C484" s="881" t="s">
        <v>133</v>
      </c>
      <c r="D484" s="594" t="s">
        <v>12766</v>
      </c>
      <c r="E484" s="1013" t="e">
        <f ca="1">_xll.BDP(G484  &amp; " Equity", "ID_ISIN", "Fill", "")</f>
        <v>#NAME?</v>
      </c>
      <c r="F484" s="1006" t="str">
        <f t="shared" si="124"/>
        <v>YES</v>
      </c>
      <c r="G484" s="594" t="s">
        <v>12766</v>
      </c>
      <c r="I484" s="833" t="s">
        <v>12610</v>
      </c>
      <c r="J484" s="833" t="s">
        <v>123</v>
      </c>
      <c r="K484" s="938">
        <v>41464.202400000002</v>
      </c>
      <c r="L484" s="938"/>
      <c r="M484" s="938">
        <v>4200</v>
      </c>
      <c r="N484" s="1009">
        <f t="shared" si="121"/>
        <v>-174149650.08000001</v>
      </c>
      <c r="O484" s="885">
        <v>-261224</v>
      </c>
      <c r="R484" s="982">
        <f t="shared" si="114"/>
        <v>-174410874.08000001</v>
      </c>
      <c r="S484" s="878">
        <v>1350.73</v>
      </c>
      <c r="T484" s="998">
        <f t="shared" si="116"/>
        <v>-129123.41776668913</v>
      </c>
      <c r="U484" s="716">
        <v>44396</v>
      </c>
      <c r="V484" s="594" t="s">
        <v>1114</v>
      </c>
      <c r="W484" s="914">
        <v>44392.73100104167</v>
      </c>
      <c r="X484" s="971">
        <f t="shared" si="107"/>
        <v>0.14999972717717217</v>
      </c>
      <c r="Y484" s="584" t="s">
        <v>1693</v>
      </c>
      <c r="Z484" s="988" t="e">
        <f ca="1">VLOOKUP(AA484,'place of settlement'!A:C,2,FALSE)</f>
        <v>#NAME?</v>
      </c>
      <c r="AA484" s="988" t="e">
        <f t="shared" ca="1" si="122"/>
        <v>#NAME?</v>
      </c>
      <c r="AB484" s="988" t="e">
        <f t="shared" ca="1" si="123"/>
        <v>#NAME?</v>
      </c>
      <c r="AC484" s="988" t="e">
        <f ca="1">VLOOKUP(AB484,sample!$1:$1048576,2,FALSE)</f>
        <v>#NAME?</v>
      </c>
      <c r="AD484" s="988" t="e">
        <f ca="1">VLOOKUP($AB484,sample!$1:$1048576,3,FALSE)</f>
        <v>#NAME?</v>
      </c>
      <c r="AE484" s="986" t="e">
        <f ca="1">VLOOKUP($AB484,sample!$1:$1048576,4,FALSE)</f>
        <v>#NAME?</v>
      </c>
      <c r="AF484" s="988" t="e">
        <f ca="1">VLOOKUP($AB484,sample!$1:$1048576,5,FALSE)</f>
        <v>#NAME?</v>
      </c>
      <c r="AL484" s="986" t="e">
        <f ca="1">VLOOKUP($AB484,sample!$1:$1048576,11,FALSE)</f>
        <v>#NAME?</v>
      </c>
      <c r="AM484" s="986" t="e">
        <f ca="1">VLOOKUP($AB484,sample!$1:$1048576,12,FALSE)</f>
        <v>#NAME?</v>
      </c>
      <c r="AN484" s="986" t="e">
        <f ca="1">VLOOKUP($AB484,sample!$1:$1048576,13,FALSE)</f>
        <v>#NAME?</v>
      </c>
      <c r="AP484" s="988"/>
    </row>
    <row r="485" spans="1:16383">
      <c r="A485" s="808">
        <v>2019200497</v>
      </c>
      <c r="B485" s="881">
        <v>44396</v>
      </c>
      <c r="C485" s="881" t="s">
        <v>133</v>
      </c>
      <c r="D485" s="1138" t="str">
        <f>IFERROR(VLOOKUP(G485,PosAggregate!$B$13:$B$89,1,FALSE),"")</f>
        <v>FR FP</v>
      </c>
      <c r="E485" s="1013" t="e">
        <f ca="1">_xll.BDP(G485  &amp; " Equity", "ID_ISIN", "Fill", "")</f>
        <v>#NAME?</v>
      </c>
      <c r="F485" s="1006" t="str">
        <f t="shared" si="124"/>
        <v>YES</v>
      </c>
      <c r="G485" s="594" t="s">
        <v>12714</v>
      </c>
      <c r="I485" s="833" t="s">
        <v>12626</v>
      </c>
      <c r="J485" s="833" t="s">
        <v>2</v>
      </c>
      <c r="K485" s="955">
        <v>23.174900000000001</v>
      </c>
      <c r="L485" s="955"/>
      <c r="M485" s="955">
        <v>4200</v>
      </c>
      <c r="N485" s="1009">
        <f t="shared" si="121"/>
        <v>-97334.58</v>
      </c>
      <c r="O485" s="885">
        <v>-58.4</v>
      </c>
      <c r="R485" s="982">
        <f t="shared" si="114"/>
        <v>-97392.98</v>
      </c>
      <c r="S485" s="956">
        <v>1</v>
      </c>
      <c r="T485" s="998">
        <f t="shared" si="116"/>
        <v>-97392.98</v>
      </c>
      <c r="U485" s="716">
        <v>44398</v>
      </c>
      <c r="V485" s="594" t="s">
        <v>1111</v>
      </c>
      <c r="W485" s="914">
        <v>44397.387824074074</v>
      </c>
      <c r="X485" s="1012">
        <f t="shared" si="107"/>
        <v>5.999923151669221E-2</v>
      </c>
      <c r="Y485" s="716" t="s">
        <v>1693</v>
      </c>
      <c r="Z485" s="988" t="e">
        <f ca="1">VLOOKUP(AA485,'place of settlement'!A:C,2,FALSE)</f>
        <v>#NAME?</v>
      </c>
      <c r="AA485" s="988" t="e">
        <f t="shared" ca="1" si="122"/>
        <v>#NAME?</v>
      </c>
      <c r="AB485" s="988" t="e">
        <f t="shared" ca="1" si="123"/>
        <v>#NAME?</v>
      </c>
      <c r="AC485" s="988" t="e">
        <f ca="1">VLOOKUP(AB485,sample!$1:$1048576,2,FALSE)</f>
        <v>#NAME?</v>
      </c>
      <c r="AD485" s="988" t="e">
        <f ca="1">VLOOKUP($AB485,sample!$1:$1048576,3,FALSE)</f>
        <v>#NAME?</v>
      </c>
      <c r="AE485" s="986" t="e">
        <f ca="1">VLOOKUP($AB485,sample!$1:$1048576,4,FALSE)</f>
        <v>#NAME?</v>
      </c>
      <c r="AF485" s="988" t="e">
        <f ca="1">VLOOKUP($AB485,sample!$1:$1048576,5,FALSE)</f>
        <v>#NAME?</v>
      </c>
      <c r="AL485" s="986" t="e">
        <f ca="1">VLOOKUP($AB485,sample!$1:$1048576,11,FALSE)</f>
        <v>#NAME?</v>
      </c>
      <c r="AM485" s="986" t="e">
        <f ca="1">VLOOKUP($AB485,sample!$1:$1048576,12,FALSE)</f>
        <v>#NAME?</v>
      </c>
      <c r="AN485" s="986" t="e">
        <f ca="1">VLOOKUP($AB485,sample!$1:$1048576,13,FALSE)</f>
        <v>#NAME?</v>
      </c>
      <c r="AP485" s="988"/>
    </row>
    <row r="486" spans="1:16383">
      <c r="A486" s="716" t="s">
        <v>1707</v>
      </c>
      <c r="B486" s="881">
        <v>44403</v>
      </c>
      <c r="D486" s="1138" t="str">
        <f>IFERROR(VLOOKUP(G486,PosAggregate!$B$13:$B$89,1,FALSE),"")</f>
        <v>ALELIO SS</v>
      </c>
      <c r="E486" s="1013" t="e">
        <f ca="1">_xll.BDP(G486  &amp; " Equity", "ID_ISIN", "Fill", "")</f>
        <v>#NAME?</v>
      </c>
      <c r="F486" s="1006" t="str">
        <f t="shared" si="124"/>
        <v>YES</v>
      </c>
      <c r="G486" s="594" t="s">
        <v>12735</v>
      </c>
      <c r="I486" s="833" t="s">
        <v>1231</v>
      </c>
      <c r="J486" s="833" t="s">
        <v>1067</v>
      </c>
      <c r="K486" s="955"/>
      <c r="L486" s="955"/>
      <c r="M486" s="955">
        <v>31026</v>
      </c>
      <c r="N486" s="1009">
        <f t="shared" si="121"/>
        <v>0</v>
      </c>
      <c r="R486" s="982">
        <f t="shared" si="114"/>
        <v>0</v>
      </c>
      <c r="S486" s="956"/>
      <c r="T486" s="934">
        <v>0</v>
      </c>
      <c r="X486" s="1012" t="e">
        <f t="shared" si="107"/>
        <v>#DIV/0!</v>
      </c>
      <c r="Y486" s="716" t="s">
        <v>1693</v>
      </c>
      <c r="Z486" s="988" t="e">
        <f ca="1">VLOOKUP(AA486,'place of settlement'!A:C,2,FALSE)</f>
        <v>#NAME?</v>
      </c>
      <c r="AA486" s="988" t="e">
        <f t="shared" ca="1" si="122"/>
        <v>#NAME?</v>
      </c>
      <c r="AB486" s="988" t="e">
        <f t="shared" ca="1" si="123"/>
        <v>#NAME?</v>
      </c>
      <c r="AC486" s="988" t="e">
        <f ca="1">VLOOKUP(AB486,sample!$1:$1048576,2,FALSE)</f>
        <v>#NAME?</v>
      </c>
      <c r="AD486" s="988" t="e">
        <f ca="1">VLOOKUP($AB486,sample!$1:$1048576,3,FALSE)</f>
        <v>#NAME?</v>
      </c>
      <c r="AE486" s="986" t="e">
        <f ca="1">VLOOKUP($AB486,sample!$1:$1048576,4,FALSE)</f>
        <v>#NAME?</v>
      </c>
      <c r="AF486" s="988" t="e">
        <f ca="1">VLOOKUP($AB486,sample!$1:$1048576,5,FALSE)</f>
        <v>#NAME?</v>
      </c>
      <c r="AL486" s="986" t="e">
        <f ca="1">VLOOKUP($AB486,sample!$1:$1048576,11,FALSE)</f>
        <v>#NAME?</v>
      </c>
      <c r="AM486" s="986" t="e">
        <f ca="1">VLOOKUP($AB486,sample!$1:$1048576,12,FALSE)</f>
        <v>#NAME?</v>
      </c>
      <c r="AN486" s="986" t="e">
        <f ca="1">VLOOKUP($AB486,sample!$1:$1048576,13,FALSE)</f>
        <v>#NAME?</v>
      </c>
      <c r="AP486" s="988"/>
    </row>
    <row r="487" spans="1:16383">
      <c r="A487" s="808">
        <v>2019200498</v>
      </c>
      <c r="B487" s="881">
        <v>44410</v>
      </c>
      <c r="C487" s="881" t="s">
        <v>134</v>
      </c>
      <c r="D487" s="1133" t="str">
        <f>IFERROR(VLOOKUP(G487,PosAggregate!$B$13:$B$89,1,FALSE),"")</f>
        <v/>
      </c>
      <c r="E487" s="1013" t="e">
        <f ca="1">_xll.BDP(G487  &amp; " Equity", "ID_ISIN", "Fill", "")</f>
        <v>#NAME?</v>
      </c>
      <c r="F487" s="831"/>
      <c r="G487" s="594" t="s">
        <v>12725</v>
      </c>
      <c r="I487" s="833" t="s">
        <v>12614</v>
      </c>
      <c r="J487" s="1007" t="e">
        <f ca="1">_xll.BDP(G487 &amp; " Equity","Crncy")</f>
        <v>#NAME?</v>
      </c>
      <c r="K487" s="938">
        <v>9.4742999999999995</v>
      </c>
      <c r="L487" s="938"/>
      <c r="M487" s="938">
        <v>-11000</v>
      </c>
      <c r="N487" s="1009">
        <f t="shared" si="121"/>
        <v>104217.29999999999</v>
      </c>
      <c r="O487" s="885">
        <v>-62.53</v>
      </c>
      <c r="R487" s="982">
        <f t="shared" si="114"/>
        <v>104154.76999999999</v>
      </c>
      <c r="S487" s="878">
        <v>1.61598</v>
      </c>
      <c r="T487" s="998">
        <f t="shared" si="116"/>
        <v>64453.006844144104</v>
      </c>
      <c r="U487" s="716">
        <v>44412</v>
      </c>
      <c r="V487" s="594" t="s">
        <v>1656</v>
      </c>
      <c r="W487" s="914">
        <v>44410.417314120372</v>
      </c>
      <c r="X487" s="971">
        <f t="shared" si="107"/>
        <v>-5.9999635377235842E-2</v>
      </c>
      <c r="Y487" s="584" t="s">
        <v>1693</v>
      </c>
      <c r="Z487" s="988" t="e">
        <f ca="1">VLOOKUP(AA487,'place of settlement'!A:C,2,FALSE)</f>
        <v>#NAME?</v>
      </c>
      <c r="AA487" s="988" t="e">
        <f t="shared" ca="1" si="122"/>
        <v>#NAME?</v>
      </c>
      <c r="AB487" s="988" t="e">
        <f t="shared" ca="1" si="123"/>
        <v>#NAME?</v>
      </c>
      <c r="AC487" s="988" t="e">
        <f ca="1">VLOOKUP(AB487,sample!$1:$1048576,2,FALSE)</f>
        <v>#NAME?</v>
      </c>
      <c r="AD487" s="988" t="e">
        <f ca="1">VLOOKUP($AB487,sample!$1:$1048576,3,FALSE)</f>
        <v>#NAME?</v>
      </c>
      <c r="AE487" s="986" t="e">
        <f ca="1">VLOOKUP($AB487,sample!$1:$1048576,4,FALSE)</f>
        <v>#NAME?</v>
      </c>
      <c r="AF487" s="988" t="e">
        <f ca="1">VLOOKUP($AB487,sample!$1:$1048576,5,FALSE)</f>
        <v>#NAME?</v>
      </c>
      <c r="AL487" s="986" t="e">
        <f ca="1">VLOOKUP($AB487,sample!$1:$1048576,11,FALSE)</f>
        <v>#NAME?</v>
      </c>
      <c r="AM487" s="986" t="e">
        <f ca="1">VLOOKUP($AB487,sample!$1:$1048576,12,FALSE)</f>
        <v>#NAME?</v>
      </c>
      <c r="AN487" s="986" t="e">
        <f ca="1">VLOOKUP($AB487,sample!$1:$1048576,13,FALSE)</f>
        <v>#NAME?</v>
      </c>
      <c r="AP487" s="988"/>
    </row>
    <row r="488" spans="1:16383">
      <c r="A488" s="808">
        <v>2019200499</v>
      </c>
      <c r="B488" s="881">
        <v>44413</v>
      </c>
      <c r="C488" s="881" t="s">
        <v>134</v>
      </c>
      <c r="D488" s="1133" t="str">
        <f>IFERROR(VLOOKUP(G488,PosAggregate!$B$13:$B$89,1,FALSE),"")</f>
        <v>6752 JP</v>
      </c>
      <c r="E488" s="1013" t="e">
        <f ca="1">_xll.BDP(G488  &amp; " Equity", "ID_ISIN", "Fill", "")</f>
        <v>#NAME?</v>
      </c>
      <c r="F488" s="1006" t="str">
        <f t="shared" si="124"/>
        <v>YES</v>
      </c>
      <c r="G488" s="594" t="s">
        <v>12704</v>
      </c>
      <c r="I488" s="833" t="s">
        <v>1081</v>
      </c>
      <c r="J488" s="1007" t="e">
        <f ca="1">_xll.BDP(G488 &amp; " Equity","Crncy")</f>
        <v>#NAME?</v>
      </c>
      <c r="K488" s="938">
        <v>1351.78125</v>
      </c>
      <c r="L488" s="938"/>
      <c r="M488" s="938">
        <v>-4000</v>
      </c>
      <c r="N488" s="1009">
        <f t="shared" si="121"/>
        <v>5407125</v>
      </c>
      <c r="O488" s="885">
        <v>-3244</v>
      </c>
      <c r="R488" s="982">
        <f t="shared" si="114"/>
        <v>5403881</v>
      </c>
      <c r="S488" s="878">
        <v>129.6</v>
      </c>
      <c r="T488" s="998">
        <f t="shared" si="116"/>
        <v>41696.61265432099</v>
      </c>
      <c r="U488" s="716">
        <v>44418</v>
      </c>
      <c r="V488" s="594" t="s">
        <v>1656</v>
      </c>
      <c r="W488" s="914">
        <v>44413.326128472225</v>
      </c>
      <c r="X488" s="971">
        <f t="shared" si="107"/>
        <v>-5.9994914117946226E-2</v>
      </c>
      <c r="Y488" s="584" t="s">
        <v>1693</v>
      </c>
      <c r="Z488" s="988" t="e">
        <f ca="1">VLOOKUP(AA488,'place of settlement'!A:C,2,FALSE)</f>
        <v>#NAME?</v>
      </c>
      <c r="AA488" s="988" t="e">
        <f t="shared" ca="1" si="122"/>
        <v>#NAME?</v>
      </c>
      <c r="AB488" s="988" t="e">
        <f t="shared" ca="1" si="123"/>
        <v>#NAME?</v>
      </c>
      <c r="AC488" s="988" t="e">
        <f ca="1">VLOOKUP(AB488,sample!$1:$1048576,2,FALSE)</f>
        <v>#NAME?</v>
      </c>
      <c r="AD488" s="988" t="e">
        <f ca="1">VLOOKUP($AB488,sample!$1:$1048576,3,FALSE)</f>
        <v>#NAME?</v>
      </c>
      <c r="AE488" s="986" t="e">
        <f ca="1">VLOOKUP($AB488,sample!$1:$1048576,4,FALSE)</f>
        <v>#NAME?</v>
      </c>
      <c r="AF488" s="988" t="e">
        <f ca="1">VLOOKUP($AB488,sample!$1:$1048576,5,FALSE)</f>
        <v>#NAME?</v>
      </c>
      <c r="AK488" s="716" t="s">
        <v>12787</v>
      </c>
      <c r="AL488" s="986" t="e">
        <f ca="1">VLOOKUP($AB488,sample!$1:$1048576,11,FALSE)</f>
        <v>#NAME?</v>
      </c>
      <c r="AM488" s="986" t="e">
        <f ca="1">VLOOKUP($AB488,sample!$1:$1048576,12,FALSE)</f>
        <v>#NAME?</v>
      </c>
      <c r="AN488" s="986" t="e">
        <f ca="1">VLOOKUP($AB488,sample!$1:$1048576,13,FALSE)</f>
        <v>#NAME?</v>
      </c>
      <c r="AP488" s="988"/>
    </row>
    <row r="489" spans="1:16383">
      <c r="A489" s="808">
        <v>2019200500</v>
      </c>
      <c r="B489" s="881">
        <v>44414</v>
      </c>
      <c r="C489" s="881" t="s">
        <v>134</v>
      </c>
      <c r="D489" s="1133" t="str">
        <f>IFERROR(VLOOKUP(G489,PosAggregate!$B$13:$B$89,1,FALSE),"")</f>
        <v>SYR AU</v>
      </c>
      <c r="E489" s="1013" t="e">
        <f ca="1">_xll.BDP(G489  &amp; " Equity", "ID_ISIN", "Fill", "")</f>
        <v>#NAME?</v>
      </c>
      <c r="F489" s="1006" t="str">
        <f t="shared" si="124"/>
        <v>YES</v>
      </c>
      <c r="G489" s="594" t="s">
        <v>12717</v>
      </c>
      <c r="I489" s="833" t="s">
        <v>1092</v>
      </c>
      <c r="J489" s="1007" t="e">
        <f ca="1">_xll.BDP(G489 &amp; " Equity","Crncy")</f>
        <v>#NAME?</v>
      </c>
      <c r="K489" s="938">
        <v>1.537307</v>
      </c>
      <c r="L489" s="938"/>
      <c r="M489" s="938">
        <v>-71520</v>
      </c>
      <c r="N489" s="1009">
        <f t="shared" si="121"/>
        <v>109948.19663999999</v>
      </c>
      <c r="O489" s="885">
        <v>-65.97</v>
      </c>
      <c r="R489" s="982">
        <f>SUM(N489:Q489)</f>
        <v>109882.22663999999</v>
      </c>
      <c r="S489" s="878">
        <v>1.5989899999999999</v>
      </c>
      <c r="T489" s="998">
        <f>+R489/S489</f>
        <v>68719.771005447183</v>
      </c>
      <c r="U489" s="716">
        <v>44418</v>
      </c>
      <c r="V489" s="594" t="s">
        <v>1656</v>
      </c>
      <c r="W489" s="914">
        <v>44414.373979050928</v>
      </c>
      <c r="X489" s="971">
        <f t="shared" ref="X489:X551" si="125">+O489/N489*100</f>
        <v>-6.000098411436755E-2</v>
      </c>
      <c r="Y489" s="584" t="s">
        <v>1693</v>
      </c>
      <c r="Z489" s="988" t="e">
        <f ca="1">VLOOKUP(AA489,'place of settlement'!A:C,2,FALSE)</f>
        <v>#NAME?</v>
      </c>
      <c r="AA489" s="988" t="e">
        <f t="shared" ca="1" si="122"/>
        <v>#NAME?</v>
      </c>
      <c r="AB489" s="988" t="e">
        <f t="shared" ca="1" si="123"/>
        <v>#NAME?</v>
      </c>
      <c r="AC489" s="988" t="e">
        <f ca="1">VLOOKUP(AB489,sample!$1:$1048576,2,FALSE)</f>
        <v>#NAME?</v>
      </c>
      <c r="AD489" s="988" t="e">
        <f ca="1">VLOOKUP($AB489,sample!$1:$1048576,3,FALSE)</f>
        <v>#NAME?</v>
      </c>
      <c r="AE489" s="986" t="e">
        <f ca="1">VLOOKUP($AB489,sample!$1:$1048576,4,FALSE)</f>
        <v>#NAME?</v>
      </c>
      <c r="AF489" s="988" t="e">
        <f ca="1">VLOOKUP($AB489,sample!$1:$1048576,5,FALSE)</f>
        <v>#NAME?</v>
      </c>
      <c r="AL489" s="986" t="e">
        <f ca="1">VLOOKUP($AB489,sample!$1:$1048576,11,FALSE)</f>
        <v>#NAME?</v>
      </c>
      <c r="AM489" s="986" t="e">
        <f ca="1">VLOOKUP($AB489,sample!$1:$1048576,12,FALSE)</f>
        <v>#NAME?</v>
      </c>
      <c r="AN489" s="986" t="e">
        <f ca="1">VLOOKUP($AB489,sample!$1:$1048576,13,FALSE)</f>
        <v>#NAME?</v>
      </c>
      <c r="AP489" s="988"/>
    </row>
    <row r="490" spans="1:16383">
      <c r="A490" s="808">
        <v>2019200501</v>
      </c>
      <c r="B490" s="881">
        <v>44418</v>
      </c>
      <c r="C490" s="881" t="s">
        <v>133</v>
      </c>
      <c r="D490" s="1133" t="str">
        <f>IFERROR(VLOOKUP(G490,PosAggregate!$B$13:$B$89,1,FALSE),"")</f>
        <v>5713 JP</v>
      </c>
      <c r="E490" s="1013" t="e">
        <f ca="1">_xll.BDP(G490  &amp; " Equity", "ID_ISIN", "Fill", "")</f>
        <v>#NAME?</v>
      </c>
      <c r="F490" s="1006" t="str">
        <f t="shared" si="124"/>
        <v>YES</v>
      </c>
      <c r="G490" s="594" t="s">
        <v>12705</v>
      </c>
      <c r="I490" s="833" t="s">
        <v>1090</v>
      </c>
      <c r="J490" s="1007" t="e">
        <f ca="1">_xll.BDP(G490 &amp; " Equity","Crncy")</f>
        <v>#NAME?</v>
      </c>
      <c r="K490" s="938">
        <v>4190.3048779999999</v>
      </c>
      <c r="L490" s="938"/>
      <c r="M490" s="938">
        <v>4100</v>
      </c>
      <c r="N490" s="1009">
        <f t="shared" si="121"/>
        <v>-17180249.9998</v>
      </c>
      <c r="O490" s="885">
        <v>-10308</v>
      </c>
      <c r="P490" s="885"/>
      <c r="R490" s="982">
        <f t="shared" ref="R490:R553" si="126">SUM(N490:Q490)</f>
        <v>-17190557.9998</v>
      </c>
      <c r="S490" s="878">
        <v>129.57</v>
      </c>
      <c r="T490" s="998">
        <f t="shared" si="116"/>
        <v>-132673.90599521494</v>
      </c>
      <c r="U490" s="716">
        <v>44420</v>
      </c>
      <c r="V490" s="594" t="s">
        <v>1656</v>
      </c>
      <c r="W490" s="914">
        <v>44418.372908217592</v>
      </c>
      <c r="X490" s="971">
        <f t="shared" si="125"/>
        <v>5.9999126905138159E-2</v>
      </c>
      <c r="Y490" s="584" t="s">
        <v>1693</v>
      </c>
      <c r="Z490" s="988" t="e">
        <f ca="1">VLOOKUP(AA490,'place of settlement'!A:C,2,FALSE)</f>
        <v>#NAME?</v>
      </c>
      <c r="AA490" s="988" t="e">
        <f t="shared" ca="1" si="122"/>
        <v>#NAME?</v>
      </c>
      <c r="AB490" s="988" t="e">
        <f t="shared" ca="1" si="123"/>
        <v>#NAME?</v>
      </c>
      <c r="AC490" s="988" t="e">
        <f ca="1">VLOOKUP(AB490,sample!$1:$1048576,2,FALSE)</f>
        <v>#NAME?</v>
      </c>
      <c r="AD490" s="988" t="e">
        <f ca="1">VLOOKUP($AB490,sample!$1:$1048576,3,FALSE)</f>
        <v>#NAME?</v>
      </c>
      <c r="AE490" s="986" t="e">
        <f ca="1">VLOOKUP($AB490,sample!$1:$1048576,4,FALSE)</f>
        <v>#NAME?</v>
      </c>
      <c r="AF490" s="988" t="e">
        <f ca="1">VLOOKUP($AB490,sample!$1:$1048576,5,FALSE)</f>
        <v>#NAME?</v>
      </c>
      <c r="AL490" s="986" t="e">
        <f ca="1">VLOOKUP($AB490,sample!$1:$1048576,11,FALSE)</f>
        <v>#NAME?</v>
      </c>
      <c r="AM490" s="986" t="e">
        <f ca="1">VLOOKUP($AB490,sample!$1:$1048576,12,FALSE)</f>
        <v>#NAME?</v>
      </c>
      <c r="AN490" s="986" t="e">
        <f ca="1">VLOOKUP($AB490,sample!$1:$1048576,13,FALSE)</f>
        <v>#NAME?</v>
      </c>
      <c r="AP490" s="988"/>
    </row>
    <row r="491" spans="1:16383">
      <c r="A491" s="808">
        <v>2019200502</v>
      </c>
      <c r="B491" s="881">
        <v>44418</v>
      </c>
      <c r="C491" s="881" t="s">
        <v>134</v>
      </c>
      <c r="D491" s="1133" t="str">
        <f>IFERROR(VLOOKUP(G491,PosAggregate!$B$13:$B$89,1,FALSE),"")</f>
        <v/>
      </c>
      <c r="E491" s="1013" t="e">
        <f ca="1">_xll.BDP(G491  &amp; " Equity", "ID_ISIN", "Fill", "")</f>
        <v>#NAME?</v>
      </c>
      <c r="F491" s="831"/>
      <c r="G491" s="594" t="s">
        <v>12725</v>
      </c>
      <c r="I491" s="833" t="s">
        <v>12614</v>
      </c>
      <c r="J491" s="1007" t="e">
        <f ca="1">_xll.BDP(G491 &amp; " Equity","Crncy")</f>
        <v>#NAME?</v>
      </c>
      <c r="K491" s="938">
        <v>9.7878279999999993</v>
      </c>
      <c r="L491" s="938"/>
      <c r="M491" s="938">
        <v>-22000</v>
      </c>
      <c r="N491" s="1009">
        <f t="shared" si="121"/>
        <v>215332.21599999999</v>
      </c>
      <c r="O491" s="885">
        <v>-129.19999999999999</v>
      </c>
      <c r="P491" s="885"/>
      <c r="R491" s="982">
        <f t="shared" si="126"/>
        <v>215203.01599999997</v>
      </c>
      <c r="S491" s="878">
        <v>1.5991299999999999</v>
      </c>
      <c r="T491" s="998">
        <f t="shared" si="116"/>
        <v>134575.06018897775</v>
      </c>
      <c r="U491" s="716">
        <v>44420</v>
      </c>
      <c r="V491" s="594" t="s">
        <v>1656</v>
      </c>
      <c r="W491" s="914">
        <v>44418.373842476853</v>
      </c>
      <c r="X491" s="971">
        <f t="shared" si="125"/>
        <v>-6.0000311332884818E-2</v>
      </c>
      <c r="Y491" s="584" t="s">
        <v>1693</v>
      </c>
      <c r="Z491" s="988" t="e">
        <f ca="1">VLOOKUP(AA491,'place of settlement'!A:C,2,FALSE)</f>
        <v>#NAME?</v>
      </c>
      <c r="AA491" s="988" t="e">
        <f t="shared" ca="1" si="122"/>
        <v>#NAME?</v>
      </c>
      <c r="AB491" s="988" t="e">
        <f t="shared" ca="1" si="123"/>
        <v>#NAME?</v>
      </c>
      <c r="AC491" s="988" t="e">
        <f ca="1">VLOOKUP(AB491,sample!$1:$1048576,2,FALSE)</f>
        <v>#NAME?</v>
      </c>
      <c r="AD491" s="988" t="e">
        <f ca="1">VLOOKUP($AB491,sample!$1:$1048576,3,FALSE)</f>
        <v>#NAME?</v>
      </c>
      <c r="AE491" s="986" t="e">
        <f ca="1">VLOOKUP($AB491,sample!$1:$1048576,4,FALSE)</f>
        <v>#NAME?</v>
      </c>
      <c r="AF491" s="988" t="e">
        <f ca="1">VLOOKUP($AB491,sample!$1:$1048576,5,FALSE)</f>
        <v>#NAME?</v>
      </c>
      <c r="AL491" s="986" t="e">
        <f ca="1">VLOOKUP($AB491,sample!$1:$1048576,11,FALSE)</f>
        <v>#NAME?</v>
      </c>
      <c r="AM491" s="986" t="e">
        <f ca="1">VLOOKUP($AB491,sample!$1:$1048576,12,FALSE)</f>
        <v>#NAME?</v>
      </c>
      <c r="AN491" s="986" t="e">
        <f ca="1">VLOOKUP($AB491,sample!$1:$1048576,13,FALSE)</f>
        <v>#NAME?</v>
      </c>
      <c r="AP491" s="988"/>
    </row>
    <row r="492" spans="1:16383">
      <c r="A492" s="973">
        <f>(A491+1)</f>
        <v>2019200503</v>
      </c>
      <c r="B492" s="881">
        <v>44427</v>
      </c>
      <c r="C492" s="881" t="s">
        <v>134</v>
      </c>
      <c r="D492" s="1133" t="str">
        <f>IFERROR(VLOOKUP(G492,PosAggregate!$B$13:$B$89,1,FALSE),"")</f>
        <v/>
      </c>
      <c r="E492" s="1013" t="e">
        <f ca="1">_xll.BDP(G492  &amp; " Equity", "ID_ISIN", "Fill", "")</f>
        <v>#NAME?</v>
      </c>
      <c r="F492" s="831"/>
      <c r="G492" s="594" t="s">
        <v>12736</v>
      </c>
      <c r="I492" s="833" t="s">
        <v>12791</v>
      </c>
      <c r="J492" s="1007" t="e">
        <f ca="1">_xll.BDP(G492 &amp; " Equity","Crncy")</f>
        <v>#NAME?</v>
      </c>
      <c r="K492" s="938">
        <v>19067.8822</v>
      </c>
      <c r="L492" s="938"/>
      <c r="M492" s="938">
        <v>-16371</v>
      </c>
      <c r="N492" s="1009">
        <f t="shared" si="121"/>
        <v>312160299.49620003</v>
      </c>
      <c r="O492" s="885">
        <v>-468240</v>
      </c>
      <c r="P492" s="885">
        <v>-717967</v>
      </c>
      <c r="R492" s="982">
        <f t="shared" si="126"/>
        <v>310974092.49620003</v>
      </c>
      <c r="S492" s="878">
        <v>1372.37</v>
      </c>
      <c r="T492" s="998">
        <f t="shared" si="116"/>
        <v>226596.39346255022</v>
      </c>
      <c r="U492" s="716">
        <v>44431</v>
      </c>
      <c r="V492" s="594" t="s">
        <v>1114</v>
      </c>
      <c r="W492" s="914">
        <v>44427.385445254629</v>
      </c>
      <c r="X492" s="971">
        <f t="shared" si="125"/>
        <v>-0.1499998560853828</v>
      </c>
      <c r="Y492" s="584" t="s">
        <v>1693</v>
      </c>
      <c r="Z492" s="988" t="e">
        <f ca="1">VLOOKUP(AA492,'place of settlement'!A:C,2,FALSE)</f>
        <v>#NAME?</v>
      </c>
      <c r="AA492" s="988" t="e">
        <f t="shared" ca="1" si="122"/>
        <v>#NAME?</v>
      </c>
      <c r="AB492" s="988" t="e">
        <f t="shared" ca="1" si="123"/>
        <v>#NAME?</v>
      </c>
      <c r="AC492" s="988" t="e">
        <f ca="1">VLOOKUP(AB492,sample!$1:$1048576,2,FALSE)</f>
        <v>#NAME?</v>
      </c>
      <c r="AD492" s="988" t="e">
        <f ca="1">VLOOKUP($AB492,sample!$1:$1048576,3,FALSE)</f>
        <v>#NAME?</v>
      </c>
      <c r="AE492" s="986" t="e">
        <f ca="1">VLOOKUP($AB492,sample!$1:$1048576,4,FALSE)</f>
        <v>#NAME?</v>
      </c>
      <c r="AF492" s="988" t="e">
        <f ca="1">VLOOKUP($AB492,sample!$1:$1048576,5,FALSE)</f>
        <v>#NAME?</v>
      </c>
      <c r="AL492" s="986" t="e">
        <f ca="1">VLOOKUP($AB492,sample!$1:$1048576,11,FALSE)</f>
        <v>#NAME?</v>
      </c>
      <c r="AM492" s="986" t="e">
        <f ca="1">VLOOKUP($AB492,sample!$1:$1048576,12,FALSE)</f>
        <v>#NAME?</v>
      </c>
      <c r="AN492" s="986" t="e">
        <f ca="1">VLOOKUP($AB492,sample!$1:$1048576,13,FALSE)</f>
        <v>#NAME?</v>
      </c>
      <c r="AP492" s="988"/>
    </row>
    <row r="493" spans="1:16383">
      <c r="A493" s="973">
        <f t="shared" ref="A493:A505" si="127">(A492+1)</f>
        <v>2019200504</v>
      </c>
      <c r="B493" s="881">
        <v>44427</v>
      </c>
      <c r="C493" s="881" t="s">
        <v>133</v>
      </c>
      <c r="D493" s="1133" t="str">
        <f>IFERROR(VLOOKUP(G493,PosAggregate!$B$13:$B$89,1,FALSE),"")</f>
        <v>056190 KS</v>
      </c>
      <c r="E493" s="1013" t="e">
        <f ca="1">_xll.BDP(G493  &amp; " Equity", "ID_ISIN", "Fill", "")</f>
        <v>#NAME?</v>
      </c>
      <c r="F493" s="1006" t="str">
        <f t="shared" si="124"/>
        <v>YES</v>
      </c>
      <c r="G493" s="594" t="s">
        <v>12789</v>
      </c>
      <c r="I493" s="833" t="s">
        <v>12790</v>
      </c>
      <c r="J493" s="1007" t="e">
        <f ca="1">_xll.BDP(G493 &amp; " Equity","Crncy")</f>
        <v>#NAME?</v>
      </c>
      <c r="K493" s="938">
        <v>36883.068399999996</v>
      </c>
      <c r="L493" s="938"/>
      <c r="M493" s="938">
        <v>6730</v>
      </c>
      <c r="N493" s="1009">
        <f t="shared" si="121"/>
        <v>-248223050.33199999</v>
      </c>
      <c r="O493" s="885">
        <v>-372335</v>
      </c>
      <c r="R493" s="982">
        <f t="shared" si="126"/>
        <v>-248595385.33199999</v>
      </c>
      <c r="S493" s="878">
        <v>1372.37</v>
      </c>
      <c r="T493" s="998">
        <f t="shared" si="116"/>
        <v>-181143.12126613085</v>
      </c>
      <c r="U493" s="716">
        <v>44431</v>
      </c>
      <c r="V493" s="594" t="s">
        <v>1114</v>
      </c>
      <c r="W493" s="914">
        <v>44427.385445370368</v>
      </c>
      <c r="X493" s="971">
        <f t="shared" si="125"/>
        <v>0.15000017101634977</v>
      </c>
      <c r="Y493" s="584" t="s">
        <v>1693</v>
      </c>
      <c r="Z493" s="988" t="e">
        <f ca="1">VLOOKUP(AA493,'place of settlement'!A:C,2,FALSE)</f>
        <v>#NAME?</v>
      </c>
      <c r="AA493" s="988" t="e">
        <f t="shared" ca="1" si="122"/>
        <v>#NAME?</v>
      </c>
      <c r="AB493" s="988" t="e">
        <f t="shared" ca="1" si="123"/>
        <v>#NAME?</v>
      </c>
      <c r="AC493" s="988" t="e">
        <f ca="1">VLOOKUP(AB493,sample!$1:$1048576,2,FALSE)</f>
        <v>#NAME?</v>
      </c>
      <c r="AD493" s="988" t="e">
        <f ca="1">VLOOKUP($AB493,sample!$1:$1048576,3,FALSE)</f>
        <v>#NAME?</v>
      </c>
      <c r="AE493" s="986" t="e">
        <f ca="1">VLOOKUP($AB493,sample!$1:$1048576,4,FALSE)</f>
        <v>#NAME?</v>
      </c>
      <c r="AF493" s="988" t="e">
        <f ca="1">VLOOKUP($AB493,sample!$1:$1048576,5,FALSE)</f>
        <v>#NAME?</v>
      </c>
      <c r="AL493" s="986" t="e">
        <f ca="1">VLOOKUP($AB493,sample!$1:$1048576,11,FALSE)</f>
        <v>#NAME?</v>
      </c>
      <c r="AM493" s="986" t="e">
        <f ca="1">VLOOKUP($AB493,sample!$1:$1048576,12,FALSE)</f>
        <v>#NAME?</v>
      </c>
      <c r="AN493" s="986" t="e">
        <f ca="1">VLOOKUP($AB493,sample!$1:$1048576,13,FALSE)</f>
        <v>#NAME?</v>
      </c>
      <c r="AP493" s="988"/>
    </row>
    <row r="494" spans="1:16383">
      <c r="A494" s="973">
        <f t="shared" si="127"/>
        <v>2019200505</v>
      </c>
      <c r="B494" s="881">
        <v>44427</v>
      </c>
      <c r="C494" s="881" t="s">
        <v>133</v>
      </c>
      <c r="D494" s="1133" t="str">
        <f>IFERROR(VLOOKUP(G494,PosAggregate!$B$13:$B$89,1,FALSE),"")</f>
        <v>064960 KS</v>
      </c>
      <c r="E494" s="1013" t="e">
        <f ca="1">_xll.BDP(G494  &amp; " Equity", "ID_ISIN", "Fill", "")</f>
        <v>#NAME?</v>
      </c>
      <c r="F494" s="1006" t="str">
        <f t="shared" si="124"/>
        <v>YES</v>
      </c>
      <c r="G494" s="594" t="s">
        <v>12741</v>
      </c>
      <c r="I494" s="833" t="s">
        <v>12792</v>
      </c>
      <c r="J494" s="1007" t="e">
        <f ca="1">_xll.BDP(G494 &amp; " Equity","Crncy")</f>
        <v>#NAME?</v>
      </c>
      <c r="K494" s="938">
        <v>54258.148099999999</v>
      </c>
      <c r="L494" s="938"/>
      <c r="M494" s="938">
        <v>2700</v>
      </c>
      <c r="N494" s="1009">
        <f t="shared" si="121"/>
        <v>-146496999.87</v>
      </c>
      <c r="O494" s="885">
        <v>-219746</v>
      </c>
      <c r="R494" s="982">
        <f t="shared" si="126"/>
        <v>-146716745.87</v>
      </c>
      <c r="S494" s="878">
        <v>1372.37</v>
      </c>
      <c r="T494" s="998">
        <f t="shared" si="116"/>
        <v>-106907.57293587008</v>
      </c>
      <c r="U494" s="716">
        <v>44431</v>
      </c>
      <c r="V494" s="594" t="s">
        <v>1114</v>
      </c>
      <c r="W494" s="914">
        <v>44427.385445370368</v>
      </c>
      <c r="X494" s="971">
        <f t="shared" si="125"/>
        <v>0.15000034143702631</v>
      </c>
      <c r="Y494" s="584" t="s">
        <v>1693</v>
      </c>
      <c r="Z494" s="988" t="e">
        <f ca="1">VLOOKUP(AA494,'place of settlement'!A:C,2,FALSE)</f>
        <v>#NAME?</v>
      </c>
      <c r="AA494" s="988" t="e">
        <f t="shared" ca="1" si="122"/>
        <v>#NAME?</v>
      </c>
      <c r="AB494" s="988" t="e">
        <f t="shared" ca="1" si="123"/>
        <v>#NAME?</v>
      </c>
      <c r="AC494" s="988" t="e">
        <f ca="1">VLOOKUP(AB494,sample!$1:$1048576,2,FALSE)</f>
        <v>#NAME?</v>
      </c>
      <c r="AD494" s="988" t="e">
        <f ca="1">VLOOKUP($AB494,sample!$1:$1048576,3,FALSE)</f>
        <v>#NAME?</v>
      </c>
      <c r="AE494" s="986" t="e">
        <f ca="1">VLOOKUP($AB494,sample!$1:$1048576,4,FALSE)</f>
        <v>#NAME?</v>
      </c>
      <c r="AF494" s="988" t="e">
        <f ca="1">VLOOKUP($AB494,sample!$1:$1048576,5,FALSE)</f>
        <v>#NAME?</v>
      </c>
      <c r="AL494" s="986" t="e">
        <f ca="1">VLOOKUP($AB494,sample!$1:$1048576,11,FALSE)</f>
        <v>#NAME?</v>
      </c>
      <c r="AM494" s="986" t="e">
        <f ca="1">VLOOKUP($AB494,sample!$1:$1048576,12,FALSE)</f>
        <v>#NAME?</v>
      </c>
      <c r="AN494" s="986" t="e">
        <f ca="1">VLOOKUP($AB494,sample!$1:$1048576,13,FALSE)</f>
        <v>#NAME?</v>
      </c>
      <c r="AP494" s="988"/>
    </row>
    <row r="495" spans="1:16383">
      <c r="A495" s="973">
        <f t="shared" si="127"/>
        <v>2019200506</v>
      </c>
      <c r="B495" s="881">
        <v>44428</v>
      </c>
      <c r="C495" s="881" t="s">
        <v>134</v>
      </c>
      <c r="D495" s="594" t="s">
        <v>12721</v>
      </c>
      <c r="E495" s="1013" t="e">
        <f ca="1">_xll.BDP(G495  &amp; " Equity", "ID_ISIN", "Fill", "")</f>
        <v>#NAME?</v>
      </c>
      <c r="F495" s="1006" t="str">
        <f t="shared" si="124"/>
        <v>YES</v>
      </c>
      <c r="G495" s="594" t="s">
        <v>12721</v>
      </c>
      <c r="I495" s="1007" t="e">
        <f ca="1">_xll.BDP(E495 &amp; " Equity","SECURITY_NAME")</f>
        <v>#NAME?</v>
      </c>
      <c r="J495" s="1007" t="e">
        <f ca="1">_xll.BDP(G495 &amp; " Equity","Crncy")</f>
        <v>#NAME?</v>
      </c>
      <c r="K495" s="938">
        <v>2.9866999999999999</v>
      </c>
      <c r="L495" s="938"/>
      <c r="M495" s="938">
        <v>-250000</v>
      </c>
      <c r="N495" s="1009">
        <f>-K495*M495</f>
        <v>746675</v>
      </c>
      <c r="O495" s="885">
        <v>-448.01</v>
      </c>
      <c r="R495" s="982">
        <f t="shared" si="126"/>
        <v>746226.99</v>
      </c>
      <c r="S495" s="878">
        <v>1.63273</v>
      </c>
      <c r="T495" s="998">
        <f>+R495/S495</f>
        <v>457042.49324750568</v>
      </c>
      <c r="U495" s="716">
        <v>44432</v>
      </c>
      <c r="V495" s="594" t="s">
        <v>1656</v>
      </c>
      <c r="W495" s="914">
        <v>44427.385445254629</v>
      </c>
      <c r="X495" s="971">
        <f t="shared" si="125"/>
        <v>-6.000066963538353E-2</v>
      </c>
      <c r="Y495" s="584" t="s">
        <v>1693</v>
      </c>
      <c r="Z495" s="988" t="e">
        <f ca="1">VLOOKUP(AA495,'place of settlement'!A:C,2,FALSE)</f>
        <v>#NAME?</v>
      </c>
      <c r="AA495" s="988" t="e">
        <f t="shared" ca="1" si="122"/>
        <v>#NAME?</v>
      </c>
      <c r="AB495" s="988" t="e">
        <f t="shared" ca="1" si="123"/>
        <v>#NAME?</v>
      </c>
      <c r="AC495" s="988" t="e">
        <f ca="1">VLOOKUP(AB495,sample!$1:$1048576,2,FALSE)</f>
        <v>#NAME?</v>
      </c>
      <c r="AD495" s="988" t="e">
        <f ca="1">VLOOKUP($AB495,sample!$1:$1048576,3,FALSE)</f>
        <v>#NAME?</v>
      </c>
      <c r="AE495" s="986" t="e">
        <f ca="1">VLOOKUP($AB495,sample!$1:$1048576,4,FALSE)</f>
        <v>#NAME?</v>
      </c>
      <c r="AF495" s="988" t="e">
        <f ca="1">VLOOKUP($AB495,sample!$1:$1048576,5,FALSE)</f>
        <v>#NAME?</v>
      </c>
      <c r="AL495" s="986" t="e">
        <f ca="1">VLOOKUP($AB495,sample!$1:$1048576,11,FALSE)</f>
        <v>#NAME?</v>
      </c>
      <c r="AM495" s="986" t="e">
        <f ca="1">VLOOKUP($AB495,sample!$1:$1048576,12,FALSE)</f>
        <v>#NAME?</v>
      </c>
      <c r="AN495" s="986" t="e">
        <f ca="1">VLOOKUP($AB495,sample!$1:$1048576,13,FALSE)</f>
        <v>#NAME?</v>
      </c>
      <c r="AP495" s="988"/>
    </row>
    <row r="496" spans="1:16383">
      <c r="A496" s="973">
        <f t="shared" si="127"/>
        <v>2019200507</v>
      </c>
      <c r="B496" s="881">
        <v>44428</v>
      </c>
      <c r="C496" s="881" t="s">
        <v>133</v>
      </c>
      <c r="D496" s="1133" t="str">
        <f>IFERROR(VLOOKUP(G496,PosAggregate!$B$13:$B$89,1,FALSE),"")</f>
        <v>5713 JP</v>
      </c>
      <c r="E496" s="1013" t="e">
        <f ca="1">_xll.BDP(G496  &amp; " Equity", "ID_ISIN", "Fill", "")</f>
        <v>#NAME?</v>
      </c>
      <c r="F496" s="1006" t="str">
        <f t="shared" si="124"/>
        <v>YES</v>
      </c>
      <c r="G496" s="594" t="s">
        <v>12705</v>
      </c>
      <c r="I496" s="1007" t="e">
        <f ca="1">_xll.BDP(E496 &amp; " Equity","SECURITY_NAME")</f>
        <v>#NAME?</v>
      </c>
      <c r="J496" s="1007" t="e">
        <f ca="1">_xll.BDP(G496 &amp; " Equity","Crncy")</f>
        <v>#NAME?</v>
      </c>
      <c r="K496" s="938">
        <v>3974.2976189999999</v>
      </c>
      <c r="L496" s="938"/>
      <c r="M496" s="938">
        <v>4200</v>
      </c>
      <c r="N496" s="1009">
        <f t="shared" si="121"/>
        <v>-16692049.9998</v>
      </c>
      <c r="O496" s="885">
        <v>-10015</v>
      </c>
      <c r="R496" s="982">
        <f t="shared" si="126"/>
        <v>-16702064.9998</v>
      </c>
      <c r="S496" s="878">
        <v>128.24674999999999</v>
      </c>
      <c r="T496" s="998">
        <f t="shared" si="116"/>
        <v>-130233.82658663866</v>
      </c>
      <c r="U496" s="716">
        <v>44432</v>
      </c>
      <c r="V496" s="594" t="s">
        <v>1656</v>
      </c>
      <c r="W496" s="914">
        <v>44427.385445370368</v>
      </c>
      <c r="X496" s="971">
        <f t="shared" si="125"/>
        <v>5.9998622099262801E-2</v>
      </c>
      <c r="Y496" s="584" t="s">
        <v>1693</v>
      </c>
      <c r="Z496" s="988" t="e">
        <f ca="1">VLOOKUP(AA496,'place of settlement'!A:C,2,FALSE)</f>
        <v>#NAME?</v>
      </c>
      <c r="AA496" s="988" t="e">
        <f t="shared" ca="1" si="122"/>
        <v>#NAME?</v>
      </c>
      <c r="AB496" s="988" t="e">
        <f t="shared" ca="1" si="123"/>
        <v>#NAME?</v>
      </c>
      <c r="AC496" s="988" t="e">
        <f ca="1">VLOOKUP(AB496,sample!$1:$1048576,2,FALSE)</f>
        <v>#NAME?</v>
      </c>
      <c r="AD496" s="988" t="e">
        <f ca="1">VLOOKUP($AB496,sample!$1:$1048576,3,FALSE)</f>
        <v>#NAME?</v>
      </c>
      <c r="AE496" s="986" t="e">
        <f ca="1">VLOOKUP($AB496,sample!$1:$1048576,4,FALSE)</f>
        <v>#NAME?</v>
      </c>
      <c r="AF496" s="988" t="e">
        <f ca="1">VLOOKUP($AB496,sample!$1:$1048576,5,FALSE)</f>
        <v>#NAME?</v>
      </c>
      <c r="AL496" s="986" t="e">
        <f ca="1">VLOOKUP($AB496,sample!$1:$1048576,11,FALSE)</f>
        <v>#NAME?</v>
      </c>
      <c r="AM496" s="986" t="e">
        <f ca="1">VLOOKUP($AB496,sample!$1:$1048576,12,FALSE)</f>
        <v>#NAME?</v>
      </c>
      <c r="AN496" s="986" t="e">
        <f ca="1">VLOOKUP($AB496,sample!$1:$1048576,13,FALSE)</f>
        <v>#NAME?</v>
      </c>
      <c r="AP496" s="988"/>
    </row>
    <row r="497" spans="1:42">
      <c r="A497" s="973">
        <f t="shared" si="127"/>
        <v>2019200508</v>
      </c>
      <c r="B497" s="881">
        <v>44447</v>
      </c>
      <c r="C497" s="881" t="s">
        <v>134</v>
      </c>
      <c r="D497" s="1133" t="str">
        <f>IFERROR(VLOOKUP(G497,PosAggregate!$B$13:$B$89,1,FALSE),"")</f>
        <v>6752 JP</v>
      </c>
      <c r="E497" s="1013" t="e">
        <f ca="1">_xll.BDP(G497  &amp; " Equity", "ID_ISIN", "Fill", "")</f>
        <v>#NAME?</v>
      </c>
      <c r="F497" s="1006" t="str">
        <f t="shared" si="124"/>
        <v>YES</v>
      </c>
      <c r="G497" s="594" t="s">
        <v>12704</v>
      </c>
      <c r="I497" s="1007" t="e">
        <f ca="1">_xll.BDP(E497 &amp; " Equity","SECURITY_NAME")</f>
        <v>#NAME?</v>
      </c>
      <c r="J497" s="1007" t="e">
        <f ca="1">_xll.BDP(G497 &amp; " Equity","Crncy")</f>
        <v>#NAME?</v>
      </c>
      <c r="K497" s="938">
        <v>1446</v>
      </c>
      <c r="L497" s="938"/>
      <c r="M497" s="938">
        <v>-3500</v>
      </c>
      <c r="N497" s="1009">
        <f t="shared" si="121"/>
        <v>5061000</v>
      </c>
      <c r="R497" s="982">
        <f t="shared" si="126"/>
        <v>5061000</v>
      </c>
      <c r="S497" s="878">
        <v>129.88</v>
      </c>
      <c r="T497" s="998">
        <f t="shared" si="116"/>
        <v>38966.738527871887</v>
      </c>
      <c r="U497" s="716">
        <v>44449</v>
      </c>
      <c r="V497" s="594" t="s">
        <v>1656</v>
      </c>
      <c r="W497" s="914">
        <v>44452.852227314812</v>
      </c>
      <c r="X497" s="971">
        <f t="shared" si="125"/>
        <v>0</v>
      </c>
      <c r="Y497" s="584" t="s">
        <v>1693</v>
      </c>
      <c r="Z497" s="988" t="e">
        <f ca="1">VLOOKUP(AA497,'place of settlement'!A:C,2,FALSE)</f>
        <v>#NAME?</v>
      </c>
      <c r="AA497" s="988" t="e">
        <f t="shared" ca="1" si="122"/>
        <v>#NAME?</v>
      </c>
      <c r="AB497" s="988" t="e">
        <f t="shared" ca="1" si="123"/>
        <v>#NAME?</v>
      </c>
      <c r="AC497" s="988" t="e">
        <f ca="1">VLOOKUP(AB497,sample!$1:$1048576,2,FALSE)</f>
        <v>#NAME?</v>
      </c>
      <c r="AD497" s="988" t="e">
        <f ca="1">VLOOKUP($AB497,sample!$1:$1048576,3,FALSE)</f>
        <v>#NAME?</v>
      </c>
      <c r="AE497" s="986" t="e">
        <f ca="1">VLOOKUP($AB497,sample!$1:$1048576,4,FALSE)</f>
        <v>#NAME?</v>
      </c>
      <c r="AF497" s="988" t="e">
        <f ca="1">VLOOKUP($AB497,sample!$1:$1048576,5,FALSE)</f>
        <v>#NAME?</v>
      </c>
      <c r="AL497" s="986" t="e">
        <f ca="1">VLOOKUP($AB497,sample!$1:$1048576,11,FALSE)</f>
        <v>#NAME?</v>
      </c>
      <c r="AM497" s="986" t="e">
        <f ca="1">VLOOKUP($AB497,sample!$1:$1048576,12,FALSE)</f>
        <v>#NAME?</v>
      </c>
      <c r="AN497" s="986" t="e">
        <f ca="1">VLOOKUP($AB497,sample!$1:$1048576,13,FALSE)</f>
        <v>#NAME?</v>
      </c>
      <c r="AP497" s="988"/>
    </row>
    <row r="498" spans="1:42">
      <c r="A498" s="808">
        <v>2019200511</v>
      </c>
      <c r="B498" s="881">
        <v>44453</v>
      </c>
      <c r="C498" s="881" t="s">
        <v>133</v>
      </c>
      <c r="D498" s="1133" t="str">
        <f>IFERROR(VLOOKUP(G498,PosAggregate!$B$13:$B$89,1,FALSE),"")</f>
        <v>5713 JP</v>
      </c>
      <c r="E498" s="1013" t="e">
        <f ca="1">_xll.BDP(G498  &amp; " Equity", "ID_ISIN", "Fill", "")</f>
        <v>#NAME?</v>
      </c>
      <c r="F498" s="1006" t="str">
        <f t="shared" si="124"/>
        <v>YES</v>
      </c>
      <c r="G498" s="594" t="s">
        <v>12705</v>
      </c>
      <c r="I498" s="1007" t="e">
        <f ca="1">_xll.BDP(E498 &amp; " Equity","SECURITY_NAME")</f>
        <v>#NAME?</v>
      </c>
      <c r="J498" s="1007" t="e">
        <f ca="1">_xll.BDP(G498 &amp; " Equity","Crncy")</f>
        <v>#NAME?</v>
      </c>
      <c r="K498" s="938">
        <v>4429.9637679999996</v>
      </c>
      <c r="L498" s="938"/>
      <c r="M498" s="938">
        <v>6900</v>
      </c>
      <c r="N498" s="1009">
        <f t="shared" si="121"/>
        <v>-30566749.999199998</v>
      </c>
      <c r="O498" s="885">
        <v>-18340</v>
      </c>
      <c r="R498" s="982">
        <f t="shared" si="126"/>
        <v>-30585089.999199998</v>
      </c>
      <c r="S498" s="878">
        <v>130.09</v>
      </c>
      <c r="T498" s="998">
        <f t="shared" si="116"/>
        <v>-235107.15657775383</v>
      </c>
      <c r="U498" s="716">
        <v>44455</v>
      </c>
      <c r="V498" s="594" t="s">
        <v>1656</v>
      </c>
      <c r="W498" s="914">
        <v>44453.475909490742</v>
      </c>
      <c r="X498" s="971">
        <f t="shared" si="125"/>
        <v>5.9999836425135157E-2</v>
      </c>
      <c r="Y498" s="584" t="s">
        <v>1693</v>
      </c>
      <c r="Z498" s="988" t="e">
        <f ca="1">VLOOKUP(AA498,'place of settlement'!A:C,2,FALSE)</f>
        <v>#NAME?</v>
      </c>
      <c r="AA498" s="988" t="e">
        <f t="shared" ca="1" si="122"/>
        <v>#NAME?</v>
      </c>
      <c r="AB498" s="988" t="e">
        <f t="shared" ca="1" si="123"/>
        <v>#NAME?</v>
      </c>
      <c r="AC498" s="988" t="e">
        <f ca="1">VLOOKUP(AB498,sample!$1:$1048576,2,FALSE)</f>
        <v>#NAME?</v>
      </c>
      <c r="AD498" s="988" t="e">
        <f ca="1">VLOOKUP($AB498,sample!$1:$1048576,3,FALSE)</f>
        <v>#NAME?</v>
      </c>
      <c r="AE498" s="986" t="e">
        <f ca="1">VLOOKUP($AB498,sample!$1:$1048576,4,FALSE)</f>
        <v>#NAME?</v>
      </c>
      <c r="AF498" s="988" t="e">
        <f ca="1">VLOOKUP($AB498,sample!$1:$1048576,5,FALSE)</f>
        <v>#NAME?</v>
      </c>
      <c r="AL498" s="986" t="e">
        <f ca="1">VLOOKUP($AB498,sample!$1:$1048576,11,FALSE)</f>
        <v>#NAME?</v>
      </c>
      <c r="AM498" s="986" t="e">
        <f ca="1">VLOOKUP($AB498,sample!$1:$1048576,12,FALSE)</f>
        <v>#NAME?</v>
      </c>
      <c r="AN498" s="986" t="e">
        <f ca="1">VLOOKUP($AB498,sample!$1:$1048576,13,FALSE)</f>
        <v>#NAME?</v>
      </c>
      <c r="AP498" s="988"/>
    </row>
    <row r="499" spans="1:42">
      <c r="A499" s="973">
        <f t="shared" si="127"/>
        <v>2019200512</v>
      </c>
      <c r="B499" s="881">
        <v>44453</v>
      </c>
      <c r="C499" s="881" t="s">
        <v>134</v>
      </c>
      <c r="D499" s="1133" t="str">
        <f>IFERROR(VLOOKUP(G499,PosAggregate!$B$13:$B$89,1,FALSE),"")</f>
        <v>4005 JP</v>
      </c>
      <c r="E499" s="1013" t="e">
        <f ca="1">_xll.BDP(G499  &amp; " Equity", "ID_ISIN", "Fill", "")</f>
        <v>#NAME?</v>
      </c>
      <c r="F499" s="1006" t="str">
        <f t="shared" si="124"/>
        <v>YES</v>
      </c>
      <c r="G499" s="594" t="s">
        <v>12707</v>
      </c>
      <c r="I499" s="1007" t="e">
        <f ca="1">_xll.BDP(E499 &amp; " Equity","SECURITY_NAME")</f>
        <v>#NAME?</v>
      </c>
      <c r="J499" s="1007" t="e">
        <f ca="1">_xll.BDP(G499 &amp; " Equity","Crncy")</f>
        <v>#NAME?</v>
      </c>
      <c r="K499" s="938">
        <v>606.26722199999995</v>
      </c>
      <c r="L499" s="938"/>
      <c r="M499" s="938">
        <v>-36000</v>
      </c>
      <c r="N499" s="1009">
        <f t="shared" si="121"/>
        <v>21825619.991999999</v>
      </c>
      <c r="O499" s="885">
        <v>-13095</v>
      </c>
      <c r="R499" s="982">
        <f t="shared" si="126"/>
        <v>21812524.991999999</v>
      </c>
      <c r="S499" s="878">
        <v>130.09</v>
      </c>
      <c r="T499" s="998">
        <f t="shared" si="116"/>
        <v>167672.5727726958</v>
      </c>
      <c r="U499" s="716">
        <v>44455</v>
      </c>
      <c r="V499" s="594" t="s">
        <v>1656</v>
      </c>
      <c r="W499" s="914">
        <v>44453.476382407411</v>
      </c>
      <c r="X499" s="971">
        <f t="shared" si="125"/>
        <v>-5.9998295603056695E-2</v>
      </c>
      <c r="Y499" s="584" t="s">
        <v>1693</v>
      </c>
      <c r="Z499" s="988" t="e">
        <f ca="1">VLOOKUP(AA499,'place of settlement'!A:C,2,FALSE)</f>
        <v>#NAME?</v>
      </c>
      <c r="AA499" s="988" t="e">
        <f t="shared" ca="1" si="122"/>
        <v>#NAME?</v>
      </c>
      <c r="AB499" s="988" t="e">
        <f t="shared" ca="1" si="123"/>
        <v>#NAME?</v>
      </c>
      <c r="AC499" s="988" t="e">
        <f ca="1">VLOOKUP(AB499,sample!$1:$1048576,2,FALSE)</f>
        <v>#NAME?</v>
      </c>
      <c r="AD499" s="988" t="e">
        <f ca="1">VLOOKUP($AB499,sample!$1:$1048576,3,FALSE)</f>
        <v>#NAME?</v>
      </c>
      <c r="AE499" s="986" t="e">
        <f ca="1">VLOOKUP($AB499,sample!$1:$1048576,4,FALSE)</f>
        <v>#NAME?</v>
      </c>
      <c r="AF499" s="988" t="e">
        <f ca="1">VLOOKUP($AB499,sample!$1:$1048576,5,FALSE)</f>
        <v>#NAME?</v>
      </c>
      <c r="AL499" s="986" t="e">
        <f ca="1">VLOOKUP($AB499,sample!$1:$1048576,11,FALSE)</f>
        <v>#NAME?</v>
      </c>
      <c r="AM499" s="986" t="e">
        <f ca="1">VLOOKUP($AB499,sample!$1:$1048576,12,FALSE)</f>
        <v>#NAME?</v>
      </c>
      <c r="AN499" s="986" t="e">
        <f ca="1">VLOOKUP($AB499,sample!$1:$1048576,13,FALSE)</f>
        <v>#NAME?</v>
      </c>
      <c r="AP499" s="988"/>
    </row>
    <row r="500" spans="1:42">
      <c r="A500" s="973">
        <f t="shared" si="127"/>
        <v>2019200513</v>
      </c>
      <c r="B500" s="881">
        <v>44456</v>
      </c>
      <c r="C500" s="881" t="s">
        <v>133</v>
      </c>
      <c r="D500" s="1133" t="str">
        <f>IFERROR(VLOOKUP(G500,PosAggregate!$B$13:$B$89,1,FALSE),"")</f>
        <v>FR FP</v>
      </c>
      <c r="E500" s="1013" t="e">
        <f ca="1">_xll.BDP(G500  &amp; " Equity", "ID_ISIN", "Fill", "")</f>
        <v>#NAME?</v>
      </c>
      <c r="F500" s="1006" t="str">
        <f t="shared" si="124"/>
        <v>YES</v>
      </c>
      <c r="G500" s="594" t="s">
        <v>12714</v>
      </c>
      <c r="I500" s="1007" t="e">
        <f ca="1">_xll.BDP(E500 &amp; " Equity","SECURITY_NAME")</f>
        <v>#NAME?</v>
      </c>
      <c r="J500" s="1007" t="e">
        <f ca="1">_xll.BDP(G500 &amp; " Equity","Crncy")</f>
        <v>#NAME?</v>
      </c>
      <c r="K500" s="938">
        <v>21.306699999999999</v>
      </c>
      <c r="L500" s="938"/>
      <c r="M500" s="938">
        <v>11000</v>
      </c>
      <c r="N500" s="1009">
        <f t="shared" si="121"/>
        <v>-234373.69999999998</v>
      </c>
      <c r="O500" s="885">
        <v>-140.62</v>
      </c>
      <c r="P500" s="885">
        <v>-703.12</v>
      </c>
      <c r="R500" s="982">
        <f t="shared" si="126"/>
        <v>-235217.43999999997</v>
      </c>
      <c r="S500" s="878">
        <v>1</v>
      </c>
      <c r="T500" s="998">
        <f t="shared" si="116"/>
        <v>-235217.43999999997</v>
      </c>
      <c r="U500" s="716">
        <v>44460</v>
      </c>
      <c r="V500" s="594" t="s">
        <v>1111</v>
      </c>
      <c r="W500" s="914">
        <v>44457.411546759256</v>
      </c>
      <c r="X500" s="971">
        <f t="shared" si="125"/>
        <v>5.9998199456679661E-2</v>
      </c>
      <c r="Y500" s="584" t="s">
        <v>1693</v>
      </c>
      <c r="Z500" s="988" t="e">
        <f ca="1">VLOOKUP(AA500,'place of settlement'!A:C,2,FALSE)</f>
        <v>#NAME?</v>
      </c>
      <c r="AA500" s="988" t="e">
        <f t="shared" ca="1" si="122"/>
        <v>#NAME?</v>
      </c>
      <c r="AB500" s="988" t="e">
        <f t="shared" ca="1" si="123"/>
        <v>#NAME?</v>
      </c>
      <c r="AC500" s="988" t="e">
        <f ca="1">VLOOKUP(AB500,sample!$1:$1048576,2,FALSE)</f>
        <v>#NAME?</v>
      </c>
      <c r="AD500" s="988" t="e">
        <f ca="1">VLOOKUP($AB500,sample!$1:$1048576,3,FALSE)</f>
        <v>#NAME?</v>
      </c>
      <c r="AE500" s="986" t="e">
        <f ca="1">VLOOKUP($AB500,sample!$1:$1048576,4,FALSE)</f>
        <v>#NAME?</v>
      </c>
      <c r="AF500" s="988" t="e">
        <f ca="1">VLOOKUP($AB500,sample!$1:$1048576,5,FALSE)</f>
        <v>#NAME?</v>
      </c>
      <c r="AL500" s="986" t="e">
        <f ca="1">VLOOKUP($AB500,sample!$1:$1048576,11,FALSE)</f>
        <v>#NAME?</v>
      </c>
      <c r="AM500" s="986" t="e">
        <f ca="1">VLOOKUP($AB500,sample!$1:$1048576,12,FALSE)</f>
        <v>#NAME?</v>
      </c>
      <c r="AN500" s="986" t="e">
        <f ca="1">VLOOKUP($AB500,sample!$1:$1048576,13,FALSE)</f>
        <v>#NAME?</v>
      </c>
      <c r="AP500" s="988"/>
    </row>
    <row r="501" spans="1:42">
      <c r="A501" s="973">
        <f t="shared" si="127"/>
        <v>2019200514</v>
      </c>
      <c r="B501" s="881">
        <v>44468</v>
      </c>
      <c r="C501" s="881" t="s">
        <v>133</v>
      </c>
      <c r="D501" s="1133" t="str">
        <f>IFERROR(VLOOKUP(G501,PosAggregate!$B$13:$B$89,1,FALSE),"")</f>
        <v>6762 JP</v>
      </c>
      <c r="E501" s="1013" t="e">
        <f ca="1">_xll.BDP(G501  &amp; " Equity", "ID_ISIN", "Fill", "")</f>
        <v>#NAME?</v>
      </c>
      <c r="F501" s="1006" t="str">
        <f t="shared" si="124"/>
        <v>YES</v>
      </c>
      <c r="G501" s="594" t="s">
        <v>12860</v>
      </c>
      <c r="I501" s="1007" t="e">
        <f ca="1">_xll.BDP(E501 &amp; " Equity","SECURITY_NAME")</f>
        <v>#NAME?</v>
      </c>
      <c r="J501" s="1007" t="e">
        <f ca="1">_xll.BDP(G501 &amp; " Equity","Crncy")</f>
        <v>#NAME?</v>
      </c>
      <c r="K501" s="938">
        <v>4090.677612</v>
      </c>
      <c r="L501" s="938"/>
      <c r="M501" s="938">
        <v>6700</v>
      </c>
      <c r="N501" s="1009">
        <f t="shared" si="121"/>
        <v>-27407540.000399999</v>
      </c>
      <c r="O501" s="885">
        <v>-16445</v>
      </c>
      <c r="P501" s="885"/>
      <c r="R501" s="982">
        <f t="shared" si="126"/>
        <v>-27423985.000399999</v>
      </c>
      <c r="S501" s="878">
        <v>2</v>
      </c>
      <c r="T501" s="998">
        <f t="shared" si="116"/>
        <v>-13711992.5002</v>
      </c>
      <c r="U501" s="716">
        <v>44470</v>
      </c>
      <c r="V501" s="594" t="s">
        <v>1656</v>
      </c>
      <c r="W501" s="914">
        <v>44468.351708217589</v>
      </c>
      <c r="X501" s="971">
        <f t="shared" si="125"/>
        <v>6.0001736747478954E-2</v>
      </c>
      <c r="Y501" s="584" t="s">
        <v>1693</v>
      </c>
      <c r="Z501" s="988" t="e">
        <f ca="1">VLOOKUP(AA501,'place of settlement'!A:C,2,FALSE)</f>
        <v>#NAME?</v>
      </c>
      <c r="AA501" s="988" t="e">
        <f t="shared" ca="1" si="122"/>
        <v>#NAME?</v>
      </c>
      <c r="AB501" s="988" t="e">
        <f t="shared" ca="1" si="123"/>
        <v>#NAME?</v>
      </c>
      <c r="AC501" s="988" t="e">
        <f ca="1">VLOOKUP(AB501,sample!$1:$1048576,2,FALSE)</f>
        <v>#NAME?</v>
      </c>
      <c r="AD501" s="988" t="e">
        <f ca="1">VLOOKUP($AB501,sample!$1:$1048576,3,FALSE)</f>
        <v>#NAME?</v>
      </c>
      <c r="AE501" s="986" t="e">
        <f ca="1">VLOOKUP($AB501,sample!$1:$1048576,4,FALSE)</f>
        <v>#NAME?</v>
      </c>
      <c r="AF501" s="988" t="e">
        <f ca="1">VLOOKUP($AB501,sample!$1:$1048576,5,FALSE)</f>
        <v>#NAME?</v>
      </c>
      <c r="AL501" s="986" t="e">
        <f ca="1">VLOOKUP($AB501,sample!$1:$1048576,11,FALSE)</f>
        <v>#NAME?</v>
      </c>
      <c r="AM501" s="986" t="e">
        <f ca="1">VLOOKUP($AB501,sample!$1:$1048576,12,FALSE)</f>
        <v>#NAME?</v>
      </c>
      <c r="AN501" s="986" t="e">
        <f ca="1">VLOOKUP($AB501,sample!$1:$1048576,13,FALSE)</f>
        <v>#NAME?</v>
      </c>
      <c r="AP501" s="988"/>
    </row>
    <row r="502" spans="1:42">
      <c r="A502" s="973">
        <f t="shared" si="127"/>
        <v>2019200515</v>
      </c>
      <c r="B502" s="881">
        <v>44468</v>
      </c>
      <c r="C502" s="881" t="s">
        <v>133</v>
      </c>
      <c r="D502" s="1133" t="str">
        <f>IFERROR(VLOOKUP(G502,PosAggregate!$B$13:$B$89,1,FALSE),"")</f>
        <v>VTSC GR</v>
      </c>
      <c r="E502" s="1013" t="e">
        <f ca="1">_xll.BDP(G502  &amp; " Equity", "ID_ISIN", "Fill", "")</f>
        <v>#NAME?</v>
      </c>
      <c r="F502" s="1006" t="str">
        <f t="shared" si="124"/>
        <v>YES</v>
      </c>
      <c r="G502" s="594" t="s">
        <v>12862</v>
      </c>
      <c r="I502" s="1007" t="e">
        <f ca="1">_xll.BDP(E502 &amp; " Equity","SECURITY_NAME")</f>
        <v>#NAME?</v>
      </c>
      <c r="J502" s="1007" t="e">
        <f ca="1">_xll.BDP(G502 &amp; " Equity","Crncy")</f>
        <v>#NAME?</v>
      </c>
      <c r="K502" s="938">
        <v>52.720300000000002</v>
      </c>
      <c r="L502" s="938"/>
      <c r="M502" s="938">
        <v>3540</v>
      </c>
      <c r="N502" s="1009">
        <f t="shared" si="121"/>
        <v>-186629.86199999999</v>
      </c>
      <c r="O502" s="885">
        <v>-111.98</v>
      </c>
      <c r="R502" s="982">
        <f t="shared" si="126"/>
        <v>-186741.842</v>
      </c>
      <c r="S502" s="878">
        <v>1</v>
      </c>
      <c r="T502" s="998">
        <f t="shared" si="116"/>
        <v>-186741.842</v>
      </c>
      <c r="U502" s="716">
        <v>44470</v>
      </c>
      <c r="V502" s="594" t="s">
        <v>1183</v>
      </c>
      <c r="W502" s="914">
        <v>44469.437924189813</v>
      </c>
      <c r="X502" s="971">
        <f t="shared" si="125"/>
        <v>6.0001116005754751E-2</v>
      </c>
      <c r="Y502" s="584" t="s">
        <v>1693</v>
      </c>
      <c r="Z502" s="988" t="e">
        <f ca="1">VLOOKUP(AA502,'place of settlement'!A:C,2,FALSE)</f>
        <v>#NAME?</v>
      </c>
      <c r="AA502" s="988" t="e">
        <f t="shared" ca="1" si="122"/>
        <v>#NAME?</v>
      </c>
      <c r="AB502" s="988" t="e">
        <f ca="1">CONCATENATE(V502,AA502)</f>
        <v>#NAME?</v>
      </c>
      <c r="AC502" s="988" t="e">
        <f ca="1">VLOOKUP(AB502,sample!$1:$1048576,2,FALSE)</f>
        <v>#NAME?</v>
      </c>
      <c r="AD502" s="988" t="e">
        <f ca="1">VLOOKUP($AB502,sample!$1:$1048576,3,FALSE)</f>
        <v>#NAME?</v>
      </c>
      <c r="AE502" s="986" t="e">
        <f ca="1">VLOOKUP($AB502,sample!$1:$1048576,4,FALSE)</f>
        <v>#NAME?</v>
      </c>
      <c r="AF502" s="988" t="e">
        <f ca="1">VLOOKUP($AB502,sample!$1:$1048576,5,FALSE)</f>
        <v>#NAME?</v>
      </c>
      <c r="AL502" s="986" t="e">
        <f ca="1">VLOOKUP($AB502,sample!$1:$1048576,11,FALSE)</f>
        <v>#NAME?</v>
      </c>
      <c r="AM502" s="986" t="e">
        <f ca="1">VLOOKUP($AB502,sample!$1:$1048576,12,FALSE)</f>
        <v>#NAME?</v>
      </c>
      <c r="AN502" s="986" t="e">
        <f ca="1">VLOOKUP($AB502,sample!$1:$1048576,13,FALSE)</f>
        <v>#NAME?</v>
      </c>
      <c r="AP502" s="988"/>
    </row>
    <row r="503" spans="1:42">
      <c r="A503" s="973">
        <f t="shared" si="127"/>
        <v>2019200516</v>
      </c>
      <c r="B503" s="881">
        <v>44469</v>
      </c>
      <c r="C503" s="881" t="s">
        <v>133</v>
      </c>
      <c r="D503" s="1133" t="str">
        <f>IFERROR(VLOOKUP(G503,PosAggregate!$B$13:$B$89,1,FALSE),"")</f>
        <v>7013 JP</v>
      </c>
      <c r="E503" s="1013" t="e">
        <f ca="1">_xll.BDP(G503  &amp; " Equity", "ID_ISIN", "Fill", "")</f>
        <v>#NAME?</v>
      </c>
      <c r="F503" s="1006" t="str">
        <f t="shared" si="124"/>
        <v>YES</v>
      </c>
      <c r="G503" s="594" t="s">
        <v>12880</v>
      </c>
      <c r="I503" s="1007" t="e">
        <f ca="1">_xll.BDP(E503 &amp; " Equity","SECURITY_NAME")</f>
        <v>#NAME?</v>
      </c>
      <c r="J503" s="1007" t="e">
        <f ca="1">_xll.BDP(G503 &amp; " Equity","Crncy")</f>
        <v>#NAME?</v>
      </c>
      <c r="K503" s="938">
        <v>2839.28</v>
      </c>
      <c r="L503" s="938"/>
      <c r="M503" s="938">
        <v>22000</v>
      </c>
      <c r="N503" s="1009">
        <f t="shared" si="121"/>
        <v>-62464160.000000007</v>
      </c>
      <c r="O503" s="885">
        <v>-37478</v>
      </c>
      <c r="R503" s="982">
        <f t="shared" si="126"/>
        <v>-62501638.000000007</v>
      </c>
      <c r="S503" s="878">
        <v>129.59</v>
      </c>
      <c r="T503" s="998">
        <f t="shared" si="116"/>
        <v>-482302.94004166994</v>
      </c>
      <c r="U503" s="716">
        <v>44473</v>
      </c>
      <c r="V503" s="594" t="s">
        <v>1656</v>
      </c>
      <c r="W503" s="914">
        <v>44469.51668148148</v>
      </c>
      <c r="X503" s="971">
        <f t="shared" si="125"/>
        <v>5.9999205944656901E-2</v>
      </c>
      <c r="Y503" s="584" t="s">
        <v>1693</v>
      </c>
      <c r="Z503" s="988" t="e">
        <f ca="1">VLOOKUP(AA503,'place of settlement'!A:C,2,FALSE)</f>
        <v>#NAME?</v>
      </c>
      <c r="AA503" s="988" t="e">
        <f t="shared" ca="1" si="122"/>
        <v>#NAME?</v>
      </c>
      <c r="AB503" s="988" t="e">
        <f t="shared" ca="1" si="123"/>
        <v>#NAME?</v>
      </c>
      <c r="AC503" s="988" t="e">
        <f ca="1">VLOOKUP(AB503,sample!$1:$1048576,2,FALSE)</f>
        <v>#NAME?</v>
      </c>
      <c r="AD503" s="988" t="e">
        <f ca="1">VLOOKUP($AB503,sample!$1:$1048576,3,FALSE)</f>
        <v>#NAME?</v>
      </c>
      <c r="AE503" s="986" t="e">
        <f ca="1">VLOOKUP($AB503,sample!$1:$1048576,4,FALSE)</f>
        <v>#NAME?</v>
      </c>
      <c r="AF503" s="988" t="e">
        <f ca="1">VLOOKUP($AB503,sample!$1:$1048576,5,FALSE)</f>
        <v>#NAME?</v>
      </c>
      <c r="AL503" s="986" t="e">
        <f ca="1">VLOOKUP($AB503,sample!$1:$1048576,11,FALSE)</f>
        <v>#NAME?</v>
      </c>
      <c r="AM503" s="986" t="e">
        <f ca="1">VLOOKUP($AB503,sample!$1:$1048576,12,FALSE)</f>
        <v>#NAME?</v>
      </c>
      <c r="AN503" s="986" t="e">
        <f ca="1">VLOOKUP($AB503,sample!$1:$1048576,13,FALSE)</f>
        <v>#NAME?</v>
      </c>
      <c r="AP503" s="988"/>
    </row>
    <row r="504" spans="1:42">
      <c r="A504" s="973">
        <f t="shared" si="127"/>
        <v>2019200517</v>
      </c>
      <c r="B504" s="881">
        <v>44473</v>
      </c>
      <c r="C504" s="881" t="s">
        <v>134</v>
      </c>
      <c r="D504" s="594" t="s">
        <v>12721</v>
      </c>
      <c r="E504" s="1013" t="e">
        <f ca="1">_xll.BDP(G504  &amp; " Equity", "ID_ISIN", "Fill", "")</f>
        <v>#NAME?</v>
      </c>
      <c r="F504" s="1006" t="str">
        <f t="shared" si="124"/>
        <v>YES</v>
      </c>
      <c r="G504" s="594" t="s">
        <v>12721</v>
      </c>
      <c r="I504" s="1007" t="e">
        <f ca="1">_xll.BDP(E504 &amp; " Equity","SECURITY_NAME")</f>
        <v>#NAME?</v>
      </c>
      <c r="J504" s="1007" t="e">
        <f ca="1">_xll.BDP(G504 &amp; " Equity","Crncy")</f>
        <v>#NAME?</v>
      </c>
      <c r="K504" s="938">
        <v>2.9624540000000001</v>
      </c>
      <c r="L504" s="938"/>
      <c r="M504" s="938">
        <v>-42586</v>
      </c>
      <c r="N504" s="1009">
        <f t="shared" si="121"/>
        <v>126159.06604400001</v>
      </c>
      <c r="O504" s="885">
        <v>75.7</v>
      </c>
      <c r="R504" s="982">
        <f t="shared" si="126"/>
        <v>126234.766044</v>
      </c>
      <c r="S504" s="878">
        <v>1.5967800000000001</v>
      </c>
      <c r="T504" s="998">
        <f t="shared" si="116"/>
        <v>79055.828632623146</v>
      </c>
      <c r="U504" s="716">
        <v>44475</v>
      </c>
      <c r="V504" s="594" t="s">
        <v>1656</v>
      </c>
      <c r="W504" s="914">
        <v>44473.529774189818</v>
      </c>
      <c r="X504" s="971">
        <f t="shared" si="125"/>
        <v>6.0003614780723261E-2</v>
      </c>
      <c r="Y504" s="584" t="s">
        <v>1693</v>
      </c>
      <c r="Z504" s="988" t="e">
        <f ca="1">VLOOKUP(AA504,'place of settlement'!A:C,2,FALSE)</f>
        <v>#NAME?</v>
      </c>
      <c r="AA504" s="988" t="e">
        <f t="shared" ca="1" si="122"/>
        <v>#NAME?</v>
      </c>
      <c r="AB504" s="988" t="e">
        <f t="shared" ca="1" si="123"/>
        <v>#NAME?</v>
      </c>
      <c r="AC504" s="988" t="e">
        <f ca="1">VLOOKUP(AB504,sample!$1:$1048576,2,FALSE)</f>
        <v>#NAME?</v>
      </c>
      <c r="AD504" s="988" t="e">
        <f ca="1">VLOOKUP($AB504,sample!$1:$1048576,3,FALSE)</f>
        <v>#NAME?</v>
      </c>
      <c r="AE504" s="986" t="e">
        <f ca="1">VLOOKUP($AB504,sample!$1:$1048576,4,FALSE)</f>
        <v>#NAME?</v>
      </c>
      <c r="AF504" s="988" t="e">
        <f ca="1">VLOOKUP($AB504,sample!$1:$1048576,5,FALSE)</f>
        <v>#NAME?</v>
      </c>
      <c r="AL504" s="986" t="e">
        <f ca="1">VLOOKUP($AB504,sample!$1:$1048576,11,FALSE)</f>
        <v>#NAME?</v>
      </c>
      <c r="AM504" s="986" t="e">
        <f ca="1">VLOOKUP($AB504,sample!$1:$1048576,12,FALSE)</f>
        <v>#NAME?</v>
      </c>
      <c r="AN504" s="986" t="e">
        <f ca="1">VLOOKUP($AB504,sample!$1:$1048576,13,FALSE)</f>
        <v>#NAME?</v>
      </c>
      <c r="AP504" s="988"/>
    </row>
    <row r="505" spans="1:42">
      <c r="A505" s="973">
        <f t="shared" si="127"/>
        <v>2019200518</v>
      </c>
      <c r="B505" s="881">
        <v>44473</v>
      </c>
      <c r="C505" s="881" t="s">
        <v>133</v>
      </c>
      <c r="D505" s="1133" t="str">
        <f>IFERROR(VLOOKUP(G505,PosAggregate!$B$13:$B$89,1,FALSE),"")</f>
        <v>5713 JP</v>
      </c>
      <c r="E505" s="1013" t="e">
        <f ca="1">_xll.BDP(G505  &amp; " Equity", "ID_ISIN", "Fill", "")</f>
        <v>#NAME?</v>
      </c>
      <c r="F505" s="1006" t="str">
        <f t="shared" si="124"/>
        <v>YES</v>
      </c>
      <c r="G505" s="594" t="s">
        <v>12705</v>
      </c>
      <c r="I505" s="1007" t="e">
        <f ca="1">_xll.BDP(E505 &amp; " Equity","SECURITY_NAME")</f>
        <v>#NAME?</v>
      </c>
      <c r="J505" s="1007" t="e">
        <f ca="1">_xll.BDP(G505 &amp; " Equity","Crncy")</f>
        <v>#NAME?</v>
      </c>
      <c r="K505" s="938">
        <v>3924.9719100000002</v>
      </c>
      <c r="M505" s="938">
        <v>8900</v>
      </c>
      <c r="N505" s="1009">
        <f t="shared" si="121"/>
        <v>-34932249.999000005</v>
      </c>
      <c r="O505" s="885">
        <v>-20959</v>
      </c>
      <c r="R505" s="982">
        <f t="shared" si="126"/>
        <v>-34953208.999000005</v>
      </c>
      <c r="S505" s="878">
        <v>129.27000000000001</v>
      </c>
      <c r="T505" s="998">
        <f t="shared" si="116"/>
        <v>-270389.17768237024</v>
      </c>
      <c r="U505" s="716">
        <v>44475</v>
      </c>
      <c r="V505" s="594" t="s">
        <v>1656</v>
      </c>
      <c r="W505" s="914">
        <v>44473.621874652781</v>
      </c>
      <c r="X505" s="971">
        <f t="shared" si="125"/>
        <v>5.999899806224903E-2</v>
      </c>
      <c r="Y505" s="584" t="s">
        <v>1693</v>
      </c>
      <c r="Z505" s="988" t="e">
        <f ca="1">VLOOKUP(AA505,'place of settlement'!A:C,2,FALSE)</f>
        <v>#NAME?</v>
      </c>
      <c r="AA505" s="988" t="e">
        <f t="shared" ca="1" si="122"/>
        <v>#NAME?</v>
      </c>
      <c r="AB505" s="988" t="e">
        <f t="shared" ca="1" si="123"/>
        <v>#NAME?</v>
      </c>
      <c r="AC505" s="988" t="e">
        <f ca="1">VLOOKUP(AB505,sample!$1:$1048576,2,FALSE)</f>
        <v>#NAME?</v>
      </c>
      <c r="AD505" s="988" t="e">
        <f ca="1">VLOOKUP($AB505,sample!$1:$1048576,3,FALSE)</f>
        <v>#NAME?</v>
      </c>
      <c r="AE505" s="986" t="e">
        <f ca="1">VLOOKUP($AB505,sample!$1:$1048576,4,FALSE)</f>
        <v>#NAME?</v>
      </c>
      <c r="AF505" s="988" t="e">
        <f ca="1">VLOOKUP($AB505,sample!$1:$1048576,5,FALSE)</f>
        <v>#NAME?</v>
      </c>
      <c r="AL505" s="986" t="e">
        <f ca="1">VLOOKUP($AB505,sample!$1:$1048576,11,FALSE)</f>
        <v>#NAME?</v>
      </c>
      <c r="AM505" s="986" t="e">
        <f ca="1">VLOOKUP($AB505,sample!$1:$1048576,12,FALSE)</f>
        <v>#NAME?</v>
      </c>
      <c r="AN505" s="986" t="e">
        <f ca="1">VLOOKUP($AB505,sample!$1:$1048576,13,FALSE)</f>
        <v>#NAME?</v>
      </c>
      <c r="AP505" s="988"/>
    </row>
    <row r="506" spans="1:42">
      <c r="A506" s="808">
        <v>2019200520</v>
      </c>
      <c r="B506" s="881">
        <v>44475</v>
      </c>
      <c r="C506" s="881" t="s">
        <v>134</v>
      </c>
      <c r="D506" s="594" t="s">
        <v>12721</v>
      </c>
      <c r="E506" s="1013" t="e">
        <f ca="1">_xll.BDP(G506  &amp; " Equity", "ID_ISIN", "Fill", "")</f>
        <v>#NAME?</v>
      </c>
      <c r="F506" s="1006" t="str">
        <f t="shared" si="124"/>
        <v>YES</v>
      </c>
      <c r="G506" s="594" t="s">
        <v>12721</v>
      </c>
      <c r="I506" s="1007" t="e">
        <f ca="1">_xll.BDP(E506 &amp; " Equity","SECURITY_NAME")</f>
        <v>#NAME?</v>
      </c>
      <c r="J506" s="1007" t="e">
        <f ca="1">_xll.BDP(G506 &amp; " Equity","Crncy")</f>
        <v>#NAME?</v>
      </c>
      <c r="K506" s="938">
        <v>2.931238</v>
      </c>
      <c r="M506" s="938">
        <v>-42000</v>
      </c>
      <c r="N506" s="1009">
        <f t="shared" si="121"/>
        <v>123111.996</v>
      </c>
      <c r="O506" s="885">
        <v>-73.87</v>
      </c>
      <c r="R506" s="982">
        <f t="shared" si="126"/>
        <v>123038.126</v>
      </c>
      <c r="S506" s="878">
        <v>1.5966499999999999</v>
      </c>
      <c r="T506" s="998">
        <f t="shared" si="116"/>
        <v>77060.173488241009</v>
      </c>
      <c r="U506" s="716">
        <v>44477</v>
      </c>
      <c r="V506" s="594" t="s">
        <v>1656</v>
      </c>
      <c r="W506" s="914">
        <v>44475.446541203703</v>
      </c>
      <c r="X506" s="971">
        <f t="shared" si="125"/>
        <v>-6.0002276301328109E-2</v>
      </c>
      <c r="Y506" s="584" t="s">
        <v>1693</v>
      </c>
      <c r="Z506" s="988" t="e">
        <f ca="1">VLOOKUP(AA506,'place of settlement'!A:C,2,FALSE)</f>
        <v>#NAME?</v>
      </c>
      <c r="AA506" s="988" t="e">
        <f t="shared" ca="1" si="122"/>
        <v>#NAME?</v>
      </c>
      <c r="AB506" s="988" t="e">
        <f t="shared" ca="1" si="123"/>
        <v>#NAME?</v>
      </c>
      <c r="AC506" s="988" t="e">
        <f ca="1">VLOOKUP(AB506,sample!$1:$1048576,2,FALSE)</f>
        <v>#NAME?</v>
      </c>
      <c r="AD506" s="988" t="e">
        <f ca="1">VLOOKUP($AB506,sample!$1:$1048576,3,FALSE)</f>
        <v>#NAME?</v>
      </c>
      <c r="AE506" s="986" t="e">
        <f ca="1">VLOOKUP($AB506,sample!$1:$1048576,4,FALSE)</f>
        <v>#NAME?</v>
      </c>
      <c r="AF506" s="988" t="e">
        <f ca="1">VLOOKUP($AB506,sample!$1:$1048576,5,FALSE)</f>
        <v>#NAME?</v>
      </c>
      <c r="AL506" s="986" t="e">
        <f ca="1">VLOOKUP($AB506,sample!$1:$1048576,11,FALSE)</f>
        <v>#NAME?</v>
      </c>
      <c r="AM506" s="986" t="e">
        <f ca="1">VLOOKUP($AB506,sample!$1:$1048576,12,FALSE)</f>
        <v>#NAME?</v>
      </c>
      <c r="AN506" s="986" t="e">
        <f ca="1">VLOOKUP($AB506,sample!$1:$1048576,13,FALSE)</f>
        <v>#NAME?</v>
      </c>
      <c r="AP506" s="988"/>
    </row>
    <row r="507" spans="1:42">
      <c r="A507" s="716" t="s">
        <v>1707</v>
      </c>
      <c r="B507" s="881">
        <v>44475</v>
      </c>
      <c r="C507" s="881" t="s">
        <v>12870</v>
      </c>
      <c r="D507" s="1133" t="str">
        <f>IFERROR(VLOOKUP(G507,PosAggregate!$B$13:$B$89,1,FALSE),"")</f>
        <v>VTSC GR</v>
      </c>
      <c r="E507" s="1013" t="e">
        <f ca="1">_xll.BDP(G507  &amp; " Equity", "ID_ISIN", "Fill", "")</f>
        <v>#NAME?</v>
      </c>
      <c r="F507" s="1006" t="str">
        <f t="shared" si="124"/>
        <v>YES</v>
      </c>
      <c r="G507" s="594" t="s">
        <v>12862</v>
      </c>
      <c r="I507" s="1007" t="e">
        <f ca="1">_xll.BDP(E507 &amp; " Equity","SECURITY_NAME")</f>
        <v>#NAME?</v>
      </c>
      <c r="J507" s="1007" t="e">
        <f ca="1">_xll.BDP(G507 &amp; " Equity","Crncy")</f>
        <v>#NAME?</v>
      </c>
      <c r="M507" s="938">
        <v>660</v>
      </c>
      <c r="N507" s="1009">
        <f t="shared" si="121"/>
        <v>0</v>
      </c>
      <c r="R507" s="982">
        <f t="shared" si="126"/>
        <v>0</v>
      </c>
      <c r="T507" s="998" t="e">
        <f t="shared" si="116"/>
        <v>#DIV/0!</v>
      </c>
      <c r="X507" s="971" t="e">
        <f t="shared" si="125"/>
        <v>#DIV/0!</v>
      </c>
      <c r="Y507" s="584" t="s">
        <v>1693</v>
      </c>
      <c r="Z507" s="988" t="e">
        <f ca="1">VLOOKUP(AA507,'place of settlement'!A:C,2,FALSE)</f>
        <v>#NAME?</v>
      </c>
      <c r="AA507" s="988" t="e">
        <f t="shared" ca="1" si="122"/>
        <v>#NAME?</v>
      </c>
      <c r="AB507" s="988" t="e">
        <f t="shared" ca="1" si="123"/>
        <v>#NAME?</v>
      </c>
      <c r="AC507" s="988" t="e">
        <f ca="1">VLOOKUP(AB507,sample!$1:$1048576,2,FALSE)</f>
        <v>#NAME?</v>
      </c>
      <c r="AD507" s="988" t="e">
        <f ca="1">VLOOKUP($AB507,sample!$1:$1048576,3,FALSE)</f>
        <v>#NAME?</v>
      </c>
      <c r="AE507" s="986" t="e">
        <f ca="1">VLOOKUP($AB507,sample!$1:$1048576,4,FALSE)</f>
        <v>#NAME?</v>
      </c>
      <c r="AF507" s="988" t="e">
        <f ca="1">VLOOKUP($AB507,sample!$1:$1048576,5,FALSE)</f>
        <v>#NAME?</v>
      </c>
      <c r="AL507" s="986" t="e">
        <f ca="1">VLOOKUP($AB507,sample!$1:$1048576,11,FALSE)</f>
        <v>#NAME?</v>
      </c>
      <c r="AM507" s="986" t="e">
        <f ca="1">VLOOKUP($AB507,sample!$1:$1048576,12,FALSE)</f>
        <v>#NAME?</v>
      </c>
      <c r="AN507" s="986" t="e">
        <f ca="1">VLOOKUP($AB507,sample!$1:$1048576,13,FALSE)</f>
        <v>#NAME?</v>
      </c>
      <c r="AP507" s="988"/>
    </row>
    <row r="508" spans="1:42">
      <c r="A508" s="716" t="s">
        <v>2062</v>
      </c>
      <c r="B508" s="881">
        <v>44481</v>
      </c>
      <c r="C508" s="881" t="s">
        <v>12871</v>
      </c>
      <c r="D508" s="1133" t="str">
        <f>IFERROR(VLOOKUP(G508,PosAggregate!$B$13:$B$89,1,FALSE),"")</f>
        <v>SFR AU</v>
      </c>
      <c r="E508" s="1013" t="e">
        <f ca="1">_xll.BDP(G508  &amp; " Equity", "ID_ISIN", "Fill", "")</f>
        <v>#NAME?</v>
      </c>
      <c r="F508" s="1006" t="str">
        <f t="shared" si="124"/>
        <v>YES</v>
      </c>
      <c r="G508" s="594" t="s">
        <v>12751</v>
      </c>
      <c r="I508" s="1007" t="e">
        <f ca="1">_xll.BDP(E508 &amp; " Equity","SECURITY_NAME")</f>
        <v>#NAME?</v>
      </c>
      <c r="J508" s="1007" t="e">
        <f ca="1">_xll.BDP(G508 &amp; " Equity","Crncy")</f>
        <v>#NAME?</v>
      </c>
      <c r="M508" s="938">
        <v>42000</v>
      </c>
      <c r="N508" s="1009">
        <f t="shared" si="121"/>
        <v>0</v>
      </c>
      <c r="R508" s="982">
        <f t="shared" si="126"/>
        <v>0</v>
      </c>
      <c r="T508" s="998" t="e">
        <f t="shared" ref="T508:T571" si="128">+R508/S508</f>
        <v>#DIV/0!</v>
      </c>
      <c r="X508" s="971" t="e">
        <f t="shared" si="125"/>
        <v>#DIV/0!</v>
      </c>
      <c r="Y508" s="584" t="s">
        <v>1693</v>
      </c>
      <c r="Z508" s="988" t="e">
        <f ca="1">VLOOKUP(AA508,'place of settlement'!A:C,2,FALSE)</f>
        <v>#NAME?</v>
      </c>
      <c r="AA508" s="988" t="e">
        <f t="shared" ca="1" si="122"/>
        <v>#NAME?</v>
      </c>
      <c r="AB508" s="988" t="e">
        <f t="shared" ca="1" si="123"/>
        <v>#NAME?</v>
      </c>
      <c r="AC508" s="988" t="e">
        <f ca="1">VLOOKUP(AB508,sample!$1:$1048576,2,FALSE)</f>
        <v>#NAME?</v>
      </c>
      <c r="AD508" s="988" t="e">
        <f ca="1">VLOOKUP($AB508,sample!$1:$1048576,3,FALSE)</f>
        <v>#NAME?</v>
      </c>
      <c r="AE508" s="986" t="e">
        <f ca="1">VLOOKUP($AB508,sample!$1:$1048576,4,FALSE)</f>
        <v>#NAME?</v>
      </c>
      <c r="AF508" s="988" t="e">
        <f ca="1">VLOOKUP($AB508,sample!$1:$1048576,5,FALSE)</f>
        <v>#NAME?</v>
      </c>
      <c r="AL508" s="986" t="e">
        <f ca="1">VLOOKUP($AB508,sample!$1:$1048576,11,FALSE)</f>
        <v>#NAME?</v>
      </c>
      <c r="AM508" s="986" t="e">
        <f ca="1">VLOOKUP($AB508,sample!$1:$1048576,12,FALSE)</f>
        <v>#NAME?</v>
      </c>
      <c r="AN508" s="986" t="e">
        <f ca="1">VLOOKUP($AB508,sample!$1:$1048576,13,FALSE)</f>
        <v>#NAME?</v>
      </c>
      <c r="AP508" s="988"/>
    </row>
    <row r="509" spans="1:42">
      <c r="A509" s="808">
        <v>2019200522</v>
      </c>
      <c r="B509" s="881">
        <v>44495</v>
      </c>
      <c r="C509" s="881" t="s">
        <v>134</v>
      </c>
      <c r="D509" s="1133" t="str">
        <f>IFERROR(VLOOKUP(G509,PosAggregate!$B$13:$B$89,1,FALSE),"")</f>
        <v>6752 JP</v>
      </c>
      <c r="E509" s="1013" t="e">
        <f ca="1">_xll.BDP(G509  &amp; " Equity", "ID_ISIN", "Fill", "")</f>
        <v>#NAME?</v>
      </c>
      <c r="F509" s="1006" t="str">
        <f t="shared" si="124"/>
        <v>YES</v>
      </c>
      <c r="G509" s="594" t="s">
        <v>12704</v>
      </c>
      <c r="I509" s="1007" t="e">
        <f ca="1">_xll.BDP(E509 &amp; " Equity","SECURITY_NAME")</f>
        <v>#NAME?</v>
      </c>
      <c r="J509" s="1007" t="e">
        <f ca="1">_xll.BDP(G509 &amp; " Equity","Crncy")</f>
        <v>#NAME?</v>
      </c>
      <c r="K509" s="938">
        <v>1525.4571000000001</v>
      </c>
      <c r="M509" s="938">
        <v>-7000</v>
      </c>
      <c r="N509" s="1009">
        <f t="shared" si="121"/>
        <v>10678199.700000001</v>
      </c>
      <c r="O509" s="885">
        <v>-6407</v>
      </c>
      <c r="P509" s="885"/>
      <c r="R509" s="982">
        <f t="shared" si="126"/>
        <v>10671792.700000001</v>
      </c>
      <c r="S509" s="878">
        <v>132.02000000000001</v>
      </c>
      <c r="T509" s="998">
        <f t="shared" si="128"/>
        <v>80834.666717164073</v>
      </c>
      <c r="U509" s="716">
        <v>44497</v>
      </c>
      <c r="V509" s="594" t="s">
        <v>1656</v>
      </c>
      <c r="W509" s="914">
        <v>44495.296559722221</v>
      </c>
      <c r="X509" s="971">
        <f t="shared" si="125"/>
        <v>-6.0000750875636825E-2</v>
      </c>
      <c r="Y509" s="584" t="s">
        <v>1693</v>
      </c>
      <c r="Z509" s="988" t="e">
        <f ca="1">VLOOKUP(AA509,'place of settlement'!A:C,2,FALSE)</f>
        <v>#NAME?</v>
      </c>
      <c r="AA509" s="988" t="e">
        <f t="shared" ca="1" si="122"/>
        <v>#NAME?</v>
      </c>
      <c r="AB509" s="988" t="e">
        <f t="shared" ca="1" si="123"/>
        <v>#NAME?</v>
      </c>
      <c r="AC509" s="988" t="e">
        <f ca="1">VLOOKUP(AB509,sample!$1:$1048576,2,FALSE)</f>
        <v>#NAME?</v>
      </c>
      <c r="AD509" s="988" t="e">
        <f ca="1">VLOOKUP($AB509,sample!$1:$1048576,3,FALSE)</f>
        <v>#NAME?</v>
      </c>
      <c r="AE509" s="986" t="e">
        <f ca="1">VLOOKUP($AB509,sample!$1:$1048576,4,FALSE)</f>
        <v>#NAME?</v>
      </c>
      <c r="AF509" s="988" t="e">
        <f ca="1">VLOOKUP($AB509,sample!$1:$1048576,5,FALSE)</f>
        <v>#NAME?</v>
      </c>
      <c r="AL509" s="986" t="e">
        <f ca="1">VLOOKUP($AB509,sample!$1:$1048576,11,FALSE)</f>
        <v>#NAME?</v>
      </c>
      <c r="AM509" s="986" t="e">
        <f ca="1">VLOOKUP($AB509,sample!$1:$1048576,12,FALSE)</f>
        <v>#NAME?</v>
      </c>
      <c r="AN509" s="986" t="e">
        <f ca="1">VLOOKUP($AB509,sample!$1:$1048576,13,FALSE)</f>
        <v>#NAME?</v>
      </c>
      <c r="AP509" s="988"/>
    </row>
    <row r="510" spans="1:42">
      <c r="A510" s="973">
        <f>(A509+1)</f>
        <v>2019200523</v>
      </c>
      <c r="B510" s="881">
        <v>44508</v>
      </c>
      <c r="C510" s="881" t="s">
        <v>134</v>
      </c>
      <c r="D510" s="1136" t="s">
        <v>12874</v>
      </c>
      <c r="E510" s="1013" t="e">
        <f ca="1">_xll.BDP(G510  &amp; " Equity", "ID_ISIN", "Fill", "")</f>
        <v>#NAME?</v>
      </c>
      <c r="F510" s="1006" t="str">
        <f t="shared" si="124"/>
        <v>YES</v>
      </c>
      <c r="G510" s="594" t="s">
        <v>12874</v>
      </c>
      <c r="I510" s="1007" t="e">
        <f ca="1">_xll.BDP(E510 &amp; " Equity","SECURITY_NAME")</f>
        <v>#NAME?</v>
      </c>
      <c r="J510" s="1007" t="e">
        <f ca="1">_xll.BDP(G510 &amp; " Equity","Crncy")</f>
        <v>#NAME?</v>
      </c>
      <c r="K510" s="938">
        <v>135947.42610000001</v>
      </c>
      <c r="M510" s="938">
        <v>-1826</v>
      </c>
      <c r="N510" s="1009">
        <f t="shared" si="121"/>
        <v>248240000.05860001</v>
      </c>
      <c r="O510" s="885">
        <v>-372360</v>
      </c>
      <c r="P510" s="885">
        <v>-570933</v>
      </c>
      <c r="R510" s="982">
        <f t="shared" si="126"/>
        <v>247296707.05860001</v>
      </c>
      <c r="S510" s="878">
        <v>1369.23</v>
      </c>
      <c r="T510" s="998">
        <f t="shared" si="128"/>
        <v>180610.05605968318</v>
      </c>
      <c r="U510" s="716">
        <v>44510</v>
      </c>
      <c r="V510" s="594" t="s">
        <v>1114</v>
      </c>
      <c r="W510" s="914">
        <v>44507.926837615742</v>
      </c>
      <c r="X510" s="971">
        <f t="shared" si="125"/>
        <v>-0.14999999996459071</v>
      </c>
      <c r="Y510" s="584" t="s">
        <v>1693</v>
      </c>
      <c r="Z510" s="988" t="e">
        <f ca="1">VLOOKUP(AA510,'place of settlement'!A:C,2,FALSE)</f>
        <v>#NAME?</v>
      </c>
      <c r="AA510" s="988" t="e">
        <f t="shared" ca="1" si="122"/>
        <v>#NAME?</v>
      </c>
      <c r="AB510" s="988" t="e">
        <f t="shared" ca="1" si="123"/>
        <v>#NAME?</v>
      </c>
      <c r="AC510" s="988" t="e">
        <f ca="1">VLOOKUP(AB510,sample!$1:$1048576,2,FALSE)</f>
        <v>#NAME?</v>
      </c>
      <c r="AD510" s="988" t="e">
        <f ca="1">VLOOKUP($AB510,sample!$1:$1048576,3,FALSE)</f>
        <v>#NAME?</v>
      </c>
      <c r="AE510" s="986" t="e">
        <f ca="1">VLOOKUP($AB510,sample!$1:$1048576,4,FALSE)</f>
        <v>#NAME?</v>
      </c>
      <c r="AF510" s="988" t="e">
        <f ca="1">VLOOKUP($AB510,sample!$1:$1048576,5,FALSE)</f>
        <v>#NAME?</v>
      </c>
      <c r="AL510" s="986" t="e">
        <f ca="1">VLOOKUP($AB510,sample!$1:$1048576,11,FALSE)</f>
        <v>#NAME?</v>
      </c>
      <c r="AM510" s="986" t="e">
        <f ca="1">VLOOKUP($AB510,sample!$1:$1048576,12,FALSE)</f>
        <v>#NAME?</v>
      </c>
      <c r="AN510" s="986" t="e">
        <f ca="1">VLOOKUP($AB510,sample!$1:$1048576,13,FALSE)</f>
        <v>#NAME?</v>
      </c>
      <c r="AP510" s="988"/>
    </row>
    <row r="511" spans="1:42">
      <c r="A511" s="973">
        <f t="shared" ref="A511:A576" si="129">(A510+1)</f>
        <v>2019200524</v>
      </c>
      <c r="B511" s="881">
        <v>44508</v>
      </c>
      <c r="C511" s="881" t="s">
        <v>134</v>
      </c>
      <c r="D511" s="1133" t="str">
        <f>IFERROR(VLOOKUP(G511,PosAggregate!$B$13:$B$89,1,FALSE),"")</f>
        <v>6502 JP</v>
      </c>
      <c r="E511" s="1013" t="e">
        <f ca="1">_xll.BDP(G511  &amp; " Equity", "ID_ISIN", "Fill", "")</f>
        <v>#NAME?</v>
      </c>
      <c r="F511" s="1006" t="str">
        <f t="shared" si="124"/>
        <v>YES</v>
      </c>
      <c r="G511" s="594" t="s">
        <v>12873</v>
      </c>
      <c r="I511" s="1007" t="e">
        <f ca="1">_xll.BDP(E511 &amp; " Equity","SECURITY_NAME")</f>
        <v>#NAME?</v>
      </c>
      <c r="J511" s="1007" t="e">
        <f ca="1">_xll.BDP(G511 &amp; " Equity","Crncy")</f>
        <v>#NAME?</v>
      </c>
      <c r="K511" s="938">
        <v>5063.9090910000004</v>
      </c>
      <c r="M511" s="938">
        <v>-11000</v>
      </c>
      <c r="N511" s="1009">
        <f t="shared" si="121"/>
        <v>55703000.001000002</v>
      </c>
      <c r="O511" s="885">
        <v>-33422</v>
      </c>
      <c r="P511" s="885"/>
      <c r="R511" s="982">
        <f t="shared" si="126"/>
        <v>55669578.001000002</v>
      </c>
      <c r="S511" s="878">
        <v>131.09</v>
      </c>
      <c r="T511" s="998">
        <f t="shared" si="128"/>
        <v>424666.85484018613</v>
      </c>
      <c r="U511" s="716">
        <v>44510</v>
      </c>
      <c r="V511" s="594" t="s">
        <v>1656</v>
      </c>
      <c r="W511" s="914">
        <v>44507.960175578701</v>
      </c>
      <c r="X511" s="971">
        <f t="shared" si="125"/>
        <v>-6.0000359046011871E-2</v>
      </c>
      <c r="Y511" s="584" t="s">
        <v>1693</v>
      </c>
      <c r="Z511" s="988" t="e">
        <f ca="1">VLOOKUP(AA511,'place of settlement'!A:C,2,FALSE)</f>
        <v>#NAME?</v>
      </c>
      <c r="AA511" s="988" t="e">
        <f t="shared" ca="1" si="122"/>
        <v>#NAME?</v>
      </c>
      <c r="AB511" s="988" t="e">
        <f t="shared" ca="1" si="123"/>
        <v>#NAME?</v>
      </c>
      <c r="AC511" s="988" t="e">
        <f ca="1">VLOOKUP(AB511,sample!$1:$1048576,2,FALSE)</f>
        <v>#NAME?</v>
      </c>
      <c r="AD511" s="988" t="e">
        <f ca="1">VLOOKUP($AB511,sample!$1:$1048576,3,FALSE)</f>
        <v>#NAME?</v>
      </c>
      <c r="AE511" s="986" t="e">
        <f ca="1">VLOOKUP($AB511,sample!$1:$1048576,4,FALSE)</f>
        <v>#NAME?</v>
      </c>
      <c r="AF511" s="988" t="e">
        <f ca="1">VLOOKUP($AB511,sample!$1:$1048576,5,FALSE)</f>
        <v>#NAME?</v>
      </c>
      <c r="AL511" s="986" t="e">
        <f ca="1">VLOOKUP($AB511,sample!$1:$1048576,11,FALSE)</f>
        <v>#NAME?</v>
      </c>
      <c r="AM511" s="986" t="e">
        <f ca="1">VLOOKUP($AB511,sample!$1:$1048576,12,FALSE)</f>
        <v>#NAME?</v>
      </c>
      <c r="AN511" s="986" t="e">
        <f ca="1">VLOOKUP($AB511,sample!$1:$1048576,13,FALSE)</f>
        <v>#NAME?</v>
      </c>
      <c r="AP511" s="988"/>
    </row>
    <row r="512" spans="1:42">
      <c r="A512" s="973">
        <f t="shared" si="129"/>
        <v>2019200525</v>
      </c>
      <c r="B512" s="881">
        <v>44508</v>
      </c>
      <c r="C512" s="881" t="s">
        <v>133</v>
      </c>
      <c r="D512" s="1133" t="str">
        <f>IFERROR(VLOOKUP(G512,PosAggregate!$B$13:$B$89,1,FALSE),"")</f>
        <v>096775 KS</v>
      </c>
      <c r="E512" s="1013" t="e">
        <f ca="1">_xll.BDP(G512  &amp; " Equity", "ID_ISIN", "Fill", "")</f>
        <v>#NAME?</v>
      </c>
      <c r="F512" s="1006" t="str">
        <f t="shared" si="124"/>
        <v>YES</v>
      </c>
      <c r="G512" s="594" t="s">
        <v>12711</v>
      </c>
      <c r="I512" s="1007" t="e">
        <f ca="1">_xll.BDP(E512 &amp; " Equity","SECURITY_NAME")</f>
        <v>#NAME?</v>
      </c>
      <c r="J512" s="1007" t="e">
        <f ca="1">_xll.BDP(G512 &amp; " Equity","Crncy")</f>
        <v>#NAME?</v>
      </c>
      <c r="K512" s="938">
        <v>143175.78950000001</v>
      </c>
      <c r="M512" s="938">
        <v>950</v>
      </c>
      <c r="N512" s="1009">
        <f t="shared" si="121"/>
        <v>-136017000.02500001</v>
      </c>
      <c r="O512" s="885">
        <v>-204026</v>
      </c>
      <c r="P512" s="885"/>
      <c r="R512" s="982">
        <f t="shared" si="126"/>
        <v>-136221026.02500001</v>
      </c>
      <c r="S512" s="878">
        <v>1369.23</v>
      </c>
      <c r="T512" s="998">
        <f t="shared" si="128"/>
        <v>-99487.322089787689</v>
      </c>
      <c r="U512" s="716">
        <v>44510</v>
      </c>
      <c r="V512" s="594" t="s">
        <v>1114</v>
      </c>
      <c r="W512" s="914">
        <v>44507.976485300926</v>
      </c>
      <c r="X512" s="971">
        <f t="shared" si="125"/>
        <v>0.15000036757353855</v>
      </c>
      <c r="Y512" s="584" t="s">
        <v>1693</v>
      </c>
      <c r="Z512" s="988" t="e">
        <f ca="1">VLOOKUP(AA512,'place of settlement'!A:C,2,FALSE)</f>
        <v>#NAME?</v>
      </c>
      <c r="AA512" s="988" t="e">
        <f t="shared" ca="1" si="122"/>
        <v>#NAME?</v>
      </c>
      <c r="AB512" s="988" t="e">
        <f t="shared" ca="1" si="123"/>
        <v>#NAME?</v>
      </c>
      <c r="AC512" s="988" t="e">
        <f ca="1">VLOOKUP(AB512,sample!$1:$1048576,2,FALSE)</f>
        <v>#NAME?</v>
      </c>
      <c r="AD512" s="988" t="e">
        <f ca="1">VLOOKUP($AB512,sample!$1:$1048576,3,FALSE)</f>
        <v>#NAME?</v>
      </c>
      <c r="AE512" s="986" t="e">
        <f ca="1">VLOOKUP($AB512,sample!$1:$1048576,4,FALSE)</f>
        <v>#NAME?</v>
      </c>
      <c r="AF512" s="988" t="e">
        <f ca="1">VLOOKUP($AB512,sample!$1:$1048576,5,FALSE)</f>
        <v>#NAME?</v>
      </c>
      <c r="AL512" s="986" t="e">
        <f ca="1">VLOOKUP($AB512,sample!$1:$1048576,11,FALSE)</f>
        <v>#NAME?</v>
      </c>
      <c r="AM512" s="986" t="e">
        <f ca="1">VLOOKUP($AB512,sample!$1:$1048576,12,FALSE)</f>
        <v>#NAME?</v>
      </c>
      <c r="AN512" s="986" t="e">
        <f ca="1">VLOOKUP($AB512,sample!$1:$1048576,13,FALSE)</f>
        <v>#NAME?</v>
      </c>
      <c r="AP512" s="988"/>
    </row>
    <row r="513" spans="1:42">
      <c r="A513" s="973">
        <f t="shared" si="129"/>
        <v>2019200526</v>
      </c>
      <c r="B513" s="881">
        <v>44508</v>
      </c>
      <c r="C513" s="881" t="s">
        <v>133</v>
      </c>
      <c r="D513" s="1133" t="str">
        <f>IFERROR(VLOOKUP(G513,PosAggregate!$B$13:$B$89,1,FALSE),"")</f>
        <v>051915 KS</v>
      </c>
      <c r="E513" s="1013" t="e">
        <f ca="1">_xll.BDP(G513  &amp; " Equity", "ID_ISIN", "Fill", "")</f>
        <v>#NAME?</v>
      </c>
      <c r="F513" s="1006" t="str">
        <f t="shared" si="124"/>
        <v>YES</v>
      </c>
      <c r="G513" s="594" t="s">
        <v>12709</v>
      </c>
      <c r="I513" s="1007" t="e">
        <f ca="1">_xll.BDP(E513 &amp; " Equity","SECURITY_NAME")</f>
        <v>#NAME?</v>
      </c>
      <c r="J513" s="1007" t="e">
        <f ca="1">_xll.BDP(G513 &amp; " Equity","Crncy")</f>
        <v>#NAME?</v>
      </c>
      <c r="K513" s="938">
        <v>358250</v>
      </c>
      <c r="M513" s="938">
        <v>600</v>
      </c>
      <c r="N513" s="1009">
        <f t="shared" si="121"/>
        <v>-214950000</v>
      </c>
      <c r="O513" s="885">
        <v>-322425</v>
      </c>
      <c r="P513" s="885"/>
      <c r="R513" s="982">
        <f t="shared" si="126"/>
        <v>-215272425</v>
      </c>
      <c r="S513" s="878">
        <v>1369.23</v>
      </c>
      <c r="T513" s="998">
        <f t="shared" si="128"/>
        <v>-157221.52231546197</v>
      </c>
      <c r="U513" s="716">
        <v>44510</v>
      </c>
      <c r="V513" s="594" t="s">
        <v>1114</v>
      </c>
      <c r="W513" s="914">
        <v>44507.978803124999</v>
      </c>
      <c r="X513" s="971">
        <f t="shared" si="125"/>
        <v>0.15</v>
      </c>
      <c r="Y513" s="584" t="s">
        <v>1693</v>
      </c>
      <c r="Z513" s="988" t="e">
        <f ca="1">VLOOKUP(AA513,'place of settlement'!A:C,2,FALSE)</f>
        <v>#NAME?</v>
      </c>
      <c r="AA513" s="988" t="e">
        <f t="shared" ca="1" si="122"/>
        <v>#NAME?</v>
      </c>
      <c r="AB513" s="988" t="e">
        <f t="shared" ca="1" si="123"/>
        <v>#NAME?</v>
      </c>
      <c r="AC513" s="988" t="e">
        <f ca="1">VLOOKUP(AB513,sample!$1:$1048576,2,FALSE)</f>
        <v>#NAME?</v>
      </c>
      <c r="AD513" s="988" t="e">
        <f ca="1">VLOOKUP($AB513,sample!$1:$1048576,3,FALSE)</f>
        <v>#NAME?</v>
      </c>
      <c r="AE513" s="986" t="e">
        <f ca="1">VLOOKUP($AB513,sample!$1:$1048576,4,FALSE)</f>
        <v>#NAME?</v>
      </c>
      <c r="AF513" s="988" t="e">
        <f ca="1">VLOOKUP($AB513,sample!$1:$1048576,5,FALSE)</f>
        <v>#NAME?</v>
      </c>
      <c r="AL513" s="986" t="e">
        <f ca="1">VLOOKUP($AB513,sample!$1:$1048576,11,FALSE)</f>
        <v>#NAME?</v>
      </c>
      <c r="AM513" s="986" t="e">
        <f ca="1">VLOOKUP($AB513,sample!$1:$1048576,12,FALSE)</f>
        <v>#NAME?</v>
      </c>
      <c r="AN513" s="986" t="e">
        <f ca="1">VLOOKUP($AB513,sample!$1:$1048576,13,FALSE)</f>
        <v>#NAME?</v>
      </c>
      <c r="AP513" s="988"/>
    </row>
    <row r="514" spans="1:42">
      <c r="A514" s="1014">
        <f t="shared" si="129"/>
        <v>2019200527</v>
      </c>
      <c r="B514" s="881">
        <v>44509</v>
      </c>
      <c r="C514" s="881" t="s">
        <v>133</v>
      </c>
      <c r="D514" s="1133" t="str">
        <f>IFERROR(VLOOKUP(G514,PosAggregate!$B$13:$B$89,1,FALSE),"")</f>
        <v>096775 KS</v>
      </c>
      <c r="E514" s="1013" t="e">
        <f ca="1">_xll.BDP(G514  &amp; " Equity", "ID_ISIN", "Fill", "")</f>
        <v>#NAME?</v>
      </c>
      <c r="F514" s="1006" t="str">
        <f t="shared" si="124"/>
        <v>YES</v>
      </c>
      <c r="G514" s="594" t="s">
        <v>12711</v>
      </c>
      <c r="I514" s="1007" t="e">
        <f ca="1">_xll.BDP(E514 &amp; " Equity","SECURITY_NAME")</f>
        <v>#NAME?</v>
      </c>
      <c r="J514" s="1007" t="e">
        <f ca="1">_xll.BDP(G514 &amp; " Equity","Crncy")</f>
        <v>#NAME?</v>
      </c>
      <c r="K514" s="938">
        <v>143166.92310000001</v>
      </c>
      <c r="L514" s="938"/>
      <c r="M514" s="938">
        <v>650</v>
      </c>
      <c r="N514" s="1009">
        <f t="shared" si="121"/>
        <v>-93058500.015000015</v>
      </c>
      <c r="O514" s="885">
        <v>-139588</v>
      </c>
      <c r="R514" s="982">
        <f t="shared" si="126"/>
        <v>-93198088.015000015</v>
      </c>
      <c r="S514" s="878">
        <v>1366.27</v>
      </c>
      <c r="T514" s="934">
        <v>-67794.067058487708</v>
      </c>
      <c r="U514" s="716">
        <v>44511</v>
      </c>
      <c r="V514" s="594" t="s">
        <v>1114</v>
      </c>
      <c r="W514" s="914">
        <v>44509.359861226854</v>
      </c>
      <c r="X514" s="971">
        <f t="shared" si="125"/>
        <v>0.15000026862403748</v>
      </c>
      <c r="Y514" s="584" t="s">
        <v>1693</v>
      </c>
      <c r="Z514" s="988" t="e">
        <f ca="1">VLOOKUP(AA514,'place of settlement'!A:C,2,FALSE)</f>
        <v>#NAME?</v>
      </c>
      <c r="AA514" s="988" t="e">
        <f t="shared" ca="1" si="122"/>
        <v>#NAME?</v>
      </c>
      <c r="AB514" s="988" t="e">
        <f t="shared" ca="1" si="123"/>
        <v>#NAME?</v>
      </c>
      <c r="AC514" s="988" t="e">
        <f ca="1">VLOOKUP(AB514,sample!$1:$1048576,2,FALSE)</f>
        <v>#NAME?</v>
      </c>
      <c r="AD514" s="988" t="e">
        <f ca="1">VLOOKUP($AB514,sample!$1:$1048576,3,FALSE)</f>
        <v>#NAME?</v>
      </c>
      <c r="AE514" s="986" t="e">
        <f ca="1">VLOOKUP($AB514,sample!$1:$1048576,4,FALSE)</f>
        <v>#NAME?</v>
      </c>
      <c r="AF514" s="988" t="e">
        <f ca="1">VLOOKUP($AB514,sample!$1:$1048576,5,FALSE)</f>
        <v>#NAME?</v>
      </c>
      <c r="AL514" s="986" t="e">
        <f ca="1">VLOOKUP($AB514,sample!$1:$1048576,11,FALSE)</f>
        <v>#NAME?</v>
      </c>
      <c r="AM514" s="986" t="e">
        <f ca="1">VLOOKUP($AB514,sample!$1:$1048576,12,FALSE)</f>
        <v>#NAME?</v>
      </c>
      <c r="AN514" s="986" t="e">
        <f ca="1">VLOOKUP($AB514,sample!$1:$1048576,13,FALSE)</f>
        <v>#NAME?</v>
      </c>
      <c r="AP514" s="988"/>
    </row>
    <row r="515" spans="1:42">
      <c r="A515" s="1014">
        <f t="shared" si="129"/>
        <v>2019200528</v>
      </c>
      <c r="B515" s="881">
        <v>44509</v>
      </c>
      <c r="C515" s="881" t="s">
        <v>134</v>
      </c>
      <c r="D515" s="1133" t="str">
        <f>IFERROR(VLOOKUP(G515,PosAggregate!$B$13:$B$89,1,FALSE),"")</f>
        <v>6502 JP</v>
      </c>
      <c r="E515" s="1013" t="e">
        <f ca="1">_xll.BDP(G515  &amp; " Equity", "ID_ISIN", "Fill", "")</f>
        <v>#NAME?</v>
      </c>
      <c r="F515" s="1006" t="str">
        <f t="shared" si="124"/>
        <v>YES</v>
      </c>
      <c r="G515" s="594" t="s">
        <v>12873</v>
      </c>
      <c r="I515" s="1007" t="e">
        <f ca="1">_xll.BDP(E515 &amp; " Equity","SECURITY_NAME")</f>
        <v>#NAME?</v>
      </c>
      <c r="J515" s="1007" t="e">
        <f ca="1">_xll.BDP(G515 &amp; " Equity","Crncy")</f>
        <v>#NAME?</v>
      </c>
      <c r="K515" s="938">
        <v>5018.9772730000004</v>
      </c>
      <c r="L515" s="938"/>
      <c r="M515" s="938">
        <v>-11000</v>
      </c>
      <c r="N515" s="1009">
        <f t="shared" si="121"/>
        <v>55208750.003000006</v>
      </c>
      <c r="O515" s="885">
        <v>-33125</v>
      </c>
      <c r="R515" s="982">
        <f t="shared" si="126"/>
        <v>55175625.003000006</v>
      </c>
      <c r="S515" s="878">
        <v>130.86000000000001</v>
      </c>
      <c r="T515" s="934">
        <v>407267.30857404857</v>
      </c>
      <c r="U515" s="716">
        <v>44511</v>
      </c>
      <c r="V515" s="594" t="s">
        <v>1656</v>
      </c>
      <c r="W515" s="914">
        <v>44509.360926157409</v>
      </c>
      <c r="X515" s="971">
        <f t="shared" si="125"/>
        <v>-5.9999547169968546E-2</v>
      </c>
      <c r="Y515" s="584" t="s">
        <v>1693</v>
      </c>
      <c r="Z515" s="988" t="e">
        <f ca="1">VLOOKUP(AA515,'place of settlement'!A:C,2,FALSE)</f>
        <v>#NAME?</v>
      </c>
      <c r="AA515" s="988" t="e">
        <f t="shared" ca="1" si="122"/>
        <v>#NAME?</v>
      </c>
      <c r="AB515" s="988" t="e">
        <f t="shared" ca="1" si="123"/>
        <v>#NAME?</v>
      </c>
      <c r="AC515" s="988" t="e">
        <f ca="1">VLOOKUP(AB515,sample!$1:$1048576,2,FALSE)</f>
        <v>#NAME?</v>
      </c>
      <c r="AD515" s="988" t="e">
        <f ca="1">VLOOKUP($AB515,sample!$1:$1048576,3,FALSE)</f>
        <v>#NAME?</v>
      </c>
      <c r="AE515" s="986" t="e">
        <f ca="1">VLOOKUP($AB515,sample!$1:$1048576,4,FALSE)</f>
        <v>#NAME?</v>
      </c>
      <c r="AF515" s="988" t="e">
        <f ca="1">VLOOKUP($AB515,sample!$1:$1048576,5,FALSE)</f>
        <v>#NAME?</v>
      </c>
      <c r="AL515" s="986" t="e">
        <f ca="1">VLOOKUP($AB515,sample!$1:$1048576,11,FALSE)</f>
        <v>#NAME?</v>
      </c>
      <c r="AM515" s="986" t="e">
        <f ca="1">VLOOKUP($AB515,sample!$1:$1048576,12,FALSE)</f>
        <v>#NAME?</v>
      </c>
      <c r="AN515" s="986" t="e">
        <f ca="1">VLOOKUP($AB515,sample!$1:$1048576,13,FALSE)</f>
        <v>#NAME?</v>
      </c>
      <c r="AP515" s="988"/>
    </row>
    <row r="516" spans="1:42">
      <c r="A516" s="1014">
        <f t="shared" si="129"/>
        <v>2019200529</v>
      </c>
      <c r="B516" s="881">
        <v>44509</v>
      </c>
      <c r="C516" s="881" t="s">
        <v>133</v>
      </c>
      <c r="D516" s="1133" t="str">
        <f>IFERROR(VLOOKUP(G516,PosAggregate!$B$13:$B$89,1,FALSE),"")</f>
        <v>051915 KS</v>
      </c>
      <c r="E516" s="1013" t="e">
        <f ca="1">_xll.BDP(G516  &amp; " Equity", "ID_ISIN", "Fill", "")</f>
        <v>#NAME?</v>
      </c>
      <c r="F516" s="1006" t="str">
        <f t="shared" ref="F516:F579" si="130">IF(D516=G516,"YES","NO")</f>
        <v>YES</v>
      </c>
      <c r="G516" s="594" t="s">
        <v>12709</v>
      </c>
      <c r="I516" s="1007" t="e">
        <f ca="1">_xll.BDP(E516 &amp; " Equity","SECURITY_NAME")</f>
        <v>#NAME?</v>
      </c>
      <c r="J516" s="1007" t="e">
        <f ca="1">_xll.BDP(G516 &amp; " Equity","Crncy")</f>
        <v>#NAME?</v>
      </c>
      <c r="K516" s="938">
        <v>354531</v>
      </c>
      <c r="L516" s="938"/>
      <c r="M516" s="938">
        <v>500</v>
      </c>
      <c r="N516" s="1009">
        <f t="shared" si="121"/>
        <v>-177265500</v>
      </c>
      <c r="O516" s="885">
        <v>-265898</v>
      </c>
      <c r="R516" s="982">
        <f t="shared" si="126"/>
        <v>-177531398</v>
      </c>
      <c r="S516" s="878">
        <v>1366.27</v>
      </c>
      <c r="T516" s="934">
        <v>-128268.93659379186</v>
      </c>
      <c r="U516" s="716">
        <v>44511</v>
      </c>
      <c r="V516" s="594" t="s">
        <v>1114</v>
      </c>
      <c r="W516" s="914">
        <v>44509.361826273147</v>
      </c>
      <c r="X516" s="971">
        <f t="shared" si="125"/>
        <v>0.14999985896860923</v>
      </c>
      <c r="Y516" s="584" t="s">
        <v>1693</v>
      </c>
      <c r="Z516" s="988" t="e">
        <f ca="1">VLOOKUP(AA516,'place of settlement'!A:C,2,FALSE)</f>
        <v>#NAME?</v>
      </c>
      <c r="AA516" s="988" t="e">
        <f t="shared" ca="1" si="122"/>
        <v>#NAME?</v>
      </c>
      <c r="AB516" s="988" t="e">
        <f t="shared" ca="1" si="123"/>
        <v>#NAME?</v>
      </c>
      <c r="AC516" s="988" t="e">
        <f ca="1">VLOOKUP(AB516,sample!$1:$1048576,2,FALSE)</f>
        <v>#NAME?</v>
      </c>
      <c r="AD516" s="988" t="e">
        <f ca="1">VLOOKUP($AB516,sample!$1:$1048576,3,FALSE)</f>
        <v>#NAME?</v>
      </c>
      <c r="AE516" s="986" t="e">
        <f ca="1">VLOOKUP($AB516,sample!$1:$1048576,4,FALSE)</f>
        <v>#NAME?</v>
      </c>
      <c r="AF516" s="988" t="e">
        <f ca="1">VLOOKUP($AB516,sample!$1:$1048576,5,FALSE)</f>
        <v>#NAME?</v>
      </c>
      <c r="AL516" s="986" t="e">
        <f ca="1">VLOOKUP($AB516,sample!$1:$1048576,11,FALSE)</f>
        <v>#NAME?</v>
      </c>
      <c r="AM516" s="986" t="e">
        <f ca="1">VLOOKUP($AB516,sample!$1:$1048576,12,FALSE)</f>
        <v>#NAME?</v>
      </c>
      <c r="AN516" s="986" t="e">
        <f ca="1">VLOOKUP($AB516,sample!$1:$1048576,13,FALSE)</f>
        <v>#NAME?</v>
      </c>
      <c r="AP516" s="988"/>
    </row>
    <row r="517" spans="1:42">
      <c r="A517" s="1014">
        <f t="shared" si="129"/>
        <v>2019200530</v>
      </c>
      <c r="B517" s="881">
        <v>44509</v>
      </c>
      <c r="C517" s="881" t="s">
        <v>133</v>
      </c>
      <c r="D517" s="1133" t="str">
        <f>IFERROR(VLOOKUP(G517,PosAggregate!$B$13:$B$89,1,FALSE),"")</f>
        <v>056190 KS</v>
      </c>
      <c r="E517" s="1013" t="e">
        <f ca="1">_xll.BDP(G517  &amp; " Equity", "ID_ISIN", "Fill", "")</f>
        <v>#NAME?</v>
      </c>
      <c r="F517" s="1006" t="str">
        <f t="shared" si="130"/>
        <v>YES</v>
      </c>
      <c r="G517" s="594" t="s">
        <v>12789</v>
      </c>
      <c r="I517" s="1007" t="e">
        <f ca="1">_xll.BDP(E517 &amp; " Equity","SECURITY_NAME")</f>
        <v>#NAME?</v>
      </c>
      <c r="J517" s="1007" t="e">
        <f ca="1">_xll.BDP(G517 &amp; " Equity","Crncy")</f>
        <v>#NAME?</v>
      </c>
      <c r="K517" s="938">
        <v>34796.483099999998</v>
      </c>
      <c r="L517" s="938"/>
      <c r="M517" s="938">
        <v>8715</v>
      </c>
      <c r="N517" s="1009">
        <f t="shared" si="121"/>
        <v>-303251350.21649998</v>
      </c>
      <c r="O517" s="885">
        <v>-4548877</v>
      </c>
      <c r="R517" s="982">
        <f t="shared" si="126"/>
        <v>-307800227.21649998</v>
      </c>
      <c r="S517" s="878">
        <v>1366.27</v>
      </c>
      <c r="T517" s="934">
        <v>-282191.66050634207</v>
      </c>
      <c r="U517" s="716">
        <v>44511</v>
      </c>
      <c r="V517" s="594" t="s">
        <v>1114</v>
      </c>
      <c r="W517" s="914">
        <v>44509.362659722225</v>
      </c>
      <c r="X517" s="971">
        <f t="shared" si="125"/>
        <v>1.5000352007509361</v>
      </c>
      <c r="Y517" s="584" t="s">
        <v>1693</v>
      </c>
      <c r="Z517" s="988" t="e">
        <f ca="1">VLOOKUP(AA517,'place of settlement'!A:C,2,FALSE)</f>
        <v>#NAME?</v>
      </c>
      <c r="AA517" s="988" t="e">
        <f t="shared" ca="1" si="122"/>
        <v>#NAME?</v>
      </c>
      <c r="AB517" s="988" t="e">
        <f t="shared" ca="1" si="123"/>
        <v>#NAME?</v>
      </c>
      <c r="AC517" s="988" t="e">
        <f ca="1">VLOOKUP(AB517,sample!$1:$1048576,2,FALSE)</f>
        <v>#NAME?</v>
      </c>
      <c r="AD517" s="988" t="e">
        <f ca="1">VLOOKUP($AB517,sample!$1:$1048576,3,FALSE)</f>
        <v>#NAME?</v>
      </c>
      <c r="AE517" s="986" t="e">
        <f ca="1">VLOOKUP($AB517,sample!$1:$1048576,4,FALSE)</f>
        <v>#NAME?</v>
      </c>
      <c r="AF517" s="988" t="e">
        <f ca="1">VLOOKUP($AB517,sample!$1:$1048576,5,FALSE)</f>
        <v>#NAME?</v>
      </c>
      <c r="AL517" s="986" t="e">
        <f ca="1">VLOOKUP($AB517,sample!$1:$1048576,11,FALSE)</f>
        <v>#NAME?</v>
      </c>
      <c r="AM517" s="986" t="e">
        <f ca="1">VLOOKUP($AB517,sample!$1:$1048576,12,FALSE)</f>
        <v>#NAME?</v>
      </c>
      <c r="AN517" s="986" t="e">
        <f ca="1">VLOOKUP($AB517,sample!$1:$1048576,13,FALSE)</f>
        <v>#NAME?</v>
      </c>
      <c r="AP517" s="988"/>
    </row>
    <row r="518" spans="1:42">
      <c r="A518" s="1014">
        <f t="shared" si="129"/>
        <v>2019200531</v>
      </c>
      <c r="B518" s="881">
        <v>44510</v>
      </c>
      <c r="C518" s="881" t="s">
        <v>134</v>
      </c>
      <c r="D518" s="1133" t="str">
        <f>IFERROR(VLOOKUP(G518,PosAggregate!$B$13:$B$89,1,FALSE),"")</f>
        <v>FR FP</v>
      </c>
      <c r="E518" s="1013" t="e">
        <f ca="1">_xll.BDP(G518  &amp; " Equity", "ID_ISIN", "Fill", "")</f>
        <v>#NAME?</v>
      </c>
      <c r="F518" s="1006" t="str">
        <f t="shared" si="130"/>
        <v>YES</v>
      </c>
      <c r="G518" s="594" t="s">
        <v>12714</v>
      </c>
      <c r="I518" s="1007" t="e">
        <f ca="1">_xll.BDP(E518 &amp; " Equity","SECURITY_NAME")</f>
        <v>#NAME?</v>
      </c>
      <c r="J518" s="1007" t="e">
        <f ca="1">_xll.BDP(G518 &amp; " Equity","Crncy")</f>
        <v>#NAME?</v>
      </c>
      <c r="K518" s="938">
        <v>27.2486</v>
      </c>
      <c r="L518" s="938"/>
      <c r="M518" s="938">
        <v>-6600</v>
      </c>
      <c r="N518" s="1009">
        <f t="shared" si="121"/>
        <v>179840.76</v>
      </c>
      <c r="O518" s="885">
        <v>-107.9</v>
      </c>
      <c r="R518" s="982">
        <f t="shared" si="126"/>
        <v>179732.86000000002</v>
      </c>
      <c r="S518" s="878">
        <v>1</v>
      </c>
      <c r="T518" s="998">
        <f t="shared" si="128"/>
        <v>179732.86000000002</v>
      </c>
      <c r="U518" s="716">
        <v>44512</v>
      </c>
      <c r="V518" s="594" t="s">
        <v>1183</v>
      </c>
      <c r="X518" s="971">
        <f t="shared" si="125"/>
        <v>-5.9997522252463791E-2</v>
      </c>
      <c r="Y518" s="584" t="s">
        <v>1693</v>
      </c>
      <c r="Z518" s="988" t="e">
        <f ca="1">VLOOKUP(AA518,'place of settlement'!A:C,2,FALSE)</f>
        <v>#NAME?</v>
      </c>
      <c r="AA518" s="988" t="e">
        <f t="shared" ca="1" si="122"/>
        <v>#NAME?</v>
      </c>
      <c r="AB518" s="988" t="e">
        <f t="shared" ca="1" si="123"/>
        <v>#NAME?</v>
      </c>
      <c r="AC518" s="988" t="e">
        <f ca="1">VLOOKUP(AB518,sample!$1:$1048576,2,FALSE)</f>
        <v>#NAME?</v>
      </c>
      <c r="AD518" s="988" t="e">
        <f ca="1">VLOOKUP($AB518,sample!$1:$1048576,3,FALSE)</f>
        <v>#NAME?</v>
      </c>
      <c r="AE518" s="986" t="e">
        <f ca="1">VLOOKUP($AB518,sample!$1:$1048576,4,FALSE)</f>
        <v>#NAME?</v>
      </c>
      <c r="AF518" s="988" t="e">
        <f ca="1">VLOOKUP($AB518,sample!$1:$1048576,5,FALSE)</f>
        <v>#NAME?</v>
      </c>
      <c r="AL518" s="986" t="e">
        <f ca="1">VLOOKUP($AB518,sample!$1:$1048576,11,FALSE)</f>
        <v>#NAME?</v>
      </c>
      <c r="AM518" s="986" t="e">
        <f ca="1">VLOOKUP($AB518,sample!$1:$1048576,12,FALSE)</f>
        <v>#NAME?</v>
      </c>
      <c r="AN518" s="986" t="e">
        <f ca="1">VLOOKUP($AB518,sample!$1:$1048576,13,FALSE)</f>
        <v>#NAME?</v>
      </c>
      <c r="AP518" s="988"/>
    </row>
    <row r="519" spans="1:42">
      <c r="A519" s="1014">
        <f t="shared" si="129"/>
        <v>2019200532</v>
      </c>
      <c r="B519" s="881">
        <v>44510</v>
      </c>
      <c r="C519" s="881" t="s">
        <v>134</v>
      </c>
      <c r="D519" s="1133" t="str">
        <f>IFERROR(VLOOKUP(G519,PosAggregate!$B$13:$B$89,1,FALSE),"")</f>
        <v>FR FP</v>
      </c>
      <c r="E519" s="1013" t="e">
        <f ca="1">_xll.BDP(G519  &amp; " Equity", "ID_ISIN", "Fill", "")</f>
        <v>#NAME?</v>
      </c>
      <c r="F519" s="1006" t="str">
        <f t="shared" si="130"/>
        <v>YES</v>
      </c>
      <c r="G519" s="594" t="s">
        <v>12714</v>
      </c>
      <c r="I519" s="1007" t="e">
        <f ca="1">_xll.BDP(E519 &amp; " Equity","SECURITY_NAME")</f>
        <v>#NAME?</v>
      </c>
      <c r="J519" s="1007" t="e">
        <f ca="1">_xll.BDP(G519 &amp; " Equity","Crncy")</f>
        <v>#NAME?</v>
      </c>
      <c r="K519" s="938">
        <v>27.267099999999999</v>
      </c>
      <c r="L519" s="938"/>
      <c r="M519" s="938">
        <v>-8000</v>
      </c>
      <c r="N519" s="1009">
        <f t="shared" si="121"/>
        <v>218136.8</v>
      </c>
      <c r="O519" s="885">
        <v>-130.88</v>
      </c>
      <c r="R519" s="982">
        <f t="shared" si="126"/>
        <v>218005.91999999998</v>
      </c>
      <c r="S519" s="878">
        <v>1</v>
      </c>
      <c r="T519" s="998">
        <f>+R519/S519</f>
        <v>218005.91999999998</v>
      </c>
      <c r="U519" s="716">
        <v>44512</v>
      </c>
      <c r="V519" s="594" t="s">
        <v>1183</v>
      </c>
      <c r="X519" s="971">
        <f t="shared" si="125"/>
        <v>-5.999904646992163E-2</v>
      </c>
      <c r="Y519" s="584" t="s">
        <v>1693</v>
      </c>
      <c r="Z519" s="988" t="e">
        <f ca="1">VLOOKUP(AA519,'place of settlement'!A:C,2,FALSE)</f>
        <v>#NAME?</v>
      </c>
      <c r="AA519" s="988" t="e">
        <f t="shared" ca="1" si="122"/>
        <v>#NAME?</v>
      </c>
      <c r="AB519" s="988" t="e">
        <f t="shared" ca="1" si="123"/>
        <v>#NAME?</v>
      </c>
      <c r="AC519" s="988" t="e">
        <f ca="1">VLOOKUP(AB519,sample!$1:$1048576,2,FALSE)</f>
        <v>#NAME?</v>
      </c>
      <c r="AD519" s="988" t="e">
        <f ca="1">VLOOKUP($AB519,sample!$1:$1048576,3,FALSE)</f>
        <v>#NAME?</v>
      </c>
      <c r="AE519" s="986" t="e">
        <f ca="1">VLOOKUP($AB519,sample!$1:$1048576,4,FALSE)</f>
        <v>#NAME?</v>
      </c>
      <c r="AF519" s="988" t="e">
        <f ca="1">VLOOKUP($AB519,sample!$1:$1048576,5,FALSE)</f>
        <v>#NAME?</v>
      </c>
      <c r="AL519" s="986" t="e">
        <f ca="1">VLOOKUP($AB519,sample!$1:$1048576,11,FALSE)</f>
        <v>#NAME?</v>
      </c>
      <c r="AM519" s="986" t="e">
        <f ca="1">VLOOKUP($AB519,sample!$1:$1048576,12,FALSE)</f>
        <v>#NAME?</v>
      </c>
      <c r="AN519" s="986" t="e">
        <f ca="1">VLOOKUP($AB519,sample!$1:$1048576,13,FALSE)</f>
        <v>#NAME?</v>
      </c>
      <c r="AP519" s="988"/>
    </row>
    <row r="520" spans="1:42">
      <c r="A520" s="1014">
        <f t="shared" si="129"/>
        <v>2019200533</v>
      </c>
      <c r="B520" s="881">
        <v>44511</v>
      </c>
      <c r="C520" s="881" t="s">
        <v>133</v>
      </c>
      <c r="D520" s="1133" t="str">
        <f>IFERROR(VLOOKUP(G520,PosAggregate!$B$13:$B$89,1,FALSE),"")</f>
        <v>3401 JP</v>
      </c>
      <c r="E520" s="1013" t="e">
        <f ca="1">_xll.BDP(G520  &amp; " Equity", "ID_ISIN", "Fill", "")</f>
        <v>#NAME?</v>
      </c>
      <c r="F520" s="1006" t="str">
        <f t="shared" si="130"/>
        <v>YES</v>
      </c>
      <c r="G520" s="594" t="s">
        <v>12708</v>
      </c>
      <c r="I520" s="1007" t="e">
        <f ca="1">_xll.BDP(E520 &amp; " Equity","SECURITY_NAME")</f>
        <v>#NAME?</v>
      </c>
      <c r="J520" s="1007" t="e">
        <f ca="1">_xll.BDP(G520 &amp; " Equity","Crncy")</f>
        <v>#NAME?</v>
      </c>
      <c r="K520" s="938">
        <v>1439.6609000000001</v>
      </c>
      <c r="L520" s="938"/>
      <c r="M520" s="938">
        <v>11000</v>
      </c>
      <c r="N520" s="1009">
        <f t="shared" si="121"/>
        <v>-15836269.9</v>
      </c>
      <c r="O520" s="885">
        <v>-9502</v>
      </c>
      <c r="R520" s="982">
        <f t="shared" si="126"/>
        <v>-15845771.9</v>
      </c>
      <c r="S520" s="878">
        <v>130.72</v>
      </c>
      <c r="T520" s="998">
        <f>+R520/S520</f>
        <v>-121219.18528151776</v>
      </c>
      <c r="U520" s="716">
        <v>44515</v>
      </c>
      <c r="V520" s="594" t="s">
        <v>1656</v>
      </c>
      <c r="W520" s="914">
        <v>44511.39211828704</v>
      </c>
      <c r="X520" s="971">
        <f t="shared" si="125"/>
        <v>6.0001503258036798E-2</v>
      </c>
      <c r="Y520" s="584" t="s">
        <v>1693</v>
      </c>
      <c r="Z520" s="988" t="e">
        <f ca="1">VLOOKUP(AA520,'place of settlement'!A:C,2,FALSE)</f>
        <v>#NAME?</v>
      </c>
      <c r="AA520" s="988" t="e">
        <f t="shared" ca="1" si="122"/>
        <v>#NAME?</v>
      </c>
      <c r="AB520" s="988" t="e">
        <f t="shared" ca="1" si="123"/>
        <v>#NAME?</v>
      </c>
      <c r="AC520" s="988" t="e">
        <f ca="1">VLOOKUP(AB520,sample!$1:$1048576,2,FALSE)</f>
        <v>#NAME?</v>
      </c>
      <c r="AD520" s="988" t="e">
        <f ca="1">VLOOKUP($AB520,sample!$1:$1048576,3,FALSE)</f>
        <v>#NAME?</v>
      </c>
      <c r="AE520" s="986" t="e">
        <f ca="1">VLOOKUP($AB520,sample!$1:$1048576,4,FALSE)</f>
        <v>#NAME?</v>
      </c>
      <c r="AF520" s="988" t="e">
        <f ca="1">VLOOKUP($AB520,sample!$1:$1048576,5,FALSE)</f>
        <v>#NAME?</v>
      </c>
      <c r="AL520" s="986" t="e">
        <f ca="1">VLOOKUP($AB520,sample!$1:$1048576,11,FALSE)</f>
        <v>#NAME?</v>
      </c>
      <c r="AM520" s="986" t="e">
        <f ca="1">VLOOKUP($AB520,sample!$1:$1048576,12,FALSE)</f>
        <v>#NAME?</v>
      </c>
      <c r="AN520" s="986" t="e">
        <f ca="1">VLOOKUP($AB520,sample!$1:$1048576,13,FALSE)</f>
        <v>#NAME?</v>
      </c>
      <c r="AP520" s="988"/>
    </row>
    <row r="521" spans="1:42">
      <c r="A521" s="1014">
        <f t="shared" si="129"/>
        <v>2019200534</v>
      </c>
      <c r="B521" s="881">
        <v>44511</v>
      </c>
      <c r="C521" s="881" t="s">
        <v>133</v>
      </c>
      <c r="D521" s="1133" t="str">
        <f>IFERROR(VLOOKUP(G521,PosAggregate!$B$13:$B$89,1,FALSE),"")</f>
        <v>4092 JP</v>
      </c>
      <c r="E521" s="1013" t="e">
        <f ca="1">_xll.BDP(G521  &amp; " Equity", "ID_ISIN", "Fill", "")</f>
        <v>#NAME?</v>
      </c>
      <c r="F521" s="1006" t="str">
        <f t="shared" si="130"/>
        <v>YES</v>
      </c>
      <c r="G521" s="594" t="s">
        <v>12875</v>
      </c>
      <c r="I521" s="1007" t="e">
        <f ca="1">_xll.BDP(E521 &amp; " Equity","SECURITY_NAME")</f>
        <v>#NAME?</v>
      </c>
      <c r="J521" s="1007" t="e">
        <f ca="1">_xll.BDP(G521 &amp; " Equity","Crncy")</f>
        <v>#NAME?</v>
      </c>
      <c r="K521" s="938">
        <v>2775.5360000000001</v>
      </c>
      <c r="L521" s="938"/>
      <c r="M521" s="938">
        <v>5000</v>
      </c>
      <c r="N521" s="1009">
        <f t="shared" si="121"/>
        <v>-13877680</v>
      </c>
      <c r="O521" s="885">
        <v>-8327</v>
      </c>
      <c r="R521" s="982">
        <f t="shared" si="126"/>
        <v>-13886007</v>
      </c>
      <c r="S521" s="878">
        <v>130.72</v>
      </c>
      <c r="T521" s="998">
        <f t="shared" si="128"/>
        <v>-106227.10373317014</v>
      </c>
      <c r="U521" s="716">
        <v>44515</v>
      </c>
      <c r="V521" s="594" t="s">
        <v>1656</v>
      </c>
      <c r="W521" s="914">
        <v>44511.395658449073</v>
      </c>
      <c r="X521" s="971">
        <f t="shared" si="125"/>
        <v>6.0002824679629453E-2</v>
      </c>
      <c r="Y521" s="584" t="s">
        <v>1693</v>
      </c>
      <c r="Z521" s="988" t="e">
        <f ca="1">VLOOKUP(AA521,'place of settlement'!A:C,2,FALSE)</f>
        <v>#NAME?</v>
      </c>
      <c r="AA521" s="988" t="e">
        <f t="shared" ca="1" si="122"/>
        <v>#NAME?</v>
      </c>
      <c r="AB521" s="988" t="e">
        <f t="shared" ca="1" si="123"/>
        <v>#NAME?</v>
      </c>
      <c r="AC521" s="988" t="e">
        <f ca="1">VLOOKUP(AB521,sample!$1:$1048576,2,FALSE)</f>
        <v>#NAME?</v>
      </c>
      <c r="AD521" s="988" t="e">
        <f ca="1">VLOOKUP($AB521,sample!$1:$1048576,3,FALSE)</f>
        <v>#NAME?</v>
      </c>
      <c r="AE521" s="986" t="e">
        <f ca="1">VLOOKUP($AB521,sample!$1:$1048576,4,FALSE)</f>
        <v>#NAME?</v>
      </c>
      <c r="AF521" s="988" t="e">
        <f ca="1">VLOOKUP($AB521,sample!$1:$1048576,5,FALSE)</f>
        <v>#NAME?</v>
      </c>
      <c r="AL521" s="986" t="e">
        <f ca="1">VLOOKUP($AB521,sample!$1:$1048576,11,FALSE)</f>
        <v>#NAME?</v>
      </c>
      <c r="AM521" s="986" t="e">
        <f ca="1">VLOOKUP($AB521,sample!$1:$1048576,12,FALSE)</f>
        <v>#NAME?</v>
      </c>
      <c r="AN521" s="986" t="e">
        <f ca="1">VLOOKUP($AB521,sample!$1:$1048576,13,FALSE)</f>
        <v>#NAME?</v>
      </c>
      <c r="AP521" s="988"/>
    </row>
    <row r="522" spans="1:42">
      <c r="A522" s="1014">
        <f t="shared" si="129"/>
        <v>2019200535</v>
      </c>
      <c r="B522" s="881">
        <v>44518</v>
      </c>
      <c r="C522" s="881" t="s">
        <v>133</v>
      </c>
      <c r="D522" s="1133" t="str">
        <f>IFERROR(VLOOKUP(G522,PosAggregate!$B$13:$B$89,1,FALSE),"")</f>
        <v>3401 JP</v>
      </c>
      <c r="E522" s="1013" t="e">
        <f ca="1">_xll.BDP(G522  &amp; " Equity", "ID_ISIN", "Fill", "")</f>
        <v>#NAME?</v>
      </c>
      <c r="F522" s="1006" t="str">
        <f t="shared" si="130"/>
        <v>YES</v>
      </c>
      <c r="G522" s="594" t="s">
        <v>12708</v>
      </c>
      <c r="I522" s="1007" t="e">
        <f ca="1">_xll.BDP(E522 &amp; " Equity","SECURITY_NAME")</f>
        <v>#NAME?</v>
      </c>
      <c r="J522" s="1007" t="e">
        <f ca="1">_xll.BDP(G522 &amp; " Equity","Crncy")</f>
        <v>#NAME?</v>
      </c>
      <c r="K522" s="938">
        <v>1398.623636</v>
      </c>
      <c r="L522" s="938"/>
      <c r="M522" s="938">
        <v>11000</v>
      </c>
      <c r="N522" s="1009">
        <f t="shared" si="121"/>
        <v>-15384859.996000001</v>
      </c>
      <c r="O522" s="885">
        <v>-9231</v>
      </c>
      <c r="R522" s="982">
        <f t="shared" si="126"/>
        <v>-15394090.996000001</v>
      </c>
      <c r="S522" s="878">
        <v>129.43</v>
      </c>
      <c r="T522" s="998">
        <f t="shared" si="128"/>
        <v>-118937.58012825466</v>
      </c>
      <c r="U522" s="716">
        <v>44522</v>
      </c>
      <c r="V522" s="594" t="s">
        <v>1656</v>
      </c>
      <c r="W522" s="914">
        <v>44518.37735451389</v>
      </c>
      <c r="X522" s="971">
        <f t="shared" si="125"/>
        <v>6.000054600691862E-2</v>
      </c>
      <c r="Y522" s="584" t="s">
        <v>1693</v>
      </c>
      <c r="Z522" s="988" t="e">
        <f ca="1">VLOOKUP(AA522,'place of settlement'!A:C,2,FALSE)</f>
        <v>#NAME?</v>
      </c>
      <c r="AA522" s="988" t="e">
        <f t="shared" ca="1" si="122"/>
        <v>#NAME?</v>
      </c>
      <c r="AB522" s="988" t="e">
        <f t="shared" ca="1" si="123"/>
        <v>#NAME?</v>
      </c>
      <c r="AC522" s="988" t="e">
        <f ca="1">VLOOKUP(AB522,sample!$1:$1048576,2,FALSE)</f>
        <v>#NAME?</v>
      </c>
      <c r="AD522" s="988" t="e">
        <f ca="1">VLOOKUP($AB522,sample!$1:$1048576,3,FALSE)</f>
        <v>#NAME?</v>
      </c>
      <c r="AE522" s="986" t="e">
        <f ca="1">VLOOKUP($AB522,sample!$1:$1048576,4,FALSE)</f>
        <v>#NAME?</v>
      </c>
      <c r="AF522" s="988" t="e">
        <f ca="1">VLOOKUP($AB522,sample!$1:$1048576,5,FALSE)</f>
        <v>#NAME?</v>
      </c>
      <c r="AL522" s="986" t="e">
        <f ca="1">VLOOKUP($AB522,sample!$1:$1048576,11,FALSE)</f>
        <v>#NAME?</v>
      </c>
      <c r="AM522" s="986" t="e">
        <f ca="1">VLOOKUP($AB522,sample!$1:$1048576,12,FALSE)</f>
        <v>#NAME?</v>
      </c>
      <c r="AN522" s="986" t="e">
        <f ca="1">VLOOKUP($AB522,sample!$1:$1048576,13,FALSE)</f>
        <v>#NAME?</v>
      </c>
      <c r="AP522" s="988"/>
    </row>
    <row r="523" spans="1:42">
      <c r="A523" s="1014">
        <f t="shared" si="129"/>
        <v>2019200536</v>
      </c>
      <c r="B523" s="881">
        <v>44518</v>
      </c>
      <c r="C523" s="881" t="s">
        <v>134</v>
      </c>
      <c r="D523" s="1133" t="str">
        <f>IFERROR(VLOOKUP(G523,PosAggregate!$B$13:$B$89,1,FALSE),"")</f>
        <v>FR FP</v>
      </c>
      <c r="E523" s="1013" t="e">
        <f ca="1">_xll.BDP(G523  &amp; " Equity", "ID_ISIN", "Fill", "")</f>
        <v>#NAME?</v>
      </c>
      <c r="F523" s="1006" t="str">
        <f t="shared" si="130"/>
        <v>YES</v>
      </c>
      <c r="G523" s="594" t="s">
        <v>12714</v>
      </c>
      <c r="I523" s="1007" t="e">
        <f ca="1">_xll.BDP(E523 &amp; " Equity","SECURITY_NAME")</f>
        <v>#NAME?</v>
      </c>
      <c r="J523" s="1007" t="e">
        <f ca="1">_xll.BDP(G523 &amp; " Equity","Crncy")</f>
        <v>#NAME?</v>
      </c>
      <c r="K523" s="938">
        <v>29.331099999999999</v>
      </c>
      <c r="L523" s="938"/>
      <c r="M523" s="938">
        <v>-8000</v>
      </c>
      <c r="N523" s="1009">
        <f t="shared" si="121"/>
        <v>234648.8</v>
      </c>
      <c r="O523" s="885">
        <v>-140.79</v>
      </c>
      <c r="R523" s="982">
        <f t="shared" si="126"/>
        <v>234508.00999999998</v>
      </c>
      <c r="S523" s="878">
        <v>1</v>
      </c>
      <c r="T523" s="998">
        <f t="shared" si="128"/>
        <v>234508.00999999998</v>
      </c>
      <c r="U523" s="716">
        <v>44522</v>
      </c>
      <c r="V523" s="594" t="s">
        <v>1111</v>
      </c>
      <c r="W523" s="914">
        <v>44518.378434722224</v>
      </c>
      <c r="X523" s="971">
        <f t="shared" si="125"/>
        <v>-6.0000306841543616E-2</v>
      </c>
      <c r="Y523" s="584" t="s">
        <v>1693</v>
      </c>
      <c r="Z523" s="988" t="e">
        <f ca="1">VLOOKUP(AA523,'place of settlement'!A:C,2,FALSE)</f>
        <v>#NAME?</v>
      </c>
      <c r="AA523" s="988" t="e">
        <f t="shared" ca="1" si="122"/>
        <v>#NAME?</v>
      </c>
      <c r="AB523" s="988" t="s">
        <v>1806</v>
      </c>
      <c r="AC523" s="988" t="str">
        <f>VLOOKUP(AB523,sample!$1:$1048576,2,FALSE)</f>
        <v>EMSIITM1XXX</v>
      </c>
      <c r="AD523" s="988" t="str">
        <f>VLOOKUP($AB523,sample!$1:$1048576,3,FALSE)</f>
        <v>SICVFRPPXXX</v>
      </c>
      <c r="AE523" s="986" t="str">
        <f>VLOOKUP($AB523,sample!$1:$1048576,4,FALSE)</f>
        <v>SICVBCITITMMD00000L10</v>
      </c>
      <c r="AF523" s="988" t="str">
        <f>VLOOKUP($AB523,sample!$1:$1048576,5,FALSE)</f>
        <v>N</v>
      </c>
      <c r="AL523" s="986" t="str">
        <f>VLOOKUP($AB523,sample!$1:$1048576,11,FALSE)</f>
        <v xml:space="preserve">        </v>
      </c>
      <c r="AM523" s="986" t="str">
        <f>VLOOKUP($AB523,sample!$1:$1048576,12,FALSE)</f>
        <v xml:space="preserve">        </v>
      </c>
      <c r="AN523" s="986" t="str">
        <f>VLOOKUP($AB523,sample!$1:$1048576,13,FALSE)</f>
        <v>BCITITMMD00</v>
      </c>
      <c r="AP523" s="988"/>
    </row>
    <row r="524" spans="1:42">
      <c r="A524" s="1014">
        <f t="shared" si="129"/>
        <v>2019200537</v>
      </c>
      <c r="B524" s="881">
        <v>44518</v>
      </c>
      <c r="C524" s="881" t="s">
        <v>133</v>
      </c>
      <c r="D524" s="1133" t="str">
        <f>IFERROR(VLOOKUP(G524,PosAggregate!$B$13:$B$89,1,FALSE),"")</f>
        <v>VTSC GR</v>
      </c>
      <c r="E524" s="1013" t="e">
        <f ca="1">_xll.BDP(G524  &amp; " Equity", "ID_ISIN", "Fill", "")</f>
        <v>#NAME?</v>
      </c>
      <c r="F524" s="1006" t="str">
        <f t="shared" si="130"/>
        <v>YES</v>
      </c>
      <c r="G524" s="594" t="s">
        <v>12862</v>
      </c>
      <c r="I524" s="1007" t="e">
        <f ca="1">_xll.BDP(E524 &amp; " Equity","SECURITY_NAME")</f>
        <v>#NAME?</v>
      </c>
      <c r="J524" s="1007" t="e">
        <f ca="1">_xll.BDP(G524 &amp; " Equity","Crncy")</f>
        <v>#NAME?</v>
      </c>
      <c r="K524" s="938">
        <v>47.944699999999997</v>
      </c>
      <c r="L524" s="938"/>
      <c r="M524" s="938">
        <v>6800</v>
      </c>
      <c r="N524" s="1009">
        <f t="shared" si="121"/>
        <v>-326023.95999999996</v>
      </c>
      <c r="O524" s="885">
        <v>-195.61</v>
      </c>
      <c r="R524" s="982">
        <f t="shared" si="126"/>
        <v>-326219.56999999995</v>
      </c>
      <c r="S524" s="878">
        <v>1</v>
      </c>
      <c r="T524" s="998">
        <f t="shared" si="128"/>
        <v>-326219.56999999995</v>
      </c>
      <c r="U524" s="716">
        <v>44522</v>
      </c>
      <c r="V524" s="594" t="s">
        <v>1111</v>
      </c>
      <c r="W524" s="914">
        <v>44518.379667361114</v>
      </c>
      <c r="X524" s="971">
        <f t="shared" si="125"/>
        <v>5.9998657767361643E-2</v>
      </c>
      <c r="Y524" s="584" t="s">
        <v>1693</v>
      </c>
      <c r="Z524" s="988" t="e">
        <f ca="1">VLOOKUP(AA524,'place of settlement'!A:C,2,FALSE)</f>
        <v>#NAME?</v>
      </c>
      <c r="AA524" s="988" t="e">
        <f t="shared" ca="1" si="122"/>
        <v>#NAME?</v>
      </c>
      <c r="AB524" s="988" t="s">
        <v>1796</v>
      </c>
      <c r="AC524" s="988" t="str">
        <f>VLOOKUP(AB524,sample!$1:$1048576,2,FALSE)</f>
        <v>EMSIITM1XXX</v>
      </c>
      <c r="AD524" s="988" t="str">
        <f>VLOOKUP($AB524,sample!$1:$1048576,3,FALSE)</f>
        <v>DAKVDEFFXXX</v>
      </c>
      <c r="AE524" s="986" t="str">
        <f>VLOOKUP($AB524,sample!$1:$1048576,4,FALSE)</f>
        <v>DAKV8135000</v>
      </c>
      <c r="AF524" s="988" t="str">
        <f>VLOOKUP($AB524,sample!$1:$1048576,5,FALSE)</f>
        <v>N</v>
      </c>
      <c r="AL524" s="986" t="str">
        <f>VLOOKUP($AB524,sample!$1:$1048576,11,FALSE)</f>
        <v xml:space="preserve">        </v>
      </c>
      <c r="AM524" s="986" t="str">
        <f>VLOOKUP($AB524,sample!$1:$1048576,12,FALSE)</f>
        <v xml:space="preserve">        </v>
      </c>
      <c r="AN524" s="986" t="str">
        <f>VLOOKUP($AB524,sample!$1:$1048576,13,FALSE)</f>
        <v>BCITITMMD03</v>
      </c>
      <c r="AP524" s="988"/>
    </row>
    <row r="525" spans="1:42" s="920" customFormat="1">
      <c r="A525" s="1014">
        <f t="shared" si="129"/>
        <v>2019200538</v>
      </c>
      <c r="B525" s="917">
        <v>44522</v>
      </c>
      <c r="C525" s="917" t="s">
        <v>133</v>
      </c>
      <c r="D525" s="1134" t="str">
        <f>IFERROR(VLOOKUP(G525,PosAggregate!$B$13:$B$89,1,FALSE),"")</f>
        <v>4109 JP</v>
      </c>
      <c r="E525" s="1072" t="e">
        <f ca="1">_xll.BDP(G525  &amp; " Equity", "ID_ISIN", "Fill", "")</f>
        <v>#NAME?</v>
      </c>
      <c r="F525" s="1073" t="str">
        <f t="shared" si="130"/>
        <v>YES</v>
      </c>
      <c r="G525" s="919" t="s">
        <v>12739</v>
      </c>
      <c r="I525" s="1074" t="e">
        <f ca="1">_xll.BDP(E525 &amp; " Equity","SECURITY_NAME")</f>
        <v>#NAME?</v>
      </c>
      <c r="J525" s="1074" t="e">
        <f ca="1">_xll.BDP(G525 &amp; " Equity","Crncy")</f>
        <v>#NAME?</v>
      </c>
      <c r="K525" s="953">
        <v>2721.7076999999999</v>
      </c>
      <c r="L525" s="953"/>
      <c r="M525" s="953">
        <v>3250</v>
      </c>
      <c r="N525" s="990">
        <f t="shared" si="121"/>
        <v>-8845550.0250000004</v>
      </c>
      <c r="O525" s="925">
        <v>-5307</v>
      </c>
      <c r="R525" s="991">
        <f t="shared" si="126"/>
        <v>-8850857.0250000004</v>
      </c>
      <c r="S525" s="922">
        <v>128.71</v>
      </c>
      <c r="T525" s="1075">
        <f t="shared" si="128"/>
        <v>-68765.884740890368</v>
      </c>
      <c r="U525" s="716">
        <v>44525</v>
      </c>
      <c r="V525" s="919" t="s">
        <v>1656</v>
      </c>
      <c r="W525" s="927">
        <v>44521.890818518521</v>
      </c>
      <c r="X525" s="992">
        <f t="shared" si="125"/>
        <v>5.9996269140991036E-2</v>
      </c>
      <c r="Y525" s="920" t="s">
        <v>1693</v>
      </c>
      <c r="Z525" s="989" t="e">
        <f ca="1">VLOOKUP(AA525,'place of settlement'!A:C,2,FALSE)</f>
        <v>#NAME?</v>
      </c>
      <c r="AA525" s="989" t="e">
        <f t="shared" ca="1" si="122"/>
        <v>#NAME?</v>
      </c>
      <c r="AB525" s="989" t="e">
        <f t="shared" ca="1" si="123"/>
        <v>#NAME?</v>
      </c>
      <c r="AC525" s="989" t="e">
        <f ca="1">VLOOKUP(AB525,sample!$1:$1048576,2,FALSE)</f>
        <v>#NAME?</v>
      </c>
      <c r="AD525" s="989" t="e">
        <f ca="1">VLOOKUP($AB525,sample!$1:$1048576,3,FALSE)</f>
        <v>#NAME?</v>
      </c>
      <c r="AE525" s="987" t="e">
        <f ca="1">VLOOKUP($AB525,sample!$1:$1048576,4,FALSE)</f>
        <v>#NAME?</v>
      </c>
      <c r="AF525" s="989" t="e">
        <f ca="1">VLOOKUP($AB525,sample!$1:$1048576,5,FALSE)</f>
        <v>#NAME?</v>
      </c>
      <c r="AL525" s="986" t="e">
        <f ca="1">VLOOKUP($AB525,sample!$1:$1048576,11,FALSE)</f>
        <v>#NAME?</v>
      </c>
      <c r="AM525" s="986" t="e">
        <f ca="1">VLOOKUP($AB525,sample!$1:$1048576,12,FALSE)</f>
        <v>#NAME?</v>
      </c>
      <c r="AN525" s="987" t="e">
        <f ca="1">VLOOKUP($AB525,sample!$1:$1048576,13,FALSE)</f>
        <v>#NAME?</v>
      </c>
      <c r="AP525" s="989"/>
    </row>
    <row r="526" spans="1:42" s="920" customFormat="1">
      <c r="A526" s="1014">
        <f t="shared" si="129"/>
        <v>2019200539</v>
      </c>
      <c r="B526" s="917">
        <v>44522</v>
      </c>
      <c r="C526" s="917" t="s">
        <v>134</v>
      </c>
      <c r="D526" s="919" t="s">
        <v>12721</v>
      </c>
      <c r="E526" s="1072" t="e">
        <f ca="1">_xll.BDP(G526  &amp; " Equity", "ID_ISIN", "Fill", "")</f>
        <v>#NAME?</v>
      </c>
      <c r="F526" s="1073" t="str">
        <f t="shared" si="130"/>
        <v>YES</v>
      </c>
      <c r="G526" s="919" t="s">
        <v>12721</v>
      </c>
      <c r="I526" s="1074" t="e">
        <f ca="1">_xll.BDP(E526 &amp; " Equity","SECURITY_NAME")</f>
        <v>#NAME?</v>
      </c>
      <c r="J526" s="1074" t="e">
        <f ca="1">_xll.BDP(G526 &amp; " Equity","Crncy")</f>
        <v>#NAME?</v>
      </c>
      <c r="K526" s="953">
        <v>3.2536350000000001</v>
      </c>
      <c r="L526" s="953"/>
      <c r="M526" s="953">
        <v>-65414</v>
      </c>
      <c r="N526" s="990">
        <f t="shared" si="121"/>
        <v>212833.27989000001</v>
      </c>
      <c r="O526" s="925">
        <v>-127.7</v>
      </c>
      <c r="R526" s="991">
        <f t="shared" si="126"/>
        <v>212705.57988999999</v>
      </c>
      <c r="S526" s="922">
        <v>1.5601</v>
      </c>
      <c r="T526" s="1075">
        <f t="shared" si="128"/>
        <v>136340.99089160952</v>
      </c>
      <c r="U526" s="716">
        <v>44524</v>
      </c>
      <c r="V526" s="919" t="s">
        <v>1656</v>
      </c>
      <c r="W526" s="927">
        <v>44521.892127199077</v>
      </c>
      <c r="X526" s="992">
        <f t="shared" si="125"/>
        <v>-6.0000015066252806E-2</v>
      </c>
      <c r="Y526" s="920" t="s">
        <v>1693</v>
      </c>
      <c r="Z526" s="989" t="e">
        <f ca="1">VLOOKUP(AA526,'place of settlement'!A:C,2,FALSE)</f>
        <v>#NAME?</v>
      </c>
      <c r="AA526" s="989" t="e">
        <f t="shared" ca="1" si="122"/>
        <v>#NAME?</v>
      </c>
      <c r="AB526" s="989" t="e">
        <f t="shared" ca="1" si="123"/>
        <v>#NAME?</v>
      </c>
      <c r="AC526" s="989" t="e">
        <f ca="1">VLOOKUP(AB526,sample!$1:$1048576,2,FALSE)</f>
        <v>#NAME?</v>
      </c>
      <c r="AD526" s="989" t="e">
        <f ca="1">VLOOKUP($AB526,sample!$1:$1048576,3,FALSE)</f>
        <v>#NAME?</v>
      </c>
      <c r="AE526" s="987" t="e">
        <f ca="1">VLOOKUP($AB526,sample!$1:$1048576,4,FALSE)</f>
        <v>#NAME?</v>
      </c>
      <c r="AF526" s="989" t="e">
        <f ca="1">VLOOKUP($AB526,sample!$1:$1048576,5,FALSE)</f>
        <v>#NAME?</v>
      </c>
      <c r="AL526" s="986" t="e">
        <f ca="1">VLOOKUP($AB526,sample!$1:$1048576,11,FALSE)</f>
        <v>#NAME?</v>
      </c>
      <c r="AM526" s="986" t="e">
        <f ca="1">VLOOKUP($AB526,sample!$1:$1048576,12,FALSE)</f>
        <v>#NAME?</v>
      </c>
      <c r="AN526" s="987" t="e">
        <f ca="1">VLOOKUP($AB526,sample!$1:$1048576,13,FALSE)</f>
        <v>#NAME?</v>
      </c>
      <c r="AP526" s="989"/>
    </row>
    <row r="527" spans="1:42" s="920" customFormat="1">
      <c r="A527" s="1014">
        <f t="shared" si="129"/>
        <v>2019200540</v>
      </c>
      <c r="B527" s="917">
        <v>44522</v>
      </c>
      <c r="C527" s="917" t="s">
        <v>133</v>
      </c>
      <c r="D527" s="1134" t="str">
        <f>IFERROR(VLOOKUP(G527,PosAggregate!$B$13:$B$89,1,FALSE),"")</f>
        <v>4004 JP</v>
      </c>
      <c r="E527" s="1072" t="e">
        <f ca="1">_xll.BDP(G527  &amp; " Equity", "ID_ISIN", "Fill", "")</f>
        <v>#NAME?</v>
      </c>
      <c r="F527" s="1073" t="str">
        <f t="shared" si="130"/>
        <v>YES</v>
      </c>
      <c r="G527" s="919" t="s">
        <v>12706</v>
      </c>
      <c r="I527" s="1074" t="e">
        <f ca="1">_xll.BDP(E527 &amp; " Equity","SECURITY_NAME")</f>
        <v>#NAME?</v>
      </c>
      <c r="J527" s="1074" t="e">
        <f ca="1">_xll.BDP(G527 &amp; " Equity","Crncy")</f>
        <v>#NAME?</v>
      </c>
      <c r="K527" s="953">
        <v>2613.3510000000001</v>
      </c>
      <c r="L527" s="953"/>
      <c r="M527" s="953">
        <v>15300</v>
      </c>
      <c r="N527" s="990">
        <f t="shared" si="121"/>
        <v>-39984270.300000004</v>
      </c>
      <c r="O527" s="925">
        <v>-23991</v>
      </c>
      <c r="R527" s="991">
        <f t="shared" si="126"/>
        <v>-40008261.300000004</v>
      </c>
      <c r="S527" s="922">
        <v>128.71</v>
      </c>
      <c r="T527" s="1075">
        <f t="shared" si="128"/>
        <v>-310840.34884624352</v>
      </c>
      <c r="U527" s="716">
        <v>44525</v>
      </c>
      <c r="V527" s="919" t="s">
        <v>1656</v>
      </c>
      <c r="W527" s="927">
        <v>44521.892384027778</v>
      </c>
      <c r="X527" s="992">
        <f t="shared" si="125"/>
        <v>6.0001094980592903E-2</v>
      </c>
      <c r="Y527" s="920" t="s">
        <v>1693</v>
      </c>
      <c r="Z527" s="989" t="e">
        <f ca="1">VLOOKUP(AA527,'place of settlement'!A:C,2,FALSE)</f>
        <v>#NAME?</v>
      </c>
      <c r="AA527" s="989" t="e">
        <f t="shared" ca="1" si="122"/>
        <v>#NAME?</v>
      </c>
      <c r="AB527" s="989" t="e">
        <f t="shared" ca="1" si="123"/>
        <v>#NAME?</v>
      </c>
      <c r="AC527" s="989" t="e">
        <f ca="1">VLOOKUP(AB527,sample!$1:$1048576,2,FALSE)</f>
        <v>#NAME?</v>
      </c>
      <c r="AD527" s="989" t="e">
        <f ca="1">VLOOKUP($AB527,sample!$1:$1048576,3,FALSE)</f>
        <v>#NAME?</v>
      </c>
      <c r="AE527" s="987" t="e">
        <f ca="1">VLOOKUP($AB527,sample!$1:$1048576,4,FALSE)</f>
        <v>#NAME?</v>
      </c>
      <c r="AF527" s="989" t="e">
        <f ca="1">VLOOKUP($AB527,sample!$1:$1048576,5,FALSE)</f>
        <v>#NAME?</v>
      </c>
      <c r="AL527" s="986" t="e">
        <f ca="1">VLOOKUP($AB527,sample!$1:$1048576,11,FALSE)</f>
        <v>#NAME?</v>
      </c>
      <c r="AM527" s="986" t="e">
        <f ca="1">VLOOKUP($AB527,sample!$1:$1048576,12,FALSE)</f>
        <v>#NAME?</v>
      </c>
      <c r="AN527" s="987" t="e">
        <f ca="1">VLOOKUP($AB527,sample!$1:$1048576,13,FALSE)</f>
        <v>#NAME?</v>
      </c>
      <c r="AP527" s="989"/>
    </row>
    <row r="528" spans="1:42" s="920" customFormat="1">
      <c r="A528" s="1014">
        <f t="shared" si="129"/>
        <v>2019200541</v>
      </c>
      <c r="B528" s="917">
        <v>44522</v>
      </c>
      <c r="C528" s="917" t="s">
        <v>133</v>
      </c>
      <c r="D528" s="1134" t="str">
        <f>IFERROR(VLOOKUP(G528,PosAggregate!$B$13:$B$89,1,FALSE),"")</f>
        <v>4205 JP</v>
      </c>
      <c r="E528" s="1072" t="e">
        <f ca="1">_xll.BDP(G528  &amp; " Equity", "ID_ISIN", "Fill", "")</f>
        <v>#NAME?</v>
      </c>
      <c r="F528" s="1073" t="str">
        <f t="shared" si="130"/>
        <v>YES</v>
      </c>
      <c r="G528" s="919" t="s">
        <v>12743</v>
      </c>
      <c r="I528" s="1074" t="e">
        <f ca="1">_xll.BDP(E528 &amp; " Equity","SECURITY_NAME")</f>
        <v>#NAME?</v>
      </c>
      <c r="J528" s="1074" t="e">
        <f ca="1">_xll.BDP(G528 &amp; " Equity","Crncy")</f>
        <v>#NAME?</v>
      </c>
      <c r="K528" s="953">
        <v>1333.644</v>
      </c>
      <c r="L528" s="953"/>
      <c r="M528" s="953">
        <v>10100</v>
      </c>
      <c r="N528" s="990">
        <f t="shared" si="121"/>
        <v>-13469804.4</v>
      </c>
      <c r="O528" s="925">
        <v>-8082</v>
      </c>
      <c r="R528" s="991">
        <f t="shared" si="126"/>
        <v>-13477886.4</v>
      </c>
      <c r="S528" s="922">
        <v>128.66</v>
      </c>
      <c r="T528" s="1075">
        <f t="shared" si="128"/>
        <v>-104755.84019897405</v>
      </c>
      <c r="U528" s="716">
        <v>44525</v>
      </c>
      <c r="V528" s="919" t="s">
        <v>1656</v>
      </c>
      <c r="W528" s="927">
        <v>44522.42391539352</v>
      </c>
      <c r="X528" s="992">
        <f t="shared" si="125"/>
        <v>6.0000871282139781E-2</v>
      </c>
      <c r="Y528" s="920" t="s">
        <v>1693</v>
      </c>
      <c r="Z528" s="989" t="e">
        <f ca="1">VLOOKUP(AA528,'place of settlement'!A:C,2,FALSE)</f>
        <v>#NAME?</v>
      </c>
      <c r="AA528" s="989" t="e">
        <f t="shared" ca="1" si="122"/>
        <v>#NAME?</v>
      </c>
      <c r="AB528" s="989" t="e">
        <f t="shared" ca="1" si="123"/>
        <v>#NAME?</v>
      </c>
      <c r="AC528" s="989" t="e">
        <f ca="1">VLOOKUP(AB528,sample!$1:$1048576,2,FALSE)</f>
        <v>#NAME?</v>
      </c>
      <c r="AD528" s="989" t="e">
        <f ca="1">VLOOKUP($AB528,sample!$1:$1048576,3,FALSE)</f>
        <v>#NAME?</v>
      </c>
      <c r="AE528" s="987" t="e">
        <f ca="1">VLOOKUP($AB528,sample!$1:$1048576,4,FALSE)</f>
        <v>#NAME?</v>
      </c>
      <c r="AF528" s="989" t="e">
        <f ca="1">VLOOKUP($AB528,sample!$1:$1048576,5,FALSE)</f>
        <v>#NAME?</v>
      </c>
      <c r="AL528" s="986" t="e">
        <f ca="1">VLOOKUP($AB528,sample!$1:$1048576,11,FALSE)</f>
        <v>#NAME?</v>
      </c>
      <c r="AM528" s="986" t="e">
        <f ca="1">VLOOKUP($AB528,sample!$1:$1048576,12,FALSE)</f>
        <v>#NAME?</v>
      </c>
      <c r="AN528" s="987" t="e">
        <f ca="1">VLOOKUP($AB528,sample!$1:$1048576,13,FALSE)</f>
        <v>#NAME?</v>
      </c>
      <c r="AP528" s="989"/>
    </row>
    <row r="529" spans="1:42" s="920" customFormat="1">
      <c r="A529" s="1014">
        <f t="shared" si="129"/>
        <v>2019200542</v>
      </c>
      <c r="B529" s="917">
        <v>44522</v>
      </c>
      <c r="C529" s="917" t="s">
        <v>133</v>
      </c>
      <c r="D529" s="1134" t="str">
        <f>IFERROR(VLOOKUP(G529,PosAggregate!$B$13:$B$89,1,FALSE),"")</f>
        <v>064960 KS</v>
      </c>
      <c r="E529" s="1072" t="e">
        <f ca="1">_xll.BDP(G529  &amp; " Equity", "ID_ISIN", "Fill", "")</f>
        <v>#NAME?</v>
      </c>
      <c r="F529" s="1073" t="str">
        <f t="shared" si="130"/>
        <v>YES</v>
      </c>
      <c r="G529" s="919" t="s">
        <v>12741</v>
      </c>
      <c r="I529" s="1074" t="e">
        <f ca="1">_xll.BDP(E529 &amp; " Equity","SECURITY_NAME")</f>
        <v>#NAME?</v>
      </c>
      <c r="J529" s="1074" t="e">
        <f ca="1">_xll.BDP(G529 &amp; " Equity","Crncy")</f>
        <v>#NAME?</v>
      </c>
      <c r="K529" s="953">
        <v>47202.5</v>
      </c>
      <c r="L529" s="953"/>
      <c r="M529" s="953">
        <v>4100</v>
      </c>
      <c r="N529" s="990">
        <f t="shared" si="121"/>
        <v>-193530250</v>
      </c>
      <c r="O529" s="925">
        <v>-290295</v>
      </c>
      <c r="R529" s="991">
        <f t="shared" si="126"/>
        <v>-193820545</v>
      </c>
      <c r="S529" s="922">
        <v>1338.88</v>
      </c>
      <c r="T529" s="1075">
        <f t="shared" si="128"/>
        <v>-144763.1938635277</v>
      </c>
      <c r="U529" s="716">
        <v>44524</v>
      </c>
      <c r="V529" s="919" t="s">
        <v>1114</v>
      </c>
      <c r="W529" s="927">
        <v>44522.424989467596</v>
      </c>
      <c r="X529" s="992">
        <f t="shared" si="125"/>
        <v>0.14999980623184231</v>
      </c>
      <c r="Y529" s="920" t="s">
        <v>1693</v>
      </c>
      <c r="Z529" s="989" t="e">
        <f ca="1">VLOOKUP(AA529,'place of settlement'!A:C,2,FALSE)</f>
        <v>#NAME?</v>
      </c>
      <c r="AA529" s="989" t="e">
        <f t="shared" ca="1" si="122"/>
        <v>#NAME?</v>
      </c>
      <c r="AB529" s="989" t="e">
        <f t="shared" ca="1" si="123"/>
        <v>#NAME?</v>
      </c>
      <c r="AC529" s="989" t="e">
        <f ca="1">VLOOKUP(AB529,sample!$1:$1048576,2,FALSE)</f>
        <v>#NAME?</v>
      </c>
      <c r="AD529" s="989" t="e">
        <f ca="1">VLOOKUP($AB529,sample!$1:$1048576,3,FALSE)</f>
        <v>#NAME?</v>
      </c>
      <c r="AE529" s="987" t="e">
        <f ca="1">VLOOKUP($AB529,sample!$1:$1048576,4,FALSE)</f>
        <v>#NAME?</v>
      </c>
      <c r="AF529" s="989" t="e">
        <f ca="1">VLOOKUP($AB529,sample!$1:$1048576,5,FALSE)</f>
        <v>#NAME?</v>
      </c>
      <c r="AL529" s="986" t="e">
        <f ca="1">VLOOKUP($AB529,sample!$1:$1048576,11,FALSE)</f>
        <v>#NAME?</v>
      </c>
      <c r="AM529" s="986" t="e">
        <f ca="1">VLOOKUP($AB529,sample!$1:$1048576,12,FALSE)</f>
        <v>#NAME?</v>
      </c>
      <c r="AN529" s="987" t="e">
        <f ca="1">VLOOKUP($AB529,sample!$1:$1048576,13,FALSE)</f>
        <v>#NAME?</v>
      </c>
      <c r="AP529" s="989"/>
    </row>
    <row r="530" spans="1:42" s="920" customFormat="1">
      <c r="A530" s="1014">
        <f t="shared" si="129"/>
        <v>2019200543</v>
      </c>
      <c r="B530" s="917">
        <v>44522</v>
      </c>
      <c r="C530" s="917" t="s">
        <v>133</v>
      </c>
      <c r="D530" s="1134" t="str">
        <f>IFERROR(VLOOKUP(G530,PosAggregate!$B$13:$B$89,1,FALSE),"")</f>
        <v>096775 KS</v>
      </c>
      <c r="E530" s="1072" t="e">
        <f ca="1">_xll.BDP(G530  &amp; " Equity", "ID_ISIN", "Fill", "")</f>
        <v>#NAME?</v>
      </c>
      <c r="F530" s="1073" t="str">
        <f t="shared" si="130"/>
        <v>YES</v>
      </c>
      <c r="G530" s="919" t="s">
        <v>12711</v>
      </c>
      <c r="I530" s="1074" t="e">
        <f ca="1">_xll.BDP(E530 &amp; " Equity","SECURITY_NAME")</f>
        <v>#NAME?</v>
      </c>
      <c r="J530" s="1074" t="e">
        <f ca="1">_xll.BDP(G530 &amp; " Equity","Crncy")</f>
        <v>#NAME?</v>
      </c>
      <c r="K530" s="953">
        <v>134602.38099999999</v>
      </c>
      <c r="L530" s="953"/>
      <c r="M530" s="953">
        <v>420</v>
      </c>
      <c r="N530" s="990">
        <f t="shared" si="121"/>
        <v>-56533000.019999996</v>
      </c>
      <c r="O530" s="925">
        <v>-84800</v>
      </c>
      <c r="R530" s="991">
        <f t="shared" si="126"/>
        <v>-56617800.019999996</v>
      </c>
      <c r="S530" s="922">
        <v>1338.88</v>
      </c>
      <c r="T530" s="1075">
        <f t="shared" si="128"/>
        <v>-42287.434288360411</v>
      </c>
      <c r="U530" s="716">
        <v>44524</v>
      </c>
      <c r="V530" s="919" t="s">
        <v>1114</v>
      </c>
      <c r="W530" s="927">
        <v>44522.42534652778</v>
      </c>
      <c r="X530" s="992">
        <f t="shared" si="125"/>
        <v>0.15000088438611045</v>
      </c>
      <c r="Y530" s="920" t="s">
        <v>1693</v>
      </c>
      <c r="Z530" s="989" t="e">
        <f ca="1">VLOOKUP(AA530,'place of settlement'!A:C,2,FALSE)</f>
        <v>#NAME?</v>
      </c>
      <c r="AA530" s="989" t="e">
        <f t="shared" ca="1" si="122"/>
        <v>#NAME?</v>
      </c>
      <c r="AB530" s="989" t="e">
        <f t="shared" ca="1" si="123"/>
        <v>#NAME?</v>
      </c>
      <c r="AC530" s="989" t="e">
        <f ca="1">VLOOKUP(AB530,sample!$1:$1048576,2,FALSE)</f>
        <v>#NAME?</v>
      </c>
      <c r="AD530" s="989" t="e">
        <f ca="1">VLOOKUP($AB530,sample!$1:$1048576,3,FALSE)</f>
        <v>#NAME?</v>
      </c>
      <c r="AE530" s="987" t="e">
        <f ca="1">VLOOKUP($AB530,sample!$1:$1048576,4,FALSE)</f>
        <v>#NAME?</v>
      </c>
      <c r="AF530" s="989" t="e">
        <f ca="1">VLOOKUP($AB530,sample!$1:$1048576,5,FALSE)</f>
        <v>#NAME?</v>
      </c>
      <c r="AL530" s="986" t="e">
        <f ca="1">VLOOKUP($AB530,sample!$1:$1048576,11,FALSE)</f>
        <v>#NAME?</v>
      </c>
      <c r="AM530" s="986" t="e">
        <f ca="1">VLOOKUP($AB530,sample!$1:$1048576,12,FALSE)</f>
        <v>#NAME?</v>
      </c>
      <c r="AN530" s="987" t="e">
        <f ca="1">VLOOKUP($AB530,sample!$1:$1048576,13,FALSE)</f>
        <v>#NAME?</v>
      </c>
      <c r="AP530" s="989"/>
    </row>
    <row r="531" spans="1:42">
      <c r="A531" s="1014">
        <f t="shared" si="129"/>
        <v>2019200544</v>
      </c>
      <c r="B531" s="881">
        <v>44523</v>
      </c>
      <c r="C531" s="881" t="s">
        <v>133</v>
      </c>
      <c r="D531" s="1133" t="str">
        <f>IFERROR(VLOOKUP(G531,PosAggregate!$B$13:$B$89,1,FALSE),"")</f>
        <v>VTSC GR</v>
      </c>
      <c r="E531" s="1013" t="e">
        <f ca="1">_xll.BDP(G531  &amp; " Equity", "ID_ISIN", "Fill", "")</f>
        <v>#NAME?</v>
      </c>
      <c r="F531" s="1006" t="str">
        <f t="shared" si="130"/>
        <v>YES</v>
      </c>
      <c r="G531" s="594" t="s">
        <v>12862</v>
      </c>
      <c r="I531" s="1007" t="e">
        <f ca="1">_xll.BDP(E531 &amp; " Equity","SECURITY_NAME")</f>
        <v>#NAME?</v>
      </c>
      <c r="J531" s="1007" t="e">
        <f ca="1">_xll.BDP(G531 &amp; " Equity","Crncy")</f>
        <v>#NAME?</v>
      </c>
      <c r="K531" s="938">
        <v>42.6783</v>
      </c>
      <c r="M531" s="953">
        <v>4200</v>
      </c>
      <c r="N531" s="1009">
        <f t="shared" si="121"/>
        <v>-179248.86</v>
      </c>
      <c r="O531" s="885">
        <v>-107.55</v>
      </c>
      <c r="R531" s="982">
        <f t="shared" si="126"/>
        <v>-179356.40999999997</v>
      </c>
      <c r="S531" s="878">
        <v>1</v>
      </c>
      <c r="T531" s="998">
        <f t="shared" si="128"/>
        <v>-179356.40999999997</v>
      </c>
      <c r="U531" s="716">
        <v>44525</v>
      </c>
      <c r="V531" s="594" t="s">
        <v>1183</v>
      </c>
      <c r="W531" s="914">
        <v>44524.342790162038</v>
      </c>
      <c r="X531" s="971">
        <f t="shared" si="125"/>
        <v>6.0000381592385028E-2</v>
      </c>
      <c r="Y531" s="584" t="s">
        <v>1693</v>
      </c>
      <c r="Z531" s="988" t="e">
        <f ca="1">VLOOKUP(AA531,'place of settlement'!A:C,2,FALSE)</f>
        <v>#NAME?</v>
      </c>
      <c r="AA531" s="988" t="e">
        <f t="shared" ca="1" si="122"/>
        <v>#NAME?</v>
      </c>
      <c r="AB531" s="988" t="e">
        <f t="shared" ca="1" si="123"/>
        <v>#NAME?</v>
      </c>
      <c r="AC531" s="988" t="e">
        <f ca="1">VLOOKUP(AB531,sample!$1:$1048576,2,FALSE)</f>
        <v>#NAME?</v>
      </c>
      <c r="AD531" s="988" t="e">
        <f ca="1">VLOOKUP($AB531,sample!$1:$1048576,3,FALSE)</f>
        <v>#NAME?</v>
      </c>
      <c r="AE531" s="986" t="e">
        <f ca="1">VLOOKUP($AB531,sample!$1:$1048576,4,FALSE)</f>
        <v>#NAME?</v>
      </c>
      <c r="AF531" s="988" t="e">
        <f ca="1">VLOOKUP($AB531,sample!$1:$1048576,5,FALSE)</f>
        <v>#NAME?</v>
      </c>
      <c r="AL531" s="986" t="e">
        <f ca="1">VLOOKUP($AB531,sample!$1:$1048576,11,FALSE)</f>
        <v>#NAME?</v>
      </c>
      <c r="AM531" s="986" t="e">
        <f ca="1">VLOOKUP($AB531,sample!$1:$1048576,12,FALSE)</f>
        <v>#NAME?</v>
      </c>
      <c r="AN531" s="986" t="e">
        <f ca="1">VLOOKUP($AB531,sample!$1:$1048576,13,FALSE)</f>
        <v>#NAME?</v>
      </c>
      <c r="AP531" s="988"/>
    </row>
    <row r="532" spans="1:42">
      <c r="A532" s="909">
        <f t="shared" si="129"/>
        <v>2019200545</v>
      </c>
      <c r="B532" s="881">
        <v>44525</v>
      </c>
      <c r="C532" s="881" t="s">
        <v>133</v>
      </c>
      <c r="D532" s="1133" t="str">
        <f>IFERROR(VLOOKUP(G532,PosAggregate!$B$13:$B$89,1,FALSE),"")</f>
        <v>096775 KS</v>
      </c>
      <c r="E532" s="1013" t="e">
        <f ca="1">_xll.BDP(G532  &amp; " Equity", "ID_ISIN", "Fill", "")</f>
        <v>#NAME?</v>
      </c>
      <c r="F532" s="1006" t="str">
        <f t="shared" si="130"/>
        <v>YES</v>
      </c>
      <c r="G532" s="594" t="s">
        <v>12711</v>
      </c>
      <c r="I532" s="1007" t="e">
        <f ca="1">_xll.BDP(E532 &amp; " Equity","SECURITY_NAME")</f>
        <v>#NAME?</v>
      </c>
      <c r="J532" s="1007" t="e">
        <f ca="1">_xll.BDP(G532 &amp; " Equity","Crncy")</f>
        <v>#NAME?</v>
      </c>
      <c r="K532" s="938">
        <v>135057.00330000001</v>
      </c>
      <c r="L532" s="938"/>
      <c r="M532" s="938">
        <v>307</v>
      </c>
      <c r="N532" s="1009">
        <f t="shared" si="121"/>
        <v>-41462500.013100006</v>
      </c>
      <c r="O532" s="885">
        <v>-62194</v>
      </c>
      <c r="R532" s="982">
        <f t="shared" si="126"/>
        <v>-41524694.013100006</v>
      </c>
      <c r="S532" s="878">
        <v>1333.71</v>
      </c>
      <c r="T532" s="998">
        <f t="shared" si="128"/>
        <v>-31134.724950026623</v>
      </c>
      <c r="U532" s="716">
        <v>44529</v>
      </c>
      <c r="V532" s="594" t="s">
        <v>1114</v>
      </c>
      <c r="W532" s="914">
        <v>44525.314445023148</v>
      </c>
      <c r="X532" s="971">
        <f t="shared" si="125"/>
        <v>0.1500006029070845</v>
      </c>
      <c r="Y532" s="584" t="s">
        <v>1693</v>
      </c>
      <c r="Z532" s="988" t="e">
        <f ca="1">VLOOKUP(AA532,'place of settlement'!A:C,2,FALSE)</f>
        <v>#NAME?</v>
      </c>
      <c r="AA532" s="988" t="e">
        <f t="shared" ca="1" si="122"/>
        <v>#NAME?</v>
      </c>
      <c r="AB532" s="988" t="e">
        <f t="shared" ca="1" si="123"/>
        <v>#NAME?</v>
      </c>
      <c r="AC532" s="988" t="e">
        <f ca="1">VLOOKUP(AB532,sample!$1:$1048576,2,FALSE)</f>
        <v>#NAME?</v>
      </c>
      <c r="AD532" s="988" t="e">
        <f ca="1">VLOOKUP($AB532,sample!$1:$1048576,3,FALSE)</f>
        <v>#NAME?</v>
      </c>
      <c r="AE532" s="986" t="e">
        <f ca="1">VLOOKUP($AB532,sample!$1:$1048576,4,FALSE)</f>
        <v>#NAME?</v>
      </c>
      <c r="AF532" s="988" t="e">
        <f ca="1">VLOOKUP($AB532,sample!$1:$1048576,5,FALSE)</f>
        <v>#NAME?</v>
      </c>
      <c r="AL532" s="986" t="e">
        <f ca="1">VLOOKUP($AB532,sample!$1:$1048576,11,FALSE)</f>
        <v>#NAME?</v>
      </c>
      <c r="AM532" s="986" t="e">
        <f ca="1">VLOOKUP($AB532,sample!$1:$1048576,12,FALSE)</f>
        <v>#NAME?</v>
      </c>
      <c r="AN532" s="986" t="e">
        <f ca="1">VLOOKUP($AB532,sample!$1:$1048576,13,FALSE)</f>
        <v>#NAME?</v>
      </c>
      <c r="AP532" s="988"/>
    </row>
    <row r="533" spans="1:42">
      <c r="A533" s="909">
        <f t="shared" si="129"/>
        <v>2019200546</v>
      </c>
      <c r="B533" s="881">
        <v>44525</v>
      </c>
      <c r="C533" s="881" t="s">
        <v>134</v>
      </c>
      <c r="D533" s="594" t="s">
        <v>12721</v>
      </c>
      <c r="E533" s="1013" t="e">
        <f ca="1">_xll.BDP(G533  &amp; " Equity", "ID_ISIN", "Fill", "")</f>
        <v>#NAME?</v>
      </c>
      <c r="F533" s="1006" t="str">
        <f t="shared" si="130"/>
        <v>YES</v>
      </c>
      <c r="G533" s="594" t="s">
        <v>12721</v>
      </c>
      <c r="I533" s="1007" t="e">
        <f ca="1">_xll.BDP(E533 &amp; " Equity","SECURITY_NAME")</f>
        <v>#NAME?</v>
      </c>
      <c r="J533" s="1007" t="e">
        <f ca="1">_xll.BDP(G533 &amp; " Equity","Crncy")</f>
        <v>#NAME?</v>
      </c>
      <c r="K533" s="938">
        <v>3.1219440000000001</v>
      </c>
      <c r="L533" s="938"/>
      <c r="M533" s="938">
        <v>-50000</v>
      </c>
      <c r="N533" s="1009">
        <f t="shared" ref="N533:N595" si="131">-K533*M533</f>
        <v>156097.20000000001</v>
      </c>
      <c r="O533" s="885">
        <v>-93.66</v>
      </c>
      <c r="R533" s="982">
        <f t="shared" si="126"/>
        <v>156003.54</v>
      </c>
      <c r="S533" s="878">
        <v>1.5564800000000001</v>
      </c>
      <c r="T533" s="998">
        <f t="shared" si="128"/>
        <v>100228.42567845395</v>
      </c>
      <c r="U533" s="716">
        <v>44529</v>
      </c>
      <c r="V533" s="594" t="s">
        <v>1656</v>
      </c>
      <c r="W533" s="914">
        <v>44525.314959027775</v>
      </c>
      <c r="X533" s="971">
        <f t="shared" si="125"/>
        <v>-6.0001076252488829E-2</v>
      </c>
      <c r="Y533" s="584" t="s">
        <v>1693</v>
      </c>
      <c r="Z533" s="988" t="e">
        <f ca="1">VLOOKUP(AA533,'place of settlement'!A:C,2,FALSE)</f>
        <v>#NAME?</v>
      </c>
      <c r="AA533" s="988" t="e">
        <f t="shared" ca="1" si="122"/>
        <v>#NAME?</v>
      </c>
      <c r="AB533" s="988" t="e">
        <f t="shared" ca="1" si="123"/>
        <v>#NAME?</v>
      </c>
      <c r="AC533" s="988" t="e">
        <f ca="1">VLOOKUP(AB533,sample!$1:$1048576,2,FALSE)</f>
        <v>#NAME?</v>
      </c>
      <c r="AD533" s="988" t="e">
        <f ca="1">VLOOKUP($AB533,sample!$1:$1048576,3,FALSE)</f>
        <v>#NAME?</v>
      </c>
      <c r="AE533" s="986" t="e">
        <f ca="1">VLOOKUP($AB533,sample!$1:$1048576,4,FALSE)</f>
        <v>#NAME?</v>
      </c>
      <c r="AF533" s="988" t="e">
        <f ca="1">VLOOKUP($AB533,sample!$1:$1048576,5,FALSE)</f>
        <v>#NAME?</v>
      </c>
      <c r="AL533" s="986" t="e">
        <f ca="1">VLOOKUP($AB533,sample!$1:$1048576,11,FALSE)</f>
        <v>#NAME?</v>
      </c>
      <c r="AM533" s="986" t="e">
        <f ca="1">VLOOKUP($AB533,sample!$1:$1048576,12,FALSE)</f>
        <v>#NAME?</v>
      </c>
      <c r="AN533" s="986" t="e">
        <f ca="1">VLOOKUP($AB533,sample!$1:$1048576,13,FALSE)</f>
        <v>#NAME?</v>
      </c>
      <c r="AP533" s="988"/>
    </row>
    <row r="534" spans="1:42" s="962" customFormat="1">
      <c r="A534" s="909">
        <f t="shared" si="129"/>
        <v>2019200547</v>
      </c>
      <c r="B534" s="959">
        <v>44526</v>
      </c>
      <c r="C534" s="959" t="s">
        <v>133</v>
      </c>
      <c r="D534" s="1133" t="str">
        <f>IFERROR(VLOOKUP(G534,PosAggregate!$B$13:$B$89,1,FALSE),"")</f>
        <v>096775 KS</v>
      </c>
      <c r="E534" s="1078" t="s">
        <v>1209</v>
      </c>
      <c r="F534" s="1079" t="s">
        <v>1230</v>
      </c>
      <c r="G534" s="961" t="s">
        <v>12711</v>
      </c>
      <c r="I534" s="1080" t="s">
        <v>1102</v>
      </c>
      <c r="J534" s="1080" t="s">
        <v>123</v>
      </c>
      <c r="K534" s="963">
        <v>131373.13430000001</v>
      </c>
      <c r="L534" s="965"/>
      <c r="M534" s="1081">
        <v>670</v>
      </c>
      <c r="N534" s="1009">
        <f t="shared" si="131"/>
        <v>-88019999.981000006</v>
      </c>
      <c r="O534" s="965">
        <v>-132030</v>
      </c>
      <c r="R534" s="1082">
        <v>-88152029.981000006</v>
      </c>
      <c r="S534" s="967">
        <v>1339.39</v>
      </c>
      <c r="T534" s="1083">
        <v>-65815.057586662588</v>
      </c>
      <c r="U534" s="962">
        <v>44530</v>
      </c>
      <c r="V534" s="961" t="s">
        <v>1114</v>
      </c>
      <c r="W534" s="968">
        <v>44526.443322453706</v>
      </c>
      <c r="X534" s="1084">
        <v>0.15000000003237898</v>
      </c>
      <c r="Y534" s="962" t="s">
        <v>1693</v>
      </c>
      <c r="Z534" s="1085" t="s">
        <v>1738</v>
      </c>
      <c r="AA534" s="1085" t="s">
        <v>1737</v>
      </c>
      <c r="AB534" s="1085" t="s">
        <v>12633</v>
      </c>
      <c r="AC534" s="1085" t="s">
        <v>1695</v>
      </c>
      <c r="AD534" s="1085" t="s">
        <v>1738</v>
      </c>
      <c r="AE534" s="1086" t="s">
        <v>1903</v>
      </c>
      <c r="AF534" s="1085" t="s">
        <v>1794</v>
      </c>
      <c r="AL534" s="986" t="str">
        <f>VLOOKUP($AB534,sample!$1:$1048576,11,FALSE)</f>
        <v xml:space="preserve">        </v>
      </c>
      <c r="AM534" s="986" t="str">
        <f>VLOOKUP($AB534,sample!$1:$1048576,12,FALSE)</f>
        <v xml:space="preserve">        </v>
      </c>
      <c r="AN534" s="1086" t="s">
        <v>1695</v>
      </c>
      <c r="AP534" s="1085"/>
    </row>
    <row r="535" spans="1:42">
      <c r="A535" s="909">
        <f t="shared" si="129"/>
        <v>2019200548</v>
      </c>
      <c r="B535" s="881">
        <v>44529</v>
      </c>
      <c r="C535" s="881" t="s">
        <v>133</v>
      </c>
      <c r="D535" s="1133" t="str">
        <f>IFERROR(VLOOKUP(G535,PosAggregate!$B$13:$B$89,1,FALSE),"")</f>
        <v>096775 KS</v>
      </c>
      <c r="E535" s="1013" t="e">
        <f ca="1">_xll.BDP(G535  &amp; " Equity", "ID_ISIN", "Fill", "")</f>
        <v>#NAME?</v>
      </c>
      <c r="F535" s="1006" t="str">
        <f t="shared" si="130"/>
        <v>YES</v>
      </c>
      <c r="G535" s="594" t="s">
        <v>12711</v>
      </c>
      <c r="I535" s="1007" t="e">
        <f ca="1">_xll.BDP(E535 &amp; " Equity","SECURITY_NAME")</f>
        <v>#NAME?</v>
      </c>
      <c r="J535" s="1007" t="e">
        <f ca="1">_xll.BDP(G535 &amp; " Equity","Crncy")</f>
        <v>#NAME?</v>
      </c>
      <c r="K535" s="963">
        <v>125798.4375</v>
      </c>
      <c r="L535" s="963"/>
      <c r="M535" s="963">
        <v>320</v>
      </c>
      <c r="N535" s="1009">
        <f t="shared" si="131"/>
        <v>-40255500</v>
      </c>
      <c r="O535" s="885">
        <v>-60383</v>
      </c>
      <c r="R535" s="982">
        <f t="shared" si="126"/>
        <v>-40315883</v>
      </c>
      <c r="S535" s="967">
        <v>1347.16</v>
      </c>
      <c r="T535" s="998">
        <f t="shared" si="128"/>
        <v>-29926.573680928766</v>
      </c>
      <c r="U535" s="716">
        <v>44531</v>
      </c>
      <c r="V535" s="594" t="s">
        <v>1114</v>
      </c>
      <c r="W535" s="914">
        <v>44526.514342939816</v>
      </c>
      <c r="X535" s="971">
        <f t="shared" si="125"/>
        <v>0.14999937896684926</v>
      </c>
      <c r="Y535" s="584" t="s">
        <v>1693</v>
      </c>
      <c r="Z535" s="988" t="e">
        <f ca="1">VLOOKUP(AA535,'place of settlement'!A:C,2,FALSE)</f>
        <v>#NAME?</v>
      </c>
      <c r="AA535" s="988" t="e">
        <f t="shared" ca="1" si="122"/>
        <v>#NAME?</v>
      </c>
      <c r="AB535" s="988" t="e">
        <f t="shared" ca="1" si="123"/>
        <v>#NAME?</v>
      </c>
      <c r="AC535" s="988" t="e">
        <f ca="1">VLOOKUP(AB535,sample!$1:$1048576,2,FALSE)</f>
        <v>#NAME?</v>
      </c>
      <c r="AD535" s="988" t="e">
        <f ca="1">VLOOKUP($AB535,sample!$1:$1048576,3,FALSE)</f>
        <v>#NAME?</v>
      </c>
      <c r="AE535" s="986" t="e">
        <f ca="1">VLOOKUP($AB535,sample!$1:$1048576,4,FALSE)</f>
        <v>#NAME?</v>
      </c>
      <c r="AF535" s="988" t="e">
        <f ca="1">VLOOKUP($AB535,sample!$1:$1048576,5,FALSE)</f>
        <v>#NAME?</v>
      </c>
      <c r="AL535" s="986" t="e">
        <f ca="1">VLOOKUP($AB535,sample!$1:$1048576,11,FALSE)</f>
        <v>#NAME?</v>
      </c>
      <c r="AM535" s="986" t="e">
        <f ca="1">VLOOKUP($AB535,sample!$1:$1048576,12,FALSE)</f>
        <v>#NAME?</v>
      </c>
      <c r="AN535" s="986" t="e">
        <f ca="1">VLOOKUP($AB535,sample!$1:$1048576,13,FALSE)</f>
        <v>#NAME?</v>
      </c>
      <c r="AP535" s="988"/>
    </row>
    <row r="536" spans="1:42">
      <c r="A536" s="909">
        <f t="shared" si="129"/>
        <v>2019200549</v>
      </c>
      <c r="B536" s="881">
        <v>44529</v>
      </c>
      <c r="C536" s="881" t="s">
        <v>133</v>
      </c>
      <c r="D536" s="1133" t="str">
        <f>IFERROR(VLOOKUP(G536,PosAggregate!$B$13:$B$89,1,FALSE),"")</f>
        <v>051915 KS</v>
      </c>
      <c r="E536" s="1013" t="e">
        <f ca="1">_xll.BDP(G536  &amp; " Equity", "ID_ISIN", "Fill", "")</f>
        <v>#NAME?</v>
      </c>
      <c r="F536" s="1006" t="str">
        <f t="shared" si="130"/>
        <v>YES</v>
      </c>
      <c r="G536" s="594" t="s">
        <v>12709</v>
      </c>
      <c r="I536" s="1007" t="e">
        <f ca="1">_xll.BDP(E536 &amp; " Equity","SECURITY_NAME")</f>
        <v>#NAME?</v>
      </c>
      <c r="J536" s="1007" t="e">
        <f ca="1">_xll.BDP(G536 &amp; " Equity","Crncy")</f>
        <v>#NAME?</v>
      </c>
      <c r="K536" s="963">
        <v>341681.91489999997</v>
      </c>
      <c r="L536" s="963"/>
      <c r="M536" s="963">
        <v>470</v>
      </c>
      <c r="N536" s="1009">
        <f t="shared" si="131"/>
        <v>-160590500.00299999</v>
      </c>
      <c r="O536" s="885">
        <v>-240886</v>
      </c>
      <c r="R536" s="982">
        <f t="shared" si="126"/>
        <v>-160831386.00299999</v>
      </c>
      <c r="S536" s="967">
        <v>1347.16</v>
      </c>
      <c r="T536" s="998">
        <f t="shared" si="128"/>
        <v>-119385.51174544968</v>
      </c>
      <c r="U536" s="716">
        <v>44531</v>
      </c>
      <c r="V536" s="594" t="s">
        <v>1114</v>
      </c>
      <c r="W536" s="914">
        <v>44526.514342939816</v>
      </c>
      <c r="X536" s="971">
        <f t="shared" si="125"/>
        <v>0.15000015567265809</v>
      </c>
      <c r="Y536" s="584" t="s">
        <v>1693</v>
      </c>
      <c r="Z536" s="988" t="e">
        <f ca="1">VLOOKUP(AA536,'place of settlement'!A:C,2,FALSE)</f>
        <v>#NAME?</v>
      </c>
      <c r="AA536" s="988" t="e">
        <f t="shared" ca="1" si="122"/>
        <v>#NAME?</v>
      </c>
      <c r="AB536" s="988" t="e">
        <f t="shared" ca="1" si="123"/>
        <v>#NAME?</v>
      </c>
      <c r="AC536" s="988" t="e">
        <f ca="1">VLOOKUP(AB536,sample!$1:$1048576,2,FALSE)</f>
        <v>#NAME?</v>
      </c>
      <c r="AD536" s="988" t="e">
        <f ca="1">VLOOKUP($AB536,sample!$1:$1048576,3,FALSE)</f>
        <v>#NAME?</v>
      </c>
      <c r="AE536" s="986" t="e">
        <f ca="1">VLOOKUP($AB536,sample!$1:$1048576,4,FALSE)</f>
        <v>#NAME?</v>
      </c>
      <c r="AF536" s="988" t="e">
        <f ca="1">VLOOKUP($AB536,sample!$1:$1048576,5,FALSE)</f>
        <v>#NAME?</v>
      </c>
      <c r="AL536" s="986" t="e">
        <f ca="1">VLOOKUP($AB536,sample!$1:$1048576,11,FALSE)</f>
        <v>#NAME?</v>
      </c>
      <c r="AM536" s="986" t="e">
        <f ca="1">VLOOKUP($AB536,sample!$1:$1048576,12,FALSE)</f>
        <v>#NAME?</v>
      </c>
      <c r="AN536" s="986" t="e">
        <f ca="1">VLOOKUP($AB536,sample!$1:$1048576,13,FALSE)</f>
        <v>#NAME?</v>
      </c>
      <c r="AP536" s="988"/>
    </row>
    <row r="537" spans="1:42">
      <c r="A537" s="909">
        <f t="shared" si="129"/>
        <v>2019200550</v>
      </c>
      <c r="B537" s="881">
        <v>44532</v>
      </c>
      <c r="C537" s="881" t="s">
        <v>133</v>
      </c>
      <c r="D537" s="1133" t="str">
        <f>IFERROR(VLOOKUP(G537,PosAggregate!$B$13:$B$89,1,FALSE),"")</f>
        <v>4004 JP</v>
      </c>
      <c r="E537" s="1013" t="e">
        <f ca="1">_xll.BDP(G537  &amp; " Equity", "ID_ISIN", "Fill", "")</f>
        <v>#NAME?</v>
      </c>
      <c r="F537" s="1006" t="str">
        <f t="shared" si="130"/>
        <v>YES</v>
      </c>
      <c r="G537" s="594" t="s">
        <v>12706</v>
      </c>
      <c r="I537" s="1007" t="e">
        <f ca="1">_xll.BDP(E537 &amp; " Equity","SECURITY_NAME")</f>
        <v>#NAME?</v>
      </c>
      <c r="J537" s="1007" t="e">
        <f ca="1">_xll.BDP(G537 &amp; " Equity","Crncy")</f>
        <v>#NAME?</v>
      </c>
      <c r="K537" s="963">
        <v>2409.890476</v>
      </c>
      <c r="L537" s="963"/>
      <c r="M537" s="963">
        <v>4200</v>
      </c>
      <c r="N537" s="1009">
        <f t="shared" si="131"/>
        <v>-10121539.999199999</v>
      </c>
      <c r="O537" s="885">
        <v>-6073</v>
      </c>
      <c r="R537" s="982">
        <f t="shared" si="126"/>
        <v>-10127612.999199999</v>
      </c>
      <c r="S537" s="963">
        <v>128.15</v>
      </c>
      <c r="T537" s="998">
        <f t="shared" si="128"/>
        <v>-79029.364020288718</v>
      </c>
      <c r="U537" s="716">
        <v>44536</v>
      </c>
      <c r="V537" s="594" t="s">
        <v>1656</v>
      </c>
      <c r="W537" s="914">
        <v>44526.514342939816</v>
      </c>
      <c r="X537" s="971">
        <f t="shared" si="125"/>
        <v>6.0000750878621299E-2</v>
      </c>
      <c r="Y537" s="584" t="s">
        <v>1693</v>
      </c>
      <c r="Z537" s="988" t="e">
        <f ca="1">VLOOKUP(AA537,'place of settlement'!A:C,2,FALSE)</f>
        <v>#NAME?</v>
      </c>
      <c r="AA537" s="988" t="e">
        <f t="shared" ca="1" si="122"/>
        <v>#NAME?</v>
      </c>
      <c r="AB537" s="988" t="e">
        <f t="shared" ca="1" si="123"/>
        <v>#NAME?</v>
      </c>
      <c r="AC537" s="988" t="e">
        <f ca="1">VLOOKUP(AB537,sample!$1:$1048576,2,FALSE)</f>
        <v>#NAME?</v>
      </c>
      <c r="AD537" s="988" t="e">
        <f ca="1">VLOOKUP($AB537,sample!$1:$1048576,3,FALSE)</f>
        <v>#NAME?</v>
      </c>
      <c r="AE537" s="986" t="e">
        <f ca="1">VLOOKUP($AB537,sample!$1:$1048576,4,FALSE)</f>
        <v>#NAME?</v>
      </c>
      <c r="AF537" s="988" t="e">
        <f ca="1">VLOOKUP($AB537,sample!$1:$1048576,5,FALSE)</f>
        <v>#NAME?</v>
      </c>
      <c r="AL537" s="986" t="e">
        <f ca="1">VLOOKUP($AB537,sample!$1:$1048576,11,FALSE)</f>
        <v>#NAME?</v>
      </c>
      <c r="AM537" s="986" t="e">
        <f ca="1">VLOOKUP($AB537,sample!$1:$1048576,12,FALSE)</f>
        <v>#NAME?</v>
      </c>
      <c r="AN537" s="986" t="e">
        <f ca="1">VLOOKUP($AB537,sample!$1:$1048576,13,FALSE)</f>
        <v>#NAME?</v>
      </c>
      <c r="AP537" s="988"/>
    </row>
    <row r="538" spans="1:42">
      <c r="A538" s="909">
        <f t="shared" si="129"/>
        <v>2019200551</v>
      </c>
      <c r="B538" s="881">
        <v>44532</v>
      </c>
      <c r="C538" s="881" t="s">
        <v>133</v>
      </c>
      <c r="D538" s="1133" t="str">
        <f>IFERROR(VLOOKUP(G538,PosAggregate!$B$13:$B$89,1,FALSE),"")</f>
        <v>7013 JP</v>
      </c>
      <c r="E538" s="1013" t="e">
        <f ca="1">_xll.BDP(G538  &amp; " Equity", "ID_ISIN", "Fill", "")</f>
        <v>#NAME?</v>
      </c>
      <c r="F538" s="1006" t="str">
        <f t="shared" si="130"/>
        <v>YES</v>
      </c>
      <c r="G538" s="594" t="s">
        <v>12877</v>
      </c>
      <c r="I538" s="1007" t="e">
        <f ca="1">_xll.BDP(E538 &amp; " Equity","SECURITY_NAME")</f>
        <v>#NAME?</v>
      </c>
      <c r="J538" s="1007" t="e">
        <f ca="1">_xll.BDP(G538 &amp; " Equity","Crncy")</f>
        <v>#NAME?</v>
      </c>
      <c r="K538" s="963">
        <v>2140.5985070000002</v>
      </c>
      <c r="L538" s="963"/>
      <c r="M538" s="963">
        <v>6700</v>
      </c>
      <c r="N538" s="1009">
        <f t="shared" si="131"/>
        <v>-14342009.996900002</v>
      </c>
      <c r="O538" s="885">
        <v>-8605</v>
      </c>
      <c r="R538" s="982">
        <f t="shared" si="126"/>
        <v>-14350614.996900002</v>
      </c>
      <c r="S538" s="963">
        <v>128.15</v>
      </c>
      <c r="T538" s="998">
        <f t="shared" si="128"/>
        <v>-111982.94964416701</v>
      </c>
      <c r="U538" s="716">
        <v>44536</v>
      </c>
      <c r="V538" s="594" t="s">
        <v>1656</v>
      </c>
      <c r="W538" s="914">
        <v>44526.514342939816</v>
      </c>
      <c r="X538" s="971">
        <f t="shared" si="125"/>
        <v>5.9998563673152885E-2</v>
      </c>
      <c r="Y538" s="584" t="s">
        <v>1693</v>
      </c>
      <c r="Z538" s="988" t="e">
        <f ca="1">VLOOKUP(AA538,'place of settlement'!A:C,2,FALSE)</f>
        <v>#NAME?</v>
      </c>
      <c r="AA538" s="988" t="e">
        <f t="shared" ca="1" si="122"/>
        <v>#NAME?</v>
      </c>
      <c r="AB538" s="988" t="e">
        <f t="shared" ca="1" si="123"/>
        <v>#NAME?</v>
      </c>
      <c r="AC538" s="988" t="e">
        <f ca="1">VLOOKUP(AB538,sample!$1:$1048576,2,FALSE)</f>
        <v>#NAME?</v>
      </c>
      <c r="AD538" s="988" t="e">
        <f ca="1">VLOOKUP($AB538,sample!$1:$1048576,3,FALSE)</f>
        <v>#NAME?</v>
      </c>
      <c r="AE538" s="986" t="e">
        <f ca="1">VLOOKUP($AB538,sample!$1:$1048576,4,FALSE)</f>
        <v>#NAME?</v>
      </c>
      <c r="AF538" s="988" t="e">
        <f ca="1">VLOOKUP($AB538,sample!$1:$1048576,5,FALSE)</f>
        <v>#NAME?</v>
      </c>
      <c r="AL538" s="986" t="e">
        <f ca="1">VLOOKUP($AB538,sample!$1:$1048576,11,FALSE)</f>
        <v>#NAME?</v>
      </c>
      <c r="AM538" s="986" t="e">
        <f ca="1">VLOOKUP($AB538,sample!$1:$1048576,12,FALSE)</f>
        <v>#NAME?</v>
      </c>
      <c r="AN538" s="986" t="e">
        <f ca="1">VLOOKUP($AB538,sample!$1:$1048576,13,FALSE)</f>
        <v>#NAME?</v>
      </c>
      <c r="AP538" s="988"/>
    </row>
    <row r="539" spans="1:42">
      <c r="A539" s="909">
        <f t="shared" si="129"/>
        <v>2019200552</v>
      </c>
      <c r="B539" s="881">
        <v>44532</v>
      </c>
      <c r="C539" s="881" t="s">
        <v>134</v>
      </c>
      <c r="D539" s="1133" t="str">
        <f>IFERROR(VLOOKUP(G539,PosAggregate!$B$13:$B$89,1,FALSE),"")</f>
        <v>GLEN LN</v>
      </c>
      <c r="E539" s="1013" t="e">
        <f ca="1">_xll.BDP(G539  &amp; " Equity", "ID_ISIN", "Fill", "")</f>
        <v>#NAME?</v>
      </c>
      <c r="F539" s="1006" t="str">
        <f t="shared" si="130"/>
        <v>YES</v>
      </c>
      <c r="G539" s="594" t="s">
        <v>12740</v>
      </c>
      <c r="I539" s="1007" t="e">
        <f ca="1">_xll.BDP(E539 &amp; " Equity","SECURITY_NAME")</f>
        <v>#NAME?</v>
      </c>
      <c r="J539" s="1007" t="e">
        <f ca="1">_xll.BDP(G539 &amp; " Equity","Crncy")</f>
        <v>#NAME?</v>
      </c>
      <c r="K539" s="963">
        <v>3.4929999999999999</v>
      </c>
      <c r="L539" s="963"/>
      <c r="M539" s="963">
        <v>-17000</v>
      </c>
      <c r="N539" s="1009">
        <f t="shared" si="131"/>
        <v>59381</v>
      </c>
      <c r="O539" s="885">
        <v>-35.630000000000003</v>
      </c>
      <c r="R539" s="982">
        <f t="shared" si="126"/>
        <v>59345.37</v>
      </c>
      <c r="S539" s="963">
        <v>0.85085</v>
      </c>
      <c r="T539" s="998">
        <f t="shared" si="128"/>
        <v>69748.334018922251</v>
      </c>
      <c r="U539" s="716">
        <v>44536</v>
      </c>
      <c r="V539" s="594" t="s">
        <v>1183</v>
      </c>
      <c r="W539" s="914">
        <v>44526.514343055554</v>
      </c>
      <c r="X539" s="971">
        <f t="shared" si="125"/>
        <v>-6.0002357656489452E-2</v>
      </c>
      <c r="Y539" s="584" t="s">
        <v>1693</v>
      </c>
      <c r="Z539" s="988" t="str">
        <f>VLOOKUP(AA539,'place of settlement'!A:C,2,FALSE)</f>
        <v>CRSTGB22XXX</v>
      </c>
      <c r="AA539" s="988" t="s">
        <v>1716</v>
      </c>
      <c r="AB539" s="988" t="str">
        <f t="shared" ref="AB539:AB598" si="132">CONCATENATE(V539,AA539)</f>
        <v>EquitaGB</v>
      </c>
      <c r="AC539" s="988" t="str">
        <f>VLOOKUP(AB539,sample!$1:$1048576,2,FALSE)</f>
        <v>BCITITMMXXX</v>
      </c>
      <c r="AD539" s="988" t="str">
        <f>VLOOKUP($AB539,sample!$1:$1048576,3,FALSE)</f>
        <v>CRSTGB22XXX</v>
      </c>
      <c r="AE539" s="986">
        <f>VLOOKUP($AB539,sample!$1:$1048576,4,FALSE)</f>
        <v>862872</v>
      </c>
      <c r="AF539" s="988" t="str">
        <f>VLOOKUP($AB539,sample!$1:$1048576,5,FALSE)</f>
        <v>N</v>
      </c>
      <c r="AL539" s="986" t="str">
        <f>VLOOKUP($AB539,sample!$1:$1048576,11,FALSE)</f>
        <v>CRST</v>
      </c>
      <c r="AM539" s="986" t="str">
        <f>VLOOKUP($AB539,sample!$1:$1048576,12,FALSE)</f>
        <v>BH01</v>
      </c>
      <c r="AN539" s="986" t="str">
        <f>VLOOKUP($AB539,sample!$1:$1048576,13,FALSE)</f>
        <v xml:space="preserve">        </v>
      </c>
      <c r="AP539" s="988"/>
    </row>
    <row r="540" spans="1:42">
      <c r="A540" s="909">
        <f t="shared" si="129"/>
        <v>2019200553</v>
      </c>
      <c r="B540" s="881">
        <v>44533</v>
      </c>
      <c r="C540" s="881" t="s">
        <v>133</v>
      </c>
      <c r="D540" s="1133" t="str">
        <f>IFERROR(VLOOKUP(G540,PosAggregate!$B$13:$B$89,1,FALSE),"")</f>
        <v>3407 JP</v>
      </c>
      <c r="E540" s="1013" t="e">
        <f ca="1">_xll.BDP(G540  &amp; " Equity", "ID_ISIN", "Fill", "")</f>
        <v>#NAME?</v>
      </c>
      <c r="F540" s="1006" t="str">
        <f t="shared" si="130"/>
        <v>YES</v>
      </c>
      <c r="G540" s="594" t="s">
        <v>12878</v>
      </c>
      <c r="I540" s="1007" t="e">
        <f ca="1">_xll.BDP(E540 &amp; " Equity","SECURITY_NAME")</f>
        <v>#NAME?</v>
      </c>
      <c r="J540" s="1007" t="e">
        <f ca="1">_xll.BDP(G540 &amp; " Equity","Crncy")</f>
        <v>#NAME?</v>
      </c>
      <c r="K540" s="963">
        <v>1103.0095449999999</v>
      </c>
      <c r="L540" s="963"/>
      <c r="M540" s="963">
        <v>11000</v>
      </c>
      <c r="N540" s="1009">
        <f t="shared" si="131"/>
        <v>-12133104.994999999</v>
      </c>
      <c r="O540" s="885">
        <v>-7280</v>
      </c>
      <c r="R540" s="982">
        <f t="shared" si="126"/>
        <v>-12140384.994999999</v>
      </c>
      <c r="S540" s="963">
        <v>127.99</v>
      </c>
      <c r="T540" s="998">
        <f t="shared" si="128"/>
        <v>-94854.16825533245</v>
      </c>
      <c r="U540" s="716">
        <v>44537</v>
      </c>
      <c r="V540" s="594" t="s">
        <v>1656</v>
      </c>
      <c r="W540" s="914">
        <v>44526.514342939816</v>
      </c>
      <c r="X540" s="971">
        <f t="shared" si="125"/>
        <v>6.0001129166854295E-2</v>
      </c>
      <c r="Y540" s="584" t="s">
        <v>1693</v>
      </c>
      <c r="Z540" s="988" t="e">
        <f ca="1">VLOOKUP(AA540,'place of settlement'!A:C,2,FALSE)</f>
        <v>#NAME?</v>
      </c>
      <c r="AA540" s="988" t="e">
        <f t="shared" ref="AA540:AA598" ca="1" si="133">LEFT(E540,2)</f>
        <v>#NAME?</v>
      </c>
      <c r="AB540" s="988" t="e">
        <f t="shared" ca="1" si="132"/>
        <v>#NAME?</v>
      </c>
      <c r="AC540" s="988" t="e">
        <f ca="1">VLOOKUP(AB540,sample!$1:$1048576,2,FALSE)</f>
        <v>#NAME?</v>
      </c>
      <c r="AD540" s="988" t="e">
        <f ca="1">VLOOKUP($AB540,sample!$1:$1048576,3,FALSE)</f>
        <v>#NAME?</v>
      </c>
      <c r="AE540" s="986" t="e">
        <f ca="1">VLOOKUP($AB540,sample!$1:$1048576,4,FALSE)</f>
        <v>#NAME?</v>
      </c>
      <c r="AF540" s="988" t="e">
        <f ca="1">VLOOKUP($AB540,sample!$1:$1048576,5,FALSE)</f>
        <v>#NAME?</v>
      </c>
      <c r="AL540" s="986" t="e">
        <f ca="1">VLOOKUP($AB540,sample!$1:$1048576,11,FALSE)</f>
        <v>#NAME?</v>
      </c>
      <c r="AM540" s="986" t="e">
        <f ca="1">VLOOKUP($AB540,sample!$1:$1048576,12,FALSE)</f>
        <v>#NAME?</v>
      </c>
      <c r="AN540" s="986" t="e">
        <f ca="1">VLOOKUP($AB540,sample!$1:$1048576,13,FALSE)</f>
        <v>#NAME?</v>
      </c>
      <c r="AP540" s="988"/>
    </row>
    <row r="541" spans="1:42">
      <c r="A541" s="909">
        <f t="shared" si="129"/>
        <v>2019200554</v>
      </c>
      <c r="B541" s="881">
        <v>44533</v>
      </c>
      <c r="C541" s="881" t="s">
        <v>134</v>
      </c>
      <c r="D541" s="1133" t="str">
        <f>IFERROR(VLOOKUP(G541,PosAggregate!$B$13:$B$89,1,FALSE),"")</f>
        <v>6502 JP</v>
      </c>
      <c r="E541" s="1013" t="e">
        <f ca="1">_xll.BDP(G541  &amp; " Equity", "ID_ISIN", "Fill", "")</f>
        <v>#NAME?</v>
      </c>
      <c r="F541" s="1006" t="str">
        <f t="shared" si="130"/>
        <v>YES</v>
      </c>
      <c r="G541" s="594" t="s">
        <v>12724</v>
      </c>
      <c r="I541" s="1007" t="e">
        <f ca="1">_xll.BDP(E541 &amp; " Equity","SECURITY_NAME")</f>
        <v>#NAME?</v>
      </c>
      <c r="J541" s="1007" t="e">
        <f ca="1">_xll.BDP(G541 &amp; " Equity","Crncy")</f>
        <v>#NAME?</v>
      </c>
      <c r="K541" s="963">
        <v>4704</v>
      </c>
      <c r="L541" s="963"/>
      <c r="M541" s="963">
        <v>-4100</v>
      </c>
      <c r="N541" s="1009">
        <f t="shared" si="131"/>
        <v>19286400</v>
      </c>
      <c r="O541" s="885">
        <v>-11572</v>
      </c>
      <c r="R541" s="982">
        <f t="shared" si="126"/>
        <v>19274828</v>
      </c>
      <c r="S541" s="963">
        <v>127.99</v>
      </c>
      <c r="T541" s="998">
        <f t="shared" si="128"/>
        <v>150596.35909055395</v>
      </c>
      <c r="U541" s="716">
        <v>44537</v>
      </c>
      <c r="V541" s="594" t="s">
        <v>1656</v>
      </c>
      <c r="W541" s="914">
        <v>44526.514343055554</v>
      </c>
      <c r="X541" s="971">
        <f t="shared" si="125"/>
        <v>-6.0000829600132734E-2</v>
      </c>
      <c r="Y541" s="584" t="s">
        <v>1693</v>
      </c>
      <c r="Z541" s="988" t="e">
        <f ca="1">VLOOKUP(AA541,'place of settlement'!A:C,2,FALSE)</f>
        <v>#NAME?</v>
      </c>
      <c r="AA541" s="988" t="e">
        <f t="shared" ca="1" si="133"/>
        <v>#NAME?</v>
      </c>
      <c r="AB541" s="988" t="e">
        <f t="shared" ca="1" si="132"/>
        <v>#NAME?</v>
      </c>
      <c r="AC541" s="988" t="e">
        <f ca="1">VLOOKUP(AB541,sample!$1:$1048576,2,FALSE)</f>
        <v>#NAME?</v>
      </c>
      <c r="AD541" s="988" t="e">
        <f ca="1">VLOOKUP($AB541,sample!$1:$1048576,3,FALSE)</f>
        <v>#NAME?</v>
      </c>
      <c r="AE541" s="986" t="e">
        <f ca="1">VLOOKUP($AB541,sample!$1:$1048576,4,FALSE)</f>
        <v>#NAME?</v>
      </c>
      <c r="AF541" s="988" t="e">
        <f ca="1">VLOOKUP($AB541,sample!$1:$1048576,5,FALSE)</f>
        <v>#NAME?</v>
      </c>
      <c r="AL541" s="986" t="e">
        <f ca="1">VLOOKUP($AB541,sample!$1:$1048576,11,FALSE)</f>
        <v>#NAME?</v>
      </c>
      <c r="AM541" s="986" t="e">
        <f ca="1">VLOOKUP($AB541,sample!$1:$1048576,12,FALSE)</f>
        <v>#NAME?</v>
      </c>
      <c r="AN541" s="986" t="e">
        <f ca="1">VLOOKUP($AB541,sample!$1:$1048576,13,FALSE)</f>
        <v>#NAME?</v>
      </c>
      <c r="AP541" s="988"/>
    </row>
    <row r="542" spans="1:42">
      <c r="A542" s="909">
        <f t="shared" si="129"/>
        <v>2019200555</v>
      </c>
      <c r="B542" s="881">
        <v>44533</v>
      </c>
      <c r="C542" s="881" t="s">
        <v>133</v>
      </c>
      <c r="D542" s="1133" t="str">
        <f>IFERROR(VLOOKUP(G542,PosAggregate!$B$13:$B$89,1,FALSE),"")</f>
        <v>036830 KS</v>
      </c>
      <c r="E542" s="1013" t="e">
        <f ca="1">_xll.BDP(G542  &amp; " Equity", "ID_ISIN", "Fill", "")</f>
        <v>#NAME?</v>
      </c>
      <c r="F542" s="1006" t="str">
        <f t="shared" si="130"/>
        <v>YES</v>
      </c>
      <c r="G542" s="594" t="s">
        <v>12879</v>
      </c>
      <c r="I542" s="1007" t="e">
        <f ca="1">_xll.BDP(E542 &amp; " Equity","SECURITY_NAME")</f>
        <v>#NAME?</v>
      </c>
      <c r="J542" s="1007" t="e">
        <f ca="1">_xll.BDP(G542 &amp; " Equity","Crncy")</f>
        <v>#NAME?</v>
      </c>
      <c r="K542" s="963">
        <v>36305.804878000003</v>
      </c>
      <c r="L542" s="963"/>
      <c r="M542" s="963">
        <v>4100</v>
      </c>
      <c r="N542" s="1009">
        <f t="shared" si="131"/>
        <v>-148853799.9998</v>
      </c>
      <c r="O542" s="885">
        <v>-223281</v>
      </c>
      <c r="R542" s="982">
        <f t="shared" si="126"/>
        <v>-149077080.9998</v>
      </c>
      <c r="S542" s="963">
        <v>1332.03</v>
      </c>
      <c r="T542" s="998">
        <f t="shared" si="128"/>
        <v>-111917.20982245145</v>
      </c>
      <c r="U542" s="716">
        <v>44537</v>
      </c>
      <c r="V542" s="594" t="s">
        <v>1114</v>
      </c>
      <c r="W542" s="914">
        <v>44526.514342939816</v>
      </c>
      <c r="X542" s="971">
        <f t="shared" si="125"/>
        <v>0.15000020154023613</v>
      </c>
      <c r="Y542" s="584" t="s">
        <v>1693</v>
      </c>
      <c r="Z542" s="988" t="e">
        <f ca="1">VLOOKUP(AA542,'place of settlement'!A:C,2,FALSE)</f>
        <v>#NAME?</v>
      </c>
      <c r="AA542" s="988" t="e">
        <f t="shared" ca="1" si="133"/>
        <v>#NAME?</v>
      </c>
      <c r="AB542" s="988" t="e">
        <f t="shared" ca="1" si="132"/>
        <v>#NAME?</v>
      </c>
      <c r="AC542" s="988" t="e">
        <f ca="1">VLOOKUP(AB542,sample!$1:$1048576,2,FALSE)</f>
        <v>#NAME?</v>
      </c>
      <c r="AD542" s="988" t="e">
        <f ca="1">VLOOKUP($AB542,sample!$1:$1048576,3,FALSE)</f>
        <v>#NAME?</v>
      </c>
      <c r="AE542" s="986" t="e">
        <f ca="1">VLOOKUP($AB542,sample!$1:$1048576,4,FALSE)</f>
        <v>#NAME?</v>
      </c>
      <c r="AF542" s="988" t="e">
        <f ca="1">VLOOKUP($AB542,sample!$1:$1048576,5,FALSE)</f>
        <v>#NAME?</v>
      </c>
      <c r="AL542" s="986" t="e">
        <f ca="1">VLOOKUP($AB542,sample!$1:$1048576,11,FALSE)</f>
        <v>#NAME?</v>
      </c>
      <c r="AM542" s="986" t="e">
        <f ca="1">VLOOKUP($AB542,sample!$1:$1048576,12,FALSE)</f>
        <v>#NAME?</v>
      </c>
      <c r="AN542" s="986" t="e">
        <f ca="1">VLOOKUP($AB542,sample!$1:$1048576,13,FALSE)</f>
        <v>#NAME?</v>
      </c>
      <c r="AP542" s="988"/>
    </row>
    <row r="543" spans="1:42">
      <c r="A543" s="909">
        <f t="shared" si="129"/>
        <v>2019200556</v>
      </c>
      <c r="B543" s="881">
        <v>44533</v>
      </c>
      <c r="C543" s="881" t="s">
        <v>133</v>
      </c>
      <c r="D543" s="1133" t="str">
        <f>IFERROR(VLOOKUP(G543,PosAggregate!$B$13:$B$89,1,FALSE),"")</f>
        <v>051915 KS</v>
      </c>
      <c r="E543" s="1013" t="e">
        <f ca="1">_xll.BDP(G543  &amp; " Equity", "ID_ISIN", "Fill", "")</f>
        <v>#NAME?</v>
      </c>
      <c r="F543" s="1006" t="str">
        <f t="shared" si="130"/>
        <v>YES</v>
      </c>
      <c r="G543" s="594" t="s">
        <v>12709</v>
      </c>
      <c r="I543" s="1007" t="e">
        <f ca="1">_xll.BDP(E543 &amp; " Equity","SECURITY_NAME")</f>
        <v>#NAME?</v>
      </c>
      <c r="J543" s="1007" t="e">
        <f ca="1">_xll.BDP(G543 &amp; " Equity","Crncy")</f>
        <v>#NAME?</v>
      </c>
      <c r="K543" s="963">
        <v>337892.42424199998</v>
      </c>
      <c r="L543" s="963"/>
      <c r="M543" s="963">
        <v>330</v>
      </c>
      <c r="N543" s="1009">
        <f t="shared" si="131"/>
        <v>-111504499.99985999</v>
      </c>
      <c r="O543" s="885">
        <v>-167257</v>
      </c>
      <c r="R543" s="982">
        <f t="shared" si="126"/>
        <v>-111671756.99985999</v>
      </c>
      <c r="S543" s="963">
        <v>1332.03</v>
      </c>
      <c r="T543" s="998">
        <f t="shared" si="128"/>
        <v>-83835.767212345061</v>
      </c>
      <c r="U543" s="716">
        <v>44537</v>
      </c>
      <c r="V543" s="594" t="s">
        <v>1114</v>
      </c>
      <c r="W543" s="914">
        <v>44526.514342939816</v>
      </c>
      <c r="X543" s="971">
        <f t="shared" si="125"/>
        <v>0.15000022420638628</v>
      </c>
      <c r="Y543" s="584" t="s">
        <v>1693</v>
      </c>
      <c r="Z543" s="988" t="e">
        <f ca="1">VLOOKUP(AA543,'place of settlement'!A:C,2,FALSE)</f>
        <v>#NAME?</v>
      </c>
      <c r="AA543" s="988" t="e">
        <f t="shared" ca="1" si="133"/>
        <v>#NAME?</v>
      </c>
      <c r="AB543" s="988" t="e">
        <f t="shared" ca="1" si="132"/>
        <v>#NAME?</v>
      </c>
      <c r="AC543" s="988" t="e">
        <f ca="1">VLOOKUP(AB543,sample!$1:$1048576,2,FALSE)</f>
        <v>#NAME?</v>
      </c>
      <c r="AD543" s="988" t="e">
        <f ca="1">VLOOKUP($AB543,sample!$1:$1048576,3,FALSE)</f>
        <v>#NAME?</v>
      </c>
      <c r="AE543" s="986" t="e">
        <f ca="1">VLOOKUP($AB543,sample!$1:$1048576,4,FALSE)</f>
        <v>#NAME?</v>
      </c>
      <c r="AF543" s="988" t="e">
        <f ca="1">VLOOKUP($AB543,sample!$1:$1048576,5,FALSE)</f>
        <v>#NAME?</v>
      </c>
      <c r="AL543" s="986" t="e">
        <f ca="1">VLOOKUP($AB543,sample!$1:$1048576,11,FALSE)</f>
        <v>#NAME?</v>
      </c>
      <c r="AM543" s="986" t="e">
        <f ca="1">VLOOKUP($AB543,sample!$1:$1048576,12,FALSE)</f>
        <v>#NAME?</v>
      </c>
      <c r="AN543" s="986" t="e">
        <f ca="1">VLOOKUP($AB543,sample!$1:$1048576,13,FALSE)</f>
        <v>#NAME?</v>
      </c>
      <c r="AP543" s="988"/>
    </row>
    <row r="544" spans="1:42">
      <c r="A544" s="909">
        <f t="shared" si="129"/>
        <v>2019200557</v>
      </c>
      <c r="B544" s="881">
        <v>44533</v>
      </c>
      <c r="C544" s="881" t="s">
        <v>133</v>
      </c>
      <c r="D544" s="1133" t="str">
        <f>IFERROR(VLOOKUP(G544,PosAggregate!$B$13:$B$89,1,FALSE),"")</f>
        <v>096775 KS</v>
      </c>
      <c r="E544" s="1013" t="e">
        <f ca="1">_xll.BDP(G544  &amp; " Equity", "ID_ISIN", "Fill", "")</f>
        <v>#NAME?</v>
      </c>
      <c r="F544" s="1006" t="str">
        <f t="shared" si="130"/>
        <v>YES</v>
      </c>
      <c r="G544" s="594" t="s">
        <v>12711</v>
      </c>
      <c r="I544" s="1007" t="e">
        <f ca="1">_xll.BDP(E544 &amp; " Equity","SECURITY_NAME")</f>
        <v>#NAME?</v>
      </c>
      <c r="J544" s="1007" t="e">
        <f ca="1">_xll.BDP(G544 &amp; " Equity","Crncy")</f>
        <v>#NAME?</v>
      </c>
      <c r="K544" s="963">
        <v>123593.589744</v>
      </c>
      <c r="L544" s="963"/>
      <c r="M544" s="963">
        <v>390</v>
      </c>
      <c r="N544" s="1009">
        <f t="shared" si="131"/>
        <v>-48201500.000160001</v>
      </c>
      <c r="O544" s="885">
        <v>-72302</v>
      </c>
      <c r="R544" s="982">
        <f t="shared" si="126"/>
        <v>-48273802.000160001</v>
      </c>
      <c r="S544" s="963">
        <v>1332.03</v>
      </c>
      <c r="T544" s="998">
        <f t="shared" si="128"/>
        <v>-36240.776859500162</v>
      </c>
      <c r="U544" s="716">
        <v>44537</v>
      </c>
      <c r="V544" s="594" t="s">
        <v>1114</v>
      </c>
      <c r="W544" s="914">
        <v>44526.514342939816</v>
      </c>
      <c r="X544" s="971">
        <f t="shared" si="125"/>
        <v>0.14999948134344368</v>
      </c>
      <c r="Y544" s="584" t="s">
        <v>1693</v>
      </c>
      <c r="Z544" s="988" t="e">
        <f ca="1">VLOOKUP(AA544,'place of settlement'!A:C,2,FALSE)</f>
        <v>#NAME?</v>
      </c>
      <c r="AA544" s="988" t="e">
        <f t="shared" ca="1" si="133"/>
        <v>#NAME?</v>
      </c>
      <c r="AB544" s="988" t="e">
        <f t="shared" ca="1" si="132"/>
        <v>#NAME?</v>
      </c>
      <c r="AC544" s="988" t="e">
        <f ca="1">VLOOKUP(AB544,sample!$1:$1048576,2,FALSE)</f>
        <v>#NAME?</v>
      </c>
      <c r="AD544" s="988" t="e">
        <f ca="1">VLOOKUP($AB544,sample!$1:$1048576,3,FALSE)</f>
        <v>#NAME?</v>
      </c>
      <c r="AE544" s="986" t="e">
        <f ca="1">VLOOKUP($AB544,sample!$1:$1048576,4,FALSE)</f>
        <v>#NAME?</v>
      </c>
      <c r="AF544" s="988" t="e">
        <f ca="1">VLOOKUP($AB544,sample!$1:$1048576,5,FALSE)</f>
        <v>#NAME?</v>
      </c>
      <c r="AL544" s="986" t="e">
        <f ca="1">VLOOKUP($AB544,sample!$1:$1048576,11,FALSE)</f>
        <v>#NAME?</v>
      </c>
      <c r="AM544" s="986" t="e">
        <f ca="1">VLOOKUP($AB544,sample!$1:$1048576,12,FALSE)</f>
        <v>#NAME?</v>
      </c>
      <c r="AN544" s="986" t="e">
        <f ca="1">VLOOKUP($AB544,sample!$1:$1048576,13,FALSE)</f>
        <v>#NAME?</v>
      </c>
      <c r="AP544" s="988"/>
    </row>
    <row r="545" spans="1:42" s="584" customFormat="1">
      <c r="A545" s="911">
        <f t="shared" si="129"/>
        <v>2019200558</v>
      </c>
      <c r="B545" s="816">
        <v>44560</v>
      </c>
      <c r="C545" s="816" t="s">
        <v>134</v>
      </c>
      <c r="D545" s="561" t="s">
        <v>12721</v>
      </c>
      <c r="E545" s="1013" t="e">
        <f ca="1">_xll.BDP(G545  &amp; " Equity", "ID_ISIN", "Fill", "")</f>
        <v>#NAME?</v>
      </c>
      <c r="F545" s="1106" t="str">
        <f t="shared" si="130"/>
        <v>YES</v>
      </c>
      <c r="G545" s="561" t="s">
        <v>12721</v>
      </c>
      <c r="I545" s="1107" t="e">
        <f ca="1">_xll.BDP(E545 &amp; " Equity","SECURITY_NAME")</f>
        <v>#NAME?</v>
      </c>
      <c r="J545" s="1107" t="e">
        <f ca="1">_xll.BDP(G545 &amp; " Equity","Crncy")</f>
        <v>#NAME?</v>
      </c>
      <c r="K545" s="1108">
        <v>3.4125999999999999</v>
      </c>
      <c r="L545" s="1108"/>
      <c r="M545" s="1108">
        <v>-110000</v>
      </c>
      <c r="N545" s="985">
        <f t="shared" si="131"/>
        <v>375386</v>
      </c>
      <c r="O545" s="817">
        <v>-225.23</v>
      </c>
      <c r="R545" s="982">
        <f t="shared" si="126"/>
        <v>375160.77</v>
      </c>
      <c r="S545" s="1108">
        <v>1.56355</v>
      </c>
      <c r="T545" s="998">
        <f t="shared" si="128"/>
        <v>239941.65200984941</v>
      </c>
      <c r="U545" s="584">
        <v>44562</v>
      </c>
      <c r="V545" s="561" t="s">
        <v>1656</v>
      </c>
      <c r="W545" s="819">
        <v>44526.514343055554</v>
      </c>
      <c r="X545" s="971">
        <f t="shared" si="125"/>
        <v>-5.9999573772063955E-2</v>
      </c>
      <c r="Y545" s="584" t="s">
        <v>1693</v>
      </c>
      <c r="Z545" s="988" t="e">
        <f ca="1">VLOOKUP(AA545,'place of settlement'!A:C,2,FALSE)</f>
        <v>#NAME?</v>
      </c>
      <c r="AA545" s="988" t="e">
        <f t="shared" ca="1" si="133"/>
        <v>#NAME?</v>
      </c>
      <c r="AB545" s="988" t="e">
        <f t="shared" ca="1" si="132"/>
        <v>#NAME?</v>
      </c>
      <c r="AC545" s="988" t="e">
        <f ca="1">VLOOKUP(AB545,sample!$1:$1048576,2,FALSE)</f>
        <v>#NAME?</v>
      </c>
      <c r="AD545" s="988" t="e">
        <f ca="1">VLOOKUP($AB545,sample!$1:$1048576,3,FALSE)</f>
        <v>#NAME?</v>
      </c>
      <c r="AE545" s="986" t="e">
        <f ca="1">VLOOKUP($AB545,sample!$1:$1048576,4,FALSE)</f>
        <v>#NAME?</v>
      </c>
      <c r="AF545" s="988" t="e">
        <f ca="1">VLOOKUP($AB545,sample!$1:$1048576,5,FALSE)</f>
        <v>#NAME?</v>
      </c>
      <c r="AL545" s="986" t="e">
        <f ca="1">VLOOKUP($AB545,sample!$1:$1048576,11,FALSE)</f>
        <v>#NAME?</v>
      </c>
      <c r="AM545" s="986" t="e">
        <f ca="1">VLOOKUP($AB545,sample!$1:$1048576,12,FALSE)</f>
        <v>#NAME?</v>
      </c>
      <c r="AN545" s="986" t="e">
        <f ca="1">VLOOKUP($AB545,sample!$1:$1048576,13,FALSE)</f>
        <v>#NAME?</v>
      </c>
      <c r="AP545" s="988"/>
    </row>
    <row r="546" spans="1:42" s="584" customFormat="1">
      <c r="A546" s="911">
        <f t="shared" si="129"/>
        <v>2019200559</v>
      </c>
      <c r="B546" s="816">
        <v>44560</v>
      </c>
      <c r="C546" s="816" t="s">
        <v>134</v>
      </c>
      <c r="D546" s="561" t="s">
        <v>12750</v>
      </c>
      <c r="E546" s="1013" t="e">
        <f ca="1">_xll.BDP(G546  &amp; " Equity", "ID_ISIN", "Fill", "")</f>
        <v>#NAME?</v>
      </c>
      <c r="F546" s="1106" t="str">
        <f t="shared" si="130"/>
        <v>YES</v>
      </c>
      <c r="G546" s="561" t="s">
        <v>12750</v>
      </c>
      <c r="I546" s="1107" t="e">
        <f ca="1">_xll.BDP(E546 &amp; " Equity","SECURITY_NAME")</f>
        <v>#NAME?</v>
      </c>
      <c r="J546" s="1107" t="e">
        <f ca="1">_xll.BDP(G546 &amp; " Equity","Crncy")</f>
        <v>#NAME?</v>
      </c>
      <c r="K546" s="1108">
        <v>3543.1936000000001</v>
      </c>
      <c r="L546" s="1108"/>
      <c r="M546" s="1108">
        <v>-4300</v>
      </c>
      <c r="N546" s="985">
        <f t="shared" si="131"/>
        <v>15235732.48</v>
      </c>
      <c r="O546" s="817">
        <v>-9141</v>
      </c>
      <c r="R546" s="982">
        <f t="shared" si="126"/>
        <v>15226591.48</v>
      </c>
      <c r="S546" s="1108">
        <v>129.82</v>
      </c>
      <c r="T546" s="998">
        <f t="shared" si="128"/>
        <v>117290.02834694192</v>
      </c>
      <c r="U546" s="584">
        <v>44562</v>
      </c>
      <c r="V546" s="561" t="s">
        <v>1656</v>
      </c>
      <c r="W546" s="819">
        <v>44526.514343055554</v>
      </c>
      <c r="X546" s="971">
        <f t="shared" si="125"/>
        <v>-5.9997115412727432E-2</v>
      </c>
      <c r="Y546" s="584" t="s">
        <v>1693</v>
      </c>
      <c r="Z546" s="988" t="e">
        <f ca="1">VLOOKUP(AA546,'place of settlement'!A:C,2,FALSE)</f>
        <v>#NAME?</v>
      </c>
      <c r="AA546" s="988" t="e">
        <f t="shared" ca="1" si="133"/>
        <v>#NAME?</v>
      </c>
      <c r="AB546" s="988" t="e">
        <f t="shared" ca="1" si="132"/>
        <v>#NAME?</v>
      </c>
      <c r="AC546" s="988" t="e">
        <f ca="1">VLOOKUP(AB546,sample!$1:$1048576,2,FALSE)</f>
        <v>#NAME?</v>
      </c>
      <c r="AD546" s="988" t="e">
        <f ca="1">VLOOKUP($AB546,sample!$1:$1048576,3,FALSE)</f>
        <v>#NAME?</v>
      </c>
      <c r="AE546" s="986" t="e">
        <f ca="1">VLOOKUP($AB546,sample!$1:$1048576,4,FALSE)</f>
        <v>#NAME?</v>
      </c>
      <c r="AF546" s="988" t="e">
        <f ca="1">VLOOKUP($AB546,sample!$1:$1048576,5,FALSE)</f>
        <v>#NAME?</v>
      </c>
      <c r="AL546" s="986" t="e">
        <f ca="1">VLOOKUP($AB546,sample!$1:$1048576,11,FALSE)</f>
        <v>#NAME?</v>
      </c>
      <c r="AM546" s="986" t="e">
        <f ca="1">VLOOKUP($AB546,sample!$1:$1048576,12,FALSE)</f>
        <v>#NAME?</v>
      </c>
      <c r="AN546" s="986" t="e">
        <f ca="1">VLOOKUP($AB546,sample!$1:$1048576,13,FALSE)</f>
        <v>#NAME?</v>
      </c>
      <c r="AP546" s="988"/>
    </row>
    <row r="547" spans="1:42">
      <c r="A547" s="909">
        <f t="shared" si="129"/>
        <v>2019200560</v>
      </c>
      <c r="B547" s="881">
        <v>44560</v>
      </c>
      <c r="C547" s="881" t="s">
        <v>134</v>
      </c>
      <c r="D547" s="1133" t="str">
        <f>IFERROR(VLOOKUP(G547,PosAggregate!$B$13:$B$89,1,FALSE),"")</f>
        <v>SYR AU</v>
      </c>
      <c r="E547" s="1013" t="e">
        <f ca="1">_xll.BDP(G547  &amp; " Equity", "ID_ISIN", "Fill", "")</f>
        <v>#NAME?</v>
      </c>
      <c r="F547" s="1006" t="str">
        <f t="shared" si="130"/>
        <v>YES</v>
      </c>
      <c r="G547" s="594" t="s">
        <v>12717</v>
      </c>
      <c r="I547" s="1007" t="e">
        <f ca="1">_xll.BDP(E547 &amp; " Equity","SECURITY_NAME")</f>
        <v>#NAME?</v>
      </c>
      <c r="J547" s="1007" t="e">
        <f ca="1">_xll.BDP(G547 &amp; " Equity","Crncy")</f>
        <v>#NAME?</v>
      </c>
      <c r="K547" s="963">
        <v>1.79</v>
      </c>
      <c r="L547" s="963"/>
      <c r="M547" s="963">
        <v>-138800</v>
      </c>
      <c r="N547" s="1009">
        <f t="shared" si="131"/>
        <v>248452</v>
      </c>
      <c r="O547" s="885">
        <v>-149.07</v>
      </c>
      <c r="R547" s="982">
        <f t="shared" si="126"/>
        <v>248302.93</v>
      </c>
      <c r="S547" s="963">
        <v>1.5577399999999999</v>
      </c>
      <c r="T547" s="998">
        <f t="shared" si="128"/>
        <v>159399.46974463004</v>
      </c>
      <c r="U547" s="716">
        <v>44562</v>
      </c>
      <c r="V547" s="594" t="s">
        <v>1656</v>
      </c>
      <c r="W547" s="914">
        <v>44526.514343055554</v>
      </c>
      <c r="X547" s="971">
        <f t="shared" si="125"/>
        <v>-5.9999517009321712E-2</v>
      </c>
      <c r="Y547" s="584" t="s">
        <v>1693</v>
      </c>
      <c r="Z547" s="988" t="e">
        <f ca="1">VLOOKUP(AA547,'place of settlement'!A:C,2,FALSE)</f>
        <v>#NAME?</v>
      </c>
      <c r="AA547" s="988" t="e">
        <f t="shared" ca="1" si="133"/>
        <v>#NAME?</v>
      </c>
      <c r="AB547" s="988" t="e">
        <f t="shared" ca="1" si="132"/>
        <v>#NAME?</v>
      </c>
      <c r="AC547" s="988" t="e">
        <f ca="1">VLOOKUP(AB547,sample!$1:$1048576,2,FALSE)</f>
        <v>#NAME?</v>
      </c>
      <c r="AD547" s="988" t="e">
        <f ca="1">VLOOKUP($AB547,sample!$1:$1048576,3,FALSE)</f>
        <v>#NAME?</v>
      </c>
      <c r="AE547" s="986" t="e">
        <f ca="1">VLOOKUP($AB547,sample!$1:$1048576,4,FALSE)</f>
        <v>#NAME?</v>
      </c>
      <c r="AF547" s="988" t="e">
        <f ca="1">VLOOKUP($AB547,sample!$1:$1048576,5,FALSE)</f>
        <v>#NAME?</v>
      </c>
      <c r="AL547" s="986" t="e">
        <f ca="1">VLOOKUP($AB547,sample!$1:$1048576,11,FALSE)</f>
        <v>#NAME?</v>
      </c>
      <c r="AM547" s="986" t="e">
        <f ca="1">VLOOKUP($AB547,sample!$1:$1048576,12,FALSE)</f>
        <v>#NAME?</v>
      </c>
      <c r="AN547" s="986" t="e">
        <f ca="1">VLOOKUP($AB547,sample!$1:$1048576,13,FALSE)</f>
        <v>#NAME?</v>
      </c>
      <c r="AP547" s="988"/>
    </row>
    <row r="548" spans="1:42">
      <c r="A548" s="909">
        <f t="shared" si="129"/>
        <v>2019200561</v>
      </c>
      <c r="B548" s="881">
        <v>44560</v>
      </c>
      <c r="C548" s="881" t="s">
        <v>133</v>
      </c>
      <c r="D548" s="1133" t="str">
        <f>IFERROR(VLOOKUP(G548,PosAggregate!$B$13:$B$89,1,FALSE),"")</f>
        <v>051915 KS</v>
      </c>
      <c r="E548" s="1013" t="e">
        <f ca="1">_xll.BDP(G548  &amp; " Equity", "ID_ISIN", "Fill", "")</f>
        <v>#NAME?</v>
      </c>
      <c r="F548" s="1006" t="str">
        <f t="shared" si="130"/>
        <v>YES</v>
      </c>
      <c r="G548" s="594" t="s">
        <v>12709</v>
      </c>
      <c r="I548" s="1007" t="e">
        <f ca="1">_xll.BDP(E548 &amp; " Equity","SECURITY_NAME")</f>
        <v>#NAME?</v>
      </c>
      <c r="J548" s="1007" t="e">
        <f ca="1">_xll.BDP(G548 &amp; " Equity","Crncy")</f>
        <v>#NAME?</v>
      </c>
      <c r="K548" s="963">
        <v>287617.5</v>
      </c>
      <c r="L548" s="963"/>
      <c r="M548" s="963">
        <v>1200</v>
      </c>
      <c r="N548" s="1009">
        <f t="shared" si="131"/>
        <v>-345141000</v>
      </c>
      <c r="O548" s="885">
        <v>-517712</v>
      </c>
      <c r="R548" s="982">
        <f t="shared" si="126"/>
        <v>-345658712</v>
      </c>
      <c r="S548" s="963">
        <v>1345.13</v>
      </c>
      <c r="T548" s="998">
        <f t="shared" si="128"/>
        <v>-256970.48761086288</v>
      </c>
      <c r="U548" s="716">
        <v>44562</v>
      </c>
      <c r="V548" s="594" t="s">
        <v>1114</v>
      </c>
      <c r="W548" s="914">
        <v>44526.514342939816</v>
      </c>
      <c r="X548" s="971">
        <f t="shared" si="125"/>
        <v>0.15000014486832919</v>
      </c>
      <c r="Y548" s="584" t="s">
        <v>1693</v>
      </c>
      <c r="Z548" s="988" t="e">
        <f ca="1">VLOOKUP(AA548,'place of settlement'!A:C,2,FALSE)</f>
        <v>#NAME?</v>
      </c>
      <c r="AA548" s="988" t="e">
        <f t="shared" ca="1" si="133"/>
        <v>#NAME?</v>
      </c>
      <c r="AB548" s="988" t="e">
        <f t="shared" ca="1" si="132"/>
        <v>#NAME?</v>
      </c>
      <c r="AC548" s="988" t="e">
        <f ca="1">VLOOKUP(AB548,sample!$1:$1048576,2,FALSE)</f>
        <v>#NAME?</v>
      </c>
      <c r="AD548" s="988" t="e">
        <f ca="1">VLOOKUP($AB548,sample!$1:$1048576,3,FALSE)</f>
        <v>#NAME?</v>
      </c>
      <c r="AE548" s="986" t="e">
        <f ca="1">VLOOKUP($AB548,sample!$1:$1048576,4,FALSE)</f>
        <v>#NAME?</v>
      </c>
      <c r="AF548" s="988" t="e">
        <f ca="1">VLOOKUP($AB548,sample!$1:$1048576,5,FALSE)</f>
        <v>#NAME?</v>
      </c>
      <c r="AL548" s="986" t="e">
        <f ca="1">VLOOKUP($AB548,sample!$1:$1048576,11,FALSE)</f>
        <v>#NAME?</v>
      </c>
      <c r="AM548" s="986" t="e">
        <f ca="1">VLOOKUP($AB548,sample!$1:$1048576,12,FALSE)</f>
        <v>#NAME?</v>
      </c>
      <c r="AN548" s="986" t="e">
        <f ca="1">VLOOKUP($AB548,sample!$1:$1048576,13,FALSE)</f>
        <v>#NAME?</v>
      </c>
      <c r="AP548" s="988"/>
    </row>
    <row r="549" spans="1:42">
      <c r="A549" s="909">
        <f t="shared" si="129"/>
        <v>2019200562</v>
      </c>
      <c r="B549" s="881">
        <v>44560</v>
      </c>
      <c r="C549" s="881" t="s">
        <v>133</v>
      </c>
      <c r="D549" s="1133" t="str">
        <f>IFERROR(VLOOKUP(G549,PosAggregate!$B$13:$B$89,1,FALSE),"")</f>
        <v>096775 KS</v>
      </c>
      <c r="E549" s="1013" t="e">
        <f ca="1">_xll.BDP(G549  &amp; " Equity", "ID_ISIN", "Fill", "")</f>
        <v>#NAME?</v>
      </c>
      <c r="F549" s="1006" t="str">
        <f t="shared" si="130"/>
        <v>YES</v>
      </c>
      <c r="G549" s="594" t="s">
        <v>12711</v>
      </c>
      <c r="I549" s="1007" t="e">
        <f ca="1">_xll.BDP(E549 &amp; " Equity","SECURITY_NAME")</f>
        <v>#NAME?</v>
      </c>
      <c r="J549" s="1007" t="e">
        <f ca="1">_xll.BDP(G549 &amp; " Equity","Crncy")</f>
        <v>#NAME?</v>
      </c>
      <c r="K549" s="963">
        <v>141118.39079999999</v>
      </c>
      <c r="L549" s="963"/>
      <c r="M549" s="963">
        <v>870</v>
      </c>
      <c r="N549" s="1009">
        <f t="shared" si="131"/>
        <v>-122772999.99599999</v>
      </c>
      <c r="O549" s="885">
        <v>-184160</v>
      </c>
      <c r="P549" s="885"/>
      <c r="R549" s="982">
        <f t="shared" si="126"/>
        <v>-122957159.99599999</v>
      </c>
      <c r="S549" s="963">
        <v>1345.13</v>
      </c>
      <c r="T549" s="998">
        <f t="shared" si="128"/>
        <v>-91409.127739326301</v>
      </c>
      <c r="U549" s="716">
        <v>44562</v>
      </c>
      <c r="V549" s="594" t="s">
        <v>1114</v>
      </c>
      <c r="W549" s="914">
        <v>44526.514342939816</v>
      </c>
      <c r="X549" s="971">
        <f t="shared" si="125"/>
        <v>0.15000040726055405</v>
      </c>
      <c r="Y549" s="584" t="s">
        <v>1693</v>
      </c>
      <c r="Z549" s="988" t="e">
        <f ca="1">VLOOKUP(AA549,'place of settlement'!A:C,2,FALSE)</f>
        <v>#NAME?</v>
      </c>
      <c r="AA549" s="988" t="e">
        <f t="shared" ca="1" si="133"/>
        <v>#NAME?</v>
      </c>
      <c r="AB549" s="988" t="e">
        <f t="shared" ca="1" si="132"/>
        <v>#NAME?</v>
      </c>
      <c r="AC549" s="988" t="e">
        <f ca="1">VLOOKUP(AB549,sample!$1:$1048576,2,FALSE)</f>
        <v>#NAME?</v>
      </c>
      <c r="AD549" s="988" t="e">
        <f ca="1">VLOOKUP($AB549,sample!$1:$1048576,3,FALSE)</f>
        <v>#NAME?</v>
      </c>
      <c r="AE549" s="986" t="e">
        <f ca="1">VLOOKUP($AB549,sample!$1:$1048576,4,FALSE)</f>
        <v>#NAME?</v>
      </c>
      <c r="AF549" s="988" t="e">
        <f ca="1">VLOOKUP($AB549,sample!$1:$1048576,5,FALSE)</f>
        <v>#NAME?</v>
      </c>
      <c r="AL549" s="986" t="e">
        <f ca="1">VLOOKUP($AB549,sample!$1:$1048576,11,FALSE)</f>
        <v>#NAME?</v>
      </c>
      <c r="AM549" s="986" t="e">
        <f ca="1">VLOOKUP($AB549,sample!$1:$1048576,12,FALSE)</f>
        <v>#NAME?</v>
      </c>
      <c r="AN549" s="986" t="e">
        <f ca="1">VLOOKUP($AB549,sample!$1:$1048576,13,FALSE)</f>
        <v>#NAME?</v>
      </c>
      <c r="AP549" s="988"/>
    </row>
    <row r="550" spans="1:42" s="584" customFormat="1">
      <c r="A550" s="911">
        <f t="shared" si="129"/>
        <v>2019200563</v>
      </c>
      <c r="B550" s="816">
        <v>44589</v>
      </c>
      <c r="C550" s="816" t="s">
        <v>133</v>
      </c>
      <c r="D550" s="1133" t="str">
        <f>IFERROR(VLOOKUP(G550,PosAggregate!$B$13:$B$89,1,FALSE),"")</f>
        <v>051915 KS</v>
      </c>
      <c r="E550" s="1013" t="e">
        <f ca="1">_xll.BDP(G550  &amp; " Equity", "ID_ISIN", "Fill", "")</f>
        <v>#NAME?</v>
      </c>
      <c r="F550" s="1106" t="str">
        <f t="shared" si="130"/>
        <v>YES</v>
      </c>
      <c r="G550" s="561" t="s">
        <v>12709</v>
      </c>
      <c r="I550" s="1107" t="e">
        <f ca="1">_xll.BDP(E550 &amp; " Equity","SECURITY_NAME")</f>
        <v>#NAME?</v>
      </c>
      <c r="J550" s="1107" t="e">
        <f ca="1">_xll.BDP(G550 &amp; " Equity","Crncy")</f>
        <v>#NAME?</v>
      </c>
      <c r="K550" s="1108">
        <v>303643.92859999998</v>
      </c>
      <c r="L550" s="817"/>
      <c r="M550" s="1108">
        <v>1400</v>
      </c>
      <c r="N550" s="985">
        <f t="shared" si="131"/>
        <v>-425101500.03999996</v>
      </c>
      <c r="O550" s="817">
        <v>-637652</v>
      </c>
      <c r="P550" s="817"/>
      <c r="R550" s="982">
        <f t="shared" si="126"/>
        <v>-425739152.03999996</v>
      </c>
      <c r="S550" s="1115">
        <v>1377.4643000000001</v>
      </c>
      <c r="T550" s="998">
        <f t="shared" si="128"/>
        <v>-309074.54519147967</v>
      </c>
      <c r="U550" s="584">
        <v>44596</v>
      </c>
      <c r="V550" s="561" t="s">
        <v>1114</v>
      </c>
      <c r="W550" s="819">
        <v>44589.305020370368</v>
      </c>
      <c r="X550" s="971">
        <f t="shared" si="125"/>
        <v>0.14999994117640142</v>
      </c>
      <c r="Y550" s="584" t="s">
        <v>1693</v>
      </c>
      <c r="Z550" s="988" t="e">
        <f ca="1">VLOOKUP(AA550,'place of settlement'!A:C,2,FALSE)</f>
        <v>#NAME?</v>
      </c>
      <c r="AA550" s="988" t="e">
        <f t="shared" ca="1" si="133"/>
        <v>#NAME?</v>
      </c>
      <c r="AB550" s="988" t="e">
        <f t="shared" ca="1" si="132"/>
        <v>#NAME?</v>
      </c>
      <c r="AC550" s="988" t="e">
        <f ca="1">VLOOKUP(AB550,sample!$1:$1048576,2,FALSE)</f>
        <v>#NAME?</v>
      </c>
      <c r="AD550" s="988" t="e">
        <f ca="1">VLOOKUP($AB550,sample!$1:$1048576,3,FALSE)</f>
        <v>#NAME?</v>
      </c>
      <c r="AE550" s="986" t="e">
        <f ca="1">VLOOKUP($AB550,sample!$1:$1048576,4,FALSE)</f>
        <v>#NAME?</v>
      </c>
      <c r="AF550" s="988" t="e">
        <f ca="1">VLOOKUP($AB550,sample!$1:$1048576,5,FALSE)</f>
        <v>#NAME?</v>
      </c>
      <c r="AL550" s="986" t="e">
        <f ca="1">VLOOKUP($AB550,sample!$1:$1048576,11,FALSE)</f>
        <v>#NAME?</v>
      </c>
      <c r="AM550" s="986" t="e">
        <f ca="1">VLOOKUP($AB550,sample!$1:$1048576,12,FALSE)</f>
        <v>#NAME?</v>
      </c>
      <c r="AN550" s="986" t="e">
        <f ca="1">VLOOKUP($AB550,sample!$1:$1048576,13,FALSE)</f>
        <v>#NAME?</v>
      </c>
      <c r="AP550" s="988"/>
    </row>
    <row r="551" spans="1:42" s="584" customFormat="1">
      <c r="A551" s="911">
        <f t="shared" si="129"/>
        <v>2019200564</v>
      </c>
      <c r="B551" s="816">
        <v>44589</v>
      </c>
      <c r="C551" s="816" t="s">
        <v>133</v>
      </c>
      <c r="D551" s="1133" t="str">
        <f>IFERROR(VLOOKUP(G551,PosAggregate!$B$13:$B$89,1,FALSE),"")</f>
        <v>096775 KS</v>
      </c>
      <c r="E551" s="1013" t="e">
        <f ca="1">_xll.BDP(G551  &amp; " Equity", "ID_ISIN", "Fill", "")</f>
        <v>#NAME?</v>
      </c>
      <c r="F551" s="1106" t="str">
        <f t="shared" si="130"/>
        <v>YES</v>
      </c>
      <c r="G551" s="561" t="s">
        <v>12711</v>
      </c>
      <c r="I551" s="1107" t="e">
        <f ca="1">_xll.BDP(E551 &amp; " Equity","SECURITY_NAME")</f>
        <v>#NAME?</v>
      </c>
      <c r="J551" s="1107" t="e">
        <f ca="1">_xll.BDP(G551 &amp; " Equity","Crncy")</f>
        <v>#NAME?</v>
      </c>
      <c r="K551" s="1108">
        <v>125323.18180000001</v>
      </c>
      <c r="L551" s="817"/>
      <c r="M551" s="1108">
        <v>1100</v>
      </c>
      <c r="N551" s="985">
        <f t="shared" si="131"/>
        <v>-137855499.98000002</v>
      </c>
      <c r="O551" s="817">
        <v>-206783</v>
      </c>
      <c r="P551" s="817"/>
      <c r="R551" s="982">
        <f t="shared" si="126"/>
        <v>-138062282.98000002</v>
      </c>
      <c r="S551" s="1115">
        <v>1377.4643000000001</v>
      </c>
      <c r="T551" s="998">
        <f t="shared" si="128"/>
        <v>-100229.30030201147</v>
      </c>
      <c r="U551" s="584">
        <v>44596</v>
      </c>
      <c r="V551" s="561" t="s">
        <v>1114</v>
      </c>
      <c r="W551" s="819">
        <v>44589.305552662037</v>
      </c>
      <c r="X551" s="971">
        <f t="shared" si="125"/>
        <v>0.14999981867245046</v>
      </c>
      <c r="Y551" s="584" t="s">
        <v>1693</v>
      </c>
      <c r="Z551" s="988" t="e">
        <f ca="1">VLOOKUP(AA551,'place of settlement'!A:C,2,FALSE)</f>
        <v>#NAME?</v>
      </c>
      <c r="AA551" s="988" t="e">
        <f t="shared" ca="1" si="133"/>
        <v>#NAME?</v>
      </c>
      <c r="AB551" s="988" t="e">
        <f t="shared" ca="1" si="132"/>
        <v>#NAME?</v>
      </c>
      <c r="AC551" s="988" t="e">
        <f ca="1">VLOOKUP(AB551,sample!$1:$1048576,2,FALSE)</f>
        <v>#NAME?</v>
      </c>
      <c r="AD551" s="988" t="e">
        <f ca="1">VLOOKUP($AB551,sample!$1:$1048576,3,FALSE)</f>
        <v>#NAME?</v>
      </c>
      <c r="AE551" s="986" t="e">
        <f ca="1">VLOOKUP($AB551,sample!$1:$1048576,4,FALSE)</f>
        <v>#NAME?</v>
      </c>
      <c r="AF551" s="988" t="e">
        <f ca="1">VLOOKUP($AB551,sample!$1:$1048576,5,FALSE)</f>
        <v>#NAME?</v>
      </c>
      <c r="AL551" s="986" t="e">
        <f ca="1">VLOOKUP($AB551,sample!$1:$1048576,11,FALSE)</f>
        <v>#NAME?</v>
      </c>
      <c r="AM551" s="986" t="e">
        <f ca="1">VLOOKUP($AB551,sample!$1:$1048576,12,FALSE)</f>
        <v>#NAME?</v>
      </c>
      <c r="AN551" s="986" t="e">
        <f ca="1">VLOOKUP($AB551,sample!$1:$1048576,13,FALSE)</f>
        <v>#NAME?</v>
      </c>
      <c r="AP551" s="988"/>
    </row>
    <row r="552" spans="1:42" s="584" customFormat="1">
      <c r="A552" s="911">
        <f t="shared" si="129"/>
        <v>2019200565</v>
      </c>
      <c r="B552" s="816">
        <v>44589</v>
      </c>
      <c r="C552" s="816" t="s">
        <v>133</v>
      </c>
      <c r="D552" s="1133" t="str">
        <f>IFERROR(VLOOKUP(G552,PosAggregate!$B$13:$B$89,1,FALSE),"")</f>
        <v>005490 KS</v>
      </c>
      <c r="E552" s="1013" t="e">
        <f ca="1">_xll.BDP(G552  &amp; " Equity", "ID_ISIN", "Fill", "")</f>
        <v>#NAME?</v>
      </c>
      <c r="F552" s="1106" t="str">
        <f t="shared" si="130"/>
        <v>YES</v>
      </c>
      <c r="G552" s="561" t="s">
        <v>12723</v>
      </c>
      <c r="I552" s="1107" t="e">
        <f ca="1">_xll.BDP(E552 &amp; " Equity","SECURITY_NAME")</f>
        <v>#NAME?</v>
      </c>
      <c r="J552" s="1107" t="e">
        <f ca="1">_xll.BDP(G552 &amp; " Equity","Crncy")</f>
        <v>#NAME?</v>
      </c>
      <c r="K552" s="1108">
        <v>260698.90280000001</v>
      </c>
      <c r="L552" s="817"/>
      <c r="M552" s="1108">
        <v>1110</v>
      </c>
      <c r="N552" s="985">
        <f t="shared" si="131"/>
        <v>-289375782.10800004</v>
      </c>
      <c r="O552" s="817">
        <v>-434064</v>
      </c>
      <c r="P552" s="817"/>
      <c r="R552" s="982">
        <f t="shared" si="126"/>
        <v>-289809846.10800004</v>
      </c>
      <c r="S552" s="1115">
        <v>1377.4643000000001</v>
      </c>
      <c r="T552" s="998">
        <f t="shared" si="128"/>
        <v>-210393.72570889859</v>
      </c>
      <c r="U552" s="584">
        <v>44596</v>
      </c>
      <c r="V552" s="561" t="s">
        <v>1114</v>
      </c>
      <c r="W552" s="819">
        <v>44589.307017476851</v>
      </c>
      <c r="X552" s="971">
        <f t="shared" ref="X552:X608" si="134">+O552/N552*100</f>
        <v>0.15000011294587182</v>
      </c>
      <c r="Y552" s="584" t="s">
        <v>1693</v>
      </c>
      <c r="Z552" s="988" t="e">
        <f ca="1">VLOOKUP(AA552,'place of settlement'!A:C,2,FALSE)</f>
        <v>#NAME?</v>
      </c>
      <c r="AA552" s="988" t="e">
        <f t="shared" ca="1" si="133"/>
        <v>#NAME?</v>
      </c>
      <c r="AB552" s="988" t="e">
        <f t="shared" ca="1" si="132"/>
        <v>#NAME?</v>
      </c>
      <c r="AC552" s="988" t="e">
        <f ca="1">VLOOKUP(AB552,sample!$1:$1048576,2,FALSE)</f>
        <v>#NAME?</v>
      </c>
      <c r="AD552" s="988" t="e">
        <f ca="1">VLOOKUP($AB552,sample!$1:$1048576,3,FALSE)</f>
        <v>#NAME?</v>
      </c>
      <c r="AE552" s="986" t="e">
        <f ca="1">VLOOKUP($AB552,sample!$1:$1048576,4,FALSE)</f>
        <v>#NAME?</v>
      </c>
      <c r="AF552" s="988" t="e">
        <f ca="1">VLOOKUP($AB552,sample!$1:$1048576,5,FALSE)</f>
        <v>#NAME?</v>
      </c>
      <c r="AL552" s="986" t="e">
        <f ca="1">VLOOKUP($AB552,sample!$1:$1048576,11,FALSE)</f>
        <v>#NAME?</v>
      </c>
      <c r="AM552" s="986" t="e">
        <f ca="1">VLOOKUP($AB552,sample!$1:$1048576,12,FALSE)</f>
        <v>#NAME?</v>
      </c>
      <c r="AN552" s="986" t="e">
        <f ca="1">VLOOKUP($AB552,sample!$1:$1048576,13,FALSE)</f>
        <v>#NAME?</v>
      </c>
      <c r="AP552" s="988"/>
    </row>
    <row r="553" spans="1:42" s="584" customFormat="1">
      <c r="A553" s="911">
        <f t="shared" si="129"/>
        <v>2019200566</v>
      </c>
      <c r="B553" s="816">
        <v>44589</v>
      </c>
      <c r="C553" s="816" t="s">
        <v>133</v>
      </c>
      <c r="D553" s="1133" t="str">
        <f>IFERROR(VLOOKUP(G553,PosAggregate!$B$13:$B$89,1,FALSE),"")</f>
        <v>036830 KS</v>
      </c>
      <c r="E553" s="1013" t="e">
        <f ca="1">_xll.BDP(G553  &amp; " Equity", "ID_ISIN", "Fill", "")</f>
        <v>#NAME?</v>
      </c>
      <c r="F553" s="1106" t="str">
        <f t="shared" si="130"/>
        <v>YES</v>
      </c>
      <c r="G553" s="561" t="s">
        <v>12879</v>
      </c>
      <c r="I553" s="1107" t="e">
        <f ca="1">_xll.BDP(E553 &amp; " Equity","SECURITY_NAME")</f>
        <v>#NAME?</v>
      </c>
      <c r="J553" s="1107" t="e">
        <f ca="1">_xll.BDP(G553 &amp; " Equity","Crncy")</f>
        <v>#NAME?</v>
      </c>
      <c r="K553" s="1108">
        <v>28133.476200000001</v>
      </c>
      <c r="L553" s="817"/>
      <c r="M553" s="1108">
        <v>4200</v>
      </c>
      <c r="N553" s="985">
        <f t="shared" si="131"/>
        <v>-118160600.04000001</v>
      </c>
      <c r="O553" s="817">
        <v>-177241</v>
      </c>
      <c r="P553" s="817"/>
      <c r="R553" s="982">
        <f t="shared" si="126"/>
        <v>-118337841.04000001</v>
      </c>
      <c r="S553" s="1115">
        <v>1377.4643000000001</v>
      </c>
      <c r="T553" s="998">
        <f t="shared" si="128"/>
        <v>-85909.915080920793</v>
      </c>
      <c r="U553" s="584">
        <v>44596</v>
      </c>
      <c r="V553" s="561" t="s">
        <v>1114</v>
      </c>
      <c r="W553" s="819">
        <v>44589.307465046295</v>
      </c>
      <c r="X553" s="971">
        <f t="shared" si="134"/>
        <v>0.15000008457980069</v>
      </c>
      <c r="Y553" s="584" t="s">
        <v>1693</v>
      </c>
      <c r="Z553" s="988" t="e">
        <f ca="1">VLOOKUP(AA553,'place of settlement'!A:C,2,FALSE)</f>
        <v>#NAME?</v>
      </c>
      <c r="AA553" s="988" t="e">
        <f t="shared" ca="1" si="133"/>
        <v>#NAME?</v>
      </c>
      <c r="AB553" s="988" t="e">
        <f t="shared" ca="1" si="132"/>
        <v>#NAME?</v>
      </c>
      <c r="AC553" s="988" t="e">
        <f ca="1">VLOOKUP(AB553,sample!$1:$1048576,2,FALSE)</f>
        <v>#NAME?</v>
      </c>
      <c r="AD553" s="988" t="e">
        <f ca="1">VLOOKUP($AB553,sample!$1:$1048576,3,FALSE)</f>
        <v>#NAME?</v>
      </c>
      <c r="AE553" s="986" t="e">
        <f ca="1">VLOOKUP($AB553,sample!$1:$1048576,4,FALSE)</f>
        <v>#NAME?</v>
      </c>
      <c r="AF553" s="988" t="e">
        <f ca="1">VLOOKUP($AB553,sample!$1:$1048576,5,FALSE)</f>
        <v>#NAME?</v>
      </c>
      <c r="AL553" s="986" t="e">
        <f ca="1">VLOOKUP($AB553,sample!$1:$1048576,11,FALSE)</f>
        <v>#NAME?</v>
      </c>
      <c r="AM553" s="986" t="e">
        <f ca="1">VLOOKUP($AB553,sample!$1:$1048576,12,FALSE)</f>
        <v>#NAME?</v>
      </c>
      <c r="AN553" s="986" t="e">
        <f ca="1">VLOOKUP($AB553,sample!$1:$1048576,13,FALSE)</f>
        <v>#NAME?</v>
      </c>
      <c r="AP553" s="988"/>
    </row>
    <row r="554" spans="1:42" s="584" customFormat="1">
      <c r="A554" s="911">
        <f t="shared" si="129"/>
        <v>2019200567</v>
      </c>
      <c r="B554" s="816">
        <v>44589</v>
      </c>
      <c r="C554" s="816" t="s">
        <v>134</v>
      </c>
      <c r="D554" s="561" t="s">
        <v>12750</v>
      </c>
      <c r="E554" s="1013" t="e">
        <f ca="1">_xll.BDP(G554  &amp; " Equity", "ID_ISIN", "Fill", "")</f>
        <v>#NAME?</v>
      </c>
      <c r="F554" s="1106" t="str">
        <f t="shared" si="130"/>
        <v>YES</v>
      </c>
      <c r="G554" s="561" t="s">
        <v>12750</v>
      </c>
      <c r="I554" s="1107" t="e">
        <f ca="1">_xll.BDP(E554 &amp; " Equity","SECURITY_NAME")</f>
        <v>#NAME?</v>
      </c>
      <c r="J554" s="1107" t="e">
        <f ca="1">_xll.BDP(G554 &amp; " Equity","Crncy")</f>
        <v>#NAME?</v>
      </c>
      <c r="K554" s="1108">
        <v>3547.8731339999999</v>
      </c>
      <c r="L554" s="817"/>
      <c r="M554" s="1108">
        <v>-6700</v>
      </c>
      <c r="N554" s="985">
        <f t="shared" si="131"/>
        <v>23770749.9978</v>
      </c>
      <c r="O554" s="817">
        <v>-14262</v>
      </c>
      <c r="P554" s="817"/>
      <c r="R554" s="982">
        <f t="shared" ref="R554:R610" si="135">SUM(N554:Q554)</f>
        <v>23756487.9978</v>
      </c>
      <c r="S554" s="1108">
        <v>128.69</v>
      </c>
      <c r="T554" s="998">
        <f t="shared" si="128"/>
        <v>184602.43995493045</v>
      </c>
      <c r="U554" s="584">
        <v>44593</v>
      </c>
      <c r="V554" s="561" t="s">
        <v>1656</v>
      </c>
      <c r="W554" s="819">
        <v>44589.308799189814</v>
      </c>
      <c r="X554" s="971">
        <f t="shared" si="134"/>
        <v>-5.9998106922667382E-2</v>
      </c>
      <c r="Y554" s="584" t="s">
        <v>1693</v>
      </c>
      <c r="Z554" s="988" t="e">
        <f ca="1">VLOOKUP(AA554,'place of settlement'!A:C,2,FALSE)</f>
        <v>#NAME?</v>
      </c>
      <c r="AA554" s="988" t="e">
        <f t="shared" ca="1" si="133"/>
        <v>#NAME?</v>
      </c>
      <c r="AB554" s="988" t="e">
        <f t="shared" ca="1" si="132"/>
        <v>#NAME?</v>
      </c>
      <c r="AC554" s="988" t="e">
        <f ca="1">VLOOKUP(AB554,sample!$1:$1048576,2,FALSE)</f>
        <v>#NAME?</v>
      </c>
      <c r="AD554" s="988" t="e">
        <f ca="1">VLOOKUP($AB554,sample!$1:$1048576,3,FALSE)</f>
        <v>#NAME?</v>
      </c>
      <c r="AE554" s="986" t="e">
        <f ca="1">VLOOKUP($AB554,sample!$1:$1048576,4,FALSE)</f>
        <v>#NAME?</v>
      </c>
      <c r="AF554" s="988" t="e">
        <f ca="1">VLOOKUP($AB554,sample!$1:$1048576,5,FALSE)</f>
        <v>#NAME?</v>
      </c>
      <c r="AL554" s="986" t="e">
        <f ca="1">VLOOKUP($AB554,sample!$1:$1048576,11,FALSE)</f>
        <v>#NAME?</v>
      </c>
      <c r="AM554" s="986" t="e">
        <f ca="1">VLOOKUP($AB554,sample!$1:$1048576,12,FALSE)</f>
        <v>#NAME?</v>
      </c>
      <c r="AN554" s="986" t="e">
        <f ca="1">VLOOKUP($AB554,sample!$1:$1048576,13,FALSE)</f>
        <v>#NAME?</v>
      </c>
      <c r="AP554" s="988"/>
    </row>
    <row r="555" spans="1:42" s="584" customFormat="1">
      <c r="A555" s="911">
        <f t="shared" si="129"/>
        <v>2019200568</v>
      </c>
      <c r="B555" s="816">
        <v>44589</v>
      </c>
      <c r="C555" s="816" t="s">
        <v>134</v>
      </c>
      <c r="D555" s="561" t="s">
        <v>12721</v>
      </c>
      <c r="E555" s="1013" t="e">
        <f ca="1">_xll.BDP(G555  &amp; " Equity", "ID_ISIN", "Fill", "")</f>
        <v>#NAME?</v>
      </c>
      <c r="F555" s="1106" t="str">
        <f t="shared" si="130"/>
        <v>YES</v>
      </c>
      <c r="G555" s="561" t="s">
        <v>12721</v>
      </c>
      <c r="I555" s="1107" t="e">
        <f ca="1">_xll.BDP(E555 &amp; " Equity","SECURITY_NAME")</f>
        <v>#NAME?</v>
      </c>
      <c r="J555" s="1107" t="e">
        <f ca="1">_xll.BDP(G555 &amp; " Equity","Crncy")</f>
        <v>#NAME?</v>
      </c>
      <c r="K555" s="1108">
        <v>3.4416289999999998</v>
      </c>
      <c r="L555" s="817"/>
      <c r="M555" s="1108">
        <v>-110000</v>
      </c>
      <c r="N555" s="985">
        <f t="shared" si="131"/>
        <v>378579.19</v>
      </c>
      <c r="O555" s="817">
        <v>-227.15</v>
      </c>
      <c r="P555" s="817"/>
      <c r="R555" s="982">
        <f t="shared" si="135"/>
        <v>378352.04</v>
      </c>
      <c r="S555" s="1108">
        <v>1.5851500000000001</v>
      </c>
      <c r="T555" s="998">
        <f t="shared" si="128"/>
        <v>238685.32315553731</v>
      </c>
      <c r="U555" s="584">
        <v>44593</v>
      </c>
      <c r="V555" s="561" t="s">
        <v>1656</v>
      </c>
      <c r="W555" s="819">
        <v>44589.313274305554</v>
      </c>
      <c r="X555" s="971">
        <f t="shared" si="134"/>
        <v>-6.0000656665782401E-2</v>
      </c>
      <c r="Y555" s="584" t="s">
        <v>1693</v>
      </c>
      <c r="Z555" s="988" t="e">
        <f ca="1">VLOOKUP(AA555,'place of settlement'!A:C,2,FALSE)</f>
        <v>#NAME?</v>
      </c>
      <c r="AA555" s="988" t="e">
        <f t="shared" ca="1" si="133"/>
        <v>#NAME?</v>
      </c>
      <c r="AB555" s="988" t="e">
        <f t="shared" ca="1" si="132"/>
        <v>#NAME?</v>
      </c>
      <c r="AC555" s="988" t="e">
        <f ca="1">VLOOKUP(AB555,sample!$1:$1048576,2,FALSE)</f>
        <v>#NAME?</v>
      </c>
      <c r="AD555" s="988" t="e">
        <f ca="1">VLOOKUP($AB555,sample!$1:$1048576,3,FALSE)</f>
        <v>#NAME?</v>
      </c>
      <c r="AE555" s="986" t="e">
        <f ca="1">VLOOKUP($AB555,sample!$1:$1048576,4,FALSE)</f>
        <v>#NAME?</v>
      </c>
      <c r="AF555" s="988" t="e">
        <f ca="1">VLOOKUP($AB555,sample!$1:$1048576,5,FALSE)</f>
        <v>#NAME?</v>
      </c>
      <c r="AL555" s="986" t="e">
        <f ca="1">VLOOKUP($AB555,sample!$1:$1048576,11,FALSE)</f>
        <v>#NAME?</v>
      </c>
      <c r="AM555" s="986" t="e">
        <f ca="1">VLOOKUP($AB555,sample!$1:$1048576,12,FALSE)</f>
        <v>#NAME?</v>
      </c>
      <c r="AN555" s="986" t="e">
        <f ca="1">VLOOKUP($AB555,sample!$1:$1048576,13,FALSE)</f>
        <v>#NAME?</v>
      </c>
      <c r="AP555" s="988"/>
    </row>
    <row r="556" spans="1:42" s="584" customFormat="1">
      <c r="A556" s="911">
        <f t="shared" si="129"/>
        <v>2019200569</v>
      </c>
      <c r="B556" s="816">
        <v>44589</v>
      </c>
      <c r="C556" s="816" t="s">
        <v>133</v>
      </c>
      <c r="D556" s="1133" t="str">
        <f>IFERROR(VLOOKUP(G556,PosAggregate!$B$13:$B$89,1,FALSE),"")</f>
        <v>6762 JP</v>
      </c>
      <c r="E556" s="1013" t="e">
        <f ca="1">_xll.BDP(G556  &amp; " Equity", "ID_ISIN", "Fill", "")</f>
        <v>#NAME?</v>
      </c>
      <c r="F556" s="1106" t="str">
        <f t="shared" si="130"/>
        <v>YES</v>
      </c>
      <c r="G556" s="561" t="s">
        <v>12860</v>
      </c>
      <c r="I556" s="1107" t="e">
        <f ca="1">_xll.BDP(E556 &amp; " Equity","SECURITY_NAME")</f>
        <v>#NAME?</v>
      </c>
      <c r="J556" s="1107" t="e">
        <f ca="1">_xll.BDP(G556 &amp; " Equity","Crncy")</f>
        <v>#NAME?</v>
      </c>
      <c r="K556" s="1108">
        <v>3835</v>
      </c>
      <c r="L556" s="817"/>
      <c r="M556" s="1108">
        <v>4300</v>
      </c>
      <c r="N556" s="985">
        <f t="shared" si="131"/>
        <v>-16490500</v>
      </c>
      <c r="O556" s="817">
        <v>-9894</v>
      </c>
      <c r="P556" s="817"/>
      <c r="R556" s="982">
        <f t="shared" si="135"/>
        <v>-16500394</v>
      </c>
      <c r="S556" s="1108">
        <v>128.69</v>
      </c>
      <c r="T556" s="998">
        <f t="shared" si="128"/>
        <v>-128218.1521485741</v>
      </c>
      <c r="U556" s="584">
        <v>44593</v>
      </c>
      <c r="V556" s="561" t="s">
        <v>1656</v>
      </c>
      <c r="W556" s="819">
        <v>44589.313929976852</v>
      </c>
      <c r="X556" s="971">
        <f t="shared" si="134"/>
        <v>5.9998180770746791E-2</v>
      </c>
      <c r="Y556" s="584" t="s">
        <v>1693</v>
      </c>
      <c r="Z556" s="988" t="e">
        <f ca="1">VLOOKUP(AA556,'place of settlement'!A:C,2,FALSE)</f>
        <v>#NAME?</v>
      </c>
      <c r="AA556" s="988" t="e">
        <f t="shared" ca="1" si="133"/>
        <v>#NAME?</v>
      </c>
      <c r="AB556" s="988" t="e">
        <f t="shared" ca="1" si="132"/>
        <v>#NAME?</v>
      </c>
      <c r="AC556" s="988" t="e">
        <f ca="1">VLOOKUP(AB556,sample!$1:$1048576,2,FALSE)</f>
        <v>#NAME?</v>
      </c>
      <c r="AD556" s="988" t="e">
        <f ca="1">VLOOKUP($AB556,sample!$1:$1048576,3,FALSE)</f>
        <v>#NAME?</v>
      </c>
      <c r="AE556" s="986" t="e">
        <f ca="1">VLOOKUP($AB556,sample!$1:$1048576,4,FALSE)</f>
        <v>#NAME?</v>
      </c>
      <c r="AF556" s="988" t="e">
        <f ca="1">VLOOKUP($AB556,sample!$1:$1048576,5,FALSE)</f>
        <v>#NAME?</v>
      </c>
      <c r="AL556" s="986" t="e">
        <f ca="1">VLOOKUP($AB556,sample!$1:$1048576,11,FALSE)</f>
        <v>#NAME?</v>
      </c>
      <c r="AM556" s="986" t="e">
        <f ca="1">VLOOKUP($AB556,sample!$1:$1048576,12,FALSE)</f>
        <v>#NAME?</v>
      </c>
      <c r="AN556" s="986" t="e">
        <f ca="1">VLOOKUP($AB556,sample!$1:$1048576,13,FALSE)</f>
        <v>#NAME?</v>
      </c>
      <c r="AP556" s="988"/>
    </row>
    <row r="557" spans="1:42" s="584" customFormat="1">
      <c r="A557" s="911">
        <f t="shared" si="129"/>
        <v>2019200570</v>
      </c>
      <c r="B557" s="816">
        <v>44589</v>
      </c>
      <c r="C557" s="816" t="s">
        <v>133</v>
      </c>
      <c r="D557" s="1133" t="str">
        <f>IFERROR(VLOOKUP(G557,PosAggregate!$B$13:$B$89,1,FALSE),"")</f>
        <v>4092 JP</v>
      </c>
      <c r="E557" s="1013" t="e">
        <f ca="1">_xll.BDP(G557  &amp; " Equity", "ID_ISIN", "Fill", "")</f>
        <v>#NAME?</v>
      </c>
      <c r="F557" s="1106" t="str">
        <f t="shared" si="130"/>
        <v>YES</v>
      </c>
      <c r="G557" s="561" t="s">
        <v>12729</v>
      </c>
      <c r="I557" s="1107" t="e">
        <f ca="1">_xll.BDP(E557 &amp; " Equity","SECURITY_NAME")</f>
        <v>#NAME?</v>
      </c>
      <c r="J557" s="1107" t="e">
        <f ca="1">_xll.BDP(G557 &amp; " Equity","Crncy")</f>
        <v>#NAME?</v>
      </c>
      <c r="K557" s="1108">
        <v>2562.6</v>
      </c>
      <c r="L557" s="817"/>
      <c r="M557" s="1108">
        <v>5000</v>
      </c>
      <c r="N557" s="985">
        <f t="shared" si="131"/>
        <v>-12813000</v>
      </c>
      <c r="O557" s="817">
        <v>-7688</v>
      </c>
      <c r="P557" s="817"/>
      <c r="R557" s="982">
        <f t="shared" si="135"/>
        <v>-12820688</v>
      </c>
      <c r="S557" s="1108">
        <v>128.69</v>
      </c>
      <c r="T557" s="998">
        <f t="shared" si="128"/>
        <v>-99624.586214935116</v>
      </c>
      <c r="U557" s="584">
        <v>44593</v>
      </c>
      <c r="V557" s="561" t="s">
        <v>1656</v>
      </c>
      <c r="W557" s="819">
        <v>44589.314483333335</v>
      </c>
      <c r="X557" s="971">
        <f t="shared" si="134"/>
        <v>6.0001560914696016E-2</v>
      </c>
      <c r="Y557" s="584" t="s">
        <v>1693</v>
      </c>
      <c r="Z557" s="988" t="e">
        <f ca="1">VLOOKUP(AA557,'place of settlement'!A:C,2,FALSE)</f>
        <v>#NAME?</v>
      </c>
      <c r="AA557" s="988" t="e">
        <f t="shared" ca="1" si="133"/>
        <v>#NAME?</v>
      </c>
      <c r="AB557" s="988" t="e">
        <f t="shared" ca="1" si="132"/>
        <v>#NAME?</v>
      </c>
      <c r="AC557" s="988" t="e">
        <f ca="1">VLOOKUP(AB557,sample!$1:$1048576,2,FALSE)</f>
        <v>#NAME?</v>
      </c>
      <c r="AD557" s="988" t="e">
        <f ca="1">VLOOKUP($AB557,sample!$1:$1048576,3,FALSE)</f>
        <v>#NAME?</v>
      </c>
      <c r="AE557" s="986" t="e">
        <f ca="1">VLOOKUP($AB557,sample!$1:$1048576,4,FALSE)</f>
        <v>#NAME?</v>
      </c>
      <c r="AF557" s="988" t="e">
        <f ca="1">VLOOKUP($AB557,sample!$1:$1048576,5,FALSE)</f>
        <v>#NAME?</v>
      </c>
      <c r="AL557" s="986" t="e">
        <f ca="1">VLOOKUP($AB557,sample!$1:$1048576,11,FALSE)</f>
        <v>#NAME?</v>
      </c>
      <c r="AM557" s="986" t="e">
        <f ca="1">VLOOKUP($AB557,sample!$1:$1048576,12,FALSE)</f>
        <v>#NAME?</v>
      </c>
      <c r="AN557" s="986" t="e">
        <f ca="1">VLOOKUP($AB557,sample!$1:$1048576,13,FALSE)</f>
        <v>#NAME?</v>
      </c>
      <c r="AP557" s="988"/>
    </row>
    <row r="558" spans="1:42" s="584" customFormat="1">
      <c r="A558" s="911">
        <f t="shared" si="129"/>
        <v>2019200571</v>
      </c>
      <c r="B558" s="816">
        <v>44588</v>
      </c>
      <c r="C558" s="816" t="s">
        <v>134</v>
      </c>
      <c r="D558" s="1133" t="str">
        <f>IFERROR(VLOOKUP(G558,PosAggregate!$B$13:$B$89,1,FALSE),"")</f>
        <v>RNO FP</v>
      </c>
      <c r="E558" s="1013" t="e">
        <f ca="1">_xll.BDP(G558  &amp; " Equity", "ID_ISIN", "Fill", "")</f>
        <v>#NAME?</v>
      </c>
      <c r="F558" s="1106" t="str">
        <f t="shared" si="130"/>
        <v>YES</v>
      </c>
      <c r="G558" s="561" t="s">
        <v>12716</v>
      </c>
      <c r="I558" s="1107" t="e">
        <f ca="1">_xll.BDP(E558 &amp; " Equity","SECURITY_NAME")</f>
        <v>#NAME?</v>
      </c>
      <c r="J558" s="1107" t="e">
        <f ca="1">_xll.BDP(G558 &amp; " Equity","Crncy")</f>
        <v>#NAME?</v>
      </c>
      <c r="K558" s="1108">
        <v>36.64</v>
      </c>
      <c r="L558" s="1108"/>
      <c r="M558" s="1108">
        <v>-6900</v>
      </c>
      <c r="N558" s="985">
        <f t="shared" si="131"/>
        <v>252816</v>
      </c>
      <c r="O558" s="817">
        <v>-151.69</v>
      </c>
      <c r="P558" s="817"/>
      <c r="R558" s="982">
        <f t="shared" si="135"/>
        <v>252664.31</v>
      </c>
      <c r="S558" s="1108">
        <v>1</v>
      </c>
      <c r="T558" s="998">
        <f t="shared" si="128"/>
        <v>252664.31</v>
      </c>
      <c r="U558" s="584">
        <v>44592</v>
      </c>
      <c r="V558" s="561" t="s">
        <v>1111</v>
      </c>
      <c r="W558" s="819">
        <v>44589.319380208333</v>
      </c>
      <c r="X558" s="971">
        <f t="shared" si="134"/>
        <v>-6.0000158217834318E-2</v>
      </c>
      <c r="Y558" s="584" t="s">
        <v>1693</v>
      </c>
      <c r="Z558" s="988" t="e">
        <f ca="1">VLOOKUP(AA558,'place of settlement'!A:C,2,FALSE)</f>
        <v>#NAME?</v>
      </c>
      <c r="AA558" s="988" t="e">
        <f t="shared" ca="1" si="133"/>
        <v>#NAME?</v>
      </c>
      <c r="AB558" s="988" t="s">
        <v>1806</v>
      </c>
      <c r="AC558" s="988" t="str">
        <f>VLOOKUP(AB558,sample!$1:$1048576,2,FALSE)</f>
        <v>EMSIITM1XXX</v>
      </c>
      <c r="AD558" s="988" t="str">
        <f>VLOOKUP($AB558,sample!$1:$1048576,3,FALSE)</f>
        <v>SICVFRPPXXX</v>
      </c>
      <c r="AE558" s="986" t="str">
        <f>VLOOKUP($AB558,sample!$1:$1048576,4,FALSE)</f>
        <v>SICVBCITITMMD00000L10</v>
      </c>
      <c r="AF558" s="988" t="str">
        <f>VLOOKUP($AB558,sample!$1:$1048576,5,FALSE)</f>
        <v>N</v>
      </c>
      <c r="AL558" s="986" t="str">
        <f>VLOOKUP($AB558,sample!$1:$1048576,11,FALSE)</f>
        <v xml:space="preserve">        </v>
      </c>
      <c r="AM558" s="986" t="str">
        <f>VLOOKUP($AB558,sample!$1:$1048576,12,FALSE)</f>
        <v xml:space="preserve">        </v>
      </c>
      <c r="AN558" s="986" t="str">
        <f>VLOOKUP($AB558,sample!$1:$1048576,13,FALSE)</f>
        <v>BCITITMMD00</v>
      </c>
      <c r="AP558" s="988"/>
    </row>
    <row r="559" spans="1:42" s="584" customFormat="1">
      <c r="A559" s="911">
        <f t="shared" si="129"/>
        <v>2019200572</v>
      </c>
      <c r="B559" s="816">
        <v>44594</v>
      </c>
      <c r="C559" s="816" t="s">
        <v>134</v>
      </c>
      <c r="D559" s="1133" t="str">
        <f>IFERROR(VLOOKUP(G559,PosAggregate!$B$13:$B$89,1,FALSE),"")</f>
        <v>EAF US</v>
      </c>
      <c r="E559" s="1013" t="e">
        <f ca="1">_xll.BDP(G559  &amp; " Equity", "ID_ISIN", "Fill", "")</f>
        <v>#NAME?</v>
      </c>
      <c r="F559" s="1106" t="str">
        <f t="shared" si="130"/>
        <v>YES</v>
      </c>
      <c r="G559" s="561" t="s">
        <v>12718</v>
      </c>
      <c r="I559" s="1107" t="e">
        <f ca="1">_xll.BDP(E559 &amp; " Equity","SECURITY_NAME")</f>
        <v>#NAME?</v>
      </c>
      <c r="J559" s="1107" t="e">
        <f ca="1">_xll.BDP(G559 &amp; " Equity","Crncy")</f>
        <v>#NAME?</v>
      </c>
      <c r="K559" s="1108">
        <v>11.3</v>
      </c>
      <c r="L559" s="1108"/>
      <c r="M559" s="1108">
        <v>-500</v>
      </c>
      <c r="N559" s="985">
        <f t="shared" si="131"/>
        <v>5650</v>
      </c>
      <c r="O559" s="817">
        <v>-2.86</v>
      </c>
      <c r="P559" s="817"/>
      <c r="R559" s="982">
        <f t="shared" si="135"/>
        <v>5647.14</v>
      </c>
      <c r="S559" s="1108">
        <v>1.1305000000000001</v>
      </c>
      <c r="T559" s="998">
        <f t="shared" si="128"/>
        <v>4995.2587350729764</v>
      </c>
      <c r="U559" s="584">
        <v>44596</v>
      </c>
      <c r="V559" s="561" t="s">
        <v>1656</v>
      </c>
      <c r="W559" s="819">
        <v>44594.893130324075</v>
      </c>
      <c r="X559" s="971">
        <f t="shared" si="134"/>
        <v>-5.0619469026548666E-2</v>
      </c>
      <c r="Y559" s="584" t="s">
        <v>1693</v>
      </c>
      <c r="Z559" s="988" t="e">
        <f ca="1">VLOOKUP(AA559,'place of settlement'!A:C,2,FALSE)</f>
        <v>#NAME?</v>
      </c>
      <c r="AA559" s="988" t="e">
        <f t="shared" ca="1" si="133"/>
        <v>#NAME?</v>
      </c>
      <c r="AB559" s="988" t="e">
        <f t="shared" ca="1" si="132"/>
        <v>#NAME?</v>
      </c>
      <c r="AC559" s="988" t="e">
        <f ca="1">VLOOKUP(AB559,sample!$1:$1048576,2,FALSE)</f>
        <v>#NAME?</v>
      </c>
      <c r="AD559" s="988" t="e">
        <f ca="1">VLOOKUP($AB559,sample!$1:$1048576,3,FALSE)</f>
        <v>#NAME?</v>
      </c>
      <c r="AE559" s="986" t="e">
        <f ca="1">VLOOKUP($AB559,sample!$1:$1048576,4,FALSE)</f>
        <v>#NAME?</v>
      </c>
      <c r="AF559" s="988" t="e">
        <f ca="1">VLOOKUP($AB559,sample!$1:$1048576,5,FALSE)</f>
        <v>#NAME?</v>
      </c>
      <c r="AL559" s="986" t="e">
        <f ca="1">VLOOKUP($AB559,sample!$1:$1048576,11,FALSE)</f>
        <v>#NAME?</v>
      </c>
      <c r="AM559" s="986" t="e">
        <f ca="1">VLOOKUP($AB559,sample!$1:$1048576,12,FALSE)</f>
        <v>#NAME?</v>
      </c>
      <c r="AN559" s="986" t="e">
        <f ca="1">VLOOKUP($AB559,sample!$1:$1048576,13,FALSE)</f>
        <v>#NAME?</v>
      </c>
      <c r="AP559" s="988"/>
    </row>
    <row r="560" spans="1:42" s="584" customFormat="1">
      <c r="A560" s="911">
        <f t="shared" si="129"/>
        <v>2019200573</v>
      </c>
      <c r="B560" s="816">
        <v>44594</v>
      </c>
      <c r="C560" s="816" t="s">
        <v>133</v>
      </c>
      <c r="D560" s="1133" t="str">
        <f>IFERROR(VLOOKUP(G560,PosAggregate!$B$13:$B$89,1,FALSE),"")</f>
        <v>MNOD LI</v>
      </c>
      <c r="E560" s="1013" t="e">
        <f ca="1">_xll.BDP(G560  &amp; " Equity", "ID_ISIN", "Fill", "")</f>
        <v>#NAME?</v>
      </c>
      <c r="F560" s="1106" t="str">
        <f t="shared" si="130"/>
        <v>YES</v>
      </c>
      <c r="G560" s="561" t="s">
        <v>12892</v>
      </c>
      <c r="I560" s="1107" t="e">
        <f ca="1">_xll.BDP(E560 &amp; " Equity","SECURITY_NAME")</f>
        <v>#NAME?</v>
      </c>
      <c r="J560" s="1107" t="e">
        <f ca="1">_xll.BDP(G560 &amp; " Equity","Crncy")</f>
        <v>#NAME?</v>
      </c>
      <c r="K560" s="1108">
        <v>28.422000000000001</v>
      </c>
      <c r="L560" s="1108"/>
      <c r="M560" s="1108">
        <v>9830</v>
      </c>
      <c r="N560" s="985">
        <f t="shared" si="131"/>
        <v>-279388.26</v>
      </c>
      <c r="O560" s="817">
        <v>-167.63</v>
      </c>
      <c r="P560" s="817"/>
      <c r="R560" s="982">
        <f t="shared" si="135"/>
        <v>-279555.89</v>
      </c>
      <c r="S560" s="1108">
        <v>1.14175</v>
      </c>
      <c r="T560" s="998">
        <f t="shared" si="128"/>
        <v>-244848.60083205605</v>
      </c>
      <c r="U560" s="584">
        <v>44596</v>
      </c>
      <c r="V560" s="561" t="s">
        <v>1111</v>
      </c>
      <c r="W560" s="819">
        <v>44595.407505902775</v>
      </c>
      <c r="X560" s="971">
        <f t="shared" si="134"/>
        <v>5.9998941974154535E-2</v>
      </c>
      <c r="Y560" s="584" t="s">
        <v>1693</v>
      </c>
      <c r="Z560" s="988" t="e">
        <f>VLOOKUP(AA560,'place of settlement'!A:C,2,FALSE)</f>
        <v>#N/A</v>
      </c>
      <c r="AA560" s="988" t="s">
        <v>12893</v>
      </c>
      <c r="AB560" s="988" t="str">
        <f t="shared" si="132"/>
        <v>Equita SimRU</v>
      </c>
      <c r="AC560" s="988" t="e">
        <f>VLOOKUP(AB560,sample!$1:$1048576,2,FALSE)</f>
        <v>#N/A</v>
      </c>
      <c r="AD560" s="988" t="e">
        <f>VLOOKUP($AB560,sample!$1:$1048576,3,FALSE)</f>
        <v>#N/A</v>
      </c>
      <c r="AE560" s="986" t="e">
        <f>VLOOKUP($AB560,sample!$1:$1048576,4,FALSE)</f>
        <v>#N/A</v>
      </c>
      <c r="AF560" s="988" t="e">
        <f>VLOOKUP($AB560,sample!$1:$1048576,5,FALSE)</f>
        <v>#N/A</v>
      </c>
      <c r="AL560" s="986" t="e">
        <f>VLOOKUP($AB560,sample!$1:$1048576,11,FALSE)</f>
        <v>#N/A</v>
      </c>
      <c r="AM560" s="986" t="e">
        <f>VLOOKUP($AB560,sample!$1:$1048576,12,FALSE)</f>
        <v>#N/A</v>
      </c>
      <c r="AN560" s="986" t="e">
        <f>VLOOKUP($AB560,sample!$1:$1048576,13,FALSE)</f>
        <v>#N/A</v>
      </c>
      <c r="AP560" s="988"/>
    </row>
    <row r="561" spans="1:42" s="584" customFormat="1">
      <c r="A561" s="911">
        <f t="shared" si="129"/>
        <v>2019200574</v>
      </c>
      <c r="B561" s="816">
        <v>44595</v>
      </c>
      <c r="C561" s="816" t="s">
        <v>134</v>
      </c>
      <c r="D561" s="1133" t="str">
        <f>IFERROR(VLOOKUP(G561,PosAggregate!$B$13:$B$89,1,FALSE),"")</f>
        <v>EAF US</v>
      </c>
      <c r="E561" s="1013" t="e">
        <f ca="1">_xll.BDP(G561  &amp; " Equity", "ID_ISIN", "Fill", "")</f>
        <v>#NAME?</v>
      </c>
      <c r="F561" s="1106" t="str">
        <f t="shared" si="130"/>
        <v>YES</v>
      </c>
      <c r="G561" s="561" t="s">
        <v>12718</v>
      </c>
      <c r="I561" s="1107" t="e">
        <f ca="1">_xll.BDP(E561 &amp; " Equity","SECURITY_NAME")</f>
        <v>#NAME?</v>
      </c>
      <c r="J561" s="1107" t="e">
        <f ca="1">_xll.BDP(G561 &amp; " Equity","Crncy")</f>
        <v>#NAME?</v>
      </c>
      <c r="K561" s="1108">
        <v>11.440181000000001</v>
      </c>
      <c r="L561" s="1108"/>
      <c r="M561" s="1108">
        <v>-13900</v>
      </c>
      <c r="N561" s="985">
        <f t="shared" si="131"/>
        <v>159018.5159</v>
      </c>
      <c r="O561" s="817">
        <v>-79.510000000000005</v>
      </c>
      <c r="P561" s="817">
        <v>-0.81</v>
      </c>
      <c r="R561" s="982">
        <f t="shared" si="135"/>
        <v>158938.19589999999</v>
      </c>
      <c r="S561" s="1108">
        <v>1.1465000000000001</v>
      </c>
      <c r="T561" s="998">
        <f t="shared" si="128"/>
        <v>138629.04134321847</v>
      </c>
      <c r="U561" s="584">
        <v>44599</v>
      </c>
      <c r="V561" s="561" t="s">
        <v>1656</v>
      </c>
      <c r="W561" s="819">
        <v>44596.348637037037</v>
      </c>
      <c r="X561" s="971">
        <f t="shared" si="134"/>
        <v>-5.0000466643771523E-2</v>
      </c>
      <c r="Y561" s="584" t="s">
        <v>1693</v>
      </c>
      <c r="Z561" s="988" t="e">
        <f ca="1">VLOOKUP(AA561,'place of settlement'!A:C,2,FALSE)</f>
        <v>#NAME?</v>
      </c>
      <c r="AA561" s="988" t="e">
        <f t="shared" ca="1" si="133"/>
        <v>#NAME?</v>
      </c>
      <c r="AB561" s="988" t="e">
        <f t="shared" ca="1" si="132"/>
        <v>#NAME?</v>
      </c>
      <c r="AC561" s="988" t="e">
        <f ca="1">VLOOKUP(AB561,sample!$1:$1048576,2,FALSE)</f>
        <v>#NAME?</v>
      </c>
      <c r="AD561" s="988" t="e">
        <f ca="1">VLOOKUP($AB561,sample!$1:$1048576,3,FALSE)</f>
        <v>#NAME?</v>
      </c>
      <c r="AE561" s="986" t="e">
        <f ca="1">VLOOKUP($AB561,sample!$1:$1048576,4,FALSE)</f>
        <v>#NAME?</v>
      </c>
      <c r="AF561" s="988" t="e">
        <f ca="1">VLOOKUP($AB561,sample!$1:$1048576,5,FALSE)</f>
        <v>#NAME?</v>
      </c>
      <c r="AL561" s="986" t="e">
        <f ca="1">VLOOKUP($AB561,sample!$1:$1048576,11,FALSE)</f>
        <v>#NAME?</v>
      </c>
      <c r="AM561" s="986" t="e">
        <f ca="1">VLOOKUP($AB561,sample!$1:$1048576,12,FALSE)</f>
        <v>#NAME?</v>
      </c>
      <c r="AN561" s="986" t="e">
        <f ca="1">VLOOKUP($AB561,sample!$1:$1048576,13,FALSE)</f>
        <v>#NAME?</v>
      </c>
      <c r="AP561" s="988"/>
    </row>
    <row r="562" spans="1:42" s="584" customFormat="1">
      <c r="A562" s="911">
        <f t="shared" si="129"/>
        <v>2019200575</v>
      </c>
      <c r="B562" s="816">
        <v>44596</v>
      </c>
      <c r="C562" s="816" t="s">
        <v>133</v>
      </c>
      <c r="D562" s="1133" t="str">
        <f>IFERROR(VLOOKUP(G562,PosAggregate!$B$13:$B$89,1,FALSE),"")</f>
        <v>EAF US</v>
      </c>
      <c r="E562" s="1013" t="e">
        <f ca="1">_xll.BDP(G562  &amp; " Equity", "ID_ISIN", "Fill", "")</f>
        <v>#NAME?</v>
      </c>
      <c r="F562" s="1106" t="str">
        <f t="shared" si="130"/>
        <v>YES</v>
      </c>
      <c r="G562" s="561" t="s">
        <v>12718</v>
      </c>
      <c r="I562" s="1107" t="e">
        <f ca="1">_xll.BDP(E562 &amp; " Equity","SECURITY_NAME")</f>
        <v>#NAME?</v>
      </c>
      <c r="J562" s="1107" t="e">
        <f ca="1">_xll.BDP(G562 &amp; " Equity","Crncy")</f>
        <v>#NAME?</v>
      </c>
      <c r="K562" s="1108">
        <v>10.107961</v>
      </c>
      <c r="L562" s="1108"/>
      <c r="M562" s="1108">
        <v>14000</v>
      </c>
      <c r="N562" s="985">
        <f t="shared" si="131"/>
        <v>-141511.454</v>
      </c>
      <c r="O562" s="817">
        <v>-70.760000000000005</v>
      </c>
      <c r="P562" s="817"/>
      <c r="R562" s="982">
        <f t="shared" si="135"/>
        <v>-141582.21400000001</v>
      </c>
      <c r="S562" s="1108">
        <v>1.1425000000000001</v>
      </c>
      <c r="T562" s="998">
        <f t="shared" si="128"/>
        <v>-123923.16323851203</v>
      </c>
      <c r="U562" s="584">
        <v>44600</v>
      </c>
      <c r="V562" s="561" t="s">
        <v>1656</v>
      </c>
      <c r="W562" s="819">
        <v>44599.433659259259</v>
      </c>
      <c r="X562" s="971">
        <f t="shared" si="134"/>
        <v>5.0003019543562885E-2</v>
      </c>
      <c r="Y562" s="584" t="s">
        <v>1693</v>
      </c>
      <c r="Z562" s="988" t="e">
        <f ca="1">VLOOKUP(AA562,'place of settlement'!A:C,2,FALSE)</f>
        <v>#NAME?</v>
      </c>
      <c r="AA562" s="988" t="e">
        <f t="shared" ca="1" si="133"/>
        <v>#NAME?</v>
      </c>
      <c r="AB562" s="988" t="e">
        <f t="shared" ca="1" si="132"/>
        <v>#NAME?</v>
      </c>
      <c r="AC562" s="988" t="e">
        <f ca="1">VLOOKUP(AB562,sample!$1:$1048576,2,FALSE)</f>
        <v>#NAME?</v>
      </c>
      <c r="AD562" s="988" t="e">
        <f ca="1">VLOOKUP($AB562,sample!$1:$1048576,3,FALSE)</f>
        <v>#NAME?</v>
      </c>
      <c r="AE562" s="986" t="e">
        <f ca="1">VLOOKUP($AB562,sample!$1:$1048576,4,FALSE)</f>
        <v>#NAME?</v>
      </c>
      <c r="AF562" s="988" t="e">
        <f ca="1">VLOOKUP($AB562,sample!$1:$1048576,5,FALSE)</f>
        <v>#NAME?</v>
      </c>
      <c r="AL562" s="986" t="e">
        <f ca="1">VLOOKUP($AB562,sample!$1:$1048576,11,FALSE)</f>
        <v>#NAME?</v>
      </c>
      <c r="AM562" s="986" t="e">
        <f ca="1">VLOOKUP($AB562,sample!$1:$1048576,12,FALSE)</f>
        <v>#NAME?</v>
      </c>
      <c r="AN562" s="986" t="e">
        <f ca="1">VLOOKUP($AB562,sample!$1:$1048576,13,FALSE)</f>
        <v>#NAME?</v>
      </c>
      <c r="AP562" s="988"/>
    </row>
    <row r="563" spans="1:42" s="584" customFormat="1">
      <c r="A563" s="911">
        <f t="shared" si="129"/>
        <v>2019200576</v>
      </c>
      <c r="B563" s="816">
        <v>44601</v>
      </c>
      <c r="C563" s="816" t="s">
        <v>134</v>
      </c>
      <c r="D563" s="1133" t="str">
        <f>IFERROR(VLOOKUP(G563,PosAggregate!$B$13:$B$89,1,FALSE),"")</f>
        <v>RNO FP</v>
      </c>
      <c r="E563" s="1013" t="e">
        <f ca="1">_xll.BDP(G563  &amp; " Equity", "ID_ISIN", "Fill", "")</f>
        <v>#NAME?</v>
      </c>
      <c r="F563" s="1106" t="str">
        <f t="shared" si="130"/>
        <v>YES</v>
      </c>
      <c r="G563" s="561" t="s">
        <v>12716</v>
      </c>
      <c r="I563" s="1107" t="e">
        <f ca="1">_xll.BDP(E563 &amp; " Equity","SECURITY_NAME")</f>
        <v>#NAME?</v>
      </c>
      <c r="J563" s="1107" t="e">
        <f ca="1">_xll.BDP(G563 &amp; " Equity","Crncy")</f>
        <v>#NAME?</v>
      </c>
      <c r="K563" s="1108">
        <v>36.2943</v>
      </c>
      <c r="L563" s="1108"/>
      <c r="M563" s="1108">
        <v>-4100</v>
      </c>
      <c r="N563" s="985">
        <f t="shared" si="131"/>
        <v>148806.63</v>
      </c>
      <c r="O563" s="817">
        <v>-89.28</v>
      </c>
      <c r="P563" s="817"/>
      <c r="R563" s="982">
        <f t="shared" si="135"/>
        <v>148717.35</v>
      </c>
      <c r="S563" s="1108">
        <v>1</v>
      </c>
      <c r="T563" s="998">
        <f t="shared" si="128"/>
        <v>148717.35</v>
      </c>
      <c r="U563" s="584">
        <v>44603</v>
      </c>
      <c r="V563" s="561" t="s">
        <v>1111</v>
      </c>
      <c r="W563" s="819">
        <v>44601.43563078704</v>
      </c>
      <c r="X563" s="971">
        <f t="shared" si="134"/>
        <v>-5.9997326732014557E-2</v>
      </c>
      <c r="Y563" s="584" t="s">
        <v>1693</v>
      </c>
      <c r="Z563" s="988" t="e">
        <f ca="1">VLOOKUP(AA563,'place of settlement'!A:C,2,FALSE)</f>
        <v>#NAME?</v>
      </c>
      <c r="AA563" s="988" t="e">
        <f t="shared" ca="1" si="133"/>
        <v>#NAME?</v>
      </c>
      <c r="AB563" s="988" t="s">
        <v>1806</v>
      </c>
      <c r="AC563" s="988" t="str">
        <f>VLOOKUP(AB563,sample!$1:$1048576,2,FALSE)</f>
        <v>EMSIITM1XXX</v>
      </c>
      <c r="AD563" s="988" t="str">
        <f>VLOOKUP($AB563,sample!$1:$1048576,3,FALSE)</f>
        <v>SICVFRPPXXX</v>
      </c>
      <c r="AE563" s="986" t="str">
        <f>VLOOKUP($AB563,sample!$1:$1048576,4,FALSE)</f>
        <v>SICVBCITITMMD00000L10</v>
      </c>
      <c r="AF563" s="988" t="str">
        <f>VLOOKUP($AB563,sample!$1:$1048576,5,FALSE)</f>
        <v>N</v>
      </c>
      <c r="AL563" s="986" t="str">
        <f>VLOOKUP($AB563,sample!$1:$1048576,11,FALSE)</f>
        <v xml:space="preserve">        </v>
      </c>
      <c r="AM563" s="986" t="str">
        <f>VLOOKUP($AB563,sample!$1:$1048576,12,FALSE)</f>
        <v xml:space="preserve">        </v>
      </c>
      <c r="AN563" s="986" t="str">
        <f>VLOOKUP($AB563,sample!$1:$1048576,13,FALSE)</f>
        <v>BCITITMMD00</v>
      </c>
      <c r="AP563" s="988"/>
    </row>
    <row r="564" spans="1:42" s="584" customFormat="1">
      <c r="A564" s="911">
        <f t="shared" si="129"/>
        <v>2019200577</v>
      </c>
      <c r="B564" s="816">
        <v>44606</v>
      </c>
      <c r="C564" s="816" t="s">
        <v>134</v>
      </c>
      <c r="D564" s="1133" t="str">
        <f>IFERROR(VLOOKUP(G564,PosAggregate!$B$13:$B$89,1,FALSE),"")</f>
        <v/>
      </c>
      <c r="E564" s="1013" t="e">
        <f ca="1">_xll.BDP(G564  &amp; " Equity", "ID_ISIN", "Fill", "")</f>
        <v>#NAME?</v>
      </c>
      <c r="F564" s="1106" t="str">
        <f>IF(D564=G564,"YES","")</f>
        <v/>
      </c>
      <c r="G564" s="561" t="s">
        <v>12719</v>
      </c>
      <c r="I564" s="1107" t="e">
        <f ca="1">_xll.BDP(E564 &amp; " Equity","SECURITY_NAME")</f>
        <v>#NAME?</v>
      </c>
      <c r="J564" s="1107" t="e">
        <f ca="1">_xll.BDP(G564 &amp; " Equity","Crncy")</f>
        <v>#NAME?</v>
      </c>
      <c r="K564" s="1108">
        <v>1881.407031</v>
      </c>
      <c r="L564" s="1108"/>
      <c r="M564" s="1108">
        <v>-6400</v>
      </c>
      <c r="N564" s="985">
        <f t="shared" si="131"/>
        <v>12041004.998399999</v>
      </c>
      <c r="O564" s="817">
        <v>-7225</v>
      </c>
      <c r="P564" s="817"/>
      <c r="R564" s="982">
        <f t="shared" si="135"/>
        <v>12033779.998399999</v>
      </c>
      <c r="S564" s="1108">
        <v>130.16999999999999</v>
      </c>
      <c r="T564" s="998">
        <f t="shared" si="128"/>
        <v>92446.646680494741</v>
      </c>
      <c r="U564" s="584">
        <v>44608</v>
      </c>
      <c r="V564" s="561" t="s">
        <v>1656</v>
      </c>
      <c r="W564" s="819">
        <v>44606.36784467593</v>
      </c>
      <c r="X564" s="971">
        <f t="shared" si="134"/>
        <v>-6.0003297074953901E-2</v>
      </c>
      <c r="Y564" s="584" t="s">
        <v>1693</v>
      </c>
      <c r="Z564" s="988" t="e">
        <f ca="1">VLOOKUP(AA564,'place of settlement'!A:C,2,FALSE)</f>
        <v>#NAME?</v>
      </c>
      <c r="AA564" s="988" t="e">
        <f t="shared" ca="1" si="133"/>
        <v>#NAME?</v>
      </c>
      <c r="AB564" s="988" t="e">
        <f t="shared" ca="1" si="132"/>
        <v>#NAME?</v>
      </c>
      <c r="AC564" s="988" t="e">
        <f ca="1">VLOOKUP(AB564,sample!$1:$1048576,2,FALSE)</f>
        <v>#NAME?</v>
      </c>
      <c r="AD564" s="988" t="e">
        <f ca="1">VLOOKUP($AB564,sample!$1:$1048576,3,FALSE)</f>
        <v>#NAME?</v>
      </c>
      <c r="AE564" s="986" t="e">
        <f ca="1">VLOOKUP($AB564,sample!$1:$1048576,4,FALSE)</f>
        <v>#NAME?</v>
      </c>
      <c r="AF564" s="988" t="e">
        <f ca="1">VLOOKUP($AB564,sample!$1:$1048576,5,FALSE)</f>
        <v>#NAME?</v>
      </c>
      <c r="AL564" s="986"/>
      <c r="AM564" s="986"/>
      <c r="AN564" s="986" t="e">
        <f ca="1">VLOOKUP($AB564,sample!$1:$1048576,13,FALSE)</f>
        <v>#NAME?</v>
      </c>
      <c r="AP564" s="988"/>
    </row>
    <row r="565" spans="1:42">
      <c r="A565" s="911">
        <f t="shared" si="129"/>
        <v>2019200578</v>
      </c>
      <c r="B565" s="881">
        <v>44606</v>
      </c>
      <c r="C565" s="881" t="s">
        <v>133</v>
      </c>
      <c r="D565" s="1133" t="str">
        <f>IFERROR(VLOOKUP(G565,PosAggregate!$B$13:$B$89,1,FALSE),"")</f>
        <v>SYR AU</v>
      </c>
      <c r="E565" s="1013" t="e">
        <f ca="1">_xll.BDP(G565  &amp; " Equity", "ID_ISIN", "Fill", "")</f>
        <v>#NAME?</v>
      </c>
      <c r="F565" s="1106" t="str">
        <f t="shared" si="130"/>
        <v>YES</v>
      </c>
      <c r="G565" s="594" t="s">
        <v>12717</v>
      </c>
      <c r="I565" s="1007" t="e">
        <f ca="1">_xll.BDP(E565 &amp; " Equity","SECURITY_NAME")</f>
        <v>#NAME?</v>
      </c>
      <c r="J565" s="1007" t="e">
        <f ca="1">_xll.BDP(G565 &amp; " Equity","Crncy")</f>
        <v>#NAME?</v>
      </c>
      <c r="K565" s="1108">
        <v>1.3957870000000001</v>
      </c>
      <c r="L565" s="1108"/>
      <c r="M565" s="1108">
        <v>67000</v>
      </c>
      <c r="N565" s="985">
        <f t="shared" si="131"/>
        <v>-93517.729000000007</v>
      </c>
      <c r="O565" s="817">
        <v>-56.11</v>
      </c>
      <c r="R565" s="1116">
        <f t="shared" si="135"/>
        <v>-93573.839000000007</v>
      </c>
      <c r="S565" s="1108">
        <v>1.59432</v>
      </c>
      <c r="T565" s="998">
        <f t="shared" si="128"/>
        <v>-58692.005996286825</v>
      </c>
      <c r="U565" s="584">
        <v>44608</v>
      </c>
      <c r="V565" s="594" t="s">
        <v>1656</v>
      </c>
      <c r="W565" s="914">
        <v>44606.368223958336</v>
      </c>
      <c r="X565" s="971">
        <f t="shared" si="134"/>
        <v>5.9999318418008207E-2</v>
      </c>
      <c r="Y565" s="584" t="s">
        <v>1693</v>
      </c>
      <c r="Z565" s="988" t="e">
        <f ca="1">VLOOKUP(AA565,'place of settlement'!A:C,2,FALSE)</f>
        <v>#NAME?</v>
      </c>
      <c r="AA565" s="988" t="e">
        <f t="shared" ca="1" si="133"/>
        <v>#NAME?</v>
      </c>
      <c r="AB565" s="988" t="e">
        <f t="shared" ca="1" si="132"/>
        <v>#NAME?</v>
      </c>
      <c r="AC565" s="988" t="e">
        <f ca="1">VLOOKUP(AB565,sample!$1:$1048576,2,FALSE)</f>
        <v>#NAME?</v>
      </c>
      <c r="AD565" s="988" t="e">
        <f ca="1">VLOOKUP($AB565,sample!$1:$1048576,3,FALSE)</f>
        <v>#NAME?</v>
      </c>
      <c r="AE565" s="986" t="e">
        <f ca="1">VLOOKUP($AB565,sample!$1:$1048576,4,FALSE)</f>
        <v>#NAME?</v>
      </c>
      <c r="AF565" s="988" t="e">
        <f ca="1">VLOOKUP($AB565,sample!$1:$1048576,5,FALSE)</f>
        <v>#NAME?</v>
      </c>
      <c r="AN565" s="986" t="e">
        <f ca="1">VLOOKUP($AB565,sample!$1:$1048576,13,FALSE)</f>
        <v>#NAME?</v>
      </c>
      <c r="AP565" s="988"/>
    </row>
    <row r="566" spans="1:42">
      <c r="A566" s="911">
        <f t="shared" si="129"/>
        <v>2019200579</v>
      </c>
      <c r="B566" s="881">
        <v>44606</v>
      </c>
      <c r="C566" s="881" t="s">
        <v>133</v>
      </c>
      <c r="D566" s="1133" t="str">
        <f>IFERROR(VLOOKUP(G566,PosAggregate!$B$13:$B$89,1,FALSE),"")</f>
        <v>4100 JP</v>
      </c>
      <c r="E566" s="1013" t="e">
        <f ca="1">_xll.BDP(G566  &amp; " Equity", "ID_ISIN", "Fill", "")</f>
        <v>#NAME?</v>
      </c>
      <c r="F566" s="1106" t="str">
        <f t="shared" si="130"/>
        <v>YES</v>
      </c>
      <c r="G566" s="594" t="s">
        <v>12730</v>
      </c>
      <c r="I566" s="1007" t="e">
        <f ca="1">_xll.BDP(E566 &amp; " Equity","SECURITY_NAME")</f>
        <v>#NAME?</v>
      </c>
      <c r="J566" s="1007" t="e">
        <f ca="1">_xll.BDP(G566 &amp; " Equity","Crncy")</f>
        <v>#NAME?</v>
      </c>
      <c r="K566" s="1108">
        <v>2874.9101449999998</v>
      </c>
      <c r="L566" s="1108"/>
      <c r="M566" s="1108">
        <v>6900</v>
      </c>
      <c r="N566" s="985">
        <f t="shared" si="131"/>
        <v>-19836880.000499997</v>
      </c>
      <c r="O566" s="817">
        <v>-11902</v>
      </c>
      <c r="R566" s="982">
        <f t="shared" si="135"/>
        <v>-19848782.000499997</v>
      </c>
      <c r="S566" s="1108">
        <v>130.16999999999999</v>
      </c>
      <c r="T566" s="998">
        <f t="shared" si="128"/>
        <v>-152483.5369171084</v>
      </c>
      <c r="U566" s="584">
        <v>44608</v>
      </c>
      <c r="V566" s="594" t="s">
        <v>1656</v>
      </c>
      <c r="W566" s="914">
        <v>44606.369277314814</v>
      </c>
      <c r="X566" s="971">
        <f t="shared" si="134"/>
        <v>5.9999354735724597E-2</v>
      </c>
      <c r="Y566" s="584" t="s">
        <v>1693</v>
      </c>
      <c r="Z566" s="988" t="e">
        <f ca="1">VLOOKUP(AA566,'place of settlement'!A:C,2,FALSE)</f>
        <v>#NAME?</v>
      </c>
      <c r="AA566" s="988" t="e">
        <f t="shared" ca="1" si="133"/>
        <v>#NAME?</v>
      </c>
      <c r="AB566" s="988" t="e">
        <f t="shared" ca="1" si="132"/>
        <v>#NAME?</v>
      </c>
      <c r="AC566" s="988" t="e">
        <f ca="1">VLOOKUP(AB566,sample!$1:$1048576,2,FALSE)</f>
        <v>#NAME?</v>
      </c>
      <c r="AD566" s="988" t="e">
        <f ca="1">VLOOKUP($AB566,sample!$1:$1048576,3,FALSE)</f>
        <v>#NAME?</v>
      </c>
      <c r="AE566" s="986" t="e">
        <f ca="1">VLOOKUP($AB566,sample!$1:$1048576,4,FALSE)</f>
        <v>#NAME?</v>
      </c>
      <c r="AF566" s="988" t="e">
        <f ca="1">VLOOKUP($AB566,sample!$1:$1048576,5,FALSE)</f>
        <v>#NAME?</v>
      </c>
      <c r="AN566" s="986" t="e">
        <f ca="1">VLOOKUP($AB566,sample!$1:$1048576,13,FALSE)</f>
        <v>#NAME?</v>
      </c>
      <c r="AP566" s="988"/>
    </row>
    <row r="567" spans="1:42">
      <c r="A567" s="911">
        <f t="shared" si="129"/>
        <v>2019200580</v>
      </c>
      <c r="B567" s="881">
        <v>44606</v>
      </c>
      <c r="C567" s="881" t="s">
        <v>133</v>
      </c>
      <c r="D567" s="1133" t="str">
        <f>IFERROR(VLOOKUP(G567,PosAggregate!$B$13:$B$89,1,FALSE),"")</f>
        <v>096775 KS</v>
      </c>
      <c r="E567" s="1013" t="e">
        <f ca="1">_xll.BDP(G567  &amp; " Equity", "ID_ISIN", "Fill", "")</f>
        <v>#NAME?</v>
      </c>
      <c r="F567" s="1106" t="str">
        <f t="shared" si="130"/>
        <v>YES</v>
      </c>
      <c r="G567" s="594" t="s">
        <v>12711</v>
      </c>
      <c r="I567" s="1007" t="e">
        <f ca="1">_xll.BDP(E567 &amp; " Equity","SECURITY_NAME")</f>
        <v>#NAME?</v>
      </c>
      <c r="J567" s="1007" t="e">
        <f ca="1">_xll.BDP(G567 &amp; " Equity","Crncy")</f>
        <v>#NAME?</v>
      </c>
      <c r="K567" s="1108">
        <v>125256.5217</v>
      </c>
      <c r="L567" s="1108"/>
      <c r="M567" s="1108">
        <v>690</v>
      </c>
      <c r="N567" s="985">
        <f t="shared" si="131"/>
        <v>-86426999.973000005</v>
      </c>
      <c r="O567" s="817">
        <v>-129641</v>
      </c>
      <c r="R567" s="982">
        <f t="shared" si="135"/>
        <v>-86556640.973000005</v>
      </c>
      <c r="S567" s="1108">
        <v>1358.43</v>
      </c>
      <c r="T567" s="998">
        <f t="shared" si="128"/>
        <v>-63718.145928019847</v>
      </c>
      <c r="U567" s="584">
        <v>44608</v>
      </c>
      <c r="V567" s="594" t="s">
        <v>1114</v>
      </c>
      <c r="W567" s="914">
        <v>44606.370648032411</v>
      </c>
      <c r="X567" s="971">
        <f t="shared" si="134"/>
        <v>0.15000057856977581</v>
      </c>
      <c r="Y567" s="584" t="s">
        <v>1693</v>
      </c>
      <c r="Z567" s="988" t="e">
        <f ca="1">VLOOKUP(AA567,'place of settlement'!A:C,2,FALSE)</f>
        <v>#NAME?</v>
      </c>
      <c r="AA567" s="988" t="e">
        <f t="shared" ca="1" si="133"/>
        <v>#NAME?</v>
      </c>
      <c r="AB567" s="988" t="e">
        <f t="shared" ca="1" si="132"/>
        <v>#NAME?</v>
      </c>
      <c r="AC567" s="988" t="e">
        <f ca="1">VLOOKUP(AB567,sample!$1:$1048576,2,FALSE)</f>
        <v>#NAME?</v>
      </c>
      <c r="AD567" s="988" t="e">
        <f ca="1">VLOOKUP($AB567,sample!$1:$1048576,3,FALSE)</f>
        <v>#NAME?</v>
      </c>
      <c r="AE567" s="986" t="e">
        <f ca="1">VLOOKUP($AB567,sample!$1:$1048576,4,FALSE)</f>
        <v>#NAME?</v>
      </c>
      <c r="AF567" s="988" t="e">
        <f ca="1">VLOOKUP($AB567,sample!$1:$1048576,5,FALSE)</f>
        <v>#NAME?</v>
      </c>
      <c r="AN567" s="986" t="e">
        <f ca="1">VLOOKUP($AB567,sample!$1:$1048576,13,FALSE)</f>
        <v>#NAME?</v>
      </c>
      <c r="AP567" s="988"/>
    </row>
    <row r="568" spans="1:42">
      <c r="A568" s="911">
        <f t="shared" si="129"/>
        <v>2019200581</v>
      </c>
      <c r="B568" s="881">
        <v>44606</v>
      </c>
      <c r="C568" s="881" t="s">
        <v>133</v>
      </c>
      <c r="D568" s="1133" t="str">
        <f>IFERROR(VLOOKUP(G568,PosAggregate!$B$13:$B$89,1,FALSE),"")</f>
        <v>6752 JP</v>
      </c>
      <c r="E568" s="1013" t="e">
        <f ca="1">_xll.BDP(G568  &amp; " Equity", "ID_ISIN", "Fill", "")</f>
        <v>#NAME?</v>
      </c>
      <c r="F568" s="1106" t="str">
        <f t="shared" si="130"/>
        <v>YES</v>
      </c>
      <c r="G568" s="594" t="s">
        <v>12704</v>
      </c>
      <c r="I568" s="1007" t="e">
        <f ca="1">_xll.BDP(E568 &amp; " Equity","SECURITY_NAME")</f>
        <v>#NAME?</v>
      </c>
      <c r="J568" s="1007" t="e">
        <f ca="1">_xll.BDP(G568 &amp; " Equity","Crncy")</f>
        <v>#NAME?</v>
      </c>
      <c r="K568" s="1108">
        <v>1220.4007140000001</v>
      </c>
      <c r="L568" s="1108"/>
      <c r="M568" s="1108">
        <v>7000</v>
      </c>
      <c r="N568" s="985">
        <f t="shared" si="131"/>
        <v>-8542804.9980000015</v>
      </c>
      <c r="O568" s="817">
        <v>-5126</v>
      </c>
      <c r="R568" s="982">
        <f t="shared" si="135"/>
        <v>-8547930.9980000015</v>
      </c>
      <c r="S568" s="1108">
        <v>130.29</v>
      </c>
      <c r="T568" s="998">
        <f t="shared" si="128"/>
        <v>-65606.961378463442</v>
      </c>
      <c r="U568" s="584">
        <v>44608</v>
      </c>
      <c r="V568" s="594" t="s">
        <v>1656</v>
      </c>
      <c r="W568" s="914">
        <v>44606.464351736111</v>
      </c>
      <c r="X568" s="971">
        <f t="shared" si="134"/>
        <v>6.0003710739037978E-2</v>
      </c>
      <c r="Y568" s="584" t="s">
        <v>1693</v>
      </c>
      <c r="Z568" s="988" t="e">
        <f ca="1">VLOOKUP(AA568,'place of settlement'!A:C,2,FALSE)</f>
        <v>#NAME?</v>
      </c>
      <c r="AA568" s="988" t="e">
        <f t="shared" ca="1" si="133"/>
        <v>#NAME?</v>
      </c>
      <c r="AB568" s="988" t="e">
        <f t="shared" ca="1" si="132"/>
        <v>#NAME?</v>
      </c>
      <c r="AC568" s="988" t="e">
        <f ca="1">VLOOKUP(AB568,sample!$1:$1048576,2,FALSE)</f>
        <v>#NAME?</v>
      </c>
      <c r="AD568" s="988" t="e">
        <f ca="1">VLOOKUP($AB568,sample!$1:$1048576,3,FALSE)</f>
        <v>#NAME?</v>
      </c>
      <c r="AE568" s="986" t="e">
        <f ca="1">VLOOKUP($AB568,sample!$1:$1048576,4,FALSE)</f>
        <v>#NAME?</v>
      </c>
      <c r="AF568" s="988" t="e">
        <f ca="1">VLOOKUP($AB568,sample!$1:$1048576,5,FALSE)</f>
        <v>#NAME?</v>
      </c>
      <c r="AN568" s="986" t="e">
        <f ca="1">VLOOKUP($AB568,sample!$1:$1048576,13,FALSE)</f>
        <v>#NAME?</v>
      </c>
      <c r="AP568" s="988"/>
    </row>
    <row r="569" spans="1:42">
      <c r="A569" s="911">
        <f t="shared" si="129"/>
        <v>2019200582</v>
      </c>
      <c r="B569" s="881">
        <v>44607</v>
      </c>
      <c r="C569" s="881" t="s">
        <v>133</v>
      </c>
      <c r="D569" s="1133" t="str">
        <f>IFERROR(VLOOKUP(G569,PosAggregate!$B$13:$B$89,1,FALSE),"")</f>
        <v>4100 JP</v>
      </c>
      <c r="E569" s="1013" t="e">
        <f ca="1">_xll.BDP(G569  &amp; " Equity", "ID_ISIN", "Fill", "")</f>
        <v>#NAME?</v>
      </c>
      <c r="F569" s="1106" t="str">
        <f t="shared" si="130"/>
        <v>YES</v>
      </c>
      <c r="G569" s="594" t="s">
        <v>12730</v>
      </c>
      <c r="I569" s="1007" t="e">
        <f ca="1">_xll.BDP(E569 &amp; " Equity","SECURITY_NAME")</f>
        <v>#NAME?</v>
      </c>
      <c r="J569" s="1007" t="e">
        <f ca="1">_xll.BDP(G569 &amp; " Equity","Crncy")</f>
        <v>#NAME?</v>
      </c>
      <c r="K569" s="1108">
        <v>2774.19697</v>
      </c>
      <c r="M569" s="1108">
        <v>3300</v>
      </c>
      <c r="N569" s="985">
        <f t="shared" si="131"/>
        <v>-9154850.0010000002</v>
      </c>
      <c r="O569" s="817">
        <v>-5493</v>
      </c>
      <c r="R569" s="982">
        <f t="shared" si="135"/>
        <v>-9160343.0010000002</v>
      </c>
      <c r="S569" s="1108">
        <v>130.93</v>
      </c>
      <c r="T569" s="998">
        <f t="shared" si="128"/>
        <v>-69963.667616283507</v>
      </c>
      <c r="U569" s="584">
        <v>44609</v>
      </c>
      <c r="V569" s="594" t="s">
        <v>1656</v>
      </c>
      <c r="W569" s="914">
        <v>44607.347873842591</v>
      </c>
      <c r="X569" s="971">
        <f t="shared" si="134"/>
        <v>6.0000983078914355E-2</v>
      </c>
      <c r="Y569" s="584" t="s">
        <v>1693</v>
      </c>
      <c r="Z569" s="988" t="e">
        <f ca="1">VLOOKUP(AA569,'place of settlement'!A:C,2,FALSE)</f>
        <v>#NAME?</v>
      </c>
      <c r="AA569" s="988" t="e">
        <f t="shared" ca="1" si="133"/>
        <v>#NAME?</v>
      </c>
      <c r="AB569" s="988" t="e">
        <f t="shared" ca="1" si="132"/>
        <v>#NAME?</v>
      </c>
      <c r="AC569" s="988" t="e">
        <f ca="1">VLOOKUP(AB569,sample!$1:$1048576,2,FALSE)</f>
        <v>#NAME?</v>
      </c>
      <c r="AD569" s="988" t="e">
        <f ca="1">VLOOKUP($AB569,sample!$1:$1048576,3,FALSE)</f>
        <v>#NAME?</v>
      </c>
      <c r="AE569" s="986" t="e">
        <f ca="1">VLOOKUP($AB569,sample!$1:$1048576,4,FALSE)</f>
        <v>#NAME?</v>
      </c>
      <c r="AF569" s="988" t="e">
        <f ca="1">VLOOKUP($AB569,sample!$1:$1048576,5,FALSE)</f>
        <v>#NAME?</v>
      </c>
      <c r="AN569" s="986" t="e">
        <f ca="1">VLOOKUP($AB569,sample!$1:$1048576,13,FALSE)</f>
        <v>#NAME?</v>
      </c>
      <c r="AP569" s="988"/>
    </row>
    <row r="570" spans="1:42">
      <c r="A570" s="911">
        <f t="shared" si="129"/>
        <v>2019200583</v>
      </c>
      <c r="B570" s="881">
        <v>44607</v>
      </c>
      <c r="C570" s="881" t="s">
        <v>133</v>
      </c>
      <c r="D570" s="1133" t="str">
        <f>IFERROR(VLOOKUP(G570,PosAggregate!$B$13:$B$89,1,FALSE),"")</f>
        <v>096775 KS</v>
      </c>
      <c r="E570" s="1013" t="e">
        <f ca="1">_xll.BDP(G570  &amp; " Equity", "ID_ISIN", "Fill", "")</f>
        <v>#NAME?</v>
      </c>
      <c r="F570" s="1106" t="str">
        <f t="shared" si="130"/>
        <v>YES</v>
      </c>
      <c r="G570" s="594" t="s">
        <v>12711</v>
      </c>
      <c r="I570" s="1007" t="e">
        <f ca="1">_xll.BDP(E570 &amp; " Equity","SECURITY_NAME")</f>
        <v>#NAME?</v>
      </c>
      <c r="J570" s="1007" t="e">
        <f ca="1">_xll.BDP(G570 &amp; " Equity","Crncy")</f>
        <v>#NAME?</v>
      </c>
      <c r="K570" s="1108">
        <v>123389</v>
      </c>
      <c r="M570" s="1108">
        <v>500</v>
      </c>
      <c r="N570" s="985">
        <f t="shared" si="131"/>
        <v>-61694500</v>
      </c>
      <c r="O570" s="817">
        <v>-92542</v>
      </c>
      <c r="R570" s="982">
        <f t="shared" si="135"/>
        <v>-61787042</v>
      </c>
      <c r="S570" s="1108">
        <v>1357.81</v>
      </c>
      <c r="T570" s="998">
        <f t="shared" si="128"/>
        <v>-45504.924842209148</v>
      </c>
      <c r="U570" s="584">
        <v>44609</v>
      </c>
      <c r="V570" s="594" t="s">
        <v>1114</v>
      </c>
      <c r="W570" s="914">
        <v>44607.350303935185</v>
      </c>
      <c r="X570" s="971">
        <f t="shared" si="134"/>
        <v>0.15000040522250768</v>
      </c>
      <c r="Y570" s="584" t="s">
        <v>1693</v>
      </c>
      <c r="Z570" s="988" t="e">
        <f ca="1">VLOOKUP(AA570,'place of settlement'!A:C,2,FALSE)</f>
        <v>#NAME?</v>
      </c>
      <c r="AA570" s="988" t="e">
        <f t="shared" ca="1" si="133"/>
        <v>#NAME?</v>
      </c>
      <c r="AB570" s="988" t="e">
        <f t="shared" ca="1" si="132"/>
        <v>#NAME?</v>
      </c>
      <c r="AC570" s="988" t="e">
        <f ca="1">VLOOKUP(AB570,sample!$1:$1048576,2,FALSE)</f>
        <v>#NAME?</v>
      </c>
      <c r="AD570" s="988" t="e">
        <f ca="1">VLOOKUP($AB570,sample!$1:$1048576,3,FALSE)</f>
        <v>#NAME?</v>
      </c>
      <c r="AE570" s="986" t="e">
        <f ca="1">VLOOKUP($AB570,sample!$1:$1048576,4,FALSE)</f>
        <v>#NAME?</v>
      </c>
      <c r="AF570" s="988" t="e">
        <f ca="1">VLOOKUP($AB570,sample!$1:$1048576,5,FALSE)</f>
        <v>#NAME?</v>
      </c>
      <c r="AN570" s="986" t="e">
        <f ca="1">VLOOKUP($AB570,sample!$1:$1048576,13,FALSE)</f>
        <v>#NAME?</v>
      </c>
      <c r="AP570" s="988"/>
    </row>
    <row r="571" spans="1:42">
      <c r="A571" s="911">
        <f t="shared" si="129"/>
        <v>2019200584</v>
      </c>
      <c r="B571" s="887">
        <v>44617</v>
      </c>
      <c r="C571" s="881" t="s">
        <v>134</v>
      </c>
      <c r="D571" s="1133" t="str">
        <f>IFERROR(VLOOKUP(G571,PosAggregate!$B$13:$B$89,1,FALSE),"")</f>
        <v>ERA FP</v>
      </c>
      <c r="E571" s="1013" t="e">
        <f ca="1">_xll.BDP(G571  &amp; " Equity", "ID_ISIN", "Fill", "")</f>
        <v>#NAME?</v>
      </c>
      <c r="F571" s="1106" t="str">
        <f t="shared" si="130"/>
        <v>YES</v>
      </c>
      <c r="G571" s="594" t="s">
        <v>12713</v>
      </c>
      <c r="I571" s="1007" t="e">
        <f ca="1">_xll.BDP(E571 &amp; " Equity","SECURITY_NAME")</f>
        <v>#NAME?</v>
      </c>
      <c r="J571" s="1007" t="e">
        <f ca="1">_xll.BDP(G571 &amp; " Equity","Crncy")</f>
        <v>#NAME?</v>
      </c>
      <c r="K571" s="1108">
        <v>112.28</v>
      </c>
      <c r="M571" s="1108">
        <v>-670</v>
      </c>
      <c r="N571" s="974">
        <f t="shared" si="131"/>
        <v>75227.600000000006</v>
      </c>
      <c r="O571" s="817">
        <v>-45.14</v>
      </c>
      <c r="R571" s="978">
        <f t="shared" ref="R571:R572" si="136">SUM(N571:Q571)</f>
        <v>75182.460000000006</v>
      </c>
      <c r="S571" s="1108">
        <v>1</v>
      </c>
      <c r="T571" s="998">
        <f t="shared" si="128"/>
        <v>75182.460000000006</v>
      </c>
      <c r="U571" s="584">
        <v>44621</v>
      </c>
      <c r="V571" s="594" t="s">
        <v>1111</v>
      </c>
      <c r="W571" s="914">
        <v>44617.557539351852</v>
      </c>
      <c r="X571" s="971">
        <f t="shared" si="134"/>
        <v>-6.0004572789773961E-2</v>
      </c>
      <c r="Y571" s="584" t="s">
        <v>1693</v>
      </c>
      <c r="Z571" s="988" t="e">
        <f ca="1">VLOOKUP(AA571,'place of settlement'!A:C,2,FALSE)</f>
        <v>#NAME?</v>
      </c>
      <c r="AA571" s="988" t="e">
        <f t="shared" ca="1" si="133"/>
        <v>#NAME?</v>
      </c>
      <c r="AB571" s="988" t="s">
        <v>1806</v>
      </c>
      <c r="AC571" s="988" t="str">
        <f>VLOOKUP(AB571,sample!$1:$1048576,2,FALSE)</f>
        <v>EMSIITM1XXX</v>
      </c>
      <c r="AD571" s="988" t="str">
        <f>VLOOKUP($AB571,sample!$1:$1048576,3,FALSE)</f>
        <v>SICVFRPPXXX</v>
      </c>
      <c r="AE571" s="986" t="str">
        <f>VLOOKUP($AB571,sample!$1:$1048576,4,FALSE)</f>
        <v>SICVBCITITMMD00000L10</v>
      </c>
      <c r="AF571" s="988" t="str">
        <f>VLOOKUP($AB571,sample!$1:$1048576,5,FALSE)</f>
        <v>N</v>
      </c>
      <c r="AN571" s="986" t="str">
        <f>VLOOKUP($AB571,sample!$1:$1048576,13,FALSE)</f>
        <v>BCITITMMD00</v>
      </c>
      <c r="AP571" s="988"/>
    </row>
    <row r="572" spans="1:42">
      <c r="A572" s="911">
        <f t="shared" si="129"/>
        <v>2019200585</v>
      </c>
      <c r="B572" s="887">
        <v>44623</v>
      </c>
      <c r="C572" s="881" t="s">
        <v>134</v>
      </c>
      <c r="D572" s="1133" t="str">
        <f>IFERROR(VLOOKUP(G572,PosAggregate!$B$13:$B$89,1,FALSE),"")</f>
        <v>5713 JP</v>
      </c>
      <c r="E572" s="1013" t="s">
        <v>1187</v>
      </c>
      <c r="F572" s="1106" t="str">
        <f t="shared" si="130"/>
        <v>YES</v>
      </c>
      <c r="G572" s="594" t="s">
        <v>12705</v>
      </c>
      <c r="I572" s="1007" t="e">
        <f ca="1">_xll.BDP(E572 &amp; " Equity","SECURITY_NAME")</f>
        <v>#NAME?</v>
      </c>
      <c r="J572" s="1007" t="s">
        <v>125</v>
      </c>
      <c r="K572" s="1108">
        <v>6082</v>
      </c>
      <c r="M572" s="1108">
        <v>-5200</v>
      </c>
      <c r="N572" s="974">
        <f t="shared" si="131"/>
        <v>31626400</v>
      </c>
      <c r="O572" s="817">
        <v>-18976</v>
      </c>
      <c r="R572" s="978">
        <f t="shared" si="136"/>
        <v>31607424</v>
      </c>
      <c r="S572" s="1108">
        <v>1</v>
      </c>
      <c r="T572" s="998">
        <f t="shared" ref="T572:T630" si="137">+R572/S572</f>
        <v>31607424</v>
      </c>
      <c r="U572" s="584">
        <v>44627</v>
      </c>
      <c r="V572" s="594" t="s">
        <v>13012</v>
      </c>
      <c r="W572" s="914">
        <v>44637.338607754631</v>
      </c>
      <c r="X572" s="971">
        <f t="shared" si="134"/>
        <v>-6.0000505906457897E-2</v>
      </c>
      <c r="Y572" s="584" t="s">
        <v>1693</v>
      </c>
      <c r="Z572" s="988" t="str">
        <f>VLOOKUP(AA572,'place of settlement'!A:C,2,FALSE)</f>
        <v>JJSDJPJTXXX</v>
      </c>
      <c r="AA572" s="988" t="str">
        <f t="shared" si="133"/>
        <v>JP</v>
      </c>
      <c r="AB572" s="988" t="str">
        <f t="shared" si="132"/>
        <v>TAVIRAJP</v>
      </c>
      <c r="AC572" s="988" t="e">
        <f>VLOOKUP(AB572,sample!$1:$1048576,2,FALSE)</f>
        <v>#N/A</v>
      </c>
      <c r="AD572" s="988" t="e">
        <f>VLOOKUP($AB572,sample!$1:$1048576,3,FALSE)</f>
        <v>#N/A</v>
      </c>
      <c r="AE572" s="986" t="e">
        <f>VLOOKUP($AB572,sample!$1:$1048576,4,FALSE)</f>
        <v>#N/A</v>
      </c>
      <c r="AF572" s="988" t="e">
        <f>VLOOKUP($AB572,sample!$1:$1048576,5,FALSE)</f>
        <v>#N/A</v>
      </c>
      <c r="AN572" s="986" t="e">
        <f>VLOOKUP($AB572,sample!$1:$1048576,13,FALSE)</f>
        <v>#N/A</v>
      </c>
      <c r="AP572" s="988"/>
    </row>
    <row r="573" spans="1:42">
      <c r="A573" s="911">
        <f t="shared" si="129"/>
        <v>2019200586</v>
      </c>
      <c r="B573" s="881">
        <v>44636</v>
      </c>
      <c r="C573" s="881" t="s">
        <v>133</v>
      </c>
      <c r="D573" s="1133" t="str">
        <f>IFERROR(VLOOKUP(G573,PosAggregate!$B$13:$B$89,1,FALSE),"")</f>
        <v>096775 KS</v>
      </c>
      <c r="E573" s="1013" t="e">
        <f ca="1">_xll.BDP(G573  &amp; " Equity", "ID_ISIN", "Fill", "")</f>
        <v>#NAME?</v>
      </c>
      <c r="F573" s="1106" t="str">
        <f t="shared" si="130"/>
        <v>YES</v>
      </c>
      <c r="G573" s="594" t="s">
        <v>12711</v>
      </c>
      <c r="I573" s="1007" t="e">
        <f ca="1">_xll.BDP(E573 &amp; " Equity","SECURITY_NAME")</f>
        <v>#NAME?</v>
      </c>
      <c r="J573" s="1007" t="e">
        <f ca="1">_xll.BDP(G573 &amp; " Equity","Crncy")</f>
        <v>#NAME?</v>
      </c>
      <c r="K573" s="1108">
        <v>125067.1406</v>
      </c>
      <c r="M573" s="1108">
        <v>633</v>
      </c>
      <c r="N573" s="985">
        <f t="shared" si="131"/>
        <v>-79167499.999799997</v>
      </c>
      <c r="O573" s="817">
        <v>-118751</v>
      </c>
      <c r="R573" s="982">
        <f t="shared" si="135"/>
        <v>-79286250.999799997</v>
      </c>
      <c r="S573" s="1108">
        <v>1363.57</v>
      </c>
      <c r="T573" s="998">
        <f t="shared" si="137"/>
        <v>-58146.080509104773</v>
      </c>
      <c r="U573" s="584">
        <v>44638</v>
      </c>
      <c r="V573" s="594" t="s">
        <v>1114</v>
      </c>
      <c r="W573" s="914">
        <v>44635.874279861113</v>
      </c>
      <c r="X573" s="971">
        <f t="shared" si="134"/>
        <v>0.14999968421422932</v>
      </c>
      <c r="Y573" s="584" t="s">
        <v>1693</v>
      </c>
      <c r="Z573" s="988" t="e">
        <f ca="1">VLOOKUP(AA573,'place of settlement'!A:C,2,FALSE)</f>
        <v>#NAME?</v>
      </c>
      <c r="AA573" s="988" t="e">
        <f t="shared" ca="1" si="133"/>
        <v>#NAME?</v>
      </c>
      <c r="AB573" s="988" t="e">
        <f t="shared" ca="1" si="132"/>
        <v>#NAME?</v>
      </c>
      <c r="AC573" s="988" t="e">
        <f ca="1">VLOOKUP(AB573,sample!$1:$1048576,2,FALSE)</f>
        <v>#NAME?</v>
      </c>
      <c r="AD573" s="988" t="e">
        <f ca="1">VLOOKUP($AB573,sample!$1:$1048576,3,FALSE)</f>
        <v>#NAME?</v>
      </c>
      <c r="AE573" s="986" t="e">
        <f ca="1">VLOOKUP($AB573,sample!$1:$1048576,4,FALSE)</f>
        <v>#NAME?</v>
      </c>
      <c r="AF573" s="988" t="e">
        <f ca="1">VLOOKUP($AB573,sample!$1:$1048576,5,FALSE)</f>
        <v>#NAME?</v>
      </c>
      <c r="AN573" s="986" t="e">
        <f ca="1">VLOOKUP($AB573,sample!$1:$1048576,13,FALSE)</f>
        <v>#NAME?</v>
      </c>
      <c r="AP573" s="988"/>
    </row>
    <row r="574" spans="1:42">
      <c r="A574" s="911">
        <f t="shared" si="129"/>
        <v>2019200587</v>
      </c>
      <c r="B574" s="881">
        <v>44636</v>
      </c>
      <c r="C574" s="881" t="s">
        <v>134</v>
      </c>
      <c r="D574" s="1133" t="str">
        <f>IFERROR(VLOOKUP(G574,PosAggregate!$B$13:$B$89,1,FALSE),"")</f>
        <v>ERA FP</v>
      </c>
      <c r="E574" s="1013" t="e">
        <f ca="1">_xll.BDP(G574  &amp; " Equity", "ID_ISIN", "Fill", "")</f>
        <v>#NAME?</v>
      </c>
      <c r="F574" s="1106" t="str">
        <f t="shared" si="130"/>
        <v>YES</v>
      </c>
      <c r="G574" s="594" t="s">
        <v>12713</v>
      </c>
      <c r="I574" s="1007" t="e">
        <f ca="1">_xll.BDP(E574 &amp; " Equity","SECURITY_NAME")</f>
        <v>#NAME?</v>
      </c>
      <c r="J574" s="1007" t="e">
        <f ca="1">_xll.BDP(G574 &amp; " Equity","Crncy")</f>
        <v>#NAME?</v>
      </c>
      <c r="K574" s="1108">
        <v>122.5317</v>
      </c>
      <c r="M574" s="1108">
        <v>-940</v>
      </c>
      <c r="N574" s="985">
        <f t="shared" si="131"/>
        <v>115179.798</v>
      </c>
      <c r="O574" s="817">
        <v>-69.11</v>
      </c>
      <c r="R574" s="982">
        <f t="shared" si="135"/>
        <v>115110.68799999999</v>
      </c>
      <c r="S574" s="1108">
        <v>1</v>
      </c>
      <c r="T574" s="998">
        <f t="shared" si="137"/>
        <v>115110.68799999999</v>
      </c>
      <c r="U574" s="584">
        <v>44638</v>
      </c>
      <c r="V574" s="594" t="s">
        <v>1111</v>
      </c>
      <c r="W574" s="914">
        <v>44637.345227546299</v>
      </c>
      <c r="X574" s="971">
        <f t="shared" si="134"/>
        <v>-6.0001841642403297E-2</v>
      </c>
      <c r="Y574" s="584" t="s">
        <v>1693</v>
      </c>
      <c r="Z574" s="988" t="e">
        <f ca="1">VLOOKUP(AA574,'place of settlement'!A:C,2,FALSE)</f>
        <v>#NAME?</v>
      </c>
      <c r="AA574" s="988" t="e">
        <f t="shared" ca="1" si="133"/>
        <v>#NAME?</v>
      </c>
      <c r="AB574" s="988" t="s">
        <v>1806</v>
      </c>
      <c r="AC574" s="988" t="str">
        <f>VLOOKUP(AB574,sample!$1:$1048576,2,FALSE)</f>
        <v>EMSIITM1XXX</v>
      </c>
      <c r="AD574" s="988" t="str">
        <f>VLOOKUP($AB574,sample!$1:$1048576,3,FALSE)</f>
        <v>SICVFRPPXXX</v>
      </c>
      <c r="AE574" s="986" t="str">
        <f>VLOOKUP($AB574,sample!$1:$1048576,4,FALSE)</f>
        <v>SICVBCITITMMD00000L10</v>
      </c>
      <c r="AF574" s="988" t="str">
        <f>VLOOKUP($AB574,sample!$1:$1048576,5,FALSE)</f>
        <v>N</v>
      </c>
      <c r="AN574" s="986" t="str">
        <f>VLOOKUP($AB574,sample!$1:$1048576,13,FALSE)</f>
        <v>BCITITMMD00</v>
      </c>
      <c r="AP574" s="988"/>
    </row>
    <row r="575" spans="1:42">
      <c r="A575" s="911">
        <f t="shared" si="129"/>
        <v>2019200588</v>
      </c>
      <c r="B575" s="881">
        <v>44637</v>
      </c>
      <c r="C575" s="881" t="s">
        <v>133</v>
      </c>
      <c r="D575" s="1133" t="str">
        <f>IFERROR(VLOOKUP(G575,PosAggregate!$B$13:$B$89,1,FALSE),"")</f>
        <v>051915 KS</v>
      </c>
      <c r="E575" s="1013" t="e">
        <f ca="1">_xll.BDP(G575  &amp; " Equity", "ID_ISIN", "Fill", "")</f>
        <v>#NAME?</v>
      </c>
      <c r="F575" s="1106" t="str">
        <f t="shared" si="130"/>
        <v>YES</v>
      </c>
      <c r="G575" s="594" t="s">
        <v>12709</v>
      </c>
      <c r="I575" s="1007" t="e">
        <f ca="1">_xll.BDP(E575 &amp; " Equity","SECURITY_NAME")</f>
        <v>#NAME?</v>
      </c>
      <c r="J575" s="1007" t="e">
        <f ca="1">_xll.BDP(G575 &amp; " Equity","Crncy")</f>
        <v>#NAME?</v>
      </c>
      <c r="K575" s="1108">
        <v>249527.2727</v>
      </c>
      <c r="M575" s="1108">
        <v>1100</v>
      </c>
      <c r="N575" s="985">
        <f t="shared" si="131"/>
        <v>-274479999.97000003</v>
      </c>
      <c r="O575" s="817">
        <v>-411720</v>
      </c>
      <c r="R575" s="982">
        <f t="shared" si="135"/>
        <v>-274891719.97000003</v>
      </c>
      <c r="S575" s="1108">
        <v>1338.58</v>
      </c>
      <c r="T575" s="998">
        <f t="shared" si="137"/>
        <v>-205360.69564015602</v>
      </c>
      <c r="U575" s="584">
        <v>44641</v>
      </c>
      <c r="V575" s="594" t="s">
        <v>1114</v>
      </c>
      <c r="W575" s="914">
        <v>44637.355601504627</v>
      </c>
      <c r="X575" s="971">
        <f t="shared" si="134"/>
        <v>0.1500000000163946</v>
      </c>
      <c r="Y575" s="584" t="s">
        <v>1693</v>
      </c>
      <c r="Z575" s="988" t="e">
        <f ca="1">VLOOKUP(AA575,'place of settlement'!A:C,2,FALSE)</f>
        <v>#NAME?</v>
      </c>
      <c r="AA575" s="988" t="e">
        <f t="shared" ca="1" si="133"/>
        <v>#NAME?</v>
      </c>
      <c r="AB575" s="988" t="e">
        <f t="shared" ca="1" si="132"/>
        <v>#NAME?</v>
      </c>
      <c r="AC575" s="988" t="e">
        <f ca="1">VLOOKUP(AB575,sample!$1:$1048576,2,FALSE)</f>
        <v>#NAME?</v>
      </c>
      <c r="AD575" s="988" t="e">
        <f ca="1">VLOOKUP($AB575,sample!$1:$1048576,3,FALSE)</f>
        <v>#NAME?</v>
      </c>
      <c r="AE575" s="986" t="e">
        <f ca="1">VLOOKUP($AB575,sample!$1:$1048576,4,FALSE)</f>
        <v>#NAME?</v>
      </c>
      <c r="AF575" s="988" t="e">
        <f ca="1">VLOOKUP($AB575,sample!$1:$1048576,5,FALSE)</f>
        <v>#NAME?</v>
      </c>
      <c r="AN575" s="986" t="e">
        <f ca="1">VLOOKUP($AB575,sample!$1:$1048576,13,FALSE)</f>
        <v>#NAME?</v>
      </c>
      <c r="AP575" s="988"/>
    </row>
    <row r="576" spans="1:42">
      <c r="A576" s="911">
        <f t="shared" si="129"/>
        <v>2019200589</v>
      </c>
      <c r="B576" s="881">
        <v>44638</v>
      </c>
      <c r="C576" s="881" t="s">
        <v>134</v>
      </c>
      <c r="D576" s="1133" t="str">
        <f>IFERROR(VLOOKUP(G576,PosAggregate!$B$13:$B$89,1,FALSE),"")</f>
        <v>5713 JP</v>
      </c>
      <c r="E576" s="1013" t="e">
        <f ca="1">_xll.BDP(G576  &amp; " Equity", "ID_ISIN", "Fill", "")</f>
        <v>#NAME?</v>
      </c>
      <c r="F576" s="1106" t="str">
        <f t="shared" si="130"/>
        <v>YES</v>
      </c>
      <c r="G576" s="594" t="s">
        <v>12705</v>
      </c>
      <c r="I576" s="1007" t="e">
        <f ca="1">_xll.BDP(E576 &amp; " Equity","SECURITY_NAME")</f>
        <v>#NAME?</v>
      </c>
      <c r="J576" s="1007" t="e">
        <f ca="1">_xll.BDP(G576 &amp; " Equity","Crncy")</f>
        <v>#NAME?</v>
      </c>
      <c r="K576" s="1108">
        <v>6006.421053</v>
      </c>
      <c r="M576" s="1108">
        <v>-3800</v>
      </c>
      <c r="N576" s="985">
        <f t="shared" si="131"/>
        <v>22824400.001400001</v>
      </c>
      <c r="O576" s="817">
        <v>-13695</v>
      </c>
      <c r="R576" s="982">
        <f t="shared" si="135"/>
        <v>22810705.001400001</v>
      </c>
      <c r="S576" s="1108">
        <v>131.61000000000001</v>
      </c>
      <c r="T576" s="998">
        <f t="shared" si="137"/>
        <v>173320.45438340551</v>
      </c>
      <c r="U576" s="584">
        <v>44643</v>
      </c>
      <c r="V576" s="594" t="s">
        <v>1656</v>
      </c>
      <c r="W576" s="914">
        <v>44638.378433564816</v>
      </c>
      <c r="X576" s="971">
        <f t="shared" si="134"/>
        <v>-6.0001577255743746E-2</v>
      </c>
      <c r="Y576" s="584" t="s">
        <v>1693</v>
      </c>
      <c r="Z576" s="988" t="e">
        <f ca="1">VLOOKUP(AA576,'place of settlement'!A:C,2,FALSE)</f>
        <v>#NAME?</v>
      </c>
      <c r="AA576" s="988" t="e">
        <f t="shared" ca="1" si="133"/>
        <v>#NAME?</v>
      </c>
      <c r="AB576" s="988" t="e">
        <f t="shared" ca="1" si="132"/>
        <v>#NAME?</v>
      </c>
      <c r="AC576" s="988" t="e">
        <f ca="1">VLOOKUP(AB576,sample!$1:$1048576,2,FALSE)</f>
        <v>#NAME?</v>
      </c>
      <c r="AD576" s="988" t="e">
        <f ca="1">VLOOKUP($AB576,sample!$1:$1048576,3,FALSE)</f>
        <v>#NAME?</v>
      </c>
      <c r="AE576" s="986" t="e">
        <f ca="1">VLOOKUP($AB576,sample!$1:$1048576,4,FALSE)</f>
        <v>#NAME?</v>
      </c>
      <c r="AF576" s="988" t="e">
        <f ca="1">VLOOKUP($AB576,sample!$1:$1048576,5,FALSE)</f>
        <v>#NAME?</v>
      </c>
      <c r="AN576" s="986" t="e">
        <f ca="1">VLOOKUP($AB576,sample!$1:$1048576,13,FALSE)</f>
        <v>#NAME?</v>
      </c>
      <c r="AP576" s="988"/>
    </row>
    <row r="577" spans="1:42">
      <c r="A577" s="911" t="s">
        <v>13013</v>
      </c>
      <c r="B577" s="881">
        <v>44642</v>
      </c>
      <c r="C577" s="881" t="s">
        <v>134</v>
      </c>
      <c r="D577" s="1133" t="str">
        <f>IFERROR(VLOOKUP(G577,PosAggregate!$B$13:$B$89,1,FALSE),"")</f>
        <v>ERA FP</v>
      </c>
      <c r="E577" s="1013" t="s">
        <v>1215</v>
      </c>
      <c r="F577" s="1106" t="str">
        <f t="shared" si="130"/>
        <v>YES</v>
      </c>
      <c r="G577" s="594" t="s">
        <v>12713</v>
      </c>
      <c r="I577" s="1007" t="s">
        <v>1064</v>
      </c>
      <c r="J577" s="1007" t="s">
        <v>2</v>
      </c>
      <c r="K577" s="1108">
        <v>144.2884</v>
      </c>
      <c r="M577" s="1108">
        <v>-800</v>
      </c>
      <c r="N577" s="985">
        <v>115430.72</v>
      </c>
      <c r="O577" s="817">
        <v>-69.260000000000005</v>
      </c>
      <c r="R577" s="982">
        <v>115361.46</v>
      </c>
      <c r="S577" s="1108">
        <v>1</v>
      </c>
      <c r="T577" s="998">
        <v>115361.46</v>
      </c>
      <c r="U577" s="584">
        <v>44644</v>
      </c>
      <c r="V577" s="594" t="s">
        <v>1111</v>
      </c>
      <c r="W577" s="914">
        <v>44642.389989236108</v>
      </c>
      <c r="X577" s="971">
        <v>-6.0001358390556696E-2</v>
      </c>
      <c r="Y577" s="584" t="s">
        <v>1693</v>
      </c>
      <c r="Z577" s="988" t="s">
        <v>1756</v>
      </c>
      <c r="AA577" s="988" t="s">
        <v>1755</v>
      </c>
      <c r="AB577" s="988" t="s">
        <v>1806</v>
      </c>
      <c r="AC577" s="988" t="s">
        <v>1691</v>
      </c>
      <c r="AD577" s="988" t="s">
        <v>1756</v>
      </c>
      <c r="AE577" s="986" t="s">
        <v>1807</v>
      </c>
      <c r="AF577" s="988" t="s">
        <v>1794</v>
      </c>
      <c r="AN577" s="986" t="str">
        <f>VLOOKUP($AB577,sample!$1:$1048576,13,FALSE)</f>
        <v>BCITITMMD00</v>
      </c>
      <c r="AP577" s="988"/>
    </row>
    <row r="578" spans="1:42">
      <c r="A578" s="911">
        <v>2019200591</v>
      </c>
      <c r="B578" s="881">
        <v>44644</v>
      </c>
      <c r="C578" s="881" t="s">
        <v>134</v>
      </c>
      <c r="D578" s="1133" t="str">
        <f>IFERROR(VLOOKUP(G578,PosAggregate!$B$13:$B$89,1,FALSE),"")</f>
        <v>ERA FP</v>
      </c>
      <c r="E578" s="1013" t="s">
        <v>1215</v>
      </c>
      <c r="F578" s="1106" t="str">
        <f t="shared" si="130"/>
        <v>YES</v>
      </c>
      <c r="G578" s="594" t="s">
        <v>12713</v>
      </c>
      <c r="I578" s="1007" t="s">
        <v>1064</v>
      </c>
      <c r="J578" s="1007" t="s">
        <v>2</v>
      </c>
      <c r="K578" s="1108">
        <v>147.05699999999999</v>
      </c>
      <c r="M578" s="1108">
        <v>-900</v>
      </c>
      <c r="N578" s="985">
        <v>132351.29999999999</v>
      </c>
      <c r="O578" s="817">
        <v>-79.41</v>
      </c>
      <c r="R578" s="982">
        <v>132271.88999999998</v>
      </c>
      <c r="S578" s="1108">
        <v>1</v>
      </c>
      <c r="T578" s="998">
        <v>132271.88999999998</v>
      </c>
      <c r="U578" s="584">
        <v>44645</v>
      </c>
      <c r="V578" s="594" t="s">
        <v>1111</v>
      </c>
      <c r="W578" s="914">
        <v>44644.384238773149</v>
      </c>
      <c r="X578" s="971">
        <v>-5.9999410659358841E-2</v>
      </c>
      <c r="Y578" s="584" t="s">
        <v>1693</v>
      </c>
      <c r="Z578" s="988" t="s">
        <v>1756</v>
      </c>
      <c r="AA578" s="988" t="s">
        <v>1755</v>
      </c>
      <c r="AB578" s="988" t="s">
        <v>1806</v>
      </c>
      <c r="AC578" s="988" t="s">
        <v>1691</v>
      </c>
      <c r="AD578" s="988" t="s">
        <v>1756</v>
      </c>
      <c r="AE578" s="986" t="s">
        <v>1807</v>
      </c>
      <c r="AF578" s="988" t="s">
        <v>1794</v>
      </c>
      <c r="AN578" s="986" t="str">
        <f>VLOOKUP($AB578,sample!$1:$1048576,13,FALSE)</f>
        <v>BCITITMMD00</v>
      </c>
      <c r="AP578" s="988"/>
    </row>
    <row r="579" spans="1:42">
      <c r="A579" s="911">
        <v>2019200592</v>
      </c>
      <c r="B579" s="881">
        <v>44645</v>
      </c>
      <c r="C579" s="881" t="s">
        <v>134</v>
      </c>
      <c r="D579" s="1133" t="str">
        <f>IFERROR(VLOOKUP(G579,PosAggregate!$B$13:$B$89,1,FALSE),"")</f>
        <v>ERA FP</v>
      </c>
      <c r="E579" s="1013" t="s">
        <v>1215</v>
      </c>
      <c r="F579" s="1106" t="str">
        <f t="shared" si="130"/>
        <v>YES</v>
      </c>
      <c r="G579" s="594" t="s">
        <v>12713</v>
      </c>
      <c r="I579" s="1007" t="s">
        <v>1064</v>
      </c>
      <c r="J579" s="1007" t="s">
        <v>2</v>
      </c>
      <c r="K579" s="1108">
        <v>159.39689999999999</v>
      </c>
      <c r="M579" s="1108">
        <v>-1100</v>
      </c>
      <c r="N579" s="985">
        <v>175336.59</v>
      </c>
      <c r="O579" s="817">
        <v>-105.2</v>
      </c>
      <c r="R579" s="982">
        <v>175231.38999999998</v>
      </c>
      <c r="S579" s="1108">
        <v>1</v>
      </c>
      <c r="T579" s="998">
        <v>175231.38999999998</v>
      </c>
      <c r="U579" s="584">
        <v>44649</v>
      </c>
      <c r="V579" s="594" t="s">
        <v>1111</v>
      </c>
      <c r="W579" s="914">
        <v>44648.349066666669</v>
      </c>
      <c r="X579" s="971">
        <v>-5.9998885572030349E-2</v>
      </c>
      <c r="Y579" s="584" t="s">
        <v>1693</v>
      </c>
      <c r="Z579" s="988" t="s">
        <v>1756</v>
      </c>
      <c r="AA579" s="988" t="s">
        <v>1755</v>
      </c>
      <c r="AB579" s="988" t="s">
        <v>1806</v>
      </c>
      <c r="AC579" s="988" t="s">
        <v>1691</v>
      </c>
      <c r="AD579" s="988" t="s">
        <v>1756</v>
      </c>
      <c r="AE579" s="986" t="s">
        <v>1807</v>
      </c>
      <c r="AF579" s="988" t="s">
        <v>1794</v>
      </c>
      <c r="AN579" s="986" t="str">
        <f>VLOOKUP($AB579,sample!$1:$1048576,13,FALSE)</f>
        <v>BCITITMMD00</v>
      </c>
      <c r="AP579" s="988"/>
    </row>
    <row r="580" spans="1:42">
      <c r="A580" s="911">
        <v>2019200593</v>
      </c>
      <c r="B580" s="881">
        <v>44655</v>
      </c>
      <c r="C580" s="881" t="s">
        <v>134</v>
      </c>
      <c r="D580" s="1133" t="str">
        <f>IFERROR(VLOOKUP(G580,PosAggregate!$B$13:$B$89,1,FALSE),"")</f>
        <v>7013 JP</v>
      </c>
      <c r="E580" s="1013" t="s">
        <v>12865</v>
      </c>
      <c r="F580" s="1106" t="str">
        <f t="shared" ref="F580:F639" si="138">IF(D580=G580,"YES","NO")</f>
        <v>YES</v>
      </c>
      <c r="G580" s="594" t="s">
        <v>12877</v>
      </c>
      <c r="I580" s="1007" t="s">
        <v>12867</v>
      </c>
      <c r="J580" s="1007" t="s">
        <v>125</v>
      </c>
      <c r="K580" s="1108">
        <v>2900.9418999999998</v>
      </c>
      <c r="M580" s="1108">
        <v>-11700</v>
      </c>
      <c r="N580" s="985">
        <v>33941020.229999997</v>
      </c>
      <c r="O580" s="817">
        <v>-20365</v>
      </c>
      <c r="R580" s="982">
        <v>33920655.229999997</v>
      </c>
      <c r="S580" s="1108">
        <v>135.21</v>
      </c>
      <c r="T580" s="998">
        <v>250873.86458102206</v>
      </c>
      <c r="U580" s="584">
        <v>44657</v>
      </c>
      <c r="V580" s="594" t="s">
        <v>1656</v>
      </c>
      <c r="W580" s="914">
        <v>44655.416285879626</v>
      </c>
      <c r="X580" s="971">
        <v>-6.0001142752920726E-2</v>
      </c>
      <c r="Y580" s="584" t="s">
        <v>1693</v>
      </c>
      <c r="Z580" s="988" t="s">
        <v>1736</v>
      </c>
      <c r="AA580" s="988" t="s">
        <v>1735</v>
      </c>
      <c r="AB580" s="988" t="s">
        <v>1967</v>
      </c>
      <c r="AC580" s="988" t="s">
        <v>1836</v>
      </c>
      <c r="AD580" s="988" t="s">
        <v>1736</v>
      </c>
      <c r="AE580" s="986">
        <v>6530490016</v>
      </c>
      <c r="AF580" s="988" t="s">
        <v>1794</v>
      </c>
      <c r="AN580" s="986" t="str">
        <f>VLOOKUP($AB580,sample!$1:$1048576,13,FALSE)</f>
        <v>GOLDJPJXXXX</v>
      </c>
      <c r="AP580" s="988"/>
    </row>
    <row r="581" spans="1:42">
      <c r="A581" s="911">
        <v>2019200594</v>
      </c>
      <c r="B581" s="881">
        <v>44655</v>
      </c>
      <c r="C581" s="881" t="s">
        <v>133</v>
      </c>
      <c r="D581" s="1133" t="str">
        <f>IFERROR(VLOOKUP(G581,PosAggregate!$B$13:$B$89,1,FALSE),"")</f>
        <v>5714 JP</v>
      </c>
      <c r="E581" s="1013" t="s">
        <v>13015</v>
      </c>
      <c r="F581" s="1106" t="str">
        <f t="shared" si="138"/>
        <v>YES</v>
      </c>
      <c r="G581" s="594" t="s">
        <v>13014</v>
      </c>
      <c r="I581" s="1007" t="s">
        <v>13016</v>
      </c>
      <c r="J581" s="1007" t="s">
        <v>125</v>
      </c>
      <c r="K581" s="1108">
        <v>5705.1514999999999</v>
      </c>
      <c r="M581" s="1108">
        <v>3300</v>
      </c>
      <c r="N581" s="985">
        <v>-18826999.949999999</v>
      </c>
      <c r="O581" s="817">
        <v>-11296</v>
      </c>
      <c r="R581" s="982">
        <v>-18838295.949999999</v>
      </c>
      <c r="S581" s="1108">
        <v>135.21</v>
      </c>
      <c r="T581" s="998">
        <v>-139326.20331336439</v>
      </c>
      <c r="U581" s="584">
        <v>44657</v>
      </c>
      <c r="V581" s="594" t="s">
        <v>1656</v>
      </c>
      <c r="W581" s="914">
        <v>44655.416959374998</v>
      </c>
      <c r="X581" s="971">
        <v>5.9998937855205124E-2</v>
      </c>
      <c r="Y581" s="584" t="s">
        <v>1693</v>
      </c>
      <c r="Z581" s="988" t="s">
        <v>1736</v>
      </c>
      <c r="AA581" s="988" t="s">
        <v>1735</v>
      </c>
      <c r="AB581" s="988" t="s">
        <v>1967</v>
      </c>
      <c r="AC581" s="988" t="s">
        <v>1836</v>
      </c>
      <c r="AD581" s="988" t="s">
        <v>1736</v>
      </c>
      <c r="AE581" s="986">
        <v>6530490016</v>
      </c>
      <c r="AF581" s="988" t="s">
        <v>1794</v>
      </c>
      <c r="AN581" s="986" t="str">
        <f>VLOOKUP($AB581,sample!$1:$1048576,13,FALSE)</f>
        <v>GOLDJPJXXXX</v>
      </c>
      <c r="AP581" s="988"/>
    </row>
    <row r="582" spans="1:42">
      <c r="A582" s="911">
        <v>2019200595</v>
      </c>
      <c r="B582" s="881">
        <v>44655</v>
      </c>
      <c r="C582" s="881" t="s">
        <v>133</v>
      </c>
      <c r="D582" s="1133" t="str">
        <f>IFERROR(VLOOKUP(G582,PosAggregate!$B$13:$B$89,1,FALSE),"")</f>
        <v>5711 JP</v>
      </c>
      <c r="E582" s="1013" t="s">
        <v>13018</v>
      </c>
      <c r="F582" s="1106" t="str">
        <f t="shared" si="138"/>
        <v>YES</v>
      </c>
      <c r="G582" s="594" t="s">
        <v>13017</v>
      </c>
      <c r="I582" s="1007" t="s">
        <v>13019</v>
      </c>
      <c r="J582" s="1007" t="s">
        <v>125</v>
      </c>
      <c r="K582" s="1108">
        <v>2160.9773</v>
      </c>
      <c r="M582" s="1108">
        <v>9000</v>
      </c>
      <c r="N582" s="985">
        <v>-19448795.699999999</v>
      </c>
      <c r="O582" s="817">
        <v>-11669</v>
      </c>
      <c r="R582" s="982">
        <v>-19460464.699999999</v>
      </c>
      <c r="S582" s="1108">
        <v>135.21</v>
      </c>
      <c r="T582" s="998">
        <v>-143927.70283263072</v>
      </c>
      <c r="U582" s="584">
        <v>44657</v>
      </c>
      <c r="V582" s="594" t="s">
        <v>1656</v>
      </c>
      <c r="W582" s="914">
        <v>44655.417221064818</v>
      </c>
      <c r="X582" s="971">
        <v>5.999857358777233E-2</v>
      </c>
      <c r="Y582" s="584" t="s">
        <v>1693</v>
      </c>
      <c r="Z582" s="988" t="s">
        <v>1736</v>
      </c>
      <c r="AA582" s="988" t="s">
        <v>1735</v>
      </c>
      <c r="AB582" s="988" t="s">
        <v>1967</v>
      </c>
      <c r="AC582" s="988" t="s">
        <v>1836</v>
      </c>
      <c r="AD582" s="988" t="s">
        <v>1736</v>
      </c>
      <c r="AE582" s="986">
        <v>6530490016</v>
      </c>
      <c r="AF582" s="988" t="s">
        <v>1794</v>
      </c>
      <c r="AN582" s="986" t="str">
        <f>VLOOKUP($AB582,sample!$1:$1048576,13,FALSE)</f>
        <v>GOLDJPJXXXX</v>
      </c>
      <c r="AP582" s="988"/>
    </row>
    <row r="583" spans="1:42">
      <c r="A583" s="911">
        <v>2019200596</v>
      </c>
      <c r="B583" s="881">
        <v>44655</v>
      </c>
      <c r="C583" s="881" t="s">
        <v>134</v>
      </c>
      <c r="D583" s="1133" t="str">
        <f>IFERROR(VLOOKUP(G583,PosAggregate!$B$13:$B$89,1,FALSE),"")</f>
        <v>5310 JP</v>
      </c>
      <c r="E583" s="1013" t="s">
        <v>1194</v>
      </c>
      <c r="F583" s="1106" t="str">
        <f t="shared" si="138"/>
        <v>YES</v>
      </c>
      <c r="G583" s="594" t="s">
        <v>12753</v>
      </c>
      <c r="I583" s="1007" t="s">
        <v>1083</v>
      </c>
      <c r="J583" s="1007" t="s">
        <v>125</v>
      </c>
      <c r="K583" s="1108">
        <v>3116.9603000000002</v>
      </c>
      <c r="M583" s="1108">
        <v>-4000</v>
      </c>
      <c r="N583" s="985">
        <v>12467841.200000001</v>
      </c>
      <c r="O583" s="817">
        <v>-7481</v>
      </c>
      <c r="R583" s="982">
        <v>12460360.200000001</v>
      </c>
      <c r="S583" s="1108">
        <v>135.21</v>
      </c>
      <c r="T583" s="998">
        <v>92155.611271355665</v>
      </c>
      <c r="U583" s="584">
        <v>44657</v>
      </c>
      <c r="V583" s="594" t="s">
        <v>1656</v>
      </c>
      <c r="W583" s="914">
        <v>44655.418480902779</v>
      </c>
      <c r="X583" s="971">
        <v>-6.0002368333019827E-2</v>
      </c>
      <c r="Y583" s="584" t="s">
        <v>1693</v>
      </c>
      <c r="Z583" s="988" t="s">
        <v>1736</v>
      </c>
      <c r="AA583" s="988" t="s">
        <v>1735</v>
      </c>
      <c r="AB583" s="988" t="s">
        <v>1967</v>
      </c>
      <c r="AC583" s="988" t="s">
        <v>1836</v>
      </c>
      <c r="AD583" s="988" t="s">
        <v>1736</v>
      </c>
      <c r="AE583" s="986">
        <v>6530490016</v>
      </c>
      <c r="AF583" s="988" t="s">
        <v>1794</v>
      </c>
      <c r="AN583" s="986" t="str">
        <f>VLOOKUP($AB583,sample!$1:$1048576,13,FALSE)</f>
        <v>GOLDJPJXXXX</v>
      </c>
      <c r="AP583" s="988"/>
    </row>
    <row r="584" spans="1:42">
      <c r="A584" s="911">
        <v>2019200597</v>
      </c>
      <c r="B584" s="881">
        <v>44655</v>
      </c>
      <c r="C584" s="881" t="s">
        <v>133</v>
      </c>
      <c r="D584" s="1133" t="str">
        <f>IFERROR(VLOOKUP(G584,PosAggregate!$B$13:$B$89,1,FALSE),"")</f>
        <v>CON GR</v>
      </c>
      <c r="E584" s="1013" t="s">
        <v>1218</v>
      </c>
      <c r="F584" s="1106" t="str">
        <f t="shared" si="138"/>
        <v>YES</v>
      </c>
      <c r="G584" s="594" t="s">
        <v>12715</v>
      </c>
      <c r="I584" s="1007" t="s">
        <v>1060</v>
      </c>
      <c r="J584" s="1007" t="s">
        <v>2</v>
      </c>
      <c r="K584" s="1108">
        <v>65.464399999999998</v>
      </c>
      <c r="M584" s="1108">
        <v>1700</v>
      </c>
      <c r="N584" s="985">
        <v>-111289.48</v>
      </c>
      <c r="O584" s="817">
        <v>-66.77</v>
      </c>
      <c r="R584" s="982">
        <v>-111356.25</v>
      </c>
      <c r="S584" s="1108">
        <v>1</v>
      </c>
      <c r="T584" s="998">
        <v>-111356.25</v>
      </c>
      <c r="U584" s="584">
        <v>44657</v>
      </c>
      <c r="V584" s="594" t="s">
        <v>1111</v>
      </c>
      <c r="W584" s="914">
        <v>44655.905783680559</v>
      </c>
      <c r="X584" s="971">
        <v>5.9996686119838098E-2</v>
      </c>
      <c r="Y584" s="584" t="s">
        <v>1693</v>
      </c>
      <c r="Z584" s="988" t="s">
        <v>1720</v>
      </c>
      <c r="AA584" s="988" t="s">
        <v>1719</v>
      </c>
      <c r="AB584" s="988" t="s">
        <v>1796</v>
      </c>
      <c r="AC584" s="988" t="s">
        <v>1691</v>
      </c>
      <c r="AD584" s="988" t="s">
        <v>1720</v>
      </c>
      <c r="AE584" s="986" t="s">
        <v>1797</v>
      </c>
      <c r="AF584" s="988" t="s">
        <v>1794</v>
      </c>
      <c r="AN584" s="986" t="str">
        <f>VLOOKUP($AB584,sample!$1:$1048576,13,FALSE)</f>
        <v>BCITITMMD03</v>
      </c>
      <c r="AP584" s="988"/>
    </row>
    <row r="585" spans="1:42">
      <c r="A585" s="911">
        <v>2019200598</v>
      </c>
      <c r="B585" s="881">
        <v>44655</v>
      </c>
      <c r="C585" s="881" t="s">
        <v>133</v>
      </c>
      <c r="D585" s="1133" t="str">
        <f>IFERROR(VLOOKUP(G585,PosAggregate!$B$13:$B$89,1,FALSE),"")</f>
        <v>VTSC GR</v>
      </c>
      <c r="E585" s="1013" t="s">
        <v>12863</v>
      </c>
      <c r="F585" s="1106" t="str">
        <f t="shared" si="138"/>
        <v>YES</v>
      </c>
      <c r="G585" s="594" t="s">
        <v>12862</v>
      </c>
      <c r="I585" s="1007" t="s">
        <v>12866</v>
      </c>
      <c r="J585" s="1007" t="s">
        <v>2</v>
      </c>
      <c r="K585" s="1108">
        <v>36.140099999999997</v>
      </c>
      <c r="M585" s="1108">
        <v>2200</v>
      </c>
      <c r="N585" s="985">
        <v>-79508.219999999987</v>
      </c>
      <c r="O585" s="817">
        <v>-47.7</v>
      </c>
      <c r="R585" s="982">
        <v>-79555.919999999984</v>
      </c>
      <c r="S585" s="1108">
        <v>1</v>
      </c>
      <c r="T585" s="998">
        <v>-79555.919999999984</v>
      </c>
      <c r="U585" s="584">
        <v>44657</v>
      </c>
      <c r="V585" s="594" t="s">
        <v>1111</v>
      </c>
      <c r="W585" s="914">
        <v>44655.90620972222</v>
      </c>
      <c r="X585" s="971">
        <v>5.9993796867795574E-2</v>
      </c>
      <c r="Y585" s="584" t="s">
        <v>1693</v>
      </c>
      <c r="Z585" s="988" t="s">
        <v>1720</v>
      </c>
      <c r="AA585" s="988" t="s">
        <v>1719</v>
      </c>
      <c r="AB585" s="988" t="s">
        <v>1796</v>
      </c>
      <c r="AC585" s="988" t="s">
        <v>1691</v>
      </c>
      <c r="AD585" s="988" t="s">
        <v>1720</v>
      </c>
      <c r="AE585" s="986" t="s">
        <v>1797</v>
      </c>
      <c r="AF585" s="988" t="s">
        <v>1794</v>
      </c>
      <c r="AN585" s="986" t="str">
        <f>VLOOKUP($AB585,sample!$1:$1048576,13,FALSE)</f>
        <v>BCITITMMD03</v>
      </c>
      <c r="AP585" s="988"/>
    </row>
    <row r="586" spans="1:42">
      <c r="A586" s="911">
        <v>2019200599</v>
      </c>
      <c r="B586" s="881">
        <v>44655</v>
      </c>
      <c r="C586" s="881" t="s">
        <v>133</v>
      </c>
      <c r="D586" s="1133" t="str">
        <f>IFERROR(VLOOKUP(G586,PosAggregate!$B$13:$B$89,1,FALSE),"")</f>
        <v>FR FP</v>
      </c>
      <c r="E586" s="1013" t="s">
        <v>1217</v>
      </c>
      <c r="F586" s="1106" t="str">
        <f t="shared" si="138"/>
        <v>YES</v>
      </c>
      <c r="G586" s="594" t="s">
        <v>12714</v>
      </c>
      <c r="I586" s="1007" t="s">
        <v>12762</v>
      </c>
      <c r="J586" s="1007" t="s">
        <v>2</v>
      </c>
      <c r="K586" s="1108">
        <v>16.646100000000001</v>
      </c>
      <c r="M586" s="1108">
        <v>8000</v>
      </c>
      <c r="N586" s="985">
        <v>-133168.80000000002</v>
      </c>
      <c r="O586" s="817">
        <v>-79.900000000000006</v>
      </c>
      <c r="P586" s="817">
        <v>-399.51</v>
      </c>
      <c r="R586" s="982">
        <v>-133648.21000000002</v>
      </c>
      <c r="S586" s="1108">
        <v>1</v>
      </c>
      <c r="T586" s="998">
        <v>-133648.21000000002</v>
      </c>
      <c r="U586" s="584">
        <v>44657</v>
      </c>
      <c r="V586" s="594" t="s">
        <v>1111</v>
      </c>
      <c r="W586" s="914">
        <v>44655.907254976853</v>
      </c>
      <c r="X586" s="971">
        <v>5.9999038813896344E-2</v>
      </c>
      <c r="Y586" s="584" t="s">
        <v>1693</v>
      </c>
      <c r="Z586" s="988" t="s">
        <v>1756</v>
      </c>
      <c r="AA586" s="988" t="s">
        <v>1755</v>
      </c>
      <c r="AB586" s="988" t="s">
        <v>1806</v>
      </c>
      <c r="AC586" s="988" t="s">
        <v>1691</v>
      </c>
      <c r="AD586" s="988" t="s">
        <v>1756</v>
      </c>
      <c r="AE586" s="986" t="s">
        <v>1807</v>
      </c>
      <c r="AF586" s="988" t="s">
        <v>1794</v>
      </c>
      <c r="AN586" s="986" t="str">
        <f>VLOOKUP($AB586,sample!$1:$1048576,13,FALSE)</f>
        <v>BCITITMMD00</v>
      </c>
      <c r="AP586" s="988"/>
    </row>
    <row r="587" spans="1:42">
      <c r="A587" s="911">
        <v>2019200600</v>
      </c>
      <c r="B587" s="881">
        <v>44655</v>
      </c>
      <c r="C587" s="881" t="s">
        <v>133</v>
      </c>
      <c r="D587" s="1133" t="str">
        <f>IFERROR(VLOOKUP(G587,PosAggregate!$B$13:$B$89,1,FALSE),"")</f>
        <v>RNO FP</v>
      </c>
      <c r="E587" s="1013" t="s">
        <v>1222</v>
      </c>
      <c r="F587" s="1106" t="str">
        <f t="shared" si="138"/>
        <v>YES</v>
      </c>
      <c r="G587" s="594" t="s">
        <v>12716</v>
      </c>
      <c r="I587" s="1007" t="s">
        <v>130</v>
      </c>
      <c r="J587" s="1007" t="s">
        <v>2</v>
      </c>
      <c r="K587" s="1108">
        <v>23.942399999999999</v>
      </c>
      <c r="M587" s="1108">
        <v>10100</v>
      </c>
      <c r="N587" s="985">
        <v>-241818.23999999999</v>
      </c>
      <c r="O587" s="817">
        <v>-145.09</v>
      </c>
      <c r="P587" s="817">
        <v>-725.45</v>
      </c>
      <c r="R587" s="982">
        <v>-242688.78</v>
      </c>
      <c r="S587" s="1108">
        <v>1</v>
      </c>
      <c r="T587" s="998">
        <v>-242688.78</v>
      </c>
      <c r="U587" s="584">
        <v>44657</v>
      </c>
      <c r="V587" s="594" t="s">
        <v>1111</v>
      </c>
      <c r="W587" s="914">
        <v>44655.908656828702</v>
      </c>
      <c r="X587" s="971">
        <v>5.9999609624154078E-2</v>
      </c>
      <c r="Y587" s="584" t="s">
        <v>1693</v>
      </c>
      <c r="Z587" s="988" t="s">
        <v>1756</v>
      </c>
      <c r="AA587" s="988" t="s">
        <v>1755</v>
      </c>
      <c r="AB587" s="988" t="s">
        <v>1806</v>
      </c>
      <c r="AC587" s="988" t="s">
        <v>1691</v>
      </c>
      <c r="AD587" s="988" t="s">
        <v>1756</v>
      </c>
      <c r="AE587" s="986" t="s">
        <v>1807</v>
      </c>
      <c r="AF587" s="988" t="s">
        <v>1794</v>
      </c>
      <c r="AN587" s="986" t="str">
        <f>VLOOKUP($AB587,sample!$1:$1048576,13,FALSE)</f>
        <v>BCITITMMD00</v>
      </c>
      <c r="AP587" s="988"/>
    </row>
    <row r="588" spans="1:42">
      <c r="A588" s="911">
        <v>2019200601</v>
      </c>
      <c r="B588" s="881">
        <v>44664</v>
      </c>
      <c r="C588" s="881" t="s">
        <v>134</v>
      </c>
      <c r="D588" s="1133" t="str">
        <f>IFERROR(VLOOKUP(G588,PosAggregate!$B$13:$B$89,1,FALSE),"")</f>
        <v>NK FP</v>
      </c>
      <c r="E588" s="1013" t="s">
        <v>1214</v>
      </c>
      <c r="F588" s="1106" t="str">
        <f t="shared" si="138"/>
        <v>YES</v>
      </c>
      <c r="G588" s="594" t="s">
        <v>12712</v>
      </c>
      <c r="I588" s="1007" t="s">
        <v>1180</v>
      </c>
      <c r="J588" s="1007" t="s">
        <v>2</v>
      </c>
      <c r="K588" s="1108">
        <v>37.616700000000002</v>
      </c>
      <c r="M588" s="1108">
        <v>-2775</v>
      </c>
      <c r="N588" s="985">
        <v>104386.3425</v>
      </c>
      <c r="O588" s="817">
        <v>-62.63</v>
      </c>
      <c r="P588" s="817"/>
      <c r="R588" s="982">
        <v>104323.71249999999</v>
      </c>
      <c r="S588" s="1108">
        <v>1</v>
      </c>
      <c r="T588" s="998">
        <v>104323.71249999999</v>
      </c>
      <c r="U588" s="584">
        <v>44670</v>
      </c>
      <c r="V588" s="594" t="s">
        <v>1111</v>
      </c>
      <c r="W588" s="914">
        <v>44664.669137037039</v>
      </c>
      <c r="X588" s="971">
        <v>-5.9998270367601012E-2</v>
      </c>
      <c r="Y588" s="584" t="s">
        <v>1693</v>
      </c>
      <c r="Z588" s="988" t="s">
        <v>1756</v>
      </c>
      <c r="AA588" s="988" t="s">
        <v>1755</v>
      </c>
      <c r="AB588" s="988" t="s">
        <v>1806</v>
      </c>
      <c r="AC588" s="988" t="s">
        <v>1691</v>
      </c>
      <c r="AD588" s="988" t="s">
        <v>1756</v>
      </c>
      <c r="AE588" s="986" t="s">
        <v>1807</v>
      </c>
      <c r="AF588" s="988" t="s">
        <v>1794</v>
      </c>
      <c r="AN588" s="986" t="str">
        <f>VLOOKUP($AB588,sample!$1:$1048576,13,FALSE)</f>
        <v>BCITITMMD00</v>
      </c>
      <c r="AP588" s="988"/>
    </row>
    <row r="589" spans="1:42">
      <c r="A589" s="911">
        <v>2019200602</v>
      </c>
      <c r="B589" s="881">
        <v>44665</v>
      </c>
      <c r="C589" s="881" t="s">
        <v>134</v>
      </c>
      <c r="D589" s="1133" t="str">
        <f>IFERROR(VLOOKUP(G589,PosAggregate!$B$13:$B$89,1,FALSE),"")</f>
        <v>5310 JP</v>
      </c>
      <c r="E589" s="1013" t="s">
        <v>1194</v>
      </c>
      <c r="F589" s="1106" t="str">
        <f t="shared" si="138"/>
        <v>YES</v>
      </c>
      <c r="G589" s="594" t="s">
        <v>12753</v>
      </c>
      <c r="I589" s="1007" t="s">
        <v>1083</v>
      </c>
      <c r="J589" s="1007" t="s">
        <v>125</v>
      </c>
      <c r="K589" s="1108">
        <v>2914.9285709999999</v>
      </c>
      <c r="M589" s="1108">
        <v>-1400</v>
      </c>
      <c r="N589" s="985">
        <v>4080899.9994000001</v>
      </c>
      <c r="O589" s="817">
        <v>-2449</v>
      </c>
      <c r="P589" s="817"/>
      <c r="R589" s="982">
        <v>4078450.9994000001</v>
      </c>
      <c r="S589" s="1108">
        <v>136.74</v>
      </c>
      <c r="T589" s="998">
        <v>29826.320019014187</v>
      </c>
      <c r="U589" s="584">
        <v>44669</v>
      </c>
      <c r="V589" s="594" t="s">
        <v>1656</v>
      </c>
      <c r="W589" s="914">
        <v>44664.837245833332</v>
      </c>
      <c r="X589" s="971">
        <v>-6.0011272032151425E-2</v>
      </c>
      <c r="Y589" s="584" t="s">
        <v>1693</v>
      </c>
      <c r="Z589" s="988" t="s">
        <v>1736</v>
      </c>
      <c r="AA589" s="988" t="s">
        <v>1735</v>
      </c>
      <c r="AB589" s="988" t="s">
        <v>1967</v>
      </c>
      <c r="AC589" s="988" t="s">
        <v>1836</v>
      </c>
      <c r="AD589" s="988" t="s">
        <v>1736</v>
      </c>
      <c r="AE589" s="986">
        <v>6530490016</v>
      </c>
      <c r="AF589" s="988" t="s">
        <v>1794</v>
      </c>
      <c r="AN589" s="986" t="str">
        <f>VLOOKUP($AB589,sample!$1:$1048576,13,FALSE)</f>
        <v>GOLDJPJXXXX</v>
      </c>
      <c r="AP589" s="988"/>
    </row>
    <row r="590" spans="1:42">
      <c r="A590" s="911">
        <v>2019200603</v>
      </c>
      <c r="B590" s="881">
        <v>44665</v>
      </c>
      <c r="C590" s="881" t="s">
        <v>134</v>
      </c>
      <c r="D590" s="1133" t="str">
        <f>IFERROR(VLOOKUP(G590,PosAggregate!$B$13:$B$89,1,FALSE),"")</f>
        <v>6502 JP</v>
      </c>
      <c r="E590" s="1013" t="s">
        <v>12676</v>
      </c>
      <c r="F590" s="1106" t="str">
        <f t="shared" si="138"/>
        <v>YES</v>
      </c>
      <c r="G590" s="594" t="s">
        <v>12724</v>
      </c>
      <c r="I590" s="1007" t="s">
        <v>12613</v>
      </c>
      <c r="J590" s="1007" t="s">
        <v>125</v>
      </c>
      <c r="K590" s="1108">
        <v>5021</v>
      </c>
      <c r="M590" s="1108">
        <v>-2700</v>
      </c>
      <c r="N590" s="985">
        <v>13556700</v>
      </c>
      <c r="O590" s="817">
        <v>-8134</v>
      </c>
      <c r="P590" s="817"/>
      <c r="R590" s="982">
        <v>13548566</v>
      </c>
      <c r="S590" s="1108">
        <v>136.74</v>
      </c>
      <c r="T590" s="998">
        <v>99082.682463068588</v>
      </c>
      <c r="U590" s="584">
        <v>44669</v>
      </c>
      <c r="V590" s="594" t="s">
        <v>1656</v>
      </c>
      <c r="W590" s="914">
        <v>44664.837545833332</v>
      </c>
      <c r="X590" s="971">
        <v>-5.9999852471471667E-2</v>
      </c>
      <c r="Y590" s="584" t="s">
        <v>1693</v>
      </c>
      <c r="Z590" s="988" t="s">
        <v>1736</v>
      </c>
      <c r="AA590" s="988" t="s">
        <v>1735</v>
      </c>
      <c r="AB590" s="988" t="s">
        <v>1967</v>
      </c>
      <c r="AC590" s="988" t="s">
        <v>1836</v>
      </c>
      <c r="AD590" s="988" t="s">
        <v>1736</v>
      </c>
      <c r="AE590" s="986">
        <v>6530490016</v>
      </c>
      <c r="AF590" s="988" t="s">
        <v>1794</v>
      </c>
      <c r="AN590" s="986" t="str">
        <f>VLOOKUP($AB590,sample!$1:$1048576,13,FALSE)</f>
        <v>GOLDJPJXXXX</v>
      </c>
      <c r="AP590" s="988"/>
    </row>
    <row r="591" spans="1:42">
      <c r="A591" s="911">
        <v>2019200604</v>
      </c>
      <c r="B591" s="881">
        <v>44665</v>
      </c>
      <c r="C591" s="881" t="s">
        <v>133</v>
      </c>
      <c r="D591" s="1133" t="str">
        <f>IFERROR(VLOOKUP(G591,PosAggregate!$B$13:$B$89,1,FALSE),"")</f>
        <v>005490 KS</v>
      </c>
      <c r="E591" s="1013" t="s">
        <v>12672</v>
      </c>
      <c r="F591" s="1106" t="str">
        <f t="shared" si="138"/>
        <v>YES</v>
      </c>
      <c r="G591" s="594" t="s">
        <v>12723</v>
      </c>
      <c r="I591" s="1007" t="s">
        <v>13000</v>
      </c>
      <c r="J591" s="1007" t="s">
        <v>123</v>
      </c>
      <c r="K591" s="1108">
        <v>285820</v>
      </c>
      <c r="M591" s="1108">
        <v>1100</v>
      </c>
      <c r="N591" s="985">
        <v>-314402000</v>
      </c>
      <c r="O591" s="817">
        <v>-471603</v>
      </c>
      <c r="P591" s="817"/>
      <c r="R591" s="982">
        <v>-314873603</v>
      </c>
      <c r="S591" s="1108">
        <v>1329.72</v>
      </c>
      <c r="T591" s="998">
        <v>-236796.92190837167</v>
      </c>
      <c r="U591" s="584">
        <v>44669</v>
      </c>
      <c r="V591" s="594" t="s">
        <v>1114</v>
      </c>
      <c r="W591" s="914">
        <v>44664.838633912033</v>
      </c>
      <c r="X591" s="971">
        <v>0.15</v>
      </c>
      <c r="Y591" s="584" t="s">
        <v>1693</v>
      </c>
      <c r="Z591" s="988" t="s">
        <v>1738</v>
      </c>
      <c r="AA591" s="988" t="s">
        <v>1737</v>
      </c>
      <c r="AB591" s="988" t="s">
        <v>12633</v>
      </c>
      <c r="AC591" s="988" t="s">
        <v>1695</v>
      </c>
      <c r="AD591" s="988" t="s">
        <v>1738</v>
      </c>
      <c r="AE591" s="986" t="s">
        <v>1903</v>
      </c>
      <c r="AF591" s="988" t="s">
        <v>1794</v>
      </c>
      <c r="AN591" s="986" t="str">
        <f>VLOOKUP($AB591,sample!$1:$1048576,13,FALSE)</f>
        <v>SAMCKRS1XXX</v>
      </c>
      <c r="AP591" s="988"/>
    </row>
    <row r="592" spans="1:42">
      <c r="A592" s="911"/>
      <c r="B592" s="881">
        <v>44677</v>
      </c>
      <c r="C592" s="881" t="s">
        <v>13027</v>
      </c>
      <c r="D592" s="1133" t="s">
        <v>13028</v>
      </c>
      <c r="E592" s="1013" t="e">
        <f ca="1">_xll.BDP(G592  &amp; " Equity", "ID_ISIN", "Fill", "")</f>
        <v>#NAME?</v>
      </c>
      <c r="F592" s="1106" t="s">
        <v>1230</v>
      </c>
      <c r="G592" s="1133" t="s">
        <v>13028</v>
      </c>
      <c r="I592" s="1007" t="e">
        <f ca="1">_xll.BDP(E592 &amp; " Equity","SECURITY_NAME")</f>
        <v>#NAME?</v>
      </c>
      <c r="J592" s="1007" t="e">
        <f ca="1">_xll.BDP(G592 &amp; " Equity","Crncy")</f>
        <v>#NAME?</v>
      </c>
      <c r="K592" s="1108"/>
      <c r="M592" s="1108">
        <v>59</v>
      </c>
      <c r="N592" s="985"/>
      <c r="O592" s="817"/>
      <c r="P592" s="817"/>
      <c r="R592" s="982"/>
      <c r="S592" s="1108"/>
      <c r="T592" s="998"/>
      <c r="U592" s="584"/>
      <c r="X592" s="971"/>
      <c r="Y592" s="584"/>
      <c r="Z592" s="988"/>
      <c r="AA592" s="988"/>
      <c r="AB592" s="988"/>
      <c r="AC592" s="988"/>
      <c r="AD592" s="988"/>
      <c r="AE592" s="986"/>
      <c r="AF592" s="988"/>
      <c r="AN592" s="986"/>
      <c r="AP592" s="988"/>
    </row>
    <row r="593" spans="1:42">
      <c r="A593" s="911">
        <v>2019200605</v>
      </c>
      <c r="B593" s="881">
        <v>44684</v>
      </c>
      <c r="C593" s="881" t="s">
        <v>134</v>
      </c>
      <c r="D593" s="1133" t="str">
        <f>IFERROR(VLOOKUP(G593,PosAggregate!$B$13:$B$89,1,FALSE),"")</f>
        <v>SYR AU</v>
      </c>
      <c r="E593" s="1013" t="e">
        <f ca="1">_xll.BDP(G593  &amp; " Equity", "ID_ISIN", "Fill", "")</f>
        <v>#NAME?</v>
      </c>
      <c r="F593" s="1106" t="str">
        <f t="shared" si="138"/>
        <v>YES</v>
      </c>
      <c r="G593" s="594" t="s">
        <v>12717</v>
      </c>
      <c r="I593" s="1007" t="e">
        <f ca="1">_xll.BDP(E593 &amp; " Equity","SECURITY_NAME")</f>
        <v>#NAME?</v>
      </c>
      <c r="J593" s="1007" t="e">
        <f ca="1">_xll.BDP(G593 &amp; " Equity","Crncy")</f>
        <v>#NAME?</v>
      </c>
      <c r="K593" s="1108">
        <v>1.8784639999999999</v>
      </c>
      <c r="M593" s="1108">
        <v>-156680</v>
      </c>
      <c r="N593" s="985">
        <f>-K593*M593</f>
        <v>294317.73952</v>
      </c>
      <c r="O593" s="817">
        <v>-176.59</v>
      </c>
      <c r="P593" s="817"/>
      <c r="R593" s="982">
        <f>SUM(N593:Q593)</f>
        <v>294141.14951999998</v>
      </c>
      <c r="S593" s="1108">
        <v>1.47942</v>
      </c>
      <c r="T593" s="998">
        <f>+R593/S593</f>
        <v>198821.93665084965</v>
      </c>
      <c r="U593" s="584">
        <v>44686</v>
      </c>
      <c r="V593" s="594" t="s">
        <v>1656</v>
      </c>
      <c r="W593" s="914">
        <v>44684.389683449073</v>
      </c>
      <c r="X593" s="971">
        <f>+O593/N593*100</f>
        <v>-5.9999781286713787E-2</v>
      </c>
      <c r="Y593" s="584" t="s">
        <v>1693</v>
      </c>
      <c r="Z593" s="988" t="e">
        <f ca="1">VLOOKUP(AA593,'place of settlement'!A:C,2,FALSE)</f>
        <v>#NAME?</v>
      </c>
      <c r="AA593" s="988" t="e">
        <f ca="1">LEFT(E593,2)</f>
        <v>#NAME?</v>
      </c>
      <c r="AB593" s="988" t="e">
        <f ca="1">CONCATENATE(V593,AA593)</f>
        <v>#NAME?</v>
      </c>
      <c r="AC593" s="988" t="e">
        <f ca="1">VLOOKUP(AB593,sample!$1:$1048576,2,FALSE)</f>
        <v>#NAME?</v>
      </c>
      <c r="AD593" s="988" t="e">
        <f ca="1">VLOOKUP($AB593,sample!$1:$1048576,3,FALSE)</f>
        <v>#NAME?</v>
      </c>
      <c r="AE593" s="986" t="e">
        <f ca="1">VLOOKUP($AB593,sample!$1:$1048576,4,FALSE)</f>
        <v>#NAME?</v>
      </c>
      <c r="AF593" s="988" t="e">
        <f ca="1">VLOOKUP($AB593,sample!$1:$1048576,5,FALSE)</f>
        <v>#NAME?</v>
      </c>
      <c r="AN593" s="986" t="e">
        <f ca="1">VLOOKUP($AB593,sample!$1:$1048576,13,FALSE)</f>
        <v>#NAME?</v>
      </c>
      <c r="AP593" s="988"/>
    </row>
    <row r="594" spans="1:42">
      <c r="A594" s="911">
        <v>2019200606</v>
      </c>
      <c r="B594" s="881">
        <v>44684</v>
      </c>
      <c r="C594" s="881" t="s">
        <v>134</v>
      </c>
      <c r="D594" s="1133" t="str">
        <f>IFERROR(VLOOKUP(G594,PosAggregate!$B$13:$B$89,1,FALSE),"")</f>
        <v>056190 KS</v>
      </c>
      <c r="E594" s="1013" t="e">
        <f ca="1">_xll.BDP(G594  &amp; " Equity", "ID_ISIN", "Fill", "")</f>
        <v>#NAME?</v>
      </c>
      <c r="F594" s="1106" t="str">
        <f t="shared" si="138"/>
        <v>YES</v>
      </c>
      <c r="G594" s="594" t="s">
        <v>12789</v>
      </c>
      <c r="I594" s="1007" t="e">
        <f ca="1">_xll.BDP(E594 &amp; " Equity","SECURITY_NAME")</f>
        <v>#NAME?</v>
      </c>
      <c r="J594" s="1007" t="e">
        <f ca="1">_xll.BDP(G594 &amp; " Equity","Crncy")</f>
        <v>#NAME?</v>
      </c>
      <c r="K594" s="1108">
        <v>39576.082000000002</v>
      </c>
      <c r="M594" s="1108">
        <v>-6100</v>
      </c>
      <c r="N594" s="985">
        <f t="shared" si="131"/>
        <v>241414100.20000002</v>
      </c>
      <c r="O594" s="817">
        <v>-362121</v>
      </c>
      <c r="P594" s="817">
        <v>-555200</v>
      </c>
      <c r="R594" s="982">
        <f t="shared" si="135"/>
        <v>240496779.20000002</v>
      </c>
      <c r="S594" s="1108">
        <v>1331.01</v>
      </c>
      <c r="T594" s="998">
        <f t="shared" si="137"/>
        <v>180687.43225069685</v>
      </c>
      <c r="U594" s="584">
        <v>44687</v>
      </c>
      <c r="V594" s="594" t="s">
        <v>1114</v>
      </c>
      <c r="W594" s="914">
        <v>44684.395324074074</v>
      </c>
      <c r="X594" s="971">
        <f t="shared" si="134"/>
        <v>-0.14999993774183035</v>
      </c>
      <c r="Y594" s="584" t="s">
        <v>1693</v>
      </c>
      <c r="Z594" s="988" t="e">
        <f ca="1">VLOOKUP(AA594,'place of settlement'!A:C,2,FALSE)</f>
        <v>#NAME?</v>
      </c>
      <c r="AA594" s="988" t="e">
        <f t="shared" ca="1" si="133"/>
        <v>#NAME?</v>
      </c>
      <c r="AB594" s="988" t="e">
        <f t="shared" ca="1" si="132"/>
        <v>#NAME?</v>
      </c>
      <c r="AC594" s="988" t="e">
        <f ca="1">VLOOKUP(AB594,sample!$1:$1048576,2,FALSE)</f>
        <v>#NAME?</v>
      </c>
      <c r="AD594" s="988" t="e">
        <f ca="1">VLOOKUP($AB594,sample!$1:$1048576,3,FALSE)</f>
        <v>#NAME?</v>
      </c>
      <c r="AE594" s="986" t="e">
        <f ca="1">VLOOKUP($AB594,sample!$1:$1048576,4,FALSE)</f>
        <v>#NAME?</v>
      </c>
      <c r="AF594" s="988" t="e">
        <f ca="1">VLOOKUP($AB594,sample!$1:$1048576,5,FALSE)</f>
        <v>#NAME?</v>
      </c>
      <c r="AN594" s="986" t="e">
        <f ca="1">VLOOKUP($AB594,sample!$1:$1048576,13,FALSE)</f>
        <v>#NAME?</v>
      </c>
      <c r="AP594" s="988"/>
    </row>
    <row r="595" spans="1:42">
      <c r="A595" s="911">
        <v>2019200607</v>
      </c>
      <c r="B595" s="881">
        <v>44684</v>
      </c>
      <c r="C595" s="881" t="s">
        <v>134</v>
      </c>
      <c r="D595" s="1133" t="str">
        <f>IFERROR(VLOOKUP(G595,PosAggregate!$B$13:$B$89,1,FALSE),"")</f>
        <v>064960 KS</v>
      </c>
      <c r="E595" s="1013" t="e">
        <f ca="1">_xll.BDP(G595  &amp; " Equity", "ID_ISIN", "Fill", "")</f>
        <v>#NAME?</v>
      </c>
      <c r="F595" s="1106" t="str">
        <f t="shared" si="138"/>
        <v>YES</v>
      </c>
      <c r="G595" s="594" t="s">
        <v>12741</v>
      </c>
      <c r="I595" s="1007" t="e">
        <f ca="1">_xll.BDP(E595 &amp; " Equity","SECURITY_NAME")</f>
        <v>#NAME?</v>
      </c>
      <c r="J595" s="1007" t="e">
        <f ca="1">_xll.BDP(G595 &amp; " Equity","Crncy")</f>
        <v>#NAME?</v>
      </c>
      <c r="K595" s="1108">
        <v>48885.7</v>
      </c>
      <c r="M595" s="1108">
        <v>-2000</v>
      </c>
      <c r="N595" s="985">
        <f t="shared" si="131"/>
        <v>97771400</v>
      </c>
      <c r="O595" s="817">
        <v>-146657</v>
      </c>
      <c r="P595" s="817">
        <v>-224801</v>
      </c>
      <c r="R595" s="982">
        <f t="shared" si="135"/>
        <v>97399942</v>
      </c>
      <c r="S595" s="1108">
        <v>1331.01</v>
      </c>
      <c r="T595" s="998">
        <f t="shared" si="137"/>
        <v>73177.468238405418</v>
      </c>
      <c r="U595" s="584">
        <v>44687</v>
      </c>
      <c r="V595" s="594" t="s">
        <v>1114</v>
      </c>
      <c r="W595" s="914">
        <v>44684.398615162034</v>
      </c>
      <c r="X595" s="971">
        <f t="shared" si="134"/>
        <v>-0.14999989772060132</v>
      </c>
      <c r="Y595" s="584" t="s">
        <v>1693</v>
      </c>
      <c r="Z595" s="988" t="e">
        <f ca="1">VLOOKUP(AA595,'place of settlement'!A:C,2,FALSE)</f>
        <v>#NAME?</v>
      </c>
      <c r="AA595" s="988" t="e">
        <f t="shared" ca="1" si="133"/>
        <v>#NAME?</v>
      </c>
      <c r="AB595" s="988" t="e">
        <f t="shared" ca="1" si="132"/>
        <v>#NAME?</v>
      </c>
      <c r="AC595" s="988" t="e">
        <f ca="1">VLOOKUP(AB595,sample!$1:$1048576,2,FALSE)</f>
        <v>#NAME?</v>
      </c>
      <c r="AD595" s="988" t="e">
        <f ca="1">VLOOKUP($AB595,sample!$1:$1048576,3,FALSE)</f>
        <v>#NAME?</v>
      </c>
      <c r="AE595" s="986" t="e">
        <f ca="1">VLOOKUP($AB595,sample!$1:$1048576,4,FALSE)</f>
        <v>#NAME?</v>
      </c>
      <c r="AF595" s="988" t="e">
        <f ca="1">VLOOKUP($AB595,sample!$1:$1048576,5,FALSE)</f>
        <v>#NAME?</v>
      </c>
      <c r="AN595" s="986" t="e">
        <f ca="1">VLOOKUP($AB595,sample!$1:$1048576,13,FALSE)</f>
        <v>#NAME?</v>
      </c>
      <c r="AP595" s="988"/>
    </row>
    <row r="596" spans="1:42">
      <c r="A596" s="911">
        <v>2019200608</v>
      </c>
      <c r="B596" s="881">
        <v>44684</v>
      </c>
      <c r="C596" s="881" t="s">
        <v>134</v>
      </c>
      <c r="D596" s="1133" t="str">
        <f>IFERROR(VLOOKUP(G596,PosAggregate!$B$13:$B$89,1,FALSE),"")</f>
        <v>ERA FP</v>
      </c>
      <c r="E596" s="1013" t="e">
        <f ca="1">_xll.BDP(G596  &amp; " Equity", "ID_ISIN", "Fill", "")</f>
        <v>#NAME?</v>
      </c>
      <c r="F596" s="1106" t="str">
        <f t="shared" si="138"/>
        <v>YES</v>
      </c>
      <c r="G596" s="594" t="s">
        <v>12713</v>
      </c>
      <c r="I596" s="1007" t="e">
        <f ca="1">_xll.BDP(E596 &amp; " Equity","SECURITY_NAME")</f>
        <v>#NAME?</v>
      </c>
      <c r="J596" s="1007" t="e">
        <f ca="1">_xll.BDP(G596 &amp; " Equity","Crncy")</f>
        <v>#NAME?</v>
      </c>
      <c r="K596" s="1108">
        <v>124.8875</v>
      </c>
      <c r="M596" s="1108">
        <v>-1100</v>
      </c>
      <c r="N596" s="985">
        <f t="shared" ref="N596:N654" si="139">-K596*M596</f>
        <v>137376.25</v>
      </c>
      <c r="O596" s="817">
        <v>-82.43</v>
      </c>
      <c r="P596" s="817"/>
      <c r="R596" s="982">
        <f t="shared" si="135"/>
        <v>137293.82</v>
      </c>
      <c r="S596" s="1108">
        <v>1</v>
      </c>
      <c r="T596" s="998">
        <f t="shared" si="137"/>
        <v>137293.82</v>
      </c>
      <c r="U596" s="584">
        <v>44686</v>
      </c>
      <c r="V596" s="594" t="s">
        <v>1111</v>
      </c>
      <c r="W596" s="914">
        <v>44684.604497222223</v>
      </c>
      <c r="X596" s="971">
        <f t="shared" si="134"/>
        <v>-6.0003093693414986E-2</v>
      </c>
      <c r="Y596" s="584" t="s">
        <v>1693</v>
      </c>
      <c r="Z596" s="988" t="e">
        <f ca="1">VLOOKUP(AA596,'place of settlement'!A:C,2,FALSE)</f>
        <v>#NAME?</v>
      </c>
      <c r="AA596" s="988" t="e">
        <f t="shared" ca="1" si="133"/>
        <v>#NAME?</v>
      </c>
      <c r="AB596" s="988" t="e">
        <f t="shared" ca="1" si="132"/>
        <v>#NAME?</v>
      </c>
      <c r="AC596" s="988" t="e">
        <f ca="1">VLOOKUP(AB596,sample!$1:$1048576,2,FALSE)</f>
        <v>#NAME?</v>
      </c>
      <c r="AD596" s="988" t="e">
        <f ca="1">VLOOKUP($AB596,sample!$1:$1048576,3,FALSE)</f>
        <v>#NAME?</v>
      </c>
      <c r="AE596" s="986" t="e">
        <f ca="1">VLOOKUP($AB596,sample!$1:$1048576,4,FALSE)</f>
        <v>#NAME?</v>
      </c>
      <c r="AF596" s="988" t="e">
        <f ca="1">VLOOKUP($AB596,sample!$1:$1048576,5,FALSE)</f>
        <v>#NAME?</v>
      </c>
      <c r="AN596" s="986" t="e">
        <f ca="1">VLOOKUP($AB596,sample!$1:$1048576,13,FALSE)</f>
        <v>#NAME?</v>
      </c>
      <c r="AP596" s="988"/>
    </row>
    <row r="597" spans="1:42">
      <c r="A597" s="911">
        <v>2019200609</v>
      </c>
      <c r="B597" s="881">
        <v>44685</v>
      </c>
      <c r="C597" s="881" t="s">
        <v>134</v>
      </c>
      <c r="D597" s="1133" t="str">
        <f>IFERROR(VLOOKUP(G597,PosAggregate!$B$13:$B$89,1,FALSE),"")</f>
        <v>1958 HK</v>
      </c>
      <c r="E597" s="1013" t="e">
        <f ca="1">_xll.BDP(G597  &amp; " Equity", "ID_ISIN", "Fill", "")</f>
        <v>#NAME?</v>
      </c>
      <c r="F597" s="1106" t="str">
        <f t="shared" si="138"/>
        <v>YES</v>
      </c>
      <c r="G597" s="594" t="s">
        <v>12720</v>
      </c>
      <c r="I597" s="1007" t="e">
        <f ca="1">_xll.BDP(E597 &amp; " Equity","SECURITY_NAME")</f>
        <v>#NAME?</v>
      </c>
      <c r="J597" s="1007" t="e">
        <f ca="1">_xll.BDP(G597 &amp; " Equity","Crncy")</f>
        <v>#NAME?</v>
      </c>
      <c r="K597" s="1108">
        <v>2.4267500000000002</v>
      </c>
      <c r="M597" s="1108">
        <v>-580000</v>
      </c>
      <c r="N597" s="985">
        <f t="shared" si="139"/>
        <v>1407515</v>
      </c>
      <c r="O597" s="817">
        <v>-844.51</v>
      </c>
      <c r="P597" s="817">
        <v>-1940.26</v>
      </c>
      <c r="R597" s="982">
        <f t="shared" si="135"/>
        <v>1404730.23</v>
      </c>
      <c r="S597" s="1108">
        <v>8.2622</v>
      </c>
      <c r="T597" s="998">
        <f t="shared" si="137"/>
        <v>170018.90900728619</v>
      </c>
      <c r="U597" s="584">
        <v>44687</v>
      </c>
      <c r="V597" s="594" t="s">
        <v>1656</v>
      </c>
      <c r="W597" s="914">
        <v>44685.399717708337</v>
      </c>
      <c r="X597" s="971">
        <f t="shared" si="134"/>
        <v>-6.0000071047200204E-2</v>
      </c>
      <c r="Y597" s="584" t="s">
        <v>1693</v>
      </c>
      <c r="Z597" s="988" t="str">
        <f>VLOOKUP(AA597,'place of settlement'!A:C,2,FALSE)</f>
        <v>XHKCHKH1XXX</v>
      </c>
      <c r="AA597" s="988" t="s">
        <v>1769</v>
      </c>
      <c r="AB597" s="988" t="str">
        <f t="shared" si="132"/>
        <v>Tavira SecuritiesHK</v>
      </c>
      <c r="AC597" s="988" t="str">
        <f>VLOOKUP(AB597,sample!$1:$1048576,2,FALSE)</f>
        <v>GSILGB2XXXX</v>
      </c>
      <c r="AD597" s="988" t="str">
        <f>VLOOKUP($AB597,sample!$1:$1048576,3,FALSE)</f>
        <v>XHKCHKH1XXX</v>
      </c>
      <c r="AE597" s="986" t="str">
        <f>VLOOKUP($AB597,sample!$1:$1048576,4,FALSE)</f>
        <v xml:space="preserve">        </v>
      </c>
      <c r="AF597" s="988" t="str">
        <f>VLOOKUP($AB597,sample!$1:$1048576,5,FALSE)</f>
        <v>N</v>
      </c>
      <c r="AN597" s="986" t="str">
        <f>VLOOKUP($AB597,sample!$1:$1048576,13,FALSE)</f>
        <v>GSASHKH1XX</v>
      </c>
      <c r="AP597" s="988"/>
    </row>
    <row r="598" spans="1:42">
      <c r="A598" s="911">
        <v>2019200610</v>
      </c>
      <c r="B598" s="881">
        <v>44685</v>
      </c>
      <c r="C598" s="881" t="s">
        <v>134</v>
      </c>
      <c r="D598" s="1133" t="str">
        <f>IFERROR(VLOOKUP(G598,PosAggregate!$B$13:$B$89,1,FALSE),"")</f>
        <v>056190 KS</v>
      </c>
      <c r="E598" s="1013" t="e">
        <f ca="1">_xll.BDP(G598  &amp; " Equity", "ID_ISIN", "Fill", "")</f>
        <v>#NAME?</v>
      </c>
      <c r="F598" s="1106" t="str">
        <f t="shared" si="138"/>
        <v>YES</v>
      </c>
      <c r="G598" s="594" t="s">
        <v>12789</v>
      </c>
      <c r="I598" s="1007" t="e">
        <f ca="1">_xll.BDP(E598 &amp; " Equity","SECURITY_NAME")</f>
        <v>#NAME?</v>
      </c>
      <c r="J598" s="1007" t="e">
        <f ca="1">_xll.BDP(G598 &amp; " Equity","Crncy")</f>
        <v>#NAME?</v>
      </c>
      <c r="K598" s="1108">
        <v>39282.527399999999</v>
      </c>
      <c r="M598" s="1108">
        <v>-18715</v>
      </c>
      <c r="N598" s="985">
        <f t="shared" si="139"/>
        <v>735172500.29100001</v>
      </c>
      <c r="O598" s="817">
        <v>-1102759</v>
      </c>
      <c r="P598" s="817">
        <v>-1690687</v>
      </c>
      <c r="R598" s="982">
        <f t="shared" si="135"/>
        <v>732379054.29100001</v>
      </c>
      <c r="S598" s="1108">
        <v>1328.93</v>
      </c>
      <c r="T598" s="998">
        <f t="shared" si="137"/>
        <v>551104.31271097797</v>
      </c>
      <c r="U598" s="584">
        <v>44690</v>
      </c>
      <c r="V598" s="594" t="s">
        <v>1114</v>
      </c>
      <c r="W598" s="914">
        <v>44685.40125185185</v>
      </c>
      <c r="X598" s="971">
        <f t="shared" si="134"/>
        <v>-0.15000003394625069</v>
      </c>
      <c r="Y598" s="584" t="s">
        <v>1693</v>
      </c>
      <c r="Z598" s="988" t="e">
        <f ca="1">VLOOKUP(AA598,'place of settlement'!A:C,2,FALSE)</f>
        <v>#NAME?</v>
      </c>
      <c r="AA598" s="988" t="e">
        <f t="shared" ca="1" si="133"/>
        <v>#NAME?</v>
      </c>
      <c r="AB598" s="988" t="e">
        <f t="shared" ca="1" si="132"/>
        <v>#NAME?</v>
      </c>
      <c r="AC598" s="988" t="e">
        <f ca="1">VLOOKUP(AB598,sample!$1:$1048576,2,FALSE)</f>
        <v>#NAME?</v>
      </c>
      <c r="AD598" s="988" t="e">
        <f ca="1">VLOOKUP($AB598,sample!$1:$1048576,3,FALSE)</f>
        <v>#NAME?</v>
      </c>
      <c r="AE598" s="986" t="e">
        <f ca="1">VLOOKUP($AB598,sample!$1:$1048576,4,FALSE)</f>
        <v>#NAME?</v>
      </c>
      <c r="AF598" s="988" t="e">
        <f ca="1">VLOOKUP($AB598,sample!$1:$1048576,5,FALSE)</f>
        <v>#NAME?</v>
      </c>
      <c r="AN598" s="986" t="e">
        <f ca="1">VLOOKUP($AB598,sample!$1:$1048576,13,FALSE)</f>
        <v>#NAME?</v>
      </c>
      <c r="AP598" s="988"/>
    </row>
    <row r="599" spans="1:42">
      <c r="A599" s="911">
        <f>A598+1</f>
        <v>2019200611</v>
      </c>
      <c r="B599" s="881">
        <v>44719</v>
      </c>
      <c r="C599" s="881" t="s">
        <v>134</v>
      </c>
      <c r="D599" s="1133" t="str">
        <f>IFERROR(VLOOKUP(G599,PosAggregate!$B$13:$B$89,1,FALSE),"")</f>
        <v>7013 JP</v>
      </c>
      <c r="E599" s="1013" t="e">
        <f ca="1">_xll.BDP(G599  &amp; " Equity", "ID_ISIN", "Fill", "")</f>
        <v>#NAME?</v>
      </c>
      <c r="F599" s="1106" t="str">
        <f t="shared" si="138"/>
        <v>YES</v>
      </c>
      <c r="G599" s="594" t="s">
        <v>12877</v>
      </c>
      <c r="I599" s="1007" t="e">
        <f ca="1">_xll.BDP(E599 &amp; " Equity","SECURITY_NAME")</f>
        <v>#NAME?</v>
      </c>
      <c r="J599" s="1007" t="e">
        <f ca="1">_xll.BDP(G599 &amp; " Equity","Crncy")</f>
        <v>#NAME?</v>
      </c>
      <c r="K599" s="1108">
        <v>4040.3049999999998</v>
      </c>
      <c r="M599" s="1108">
        <v>-6000</v>
      </c>
      <c r="N599" s="985">
        <f t="shared" si="139"/>
        <v>24241830</v>
      </c>
      <c r="O599" s="817">
        <v>-14545</v>
      </c>
      <c r="R599" s="982">
        <f t="shared" si="135"/>
        <v>24227285</v>
      </c>
      <c r="S599" s="1108">
        <v>141.85</v>
      </c>
      <c r="T599" s="998">
        <f t="shared" si="137"/>
        <v>170795.10045823053</v>
      </c>
      <c r="U599" s="584">
        <v>44721</v>
      </c>
      <c r="V599" s="594" t="s">
        <v>1656</v>
      </c>
      <c r="W599" s="914">
        <v>44719.464104166669</v>
      </c>
      <c r="X599" s="971">
        <f t="shared" si="134"/>
        <v>-5.9999595740090582E-2</v>
      </c>
      <c r="Y599" s="584" t="s">
        <v>1693</v>
      </c>
      <c r="Z599" s="988" t="e">
        <f ca="1">VLOOKUP(AA599,'place of settlement'!A:C,2,FALSE)</f>
        <v>#NAME?</v>
      </c>
      <c r="AA599" s="988" t="e">
        <f t="shared" ref="AA599:AA659" ca="1" si="140">LEFT(E599,2)</f>
        <v>#NAME?</v>
      </c>
      <c r="AB599" s="988" t="e">
        <f t="shared" ref="AB599:AB659" ca="1" si="141">CONCATENATE(V599,AA599)</f>
        <v>#NAME?</v>
      </c>
      <c r="AC599" s="988" t="e">
        <f ca="1">VLOOKUP(AB599,sample!$1:$1048576,2,FALSE)</f>
        <v>#NAME?</v>
      </c>
      <c r="AD599" s="988" t="e">
        <f ca="1">VLOOKUP($AB599,sample!$1:$1048576,3,FALSE)</f>
        <v>#NAME?</v>
      </c>
      <c r="AE599" s="986" t="e">
        <f ca="1">VLOOKUP($AB599,sample!$1:$1048576,4,FALSE)</f>
        <v>#NAME?</v>
      </c>
      <c r="AF599" s="988" t="e">
        <f ca="1">VLOOKUP($AB599,sample!$1:$1048576,5,FALSE)</f>
        <v>#NAME?</v>
      </c>
      <c r="AN599" s="986" t="e">
        <f ca="1">VLOOKUP($AB599,sample!$1:$1048576,13,FALSE)</f>
        <v>#NAME?</v>
      </c>
      <c r="AP599" s="988"/>
    </row>
    <row r="600" spans="1:42">
      <c r="A600" s="911">
        <f>A599+1</f>
        <v>2019200612</v>
      </c>
      <c r="B600" s="881">
        <v>44719</v>
      </c>
      <c r="C600" s="881" t="s">
        <v>133</v>
      </c>
      <c r="D600" s="1133" t="str">
        <f>IFERROR(VLOOKUP(G600,PosAggregate!$B$13:$B$89,1,FALSE),"")</f>
        <v>5801 JP</v>
      </c>
      <c r="E600" s="1013" t="e">
        <f ca="1">_xll.BDP(G600  &amp; " Equity", "ID_ISIN", "Fill", "")</f>
        <v>#NAME?</v>
      </c>
      <c r="F600" s="1106" t="str">
        <f t="shared" si="138"/>
        <v>YES</v>
      </c>
      <c r="G600" s="594" t="s">
        <v>13230</v>
      </c>
      <c r="I600" s="1007" t="e">
        <f ca="1">_xll.BDP(E600 &amp; " Equity","SECURITY_NAME")</f>
        <v>#NAME?</v>
      </c>
      <c r="J600" s="1007" t="e">
        <f ca="1">_xll.BDP(G600 &amp; " Equity","Crncy")</f>
        <v>#NAME?</v>
      </c>
      <c r="K600" s="1108">
        <v>2288.7347829999999</v>
      </c>
      <c r="M600" s="1108">
        <v>6900</v>
      </c>
      <c r="N600" s="985">
        <f t="shared" si="139"/>
        <v>-15792270.002699999</v>
      </c>
      <c r="O600" s="817">
        <v>-9475</v>
      </c>
      <c r="R600" s="982">
        <f t="shared" si="135"/>
        <v>-15801745.002699999</v>
      </c>
      <c r="S600" s="1108">
        <v>141.85</v>
      </c>
      <c r="T600" s="998">
        <f t="shared" si="137"/>
        <v>-111397.56787240042</v>
      </c>
      <c r="U600" s="584">
        <v>44721</v>
      </c>
      <c r="V600" s="594" t="s">
        <v>1656</v>
      </c>
      <c r="W600" s="914">
        <v>44719.464808449076</v>
      </c>
      <c r="X600" s="971">
        <f t="shared" si="134"/>
        <v>5.9997707729034913E-2</v>
      </c>
      <c r="Y600" s="584" t="s">
        <v>1693</v>
      </c>
      <c r="Z600" s="988" t="e">
        <f ca="1">VLOOKUP(AA600,'place of settlement'!A:C,2,FALSE)</f>
        <v>#NAME?</v>
      </c>
      <c r="AA600" s="988" t="e">
        <f t="shared" ca="1" si="140"/>
        <v>#NAME?</v>
      </c>
      <c r="AB600" s="988" t="e">
        <f t="shared" ca="1" si="141"/>
        <v>#NAME?</v>
      </c>
      <c r="AC600" s="988" t="e">
        <f ca="1">VLOOKUP(AB600,sample!$1:$1048576,2,FALSE)</f>
        <v>#NAME?</v>
      </c>
      <c r="AD600" s="988" t="e">
        <f ca="1">VLOOKUP($AB600,sample!$1:$1048576,3,FALSE)</f>
        <v>#NAME?</v>
      </c>
      <c r="AE600" s="986" t="e">
        <f ca="1">VLOOKUP($AB600,sample!$1:$1048576,4,FALSE)</f>
        <v>#NAME?</v>
      </c>
      <c r="AF600" s="988" t="e">
        <f ca="1">VLOOKUP($AB600,sample!$1:$1048576,5,FALSE)</f>
        <v>#NAME?</v>
      </c>
      <c r="AN600" s="986" t="e">
        <f ca="1">VLOOKUP($AB600,sample!$1:$1048576,13,FALSE)</f>
        <v>#NAME?</v>
      </c>
      <c r="AP600" s="988"/>
    </row>
    <row r="601" spans="1:42">
      <c r="A601" s="911">
        <f>A600+1</f>
        <v>2019200613</v>
      </c>
      <c r="B601" s="881">
        <v>44729</v>
      </c>
      <c r="C601" s="881" t="s">
        <v>134</v>
      </c>
      <c r="D601" s="1133" t="str">
        <f>IFERROR(VLOOKUP(G601,PosAggregate!$B$13:$B$89,1,FALSE),"")</f>
        <v>7013 JP</v>
      </c>
      <c r="E601" s="1013" t="e">
        <f ca="1">_xll.BDP(G601  &amp; " Equity", "ID_ISIN", "Fill", "")</f>
        <v>#NAME?</v>
      </c>
      <c r="F601" s="1106" t="str">
        <f t="shared" si="138"/>
        <v>YES</v>
      </c>
      <c r="G601" s="594" t="s">
        <v>12877</v>
      </c>
      <c r="I601" s="1007" t="e">
        <f ca="1">_xll.BDP(E601 &amp; " Equity","SECURITY_NAME")</f>
        <v>#NAME?</v>
      </c>
      <c r="J601" s="1007" t="e">
        <f ca="1">_xll.BDP(G601 &amp; " Equity","Crncy")</f>
        <v>#NAME?</v>
      </c>
      <c r="K601" s="1108">
        <v>3790.1367650000002</v>
      </c>
      <c r="M601" s="1108">
        <v>-6800</v>
      </c>
      <c r="N601" s="985">
        <f t="shared" si="139"/>
        <v>25772930.002</v>
      </c>
      <c r="O601" s="817">
        <v>-15464</v>
      </c>
      <c r="R601" s="982">
        <f t="shared" si="135"/>
        <v>25757466.002</v>
      </c>
      <c r="S601" s="1108">
        <v>141.72</v>
      </c>
      <c r="T601" s="998">
        <f t="shared" si="137"/>
        <v>181748.98392605138</v>
      </c>
      <c r="U601" s="584">
        <v>44733</v>
      </c>
      <c r="V601" s="594" t="s">
        <v>1656</v>
      </c>
      <c r="W601" s="914">
        <v>44729.488027662039</v>
      </c>
      <c r="X601" s="971">
        <f t="shared" si="134"/>
        <v>-6.0000938965030289E-2</v>
      </c>
      <c r="Y601" s="584" t="s">
        <v>1693</v>
      </c>
      <c r="Z601" s="988" t="e">
        <f ca="1">VLOOKUP(AA601,'place of settlement'!A:C,2,FALSE)</f>
        <v>#NAME?</v>
      </c>
      <c r="AA601" s="988" t="e">
        <f t="shared" ca="1" si="140"/>
        <v>#NAME?</v>
      </c>
      <c r="AB601" s="988" t="e">
        <f t="shared" ca="1" si="141"/>
        <v>#NAME?</v>
      </c>
      <c r="AC601" s="988" t="e">
        <f ca="1">VLOOKUP(AB601,sample!$1:$1048576,2,FALSE)</f>
        <v>#NAME?</v>
      </c>
      <c r="AD601" s="988" t="e">
        <f ca="1">VLOOKUP($AB601,sample!$1:$1048576,3,FALSE)</f>
        <v>#NAME?</v>
      </c>
      <c r="AE601" s="986" t="e">
        <f ca="1">VLOOKUP($AB601,sample!$1:$1048576,4,FALSE)</f>
        <v>#NAME?</v>
      </c>
      <c r="AF601" s="988" t="e">
        <f ca="1">VLOOKUP($AB601,sample!$1:$1048576,5,FALSE)</f>
        <v>#NAME?</v>
      </c>
      <c r="AN601" s="986" t="e">
        <f ca="1">VLOOKUP($AB601,sample!$1:$1048576,13,FALSE)</f>
        <v>#NAME?</v>
      </c>
      <c r="AP601" s="988"/>
    </row>
    <row r="602" spans="1:42">
      <c r="A602" s="911"/>
      <c r="D602" s="1133" t="str">
        <f>IFERROR(VLOOKUP(G602,PosAggregate!$B$13:$B$89,1,FALSE),"")</f>
        <v/>
      </c>
      <c r="E602" s="1013" t="e">
        <f ca="1">_xll.BDP(G602  &amp; " Equity", "ID_ISIN", "Fill", "")</f>
        <v>#NAME?</v>
      </c>
      <c r="F602" s="1106" t="str">
        <f t="shared" si="138"/>
        <v>YES</v>
      </c>
      <c r="I602" s="1007" t="e">
        <f ca="1">_xll.BDP(E602 &amp; " Equity","SECURITY_NAME")</f>
        <v>#NAME?</v>
      </c>
      <c r="J602" s="1007" t="e">
        <f ca="1">_xll.BDP(G602 &amp; " Equity","Crncy")</f>
        <v>#NAME?</v>
      </c>
      <c r="K602" s="1108"/>
      <c r="M602" s="1108"/>
      <c r="N602" s="985">
        <f t="shared" si="139"/>
        <v>0</v>
      </c>
      <c r="O602" s="817"/>
      <c r="R602" s="982">
        <f t="shared" si="135"/>
        <v>0</v>
      </c>
      <c r="S602" s="1108"/>
      <c r="T602" s="998" t="e">
        <f t="shared" si="137"/>
        <v>#DIV/0!</v>
      </c>
      <c r="U602" s="584"/>
      <c r="X602" s="971" t="e">
        <f t="shared" si="134"/>
        <v>#DIV/0!</v>
      </c>
      <c r="Y602" s="584" t="s">
        <v>1693</v>
      </c>
      <c r="Z602" s="988" t="e">
        <f ca="1">VLOOKUP(AA602,'place of settlement'!A:C,2,FALSE)</f>
        <v>#NAME?</v>
      </c>
      <c r="AA602" s="988" t="e">
        <f t="shared" ca="1" si="140"/>
        <v>#NAME?</v>
      </c>
      <c r="AB602" s="988" t="e">
        <f t="shared" ca="1" si="141"/>
        <v>#NAME?</v>
      </c>
      <c r="AC602" s="988" t="e">
        <f ca="1">VLOOKUP(AB602,sample!$1:$1048576,2,FALSE)</f>
        <v>#NAME?</v>
      </c>
      <c r="AD602" s="988" t="e">
        <f ca="1">VLOOKUP($AB602,sample!$1:$1048576,3,FALSE)</f>
        <v>#NAME?</v>
      </c>
      <c r="AE602" s="986" t="e">
        <f ca="1">VLOOKUP($AB602,sample!$1:$1048576,4,FALSE)</f>
        <v>#NAME?</v>
      </c>
      <c r="AF602" s="988" t="e">
        <f ca="1">VLOOKUP($AB602,sample!$1:$1048576,5,FALSE)</f>
        <v>#NAME?</v>
      </c>
      <c r="AN602" s="986" t="e">
        <f ca="1">VLOOKUP($AB602,sample!$1:$1048576,13,FALSE)</f>
        <v>#NAME?</v>
      </c>
      <c r="AP602" s="988"/>
    </row>
    <row r="603" spans="1:42">
      <c r="A603" s="911"/>
      <c r="D603" s="1133" t="str">
        <f>IFERROR(VLOOKUP(G603,PosAggregate!$B$13:$B$89,1,FALSE),"")</f>
        <v/>
      </c>
      <c r="E603" s="1013" t="e">
        <f ca="1">_xll.BDP(G603  &amp; " Equity", "ID_ISIN", "Fill", "")</f>
        <v>#NAME?</v>
      </c>
      <c r="F603" s="1106" t="str">
        <f t="shared" si="138"/>
        <v>YES</v>
      </c>
      <c r="I603" s="1007" t="e">
        <f ca="1">_xll.BDP(E603 &amp; " Equity","SECURITY_NAME")</f>
        <v>#NAME?</v>
      </c>
      <c r="J603" s="1007" t="e">
        <f ca="1">_xll.BDP(G603 &amp; " Equity","Crncy")</f>
        <v>#NAME?</v>
      </c>
      <c r="K603" s="1108"/>
      <c r="M603" s="1108"/>
      <c r="N603" s="985">
        <f t="shared" si="139"/>
        <v>0</v>
      </c>
      <c r="O603" s="817"/>
      <c r="R603" s="982">
        <f t="shared" si="135"/>
        <v>0</v>
      </c>
      <c r="S603" s="1108"/>
      <c r="T603" s="998" t="e">
        <f t="shared" si="137"/>
        <v>#DIV/0!</v>
      </c>
      <c r="U603" s="584"/>
      <c r="X603" s="971" t="e">
        <f t="shared" si="134"/>
        <v>#DIV/0!</v>
      </c>
      <c r="Y603" s="584" t="s">
        <v>1693</v>
      </c>
      <c r="Z603" s="988" t="e">
        <f ca="1">VLOOKUP(AA603,'place of settlement'!A:C,2,FALSE)</f>
        <v>#NAME?</v>
      </c>
      <c r="AA603" s="988" t="e">
        <f t="shared" ca="1" si="140"/>
        <v>#NAME?</v>
      </c>
      <c r="AB603" s="988" t="e">
        <f t="shared" ca="1" si="141"/>
        <v>#NAME?</v>
      </c>
      <c r="AC603" s="988" t="e">
        <f ca="1">VLOOKUP(AB603,sample!$1:$1048576,2,FALSE)</f>
        <v>#NAME?</v>
      </c>
      <c r="AD603" s="988" t="e">
        <f ca="1">VLOOKUP($AB603,sample!$1:$1048576,3,FALSE)</f>
        <v>#NAME?</v>
      </c>
      <c r="AE603" s="986" t="e">
        <f ca="1">VLOOKUP($AB603,sample!$1:$1048576,4,FALSE)</f>
        <v>#NAME?</v>
      </c>
      <c r="AF603" s="988" t="e">
        <f ca="1">VLOOKUP($AB603,sample!$1:$1048576,5,FALSE)</f>
        <v>#NAME?</v>
      </c>
      <c r="AN603" s="986" t="e">
        <f ca="1">VLOOKUP($AB603,sample!$1:$1048576,13,FALSE)</f>
        <v>#NAME?</v>
      </c>
      <c r="AP603" s="988"/>
    </row>
    <row r="604" spans="1:42">
      <c r="A604" s="911"/>
      <c r="D604" s="1133" t="str">
        <f>IFERROR(VLOOKUP(G604,PosAggregate!$B$13:$B$89,1,FALSE),"")</f>
        <v/>
      </c>
      <c r="E604" s="1013" t="e">
        <f ca="1">_xll.BDP(G604  &amp; " Equity", "ID_ISIN", "Fill", "")</f>
        <v>#NAME?</v>
      </c>
      <c r="F604" s="1106" t="str">
        <f t="shared" si="138"/>
        <v>YES</v>
      </c>
      <c r="I604" s="1007" t="e">
        <f ca="1">_xll.BDP(E604 &amp; " Equity","SECURITY_NAME")</f>
        <v>#NAME?</v>
      </c>
      <c r="J604" s="1007" t="e">
        <f ca="1">_xll.BDP(G604 &amp; " Equity","Crncy")</f>
        <v>#NAME?</v>
      </c>
      <c r="K604" s="1108"/>
      <c r="M604" s="1108"/>
      <c r="N604" s="985">
        <f t="shared" si="139"/>
        <v>0</v>
      </c>
      <c r="O604" s="817"/>
      <c r="R604" s="982">
        <f t="shared" si="135"/>
        <v>0</v>
      </c>
      <c r="S604" s="1108"/>
      <c r="T604" s="998" t="e">
        <f t="shared" si="137"/>
        <v>#DIV/0!</v>
      </c>
      <c r="U604" s="584"/>
      <c r="X604" s="971" t="e">
        <f t="shared" si="134"/>
        <v>#DIV/0!</v>
      </c>
      <c r="Y604" s="584" t="s">
        <v>1693</v>
      </c>
      <c r="Z604" s="988" t="e">
        <f ca="1">VLOOKUP(AA604,'place of settlement'!A:C,2,FALSE)</f>
        <v>#NAME?</v>
      </c>
      <c r="AA604" s="988" t="e">
        <f t="shared" ca="1" si="140"/>
        <v>#NAME?</v>
      </c>
      <c r="AB604" s="988" t="e">
        <f t="shared" ca="1" si="141"/>
        <v>#NAME?</v>
      </c>
      <c r="AC604" s="988" t="e">
        <f ca="1">VLOOKUP(AB604,sample!$1:$1048576,2,FALSE)</f>
        <v>#NAME?</v>
      </c>
      <c r="AD604" s="988" t="e">
        <f ca="1">VLOOKUP($AB604,sample!$1:$1048576,3,FALSE)</f>
        <v>#NAME?</v>
      </c>
      <c r="AE604" s="986" t="e">
        <f ca="1">VLOOKUP($AB604,sample!$1:$1048576,4,FALSE)</f>
        <v>#NAME?</v>
      </c>
      <c r="AF604" s="988" t="e">
        <f ca="1">VLOOKUP($AB604,sample!$1:$1048576,5,FALSE)</f>
        <v>#NAME?</v>
      </c>
      <c r="AN604" s="986" t="e">
        <f ca="1">VLOOKUP($AB604,sample!$1:$1048576,13,FALSE)</f>
        <v>#NAME?</v>
      </c>
      <c r="AP604" s="988"/>
    </row>
    <row r="605" spans="1:42">
      <c r="A605" s="911"/>
      <c r="D605" s="1133" t="str">
        <f>IFERROR(VLOOKUP(G605,PosAggregate!$B$13:$B$89,1,FALSE),"")</f>
        <v/>
      </c>
      <c r="E605" s="1013" t="e">
        <f ca="1">_xll.BDP(G605  &amp; " Equity", "ID_ISIN", "Fill", "")</f>
        <v>#NAME?</v>
      </c>
      <c r="F605" s="1106" t="str">
        <f t="shared" si="138"/>
        <v>YES</v>
      </c>
      <c r="I605" s="1007" t="e">
        <f ca="1">_xll.BDP(E605 &amp; " Equity","SECURITY_NAME")</f>
        <v>#NAME?</v>
      </c>
      <c r="J605" s="1007" t="e">
        <f ca="1">_xll.BDP(G605 &amp; " Equity","Crncy")</f>
        <v>#NAME?</v>
      </c>
      <c r="K605" s="1108"/>
      <c r="M605" s="1108"/>
      <c r="N605" s="985">
        <f t="shared" si="139"/>
        <v>0</v>
      </c>
      <c r="O605" s="817"/>
      <c r="R605" s="982">
        <f t="shared" si="135"/>
        <v>0</v>
      </c>
      <c r="S605" s="1108"/>
      <c r="T605" s="998" t="e">
        <f t="shared" si="137"/>
        <v>#DIV/0!</v>
      </c>
      <c r="U605" s="584"/>
      <c r="X605" s="971" t="e">
        <f t="shared" si="134"/>
        <v>#DIV/0!</v>
      </c>
      <c r="Y605" s="584" t="s">
        <v>1693</v>
      </c>
      <c r="Z605" s="988" t="e">
        <f ca="1">VLOOKUP(AA605,'place of settlement'!A:C,2,FALSE)</f>
        <v>#NAME?</v>
      </c>
      <c r="AA605" s="988" t="e">
        <f t="shared" ca="1" si="140"/>
        <v>#NAME?</v>
      </c>
      <c r="AB605" s="988" t="e">
        <f t="shared" ca="1" si="141"/>
        <v>#NAME?</v>
      </c>
      <c r="AC605" s="988" t="e">
        <f ca="1">VLOOKUP(AB605,sample!$1:$1048576,2,FALSE)</f>
        <v>#NAME?</v>
      </c>
      <c r="AD605" s="988" t="e">
        <f ca="1">VLOOKUP($AB605,sample!$1:$1048576,3,FALSE)</f>
        <v>#NAME?</v>
      </c>
      <c r="AE605" s="986" t="e">
        <f ca="1">VLOOKUP($AB605,sample!$1:$1048576,4,FALSE)</f>
        <v>#NAME?</v>
      </c>
      <c r="AF605" s="988" t="e">
        <f ca="1">VLOOKUP($AB605,sample!$1:$1048576,5,FALSE)</f>
        <v>#NAME?</v>
      </c>
      <c r="AN605" s="986" t="e">
        <f ca="1">VLOOKUP($AB605,sample!$1:$1048576,13,FALSE)</f>
        <v>#NAME?</v>
      </c>
      <c r="AP605" s="988"/>
    </row>
    <row r="606" spans="1:42">
      <c r="A606" s="911"/>
      <c r="D606" s="1133" t="str">
        <f>IFERROR(VLOOKUP(G606,PosAggregate!$B$13:$B$89,1,FALSE),"")</f>
        <v/>
      </c>
      <c r="E606" s="1013" t="e">
        <f ca="1">_xll.BDP(G606  &amp; " Equity", "ID_ISIN", "Fill", "")</f>
        <v>#NAME?</v>
      </c>
      <c r="F606" s="1106" t="str">
        <f t="shared" si="138"/>
        <v>YES</v>
      </c>
      <c r="I606" s="1007" t="e">
        <f ca="1">_xll.BDP(E606 &amp; " Equity","SECURITY_NAME")</f>
        <v>#NAME?</v>
      </c>
      <c r="J606" s="1007" t="e">
        <f ca="1">_xll.BDP(G606 &amp; " Equity","Crncy")</f>
        <v>#NAME?</v>
      </c>
      <c r="K606" s="1108"/>
      <c r="M606" s="1108"/>
      <c r="N606" s="985">
        <f t="shared" si="139"/>
        <v>0</v>
      </c>
      <c r="O606" s="817"/>
      <c r="R606" s="982">
        <f t="shared" si="135"/>
        <v>0</v>
      </c>
      <c r="S606" s="1108"/>
      <c r="T606" s="998" t="e">
        <f t="shared" si="137"/>
        <v>#DIV/0!</v>
      </c>
      <c r="U606" s="584"/>
      <c r="X606" s="971" t="e">
        <f t="shared" si="134"/>
        <v>#DIV/0!</v>
      </c>
      <c r="Y606" s="584" t="s">
        <v>1693</v>
      </c>
      <c r="Z606" s="988" t="e">
        <f ca="1">VLOOKUP(AA606,'place of settlement'!A:C,2,FALSE)</f>
        <v>#NAME?</v>
      </c>
      <c r="AA606" s="988" t="e">
        <f t="shared" ca="1" si="140"/>
        <v>#NAME?</v>
      </c>
      <c r="AB606" s="988" t="e">
        <f t="shared" ca="1" si="141"/>
        <v>#NAME?</v>
      </c>
      <c r="AC606" s="988" t="e">
        <f ca="1">VLOOKUP(AB606,sample!$1:$1048576,2,FALSE)</f>
        <v>#NAME?</v>
      </c>
      <c r="AD606" s="988" t="e">
        <f ca="1">VLOOKUP($AB606,sample!$1:$1048576,3,FALSE)</f>
        <v>#NAME?</v>
      </c>
      <c r="AE606" s="986" t="e">
        <f ca="1">VLOOKUP($AB606,sample!$1:$1048576,4,FALSE)</f>
        <v>#NAME?</v>
      </c>
      <c r="AF606" s="988" t="e">
        <f ca="1">VLOOKUP($AB606,sample!$1:$1048576,5,FALSE)</f>
        <v>#NAME?</v>
      </c>
      <c r="AN606" s="986" t="e">
        <f ca="1">VLOOKUP($AB606,sample!$1:$1048576,13,FALSE)</f>
        <v>#NAME?</v>
      </c>
      <c r="AP606" s="988"/>
    </row>
    <row r="607" spans="1:42">
      <c r="A607" s="911"/>
      <c r="D607" s="1133" t="str">
        <f>IFERROR(VLOOKUP(G607,PosAggregate!$B$13:$B$89,1,FALSE),"")</f>
        <v/>
      </c>
      <c r="E607" s="1013" t="e">
        <f ca="1">_xll.BDP(G607  &amp; " Equity", "ID_ISIN", "Fill", "")</f>
        <v>#NAME?</v>
      </c>
      <c r="F607" s="1106" t="str">
        <f t="shared" si="138"/>
        <v>YES</v>
      </c>
      <c r="I607" s="1007" t="e">
        <f ca="1">_xll.BDP(E607 &amp; " Equity","SECURITY_NAME")</f>
        <v>#NAME?</v>
      </c>
      <c r="J607" s="1007" t="e">
        <f ca="1">_xll.BDP(G607 &amp; " Equity","Crncy")</f>
        <v>#NAME?</v>
      </c>
      <c r="K607" s="1108"/>
      <c r="M607" s="1108"/>
      <c r="N607" s="985">
        <f t="shared" si="139"/>
        <v>0</v>
      </c>
      <c r="O607" s="817"/>
      <c r="R607" s="982">
        <f t="shared" si="135"/>
        <v>0</v>
      </c>
      <c r="S607" s="1108"/>
      <c r="T607" s="998" t="e">
        <f t="shared" si="137"/>
        <v>#DIV/0!</v>
      </c>
      <c r="U607" s="584"/>
      <c r="X607" s="971" t="e">
        <f t="shared" si="134"/>
        <v>#DIV/0!</v>
      </c>
      <c r="Y607" s="584" t="s">
        <v>1693</v>
      </c>
      <c r="Z607" s="988" t="e">
        <f ca="1">VLOOKUP(AA607,'place of settlement'!A:C,2,FALSE)</f>
        <v>#NAME?</v>
      </c>
      <c r="AA607" s="988" t="e">
        <f t="shared" ca="1" si="140"/>
        <v>#NAME?</v>
      </c>
      <c r="AB607" s="988" t="e">
        <f t="shared" ca="1" si="141"/>
        <v>#NAME?</v>
      </c>
      <c r="AC607" s="988" t="e">
        <f ca="1">VLOOKUP(AB607,sample!$1:$1048576,2,FALSE)</f>
        <v>#NAME?</v>
      </c>
      <c r="AD607" s="988" t="e">
        <f ca="1">VLOOKUP($AB607,sample!$1:$1048576,3,FALSE)</f>
        <v>#NAME?</v>
      </c>
      <c r="AE607" s="986" t="e">
        <f ca="1">VLOOKUP($AB607,sample!$1:$1048576,4,FALSE)</f>
        <v>#NAME?</v>
      </c>
      <c r="AF607" s="988" t="e">
        <f ca="1">VLOOKUP($AB607,sample!$1:$1048576,5,FALSE)</f>
        <v>#NAME?</v>
      </c>
      <c r="AN607" s="986" t="e">
        <f ca="1">VLOOKUP($AB607,sample!$1:$1048576,13,FALSE)</f>
        <v>#NAME?</v>
      </c>
      <c r="AP607" s="988"/>
    </row>
    <row r="608" spans="1:42">
      <c r="A608" s="911"/>
      <c r="D608" s="1133" t="str">
        <f>IFERROR(VLOOKUP(G608,PosAggregate!$B$13:$B$89,1,FALSE),"")</f>
        <v/>
      </c>
      <c r="E608" s="1013" t="e">
        <f ca="1">_xll.BDP(G608  &amp; " Equity", "ID_ISIN", "Fill", "")</f>
        <v>#NAME?</v>
      </c>
      <c r="F608" s="1106" t="str">
        <f t="shared" si="138"/>
        <v>YES</v>
      </c>
      <c r="I608" s="1007" t="e">
        <f ca="1">_xll.BDP(E608 &amp; " Equity","SECURITY_NAME")</f>
        <v>#NAME?</v>
      </c>
      <c r="J608" s="1007" t="e">
        <f ca="1">_xll.BDP(G608 &amp; " Equity","Crncy")</f>
        <v>#NAME?</v>
      </c>
      <c r="K608" s="1108"/>
      <c r="M608" s="1108"/>
      <c r="N608" s="985">
        <f t="shared" si="139"/>
        <v>0</v>
      </c>
      <c r="O608" s="817"/>
      <c r="R608" s="982">
        <f t="shared" si="135"/>
        <v>0</v>
      </c>
      <c r="S608" s="1108"/>
      <c r="T608" s="998" t="e">
        <f t="shared" si="137"/>
        <v>#DIV/0!</v>
      </c>
      <c r="U608" s="584"/>
      <c r="X608" s="971" t="e">
        <f t="shared" si="134"/>
        <v>#DIV/0!</v>
      </c>
      <c r="Y608" s="584" t="s">
        <v>1693</v>
      </c>
      <c r="Z608" s="988" t="e">
        <f ca="1">VLOOKUP(AA608,'place of settlement'!A:C,2,FALSE)</f>
        <v>#NAME?</v>
      </c>
      <c r="AA608" s="988" t="e">
        <f t="shared" ca="1" si="140"/>
        <v>#NAME?</v>
      </c>
      <c r="AB608" s="988" t="e">
        <f t="shared" ca="1" si="141"/>
        <v>#NAME?</v>
      </c>
      <c r="AC608" s="988" t="e">
        <f ca="1">VLOOKUP(AB608,sample!$1:$1048576,2,FALSE)</f>
        <v>#NAME?</v>
      </c>
      <c r="AD608" s="988" t="e">
        <f ca="1">VLOOKUP($AB608,sample!$1:$1048576,3,FALSE)</f>
        <v>#NAME?</v>
      </c>
      <c r="AE608" s="986" t="e">
        <f ca="1">VLOOKUP($AB608,sample!$1:$1048576,4,FALSE)</f>
        <v>#NAME?</v>
      </c>
      <c r="AF608" s="988" t="e">
        <f ca="1">VLOOKUP($AB608,sample!$1:$1048576,5,FALSE)</f>
        <v>#NAME?</v>
      </c>
      <c r="AN608" s="986" t="e">
        <f ca="1">VLOOKUP($AB608,sample!$1:$1048576,13,FALSE)</f>
        <v>#NAME?</v>
      </c>
      <c r="AP608" s="988"/>
    </row>
    <row r="609" spans="1:42">
      <c r="A609" s="911"/>
      <c r="D609" s="1133" t="str">
        <f>IFERROR(VLOOKUP(G609,PosAggregate!$B$13:$B$89,1,FALSE),"")</f>
        <v/>
      </c>
      <c r="E609" s="1013" t="e">
        <f ca="1">_xll.BDP(G609  &amp; " Equity", "ID_ISIN", "Fill", "")</f>
        <v>#NAME?</v>
      </c>
      <c r="F609" s="1106" t="str">
        <f t="shared" si="138"/>
        <v>YES</v>
      </c>
      <c r="I609" s="1007" t="e">
        <f ca="1">_xll.BDP(E609 &amp; " Equity","SECURITY_NAME")</f>
        <v>#NAME?</v>
      </c>
      <c r="J609" s="1007" t="e">
        <f ca="1">_xll.BDP(G609 &amp; " Equity","Crncy")</f>
        <v>#NAME?</v>
      </c>
      <c r="K609" s="1108"/>
      <c r="M609" s="1108"/>
      <c r="N609" s="985">
        <f t="shared" si="139"/>
        <v>0</v>
      </c>
      <c r="O609" s="817"/>
      <c r="R609" s="982">
        <f t="shared" si="135"/>
        <v>0</v>
      </c>
      <c r="S609" s="1108"/>
      <c r="T609" s="998" t="e">
        <f t="shared" si="137"/>
        <v>#DIV/0!</v>
      </c>
      <c r="U609" s="584"/>
      <c r="X609" s="971" t="e">
        <f t="shared" ref="X609:X672" si="142">+O609/N609*100</f>
        <v>#DIV/0!</v>
      </c>
      <c r="Y609" s="584" t="s">
        <v>1693</v>
      </c>
      <c r="Z609" s="988" t="e">
        <f ca="1">VLOOKUP(AA609,'place of settlement'!A:C,2,FALSE)</f>
        <v>#NAME?</v>
      </c>
      <c r="AA609" s="988" t="e">
        <f t="shared" ca="1" si="140"/>
        <v>#NAME?</v>
      </c>
      <c r="AB609" s="988" t="e">
        <f t="shared" ca="1" si="141"/>
        <v>#NAME?</v>
      </c>
      <c r="AC609" s="988" t="e">
        <f ca="1">VLOOKUP(AB609,sample!$1:$1048576,2,FALSE)</f>
        <v>#NAME?</v>
      </c>
      <c r="AD609" s="988" t="e">
        <f ca="1">VLOOKUP($AB609,sample!$1:$1048576,3,FALSE)</f>
        <v>#NAME?</v>
      </c>
      <c r="AE609" s="986" t="e">
        <f ca="1">VLOOKUP($AB609,sample!$1:$1048576,4,FALSE)</f>
        <v>#NAME?</v>
      </c>
      <c r="AF609" s="988" t="e">
        <f ca="1">VLOOKUP($AB609,sample!$1:$1048576,5,FALSE)</f>
        <v>#NAME?</v>
      </c>
      <c r="AN609" s="986" t="e">
        <f ca="1">VLOOKUP($AB609,sample!$1:$1048576,13,FALSE)</f>
        <v>#NAME?</v>
      </c>
      <c r="AP609" s="988"/>
    </row>
    <row r="610" spans="1:42">
      <c r="A610" s="911"/>
      <c r="D610" s="1133" t="str">
        <f>IFERROR(VLOOKUP(G610,PosAggregate!$B$13:$B$89,1,FALSE),"")</f>
        <v/>
      </c>
      <c r="E610" s="1013" t="e">
        <f ca="1">_xll.BDP(G610  &amp; " Equity", "ID_ISIN", "Fill", "")</f>
        <v>#NAME?</v>
      </c>
      <c r="F610" s="1106" t="str">
        <f t="shared" si="138"/>
        <v>YES</v>
      </c>
      <c r="I610" s="1007" t="e">
        <f ca="1">_xll.BDP(E610 &amp; " Equity","SECURITY_NAME")</f>
        <v>#NAME?</v>
      </c>
      <c r="J610" s="1007" t="e">
        <f ca="1">_xll.BDP(G610 &amp; " Equity","Crncy")</f>
        <v>#NAME?</v>
      </c>
      <c r="K610" s="1108"/>
      <c r="M610" s="1108"/>
      <c r="N610" s="985">
        <f t="shared" si="139"/>
        <v>0</v>
      </c>
      <c r="O610" s="817"/>
      <c r="R610" s="982">
        <f t="shared" si="135"/>
        <v>0</v>
      </c>
      <c r="S610" s="1108"/>
      <c r="T610" s="998" t="e">
        <f t="shared" si="137"/>
        <v>#DIV/0!</v>
      </c>
      <c r="U610" s="584"/>
      <c r="X610" s="971" t="e">
        <f t="shared" si="142"/>
        <v>#DIV/0!</v>
      </c>
      <c r="Y610" s="584" t="s">
        <v>1693</v>
      </c>
      <c r="Z610" s="988" t="e">
        <f ca="1">VLOOKUP(AA610,'place of settlement'!A:C,2,FALSE)</f>
        <v>#NAME?</v>
      </c>
      <c r="AA610" s="988" t="e">
        <f t="shared" ca="1" si="140"/>
        <v>#NAME?</v>
      </c>
      <c r="AB610" s="988" t="e">
        <f t="shared" ca="1" si="141"/>
        <v>#NAME?</v>
      </c>
      <c r="AC610" s="988" t="e">
        <f ca="1">VLOOKUP(AB610,sample!$1:$1048576,2,FALSE)</f>
        <v>#NAME?</v>
      </c>
      <c r="AD610" s="988" t="e">
        <f ca="1">VLOOKUP($AB610,sample!$1:$1048576,3,FALSE)</f>
        <v>#NAME?</v>
      </c>
      <c r="AE610" s="986" t="e">
        <f ca="1">VLOOKUP($AB610,sample!$1:$1048576,4,FALSE)</f>
        <v>#NAME?</v>
      </c>
      <c r="AF610" s="988" t="e">
        <f ca="1">VLOOKUP($AB610,sample!$1:$1048576,5,FALSE)</f>
        <v>#NAME?</v>
      </c>
      <c r="AN610" s="986" t="e">
        <f ca="1">VLOOKUP($AB610,sample!$1:$1048576,13,FALSE)</f>
        <v>#NAME?</v>
      </c>
      <c r="AP610" s="988"/>
    </row>
    <row r="611" spans="1:42">
      <c r="A611" s="911"/>
      <c r="D611" s="1133" t="str">
        <f>IFERROR(VLOOKUP(G611,PosAggregate!$B$13:$B$89,1,FALSE),"")</f>
        <v/>
      </c>
      <c r="E611" s="1013" t="e">
        <f ca="1">_xll.BDP(G611  &amp; " Equity", "ID_ISIN", "Fill", "")</f>
        <v>#NAME?</v>
      </c>
      <c r="F611" s="1106" t="str">
        <f t="shared" si="138"/>
        <v>YES</v>
      </c>
      <c r="I611" s="1007" t="e">
        <f ca="1">_xll.BDP(E611 &amp; " Equity","SECURITY_NAME")</f>
        <v>#NAME?</v>
      </c>
      <c r="J611" s="1007" t="e">
        <f ca="1">_xll.BDP(G611 &amp; " Equity","Crncy")</f>
        <v>#NAME?</v>
      </c>
      <c r="K611" s="1108"/>
      <c r="M611" s="1108"/>
      <c r="N611" s="985">
        <f t="shared" si="139"/>
        <v>0</v>
      </c>
      <c r="O611" s="817"/>
      <c r="R611" s="982">
        <f t="shared" ref="R611:R674" si="143">SUM(N611:Q611)</f>
        <v>0</v>
      </c>
      <c r="S611" s="1108"/>
      <c r="T611" s="998" t="e">
        <f t="shared" si="137"/>
        <v>#DIV/0!</v>
      </c>
      <c r="U611" s="584"/>
      <c r="X611" s="971" t="e">
        <f t="shared" si="142"/>
        <v>#DIV/0!</v>
      </c>
      <c r="Y611" s="584" t="s">
        <v>1693</v>
      </c>
      <c r="Z611" s="988" t="e">
        <f ca="1">VLOOKUP(AA611,'place of settlement'!A:C,2,FALSE)</f>
        <v>#NAME?</v>
      </c>
      <c r="AA611" s="988" t="e">
        <f t="shared" ca="1" si="140"/>
        <v>#NAME?</v>
      </c>
      <c r="AB611" s="988" t="e">
        <f t="shared" ca="1" si="141"/>
        <v>#NAME?</v>
      </c>
      <c r="AC611" s="988" t="e">
        <f ca="1">VLOOKUP(AB611,sample!$1:$1048576,2,FALSE)</f>
        <v>#NAME?</v>
      </c>
      <c r="AD611" s="988" t="e">
        <f ca="1">VLOOKUP($AB611,sample!$1:$1048576,3,FALSE)</f>
        <v>#NAME?</v>
      </c>
      <c r="AE611" s="986" t="e">
        <f ca="1">VLOOKUP($AB611,sample!$1:$1048576,4,FALSE)</f>
        <v>#NAME?</v>
      </c>
      <c r="AF611" s="988" t="e">
        <f ca="1">VLOOKUP($AB611,sample!$1:$1048576,5,FALSE)</f>
        <v>#NAME?</v>
      </c>
      <c r="AN611" s="986" t="e">
        <f ca="1">VLOOKUP($AB611,sample!$1:$1048576,13,FALSE)</f>
        <v>#NAME?</v>
      </c>
      <c r="AP611" s="988"/>
    </row>
    <row r="612" spans="1:42">
      <c r="A612" s="911"/>
      <c r="D612" s="1133" t="str">
        <f>IFERROR(VLOOKUP(G612,PosAggregate!$B$13:$B$89,1,FALSE),"")</f>
        <v/>
      </c>
      <c r="E612" s="1013" t="e">
        <f ca="1">_xll.BDP(G612  &amp; " Equity", "ID_ISIN", "Fill", "")</f>
        <v>#NAME?</v>
      </c>
      <c r="F612" s="1106" t="str">
        <f t="shared" si="138"/>
        <v>YES</v>
      </c>
      <c r="I612" s="1007" t="e">
        <f ca="1">_xll.BDP(E612 &amp; " Equity","SECURITY_NAME")</f>
        <v>#NAME?</v>
      </c>
      <c r="J612" s="1007" t="e">
        <f ca="1">_xll.BDP(G612 &amp; " Equity","Crncy")</f>
        <v>#NAME?</v>
      </c>
      <c r="K612" s="1108"/>
      <c r="M612" s="1108"/>
      <c r="N612" s="985">
        <f t="shared" si="139"/>
        <v>0</v>
      </c>
      <c r="O612" s="817"/>
      <c r="R612" s="982">
        <f t="shared" si="143"/>
        <v>0</v>
      </c>
      <c r="S612" s="1108"/>
      <c r="T612" s="998" t="e">
        <f t="shared" si="137"/>
        <v>#DIV/0!</v>
      </c>
      <c r="U612" s="584"/>
      <c r="X612" s="971" t="e">
        <f t="shared" si="142"/>
        <v>#DIV/0!</v>
      </c>
      <c r="Y612" s="584" t="s">
        <v>1693</v>
      </c>
      <c r="Z612" s="988" t="e">
        <f ca="1">VLOOKUP(AA612,'place of settlement'!A:C,2,FALSE)</f>
        <v>#NAME?</v>
      </c>
      <c r="AA612" s="988" t="e">
        <f t="shared" ca="1" si="140"/>
        <v>#NAME?</v>
      </c>
      <c r="AB612" s="988" t="e">
        <f t="shared" ca="1" si="141"/>
        <v>#NAME?</v>
      </c>
      <c r="AC612" s="988" t="e">
        <f ca="1">VLOOKUP(AB612,sample!$1:$1048576,2,FALSE)</f>
        <v>#NAME?</v>
      </c>
      <c r="AD612" s="988" t="e">
        <f ca="1">VLOOKUP($AB612,sample!$1:$1048576,3,FALSE)</f>
        <v>#NAME?</v>
      </c>
      <c r="AE612" s="986" t="e">
        <f ca="1">VLOOKUP($AB612,sample!$1:$1048576,4,FALSE)</f>
        <v>#NAME?</v>
      </c>
      <c r="AF612" s="988" t="e">
        <f ca="1">VLOOKUP($AB612,sample!$1:$1048576,5,FALSE)</f>
        <v>#NAME?</v>
      </c>
      <c r="AN612" s="986" t="e">
        <f ca="1">VLOOKUP($AB612,sample!$1:$1048576,13,FALSE)</f>
        <v>#NAME?</v>
      </c>
      <c r="AP612" s="988"/>
    </row>
    <row r="613" spans="1:42">
      <c r="A613" s="911"/>
      <c r="D613" s="1133" t="str">
        <f>IFERROR(VLOOKUP(G613,PosAggregate!$B$13:$B$89,1,FALSE),"")</f>
        <v/>
      </c>
      <c r="E613" s="1013" t="e">
        <f ca="1">_xll.BDP(G613  &amp; " Equity", "ID_ISIN", "Fill", "")</f>
        <v>#NAME?</v>
      </c>
      <c r="F613" s="1106" t="str">
        <f t="shared" si="138"/>
        <v>YES</v>
      </c>
      <c r="I613" s="1007" t="e">
        <f ca="1">_xll.BDP(E613 &amp; " Equity","SECURITY_NAME")</f>
        <v>#NAME?</v>
      </c>
      <c r="J613" s="1007" t="e">
        <f ca="1">_xll.BDP(G613 &amp; " Equity","Crncy")</f>
        <v>#NAME?</v>
      </c>
      <c r="K613" s="1108"/>
      <c r="M613" s="1108"/>
      <c r="N613" s="985">
        <f t="shared" si="139"/>
        <v>0</v>
      </c>
      <c r="O613" s="817"/>
      <c r="R613" s="982">
        <f t="shared" si="143"/>
        <v>0</v>
      </c>
      <c r="S613" s="1108"/>
      <c r="T613" s="998" t="e">
        <f t="shared" si="137"/>
        <v>#DIV/0!</v>
      </c>
      <c r="U613" s="584"/>
      <c r="X613" s="971" t="e">
        <f t="shared" si="142"/>
        <v>#DIV/0!</v>
      </c>
      <c r="Y613" s="584" t="s">
        <v>1693</v>
      </c>
      <c r="Z613" s="988" t="e">
        <f ca="1">VLOOKUP(AA613,'place of settlement'!A:C,2,FALSE)</f>
        <v>#NAME?</v>
      </c>
      <c r="AA613" s="988" t="e">
        <f t="shared" ca="1" si="140"/>
        <v>#NAME?</v>
      </c>
      <c r="AB613" s="988" t="e">
        <f t="shared" ca="1" si="141"/>
        <v>#NAME?</v>
      </c>
      <c r="AC613" s="988" t="e">
        <f ca="1">VLOOKUP(AB613,sample!$1:$1048576,2,FALSE)</f>
        <v>#NAME?</v>
      </c>
      <c r="AD613" s="988" t="e">
        <f ca="1">VLOOKUP($AB613,sample!$1:$1048576,3,FALSE)</f>
        <v>#NAME?</v>
      </c>
      <c r="AE613" s="986" t="e">
        <f ca="1">VLOOKUP($AB613,sample!$1:$1048576,4,FALSE)</f>
        <v>#NAME?</v>
      </c>
      <c r="AF613" s="988" t="e">
        <f ca="1">VLOOKUP($AB613,sample!$1:$1048576,5,FALSE)</f>
        <v>#NAME?</v>
      </c>
      <c r="AN613" s="986" t="e">
        <f ca="1">VLOOKUP($AB613,sample!$1:$1048576,13,FALSE)</f>
        <v>#NAME?</v>
      </c>
      <c r="AP613" s="988"/>
    </row>
    <row r="614" spans="1:42">
      <c r="A614" s="911"/>
      <c r="D614" s="1133" t="str">
        <f>IFERROR(VLOOKUP(G614,PosAggregate!$B$13:$B$89,1,FALSE),"")</f>
        <v/>
      </c>
      <c r="E614" s="1013" t="e">
        <f ca="1">_xll.BDP(G614  &amp; " Equity", "ID_ISIN", "Fill", "")</f>
        <v>#NAME?</v>
      </c>
      <c r="F614" s="1106" t="str">
        <f t="shared" si="138"/>
        <v>YES</v>
      </c>
      <c r="I614" s="1007" t="e">
        <f ca="1">_xll.BDP(E614 &amp; " Equity","SECURITY_NAME")</f>
        <v>#NAME?</v>
      </c>
      <c r="J614" s="1007" t="e">
        <f ca="1">_xll.BDP(G614 &amp; " Equity","Crncy")</f>
        <v>#NAME?</v>
      </c>
      <c r="K614" s="1108"/>
      <c r="M614" s="1108"/>
      <c r="N614" s="985">
        <f t="shared" si="139"/>
        <v>0</v>
      </c>
      <c r="O614" s="817"/>
      <c r="R614" s="982">
        <f t="shared" si="143"/>
        <v>0</v>
      </c>
      <c r="S614" s="1108"/>
      <c r="T614" s="998" t="e">
        <f t="shared" si="137"/>
        <v>#DIV/0!</v>
      </c>
      <c r="U614" s="584"/>
      <c r="X614" s="971" t="e">
        <f t="shared" si="142"/>
        <v>#DIV/0!</v>
      </c>
      <c r="Y614" s="584" t="s">
        <v>1693</v>
      </c>
      <c r="Z614" s="988" t="e">
        <f ca="1">VLOOKUP(AA614,'place of settlement'!A:C,2,FALSE)</f>
        <v>#NAME?</v>
      </c>
      <c r="AA614" s="988" t="e">
        <f t="shared" ca="1" si="140"/>
        <v>#NAME?</v>
      </c>
      <c r="AB614" s="988" t="e">
        <f t="shared" ca="1" si="141"/>
        <v>#NAME?</v>
      </c>
      <c r="AC614" s="988" t="e">
        <f ca="1">VLOOKUP(AB614,sample!$1:$1048576,2,FALSE)</f>
        <v>#NAME?</v>
      </c>
      <c r="AD614" s="988" t="e">
        <f ca="1">VLOOKUP($AB614,sample!$1:$1048576,3,FALSE)</f>
        <v>#NAME?</v>
      </c>
      <c r="AE614" s="986" t="e">
        <f ca="1">VLOOKUP($AB614,sample!$1:$1048576,4,FALSE)</f>
        <v>#NAME?</v>
      </c>
      <c r="AF614" s="988" t="e">
        <f ca="1">VLOOKUP($AB614,sample!$1:$1048576,5,FALSE)</f>
        <v>#NAME?</v>
      </c>
      <c r="AN614" s="986" t="e">
        <f ca="1">VLOOKUP($AB614,sample!$1:$1048576,13,FALSE)</f>
        <v>#NAME?</v>
      </c>
      <c r="AP614" s="988"/>
    </row>
    <row r="615" spans="1:42">
      <c r="A615" s="911"/>
      <c r="D615" s="1133" t="str">
        <f>IFERROR(VLOOKUP(G615,PosAggregate!$B$13:$B$89,1,FALSE),"")</f>
        <v/>
      </c>
      <c r="E615" s="1013" t="e">
        <f ca="1">_xll.BDP(G615  &amp; " Equity", "ID_ISIN", "Fill", "")</f>
        <v>#NAME?</v>
      </c>
      <c r="F615" s="1106" t="str">
        <f t="shared" si="138"/>
        <v>YES</v>
      </c>
      <c r="I615" s="1007" t="e">
        <f ca="1">_xll.BDP(E615 &amp; " Equity","SECURITY_NAME")</f>
        <v>#NAME?</v>
      </c>
      <c r="J615" s="1007" t="e">
        <f ca="1">_xll.BDP(G615 &amp; " Equity","Crncy")</f>
        <v>#NAME?</v>
      </c>
      <c r="K615" s="1108"/>
      <c r="M615" s="1108"/>
      <c r="N615" s="985">
        <f t="shared" si="139"/>
        <v>0</v>
      </c>
      <c r="O615" s="817"/>
      <c r="R615" s="982">
        <f t="shared" si="143"/>
        <v>0</v>
      </c>
      <c r="S615" s="1108"/>
      <c r="T615" s="998" t="e">
        <f t="shared" si="137"/>
        <v>#DIV/0!</v>
      </c>
      <c r="U615" s="584"/>
      <c r="X615" s="971" t="e">
        <f t="shared" si="142"/>
        <v>#DIV/0!</v>
      </c>
      <c r="Y615" s="584" t="s">
        <v>1693</v>
      </c>
      <c r="Z615" s="988" t="e">
        <f ca="1">VLOOKUP(AA615,'place of settlement'!A:C,2,FALSE)</f>
        <v>#NAME?</v>
      </c>
      <c r="AA615" s="988" t="e">
        <f t="shared" ca="1" si="140"/>
        <v>#NAME?</v>
      </c>
      <c r="AB615" s="988" t="e">
        <f t="shared" ca="1" si="141"/>
        <v>#NAME?</v>
      </c>
      <c r="AC615" s="988" t="e">
        <f ca="1">VLOOKUP(AB615,sample!$1:$1048576,2,FALSE)</f>
        <v>#NAME?</v>
      </c>
      <c r="AD615" s="988" t="e">
        <f ca="1">VLOOKUP($AB615,sample!$1:$1048576,3,FALSE)</f>
        <v>#NAME?</v>
      </c>
      <c r="AE615" s="986" t="e">
        <f ca="1">VLOOKUP($AB615,sample!$1:$1048576,4,FALSE)</f>
        <v>#NAME?</v>
      </c>
      <c r="AF615" s="988" t="e">
        <f ca="1">VLOOKUP($AB615,sample!$1:$1048576,5,FALSE)</f>
        <v>#NAME?</v>
      </c>
      <c r="AN615" s="986" t="e">
        <f ca="1">VLOOKUP($AB615,sample!$1:$1048576,13,FALSE)</f>
        <v>#NAME?</v>
      </c>
      <c r="AP615" s="988"/>
    </row>
    <row r="616" spans="1:42">
      <c r="A616" s="911"/>
      <c r="D616" s="1133" t="str">
        <f>IFERROR(VLOOKUP(G616,PosAggregate!$B$13:$B$89,1,FALSE),"")</f>
        <v/>
      </c>
      <c r="E616" s="1013" t="e">
        <f ca="1">_xll.BDP(G616  &amp; " Equity", "ID_ISIN", "Fill", "")</f>
        <v>#NAME?</v>
      </c>
      <c r="F616" s="1106" t="str">
        <f t="shared" si="138"/>
        <v>YES</v>
      </c>
      <c r="I616" s="1007" t="e">
        <f ca="1">_xll.BDP(E616 &amp; " Equity","SECURITY_NAME")</f>
        <v>#NAME?</v>
      </c>
      <c r="J616" s="1007" t="e">
        <f ca="1">_xll.BDP(G616 &amp; " Equity","Crncy")</f>
        <v>#NAME?</v>
      </c>
      <c r="K616" s="1108"/>
      <c r="M616" s="1108"/>
      <c r="N616" s="985">
        <f t="shared" si="139"/>
        <v>0</v>
      </c>
      <c r="O616" s="817"/>
      <c r="R616" s="982">
        <f t="shared" si="143"/>
        <v>0</v>
      </c>
      <c r="S616" s="1108"/>
      <c r="T616" s="998" t="e">
        <f t="shared" si="137"/>
        <v>#DIV/0!</v>
      </c>
      <c r="U616" s="584"/>
      <c r="X616" s="971" t="e">
        <f t="shared" si="142"/>
        <v>#DIV/0!</v>
      </c>
      <c r="Y616" s="584" t="s">
        <v>1693</v>
      </c>
      <c r="Z616" s="988" t="e">
        <f ca="1">VLOOKUP(AA616,'place of settlement'!A:C,2,FALSE)</f>
        <v>#NAME?</v>
      </c>
      <c r="AA616" s="988" t="e">
        <f t="shared" ca="1" si="140"/>
        <v>#NAME?</v>
      </c>
      <c r="AB616" s="988" t="e">
        <f t="shared" ca="1" si="141"/>
        <v>#NAME?</v>
      </c>
      <c r="AC616" s="988" t="e">
        <f ca="1">VLOOKUP(AB616,sample!$1:$1048576,2,FALSE)</f>
        <v>#NAME?</v>
      </c>
      <c r="AD616" s="988" t="e">
        <f ca="1">VLOOKUP($AB616,sample!$1:$1048576,3,FALSE)</f>
        <v>#NAME?</v>
      </c>
      <c r="AE616" s="986" t="e">
        <f ca="1">VLOOKUP($AB616,sample!$1:$1048576,4,FALSE)</f>
        <v>#NAME?</v>
      </c>
      <c r="AF616" s="988" t="e">
        <f ca="1">VLOOKUP($AB616,sample!$1:$1048576,5,FALSE)</f>
        <v>#NAME?</v>
      </c>
      <c r="AN616" s="986" t="e">
        <f ca="1">VLOOKUP($AB616,sample!$1:$1048576,13,FALSE)</f>
        <v>#NAME?</v>
      </c>
      <c r="AP616" s="988"/>
    </row>
    <row r="617" spans="1:42">
      <c r="A617" s="911"/>
      <c r="D617" s="1133" t="str">
        <f>IFERROR(VLOOKUP(G617,PosAggregate!$B$13:$B$89,1,FALSE),"")</f>
        <v/>
      </c>
      <c r="E617" s="1013" t="e">
        <f ca="1">_xll.BDP(G617  &amp; " Equity", "ID_ISIN", "Fill", "")</f>
        <v>#NAME?</v>
      </c>
      <c r="F617" s="1106" t="str">
        <f t="shared" si="138"/>
        <v>YES</v>
      </c>
      <c r="I617" s="1007" t="e">
        <f ca="1">_xll.BDP(E617 &amp; " Equity","SECURITY_NAME")</f>
        <v>#NAME?</v>
      </c>
      <c r="J617" s="1007" t="e">
        <f ca="1">_xll.BDP(G617 &amp; " Equity","Crncy")</f>
        <v>#NAME?</v>
      </c>
      <c r="K617" s="1108"/>
      <c r="M617" s="1108"/>
      <c r="N617" s="985">
        <f t="shared" si="139"/>
        <v>0</v>
      </c>
      <c r="O617" s="817"/>
      <c r="R617" s="982">
        <f t="shared" si="143"/>
        <v>0</v>
      </c>
      <c r="S617" s="1108"/>
      <c r="T617" s="998" t="e">
        <f t="shared" si="137"/>
        <v>#DIV/0!</v>
      </c>
      <c r="U617" s="584"/>
      <c r="X617" s="971" t="e">
        <f t="shared" si="142"/>
        <v>#DIV/0!</v>
      </c>
      <c r="Y617" s="584" t="s">
        <v>1693</v>
      </c>
      <c r="Z617" s="988" t="e">
        <f ca="1">VLOOKUP(AA617,'place of settlement'!A:C,2,FALSE)</f>
        <v>#NAME?</v>
      </c>
      <c r="AA617" s="988" t="e">
        <f t="shared" ca="1" si="140"/>
        <v>#NAME?</v>
      </c>
      <c r="AB617" s="988" t="e">
        <f t="shared" ca="1" si="141"/>
        <v>#NAME?</v>
      </c>
      <c r="AC617" s="988" t="e">
        <f ca="1">VLOOKUP(AB617,sample!$1:$1048576,2,FALSE)</f>
        <v>#NAME?</v>
      </c>
      <c r="AD617" s="988" t="e">
        <f ca="1">VLOOKUP($AB617,sample!$1:$1048576,3,FALSE)</f>
        <v>#NAME?</v>
      </c>
      <c r="AE617" s="986" t="e">
        <f ca="1">VLOOKUP($AB617,sample!$1:$1048576,4,FALSE)</f>
        <v>#NAME?</v>
      </c>
      <c r="AF617" s="988" t="e">
        <f ca="1">VLOOKUP($AB617,sample!$1:$1048576,5,FALSE)</f>
        <v>#NAME?</v>
      </c>
      <c r="AN617" s="986" t="e">
        <f ca="1">VLOOKUP($AB617,sample!$1:$1048576,13,FALSE)</f>
        <v>#NAME?</v>
      </c>
      <c r="AP617" s="988"/>
    </row>
    <row r="618" spans="1:42">
      <c r="A618" s="911"/>
      <c r="D618" s="1133" t="str">
        <f>IFERROR(VLOOKUP(G618,PosAggregate!$B$13:$B$89,1,FALSE),"")</f>
        <v/>
      </c>
      <c r="E618" s="1013" t="e">
        <f ca="1">_xll.BDP(G618  &amp; " Equity", "ID_ISIN", "Fill", "")</f>
        <v>#NAME?</v>
      </c>
      <c r="F618" s="1106" t="str">
        <f t="shared" si="138"/>
        <v>YES</v>
      </c>
      <c r="I618" s="1007" t="e">
        <f ca="1">_xll.BDP(E618 &amp; " Equity","SECURITY_NAME")</f>
        <v>#NAME?</v>
      </c>
      <c r="J618" s="1007" t="e">
        <f ca="1">_xll.BDP(G618 &amp; " Equity","Crncy")</f>
        <v>#NAME?</v>
      </c>
      <c r="K618" s="1108"/>
      <c r="M618" s="1108"/>
      <c r="N618" s="985">
        <f t="shared" si="139"/>
        <v>0</v>
      </c>
      <c r="O618" s="817"/>
      <c r="R618" s="982">
        <f t="shared" si="143"/>
        <v>0</v>
      </c>
      <c r="S618" s="1108"/>
      <c r="T618" s="998" t="e">
        <f t="shared" si="137"/>
        <v>#DIV/0!</v>
      </c>
      <c r="U618" s="584"/>
      <c r="X618" s="971" t="e">
        <f t="shared" si="142"/>
        <v>#DIV/0!</v>
      </c>
      <c r="Y618" s="584" t="s">
        <v>1693</v>
      </c>
      <c r="Z618" s="988" t="e">
        <f ca="1">VLOOKUP(AA618,'place of settlement'!A:C,2,FALSE)</f>
        <v>#NAME?</v>
      </c>
      <c r="AA618" s="988" t="e">
        <f t="shared" ca="1" si="140"/>
        <v>#NAME?</v>
      </c>
      <c r="AB618" s="988" t="e">
        <f t="shared" ca="1" si="141"/>
        <v>#NAME?</v>
      </c>
      <c r="AC618" s="988" t="e">
        <f ca="1">VLOOKUP(AB618,sample!$1:$1048576,2,FALSE)</f>
        <v>#NAME?</v>
      </c>
      <c r="AD618" s="988" t="e">
        <f ca="1">VLOOKUP($AB618,sample!$1:$1048576,3,FALSE)</f>
        <v>#NAME?</v>
      </c>
      <c r="AE618" s="986" t="e">
        <f ca="1">VLOOKUP($AB618,sample!$1:$1048576,4,FALSE)</f>
        <v>#NAME?</v>
      </c>
      <c r="AF618" s="988" t="e">
        <f ca="1">VLOOKUP($AB618,sample!$1:$1048576,5,FALSE)</f>
        <v>#NAME?</v>
      </c>
      <c r="AN618" s="986" t="e">
        <f ca="1">VLOOKUP($AB618,sample!$1:$1048576,13,FALSE)</f>
        <v>#NAME?</v>
      </c>
      <c r="AP618" s="988"/>
    </row>
    <row r="619" spans="1:42">
      <c r="A619" s="911"/>
      <c r="D619" s="1133" t="str">
        <f>IFERROR(VLOOKUP(G619,PosAggregate!$B$13:$B$89,1,FALSE),"")</f>
        <v/>
      </c>
      <c r="E619" s="1013" t="e">
        <f ca="1">_xll.BDP(G619  &amp; " Equity", "ID_ISIN", "Fill", "")</f>
        <v>#NAME?</v>
      </c>
      <c r="F619" s="1106" t="str">
        <f t="shared" si="138"/>
        <v>YES</v>
      </c>
      <c r="I619" s="1007" t="e">
        <f ca="1">_xll.BDP(E619 &amp; " Equity","SECURITY_NAME")</f>
        <v>#NAME?</v>
      </c>
      <c r="J619" s="1007" t="e">
        <f ca="1">_xll.BDP(G619 &amp; " Equity","Crncy")</f>
        <v>#NAME?</v>
      </c>
      <c r="K619" s="1108"/>
      <c r="M619" s="1108"/>
      <c r="N619" s="985">
        <f t="shared" si="139"/>
        <v>0</v>
      </c>
      <c r="O619" s="817"/>
      <c r="R619" s="982">
        <f t="shared" si="143"/>
        <v>0</v>
      </c>
      <c r="S619" s="1108"/>
      <c r="T619" s="998" t="e">
        <f t="shared" si="137"/>
        <v>#DIV/0!</v>
      </c>
      <c r="U619" s="584"/>
      <c r="X619" s="971" t="e">
        <f t="shared" si="142"/>
        <v>#DIV/0!</v>
      </c>
      <c r="Y619" s="584" t="s">
        <v>1693</v>
      </c>
      <c r="Z619" s="988" t="e">
        <f ca="1">VLOOKUP(AA619,'place of settlement'!A:C,2,FALSE)</f>
        <v>#NAME?</v>
      </c>
      <c r="AA619" s="988" t="e">
        <f t="shared" ca="1" si="140"/>
        <v>#NAME?</v>
      </c>
      <c r="AB619" s="988" t="e">
        <f t="shared" ca="1" si="141"/>
        <v>#NAME?</v>
      </c>
      <c r="AC619" s="988" t="e">
        <f ca="1">VLOOKUP(AB619,sample!$1:$1048576,2,FALSE)</f>
        <v>#NAME?</v>
      </c>
      <c r="AD619" s="988" t="e">
        <f ca="1">VLOOKUP($AB619,sample!$1:$1048576,3,FALSE)</f>
        <v>#NAME?</v>
      </c>
      <c r="AE619" s="986" t="e">
        <f ca="1">VLOOKUP($AB619,sample!$1:$1048576,4,FALSE)</f>
        <v>#NAME?</v>
      </c>
      <c r="AF619" s="988" t="e">
        <f ca="1">VLOOKUP($AB619,sample!$1:$1048576,5,FALSE)</f>
        <v>#NAME?</v>
      </c>
      <c r="AN619" s="986" t="e">
        <f ca="1">VLOOKUP($AB619,sample!$1:$1048576,13,FALSE)</f>
        <v>#NAME?</v>
      </c>
      <c r="AP619" s="988"/>
    </row>
    <row r="620" spans="1:42">
      <c r="A620" s="911"/>
      <c r="D620" s="1133" t="str">
        <f>IFERROR(VLOOKUP(G620,PosAggregate!$B$13:$B$89,1,FALSE),"")</f>
        <v/>
      </c>
      <c r="E620" s="1013" t="e">
        <f ca="1">_xll.BDP(G620  &amp; " Equity", "ID_ISIN", "Fill", "")</f>
        <v>#NAME?</v>
      </c>
      <c r="F620" s="1106" t="str">
        <f t="shared" si="138"/>
        <v>YES</v>
      </c>
      <c r="I620" s="1007" t="e">
        <f ca="1">_xll.BDP(E620 &amp; " Equity","SECURITY_NAME")</f>
        <v>#NAME?</v>
      </c>
      <c r="J620" s="1007" t="e">
        <f ca="1">_xll.BDP(G620 &amp; " Equity","Crncy")</f>
        <v>#NAME?</v>
      </c>
      <c r="K620" s="1108"/>
      <c r="M620" s="1108"/>
      <c r="N620" s="985">
        <f t="shared" si="139"/>
        <v>0</v>
      </c>
      <c r="O620" s="817"/>
      <c r="R620" s="982">
        <f t="shared" si="143"/>
        <v>0</v>
      </c>
      <c r="S620" s="1108"/>
      <c r="T620" s="998" t="e">
        <f t="shared" si="137"/>
        <v>#DIV/0!</v>
      </c>
      <c r="U620" s="584"/>
      <c r="X620" s="971" t="e">
        <f t="shared" si="142"/>
        <v>#DIV/0!</v>
      </c>
      <c r="Y620" s="584" t="s">
        <v>1693</v>
      </c>
      <c r="Z620" s="988" t="e">
        <f ca="1">VLOOKUP(AA620,'place of settlement'!A:C,2,FALSE)</f>
        <v>#NAME?</v>
      </c>
      <c r="AA620" s="988" t="e">
        <f t="shared" ca="1" si="140"/>
        <v>#NAME?</v>
      </c>
      <c r="AB620" s="988" t="e">
        <f t="shared" ca="1" si="141"/>
        <v>#NAME?</v>
      </c>
      <c r="AC620" s="988" t="e">
        <f ca="1">VLOOKUP(AB620,sample!$1:$1048576,2,FALSE)</f>
        <v>#NAME?</v>
      </c>
      <c r="AD620" s="988" t="e">
        <f ca="1">VLOOKUP($AB620,sample!$1:$1048576,3,FALSE)</f>
        <v>#NAME?</v>
      </c>
      <c r="AE620" s="986" t="e">
        <f ca="1">VLOOKUP($AB620,sample!$1:$1048576,4,FALSE)</f>
        <v>#NAME?</v>
      </c>
      <c r="AF620" s="988" t="e">
        <f ca="1">VLOOKUP($AB620,sample!$1:$1048576,5,FALSE)</f>
        <v>#NAME?</v>
      </c>
      <c r="AN620" s="986" t="e">
        <f ca="1">VLOOKUP($AB620,sample!$1:$1048576,13,FALSE)</f>
        <v>#NAME?</v>
      </c>
      <c r="AP620" s="988"/>
    </row>
    <row r="621" spans="1:42">
      <c r="A621" s="911"/>
      <c r="D621" s="1133" t="str">
        <f>IFERROR(VLOOKUP(G621,PosAggregate!$B$13:$B$89,1,FALSE),"")</f>
        <v/>
      </c>
      <c r="E621" s="1013" t="e">
        <f ca="1">_xll.BDP(G621  &amp; " Equity", "ID_ISIN", "Fill", "")</f>
        <v>#NAME?</v>
      </c>
      <c r="F621" s="1106" t="str">
        <f t="shared" si="138"/>
        <v>YES</v>
      </c>
      <c r="I621" s="1007" t="e">
        <f ca="1">_xll.BDP(E621 &amp; " Equity","SECURITY_NAME")</f>
        <v>#NAME?</v>
      </c>
      <c r="J621" s="1007" t="e">
        <f ca="1">_xll.BDP(G621 &amp; " Equity","Crncy")</f>
        <v>#NAME?</v>
      </c>
      <c r="K621" s="1108"/>
      <c r="M621" s="1108"/>
      <c r="N621" s="985">
        <f t="shared" si="139"/>
        <v>0</v>
      </c>
      <c r="O621" s="817"/>
      <c r="R621" s="982">
        <f t="shared" si="143"/>
        <v>0</v>
      </c>
      <c r="S621" s="1108"/>
      <c r="T621" s="998" t="e">
        <f t="shared" si="137"/>
        <v>#DIV/0!</v>
      </c>
      <c r="U621" s="584"/>
      <c r="X621" s="971" t="e">
        <f t="shared" si="142"/>
        <v>#DIV/0!</v>
      </c>
      <c r="Y621" s="584" t="s">
        <v>1693</v>
      </c>
      <c r="Z621" s="988" t="e">
        <f ca="1">VLOOKUP(AA621,'place of settlement'!A:C,2,FALSE)</f>
        <v>#NAME?</v>
      </c>
      <c r="AA621" s="988" t="e">
        <f t="shared" ca="1" si="140"/>
        <v>#NAME?</v>
      </c>
      <c r="AB621" s="988" t="e">
        <f t="shared" ca="1" si="141"/>
        <v>#NAME?</v>
      </c>
      <c r="AC621" s="988" t="e">
        <f ca="1">VLOOKUP(AB621,sample!$1:$1048576,2,FALSE)</f>
        <v>#NAME?</v>
      </c>
      <c r="AD621" s="988" t="e">
        <f ca="1">VLOOKUP($AB621,sample!$1:$1048576,3,FALSE)</f>
        <v>#NAME?</v>
      </c>
      <c r="AE621" s="986" t="e">
        <f ca="1">VLOOKUP($AB621,sample!$1:$1048576,4,FALSE)</f>
        <v>#NAME?</v>
      </c>
      <c r="AF621" s="988" t="e">
        <f ca="1">VLOOKUP($AB621,sample!$1:$1048576,5,FALSE)</f>
        <v>#NAME?</v>
      </c>
      <c r="AN621" s="986" t="e">
        <f ca="1">VLOOKUP($AB621,sample!$1:$1048576,13,FALSE)</f>
        <v>#NAME?</v>
      </c>
      <c r="AP621" s="988"/>
    </row>
    <row r="622" spans="1:42">
      <c r="A622" s="911"/>
      <c r="D622" s="1133" t="str">
        <f>IFERROR(VLOOKUP(G622,PosAggregate!$B$13:$B$89,1,FALSE),"")</f>
        <v/>
      </c>
      <c r="E622" s="1013" t="e">
        <f ca="1">_xll.BDP(G622  &amp; " Equity", "ID_ISIN", "Fill", "")</f>
        <v>#NAME?</v>
      </c>
      <c r="F622" s="1106" t="str">
        <f t="shared" si="138"/>
        <v>YES</v>
      </c>
      <c r="I622" s="1007" t="e">
        <f ca="1">_xll.BDP(E622 &amp; " Equity","SECURITY_NAME")</f>
        <v>#NAME?</v>
      </c>
      <c r="J622" s="1007" t="e">
        <f ca="1">_xll.BDP(G622 &amp; " Equity","Crncy")</f>
        <v>#NAME?</v>
      </c>
      <c r="K622" s="1108"/>
      <c r="M622" s="1108"/>
      <c r="N622" s="985">
        <f t="shared" si="139"/>
        <v>0</v>
      </c>
      <c r="O622" s="817"/>
      <c r="R622" s="982">
        <f t="shared" si="143"/>
        <v>0</v>
      </c>
      <c r="S622" s="1108"/>
      <c r="T622" s="998" t="e">
        <f t="shared" si="137"/>
        <v>#DIV/0!</v>
      </c>
      <c r="U622" s="584"/>
      <c r="X622" s="971" t="e">
        <f t="shared" si="142"/>
        <v>#DIV/0!</v>
      </c>
      <c r="Y622" s="584" t="s">
        <v>1693</v>
      </c>
      <c r="Z622" s="988" t="e">
        <f ca="1">VLOOKUP(AA622,'place of settlement'!A:C,2,FALSE)</f>
        <v>#NAME?</v>
      </c>
      <c r="AA622" s="988" t="e">
        <f t="shared" ca="1" si="140"/>
        <v>#NAME?</v>
      </c>
      <c r="AB622" s="988" t="e">
        <f t="shared" ca="1" si="141"/>
        <v>#NAME?</v>
      </c>
      <c r="AC622" s="988" t="e">
        <f ca="1">VLOOKUP(AB622,sample!$1:$1048576,2,FALSE)</f>
        <v>#NAME?</v>
      </c>
      <c r="AD622" s="988" t="e">
        <f ca="1">VLOOKUP($AB622,sample!$1:$1048576,3,FALSE)</f>
        <v>#NAME?</v>
      </c>
      <c r="AE622" s="986" t="e">
        <f ca="1">VLOOKUP($AB622,sample!$1:$1048576,4,FALSE)</f>
        <v>#NAME?</v>
      </c>
      <c r="AF622" s="988" t="e">
        <f ca="1">VLOOKUP($AB622,sample!$1:$1048576,5,FALSE)</f>
        <v>#NAME?</v>
      </c>
      <c r="AN622" s="986" t="e">
        <f ca="1">VLOOKUP($AB622,sample!$1:$1048576,13,FALSE)</f>
        <v>#NAME?</v>
      </c>
      <c r="AP622" s="988"/>
    </row>
    <row r="623" spans="1:42">
      <c r="A623" s="911"/>
      <c r="D623" s="1133" t="str">
        <f>IFERROR(VLOOKUP(G623,PosAggregate!$B$13:$B$89,1,FALSE),"")</f>
        <v/>
      </c>
      <c r="E623" s="1013" t="e">
        <f ca="1">_xll.BDP(G623  &amp; " Equity", "ID_ISIN", "Fill", "")</f>
        <v>#NAME?</v>
      </c>
      <c r="F623" s="1106" t="str">
        <f t="shared" si="138"/>
        <v>YES</v>
      </c>
      <c r="I623" s="1007" t="e">
        <f ca="1">_xll.BDP(E623 &amp; " Equity","SECURITY_NAME")</f>
        <v>#NAME?</v>
      </c>
      <c r="J623" s="1007" t="e">
        <f ca="1">_xll.BDP(G623 &amp; " Equity","Crncy")</f>
        <v>#NAME?</v>
      </c>
      <c r="K623" s="1108"/>
      <c r="M623" s="1108"/>
      <c r="N623" s="985">
        <f t="shared" si="139"/>
        <v>0</v>
      </c>
      <c r="O623" s="817"/>
      <c r="R623" s="982">
        <f t="shared" si="143"/>
        <v>0</v>
      </c>
      <c r="S623" s="1108"/>
      <c r="T623" s="998" t="e">
        <f t="shared" si="137"/>
        <v>#DIV/0!</v>
      </c>
      <c r="U623" s="584"/>
      <c r="X623" s="971" t="e">
        <f t="shared" si="142"/>
        <v>#DIV/0!</v>
      </c>
      <c r="Y623" s="584" t="s">
        <v>1693</v>
      </c>
      <c r="Z623" s="988" t="e">
        <f ca="1">VLOOKUP(AA623,'place of settlement'!A:C,2,FALSE)</f>
        <v>#NAME?</v>
      </c>
      <c r="AA623" s="988" t="e">
        <f t="shared" ca="1" si="140"/>
        <v>#NAME?</v>
      </c>
      <c r="AB623" s="988" t="e">
        <f t="shared" ca="1" si="141"/>
        <v>#NAME?</v>
      </c>
      <c r="AC623" s="988" t="e">
        <f ca="1">VLOOKUP(AB623,sample!$1:$1048576,2,FALSE)</f>
        <v>#NAME?</v>
      </c>
      <c r="AD623" s="988" t="e">
        <f ca="1">VLOOKUP($AB623,sample!$1:$1048576,3,FALSE)</f>
        <v>#NAME?</v>
      </c>
      <c r="AE623" s="986" t="e">
        <f ca="1">VLOOKUP($AB623,sample!$1:$1048576,4,FALSE)</f>
        <v>#NAME?</v>
      </c>
      <c r="AF623" s="988" t="e">
        <f ca="1">VLOOKUP($AB623,sample!$1:$1048576,5,FALSE)</f>
        <v>#NAME?</v>
      </c>
      <c r="AN623" s="986" t="e">
        <f ca="1">VLOOKUP($AB623,sample!$1:$1048576,13,FALSE)</f>
        <v>#NAME?</v>
      </c>
      <c r="AP623" s="988"/>
    </row>
    <row r="624" spans="1:42">
      <c r="A624" s="911"/>
      <c r="D624" s="1133" t="str">
        <f>IFERROR(VLOOKUP(G624,PosAggregate!$B$13:$B$89,1,FALSE),"")</f>
        <v/>
      </c>
      <c r="E624" s="1013" t="e">
        <f ca="1">_xll.BDP(G624  &amp; " Equity", "ID_ISIN", "Fill", "")</f>
        <v>#NAME?</v>
      </c>
      <c r="F624" s="1106" t="str">
        <f t="shared" si="138"/>
        <v>YES</v>
      </c>
      <c r="I624" s="1007" t="e">
        <f ca="1">_xll.BDP(E624 &amp; " Equity","SECURITY_NAME")</f>
        <v>#NAME?</v>
      </c>
      <c r="J624" s="1007" t="e">
        <f ca="1">_xll.BDP(G624 &amp; " Equity","Crncy")</f>
        <v>#NAME?</v>
      </c>
      <c r="K624" s="1108"/>
      <c r="M624" s="1108"/>
      <c r="N624" s="985">
        <f t="shared" si="139"/>
        <v>0</v>
      </c>
      <c r="O624" s="817"/>
      <c r="R624" s="982">
        <f t="shared" si="143"/>
        <v>0</v>
      </c>
      <c r="S624" s="1108"/>
      <c r="T624" s="998" t="e">
        <f t="shared" si="137"/>
        <v>#DIV/0!</v>
      </c>
      <c r="U624" s="584"/>
      <c r="X624" s="971" t="e">
        <f t="shared" si="142"/>
        <v>#DIV/0!</v>
      </c>
      <c r="Y624" s="584" t="s">
        <v>1693</v>
      </c>
      <c r="Z624" s="988" t="e">
        <f ca="1">VLOOKUP(AA624,'place of settlement'!A:C,2,FALSE)</f>
        <v>#NAME?</v>
      </c>
      <c r="AA624" s="988" t="e">
        <f t="shared" ca="1" si="140"/>
        <v>#NAME?</v>
      </c>
      <c r="AB624" s="988" t="e">
        <f t="shared" ca="1" si="141"/>
        <v>#NAME?</v>
      </c>
      <c r="AC624" s="988" t="e">
        <f ca="1">VLOOKUP(AB624,sample!$1:$1048576,2,FALSE)</f>
        <v>#NAME?</v>
      </c>
      <c r="AD624" s="988" t="e">
        <f ca="1">VLOOKUP($AB624,sample!$1:$1048576,3,FALSE)</f>
        <v>#NAME?</v>
      </c>
      <c r="AE624" s="986" t="e">
        <f ca="1">VLOOKUP($AB624,sample!$1:$1048576,4,FALSE)</f>
        <v>#NAME?</v>
      </c>
      <c r="AF624" s="988" t="e">
        <f ca="1">VLOOKUP($AB624,sample!$1:$1048576,5,FALSE)</f>
        <v>#NAME?</v>
      </c>
      <c r="AN624" s="986" t="e">
        <f ca="1">VLOOKUP($AB624,sample!$1:$1048576,13,FALSE)</f>
        <v>#NAME?</v>
      </c>
      <c r="AP624" s="988"/>
    </row>
    <row r="625" spans="1:42">
      <c r="A625" s="911"/>
      <c r="D625" s="1133" t="str">
        <f>IFERROR(VLOOKUP(G625,PosAggregate!$B$13:$B$89,1,FALSE),"")</f>
        <v/>
      </c>
      <c r="E625" s="1013" t="e">
        <f ca="1">_xll.BDP(G625  &amp; " Equity", "ID_ISIN", "Fill", "")</f>
        <v>#NAME?</v>
      </c>
      <c r="F625" s="1106" t="str">
        <f t="shared" si="138"/>
        <v>YES</v>
      </c>
      <c r="I625" s="1007" t="e">
        <f ca="1">_xll.BDP(E625 &amp; " Equity","SECURITY_NAME")</f>
        <v>#NAME?</v>
      </c>
      <c r="J625" s="1007" t="e">
        <f ca="1">_xll.BDP(G625 &amp; " Equity","Crncy")</f>
        <v>#NAME?</v>
      </c>
      <c r="K625" s="1108"/>
      <c r="M625" s="1108"/>
      <c r="N625" s="985">
        <f t="shared" si="139"/>
        <v>0</v>
      </c>
      <c r="O625" s="817"/>
      <c r="R625" s="982">
        <f t="shared" si="143"/>
        <v>0</v>
      </c>
      <c r="S625" s="1108"/>
      <c r="T625" s="998" t="e">
        <f t="shared" si="137"/>
        <v>#DIV/0!</v>
      </c>
      <c r="U625" s="584"/>
      <c r="X625" s="971" t="e">
        <f t="shared" si="142"/>
        <v>#DIV/0!</v>
      </c>
      <c r="Y625" s="584" t="s">
        <v>1693</v>
      </c>
      <c r="Z625" s="988" t="e">
        <f ca="1">VLOOKUP(AA625,'place of settlement'!A:C,2,FALSE)</f>
        <v>#NAME?</v>
      </c>
      <c r="AA625" s="988" t="e">
        <f t="shared" ca="1" si="140"/>
        <v>#NAME?</v>
      </c>
      <c r="AB625" s="988" t="e">
        <f t="shared" ca="1" si="141"/>
        <v>#NAME?</v>
      </c>
      <c r="AC625" s="988" t="e">
        <f ca="1">VLOOKUP(AB625,sample!$1:$1048576,2,FALSE)</f>
        <v>#NAME?</v>
      </c>
      <c r="AD625" s="988" t="e">
        <f ca="1">VLOOKUP($AB625,sample!$1:$1048576,3,FALSE)</f>
        <v>#NAME?</v>
      </c>
      <c r="AE625" s="986" t="e">
        <f ca="1">VLOOKUP($AB625,sample!$1:$1048576,4,FALSE)</f>
        <v>#NAME?</v>
      </c>
      <c r="AF625" s="988" t="e">
        <f ca="1">VLOOKUP($AB625,sample!$1:$1048576,5,FALSE)</f>
        <v>#NAME?</v>
      </c>
      <c r="AN625" s="986" t="e">
        <f ca="1">VLOOKUP($AB625,sample!$1:$1048576,13,FALSE)</f>
        <v>#NAME?</v>
      </c>
      <c r="AP625" s="988"/>
    </row>
    <row r="626" spans="1:42">
      <c r="A626" s="911"/>
      <c r="D626" s="1133" t="str">
        <f>IFERROR(VLOOKUP(G626,PosAggregate!$B$13:$B$89,1,FALSE),"")</f>
        <v/>
      </c>
      <c r="E626" s="1013" t="e">
        <f ca="1">_xll.BDP(G626  &amp; " Equity", "ID_ISIN", "Fill", "")</f>
        <v>#NAME?</v>
      </c>
      <c r="F626" s="1106" t="str">
        <f t="shared" si="138"/>
        <v>YES</v>
      </c>
      <c r="I626" s="1007" t="e">
        <f ca="1">_xll.BDP(E626 &amp; " Equity","SECURITY_NAME")</f>
        <v>#NAME?</v>
      </c>
      <c r="J626" s="1007" t="e">
        <f ca="1">_xll.BDP(G626 &amp; " Equity","Crncy")</f>
        <v>#NAME?</v>
      </c>
      <c r="K626" s="1108"/>
      <c r="M626" s="1108"/>
      <c r="N626" s="985">
        <f t="shared" si="139"/>
        <v>0</v>
      </c>
      <c r="O626" s="817"/>
      <c r="R626" s="982">
        <f t="shared" si="143"/>
        <v>0</v>
      </c>
      <c r="S626" s="1108"/>
      <c r="T626" s="998" t="e">
        <f t="shared" si="137"/>
        <v>#DIV/0!</v>
      </c>
      <c r="U626" s="584"/>
      <c r="X626" s="971" t="e">
        <f t="shared" si="142"/>
        <v>#DIV/0!</v>
      </c>
      <c r="Y626" s="584" t="s">
        <v>1693</v>
      </c>
      <c r="Z626" s="988" t="e">
        <f ca="1">VLOOKUP(AA626,'place of settlement'!A:C,2,FALSE)</f>
        <v>#NAME?</v>
      </c>
      <c r="AA626" s="988" t="e">
        <f t="shared" ca="1" si="140"/>
        <v>#NAME?</v>
      </c>
      <c r="AB626" s="988" t="e">
        <f t="shared" ca="1" si="141"/>
        <v>#NAME?</v>
      </c>
      <c r="AC626" s="988" t="e">
        <f ca="1">VLOOKUP(AB626,sample!$1:$1048576,2,FALSE)</f>
        <v>#NAME?</v>
      </c>
      <c r="AD626" s="988" t="e">
        <f ca="1">VLOOKUP($AB626,sample!$1:$1048576,3,FALSE)</f>
        <v>#NAME?</v>
      </c>
      <c r="AE626" s="986" t="e">
        <f ca="1">VLOOKUP($AB626,sample!$1:$1048576,4,FALSE)</f>
        <v>#NAME?</v>
      </c>
      <c r="AF626" s="988" t="e">
        <f ca="1">VLOOKUP($AB626,sample!$1:$1048576,5,FALSE)</f>
        <v>#NAME?</v>
      </c>
      <c r="AN626" s="986" t="e">
        <f ca="1">VLOOKUP($AB626,sample!$1:$1048576,13,FALSE)</f>
        <v>#NAME?</v>
      </c>
      <c r="AP626" s="988"/>
    </row>
    <row r="627" spans="1:42">
      <c r="A627" s="911"/>
      <c r="D627" s="1133" t="str">
        <f>IFERROR(VLOOKUP(G627,PosAggregate!$B$13:$B$89,1,FALSE),"")</f>
        <v/>
      </c>
      <c r="E627" s="1013" t="e">
        <f ca="1">_xll.BDP(G627  &amp; " Equity", "ID_ISIN", "Fill", "")</f>
        <v>#NAME?</v>
      </c>
      <c r="F627" s="1106" t="str">
        <f t="shared" si="138"/>
        <v>YES</v>
      </c>
      <c r="I627" s="1007" t="e">
        <f ca="1">_xll.BDP(E627 &amp; " Equity","SECURITY_NAME")</f>
        <v>#NAME?</v>
      </c>
      <c r="J627" s="1007" t="e">
        <f ca="1">_xll.BDP(G627 &amp; " Equity","Crncy")</f>
        <v>#NAME?</v>
      </c>
      <c r="K627" s="1108"/>
      <c r="M627" s="1108"/>
      <c r="N627" s="985">
        <f t="shared" si="139"/>
        <v>0</v>
      </c>
      <c r="O627" s="817"/>
      <c r="R627" s="982">
        <f t="shared" si="143"/>
        <v>0</v>
      </c>
      <c r="S627" s="1108"/>
      <c r="T627" s="998" t="e">
        <f t="shared" si="137"/>
        <v>#DIV/0!</v>
      </c>
      <c r="U627" s="584"/>
      <c r="X627" s="971" t="e">
        <f t="shared" si="142"/>
        <v>#DIV/0!</v>
      </c>
      <c r="Y627" s="584" t="s">
        <v>1693</v>
      </c>
      <c r="Z627" s="988" t="e">
        <f ca="1">VLOOKUP(AA627,'place of settlement'!A:C,2,FALSE)</f>
        <v>#NAME?</v>
      </c>
      <c r="AA627" s="988" t="e">
        <f t="shared" ca="1" si="140"/>
        <v>#NAME?</v>
      </c>
      <c r="AB627" s="988" t="e">
        <f t="shared" ca="1" si="141"/>
        <v>#NAME?</v>
      </c>
      <c r="AC627" s="988" t="e">
        <f ca="1">VLOOKUP(AB627,sample!$1:$1048576,2,FALSE)</f>
        <v>#NAME?</v>
      </c>
      <c r="AD627" s="988" t="e">
        <f ca="1">VLOOKUP($AB627,sample!$1:$1048576,3,FALSE)</f>
        <v>#NAME?</v>
      </c>
      <c r="AE627" s="986" t="e">
        <f ca="1">VLOOKUP($AB627,sample!$1:$1048576,4,FALSE)</f>
        <v>#NAME?</v>
      </c>
      <c r="AF627" s="988" t="e">
        <f ca="1">VLOOKUP($AB627,sample!$1:$1048576,5,FALSE)</f>
        <v>#NAME?</v>
      </c>
      <c r="AN627" s="986" t="e">
        <f ca="1">VLOOKUP($AB627,sample!$1:$1048576,13,FALSE)</f>
        <v>#NAME?</v>
      </c>
      <c r="AP627" s="988"/>
    </row>
    <row r="628" spans="1:42">
      <c r="A628" s="911"/>
      <c r="D628" s="1133" t="str">
        <f>IFERROR(VLOOKUP(G628,PosAggregate!$B$13:$B$89,1,FALSE),"")</f>
        <v/>
      </c>
      <c r="E628" s="1013" t="e">
        <f ca="1">_xll.BDP(G628  &amp; " Equity", "ID_ISIN", "Fill", "")</f>
        <v>#NAME?</v>
      </c>
      <c r="F628" s="1106" t="str">
        <f t="shared" si="138"/>
        <v>YES</v>
      </c>
      <c r="I628" s="1007" t="e">
        <f ca="1">_xll.BDP(E628 &amp; " Equity","SECURITY_NAME")</f>
        <v>#NAME?</v>
      </c>
      <c r="J628" s="1007" t="e">
        <f ca="1">_xll.BDP(G628 &amp; " Equity","Crncy")</f>
        <v>#NAME?</v>
      </c>
      <c r="K628" s="1108"/>
      <c r="M628" s="1108"/>
      <c r="N628" s="985">
        <f t="shared" si="139"/>
        <v>0</v>
      </c>
      <c r="O628" s="817"/>
      <c r="R628" s="982">
        <f t="shared" si="143"/>
        <v>0</v>
      </c>
      <c r="S628" s="1108"/>
      <c r="T628" s="998" t="e">
        <f t="shared" si="137"/>
        <v>#DIV/0!</v>
      </c>
      <c r="U628" s="584"/>
      <c r="X628" s="971" t="e">
        <f t="shared" si="142"/>
        <v>#DIV/0!</v>
      </c>
      <c r="Y628" s="584" t="s">
        <v>1693</v>
      </c>
      <c r="Z628" s="988" t="e">
        <f ca="1">VLOOKUP(AA628,'place of settlement'!A:C,2,FALSE)</f>
        <v>#NAME?</v>
      </c>
      <c r="AA628" s="988" t="e">
        <f t="shared" ca="1" si="140"/>
        <v>#NAME?</v>
      </c>
      <c r="AB628" s="988" t="e">
        <f t="shared" ca="1" si="141"/>
        <v>#NAME?</v>
      </c>
      <c r="AC628" s="988" t="e">
        <f ca="1">VLOOKUP(AB628,sample!$1:$1048576,2,FALSE)</f>
        <v>#NAME?</v>
      </c>
      <c r="AD628" s="988" t="e">
        <f ca="1">VLOOKUP($AB628,sample!$1:$1048576,3,FALSE)</f>
        <v>#NAME?</v>
      </c>
      <c r="AE628" s="986" t="e">
        <f ca="1">VLOOKUP($AB628,sample!$1:$1048576,4,FALSE)</f>
        <v>#NAME?</v>
      </c>
      <c r="AF628" s="988" t="e">
        <f ca="1">VLOOKUP($AB628,sample!$1:$1048576,5,FALSE)</f>
        <v>#NAME?</v>
      </c>
      <c r="AN628" s="986" t="e">
        <f ca="1">VLOOKUP($AB628,sample!$1:$1048576,13,FALSE)</f>
        <v>#NAME?</v>
      </c>
      <c r="AP628" s="988"/>
    </row>
    <row r="629" spans="1:42">
      <c r="A629" s="911"/>
      <c r="D629" s="1133" t="str">
        <f>IFERROR(VLOOKUP(G629,PosAggregate!$B$13:$B$89,1,FALSE),"")</f>
        <v/>
      </c>
      <c r="E629" s="1013" t="e">
        <f ca="1">_xll.BDP(G629  &amp; " Equity", "ID_ISIN", "Fill", "")</f>
        <v>#NAME?</v>
      </c>
      <c r="F629" s="1106" t="str">
        <f t="shared" si="138"/>
        <v>YES</v>
      </c>
      <c r="I629" s="1007" t="e">
        <f ca="1">_xll.BDP(E629 &amp; " Equity","SECURITY_NAME")</f>
        <v>#NAME?</v>
      </c>
      <c r="J629" s="1007" t="e">
        <f ca="1">_xll.BDP(G629 &amp; " Equity","Crncy")</f>
        <v>#NAME?</v>
      </c>
      <c r="K629" s="1108"/>
      <c r="M629" s="1108"/>
      <c r="N629" s="985">
        <f t="shared" si="139"/>
        <v>0</v>
      </c>
      <c r="O629" s="817"/>
      <c r="R629" s="982">
        <f t="shared" si="143"/>
        <v>0</v>
      </c>
      <c r="S629" s="1108"/>
      <c r="T629" s="998" t="e">
        <f t="shared" si="137"/>
        <v>#DIV/0!</v>
      </c>
      <c r="U629" s="584"/>
      <c r="X629" s="971" t="e">
        <f t="shared" si="142"/>
        <v>#DIV/0!</v>
      </c>
      <c r="Y629" s="584" t="s">
        <v>1693</v>
      </c>
      <c r="Z629" s="988" t="e">
        <f ca="1">VLOOKUP(AA629,'place of settlement'!A:C,2,FALSE)</f>
        <v>#NAME?</v>
      </c>
      <c r="AA629" s="988" t="e">
        <f t="shared" ca="1" si="140"/>
        <v>#NAME?</v>
      </c>
      <c r="AB629" s="988" t="e">
        <f t="shared" ca="1" si="141"/>
        <v>#NAME?</v>
      </c>
      <c r="AC629" s="988" t="e">
        <f ca="1">VLOOKUP(AB629,sample!$1:$1048576,2,FALSE)</f>
        <v>#NAME?</v>
      </c>
      <c r="AD629" s="988" t="e">
        <f ca="1">VLOOKUP($AB629,sample!$1:$1048576,3,FALSE)</f>
        <v>#NAME?</v>
      </c>
      <c r="AE629" s="986" t="e">
        <f ca="1">VLOOKUP($AB629,sample!$1:$1048576,4,FALSE)</f>
        <v>#NAME?</v>
      </c>
      <c r="AF629" s="988" t="e">
        <f ca="1">VLOOKUP($AB629,sample!$1:$1048576,5,FALSE)</f>
        <v>#NAME?</v>
      </c>
      <c r="AN629" s="986" t="e">
        <f ca="1">VLOOKUP($AB629,sample!$1:$1048576,13,FALSE)</f>
        <v>#NAME?</v>
      </c>
      <c r="AP629" s="988"/>
    </row>
    <row r="630" spans="1:42">
      <c r="A630" s="911"/>
      <c r="D630" s="1133" t="str">
        <f>IFERROR(VLOOKUP(G630,PosAggregate!$B$13:$B$89,1,FALSE),"")</f>
        <v/>
      </c>
      <c r="E630" s="1013" t="e">
        <f ca="1">_xll.BDP(G630  &amp; " Equity", "ID_ISIN", "Fill", "")</f>
        <v>#NAME?</v>
      </c>
      <c r="F630" s="1106" t="str">
        <f t="shared" si="138"/>
        <v>YES</v>
      </c>
      <c r="I630" s="1007" t="e">
        <f ca="1">_xll.BDP(E630 &amp; " Equity","SECURITY_NAME")</f>
        <v>#NAME?</v>
      </c>
      <c r="J630" s="1007" t="e">
        <f ca="1">_xll.BDP(G630 &amp; " Equity","Crncy")</f>
        <v>#NAME?</v>
      </c>
      <c r="K630" s="1108"/>
      <c r="M630" s="1108"/>
      <c r="N630" s="985">
        <f t="shared" si="139"/>
        <v>0</v>
      </c>
      <c r="O630" s="817"/>
      <c r="R630" s="982">
        <f t="shared" si="143"/>
        <v>0</v>
      </c>
      <c r="S630" s="1108"/>
      <c r="T630" s="998" t="e">
        <f t="shared" si="137"/>
        <v>#DIV/0!</v>
      </c>
      <c r="U630" s="584"/>
      <c r="X630" s="971" t="e">
        <f t="shared" si="142"/>
        <v>#DIV/0!</v>
      </c>
      <c r="Y630" s="584" t="s">
        <v>1693</v>
      </c>
      <c r="Z630" s="988" t="e">
        <f ca="1">VLOOKUP(AA630,'place of settlement'!A:C,2,FALSE)</f>
        <v>#NAME?</v>
      </c>
      <c r="AA630" s="988" t="e">
        <f t="shared" ca="1" si="140"/>
        <v>#NAME?</v>
      </c>
      <c r="AB630" s="988" t="e">
        <f t="shared" ca="1" si="141"/>
        <v>#NAME?</v>
      </c>
      <c r="AC630" s="988" t="e">
        <f ca="1">VLOOKUP(AB630,sample!$1:$1048576,2,FALSE)</f>
        <v>#NAME?</v>
      </c>
      <c r="AD630" s="988" t="e">
        <f ca="1">VLOOKUP($AB630,sample!$1:$1048576,3,FALSE)</f>
        <v>#NAME?</v>
      </c>
      <c r="AE630" s="986" t="e">
        <f ca="1">VLOOKUP($AB630,sample!$1:$1048576,4,FALSE)</f>
        <v>#NAME?</v>
      </c>
      <c r="AF630" s="988" t="e">
        <f ca="1">VLOOKUP($AB630,sample!$1:$1048576,5,FALSE)</f>
        <v>#NAME?</v>
      </c>
      <c r="AN630" s="986" t="e">
        <f ca="1">VLOOKUP($AB630,sample!$1:$1048576,13,FALSE)</f>
        <v>#NAME?</v>
      </c>
      <c r="AP630" s="988"/>
    </row>
    <row r="631" spans="1:42">
      <c r="A631" s="911"/>
      <c r="D631" s="1133" t="str">
        <f>IFERROR(VLOOKUP(G631,PosAggregate!$B$13:$B$89,1,FALSE),"")</f>
        <v/>
      </c>
      <c r="E631" s="1013" t="e">
        <f ca="1">_xll.BDP(G631  &amp; " Equity", "ID_ISIN", "Fill", "")</f>
        <v>#NAME?</v>
      </c>
      <c r="F631" s="1106" t="str">
        <f t="shared" si="138"/>
        <v>YES</v>
      </c>
      <c r="I631" s="1007" t="e">
        <f ca="1">_xll.BDP(E631 &amp; " Equity","SECURITY_NAME")</f>
        <v>#NAME?</v>
      </c>
      <c r="J631" s="1007" t="e">
        <f ca="1">_xll.BDP(G631 &amp; " Equity","Crncy")</f>
        <v>#NAME?</v>
      </c>
      <c r="K631" s="1108"/>
      <c r="M631" s="1108"/>
      <c r="N631" s="985">
        <f t="shared" si="139"/>
        <v>0</v>
      </c>
      <c r="O631" s="817"/>
      <c r="R631" s="982">
        <f t="shared" si="143"/>
        <v>0</v>
      </c>
      <c r="S631" s="1108"/>
      <c r="T631" s="998" t="e">
        <f t="shared" ref="T631:T694" si="144">+R631/S631</f>
        <v>#DIV/0!</v>
      </c>
      <c r="U631" s="584"/>
      <c r="X631" s="971" t="e">
        <f t="shared" si="142"/>
        <v>#DIV/0!</v>
      </c>
      <c r="Y631" s="584" t="s">
        <v>1693</v>
      </c>
      <c r="Z631" s="988" t="e">
        <f ca="1">VLOOKUP(AA631,'place of settlement'!A:C,2,FALSE)</f>
        <v>#NAME?</v>
      </c>
      <c r="AA631" s="988" t="e">
        <f t="shared" ca="1" si="140"/>
        <v>#NAME?</v>
      </c>
      <c r="AB631" s="988" t="e">
        <f t="shared" ca="1" si="141"/>
        <v>#NAME?</v>
      </c>
      <c r="AC631" s="988" t="e">
        <f ca="1">VLOOKUP(AB631,sample!$1:$1048576,2,FALSE)</f>
        <v>#NAME?</v>
      </c>
      <c r="AD631" s="988" t="e">
        <f ca="1">VLOOKUP($AB631,sample!$1:$1048576,3,FALSE)</f>
        <v>#NAME?</v>
      </c>
      <c r="AE631" s="986" t="e">
        <f ca="1">VLOOKUP($AB631,sample!$1:$1048576,4,FALSE)</f>
        <v>#NAME?</v>
      </c>
      <c r="AF631" s="988" t="e">
        <f ca="1">VLOOKUP($AB631,sample!$1:$1048576,5,FALSE)</f>
        <v>#NAME?</v>
      </c>
      <c r="AN631" s="986" t="e">
        <f ca="1">VLOOKUP($AB631,sample!$1:$1048576,13,FALSE)</f>
        <v>#NAME?</v>
      </c>
      <c r="AP631" s="988"/>
    </row>
    <row r="632" spans="1:42">
      <c r="A632" s="911"/>
      <c r="D632" s="1133" t="str">
        <f>IFERROR(VLOOKUP(G632,PosAggregate!$B$13:$B$89,1,FALSE),"")</f>
        <v/>
      </c>
      <c r="E632" s="1013" t="e">
        <f ca="1">_xll.BDP(G632  &amp; " Equity", "ID_ISIN", "Fill", "")</f>
        <v>#NAME?</v>
      </c>
      <c r="F632" s="1106" t="str">
        <f t="shared" si="138"/>
        <v>YES</v>
      </c>
      <c r="I632" s="1007" t="e">
        <f ca="1">_xll.BDP(E632 &amp; " Equity","SECURITY_NAME")</f>
        <v>#NAME?</v>
      </c>
      <c r="J632" s="1007" t="e">
        <f ca="1">_xll.BDP(G632 &amp; " Equity","Crncy")</f>
        <v>#NAME?</v>
      </c>
      <c r="K632" s="1108"/>
      <c r="M632" s="1108"/>
      <c r="N632" s="985">
        <f t="shared" si="139"/>
        <v>0</v>
      </c>
      <c r="O632" s="817"/>
      <c r="R632" s="982">
        <f t="shared" si="143"/>
        <v>0</v>
      </c>
      <c r="S632" s="1108"/>
      <c r="T632" s="998" t="e">
        <f t="shared" si="144"/>
        <v>#DIV/0!</v>
      </c>
      <c r="U632" s="584"/>
      <c r="X632" s="971" t="e">
        <f t="shared" si="142"/>
        <v>#DIV/0!</v>
      </c>
      <c r="Y632" s="584" t="s">
        <v>1693</v>
      </c>
      <c r="Z632" s="988" t="e">
        <f ca="1">VLOOKUP(AA632,'place of settlement'!A:C,2,FALSE)</f>
        <v>#NAME?</v>
      </c>
      <c r="AA632" s="988" t="e">
        <f t="shared" ca="1" si="140"/>
        <v>#NAME?</v>
      </c>
      <c r="AB632" s="988" t="e">
        <f t="shared" ca="1" si="141"/>
        <v>#NAME?</v>
      </c>
      <c r="AC632" s="988" t="e">
        <f ca="1">VLOOKUP(AB632,sample!$1:$1048576,2,FALSE)</f>
        <v>#NAME?</v>
      </c>
      <c r="AD632" s="988" t="e">
        <f ca="1">VLOOKUP($AB632,sample!$1:$1048576,3,FALSE)</f>
        <v>#NAME?</v>
      </c>
      <c r="AE632" s="986" t="e">
        <f ca="1">VLOOKUP($AB632,sample!$1:$1048576,4,FALSE)</f>
        <v>#NAME?</v>
      </c>
      <c r="AF632" s="988" t="e">
        <f ca="1">VLOOKUP($AB632,sample!$1:$1048576,5,FALSE)</f>
        <v>#NAME?</v>
      </c>
      <c r="AN632" s="986" t="e">
        <f ca="1">VLOOKUP($AB632,sample!$1:$1048576,13,FALSE)</f>
        <v>#NAME?</v>
      </c>
      <c r="AP632" s="988"/>
    </row>
    <row r="633" spans="1:42">
      <c r="A633" s="911"/>
      <c r="D633" s="1133" t="str">
        <f>IFERROR(VLOOKUP(G633,PosAggregate!$B$13:$B$89,1,FALSE),"")</f>
        <v/>
      </c>
      <c r="E633" s="1013" t="e">
        <f ca="1">_xll.BDP(G633  &amp; " Equity", "ID_ISIN", "Fill", "")</f>
        <v>#NAME?</v>
      </c>
      <c r="F633" s="1106" t="str">
        <f t="shared" si="138"/>
        <v>YES</v>
      </c>
      <c r="I633" s="1007" t="e">
        <f ca="1">_xll.BDP(E633 &amp; " Equity","SECURITY_NAME")</f>
        <v>#NAME?</v>
      </c>
      <c r="J633" s="1007" t="e">
        <f ca="1">_xll.BDP(G633 &amp; " Equity","Crncy")</f>
        <v>#NAME?</v>
      </c>
      <c r="K633" s="1108"/>
      <c r="M633" s="1108"/>
      <c r="N633" s="985">
        <f t="shared" si="139"/>
        <v>0</v>
      </c>
      <c r="O633" s="817"/>
      <c r="R633" s="982">
        <f t="shared" si="143"/>
        <v>0</v>
      </c>
      <c r="S633" s="1108"/>
      <c r="T633" s="998" t="e">
        <f t="shared" si="144"/>
        <v>#DIV/0!</v>
      </c>
      <c r="U633" s="584"/>
      <c r="X633" s="971" t="e">
        <f t="shared" si="142"/>
        <v>#DIV/0!</v>
      </c>
      <c r="Y633" s="584" t="s">
        <v>1693</v>
      </c>
      <c r="Z633" s="988" t="e">
        <f ca="1">VLOOKUP(AA633,'place of settlement'!A:C,2,FALSE)</f>
        <v>#NAME?</v>
      </c>
      <c r="AA633" s="988" t="e">
        <f t="shared" ca="1" si="140"/>
        <v>#NAME?</v>
      </c>
      <c r="AB633" s="988" t="e">
        <f t="shared" ca="1" si="141"/>
        <v>#NAME?</v>
      </c>
      <c r="AC633" s="988" t="e">
        <f ca="1">VLOOKUP(AB633,sample!$1:$1048576,2,FALSE)</f>
        <v>#NAME?</v>
      </c>
      <c r="AD633" s="988" t="e">
        <f ca="1">VLOOKUP($AB633,sample!$1:$1048576,3,FALSE)</f>
        <v>#NAME?</v>
      </c>
      <c r="AE633" s="986" t="e">
        <f ca="1">VLOOKUP($AB633,sample!$1:$1048576,4,FALSE)</f>
        <v>#NAME?</v>
      </c>
      <c r="AF633" s="988" t="e">
        <f ca="1">VLOOKUP($AB633,sample!$1:$1048576,5,FALSE)</f>
        <v>#NAME?</v>
      </c>
      <c r="AN633" s="986" t="e">
        <f ca="1">VLOOKUP($AB633,sample!$1:$1048576,13,FALSE)</f>
        <v>#NAME?</v>
      </c>
      <c r="AP633" s="988"/>
    </row>
    <row r="634" spans="1:42">
      <c r="A634" s="911"/>
      <c r="D634" s="1133" t="str">
        <f>IFERROR(VLOOKUP(G634,PosAggregate!$B$13:$B$89,1,FALSE),"")</f>
        <v/>
      </c>
      <c r="E634" s="1013" t="e">
        <f ca="1">_xll.BDP(G634  &amp; " Equity", "ID_ISIN", "Fill", "")</f>
        <v>#NAME?</v>
      </c>
      <c r="F634" s="1106" t="str">
        <f t="shared" si="138"/>
        <v>YES</v>
      </c>
      <c r="I634" s="1007" t="e">
        <f ca="1">_xll.BDP(E634 &amp; " Equity","SECURITY_NAME")</f>
        <v>#NAME?</v>
      </c>
      <c r="J634" s="1007" t="e">
        <f ca="1">_xll.BDP(G634 &amp; " Equity","Crncy")</f>
        <v>#NAME?</v>
      </c>
      <c r="K634" s="1108"/>
      <c r="M634" s="1108"/>
      <c r="N634" s="985">
        <f t="shared" si="139"/>
        <v>0</v>
      </c>
      <c r="O634" s="817"/>
      <c r="R634" s="982">
        <f t="shared" si="143"/>
        <v>0</v>
      </c>
      <c r="S634" s="1108"/>
      <c r="T634" s="998" t="e">
        <f t="shared" si="144"/>
        <v>#DIV/0!</v>
      </c>
      <c r="U634" s="584"/>
      <c r="X634" s="971" t="e">
        <f t="shared" si="142"/>
        <v>#DIV/0!</v>
      </c>
      <c r="Y634" s="584" t="s">
        <v>1693</v>
      </c>
      <c r="Z634" s="988" t="e">
        <f ca="1">VLOOKUP(AA634,'place of settlement'!A:C,2,FALSE)</f>
        <v>#NAME?</v>
      </c>
      <c r="AA634" s="988" t="e">
        <f t="shared" ca="1" si="140"/>
        <v>#NAME?</v>
      </c>
      <c r="AB634" s="988" t="e">
        <f t="shared" ca="1" si="141"/>
        <v>#NAME?</v>
      </c>
      <c r="AC634" s="988" t="e">
        <f ca="1">VLOOKUP(AB634,sample!$1:$1048576,2,FALSE)</f>
        <v>#NAME?</v>
      </c>
      <c r="AD634" s="988" t="e">
        <f ca="1">VLOOKUP($AB634,sample!$1:$1048576,3,FALSE)</f>
        <v>#NAME?</v>
      </c>
      <c r="AE634" s="986" t="e">
        <f ca="1">VLOOKUP($AB634,sample!$1:$1048576,4,FALSE)</f>
        <v>#NAME?</v>
      </c>
      <c r="AF634" s="988" t="e">
        <f ca="1">VLOOKUP($AB634,sample!$1:$1048576,5,FALSE)</f>
        <v>#NAME?</v>
      </c>
      <c r="AN634" s="986" t="e">
        <f ca="1">VLOOKUP($AB634,sample!$1:$1048576,13,FALSE)</f>
        <v>#NAME?</v>
      </c>
      <c r="AP634" s="988"/>
    </row>
    <row r="635" spans="1:42">
      <c r="A635" s="911"/>
      <c r="D635" s="1133" t="str">
        <f>IFERROR(VLOOKUP(G635,PosAggregate!$B$13:$B$89,1,FALSE),"")</f>
        <v/>
      </c>
      <c r="E635" s="1013" t="e">
        <f ca="1">_xll.BDP(G635  &amp; " Equity", "ID_ISIN", "Fill", "")</f>
        <v>#NAME?</v>
      </c>
      <c r="F635" s="1106" t="str">
        <f t="shared" si="138"/>
        <v>YES</v>
      </c>
      <c r="I635" s="1007" t="e">
        <f ca="1">_xll.BDP(E635 &amp; " Equity","SECURITY_NAME")</f>
        <v>#NAME?</v>
      </c>
      <c r="J635" s="1007" t="e">
        <f ca="1">_xll.BDP(G635 &amp; " Equity","Crncy")</f>
        <v>#NAME?</v>
      </c>
      <c r="K635" s="1108"/>
      <c r="M635" s="1108"/>
      <c r="N635" s="985">
        <f t="shared" si="139"/>
        <v>0</v>
      </c>
      <c r="O635" s="817"/>
      <c r="R635" s="982">
        <f t="shared" si="143"/>
        <v>0</v>
      </c>
      <c r="S635" s="1108"/>
      <c r="T635" s="998" t="e">
        <f t="shared" si="144"/>
        <v>#DIV/0!</v>
      </c>
      <c r="U635" s="584"/>
      <c r="X635" s="971" t="e">
        <f t="shared" si="142"/>
        <v>#DIV/0!</v>
      </c>
      <c r="Y635" s="584" t="s">
        <v>1693</v>
      </c>
      <c r="Z635" s="988" t="e">
        <f ca="1">VLOOKUP(AA635,'place of settlement'!A:C,2,FALSE)</f>
        <v>#NAME?</v>
      </c>
      <c r="AA635" s="988" t="e">
        <f t="shared" ca="1" si="140"/>
        <v>#NAME?</v>
      </c>
      <c r="AB635" s="988" t="e">
        <f t="shared" ca="1" si="141"/>
        <v>#NAME?</v>
      </c>
      <c r="AC635" s="988" t="e">
        <f ca="1">VLOOKUP(AB635,sample!$1:$1048576,2,FALSE)</f>
        <v>#NAME?</v>
      </c>
      <c r="AD635" s="988" t="e">
        <f ca="1">VLOOKUP($AB635,sample!$1:$1048576,3,FALSE)</f>
        <v>#NAME?</v>
      </c>
      <c r="AE635" s="986" t="e">
        <f ca="1">VLOOKUP($AB635,sample!$1:$1048576,4,FALSE)</f>
        <v>#NAME?</v>
      </c>
      <c r="AF635" s="988" t="e">
        <f ca="1">VLOOKUP($AB635,sample!$1:$1048576,5,FALSE)</f>
        <v>#NAME?</v>
      </c>
      <c r="AN635" s="986" t="e">
        <f ca="1">VLOOKUP($AB635,sample!$1:$1048576,13,FALSE)</f>
        <v>#NAME?</v>
      </c>
      <c r="AP635" s="988"/>
    </row>
    <row r="636" spans="1:42">
      <c r="A636" s="911"/>
      <c r="D636" s="1133" t="str">
        <f>IFERROR(VLOOKUP(G636,PosAggregate!$B$13:$B$89,1,FALSE),"")</f>
        <v/>
      </c>
      <c r="E636" s="1013" t="e">
        <f ca="1">_xll.BDP(G636  &amp; " Equity", "ID_ISIN", "Fill", "")</f>
        <v>#NAME?</v>
      </c>
      <c r="F636" s="1106" t="str">
        <f t="shared" si="138"/>
        <v>YES</v>
      </c>
      <c r="I636" s="1007" t="e">
        <f ca="1">_xll.BDP(E636 &amp; " Equity","SECURITY_NAME")</f>
        <v>#NAME?</v>
      </c>
      <c r="J636" s="1007" t="e">
        <f ca="1">_xll.BDP(G636 &amp; " Equity","Crncy")</f>
        <v>#NAME?</v>
      </c>
      <c r="K636" s="1108"/>
      <c r="M636" s="1108"/>
      <c r="N636" s="985">
        <f t="shared" si="139"/>
        <v>0</v>
      </c>
      <c r="O636" s="817"/>
      <c r="R636" s="982">
        <f t="shared" si="143"/>
        <v>0</v>
      </c>
      <c r="S636" s="1108"/>
      <c r="T636" s="998" t="e">
        <f t="shared" si="144"/>
        <v>#DIV/0!</v>
      </c>
      <c r="U636" s="584"/>
      <c r="X636" s="971" t="e">
        <f t="shared" si="142"/>
        <v>#DIV/0!</v>
      </c>
      <c r="Y636" s="584" t="s">
        <v>1693</v>
      </c>
      <c r="Z636" s="988" t="e">
        <f ca="1">VLOOKUP(AA636,'place of settlement'!A:C,2,FALSE)</f>
        <v>#NAME?</v>
      </c>
      <c r="AA636" s="988" t="e">
        <f t="shared" ca="1" si="140"/>
        <v>#NAME?</v>
      </c>
      <c r="AB636" s="988" t="e">
        <f t="shared" ca="1" si="141"/>
        <v>#NAME?</v>
      </c>
      <c r="AC636" s="988" t="e">
        <f ca="1">VLOOKUP(AB636,sample!$1:$1048576,2,FALSE)</f>
        <v>#NAME?</v>
      </c>
      <c r="AD636" s="988" t="e">
        <f ca="1">VLOOKUP($AB636,sample!$1:$1048576,3,FALSE)</f>
        <v>#NAME?</v>
      </c>
      <c r="AE636" s="986" t="e">
        <f ca="1">VLOOKUP($AB636,sample!$1:$1048576,4,FALSE)</f>
        <v>#NAME?</v>
      </c>
      <c r="AF636" s="988" t="e">
        <f ca="1">VLOOKUP($AB636,sample!$1:$1048576,5,FALSE)</f>
        <v>#NAME?</v>
      </c>
      <c r="AN636" s="986" t="e">
        <f ca="1">VLOOKUP($AB636,sample!$1:$1048576,13,FALSE)</f>
        <v>#NAME?</v>
      </c>
      <c r="AP636" s="988"/>
    </row>
    <row r="637" spans="1:42">
      <c r="A637" s="911"/>
      <c r="D637" s="1133" t="str">
        <f>IFERROR(VLOOKUP(G637,PosAggregate!$B$13:$B$89,1,FALSE),"")</f>
        <v/>
      </c>
      <c r="E637" s="1013" t="e">
        <f ca="1">_xll.BDP(G637  &amp; " Equity", "ID_ISIN", "Fill", "")</f>
        <v>#NAME?</v>
      </c>
      <c r="F637" s="1106" t="str">
        <f t="shared" si="138"/>
        <v>YES</v>
      </c>
      <c r="I637" s="1007" t="e">
        <f ca="1">_xll.BDP(E637 &amp; " Equity","SECURITY_NAME")</f>
        <v>#NAME?</v>
      </c>
      <c r="J637" s="1007" t="e">
        <f ca="1">_xll.BDP(G637 &amp; " Equity","Crncy")</f>
        <v>#NAME?</v>
      </c>
      <c r="K637" s="1108"/>
      <c r="M637" s="1108"/>
      <c r="N637" s="985">
        <f t="shared" si="139"/>
        <v>0</v>
      </c>
      <c r="O637" s="817"/>
      <c r="R637" s="982">
        <f t="shared" si="143"/>
        <v>0</v>
      </c>
      <c r="S637" s="1108"/>
      <c r="T637" s="998" t="e">
        <f t="shared" si="144"/>
        <v>#DIV/0!</v>
      </c>
      <c r="U637" s="584"/>
      <c r="X637" s="971" t="e">
        <f t="shared" si="142"/>
        <v>#DIV/0!</v>
      </c>
      <c r="Y637" s="584" t="s">
        <v>1693</v>
      </c>
      <c r="Z637" s="988" t="e">
        <f ca="1">VLOOKUP(AA637,'place of settlement'!A:C,2,FALSE)</f>
        <v>#NAME?</v>
      </c>
      <c r="AA637" s="988" t="e">
        <f t="shared" ca="1" si="140"/>
        <v>#NAME?</v>
      </c>
      <c r="AB637" s="988" t="e">
        <f t="shared" ca="1" si="141"/>
        <v>#NAME?</v>
      </c>
      <c r="AC637" s="988" t="e">
        <f ca="1">VLOOKUP(AB637,sample!$1:$1048576,2,FALSE)</f>
        <v>#NAME?</v>
      </c>
      <c r="AD637" s="988" t="e">
        <f ca="1">VLOOKUP($AB637,sample!$1:$1048576,3,FALSE)</f>
        <v>#NAME?</v>
      </c>
      <c r="AE637" s="986" t="e">
        <f ca="1">VLOOKUP($AB637,sample!$1:$1048576,4,FALSE)</f>
        <v>#NAME?</v>
      </c>
      <c r="AF637" s="988" t="e">
        <f ca="1">VLOOKUP($AB637,sample!$1:$1048576,5,FALSE)</f>
        <v>#NAME?</v>
      </c>
      <c r="AN637" s="986" t="e">
        <f ca="1">VLOOKUP($AB637,sample!$1:$1048576,13,FALSE)</f>
        <v>#NAME?</v>
      </c>
      <c r="AP637" s="988"/>
    </row>
    <row r="638" spans="1:42">
      <c r="A638" s="911"/>
      <c r="D638" s="1133" t="str">
        <f>IFERROR(VLOOKUP(G638,PosAggregate!$B$13:$B$89,1,FALSE),"")</f>
        <v/>
      </c>
      <c r="E638" s="1013" t="e">
        <f ca="1">_xll.BDP(G638  &amp; " Equity", "ID_ISIN", "Fill", "")</f>
        <v>#NAME?</v>
      </c>
      <c r="F638" s="1106" t="str">
        <f t="shared" si="138"/>
        <v>YES</v>
      </c>
      <c r="I638" s="1007" t="e">
        <f ca="1">_xll.BDP(E638 &amp; " Equity","SECURITY_NAME")</f>
        <v>#NAME?</v>
      </c>
      <c r="J638" s="1007" t="e">
        <f ca="1">_xll.BDP(G638 &amp; " Equity","Crncy")</f>
        <v>#NAME?</v>
      </c>
      <c r="K638" s="1108"/>
      <c r="M638" s="1108"/>
      <c r="N638" s="985">
        <f t="shared" si="139"/>
        <v>0</v>
      </c>
      <c r="O638" s="817"/>
      <c r="R638" s="982">
        <f t="shared" si="143"/>
        <v>0</v>
      </c>
      <c r="S638" s="1108"/>
      <c r="T638" s="998" t="e">
        <f t="shared" si="144"/>
        <v>#DIV/0!</v>
      </c>
      <c r="U638" s="584"/>
      <c r="X638" s="971" t="e">
        <f t="shared" si="142"/>
        <v>#DIV/0!</v>
      </c>
      <c r="Y638" s="584" t="s">
        <v>1693</v>
      </c>
      <c r="Z638" s="988" t="e">
        <f ca="1">VLOOKUP(AA638,'place of settlement'!A:C,2,FALSE)</f>
        <v>#NAME?</v>
      </c>
      <c r="AA638" s="988" t="e">
        <f t="shared" ca="1" si="140"/>
        <v>#NAME?</v>
      </c>
      <c r="AB638" s="988" t="e">
        <f t="shared" ca="1" si="141"/>
        <v>#NAME?</v>
      </c>
      <c r="AC638" s="988" t="e">
        <f ca="1">VLOOKUP(AB638,sample!$1:$1048576,2,FALSE)</f>
        <v>#NAME?</v>
      </c>
      <c r="AD638" s="988" t="e">
        <f ca="1">VLOOKUP($AB638,sample!$1:$1048576,3,FALSE)</f>
        <v>#NAME?</v>
      </c>
      <c r="AE638" s="986" t="e">
        <f ca="1">VLOOKUP($AB638,sample!$1:$1048576,4,FALSE)</f>
        <v>#NAME?</v>
      </c>
      <c r="AF638" s="988" t="e">
        <f ca="1">VLOOKUP($AB638,sample!$1:$1048576,5,FALSE)</f>
        <v>#NAME?</v>
      </c>
      <c r="AN638" s="986" t="e">
        <f ca="1">VLOOKUP($AB638,sample!$1:$1048576,13,FALSE)</f>
        <v>#NAME?</v>
      </c>
      <c r="AP638" s="988"/>
    </row>
    <row r="639" spans="1:42">
      <c r="A639" s="911"/>
      <c r="D639" s="1133" t="str">
        <f>IFERROR(VLOOKUP(G639,PosAggregate!$B$13:$B$89,1,FALSE),"")</f>
        <v/>
      </c>
      <c r="E639" s="1013" t="e">
        <f ca="1">_xll.BDP(G639  &amp; " Equity", "ID_ISIN", "Fill", "")</f>
        <v>#NAME?</v>
      </c>
      <c r="F639" s="1106" t="str">
        <f t="shared" si="138"/>
        <v>YES</v>
      </c>
      <c r="I639" s="1007" t="e">
        <f ca="1">_xll.BDP(E639 &amp; " Equity","SECURITY_NAME")</f>
        <v>#NAME?</v>
      </c>
      <c r="J639" s="1007" t="e">
        <f ca="1">_xll.BDP(G639 &amp; " Equity","Crncy")</f>
        <v>#NAME?</v>
      </c>
      <c r="K639" s="1108"/>
      <c r="M639" s="1108"/>
      <c r="N639" s="985">
        <f t="shared" si="139"/>
        <v>0</v>
      </c>
      <c r="O639" s="817"/>
      <c r="R639" s="982">
        <f t="shared" si="143"/>
        <v>0</v>
      </c>
      <c r="S639" s="1108"/>
      <c r="T639" s="998" t="e">
        <f t="shared" si="144"/>
        <v>#DIV/0!</v>
      </c>
      <c r="U639" s="584"/>
      <c r="X639" s="971" t="e">
        <f t="shared" si="142"/>
        <v>#DIV/0!</v>
      </c>
      <c r="Y639" s="584" t="s">
        <v>1693</v>
      </c>
      <c r="Z639" s="988" t="e">
        <f ca="1">VLOOKUP(AA639,'place of settlement'!A:C,2,FALSE)</f>
        <v>#NAME?</v>
      </c>
      <c r="AA639" s="988" t="e">
        <f t="shared" ca="1" si="140"/>
        <v>#NAME?</v>
      </c>
      <c r="AB639" s="988" t="e">
        <f t="shared" ca="1" si="141"/>
        <v>#NAME?</v>
      </c>
      <c r="AC639" s="988" t="e">
        <f ca="1">VLOOKUP(AB639,sample!$1:$1048576,2,FALSE)</f>
        <v>#NAME?</v>
      </c>
      <c r="AD639" s="988" t="e">
        <f ca="1">VLOOKUP($AB639,sample!$1:$1048576,3,FALSE)</f>
        <v>#NAME?</v>
      </c>
      <c r="AE639" s="986" t="e">
        <f ca="1">VLOOKUP($AB639,sample!$1:$1048576,4,FALSE)</f>
        <v>#NAME?</v>
      </c>
      <c r="AF639" s="988" t="e">
        <f ca="1">VLOOKUP($AB639,sample!$1:$1048576,5,FALSE)</f>
        <v>#NAME?</v>
      </c>
      <c r="AN639" s="986" t="e">
        <f ca="1">VLOOKUP($AB639,sample!$1:$1048576,13,FALSE)</f>
        <v>#NAME?</v>
      </c>
      <c r="AP639" s="988"/>
    </row>
    <row r="640" spans="1:42">
      <c r="A640" s="911"/>
      <c r="D640" s="1133" t="str">
        <f>IFERROR(VLOOKUP(G640,PosAggregate!$B$13:$B$89,1,FALSE),"")</f>
        <v/>
      </c>
      <c r="E640" s="1013" t="e">
        <f ca="1">_xll.BDP(G640  &amp; " Equity", "ID_ISIN", "Fill", "")</f>
        <v>#NAME?</v>
      </c>
      <c r="F640" s="1106" t="str">
        <f t="shared" ref="F640:F703" si="145">IF(D640=G640,"YES","NO")</f>
        <v>YES</v>
      </c>
      <c r="I640" s="1007" t="e">
        <f ca="1">_xll.BDP(E640 &amp; " Equity","SECURITY_NAME")</f>
        <v>#NAME?</v>
      </c>
      <c r="J640" s="1007" t="e">
        <f ca="1">_xll.BDP(G640 &amp; " Equity","Crncy")</f>
        <v>#NAME?</v>
      </c>
      <c r="K640" s="1108"/>
      <c r="M640" s="1108"/>
      <c r="N640" s="985">
        <f t="shared" si="139"/>
        <v>0</v>
      </c>
      <c r="O640" s="817"/>
      <c r="R640" s="982">
        <f t="shared" si="143"/>
        <v>0</v>
      </c>
      <c r="S640" s="1108"/>
      <c r="T640" s="998" t="e">
        <f t="shared" si="144"/>
        <v>#DIV/0!</v>
      </c>
      <c r="U640" s="584"/>
      <c r="X640" s="971" t="e">
        <f t="shared" si="142"/>
        <v>#DIV/0!</v>
      </c>
      <c r="Y640" s="584" t="s">
        <v>1693</v>
      </c>
      <c r="Z640" s="988" t="e">
        <f ca="1">VLOOKUP(AA640,'place of settlement'!A:C,2,FALSE)</f>
        <v>#NAME?</v>
      </c>
      <c r="AA640" s="988" t="e">
        <f t="shared" ca="1" si="140"/>
        <v>#NAME?</v>
      </c>
      <c r="AB640" s="988" t="e">
        <f t="shared" ca="1" si="141"/>
        <v>#NAME?</v>
      </c>
      <c r="AC640" s="988" t="e">
        <f ca="1">VLOOKUP(AB640,sample!$1:$1048576,2,FALSE)</f>
        <v>#NAME?</v>
      </c>
      <c r="AD640" s="988" t="e">
        <f ca="1">VLOOKUP($AB640,sample!$1:$1048576,3,FALSE)</f>
        <v>#NAME?</v>
      </c>
      <c r="AE640" s="986" t="e">
        <f ca="1">VLOOKUP($AB640,sample!$1:$1048576,4,FALSE)</f>
        <v>#NAME?</v>
      </c>
      <c r="AF640" s="988" t="e">
        <f ca="1">VLOOKUP($AB640,sample!$1:$1048576,5,FALSE)</f>
        <v>#NAME?</v>
      </c>
      <c r="AN640" s="986" t="e">
        <f ca="1">VLOOKUP($AB640,sample!$1:$1048576,13,FALSE)</f>
        <v>#NAME?</v>
      </c>
      <c r="AP640" s="988"/>
    </row>
    <row r="641" spans="1:42">
      <c r="A641" s="911"/>
      <c r="D641" s="1133" t="str">
        <f>IFERROR(VLOOKUP(G641,PosAggregate!$B$13:$B$89,1,FALSE),"")</f>
        <v/>
      </c>
      <c r="E641" s="1013" t="e">
        <f ca="1">_xll.BDP(G641  &amp; " Equity", "ID_ISIN", "Fill", "")</f>
        <v>#NAME?</v>
      </c>
      <c r="F641" s="1106" t="str">
        <f t="shared" si="145"/>
        <v>YES</v>
      </c>
      <c r="I641" s="1007" t="e">
        <f ca="1">_xll.BDP(E641 &amp; " Equity","SECURITY_NAME")</f>
        <v>#NAME?</v>
      </c>
      <c r="J641" s="1007" t="e">
        <f ca="1">_xll.BDP(G641 &amp; " Equity","Crncy")</f>
        <v>#NAME?</v>
      </c>
      <c r="K641" s="1108"/>
      <c r="M641" s="1108"/>
      <c r="N641" s="985">
        <f t="shared" si="139"/>
        <v>0</v>
      </c>
      <c r="O641" s="817"/>
      <c r="R641" s="982">
        <f t="shared" si="143"/>
        <v>0</v>
      </c>
      <c r="S641" s="1108"/>
      <c r="T641" s="998" t="e">
        <f t="shared" si="144"/>
        <v>#DIV/0!</v>
      </c>
      <c r="U641" s="584"/>
      <c r="X641" s="971" t="e">
        <f t="shared" si="142"/>
        <v>#DIV/0!</v>
      </c>
      <c r="Y641" s="584" t="s">
        <v>1693</v>
      </c>
      <c r="Z641" s="988" t="e">
        <f ca="1">VLOOKUP(AA641,'place of settlement'!A:C,2,FALSE)</f>
        <v>#NAME?</v>
      </c>
      <c r="AA641" s="988" t="e">
        <f t="shared" ca="1" si="140"/>
        <v>#NAME?</v>
      </c>
      <c r="AB641" s="988" t="e">
        <f t="shared" ca="1" si="141"/>
        <v>#NAME?</v>
      </c>
      <c r="AC641" s="988" t="e">
        <f ca="1">VLOOKUP(AB641,sample!$1:$1048576,2,FALSE)</f>
        <v>#NAME?</v>
      </c>
      <c r="AD641" s="988" t="e">
        <f ca="1">VLOOKUP($AB641,sample!$1:$1048576,3,FALSE)</f>
        <v>#NAME?</v>
      </c>
      <c r="AE641" s="986" t="e">
        <f ca="1">VLOOKUP($AB641,sample!$1:$1048576,4,FALSE)</f>
        <v>#NAME?</v>
      </c>
      <c r="AF641" s="988" t="e">
        <f ca="1">VLOOKUP($AB641,sample!$1:$1048576,5,FALSE)</f>
        <v>#NAME?</v>
      </c>
      <c r="AN641" s="986" t="e">
        <f ca="1">VLOOKUP($AB641,sample!$1:$1048576,13,FALSE)</f>
        <v>#NAME?</v>
      </c>
      <c r="AP641" s="988"/>
    </row>
    <row r="642" spans="1:42">
      <c r="A642" s="911"/>
      <c r="D642" s="1133" t="str">
        <f>IFERROR(VLOOKUP(G642,PosAggregate!$B$13:$B$89,1,FALSE),"")</f>
        <v/>
      </c>
      <c r="E642" s="1013" t="e">
        <f ca="1">_xll.BDP(G642  &amp; " Equity", "ID_ISIN", "Fill", "")</f>
        <v>#NAME?</v>
      </c>
      <c r="F642" s="1106" t="str">
        <f t="shared" si="145"/>
        <v>YES</v>
      </c>
      <c r="I642" s="1007" t="e">
        <f ca="1">_xll.BDP(E642 &amp; " Equity","SECURITY_NAME")</f>
        <v>#NAME?</v>
      </c>
      <c r="J642" s="1007" t="e">
        <f ca="1">_xll.BDP(G642 &amp; " Equity","Crncy")</f>
        <v>#NAME?</v>
      </c>
      <c r="K642" s="1108"/>
      <c r="M642" s="1108"/>
      <c r="N642" s="985">
        <f t="shared" si="139"/>
        <v>0</v>
      </c>
      <c r="O642" s="817"/>
      <c r="R642" s="982">
        <f t="shared" si="143"/>
        <v>0</v>
      </c>
      <c r="S642" s="1108"/>
      <c r="T642" s="998" t="e">
        <f t="shared" si="144"/>
        <v>#DIV/0!</v>
      </c>
      <c r="U642" s="584"/>
      <c r="X642" s="971" t="e">
        <f t="shared" si="142"/>
        <v>#DIV/0!</v>
      </c>
      <c r="Y642" s="584" t="s">
        <v>1693</v>
      </c>
      <c r="Z642" s="988" t="e">
        <f ca="1">VLOOKUP(AA642,'place of settlement'!A:C,2,FALSE)</f>
        <v>#NAME?</v>
      </c>
      <c r="AA642" s="988" t="e">
        <f t="shared" ca="1" si="140"/>
        <v>#NAME?</v>
      </c>
      <c r="AB642" s="988" t="e">
        <f t="shared" ca="1" si="141"/>
        <v>#NAME?</v>
      </c>
      <c r="AC642" s="988" t="e">
        <f ca="1">VLOOKUP(AB642,sample!$1:$1048576,2,FALSE)</f>
        <v>#NAME?</v>
      </c>
      <c r="AD642" s="988" t="e">
        <f ca="1">VLOOKUP($AB642,sample!$1:$1048576,3,FALSE)</f>
        <v>#NAME?</v>
      </c>
      <c r="AE642" s="986" t="e">
        <f ca="1">VLOOKUP($AB642,sample!$1:$1048576,4,FALSE)</f>
        <v>#NAME?</v>
      </c>
      <c r="AF642" s="988" t="e">
        <f ca="1">VLOOKUP($AB642,sample!$1:$1048576,5,FALSE)</f>
        <v>#NAME?</v>
      </c>
      <c r="AN642" s="986" t="e">
        <f ca="1">VLOOKUP($AB642,sample!$1:$1048576,13,FALSE)</f>
        <v>#NAME?</v>
      </c>
      <c r="AP642" s="988"/>
    </row>
    <row r="643" spans="1:42">
      <c r="A643" s="911"/>
      <c r="D643" s="1133" t="str">
        <f>IFERROR(VLOOKUP(G643,PosAggregate!$B$13:$B$89,1,FALSE),"")</f>
        <v/>
      </c>
      <c r="E643" s="1013" t="e">
        <f ca="1">_xll.BDP(G643  &amp; " Equity", "ID_ISIN", "Fill", "")</f>
        <v>#NAME?</v>
      </c>
      <c r="F643" s="1106" t="str">
        <f t="shared" si="145"/>
        <v>YES</v>
      </c>
      <c r="I643" s="1007" t="e">
        <f ca="1">_xll.BDP(E643 &amp; " Equity","SECURITY_NAME")</f>
        <v>#NAME?</v>
      </c>
      <c r="J643" s="1007" t="e">
        <f ca="1">_xll.BDP(G643 &amp; " Equity","Crncy")</f>
        <v>#NAME?</v>
      </c>
      <c r="K643" s="1108"/>
      <c r="M643" s="1108"/>
      <c r="N643" s="985">
        <f t="shared" si="139"/>
        <v>0</v>
      </c>
      <c r="O643" s="817"/>
      <c r="R643" s="982">
        <f t="shared" si="143"/>
        <v>0</v>
      </c>
      <c r="S643" s="1108"/>
      <c r="T643" s="998" t="e">
        <f t="shared" si="144"/>
        <v>#DIV/0!</v>
      </c>
      <c r="U643" s="584"/>
      <c r="X643" s="971" t="e">
        <f t="shared" si="142"/>
        <v>#DIV/0!</v>
      </c>
      <c r="Y643" s="584" t="s">
        <v>1693</v>
      </c>
      <c r="Z643" s="988" t="e">
        <f ca="1">VLOOKUP(AA643,'place of settlement'!A:C,2,FALSE)</f>
        <v>#NAME?</v>
      </c>
      <c r="AA643" s="988" t="e">
        <f t="shared" ca="1" si="140"/>
        <v>#NAME?</v>
      </c>
      <c r="AB643" s="988" t="e">
        <f t="shared" ca="1" si="141"/>
        <v>#NAME?</v>
      </c>
      <c r="AC643" s="988" t="e">
        <f ca="1">VLOOKUP(AB643,sample!$1:$1048576,2,FALSE)</f>
        <v>#NAME?</v>
      </c>
      <c r="AD643" s="988" t="e">
        <f ca="1">VLOOKUP($AB643,sample!$1:$1048576,3,FALSE)</f>
        <v>#NAME?</v>
      </c>
      <c r="AE643" s="986" t="e">
        <f ca="1">VLOOKUP($AB643,sample!$1:$1048576,4,FALSE)</f>
        <v>#NAME?</v>
      </c>
      <c r="AF643" s="988" t="e">
        <f ca="1">VLOOKUP($AB643,sample!$1:$1048576,5,FALSE)</f>
        <v>#NAME?</v>
      </c>
      <c r="AN643" s="986" t="e">
        <f ca="1">VLOOKUP($AB643,sample!$1:$1048576,13,FALSE)</f>
        <v>#NAME?</v>
      </c>
      <c r="AP643" s="988"/>
    </row>
    <row r="644" spans="1:42">
      <c r="A644" s="911"/>
      <c r="D644" s="1133" t="str">
        <f>IFERROR(VLOOKUP(G644,PosAggregate!$B$13:$B$89,1,FALSE),"")</f>
        <v/>
      </c>
      <c r="E644" s="1013" t="e">
        <f ca="1">_xll.BDP(G644  &amp; " Equity", "ID_ISIN", "Fill", "")</f>
        <v>#NAME?</v>
      </c>
      <c r="F644" s="1106" t="str">
        <f t="shared" si="145"/>
        <v>YES</v>
      </c>
      <c r="I644" s="1007" t="e">
        <f ca="1">_xll.BDP(E644 &amp; " Equity","SECURITY_NAME")</f>
        <v>#NAME?</v>
      </c>
      <c r="J644" s="1007" t="e">
        <f ca="1">_xll.BDP(G644 &amp; " Equity","Crncy")</f>
        <v>#NAME?</v>
      </c>
      <c r="K644" s="1108"/>
      <c r="M644" s="1108"/>
      <c r="N644" s="985">
        <f t="shared" si="139"/>
        <v>0</v>
      </c>
      <c r="O644" s="817"/>
      <c r="R644" s="982">
        <f t="shared" si="143"/>
        <v>0</v>
      </c>
      <c r="S644" s="1108"/>
      <c r="T644" s="998" t="e">
        <f t="shared" si="144"/>
        <v>#DIV/0!</v>
      </c>
      <c r="U644" s="584"/>
      <c r="X644" s="971" t="e">
        <f t="shared" si="142"/>
        <v>#DIV/0!</v>
      </c>
      <c r="Y644" s="584" t="s">
        <v>1693</v>
      </c>
      <c r="Z644" s="988" t="e">
        <f ca="1">VLOOKUP(AA644,'place of settlement'!A:C,2,FALSE)</f>
        <v>#NAME?</v>
      </c>
      <c r="AA644" s="988" t="e">
        <f t="shared" ca="1" si="140"/>
        <v>#NAME?</v>
      </c>
      <c r="AB644" s="988" t="e">
        <f t="shared" ca="1" si="141"/>
        <v>#NAME?</v>
      </c>
      <c r="AC644" s="988" t="e">
        <f ca="1">VLOOKUP(AB644,sample!$1:$1048576,2,FALSE)</f>
        <v>#NAME?</v>
      </c>
      <c r="AD644" s="988" t="e">
        <f ca="1">VLOOKUP($AB644,sample!$1:$1048576,3,FALSE)</f>
        <v>#NAME?</v>
      </c>
      <c r="AE644" s="986" t="e">
        <f ca="1">VLOOKUP($AB644,sample!$1:$1048576,4,FALSE)</f>
        <v>#NAME?</v>
      </c>
      <c r="AF644" s="988" t="e">
        <f ca="1">VLOOKUP($AB644,sample!$1:$1048576,5,FALSE)</f>
        <v>#NAME?</v>
      </c>
      <c r="AN644" s="986" t="e">
        <f ca="1">VLOOKUP($AB644,sample!$1:$1048576,13,FALSE)</f>
        <v>#NAME?</v>
      </c>
      <c r="AP644" s="988"/>
    </row>
    <row r="645" spans="1:42">
      <c r="A645" s="911"/>
      <c r="D645" s="1133" t="str">
        <f>IFERROR(VLOOKUP(G645,PosAggregate!$B$13:$B$89,1,FALSE),"")</f>
        <v/>
      </c>
      <c r="E645" s="1013" t="e">
        <f ca="1">_xll.BDP(G645  &amp; " Equity", "ID_ISIN", "Fill", "")</f>
        <v>#NAME?</v>
      </c>
      <c r="F645" s="1106" t="str">
        <f t="shared" si="145"/>
        <v>YES</v>
      </c>
      <c r="I645" s="1007" t="e">
        <f ca="1">_xll.BDP(E645 &amp; " Equity","SECURITY_NAME")</f>
        <v>#NAME?</v>
      </c>
      <c r="J645" s="1007" t="e">
        <f ca="1">_xll.BDP(G645 &amp; " Equity","Crncy")</f>
        <v>#NAME?</v>
      </c>
      <c r="K645" s="1108"/>
      <c r="M645" s="1108"/>
      <c r="N645" s="985">
        <f t="shared" si="139"/>
        <v>0</v>
      </c>
      <c r="O645" s="817"/>
      <c r="R645" s="982">
        <f t="shared" si="143"/>
        <v>0</v>
      </c>
      <c r="S645" s="1108"/>
      <c r="T645" s="998" t="e">
        <f t="shared" si="144"/>
        <v>#DIV/0!</v>
      </c>
      <c r="U645" s="584"/>
      <c r="X645" s="971" t="e">
        <f t="shared" si="142"/>
        <v>#DIV/0!</v>
      </c>
      <c r="Y645" s="584" t="s">
        <v>1693</v>
      </c>
      <c r="Z645" s="988" t="e">
        <f ca="1">VLOOKUP(AA645,'place of settlement'!A:C,2,FALSE)</f>
        <v>#NAME?</v>
      </c>
      <c r="AA645" s="988" t="e">
        <f t="shared" ca="1" si="140"/>
        <v>#NAME?</v>
      </c>
      <c r="AB645" s="988" t="e">
        <f t="shared" ca="1" si="141"/>
        <v>#NAME?</v>
      </c>
      <c r="AC645" s="988" t="e">
        <f ca="1">VLOOKUP(AB645,sample!$1:$1048576,2,FALSE)</f>
        <v>#NAME?</v>
      </c>
      <c r="AD645" s="988" t="e">
        <f ca="1">VLOOKUP($AB645,sample!$1:$1048576,3,FALSE)</f>
        <v>#NAME?</v>
      </c>
      <c r="AE645" s="986" t="e">
        <f ca="1">VLOOKUP($AB645,sample!$1:$1048576,4,FALSE)</f>
        <v>#NAME?</v>
      </c>
      <c r="AF645" s="988" t="e">
        <f ca="1">VLOOKUP($AB645,sample!$1:$1048576,5,FALSE)</f>
        <v>#NAME?</v>
      </c>
      <c r="AN645" s="986" t="e">
        <f ca="1">VLOOKUP($AB645,sample!$1:$1048576,13,FALSE)</f>
        <v>#NAME?</v>
      </c>
      <c r="AP645" s="988"/>
    </row>
    <row r="646" spans="1:42">
      <c r="A646" s="911"/>
      <c r="D646" s="1133" t="str">
        <f>IFERROR(VLOOKUP(G646,PosAggregate!$B$13:$B$89,1,FALSE),"")</f>
        <v/>
      </c>
      <c r="E646" s="1013" t="e">
        <f ca="1">_xll.BDP(G646  &amp; " Equity", "ID_ISIN", "Fill", "")</f>
        <v>#NAME?</v>
      </c>
      <c r="F646" s="1106" t="str">
        <f t="shared" si="145"/>
        <v>YES</v>
      </c>
      <c r="I646" s="1007" t="e">
        <f ca="1">_xll.BDP(E646 &amp; " Equity","SECURITY_NAME")</f>
        <v>#NAME?</v>
      </c>
      <c r="J646" s="1007" t="e">
        <f ca="1">_xll.BDP(G646 &amp; " Equity","Crncy")</f>
        <v>#NAME?</v>
      </c>
      <c r="K646" s="1108"/>
      <c r="M646" s="1108"/>
      <c r="N646" s="985">
        <f t="shared" si="139"/>
        <v>0</v>
      </c>
      <c r="O646" s="817"/>
      <c r="R646" s="982">
        <f t="shared" si="143"/>
        <v>0</v>
      </c>
      <c r="S646" s="1108"/>
      <c r="T646" s="998" t="e">
        <f t="shared" si="144"/>
        <v>#DIV/0!</v>
      </c>
      <c r="U646" s="584"/>
      <c r="X646" s="971" t="e">
        <f t="shared" si="142"/>
        <v>#DIV/0!</v>
      </c>
      <c r="Y646" s="584" t="s">
        <v>1693</v>
      </c>
      <c r="Z646" s="988" t="e">
        <f ca="1">VLOOKUP(AA646,'place of settlement'!A:C,2,FALSE)</f>
        <v>#NAME?</v>
      </c>
      <c r="AA646" s="988" t="e">
        <f t="shared" ca="1" si="140"/>
        <v>#NAME?</v>
      </c>
      <c r="AB646" s="988" t="e">
        <f t="shared" ca="1" si="141"/>
        <v>#NAME?</v>
      </c>
      <c r="AC646" s="988" t="e">
        <f ca="1">VLOOKUP(AB646,sample!$1:$1048576,2,FALSE)</f>
        <v>#NAME?</v>
      </c>
      <c r="AD646" s="988" t="e">
        <f ca="1">VLOOKUP($AB646,sample!$1:$1048576,3,FALSE)</f>
        <v>#NAME?</v>
      </c>
      <c r="AE646" s="986" t="e">
        <f ca="1">VLOOKUP($AB646,sample!$1:$1048576,4,FALSE)</f>
        <v>#NAME?</v>
      </c>
      <c r="AF646" s="988" t="e">
        <f ca="1">VLOOKUP($AB646,sample!$1:$1048576,5,FALSE)</f>
        <v>#NAME?</v>
      </c>
      <c r="AN646" s="986" t="e">
        <f ca="1">VLOOKUP($AB646,sample!$1:$1048576,13,FALSE)</f>
        <v>#NAME?</v>
      </c>
      <c r="AP646" s="988"/>
    </row>
    <row r="647" spans="1:42">
      <c r="A647" s="911"/>
      <c r="D647" s="1133" t="str">
        <f>IFERROR(VLOOKUP(G647,PosAggregate!$B$13:$B$89,1,FALSE),"")</f>
        <v/>
      </c>
      <c r="E647" s="1013" t="e">
        <f ca="1">_xll.BDP(G647  &amp; " Equity", "ID_ISIN", "Fill", "")</f>
        <v>#NAME?</v>
      </c>
      <c r="F647" s="1106" t="str">
        <f t="shared" si="145"/>
        <v>YES</v>
      </c>
      <c r="I647" s="1007" t="e">
        <f ca="1">_xll.BDP(E647 &amp; " Equity","SECURITY_NAME")</f>
        <v>#NAME?</v>
      </c>
      <c r="J647" s="1007" t="e">
        <f ca="1">_xll.BDP(G647 &amp; " Equity","Crncy")</f>
        <v>#NAME?</v>
      </c>
      <c r="K647" s="1108"/>
      <c r="M647" s="1108"/>
      <c r="N647" s="985">
        <f t="shared" si="139"/>
        <v>0</v>
      </c>
      <c r="O647" s="817"/>
      <c r="R647" s="982">
        <f t="shared" si="143"/>
        <v>0</v>
      </c>
      <c r="S647" s="1108"/>
      <c r="T647" s="998" t="e">
        <f t="shared" si="144"/>
        <v>#DIV/0!</v>
      </c>
      <c r="U647" s="584"/>
      <c r="X647" s="971" t="e">
        <f t="shared" si="142"/>
        <v>#DIV/0!</v>
      </c>
      <c r="Y647" s="584" t="s">
        <v>1693</v>
      </c>
      <c r="Z647" s="988" t="e">
        <f ca="1">VLOOKUP(AA647,'place of settlement'!A:C,2,FALSE)</f>
        <v>#NAME?</v>
      </c>
      <c r="AA647" s="988" t="e">
        <f t="shared" ca="1" si="140"/>
        <v>#NAME?</v>
      </c>
      <c r="AB647" s="988" t="e">
        <f t="shared" ca="1" si="141"/>
        <v>#NAME?</v>
      </c>
      <c r="AC647" s="988" t="e">
        <f ca="1">VLOOKUP(AB647,sample!$1:$1048576,2,FALSE)</f>
        <v>#NAME?</v>
      </c>
      <c r="AD647" s="988" t="e">
        <f ca="1">VLOOKUP($AB647,sample!$1:$1048576,3,FALSE)</f>
        <v>#NAME?</v>
      </c>
      <c r="AE647" s="986" t="e">
        <f ca="1">VLOOKUP($AB647,sample!$1:$1048576,4,FALSE)</f>
        <v>#NAME?</v>
      </c>
      <c r="AF647" s="988" t="e">
        <f ca="1">VLOOKUP($AB647,sample!$1:$1048576,5,FALSE)</f>
        <v>#NAME?</v>
      </c>
      <c r="AN647" s="986" t="e">
        <f ca="1">VLOOKUP($AB647,sample!$1:$1048576,13,FALSE)</f>
        <v>#NAME?</v>
      </c>
      <c r="AP647" s="988"/>
    </row>
    <row r="648" spans="1:42">
      <c r="A648" s="911"/>
      <c r="D648" s="1133" t="str">
        <f>IFERROR(VLOOKUP(G648,PosAggregate!$B$13:$B$89,1,FALSE),"")</f>
        <v/>
      </c>
      <c r="E648" s="1013" t="e">
        <f ca="1">_xll.BDP(G648  &amp; " Equity", "ID_ISIN", "Fill", "")</f>
        <v>#NAME?</v>
      </c>
      <c r="F648" s="1106" t="str">
        <f t="shared" si="145"/>
        <v>YES</v>
      </c>
      <c r="I648" s="1007" t="e">
        <f ca="1">_xll.BDP(E648 &amp; " Equity","SECURITY_NAME")</f>
        <v>#NAME?</v>
      </c>
      <c r="J648" s="1007" t="e">
        <f ca="1">_xll.BDP(G648 &amp; " Equity","Crncy")</f>
        <v>#NAME?</v>
      </c>
      <c r="K648" s="1108"/>
      <c r="M648" s="1108"/>
      <c r="N648" s="985">
        <f t="shared" si="139"/>
        <v>0</v>
      </c>
      <c r="O648" s="817"/>
      <c r="R648" s="982">
        <f t="shared" si="143"/>
        <v>0</v>
      </c>
      <c r="S648" s="1108"/>
      <c r="T648" s="998" t="e">
        <f t="shared" si="144"/>
        <v>#DIV/0!</v>
      </c>
      <c r="U648" s="584"/>
      <c r="X648" s="971" t="e">
        <f t="shared" si="142"/>
        <v>#DIV/0!</v>
      </c>
      <c r="Y648" s="584" t="s">
        <v>1693</v>
      </c>
      <c r="Z648" s="988" t="e">
        <f ca="1">VLOOKUP(AA648,'place of settlement'!A:C,2,FALSE)</f>
        <v>#NAME?</v>
      </c>
      <c r="AA648" s="988" t="e">
        <f t="shared" ca="1" si="140"/>
        <v>#NAME?</v>
      </c>
      <c r="AB648" s="988" t="e">
        <f t="shared" ca="1" si="141"/>
        <v>#NAME?</v>
      </c>
      <c r="AC648" s="988" t="e">
        <f ca="1">VLOOKUP(AB648,sample!$1:$1048576,2,FALSE)</f>
        <v>#NAME?</v>
      </c>
      <c r="AD648" s="988" t="e">
        <f ca="1">VLOOKUP($AB648,sample!$1:$1048576,3,FALSE)</f>
        <v>#NAME?</v>
      </c>
      <c r="AE648" s="986" t="e">
        <f ca="1">VLOOKUP($AB648,sample!$1:$1048576,4,FALSE)</f>
        <v>#NAME?</v>
      </c>
      <c r="AF648" s="988" t="e">
        <f ca="1">VLOOKUP($AB648,sample!$1:$1048576,5,FALSE)</f>
        <v>#NAME?</v>
      </c>
      <c r="AN648" s="986" t="e">
        <f ca="1">VLOOKUP($AB648,sample!$1:$1048576,13,FALSE)</f>
        <v>#NAME?</v>
      </c>
      <c r="AP648" s="988"/>
    </row>
    <row r="649" spans="1:42">
      <c r="A649" s="911"/>
      <c r="D649" s="1133" t="str">
        <f>IFERROR(VLOOKUP(G649,PosAggregate!$B$13:$B$89,1,FALSE),"")</f>
        <v/>
      </c>
      <c r="E649" s="1013" t="e">
        <f ca="1">_xll.BDP(G649  &amp; " Equity", "ID_ISIN", "Fill", "")</f>
        <v>#NAME?</v>
      </c>
      <c r="F649" s="1106" t="str">
        <f t="shared" si="145"/>
        <v>YES</v>
      </c>
      <c r="I649" s="1007" t="e">
        <f ca="1">_xll.BDP(E649 &amp; " Equity","SECURITY_NAME")</f>
        <v>#NAME?</v>
      </c>
      <c r="J649" s="1007" t="e">
        <f ca="1">_xll.BDP(G649 &amp; " Equity","Crncy")</f>
        <v>#NAME?</v>
      </c>
      <c r="K649" s="1108"/>
      <c r="M649" s="1108"/>
      <c r="N649" s="985">
        <f t="shared" si="139"/>
        <v>0</v>
      </c>
      <c r="O649" s="817"/>
      <c r="R649" s="982">
        <f t="shared" si="143"/>
        <v>0</v>
      </c>
      <c r="S649" s="1108"/>
      <c r="T649" s="998" t="e">
        <f t="shared" si="144"/>
        <v>#DIV/0!</v>
      </c>
      <c r="U649" s="584"/>
      <c r="X649" s="971" t="e">
        <f t="shared" si="142"/>
        <v>#DIV/0!</v>
      </c>
      <c r="Y649" s="584" t="s">
        <v>1693</v>
      </c>
      <c r="Z649" s="988" t="e">
        <f ca="1">VLOOKUP(AA649,'place of settlement'!A:C,2,FALSE)</f>
        <v>#NAME?</v>
      </c>
      <c r="AA649" s="988" t="e">
        <f t="shared" ca="1" si="140"/>
        <v>#NAME?</v>
      </c>
      <c r="AB649" s="988" t="e">
        <f t="shared" ca="1" si="141"/>
        <v>#NAME?</v>
      </c>
      <c r="AC649" s="988" t="e">
        <f ca="1">VLOOKUP(AB649,sample!$1:$1048576,2,FALSE)</f>
        <v>#NAME?</v>
      </c>
      <c r="AD649" s="988" t="e">
        <f ca="1">VLOOKUP($AB649,sample!$1:$1048576,3,FALSE)</f>
        <v>#NAME?</v>
      </c>
      <c r="AE649" s="986" t="e">
        <f ca="1">VLOOKUP($AB649,sample!$1:$1048576,4,FALSE)</f>
        <v>#NAME?</v>
      </c>
      <c r="AF649" s="988" t="e">
        <f ca="1">VLOOKUP($AB649,sample!$1:$1048576,5,FALSE)</f>
        <v>#NAME?</v>
      </c>
      <c r="AN649" s="986" t="e">
        <f ca="1">VLOOKUP($AB649,sample!$1:$1048576,13,FALSE)</f>
        <v>#NAME?</v>
      </c>
      <c r="AP649" s="988"/>
    </row>
    <row r="650" spans="1:42">
      <c r="A650" s="911"/>
      <c r="D650" s="1133" t="str">
        <f>IFERROR(VLOOKUP(G650,PosAggregate!$B$13:$B$89,1,FALSE),"")</f>
        <v/>
      </c>
      <c r="E650" s="1013" t="e">
        <f ca="1">_xll.BDP(G650  &amp; " Equity", "ID_ISIN", "Fill", "")</f>
        <v>#NAME?</v>
      </c>
      <c r="F650" s="1106" t="str">
        <f t="shared" si="145"/>
        <v>YES</v>
      </c>
      <c r="I650" s="1007" t="e">
        <f ca="1">_xll.BDP(E650 &amp; " Equity","SECURITY_NAME")</f>
        <v>#NAME?</v>
      </c>
      <c r="J650" s="1007" t="e">
        <f ca="1">_xll.BDP(G650 &amp; " Equity","Crncy")</f>
        <v>#NAME?</v>
      </c>
      <c r="K650" s="1108"/>
      <c r="M650" s="1108"/>
      <c r="N650" s="985">
        <f t="shared" si="139"/>
        <v>0</v>
      </c>
      <c r="O650" s="817"/>
      <c r="R650" s="982">
        <f t="shared" si="143"/>
        <v>0</v>
      </c>
      <c r="S650" s="1108"/>
      <c r="T650" s="998" t="e">
        <f t="shared" si="144"/>
        <v>#DIV/0!</v>
      </c>
      <c r="U650" s="584"/>
      <c r="X650" s="971" t="e">
        <f t="shared" si="142"/>
        <v>#DIV/0!</v>
      </c>
      <c r="Y650" s="584" t="s">
        <v>1693</v>
      </c>
      <c r="Z650" s="988" t="e">
        <f ca="1">VLOOKUP(AA650,'place of settlement'!A:C,2,FALSE)</f>
        <v>#NAME?</v>
      </c>
      <c r="AA650" s="988" t="e">
        <f t="shared" ca="1" si="140"/>
        <v>#NAME?</v>
      </c>
      <c r="AB650" s="988" t="e">
        <f t="shared" ca="1" si="141"/>
        <v>#NAME?</v>
      </c>
      <c r="AC650" s="988" t="e">
        <f ca="1">VLOOKUP(AB650,sample!$1:$1048576,2,FALSE)</f>
        <v>#NAME?</v>
      </c>
      <c r="AD650" s="988" t="e">
        <f ca="1">VLOOKUP($AB650,sample!$1:$1048576,3,FALSE)</f>
        <v>#NAME?</v>
      </c>
      <c r="AE650" s="986" t="e">
        <f ca="1">VLOOKUP($AB650,sample!$1:$1048576,4,FALSE)</f>
        <v>#NAME?</v>
      </c>
      <c r="AF650" s="988" t="e">
        <f ca="1">VLOOKUP($AB650,sample!$1:$1048576,5,FALSE)</f>
        <v>#NAME?</v>
      </c>
      <c r="AN650" s="986" t="e">
        <f ca="1">VLOOKUP($AB650,sample!$1:$1048576,13,FALSE)</f>
        <v>#NAME?</v>
      </c>
      <c r="AP650" s="988"/>
    </row>
    <row r="651" spans="1:42">
      <c r="A651" s="911"/>
      <c r="D651" s="1133" t="str">
        <f>IFERROR(VLOOKUP(G651,PosAggregate!$B$13:$B$89,1,FALSE),"")</f>
        <v/>
      </c>
      <c r="E651" s="1013" t="e">
        <f ca="1">_xll.BDP(G651  &amp; " Equity", "ID_ISIN", "Fill", "")</f>
        <v>#NAME?</v>
      </c>
      <c r="F651" s="1106" t="str">
        <f t="shared" si="145"/>
        <v>YES</v>
      </c>
      <c r="I651" s="1007" t="e">
        <f ca="1">_xll.BDP(E651 &amp; " Equity","SECURITY_NAME")</f>
        <v>#NAME?</v>
      </c>
      <c r="J651" s="1007" t="e">
        <f ca="1">_xll.BDP(G651 &amp; " Equity","Crncy")</f>
        <v>#NAME?</v>
      </c>
      <c r="K651" s="1108"/>
      <c r="M651" s="1108"/>
      <c r="N651" s="985">
        <f t="shared" si="139"/>
        <v>0</v>
      </c>
      <c r="O651" s="817"/>
      <c r="R651" s="982">
        <f t="shared" si="143"/>
        <v>0</v>
      </c>
      <c r="S651" s="1108"/>
      <c r="T651" s="998" t="e">
        <f t="shared" si="144"/>
        <v>#DIV/0!</v>
      </c>
      <c r="U651" s="584"/>
      <c r="X651" s="971" t="e">
        <f t="shared" si="142"/>
        <v>#DIV/0!</v>
      </c>
      <c r="Y651" s="584" t="s">
        <v>1693</v>
      </c>
      <c r="Z651" s="988" t="e">
        <f ca="1">VLOOKUP(AA651,'place of settlement'!A:C,2,FALSE)</f>
        <v>#NAME?</v>
      </c>
      <c r="AA651" s="988" t="e">
        <f t="shared" ca="1" si="140"/>
        <v>#NAME?</v>
      </c>
      <c r="AB651" s="988" t="e">
        <f t="shared" ca="1" si="141"/>
        <v>#NAME?</v>
      </c>
      <c r="AC651" s="988" t="e">
        <f ca="1">VLOOKUP(AB651,sample!$1:$1048576,2,FALSE)</f>
        <v>#NAME?</v>
      </c>
      <c r="AD651" s="988" t="e">
        <f ca="1">VLOOKUP($AB651,sample!$1:$1048576,3,FALSE)</f>
        <v>#NAME?</v>
      </c>
      <c r="AE651" s="986" t="e">
        <f ca="1">VLOOKUP($AB651,sample!$1:$1048576,4,FALSE)</f>
        <v>#NAME?</v>
      </c>
      <c r="AF651" s="988" t="e">
        <f ca="1">VLOOKUP($AB651,sample!$1:$1048576,5,FALSE)</f>
        <v>#NAME?</v>
      </c>
      <c r="AN651" s="986" t="e">
        <f ca="1">VLOOKUP($AB651,sample!$1:$1048576,13,FALSE)</f>
        <v>#NAME?</v>
      </c>
      <c r="AP651" s="988"/>
    </row>
    <row r="652" spans="1:42">
      <c r="A652" s="911"/>
      <c r="D652" s="1133" t="str">
        <f>IFERROR(VLOOKUP(G652,PosAggregate!$B$13:$B$89,1,FALSE),"")</f>
        <v/>
      </c>
      <c r="E652" s="1013" t="e">
        <f ca="1">_xll.BDP(G652  &amp; " Equity", "ID_ISIN", "Fill", "")</f>
        <v>#NAME?</v>
      </c>
      <c r="F652" s="1106" t="str">
        <f t="shared" si="145"/>
        <v>YES</v>
      </c>
      <c r="I652" s="1007" t="e">
        <f ca="1">_xll.BDP(E652 &amp; " Equity","SECURITY_NAME")</f>
        <v>#NAME?</v>
      </c>
      <c r="J652" s="1007" t="e">
        <f ca="1">_xll.BDP(G652 &amp; " Equity","Crncy")</f>
        <v>#NAME?</v>
      </c>
      <c r="K652" s="1108"/>
      <c r="M652" s="1108"/>
      <c r="N652" s="985">
        <f t="shared" si="139"/>
        <v>0</v>
      </c>
      <c r="O652" s="817"/>
      <c r="R652" s="982">
        <f t="shared" si="143"/>
        <v>0</v>
      </c>
      <c r="S652" s="1108"/>
      <c r="T652" s="998" t="e">
        <f t="shared" si="144"/>
        <v>#DIV/0!</v>
      </c>
      <c r="U652" s="584"/>
      <c r="X652" s="971" t="e">
        <f t="shared" si="142"/>
        <v>#DIV/0!</v>
      </c>
      <c r="Y652" s="584" t="s">
        <v>1693</v>
      </c>
      <c r="Z652" s="988" t="e">
        <f ca="1">VLOOKUP(AA652,'place of settlement'!A:C,2,FALSE)</f>
        <v>#NAME?</v>
      </c>
      <c r="AA652" s="988" t="e">
        <f t="shared" ca="1" si="140"/>
        <v>#NAME?</v>
      </c>
      <c r="AB652" s="988" t="e">
        <f t="shared" ca="1" si="141"/>
        <v>#NAME?</v>
      </c>
      <c r="AC652" s="988" t="e">
        <f ca="1">VLOOKUP(AB652,sample!$1:$1048576,2,FALSE)</f>
        <v>#NAME?</v>
      </c>
      <c r="AD652" s="988" t="e">
        <f ca="1">VLOOKUP($AB652,sample!$1:$1048576,3,FALSE)</f>
        <v>#NAME?</v>
      </c>
      <c r="AE652" s="986" t="e">
        <f ca="1">VLOOKUP($AB652,sample!$1:$1048576,4,FALSE)</f>
        <v>#NAME?</v>
      </c>
      <c r="AF652" s="988" t="e">
        <f ca="1">VLOOKUP($AB652,sample!$1:$1048576,5,FALSE)</f>
        <v>#NAME?</v>
      </c>
      <c r="AN652" s="986" t="e">
        <f ca="1">VLOOKUP($AB652,sample!$1:$1048576,13,FALSE)</f>
        <v>#NAME?</v>
      </c>
      <c r="AP652" s="988"/>
    </row>
    <row r="653" spans="1:42">
      <c r="A653" s="911"/>
      <c r="D653" s="1133" t="str">
        <f>IFERROR(VLOOKUP(G653,PosAggregate!$B$13:$B$89,1,FALSE),"")</f>
        <v/>
      </c>
      <c r="E653" s="1013" t="e">
        <f ca="1">_xll.BDP(G653  &amp; " Equity", "ID_ISIN", "Fill", "")</f>
        <v>#NAME?</v>
      </c>
      <c r="F653" s="1106" t="str">
        <f t="shared" si="145"/>
        <v>YES</v>
      </c>
      <c r="I653" s="1007" t="e">
        <f ca="1">_xll.BDP(E653 &amp; " Equity","SECURITY_NAME")</f>
        <v>#NAME?</v>
      </c>
      <c r="J653" s="1007" t="e">
        <f ca="1">_xll.BDP(G653 &amp; " Equity","Crncy")</f>
        <v>#NAME?</v>
      </c>
      <c r="K653" s="1108"/>
      <c r="M653" s="1108"/>
      <c r="N653" s="985">
        <f t="shared" si="139"/>
        <v>0</v>
      </c>
      <c r="O653" s="817"/>
      <c r="R653" s="982">
        <f t="shared" si="143"/>
        <v>0</v>
      </c>
      <c r="S653" s="1108"/>
      <c r="T653" s="998" t="e">
        <f t="shared" si="144"/>
        <v>#DIV/0!</v>
      </c>
      <c r="U653" s="584"/>
      <c r="X653" s="971" t="e">
        <f t="shared" si="142"/>
        <v>#DIV/0!</v>
      </c>
      <c r="Y653" s="584" t="s">
        <v>1693</v>
      </c>
      <c r="Z653" s="988" t="e">
        <f ca="1">VLOOKUP(AA653,'place of settlement'!A:C,2,FALSE)</f>
        <v>#NAME?</v>
      </c>
      <c r="AA653" s="988" t="e">
        <f t="shared" ca="1" si="140"/>
        <v>#NAME?</v>
      </c>
      <c r="AB653" s="988" t="e">
        <f t="shared" ca="1" si="141"/>
        <v>#NAME?</v>
      </c>
      <c r="AC653" s="988" t="e">
        <f ca="1">VLOOKUP(AB653,sample!$1:$1048576,2,FALSE)</f>
        <v>#NAME?</v>
      </c>
      <c r="AD653" s="988" t="e">
        <f ca="1">VLOOKUP($AB653,sample!$1:$1048576,3,FALSE)</f>
        <v>#NAME?</v>
      </c>
      <c r="AE653" s="986" t="e">
        <f ca="1">VLOOKUP($AB653,sample!$1:$1048576,4,FALSE)</f>
        <v>#NAME?</v>
      </c>
      <c r="AF653" s="988" t="e">
        <f ca="1">VLOOKUP($AB653,sample!$1:$1048576,5,FALSE)</f>
        <v>#NAME?</v>
      </c>
      <c r="AN653" s="986" t="e">
        <f ca="1">VLOOKUP($AB653,sample!$1:$1048576,13,FALSE)</f>
        <v>#NAME?</v>
      </c>
      <c r="AP653" s="988"/>
    </row>
    <row r="654" spans="1:42">
      <c r="A654" s="911"/>
      <c r="D654" s="1133" t="str">
        <f>IFERROR(VLOOKUP(G654,PosAggregate!$B$13:$B$89,1,FALSE),"")</f>
        <v/>
      </c>
      <c r="E654" s="1013" t="e">
        <f ca="1">_xll.BDP(G654  &amp; " Equity", "ID_ISIN", "Fill", "")</f>
        <v>#NAME?</v>
      </c>
      <c r="F654" s="1106" t="str">
        <f t="shared" si="145"/>
        <v>YES</v>
      </c>
      <c r="I654" s="1007" t="e">
        <f ca="1">_xll.BDP(E654 &amp; " Equity","SECURITY_NAME")</f>
        <v>#NAME?</v>
      </c>
      <c r="J654" s="1007" t="e">
        <f ca="1">_xll.BDP(G654 &amp; " Equity","Crncy")</f>
        <v>#NAME?</v>
      </c>
      <c r="K654" s="1108"/>
      <c r="M654" s="1108"/>
      <c r="N654" s="985">
        <f t="shared" si="139"/>
        <v>0</v>
      </c>
      <c r="O654" s="817"/>
      <c r="R654" s="982">
        <f t="shared" si="143"/>
        <v>0</v>
      </c>
      <c r="S654" s="1108"/>
      <c r="T654" s="998" t="e">
        <f t="shared" si="144"/>
        <v>#DIV/0!</v>
      </c>
      <c r="U654" s="584"/>
      <c r="X654" s="971" t="e">
        <f t="shared" si="142"/>
        <v>#DIV/0!</v>
      </c>
      <c r="Y654" s="584" t="s">
        <v>1693</v>
      </c>
      <c r="Z654" s="988" t="e">
        <f ca="1">VLOOKUP(AA654,'place of settlement'!A:C,2,FALSE)</f>
        <v>#NAME?</v>
      </c>
      <c r="AA654" s="988" t="e">
        <f t="shared" ca="1" si="140"/>
        <v>#NAME?</v>
      </c>
      <c r="AB654" s="988" t="e">
        <f t="shared" ca="1" si="141"/>
        <v>#NAME?</v>
      </c>
      <c r="AC654" s="988" t="e">
        <f ca="1">VLOOKUP(AB654,sample!$1:$1048576,2,FALSE)</f>
        <v>#NAME?</v>
      </c>
      <c r="AD654" s="988" t="e">
        <f ca="1">VLOOKUP($AB654,sample!$1:$1048576,3,FALSE)</f>
        <v>#NAME?</v>
      </c>
      <c r="AE654" s="986" t="e">
        <f ca="1">VLOOKUP($AB654,sample!$1:$1048576,4,FALSE)</f>
        <v>#NAME?</v>
      </c>
      <c r="AF654" s="988" t="e">
        <f ca="1">VLOOKUP($AB654,sample!$1:$1048576,5,FALSE)</f>
        <v>#NAME?</v>
      </c>
      <c r="AN654" s="986" t="e">
        <f ca="1">VLOOKUP($AB654,sample!$1:$1048576,13,FALSE)</f>
        <v>#NAME?</v>
      </c>
      <c r="AP654" s="988"/>
    </row>
    <row r="655" spans="1:42">
      <c r="A655" s="911"/>
      <c r="D655" s="1133" t="str">
        <f>IFERROR(VLOOKUP(G655,PosAggregate!$B$13:$B$89,1,FALSE),"")</f>
        <v/>
      </c>
      <c r="E655" s="1013" t="e">
        <f ca="1">_xll.BDP(G655  &amp; " Equity", "ID_ISIN", "Fill", "")</f>
        <v>#NAME?</v>
      </c>
      <c r="F655" s="1106" t="str">
        <f t="shared" si="145"/>
        <v>YES</v>
      </c>
      <c r="I655" s="1007" t="e">
        <f ca="1">_xll.BDP(E655 &amp; " Equity","SECURITY_NAME")</f>
        <v>#NAME?</v>
      </c>
      <c r="J655" s="1007" t="e">
        <f ca="1">_xll.BDP(G655 &amp; " Equity","Crncy")</f>
        <v>#NAME?</v>
      </c>
      <c r="K655" s="1108"/>
      <c r="M655" s="1108"/>
      <c r="N655" s="985">
        <f t="shared" ref="N655:N709" si="146">-K655*M655</f>
        <v>0</v>
      </c>
      <c r="O655" s="817"/>
      <c r="R655" s="982">
        <f t="shared" si="143"/>
        <v>0</v>
      </c>
      <c r="S655" s="1108"/>
      <c r="T655" s="998" t="e">
        <f t="shared" si="144"/>
        <v>#DIV/0!</v>
      </c>
      <c r="U655" s="584"/>
      <c r="X655" s="971" t="e">
        <f t="shared" si="142"/>
        <v>#DIV/0!</v>
      </c>
      <c r="Y655" s="584" t="s">
        <v>1693</v>
      </c>
      <c r="Z655" s="988" t="e">
        <f ca="1">VLOOKUP(AA655,'place of settlement'!A:C,2,FALSE)</f>
        <v>#NAME?</v>
      </c>
      <c r="AA655" s="988" t="e">
        <f t="shared" ca="1" si="140"/>
        <v>#NAME?</v>
      </c>
      <c r="AB655" s="988" t="e">
        <f t="shared" ca="1" si="141"/>
        <v>#NAME?</v>
      </c>
      <c r="AC655" s="988" t="e">
        <f ca="1">VLOOKUP(AB655,sample!$1:$1048576,2,FALSE)</f>
        <v>#NAME?</v>
      </c>
      <c r="AD655" s="988" t="e">
        <f ca="1">VLOOKUP($AB655,sample!$1:$1048576,3,FALSE)</f>
        <v>#NAME?</v>
      </c>
      <c r="AE655" s="986" t="e">
        <f ca="1">VLOOKUP($AB655,sample!$1:$1048576,4,FALSE)</f>
        <v>#NAME?</v>
      </c>
      <c r="AF655" s="988" t="e">
        <f ca="1">VLOOKUP($AB655,sample!$1:$1048576,5,FALSE)</f>
        <v>#NAME?</v>
      </c>
      <c r="AN655" s="986" t="e">
        <f ca="1">VLOOKUP($AB655,sample!$1:$1048576,13,FALSE)</f>
        <v>#NAME?</v>
      </c>
      <c r="AP655" s="988"/>
    </row>
    <row r="656" spans="1:42">
      <c r="A656" s="911"/>
      <c r="D656" s="1133" t="str">
        <f>IFERROR(VLOOKUP(G656,PosAggregate!$B$13:$B$89,1,FALSE),"")</f>
        <v/>
      </c>
      <c r="E656" s="1013" t="e">
        <f ca="1">_xll.BDP(G656  &amp; " Equity", "ID_ISIN", "Fill", "")</f>
        <v>#NAME?</v>
      </c>
      <c r="F656" s="1106" t="str">
        <f t="shared" si="145"/>
        <v>YES</v>
      </c>
      <c r="I656" s="1007" t="e">
        <f ca="1">_xll.BDP(E656 &amp; " Equity","SECURITY_NAME")</f>
        <v>#NAME?</v>
      </c>
      <c r="J656" s="1007" t="e">
        <f ca="1">_xll.BDP(G656 &amp; " Equity","Crncy")</f>
        <v>#NAME?</v>
      </c>
      <c r="K656" s="1108"/>
      <c r="M656" s="1108"/>
      <c r="N656" s="985">
        <f t="shared" si="146"/>
        <v>0</v>
      </c>
      <c r="O656" s="817"/>
      <c r="R656" s="982">
        <f t="shared" si="143"/>
        <v>0</v>
      </c>
      <c r="S656" s="1108"/>
      <c r="T656" s="998" t="e">
        <f t="shared" si="144"/>
        <v>#DIV/0!</v>
      </c>
      <c r="U656" s="584"/>
      <c r="X656" s="971" t="e">
        <f t="shared" si="142"/>
        <v>#DIV/0!</v>
      </c>
      <c r="Y656" s="584" t="s">
        <v>1693</v>
      </c>
      <c r="Z656" s="988" t="e">
        <f ca="1">VLOOKUP(AA656,'place of settlement'!A:C,2,FALSE)</f>
        <v>#NAME?</v>
      </c>
      <c r="AA656" s="988" t="e">
        <f t="shared" ca="1" si="140"/>
        <v>#NAME?</v>
      </c>
      <c r="AB656" s="988" t="e">
        <f t="shared" ca="1" si="141"/>
        <v>#NAME?</v>
      </c>
      <c r="AC656" s="988" t="e">
        <f ca="1">VLOOKUP(AB656,sample!$1:$1048576,2,FALSE)</f>
        <v>#NAME?</v>
      </c>
      <c r="AD656" s="988" t="e">
        <f ca="1">VLOOKUP($AB656,sample!$1:$1048576,3,FALSE)</f>
        <v>#NAME?</v>
      </c>
      <c r="AE656" s="986" t="e">
        <f ca="1">VLOOKUP($AB656,sample!$1:$1048576,4,FALSE)</f>
        <v>#NAME?</v>
      </c>
      <c r="AF656" s="988" t="e">
        <f ca="1">VLOOKUP($AB656,sample!$1:$1048576,5,FALSE)</f>
        <v>#NAME?</v>
      </c>
      <c r="AN656" s="986" t="e">
        <f ca="1">VLOOKUP($AB656,sample!$1:$1048576,13,FALSE)</f>
        <v>#NAME?</v>
      </c>
      <c r="AP656" s="988"/>
    </row>
    <row r="657" spans="1:42">
      <c r="A657" s="911"/>
      <c r="D657" s="1133" t="str">
        <f>IFERROR(VLOOKUP(G657,PosAggregate!$B$13:$B$89,1,FALSE),"")</f>
        <v/>
      </c>
      <c r="E657" s="1013" t="e">
        <f ca="1">_xll.BDP(G657  &amp; " Equity", "ID_ISIN", "Fill", "")</f>
        <v>#NAME?</v>
      </c>
      <c r="F657" s="1106" t="str">
        <f t="shared" si="145"/>
        <v>YES</v>
      </c>
      <c r="I657" s="1007" t="e">
        <f ca="1">_xll.BDP(E657 &amp; " Equity","SECURITY_NAME")</f>
        <v>#NAME?</v>
      </c>
      <c r="J657" s="1007" t="e">
        <f ca="1">_xll.BDP(G657 &amp; " Equity","Crncy")</f>
        <v>#NAME?</v>
      </c>
      <c r="K657" s="1108"/>
      <c r="M657" s="1108"/>
      <c r="N657" s="985">
        <f t="shared" si="146"/>
        <v>0</v>
      </c>
      <c r="O657" s="817"/>
      <c r="R657" s="982">
        <f t="shared" si="143"/>
        <v>0</v>
      </c>
      <c r="S657" s="1108"/>
      <c r="T657" s="998" t="e">
        <f t="shared" si="144"/>
        <v>#DIV/0!</v>
      </c>
      <c r="U657" s="584"/>
      <c r="X657" s="971" t="e">
        <f t="shared" si="142"/>
        <v>#DIV/0!</v>
      </c>
      <c r="Y657" s="584" t="s">
        <v>1693</v>
      </c>
      <c r="Z657" s="988" t="e">
        <f ca="1">VLOOKUP(AA657,'place of settlement'!A:C,2,FALSE)</f>
        <v>#NAME?</v>
      </c>
      <c r="AA657" s="988" t="e">
        <f t="shared" ca="1" si="140"/>
        <v>#NAME?</v>
      </c>
      <c r="AB657" s="988" t="e">
        <f t="shared" ca="1" si="141"/>
        <v>#NAME?</v>
      </c>
      <c r="AC657" s="988" t="e">
        <f ca="1">VLOOKUP(AB657,sample!$1:$1048576,2,FALSE)</f>
        <v>#NAME?</v>
      </c>
      <c r="AD657" s="988" t="e">
        <f ca="1">VLOOKUP($AB657,sample!$1:$1048576,3,FALSE)</f>
        <v>#NAME?</v>
      </c>
      <c r="AE657" s="986" t="e">
        <f ca="1">VLOOKUP($AB657,sample!$1:$1048576,4,FALSE)</f>
        <v>#NAME?</v>
      </c>
      <c r="AF657" s="988" t="e">
        <f ca="1">VLOOKUP($AB657,sample!$1:$1048576,5,FALSE)</f>
        <v>#NAME?</v>
      </c>
      <c r="AN657" s="986" t="e">
        <f ca="1">VLOOKUP($AB657,sample!$1:$1048576,13,FALSE)</f>
        <v>#NAME?</v>
      </c>
      <c r="AP657" s="988"/>
    </row>
    <row r="658" spans="1:42">
      <c r="A658" s="911"/>
      <c r="D658" s="1133" t="str">
        <f>IFERROR(VLOOKUP(G658,PosAggregate!$B$13:$B$89,1,FALSE),"")</f>
        <v/>
      </c>
      <c r="E658" s="1013" t="e">
        <f ca="1">_xll.BDP(G658  &amp; " Equity", "ID_ISIN", "Fill", "")</f>
        <v>#NAME?</v>
      </c>
      <c r="F658" s="1106" t="str">
        <f t="shared" si="145"/>
        <v>YES</v>
      </c>
      <c r="I658" s="1007" t="e">
        <f ca="1">_xll.BDP(E658 &amp; " Equity","SECURITY_NAME")</f>
        <v>#NAME?</v>
      </c>
      <c r="J658" s="1007" t="e">
        <f ca="1">_xll.BDP(G658 &amp; " Equity","Crncy")</f>
        <v>#NAME?</v>
      </c>
      <c r="K658" s="1108"/>
      <c r="M658" s="1108"/>
      <c r="N658" s="985">
        <f t="shared" si="146"/>
        <v>0</v>
      </c>
      <c r="O658" s="817"/>
      <c r="R658" s="982">
        <f t="shared" si="143"/>
        <v>0</v>
      </c>
      <c r="S658" s="1108"/>
      <c r="T658" s="998" t="e">
        <f t="shared" si="144"/>
        <v>#DIV/0!</v>
      </c>
      <c r="U658" s="584"/>
      <c r="X658" s="971" t="e">
        <f t="shared" si="142"/>
        <v>#DIV/0!</v>
      </c>
      <c r="Y658" s="584" t="s">
        <v>1693</v>
      </c>
      <c r="Z658" s="988" t="e">
        <f ca="1">VLOOKUP(AA658,'place of settlement'!A:C,2,FALSE)</f>
        <v>#NAME?</v>
      </c>
      <c r="AA658" s="988" t="e">
        <f t="shared" ca="1" si="140"/>
        <v>#NAME?</v>
      </c>
      <c r="AB658" s="988" t="e">
        <f t="shared" ca="1" si="141"/>
        <v>#NAME?</v>
      </c>
      <c r="AC658" s="988" t="e">
        <f ca="1">VLOOKUP(AB658,sample!$1:$1048576,2,FALSE)</f>
        <v>#NAME?</v>
      </c>
      <c r="AD658" s="988" t="e">
        <f ca="1">VLOOKUP($AB658,sample!$1:$1048576,3,FALSE)</f>
        <v>#NAME?</v>
      </c>
      <c r="AE658" s="986" t="e">
        <f ca="1">VLOOKUP($AB658,sample!$1:$1048576,4,FALSE)</f>
        <v>#NAME?</v>
      </c>
      <c r="AF658" s="988" t="e">
        <f ca="1">VLOOKUP($AB658,sample!$1:$1048576,5,FALSE)</f>
        <v>#NAME?</v>
      </c>
      <c r="AN658" s="986" t="e">
        <f ca="1">VLOOKUP($AB658,sample!$1:$1048576,13,FALSE)</f>
        <v>#NAME?</v>
      </c>
      <c r="AP658" s="988"/>
    </row>
    <row r="659" spans="1:42">
      <c r="A659" s="911"/>
      <c r="D659" s="1133" t="str">
        <f>IFERROR(VLOOKUP(G659,PosAggregate!$B$13:$B$89,1,FALSE),"")</f>
        <v/>
      </c>
      <c r="E659" s="1013" t="e">
        <f ca="1">_xll.BDP(G659  &amp; " Equity", "ID_ISIN", "Fill", "")</f>
        <v>#NAME?</v>
      </c>
      <c r="F659" s="1106" t="str">
        <f t="shared" si="145"/>
        <v>YES</v>
      </c>
      <c r="I659" s="1007" t="e">
        <f ca="1">_xll.BDP(E659 &amp; " Equity","SECURITY_NAME")</f>
        <v>#NAME?</v>
      </c>
      <c r="J659" s="1007" t="e">
        <f ca="1">_xll.BDP(G659 &amp; " Equity","Crncy")</f>
        <v>#NAME?</v>
      </c>
      <c r="K659" s="1108"/>
      <c r="M659" s="1108"/>
      <c r="N659" s="985">
        <f t="shared" si="146"/>
        <v>0</v>
      </c>
      <c r="O659" s="817"/>
      <c r="R659" s="982">
        <f t="shared" si="143"/>
        <v>0</v>
      </c>
      <c r="S659" s="1108"/>
      <c r="T659" s="998" t="e">
        <f t="shared" si="144"/>
        <v>#DIV/0!</v>
      </c>
      <c r="U659" s="584"/>
      <c r="X659" s="971" t="e">
        <f t="shared" si="142"/>
        <v>#DIV/0!</v>
      </c>
      <c r="Y659" s="584" t="s">
        <v>1693</v>
      </c>
      <c r="Z659" s="988" t="e">
        <f ca="1">VLOOKUP(AA659,'place of settlement'!A:C,2,FALSE)</f>
        <v>#NAME?</v>
      </c>
      <c r="AA659" s="988" t="e">
        <f t="shared" ca="1" si="140"/>
        <v>#NAME?</v>
      </c>
      <c r="AB659" s="988" t="e">
        <f t="shared" ca="1" si="141"/>
        <v>#NAME?</v>
      </c>
      <c r="AC659" s="988" t="e">
        <f ca="1">VLOOKUP(AB659,sample!$1:$1048576,2,FALSE)</f>
        <v>#NAME?</v>
      </c>
      <c r="AD659" s="988" t="e">
        <f ca="1">VLOOKUP($AB659,sample!$1:$1048576,3,FALSE)</f>
        <v>#NAME?</v>
      </c>
      <c r="AE659" s="986" t="e">
        <f ca="1">VLOOKUP($AB659,sample!$1:$1048576,4,FALSE)</f>
        <v>#NAME?</v>
      </c>
      <c r="AF659" s="988" t="e">
        <f ca="1">VLOOKUP($AB659,sample!$1:$1048576,5,FALSE)</f>
        <v>#NAME?</v>
      </c>
      <c r="AN659" s="986" t="e">
        <f ca="1">VLOOKUP($AB659,sample!$1:$1048576,13,FALSE)</f>
        <v>#NAME?</v>
      </c>
      <c r="AP659" s="988"/>
    </row>
    <row r="660" spans="1:42">
      <c r="A660" s="911"/>
      <c r="D660" s="1133" t="str">
        <f>IFERROR(VLOOKUP(G660,PosAggregate!$B$13:$B$89,1,FALSE),"")</f>
        <v/>
      </c>
      <c r="E660" s="1013" t="e">
        <f ca="1">_xll.BDP(G660  &amp; " Equity", "ID_ISIN", "Fill", "")</f>
        <v>#NAME?</v>
      </c>
      <c r="F660" s="1106" t="str">
        <f t="shared" si="145"/>
        <v>YES</v>
      </c>
      <c r="I660" s="1007" t="e">
        <f ca="1">_xll.BDP(E660 &amp; " Equity","SECURITY_NAME")</f>
        <v>#NAME?</v>
      </c>
      <c r="J660" s="1007" t="e">
        <f ca="1">_xll.BDP(G660 &amp; " Equity","Crncy")</f>
        <v>#NAME?</v>
      </c>
      <c r="K660" s="1108"/>
      <c r="M660" s="1108"/>
      <c r="N660" s="985">
        <f t="shared" si="146"/>
        <v>0</v>
      </c>
      <c r="O660" s="817"/>
      <c r="R660" s="982">
        <f t="shared" si="143"/>
        <v>0</v>
      </c>
      <c r="S660" s="1108"/>
      <c r="T660" s="998" t="e">
        <f t="shared" si="144"/>
        <v>#DIV/0!</v>
      </c>
      <c r="U660" s="584"/>
      <c r="X660" s="971" t="e">
        <f t="shared" si="142"/>
        <v>#DIV/0!</v>
      </c>
      <c r="Y660" s="584" t="s">
        <v>1693</v>
      </c>
      <c r="Z660" s="988" t="e">
        <f ca="1">VLOOKUP(AA660,'place of settlement'!A:C,2,FALSE)</f>
        <v>#NAME?</v>
      </c>
      <c r="AA660" s="988" t="e">
        <f t="shared" ref="AA660:AA709" ca="1" si="147">LEFT(E660,2)</f>
        <v>#NAME?</v>
      </c>
      <c r="AB660" s="988" t="e">
        <f t="shared" ref="AB660:AB709" ca="1" si="148">CONCATENATE(V660,AA660)</f>
        <v>#NAME?</v>
      </c>
      <c r="AC660" s="988" t="e">
        <f ca="1">VLOOKUP(AB660,sample!$1:$1048576,2,FALSE)</f>
        <v>#NAME?</v>
      </c>
      <c r="AD660" s="988" t="e">
        <f ca="1">VLOOKUP($AB660,sample!$1:$1048576,3,FALSE)</f>
        <v>#NAME?</v>
      </c>
      <c r="AE660" s="986" t="e">
        <f ca="1">VLOOKUP($AB660,sample!$1:$1048576,4,FALSE)</f>
        <v>#NAME?</v>
      </c>
      <c r="AF660" s="988" t="e">
        <f ca="1">VLOOKUP($AB660,sample!$1:$1048576,5,FALSE)</f>
        <v>#NAME?</v>
      </c>
      <c r="AN660" s="986" t="e">
        <f ca="1">VLOOKUP($AB660,sample!$1:$1048576,13,FALSE)</f>
        <v>#NAME?</v>
      </c>
      <c r="AP660" s="988"/>
    </row>
    <row r="661" spans="1:42">
      <c r="A661" s="911"/>
      <c r="D661" s="1133" t="str">
        <f>IFERROR(VLOOKUP(G661,PosAggregate!$B$13:$B$89,1,FALSE),"")</f>
        <v/>
      </c>
      <c r="E661" s="1013" t="e">
        <f ca="1">_xll.BDP(G661  &amp; " Equity", "ID_ISIN", "Fill", "")</f>
        <v>#NAME?</v>
      </c>
      <c r="F661" s="1106" t="str">
        <f t="shared" si="145"/>
        <v>YES</v>
      </c>
      <c r="I661" s="1007" t="e">
        <f ca="1">_xll.BDP(E661 &amp; " Equity","SECURITY_NAME")</f>
        <v>#NAME?</v>
      </c>
      <c r="J661" s="1007" t="e">
        <f ca="1">_xll.BDP(G661 &amp; " Equity","Crncy")</f>
        <v>#NAME?</v>
      </c>
      <c r="K661" s="1108"/>
      <c r="M661" s="1108"/>
      <c r="N661" s="985">
        <f t="shared" si="146"/>
        <v>0</v>
      </c>
      <c r="O661" s="817"/>
      <c r="R661" s="982">
        <f t="shared" si="143"/>
        <v>0</v>
      </c>
      <c r="S661" s="1108"/>
      <c r="T661" s="998" t="e">
        <f t="shared" si="144"/>
        <v>#DIV/0!</v>
      </c>
      <c r="U661" s="584"/>
      <c r="X661" s="971" t="e">
        <f t="shared" si="142"/>
        <v>#DIV/0!</v>
      </c>
      <c r="Y661" s="584" t="s">
        <v>1693</v>
      </c>
      <c r="Z661" s="988" t="e">
        <f ca="1">VLOOKUP(AA661,'place of settlement'!A:C,2,FALSE)</f>
        <v>#NAME?</v>
      </c>
      <c r="AA661" s="988" t="e">
        <f t="shared" ca="1" si="147"/>
        <v>#NAME?</v>
      </c>
      <c r="AB661" s="988" t="e">
        <f t="shared" ca="1" si="148"/>
        <v>#NAME?</v>
      </c>
      <c r="AC661" s="988" t="e">
        <f ca="1">VLOOKUP(AB661,sample!$1:$1048576,2,FALSE)</f>
        <v>#NAME?</v>
      </c>
      <c r="AD661" s="988" t="e">
        <f ca="1">VLOOKUP($AB661,sample!$1:$1048576,3,FALSE)</f>
        <v>#NAME?</v>
      </c>
      <c r="AE661" s="986" t="e">
        <f ca="1">VLOOKUP($AB661,sample!$1:$1048576,4,FALSE)</f>
        <v>#NAME?</v>
      </c>
      <c r="AF661" s="988" t="e">
        <f ca="1">VLOOKUP($AB661,sample!$1:$1048576,5,FALSE)</f>
        <v>#NAME?</v>
      </c>
      <c r="AN661" s="986" t="e">
        <f ca="1">VLOOKUP($AB661,sample!$1:$1048576,13,FALSE)</f>
        <v>#NAME?</v>
      </c>
      <c r="AP661" s="988"/>
    </row>
    <row r="662" spans="1:42">
      <c r="A662" s="911"/>
      <c r="D662" s="1133" t="str">
        <f>IFERROR(VLOOKUP(G662,PosAggregate!$B$13:$B$89,1,FALSE),"")</f>
        <v/>
      </c>
      <c r="E662" s="1013" t="e">
        <f ca="1">_xll.BDP(G662  &amp; " Equity", "ID_ISIN", "Fill", "")</f>
        <v>#NAME?</v>
      </c>
      <c r="F662" s="1106" t="str">
        <f t="shared" si="145"/>
        <v>YES</v>
      </c>
      <c r="I662" s="1007" t="e">
        <f ca="1">_xll.BDP(E662 &amp; " Equity","SECURITY_NAME")</f>
        <v>#NAME?</v>
      </c>
      <c r="J662" s="1007" t="e">
        <f ca="1">_xll.BDP(G662 &amp; " Equity","Crncy")</f>
        <v>#NAME?</v>
      </c>
      <c r="K662" s="1108"/>
      <c r="M662" s="1108"/>
      <c r="N662" s="985">
        <f t="shared" si="146"/>
        <v>0</v>
      </c>
      <c r="O662" s="817"/>
      <c r="R662" s="982">
        <f t="shared" si="143"/>
        <v>0</v>
      </c>
      <c r="S662" s="1108"/>
      <c r="T662" s="998" t="e">
        <f t="shared" si="144"/>
        <v>#DIV/0!</v>
      </c>
      <c r="U662" s="584"/>
      <c r="X662" s="971" t="e">
        <f t="shared" si="142"/>
        <v>#DIV/0!</v>
      </c>
      <c r="Y662" s="584" t="s">
        <v>1693</v>
      </c>
      <c r="Z662" s="988" t="e">
        <f ca="1">VLOOKUP(AA662,'place of settlement'!A:C,2,FALSE)</f>
        <v>#NAME?</v>
      </c>
      <c r="AA662" s="988" t="e">
        <f t="shared" ca="1" si="147"/>
        <v>#NAME?</v>
      </c>
      <c r="AB662" s="988" t="e">
        <f t="shared" ca="1" si="148"/>
        <v>#NAME?</v>
      </c>
      <c r="AC662" s="988" t="e">
        <f ca="1">VLOOKUP(AB662,sample!$1:$1048576,2,FALSE)</f>
        <v>#NAME?</v>
      </c>
      <c r="AD662" s="988" t="e">
        <f ca="1">VLOOKUP($AB662,sample!$1:$1048576,3,FALSE)</f>
        <v>#NAME?</v>
      </c>
      <c r="AE662" s="986" t="e">
        <f ca="1">VLOOKUP($AB662,sample!$1:$1048576,4,FALSE)</f>
        <v>#NAME?</v>
      </c>
      <c r="AF662" s="988" t="e">
        <f ca="1">VLOOKUP($AB662,sample!$1:$1048576,5,FALSE)</f>
        <v>#NAME?</v>
      </c>
      <c r="AN662" s="986" t="e">
        <f ca="1">VLOOKUP($AB662,sample!$1:$1048576,13,FALSE)</f>
        <v>#NAME?</v>
      </c>
      <c r="AP662" s="988"/>
    </row>
    <row r="663" spans="1:42">
      <c r="A663" s="911"/>
      <c r="D663" s="1133" t="str">
        <f>IFERROR(VLOOKUP(G663,PosAggregate!$B$13:$B$89,1,FALSE),"")</f>
        <v/>
      </c>
      <c r="E663" s="1013" t="e">
        <f ca="1">_xll.BDP(G663  &amp; " Equity", "ID_ISIN", "Fill", "")</f>
        <v>#NAME?</v>
      </c>
      <c r="F663" s="1106" t="str">
        <f t="shared" si="145"/>
        <v>YES</v>
      </c>
      <c r="I663" s="1007" t="e">
        <f ca="1">_xll.BDP(E663 &amp; " Equity","SECURITY_NAME")</f>
        <v>#NAME?</v>
      </c>
      <c r="J663" s="1007" t="e">
        <f ca="1">_xll.BDP(G663 &amp; " Equity","Crncy")</f>
        <v>#NAME?</v>
      </c>
      <c r="K663" s="1108"/>
      <c r="M663" s="1108"/>
      <c r="N663" s="985">
        <f t="shared" si="146"/>
        <v>0</v>
      </c>
      <c r="O663" s="817"/>
      <c r="R663" s="982">
        <f t="shared" si="143"/>
        <v>0</v>
      </c>
      <c r="S663" s="1108"/>
      <c r="T663" s="998" t="e">
        <f t="shared" si="144"/>
        <v>#DIV/0!</v>
      </c>
      <c r="U663" s="584"/>
      <c r="X663" s="971" t="e">
        <f t="shared" si="142"/>
        <v>#DIV/0!</v>
      </c>
      <c r="Y663" s="584" t="s">
        <v>1693</v>
      </c>
      <c r="Z663" s="988" t="e">
        <f ca="1">VLOOKUP(AA663,'place of settlement'!A:C,2,FALSE)</f>
        <v>#NAME?</v>
      </c>
      <c r="AA663" s="988" t="e">
        <f t="shared" ca="1" si="147"/>
        <v>#NAME?</v>
      </c>
      <c r="AB663" s="988" t="e">
        <f t="shared" ca="1" si="148"/>
        <v>#NAME?</v>
      </c>
      <c r="AC663" s="988" t="e">
        <f ca="1">VLOOKUP(AB663,sample!$1:$1048576,2,FALSE)</f>
        <v>#NAME?</v>
      </c>
      <c r="AD663" s="988" t="e">
        <f ca="1">VLOOKUP($AB663,sample!$1:$1048576,3,FALSE)</f>
        <v>#NAME?</v>
      </c>
      <c r="AE663" s="986" t="e">
        <f ca="1">VLOOKUP($AB663,sample!$1:$1048576,4,FALSE)</f>
        <v>#NAME?</v>
      </c>
      <c r="AF663" s="988" t="e">
        <f ca="1">VLOOKUP($AB663,sample!$1:$1048576,5,FALSE)</f>
        <v>#NAME?</v>
      </c>
      <c r="AN663" s="986" t="e">
        <f ca="1">VLOOKUP($AB663,sample!$1:$1048576,13,FALSE)</f>
        <v>#NAME?</v>
      </c>
      <c r="AP663" s="988"/>
    </row>
    <row r="664" spans="1:42">
      <c r="A664" s="911"/>
      <c r="D664" s="1133" t="str">
        <f>IFERROR(VLOOKUP(G664,PosAggregate!$B$13:$B$89,1,FALSE),"")</f>
        <v/>
      </c>
      <c r="E664" s="1013" t="e">
        <f ca="1">_xll.BDP(G664  &amp; " Equity", "ID_ISIN", "Fill", "")</f>
        <v>#NAME?</v>
      </c>
      <c r="F664" s="1106" t="str">
        <f t="shared" si="145"/>
        <v>YES</v>
      </c>
      <c r="I664" s="1007" t="e">
        <f ca="1">_xll.BDP(E664 &amp; " Equity","SECURITY_NAME")</f>
        <v>#NAME?</v>
      </c>
      <c r="J664" s="1007" t="e">
        <f ca="1">_xll.BDP(G664 &amp; " Equity","Crncy")</f>
        <v>#NAME?</v>
      </c>
      <c r="K664" s="1108"/>
      <c r="M664" s="1108"/>
      <c r="N664" s="985">
        <f t="shared" si="146"/>
        <v>0</v>
      </c>
      <c r="O664" s="817"/>
      <c r="R664" s="982">
        <f t="shared" si="143"/>
        <v>0</v>
      </c>
      <c r="S664" s="1108"/>
      <c r="T664" s="998" t="e">
        <f t="shared" si="144"/>
        <v>#DIV/0!</v>
      </c>
      <c r="U664" s="584"/>
      <c r="X664" s="971" t="e">
        <f t="shared" si="142"/>
        <v>#DIV/0!</v>
      </c>
      <c r="Y664" s="584" t="s">
        <v>1693</v>
      </c>
      <c r="Z664" s="988" t="e">
        <f ca="1">VLOOKUP(AA664,'place of settlement'!A:C,2,FALSE)</f>
        <v>#NAME?</v>
      </c>
      <c r="AA664" s="988" t="e">
        <f t="shared" ca="1" si="147"/>
        <v>#NAME?</v>
      </c>
      <c r="AB664" s="988" t="e">
        <f t="shared" ca="1" si="148"/>
        <v>#NAME?</v>
      </c>
      <c r="AC664" s="988" t="e">
        <f ca="1">VLOOKUP(AB664,sample!$1:$1048576,2,FALSE)</f>
        <v>#NAME?</v>
      </c>
      <c r="AD664" s="988" t="e">
        <f ca="1">VLOOKUP($AB664,sample!$1:$1048576,3,FALSE)</f>
        <v>#NAME?</v>
      </c>
      <c r="AE664" s="986" t="e">
        <f ca="1">VLOOKUP($AB664,sample!$1:$1048576,4,FALSE)</f>
        <v>#NAME?</v>
      </c>
      <c r="AF664" s="988" t="e">
        <f ca="1">VLOOKUP($AB664,sample!$1:$1048576,5,FALSE)</f>
        <v>#NAME?</v>
      </c>
      <c r="AN664" s="986" t="e">
        <f ca="1">VLOOKUP($AB664,sample!$1:$1048576,13,FALSE)</f>
        <v>#NAME?</v>
      </c>
      <c r="AP664" s="988"/>
    </row>
    <row r="665" spans="1:42">
      <c r="A665" s="911"/>
      <c r="D665" s="1133" t="str">
        <f>IFERROR(VLOOKUP(G665,PosAggregate!$B$13:$B$89,1,FALSE),"")</f>
        <v/>
      </c>
      <c r="E665" s="1013" t="e">
        <f ca="1">_xll.BDP(G665  &amp; " Equity", "ID_ISIN", "Fill", "")</f>
        <v>#NAME?</v>
      </c>
      <c r="F665" s="1106" t="str">
        <f t="shared" si="145"/>
        <v>YES</v>
      </c>
      <c r="I665" s="1007" t="e">
        <f ca="1">_xll.BDP(E665 &amp; " Equity","SECURITY_NAME")</f>
        <v>#NAME?</v>
      </c>
      <c r="J665" s="1007" t="e">
        <f ca="1">_xll.BDP(G665 &amp; " Equity","Crncy")</f>
        <v>#NAME?</v>
      </c>
      <c r="K665" s="1108"/>
      <c r="M665" s="1108"/>
      <c r="N665" s="985">
        <f t="shared" si="146"/>
        <v>0</v>
      </c>
      <c r="O665" s="817"/>
      <c r="R665" s="982">
        <f t="shared" si="143"/>
        <v>0</v>
      </c>
      <c r="S665" s="1108"/>
      <c r="T665" s="998" t="e">
        <f t="shared" si="144"/>
        <v>#DIV/0!</v>
      </c>
      <c r="U665" s="584"/>
      <c r="X665" s="971" t="e">
        <f t="shared" si="142"/>
        <v>#DIV/0!</v>
      </c>
      <c r="Y665" s="584" t="s">
        <v>1693</v>
      </c>
      <c r="Z665" s="988" t="e">
        <f ca="1">VLOOKUP(AA665,'place of settlement'!A:C,2,FALSE)</f>
        <v>#NAME?</v>
      </c>
      <c r="AA665" s="988" t="e">
        <f t="shared" ca="1" si="147"/>
        <v>#NAME?</v>
      </c>
      <c r="AB665" s="988" t="e">
        <f t="shared" ca="1" si="148"/>
        <v>#NAME?</v>
      </c>
      <c r="AC665" s="988" t="e">
        <f ca="1">VLOOKUP(AB665,sample!$1:$1048576,2,FALSE)</f>
        <v>#NAME?</v>
      </c>
      <c r="AD665" s="988" t="e">
        <f ca="1">VLOOKUP($AB665,sample!$1:$1048576,3,FALSE)</f>
        <v>#NAME?</v>
      </c>
      <c r="AE665" s="986" t="e">
        <f ca="1">VLOOKUP($AB665,sample!$1:$1048576,4,FALSE)</f>
        <v>#NAME?</v>
      </c>
      <c r="AF665" s="988" t="e">
        <f ca="1">VLOOKUP($AB665,sample!$1:$1048576,5,FALSE)</f>
        <v>#NAME?</v>
      </c>
      <c r="AN665" s="986" t="e">
        <f ca="1">VLOOKUP($AB665,sample!$1:$1048576,13,FALSE)</f>
        <v>#NAME?</v>
      </c>
      <c r="AP665" s="988"/>
    </row>
    <row r="666" spans="1:42">
      <c r="A666" s="911"/>
      <c r="D666" s="1133" t="str">
        <f>IFERROR(VLOOKUP(G666,PosAggregate!$B$13:$B$89,1,FALSE),"")</f>
        <v/>
      </c>
      <c r="E666" s="1013" t="e">
        <f ca="1">_xll.BDP(G666  &amp; " Equity", "ID_ISIN", "Fill", "")</f>
        <v>#NAME?</v>
      </c>
      <c r="F666" s="1106" t="str">
        <f t="shared" si="145"/>
        <v>YES</v>
      </c>
      <c r="I666" s="1007" t="e">
        <f ca="1">_xll.BDP(E666 &amp; " Equity","SECURITY_NAME")</f>
        <v>#NAME?</v>
      </c>
      <c r="J666" s="1007" t="e">
        <f ca="1">_xll.BDP(G666 &amp; " Equity","Crncy")</f>
        <v>#NAME?</v>
      </c>
      <c r="K666" s="1108"/>
      <c r="M666" s="1108"/>
      <c r="N666" s="985">
        <f t="shared" si="146"/>
        <v>0</v>
      </c>
      <c r="O666" s="817"/>
      <c r="R666" s="982">
        <f t="shared" si="143"/>
        <v>0</v>
      </c>
      <c r="S666" s="1108"/>
      <c r="T666" s="998" t="e">
        <f t="shared" si="144"/>
        <v>#DIV/0!</v>
      </c>
      <c r="U666" s="584"/>
      <c r="X666" s="971" t="e">
        <f t="shared" si="142"/>
        <v>#DIV/0!</v>
      </c>
      <c r="Y666" s="584" t="s">
        <v>1693</v>
      </c>
      <c r="Z666" s="988" t="e">
        <f ca="1">VLOOKUP(AA666,'place of settlement'!A:C,2,FALSE)</f>
        <v>#NAME?</v>
      </c>
      <c r="AA666" s="988" t="e">
        <f t="shared" ca="1" si="147"/>
        <v>#NAME?</v>
      </c>
      <c r="AB666" s="988" t="e">
        <f t="shared" ca="1" si="148"/>
        <v>#NAME?</v>
      </c>
      <c r="AC666" s="988" t="e">
        <f ca="1">VLOOKUP(AB666,sample!$1:$1048576,2,FALSE)</f>
        <v>#NAME?</v>
      </c>
      <c r="AD666" s="988" t="e">
        <f ca="1">VLOOKUP($AB666,sample!$1:$1048576,3,FALSE)</f>
        <v>#NAME?</v>
      </c>
      <c r="AE666" s="986" t="e">
        <f ca="1">VLOOKUP($AB666,sample!$1:$1048576,4,FALSE)</f>
        <v>#NAME?</v>
      </c>
      <c r="AF666" s="988" t="e">
        <f ca="1">VLOOKUP($AB666,sample!$1:$1048576,5,FALSE)</f>
        <v>#NAME?</v>
      </c>
      <c r="AN666" s="986" t="e">
        <f ca="1">VLOOKUP($AB666,sample!$1:$1048576,13,FALSE)</f>
        <v>#NAME?</v>
      </c>
      <c r="AP666" s="988"/>
    </row>
    <row r="667" spans="1:42">
      <c r="A667" s="911"/>
      <c r="D667" s="1133" t="str">
        <f>IFERROR(VLOOKUP(G667,PosAggregate!$B$13:$B$89,1,FALSE),"")</f>
        <v/>
      </c>
      <c r="E667" s="1013" t="e">
        <f ca="1">_xll.BDP(G667  &amp; " Equity", "ID_ISIN", "Fill", "")</f>
        <v>#NAME?</v>
      </c>
      <c r="F667" s="1106" t="str">
        <f t="shared" si="145"/>
        <v>YES</v>
      </c>
      <c r="I667" s="1007" t="e">
        <f ca="1">_xll.BDP(E667 &amp; " Equity","SECURITY_NAME")</f>
        <v>#NAME?</v>
      </c>
      <c r="J667" s="1007" t="e">
        <f ca="1">_xll.BDP(G667 &amp; " Equity","Crncy")</f>
        <v>#NAME?</v>
      </c>
      <c r="K667" s="1108"/>
      <c r="M667" s="1108"/>
      <c r="N667" s="985">
        <f t="shared" si="146"/>
        <v>0</v>
      </c>
      <c r="O667" s="817"/>
      <c r="R667" s="982">
        <f t="shared" si="143"/>
        <v>0</v>
      </c>
      <c r="S667" s="1108"/>
      <c r="T667" s="998" t="e">
        <f t="shared" si="144"/>
        <v>#DIV/0!</v>
      </c>
      <c r="U667" s="584"/>
      <c r="X667" s="971" t="e">
        <f t="shared" si="142"/>
        <v>#DIV/0!</v>
      </c>
      <c r="Y667" s="584" t="s">
        <v>1693</v>
      </c>
      <c r="Z667" s="988" t="e">
        <f ca="1">VLOOKUP(AA667,'place of settlement'!A:C,2,FALSE)</f>
        <v>#NAME?</v>
      </c>
      <c r="AA667" s="988" t="e">
        <f t="shared" ca="1" si="147"/>
        <v>#NAME?</v>
      </c>
      <c r="AB667" s="988" t="e">
        <f t="shared" ca="1" si="148"/>
        <v>#NAME?</v>
      </c>
      <c r="AC667" s="988" t="e">
        <f ca="1">VLOOKUP(AB667,sample!$1:$1048576,2,FALSE)</f>
        <v>#NAME?</v>
      </c>
      <c r="AD667" s="988" t="e">
        <f ca="1">VLOOKUP($AB667,sample!$1:$1048576,3,FALSE)</f>
        <v>#NAME?</v>
      </c>
      <c r="AE667" s="986" t="e">
        <f ca="1">VLOOKUP($AB667,sample!$1:$1048576,4,FALSE)</f>
        <v>#NAME?</v>
      </c>
      <c r="AF667" s="988" t="e">
        <f ca="1">VLOOKUP($AB667,sample!$1:$1048576,5,FALSE)</f>
        <v>#NAME?</v>
      </c>
      <c r="AN667" s="986" t="e">
        <f ca="1">VLOOKUP($AB667,sample!$1:$1048576,13,FALSE)</f>
        <v>#NAME?</v>
      </c>
      <c r="AP667" s="988"/>
    </row>
    <row r="668" spans="1:42">
      <c r="A668" s="911"/>
      <c r="D668" s="1133" t="str">
        <f>IFERROR(VLOOKUP(G668,PosAggregate!$B$13:$B$89,1,FALSE),"")</f>
        <v/>
      </c>
      <c r="E668" s="1013" t="e">
        <f ca="1">_xll.BDP(G668  &amp; " Equity", "ID_ISIN", "Fill", "")</f>
        <v>#NAME?</v>
      </c>
      <c r="F668" s="1106" t="str">
        <f t="shared" si="145"/>
        <v>YES</v>
      </c>
      <c r="I668" s="1007" t="e">
        <f ca="1">_xll.BDP(E668 &amp; " Equity","SECURITY_NAME")</f>
        <v>#NAME?</v>
      </c>
      <c r="J668" s="1007" t="e">
        <f ca="1">_xll.BDP(G668 &amp; " Equity","Crncy")</f>
        <v>#NAME?</v>
      </c>
      <c r="K668" s="1108"/>
      <c r="M668" s="1108"/>
      <c r="N668" s="985">
        <f t="shared" si="146"/>
        <v>0</v>
      </c>
      <c r="O668" s="817"/>
      <c r="R668" s="982">
        <f t="shared" si="143"/>
        <v>0</v>
      </c>
      <c r="S668" s="1108"/>
      <c r="T668" s="998" t="e">
        <f t="shared" si="144"/>
        <v>#DIV/0!</v>
      </c>
      <c r="U668" s="584"/>
      <c r="X668" s="971" t="e">
        <f t="shared" si="142"/>
        <v>#DIV/0!</v>
      </c>
      <c r="Y668" s="584" t="s">
        <v>1693</v>
      </c>
      <c r="Z668" s="988" t="e">
        <f ca="1">VLOOKUP(AA668,'place of settlement'!A:C,2,FALSE)</f>
        <v>#NAME?</v>
      </c>
      <c r="AA668" s="988" t="e">
        <f t="shared" ca="1" si="147"/>
        <v>#NAME?</v>
      </c>
      <c r="AB668" s="988" t="e">
        <f t="shared" ca="1" si="148"/>
        <v>#NAME?</v>
      </c>
      <c r="AC668" s="988" t="e">
        <f ca="1">VLOOKUP(AB668,sample!$1:$1048576,2,FALSE)</f>
        <v>#NAME?</v>
      </c>
      <c r="AD668" s="988" t="e">
        <f ca="1">VLOOKUP($AB668,sample!$1:$1048576,3,FALSE)</f>
        <v>#NAME?</v>
      </c>
      <c r="AE668" s="986" t="e">
        <f ca="1">VLOOKUP($AB668,sample!$1:$1048576,4,FALSE)</f>
        <v>#NAME?</v>
      </c>
      <c r="AF668" s="988" t="e">
        <f ca="1">VLOOKUP($AB668,sample!$1:$1048576,5,FALSE)</f>
        <v>#NAME?</v>
      </c>
      <c r="AN668" s="986" t="e">
        <f ca="1">VLOOKUP($AB668,sample!$1:$1048576,13,FALSE)</f>
        <v>#NAME?</v>
      </c>
      <c r="AP668" s="988"/>
    </row>
    <row r="669" spans="1:42">
      <c r="A669" s="911"/>
      <c r="D669" s="1133" t="str">
        <f>IFERROR(VLOOKUP(G669,PosAggregate!$B$13:$B$89,1,FALSE),"")</f>
        <v/>
      </c>
      <c r="E669" s="1013" t="e">
        <f ca="1">_xll.BDP(G669  &amp; " Equity", "ID_ISIN", "Fill", "")</f>
        <v>#NAME?</v>
      </c>
      <c r="F669" s="1106" t="str">
        <f t="shared" si="145"/>
        <v>YES</v>
      </c>
      <c r="I669" s="1007" t="e">
        <f ca="1">_xll.BDP(E669 &amp; " Equity","SECURITY_NAME")</f>
        <v>#NAME?</v>
      </c>
      <c r="J669" s="1007" t="e">
        <f ca="1">_xll.BDP(G669 &amp; " Equity","Crncy")</f>
        <v>#NAME?</v>
      </c>
      <c r="K669" s="1108"/>
      <c r="M669" s="1108"/>
      <c r="N669" s="985">
        <f t="shared" si="146"/>
        <v>0</v>
      </c>
      <c r="O669" s="817"/>
      <c r="R669" s="982">
        <f t="shared" si="143"/>
        <v>0</v>
      </c>
      <c r="S669" s="1108"/>
      <c r="T669" s="998" t="e">
        <f t="shared" si="144"/>
        <v>#DIV/0!</v>
      </c>
      <c r="U669" s="584"/>
      <c r="X669" s="971" t="e">
        <f t="shared" si="142"/>
        <v>#DIV/0!</v>
      </c>
      <c r="Y669" s="584" t="s">
        <v>1693</v>
      </c>
      <c r="Z669" s="988" t="e">
        <f ca="1">VLOOKUP(AA669,'place of settlement'!A:C,2,FALSE)</f>
        <v>#NAME?</v>
      </c>
      <c r="AA669" s="988" t="e">
        <f t="shared" ca="1" si="147"/>
        <v>#NAME?</v>
      </c>
      <c r="AB669" s="988" t="e">
        <f t="shared" ca="1" si="148"/>
        <v>#NAME?</v>
      </c>
      <c r="AC669" s="988" t="e">
        <f ca="1">VLOOKUP(AB669,sample!$1:$1048576,2,FALSE)</f>
        <v>#NAME?</v>
      </c>
      <c r="AD669" s="988" t="e">
        <f ca="1">VLOOKUP($AB669,sample!$1:$1048576,3,FALSE)</f>
        <v>#NAME?</v>
      </c>
      <c r="AE669" s="986" t="e">
        <f ca="1">VLOOKUP($AB669,sample!$1:$1048576,4,FALSE)</f>
        <v>#NAME?</v>
      </c>
      <c r="AF669" s="988" t="e">
        <f ca="1">VLOOKUP($AB669,sample!$1:$1048576,5,FALSE)</f>
        <v>#NAME?</v>
      </c>
      <c r="AN669" s="986" t="e">
        <f ca="1">VLOOKUP($AB669,sample!$1:$1048576,13,FALSE)</f>
        <v>#NAME?</v>
      </c>
      <c r="AP669" s="988"/>
    </row>
    <row r="670" spans="1:42">
      <c r="A670" s="911"/>
      <c r="D670" s="1133" t="str">
        <f>IFERROR(VLOOKUP(G670,PosAggregate!$B$13:$B$89,1,FALSE),"")</f>
        <v/>
      </c>
      <c r="E670" s="1013" t="e">
        <f ca="1">_xll.BDP(G670  &amp; " Equity", "ID_ISIN", "Fill", "")</f>
        <v>#NAME?</v>
      </c>
      <c r="F670" s="1106" t="str">
        <f t="shared" si="145"/>
        <v>YES</v>
      </c>
      <c r="I670" s="1007" t="e">
        <f ca="1">_xll.BDP(E670 &amp; " Equity","SECURITY_NAME")</f>
        <v>#NAME?</v>
      </c>
      <c r="J670" s="1007" t="e">
        <f ca="1">_xll.BDP(G670 &amp; " Equity","Crncy")</f>
        <v>#NAME?</v>
      </c>
      <c r="K670" s="1108"/>
      <c r="M670" s="1108"/>
      <c r="N670" s="985">
        <f t="shared" si="146"/>
        <v>0</v>
      </c>
      <c r="O670" s="817"/>
      <c r="R670" s="982">
        <f t="shared" si="143"/>
        <v>0</v>
      </c>
      <c r="S670" s="1108"/>
      <c r="T670" s="998" t="e">
        <f t="shared" si="144"/>
        <v>#DIV/0!</v>
      </c>
      <c r="U670" s="584"/>
      <c r="X670" s="971" t="e">
        <f t="shared" si="142"/>
        <v>#DIV/0!</v>
      </c>
      <c r="Y670" s="584" t="s">
        <v>1693</v>
      </c>
      <c r="Z670" s="988" t="e">
        <f ca="1">VLOOKUP(AA670,'place of settlement'!A:C,2,FALSE)</f>
        <v>#NAME?</v>
      </c>
      <c r="AA670" s="988" t="e">
        <f t="shared" ca="1" si="147"/>
        <v>#NAME?</v>
      </c>
      <c r="AB670" s="988" t="e">
        <f t="shared" ca="1" si="148"/>
        <v>#NAME?</v>
      </c>
      <c r="AC670" s="988" t="e">
        <f ca="1">VLOOKUP(AB670,sample!$1:$1048576,2,FALSE)</f>
        <v>#NAME?</v>
      </c>
      <c r="AD670" s="988" t="e">
        <f ca="1">VLOOKUP($AB670,sample!$1:$1048576,3,FALSE)</f>
        <v>#NAME?</v>
      </c>
      <c r="AE670" s="986" t="e">
        <f ca="1">VLOOKUP($AB670,sample!$1:$1048576,4,FALSE)</f>
        <v>#NAME?</v>
      </c>
      <c r="AF670" s="988" t="e">
        <f ca="1">VLOOKUP($AB670,sample!$1:$1048576,5,FALSE)</f>
        <v>#NAME?</v>
      </c>
      <c r="AN670" s="986" t="e">
        <f ca="1">VLOOKUP($AB670,sample!$1:$1048576,13,FALSE)</f>
        <v>#NAME?</v>
      </c>
      <c r="AP670" s="988"/>
    </row>
    <row r="671" spans="1:42">
      <c r="A671" s="911"/>
      <c r="D671" s="1133" t="str">
        <f>IFERROR(VLOOKUP(G671,PosAggregate!$B$13:$B$89,1,FALSE),"")</f>
        <v/>
      </c>
      <c r="E671" s="1013" t="e">
        <f ca="1">_xll.BDP(G671  &amp; " Equity", "ID_ISIN", "Fill", "")</f>
        <v>#NAME?</v>
      </c>
      <c r="F671" s="1106" t="str">
        <f t="shared" si="145"/>
        <v>YES</v>
      </c>
      <c r="I671" s="1007" t="e">
        <f ca="1">_xll.BDP(E671 &amp; " Equity","SECURITY_NAME")</f>
        <v>#NAME?</v>
      </c>
      <c r="J671" s="1007" t="e">
        <f ca="1">_xll.BDP(G671 &amp; " Equity","Crncy")</f>
        <v>#NAME?</v>
      </c>
      <c r="K671" s="1108"/>
      <c r="M671" s="1108"/>
      <c r="N671" s="985">
        <f t="shared" si="146"/>
        <v>0</v>
      </c>
      <c r="O671" s="817"/>
      <c r="R671" s="982">
        <f t="shared" si="143"/>
        <v>0</v>
      </c>
      <c r="S671" s="1108"/>
      <c r="T671" s="998" t="e">
        <f t="shared" si="144"/>
        <v>#DIV/0!</v>
      </c>
      <c r="U671" s="584"/>
      <c r="X671" s="971" t="e">
        <f t="shared" si="142"/>
        <v>#DIV/0!</v>
      </c>
      <c r="Y671" s="584" t="s">
        <v>1693</v>
      </c>
      <c r="Z671" s="988" t="e">
        <f ca="1">VLOOKUP(AA671,'place of settlement'!A:C,2,FALSE)</f>
        <v>#NAME?</v>
      </c>
      <c r="AA671" s="988" t="e">
        <f t="shared" ca="1" si="147"/>
        <v>#NAME?</v>
      </c>
      <c r="AB671" s="988" t="e">
        <f t="shared" ca="1" si="148"/>
        <v>#NAME?</v>
      </c>
      <c r="AC671" s="988" t="e">
        <f ca="1">VLOOKUP(AB671,sample!$1:$1048576,2,FALSE)</f>
        <v>#NAME?</v>
      </c>
      <c r="AD671" s="988" t="e">
        <f ca="1">VLOOKUP($AB671,sample!$1:$1048576,3,FALSE)</f>
        <v>#NAME?</v>
      </c>
      <c r="AE671" s="986" t="e">
        <f ca="1">VLOOKUP($AB671,sample!$1:$1048576,4,FALSE)</f>
        <v>#NAME?</v>
      </c>
      <c r="AF671" s="988" t="e">
        <f ca="1">VLOOKUP($AB671,sample!$1:$1048576,5,FALSE)</f>
        <v>#NAME?</v>
      </c>
      <c r="AN671" s="986" t="e">
        <f ca="1">VLOOKUP($AB671,sample!$1:$1048576,13,FALSE)</f>
        <v>#NAME?</v>
      </c>
      <c r="AP671" s="988"/>
    </row>
    <row r="672" spans="1:42">
      <c r="A672" s="911"/>
      <c r="D672" s="1133" t="str">
        <f>IFERROR(VLOOKUP(G672,PosAggregate!$B$13:$B$89,1,FALSE),"")</f>
        <v/>
      </c>
      <c r="E672" s="1013" t="e">
        <f ca="1">_xll.BDP(G672  &amp; " Equity", "ID_ISIN", "Fill", "")</f>
        <v>#NAME?</v>
      </c>
      <c r="F672" s="1106" t="str">
        <f t="shared" si="145"/>
        <v>YES</v>
      </c>
      <c r="I672" s="1007" t="e">
        <f ca="1">_xll.BDP(E672 &amp; " Equity","SECURITY_NAME")</f>
        <v>#NAME?</v>
      </c>
      <c r="J672" s="1007" t="e">
        <f ca="1">_xll.BDP(G672 &amp; " Equity","Crncy")</f>
        <v>#NAME?</v>
      </c>
      <c r="K672" s="1108"/>
      <c r="M672" s="1108"/>
      <c r="N672" s="985">
        <f t="shared" si="146"/>
        <v>0</v>
      </c>
      <c r="O672" s="817"/>
      <c r="R672" s="982">
        <f t="shared" si="143"/>
        <v>0</v>
      </c>
      <c r="S672" s="1108"/>
      <c r="T672" s="998" t="e">
        <f t="shared" si="144"/>
        <v>#DIV/0!</v>
      </c>
      <c r="U672" s="584"/>
      <c r="X672" s="971" t="e">
        <f t="shared" si="142"/>
        <v>#DIV/0!</v>
      </c>
      <c r="Y672" s="584" t="s">
        <v>1693</v>
      </c>
      <c r="Z672" s="988" t="e">
        <f ca="1">VLOOKUP(AA672,'place of settlement'!A:C,2,FALSE)</f>
        <v>#NAME?</v>
      </c>
      <c r="AA672" s="988" t="e">
        <f t="shared" ca="1" si="147"/>
        <v>#NAME?</v>
      </c>
      <c r="AB672" s="988" t="e">
        <f t="shared" ca="1" si="148"/>
        <v>#NAME?</v>
      </c>
      <c r="AC672" s="988" t="e">
        <f ca="1">VLOOKUP(AB672,sample!$1:$1048576,2,FALSE)</f>
        <v>#NAME?</v>
      </c>
      <c r="AD672" s="988" t="e">
        <f ca="1">VLOOKUP($AB672,sample!$1:$1048576,3,FALSE)</f>
        <v>#NAME?</v>
      </c>
      <c r="AE672" s="986" t="e">
        <f ca="1">VLOOKUP($AB672,sample!$1:$1048576,4,FALSE)</f>
        <v>#NAME?</v>
      </c>
      <c r="AF672" s="988" t="e">
        <f ca="1">VLOOKUP($AB672,sample!$1:$1048576,5,FALSE)</f>
        <v>#NAME?</v>
      </c>
      <c r="AN672" s="986" t="e">
        <f ca="1">VLOOKUP($AB672,sample!$1:$1048576,13,FALSE)</f>
        <v>#NAME?</v>
      </c>
      <c r="AP672" s="988"/>
    </row>
    <row r="673" spans="1:42">
      <c r="A673" s="911"/>
      <c r="D673" s="1133" t="str">
        <f>IFERROR(VLOOKUP(G673,PosAggregate!$B$13:$B$89,1,FALSE),"")</f>
        <v/>
      </c>
      <c r="E673" s="1013" t="e">
        <f ca="1">_xll.BDP(G673  &amp; " Equity", "ID_ISIN", "Fill", "")</f>
        <v>#NAME?</v>
      </c>
      <c r="F673" s="1106" t="str">
        <f t="shared" si="145"/>
        <v>YES</v>
      </c>
      <c r="I673" s="1007" t="e">
        <f ca="1">_xll.BDP(E673 &amp; " Equity","SECURITY_NAME")</f>
        <v>#NAME?</v>
      </c>
      <c r="J673" s="1007" t="e">
        <f ca="1">_xll.BDP(G673 &amp; " Equity","Crncy")</f>
        <v>#NAME?</v>
      </c>
      <c r="K673" s="1108"/>
      <c r="M673" s="1108"/>
      <c r="N673" s="985">
        <f t="shared" si="146"/>
        <v>0</v>
      </c>
      <c r="O673" s="817"/>
      <c r="R673" s="982">
        <f t="shared" si="143"/>
        <v>0</v>
      </c>
      <c r="S673" s="1108"/>
      <c r="T673" s="998" t="e">
        <f t="shared" si="144"/>
        <v>#DIV/0!</v>
      </c>
      <c r="U673" s="584"/>
      <c r="X673" s="971" t="e">
        <f t="shared" ref="X673:X709" si="149">+O673/N673*100</f>
        <v>#DIV/0!</v>
      </c>
      <c r="Y673" s="584" t="s">
        <v>1693</v>
      </c>
      <c r="Z673" s="988" t="e">
        <f ca="1">VLOOKUP(AA673,'place of settlement'!A:C,2,FALSE)</f>
        <v>#NAME?</v>
      </c>
      <c r="AA673" s="988" t="e">
        <f t="shared" ca="1" si="147"/>
        <v>#NAME?</v>
      </c>
      <c r="AB673" s="988" t="e">
        <f t="shared" ca="1" si="148"/>
        <v>#NAME?</v>
      </c>
      <c r="AC673" s="988" t="e">
        <f ca="1">VLOOKUP(AB673,sample!$1:$1048576,2,FALSE)</f>
        <v>#NAME?</v>
      </c>
      <c r="AD673" s="988" t="e">
        <f ca="1">VLOOKUP($AB673,sample!$1:$1048576,3,FALSE)</f>
        <v>#NAME?</v>
      </c>
      <c r="AE673" s="986" t="e">
        <f ca="1">VLOOKUP($AB673,sample!$1:$1048576,4,FALSE)</f>
        <v>#NAME?</v>
      </c>
      <c r="AF673" s="988" t="e">
        <f ca="1">VLOOKUP($AB673,sample!$1:$1048576,5,FALSE)</f>
        <v>#NAME?</v>
      </c>
      <c r="AN673" s="986" t="e">
        <f ca="1">VLOOKUP($AB673,sample!$1:$1048576,13,FALSE)</f>
        <v>#NAME?</v>
      </c>
      <c r="AP673" s="988"/>
    </row>
    <row r="674" spans="1:42">
      <c r="A674" s="911"/>
      <c r="D674" s="1133" t="str">
        <f>IFERROR(VLOOKUP(G674,PosAggregate!$B$13:$B$89,1,FALSE),"")</f>
        <v/>
      </c>
      <c r="E674" s="1013" t="e">
        <f ca="1">_xll.BDP(G674  &amp; " Equity", "ID_ISIN", "Fill", "")</f>
        <v>#NAME?</v>
      </c>
      <c r="F674" s="1106" t="str">
        <f t="shared" si="145"/>
        <v>YES</v>
      </c>
      <c r="I674" s="1007" t="e">
        <f ca="1">_xll.BDP(E674 &amp; " Equity","SECURITY_NAME")</f>
        <v>#NAME?</v>
      </c>
      <c r="J674" s="1007" t="e">
        <f ca="1">_xll.BDP(G674 &amp; " Equity","Crncy")</f>
        <v>#NAME?</v>
      </c>
      <c r="K674" s="1108"/>
      <c r="M674" s="1108"/>
      <c r="N674" s="985">
        <f t="shared" si="146"/>
        <v>0</v>
      </c>
      <c r="O674" s="817"/>
      <c r="R674" s="982">
        <f t="shared" si="143"/>
        <v>0</v>
      </c>
      <c r="S674" s="1108"/>
      <c r="T674" s="998" t="e">
        <f t="shared" si="144"/>
        <v>#DIV/0!</v>
      </c>
      <c r="U674" s="584"/>
      <c r="X674" s="971" t="e">
        <f t="shared" si="149"/>
        <v>#DIV/0!</v>
      </c>
      <c r="Y674" s="584" t="s">
        <v>1693</v>
      </c>
      <c r="Z674" s="988" t="e">
        <f ca="1">VLOOKUP(AA674,'place of settlement'!A:C,2,FALSE)</f>
        <v>#NAME?</v>
      </c>
      <c r="AA674" s="988" t="e">
        <f t="shared" ca="1" si="147"/>
        <v>#NAME?</v>
      </c>
      <c r="AB674" s="988" t="e">
        <f t="shared" ca="1" si="148"/>
        <v>#NAME?</v>
      </c>
      <c r="AC674" s="988" t="e">
        <f ca="1">VLOOKUP(AB674,sample!$1:$1048576,2,FALSE)</f>
        <v>#NAME?</v>
      </c>
      <c r="AD674" s="988" t="e">
        <f ca="1">VLOOKUP($AB674,sample!$1:$1048576,3,FALSE)</f>
        <v>#NAME?</v>
      </c>
      <c r="AE674" s="986" t="e">
        <f ca="1">VLOOKUP($AB674,sample!$1:$1048576,4,FALSE)</f>
        <v>#NAME?</v>
      </c>
      <c r="AF674" s="988" t="e">
        <f ca="1">VLOOKUP($AB674,sample!$1:$1048576,5,FALSE)</f>
        <v>#NAME?</v>
      </c>
      <c r="AN674" s="986" t="e">
        <f ca="1">VLOOKUP($AB674,sample!$1:$1048576,13,FALSE)</f>
        <v>#NAME?</v>
      </c>
      <c r="AP674" s="988"/>
    </row>
    <row r="675" spans="1:42">
      <c r="A675" s="911"/>
      <c r="D675" s="1133" t="str">
        <f>IFERROR(VLOOKUP(G675,PosAggregate!$B$13:$B$89,1,FALSE),"")</f>
        <v/>
      </c>
      <c r="E675" s="1013" t="e">
        <f ca="1">_xll.BDP(G675  &amp; " Equity", "ID_ISIN", "Fill", "")</f>
        <v>#NAME?</v>
      </c>
      <c r="F675" s="1106" t="str">
        <f t="shared" si="145"/>
        <v>YES</v>
      </c>
      <c r="I675" s="1007" t="e">
        <f ca="1">_xll.BDP(E675 &amp; " Equity","SECURITY_NAME")</f>
        <v>#NAME?</v>
      </c>
      <c r="J675" s="1007" t="e">
        <f ca="1">_xll.BDP(G675 &amp; " Equity","Crncy")</f>
        <v>#NAME?</v>
      </c>
      <c r="K675" s="1108"/>
      <c r="M675" s="1108"/>
      <c r="N675" s="985">
        <f t="shared" si="146"/>
        <v>0</v>
      </c>
      <c r="O675" s="817"/>
      <c r="R675" s="982">
        <f t="shared" ref="R675:R709" si="150">SUM(N675:Q675)</f>
        <v>0</v>
      </c>
      <c r="S675" s="1108"/>
      <c r="T675" s="998" t="e">
        <f t="shared" si="144"/>
        <v>#DIV/0!</v>
      </c>
      <c r="U675" s="584"/>
      <c r="X675" s="971" t="e">
        <f t="shared" si="149"/>
        <v>#DIV/0!</v>
      </c>
      <c r="Y675" s="584" t="s">
        <v>1693</v>
      </c>
      <c r="Z675" s="988" t="e">
        <f ca="1">VLOOKUP(AA675,'place of settlement'!A:C,2,FALSE)</f>
        <v>#NAME?</v>
      </c>
      <c r="AA675" s="988" t="e">
        <f t="shared" ca="1" si="147"/>
        <v>#NAME?</v>
      </c>
      <c r="AB675" s="988" t="e">
        <f t="shared" ca="1" si="148"/>
        <v>#NAME?</v>
      </c>
      <c r="AC675" s="988" t="e">
        <f ca="1">VLOOKUP(AB675,sample!$1:$1048576,2,FALSE)</f>
        <v>#NAME?</v>
      </c>
      <c r="AD675" s="988" t="e">
        <f ca="1">VLOOKUP($AB675,sample!$1:$1048576,3,FALSE)</f>
        <v>#NAME?</v>
      </c>
      <c r="AE675" s="986" t="e">
        <f ca="1">VLOOKUP($AB675,sample!$1:$1048576,4,FALSE)</f>
        <v>#NAME?</v>
      </c>
      <c r="AF675" s="988" t="e">
        <f ca="1">VLOOKUP($AB675,sample!$1:$1048576,5,FALSE)</f>
        <v>#NAME?</v>
      </c>
      <c r="AN675" s="986" t="e">
        <f ca="1">VLOOKUP($AB675,sample!$1:$1048576,13,FALSE)</f>
        <v>#NAME?</v>
      </c>
      <c r="AP675" s="988"/>
    </row>
    <row r="676" spans="1:42">
      <c r="A676" s="911"/>
      <c r="D676" s="1133" t="str">
        <f>IFERROR(VLOOKUP(G676,PosAggregate!$B$13:$B$89,1,FALSE),"")</f>
        <v/>
      </c>
      <c r="E676" s="1013" t="e">
        <f ca="1">_xll.BDP(G676  &amp; " Equity", "ID_ISIN", "Fill", "")</f>
        <v>#NAME?</v>
      </c>
      <c r="F676" s="1106" t="str">
        <f t="shared" si="145"/>
        <v>YES</v>
      </c>
      <c r="I676" s="1007" t="e">
        <f ca="1">_xll.BDP(E676 &amp; " Equity","SECURITY_NAME")</f>
        <v>#NAME?</v>
      </c>
      <c r="J676" s="1007" t="e">
        <f ca="1">_xll.BDP(G676 &amp; " Equity","Crncy")</f>
        <v>#NAME?</v>
      </c>
      <c r="K676" s="1108"/>
      <c r="M676" s="1108"/>
      <c r="N676" s="985">
        <f t="shared" si="146"/>
        <v>0</v>
      </c>
      <c r="O676" s="817"/>
      <c r="R676" s="982">
        <f t="shared" si="150"/>
        <v>0</v>
      </c>
      <c r="S676" s="1108"/>
      <c r="T676" s="998" t="e">
        <f t="shared" si="144"/>
        <v>#DIV/0!</v>
      </c>
      <c r="U676" s="584"/>
      <c r="X676" s="971" t="e">
        <f t="shared" si="149"/>
        <v>#DIV/0!</v>
      </c>
      <c r="Y676" s="584" t="s">
        <v>1693</v>
      </c>
      <c r="Z676" s="988" t="e">
        <f ca="1">VLOOKUP(AA676,'place of settlement'!A:C,2,FALSE)</f>
        <v>#NAME?</v>
      </c>
      <c r="AA676" s="988" t="e">
        <f t="shared" ca="1" si="147"/>
        <v>#NAME?</v>
      </c>
      <c r="AB676" s="988" t="e">
        <f t="shared" ca="1" si="148"/>
        <v>#NAME?</v>
      </c>
      <c r="AC676" s="988" t="e">
        <f ca="1">VLOOKUP(AB676,sample!$1:$1048576,2,FALSE)</f>
        <v>#NAME?</v>
      </c>
      <c r="AD676" s="988" t="e">
        <f ca="1">VLOOKUP($AB676,sample!$1:$1048576,3,FALSE)</f>
        <v>#NAME?</v>
      </c>
      <c r="AE676" s="986" t="e">
        <f ca="1">VLOOKUP($AB676,sample!$1:$1048576,4,FALSE)</f>
        <v>#NAME?</v>
      </c>
      <c r="AF676" s="988" t="e">
        <f ca="1">VLOOKUP($AB676,sample!$1:$1048576,5,FALSE)</f>
        <v>#NAME?</v>
      </c>
      <c r="AN676" s="986" t="e">
        <f ca="1">VLOOKUP($AB676,sample!$1:$1048576,13,FALSE)</f>
        <v>#NAME?</v>
      </c>
      <c r="AP676" s="988"/>
    </row>
    <row r="677" spans="1:42">
      <c r="A677" s="911"/>
      <c r="D677" s="1133" t="str">
        <f>IFERROR(VLOOKUP(G677,PosAggregate!$B$13:$B$89,1,FALSE),"")</f>
        <v/>
      </c>
      <c r="E677" s="1013" t="e">
        <f ca="1">_xll.BDP(G677  &amp; " Equity", "ID_ISIN", "Fill", "")</f>
        <v>#NAME?</v>
      </c>
      <c r="F677" s="1106" t="str">
        <f t="shared" si="145"/>
        <v>YES</v>
      </c>
      <c r="I677" s="1007" t="e">
        <f ca="1">_xll.BDP(E677 &amp; " Equity","SECURITY_NAME")</f>
        <v>#NAME?</v>
      </c>
      <c r="J677" s="1007" t="e">
        <f ca="1">_xll.BDP(G677 &amp; " Equity","Crncy")</f>
        <v>#NAME?</v>
      </c>
      <c r="K677" s="1108"/>
      <c r="M677" s="1108"/>
      <c r="N677" s="985">
        <f t="shared" si="146"/>
        <v>0</v>
      </c>
      <c r="O677" s="817"/>
      <c r="R677" s="982">
        <f t="shared" si="150"/>
        <v>0</v>
      </c>
      <c r="S677" s="1108"/>
      <c r="T677" s="998" t="e">
        <f t="shared" si="144"/>
        <v>#DIV/0!</v>
      </c>
      <c r="U677" s="584"/>
      <c r="X677" s="971" t="e">
        <f t="shared" si="149"/>
        <v>#DIV/0!</v>
      </c>
      <c r="Y677" s="584" t="s">
        <v>1693</v>
      </c>
      <c r="Z677" s="988" t="e">
        <f ca="1">VLOOKUP(AA677,'place of settlement'!A:C,2,FALSE)</f>
        <v>#NAME?</v>
      </c>
      <c r="AA677" s="988" t="e">
        <f t="shared" ca="1" si="147"/>
        <v>#NAME?</v>
      </c>
      <c r="AB677" s="988" t="e">
        <f t="shared" ca="1" si="148"/>
        <v>#NAME?</v>
      </c>
      <c r="AC677" s="988" t="e">
        <f ca="1">VLOOKUP(AB677,sample!$1:$1048576,2,FALSE)</f>
        <v>#NAME?</v>
      </c>
      <c r="AD677" s="988" t="e">
        <f ca="1">VLOOKUP($AB677,sample!$1:$1048576,3,FALSE)</f>
        <v>#NAME?</v>
      </c>
      <c r="AE677" s="986" t="e">
        <f ca="1">VLOOKUP($AB677,sample!$1:$1048576,4,FALSE)</f>
        <v>#NAME?</v>
      </c>
      <c r="AF677" s="988" t="e">
        <f ca="1">VLOOKUP($AB677,sample!$1:$1048576,5,FALSE)</f>
        <v>#NAME?</v>
      </c>
      <c r="AN677" s="986" t="e">
        <f ca="1">VLOOKUP($AB677,sample!$1:$1048576,13,FALSE)</f>
        <v>#NAME?</v>
      </c>
      <c r="AP677" s="988"/>
    </row>
    <row r="678" spans="1:42">
      <c r="A678" s="911"/>
      <c r="D678" s="1133" t="str">
        <f>IFERROR(VLOOKUP(G678,PosAggregate!$B$13:$B$89,1,FALSE),"")</f>
        <v/>
      </c>
      <c r="E678" s="1013" t="e">
        <f ca="1">_xll.BDP(G678  &amp; " Equity", "ID_ISIN", "Fill", "")</f>
        <v>#NAME?</v>
      </c>
      <c r="F678" s="1106" t="str">
        <f t="shared" si="145"/>
        <v>YES</v>
      </c>
      <c r="I678" s="1007" t="e">
        <f ca="1">_xll.BDP(E678 &amp; " Equity","SECURITY_NAME")</f>
        <v>#NAME?</v>
      </c>
      <c r="J678" s="1007" t="e">
        <f ca="1">_xll.BDP(G678 &amp; " Equity","Crncy")</f>
        <v>#NAME?</v>
      </c>
      <c r="K678" s="1108"/>
      <c r="M678" s="1108"/>
      <c r="N678" s="985">
        <f t="shared" si="146"/>
        <v>0</v>
      </c>
      <c r="O678" s="817"/>
      <c r="R678" s="982">
        <f t="shared" si="150"/>
        <v>0</v>
      </c>
      <c r="S678" s="1108"/>
      <c r="T678" s="998" t="e">
        <f t="shared" si="144"/>
        <v>#DIV/0!</v>
      </c>
      <c r="U678" s="584"/>
      <c r="X678" s="971" t="e">
        <f t="shared" si="149"/>
        <v>#DIV/0!</v>
      </c>
      <c r="Y678" s="584" t="s">
        <v>1693</v>
      </c>
      <c r="Z678" s="988" t="e">
        <f ca="1">VLOOKUP(AA678,'place of settlement'!A:C,2,FALSE)</f>
        <v>#NAME?</v>
      </c>
      <c r="AA678" s="988" t="e">
        <f t="shared" ca="1" si="147"/>
        <v>#NAME?</v>
      </c>
      <c r="AB678" s="988" t="e">
        <f t="shared" ca="1" si="148"/>
        <v>#NAME?</v>
      </c>
      <c r="AC678" s="988" t="e">
        <f ca="1">VLOOKUP(AB678,sample!$1:$1048576,2,FALSE)</f>
        <v>#NAME?</v>
      </c>
      <c r="AD678" s="988" t="e">
        <f ca="1">VLOOKUP($AB678,sample!$1:$1048576,3,FALSE)</f>
        <v>#NAME?</v>
      </c>
      <c r="AE678" s="986" t="e">
        <f ca="1">VLOOKUP($AB678,sample!$1:$1048576,4,FALSE)</f>
        <v>#NAME?</v>
      </c>
      <c r="AF678" s="988" t="e">
        <f ca="1">VLOOKUP($AB678,sample!$1:$1048576,5,FALSE)</f>
        <v>#NAME?</v>
      </c>
      <c r="AN678" s="986" t="e">
        <f ca="1">VLOOKUP($AB678,sample!$1:$1048576,13,FALSE)</f>
        <v>#NAME?</v>
      </c>
      <c r="AP678" s="988"/>
    </row>
    <row r="679" spans="1:42">
      <c r="A679" s="911"/>
      <c r="D679" s="1133" t="str">
        <f>IFERROR(VLOOKUP(G679,PosAggregate!$B$13:$B$89,1,FALSE),"")</f>
        <v/>
      </c>
      <c r="E679" s="1013" t="e">
        <f ca="1">_xll.BDP(G679  &amp; " Equity", "ID_ISIN", "Fill", "")</f>
        <v>#NAME?</v>
      </c>
      <c r="F679" s="1106" t="str">
        <f t="shared" si="145"/>
        <v>YES</v>
      </c>
      <c r="I679" s="1007" t="e">
        <f ca="1">_xll.BDP(E679 &amp; " Equity","SECURITY_NAME")</f>
        <v>#NAME?</v>
      </c>
      <c r="J679" s="1007" t="e">
        <f ca="1">_xll.BDP(G679 &amp; " Equity","Crncy")</f>
        <v>#NAME?</v>
      </c>
      <c r="K679" s="1108"/>
      <c r="M679" s="1108"/>
      <c r="N679" s="985">
        <f t="shared" si="146"/>
        <v>0</v>
      </c>
      <c r="O679" s="817"/>
      <c r="R679" s="982">
        <f t="shared" si="150"/>
        <v>0</v>
      </c>
      <c r="S679" s="1108"/>
      <c r="T679" s="998" t="e">
        <f t="shared" si="144"/>
        <v>#DIV/0!</v>
      </c>
      <c r="U679" s="584"/>
      <c r="X679" s="971" t="e">
        <f t="shared" si="149"/>
        <v>#DIV/0!</v>
      </c>
      <c r="Y679" s="584" t="s">
        <v>1693</v>
      </c>
      <c r="Z679" s="988" t="e">
        <f ca="1">VLOOKUP(AA679,'place of settlement'!A:C,2,FALSE)</f>
        <v>#NAME?</v>
      </c>
      <c r="AA679" s="988" t="e">
        <f t="shared" ca="1" si="147"/>
        <v>#NAME?</v>
      </c>
      <c r="AB679" s="988" t="e">
        <f t="shared" ca="1" si="148"/>
        <v>#NAME?</v>
      </c>
      <c r="AC679" s="988" t="e">
        <f ca="1">VLOOKUP(AB679,sample!$1:$1048576,2,FALSE)</f>
        <v>#NAME?</v>
      </c>
      <c r="AD679" s="988" t="e">
        <f ca="1">VLOOKUP($AB679,sample!$1:$1048576,3,FALSE)</f>
        <v>#NAME?</v>
      </c>
      <c r="AE679" s="986" t="e">
        <f ca="1">VLOOKUP($AB679,sample!$1:$1048576,4,FALSE)</f>
        <v>#NAME?</v>
      </c>
      <c r="AF679" s="988" t="e">
        <f ca="1">VLOOKUP($AB679,sample!$1:$1048576,5,FALSE)</f>
        <v>#NAME?</v>
      </c>
      <c r="AN679" s="986" t="e">
        <f ca="1">VLOOKUP($AB679,sample!$1:$1048576,13,FALSE)</f>
        <v>#NAME?</v>
      </c>
      <c r="AP679" s="988"/>
    </row>
    <row r="680" spans="1:42">
      <c r="A680" s="911"/>
      <c r="D680" s="1133" t="str">
        <f>IFERROR(VLOOKUP(G680,PosAggregate!$B$13:$B$89,1,FALSE),"")</f>
        <v/>
      </c>
      <c r="E680" s="1013" t="e">
        <f ca="1">_xll.BDP(G680  &amp; " Equity", "ID_ISIN", "Fill", "")</f>
        <v>#NAME?</v>
      </c>
      <c r="F680" s="1106" t="str">
        <f t="shared" si="145"/>
        <v>YES</v>
      </c>
      <c r="I680" s="1007" t="e">
        <f ca="1">_xll.BDP(E680 &amp; " Equity","SECURITY_NAME")</f>
        <v>#NAME?</v>
      </c>
      <c r="J680" s="1007" t="e">
        <f ca="1">_xll.BDP(G680 &amp; " Equity","Crncy")</f>
        <v>#NAME?</v>
      </c>
      <c r="K680" s="1108"/>
      <c r="M680" s="1108"/>
      <c r="N680" s="985">
        <f t="shared" si="146"/>
        <v>0</v>
      </c>
      <c r="O680" s="817"/>
      <c r="R680" s="982">
        <f t="shared" si="150"/>
        <v>0</v>
      </c>
      <c r="S680" s="1108"/>
      <c r="T680" s="998" t="e">
        <f t="shared" si="144"/>
        <v>#DIV/0!</v>
      </c>
      <c r="U680" s="584"/>
      <c r="X680" s="971" t="e">
        <f t="shared" si="149"/>
        <v>#DIV/0!</v>
      </c>
      <c r="Y680" s="584" t="s">
        <v>1693</v>
      </c>
      <c r="Z680" s="988" t="e">
        <f ca="1">VLOOKUP(AA680,'place of settlement'!A:C,2,FALSE)</f>
        <v>#NAME?</v>
      </c>
      <c r="AA680" s="988" t="e">
        <f t="shared" ca="1" si="147"/>
        <v>#NAME?</v>
      </c>
      <c r="AB680" s="988" t="e">
        <f t="shared" ca="1" si="148"/>
        <v>#NAME?</v>
      </c>
      <c r="AC680" s="988" t="e">
        <f ca="1">VLOOKUP(AB680,sample!$1:$1048576,2,FALSE)</f>
        <v>#NAME?</v>
      </c>
      <c r="AD680" s="988" t="e">
        <f ca="1">VLOOKUP($AB680,sample!$1:$1048576,3,FALSE)</f>
        <v>#NAME?</v>
      </c>
      <c r="AE680" s="986" t="e">
        <f ca="1">VLOOKUP($AB680,sample!$1:$1048576,4,FALSE)</f>
        <v>#NAME?</v>
      </c>
      <c r="AF680" s="988" t="e">
        <f ca="1">VLOOKUP($AB680,sample!$1:$1048576,5,FALSE)</f>
        <v>#NAME?</v>
      </c>
      <c r="AN680" s="986" t="e">
        <f ca="1">VLOOKUP($AB680,sample!$1:$1048576,13,FALSE)</f>
        <v>#NAME?</v>
      </c>
      <c r="AP680" s="988"/>
    </row>
    <row r="681" spans="1:42">
      <c r="A681" s="911"/>
      <c r="D681" s="1133" t="str">
        <f>IFERROR(VLOOKUP(G681,PosAggregate!$B$13:$B$89,1,FALSE),"")</f>
        <v/>
      </c>
      <c r="E681" s="1013" t="e">
        <f ca="1">_xll.BDP(G681  &amp; " Equity", "ID_ISIN", "Fill", "")</f>
        <v>#NAME?</v>
      </c>
      <c r="F681" s="1106" t="str">
        <f t="shared" si="145"/>
        <v>YES</v>
      </c>
      <c r="I681" s="1007" t="e">
        <f ca="1">_xll.BDP(E681 &amp; " Equity","SECURITY_NAME")</f>
        <v>#NAME?</v>
      </c>
      <c r="J681" s="1007" t="e">
        <f ca="1">_xll.BDP(G681 &amp; " Equity","Crncy")</f>
        <v>#NAME?</v>
      </c>
      <c r="K681" s="1108"/>
      <c r="M681" s="1108"/>
      <c r="N681" s="985">
        <f t="shared" si="146"/>
        <v>0</v>
      </c>
      <c r="O681" s="817"/>
      <c r="R681" s="982">
        <f t="shared" si="150"/>
        <v>0</v>
      </c>
      <c r="S681" s="1108"/>
      <c r="T681" s="998" t="e">
        <f t="shared" si="144"/>
        <v>#DIV/0!</v>
      </c>
      <c r="U681" s="584"/>
      <c r="X681" s="971" t="e">
        <f t="shared" si="149"/>
        <v>#DIV/0!</v>
      </c>
      <c r="Y681" s="584" t="s">
        <v>1693</v>
      </c>
      <c r="Z681" s="988" t="e">
        <f ca="1">VLOOKUP(AA681,'place of settlement'!A:C,2,FALSE)</f>
        <v>#NAME?</v>
      </c>
      <c r="AA681" s="988" t="e">
        <f t="shared" ca="1" si="147"/>
        <v>#NAME?</v>
      </c>
      <c r="AB681" s="988" t="e">
        <f t="shared" ca="1" si="148"/>
        <v>#NAME?</v>
      </c>
      <c r="AC681" s="988" t="e">
        <f ca="1">VLOOKUP(AB681,sample!$1:$1048576,2,FALSE)</f>
        <v>#NAME?</v>
      </c>
      <c r="AD681" s="988" t="e">
        <f ca="1">VLOOKUP($AB681,sample!$1:$1048576,3,FALSE)</f>
        <v>#NAME?</v>
      </c>
      <c r="AE681" s="986" t="e">
        <f ca="1">VLOOKUP($AB681,sample!$1:$1048576,4,FALSE)</f>
        <v>#NAME?</v>
      </c>
      <c r="AF681" s="988" t="e">
        <f ca="1">VLOOKUP($AB681,sample!$1:$1048576,5,FALSE)</f>
        <v>#NAME?</v>
      </c>
      <c r="AN681" s="986" t="e">
        <f ca="1">VLOOKUP($AB681,sample!$1:$1048576,13,FALSE)</f>
        <v>#NAME?</v>
      </c>
      <c r="AP681" s="988"/>
    </row>
    <row r="682" spans="1:42">
      <c r="A682" s="911"/>
      <c r="D682" s="1133" t="str">
        <f>IFERROR(VLOOKUP(G682,PosAggregate!$B$13:$B$89,1,FALSE),"")</f>
        <v/>
      </c>
      <c r="E682" s="1013" t="e">
        <f ca="1">_xll.BDP(G682  &amp; " Equity", "ID_ISIN", "Fill", "")</f>
        <v>#NAME?</v>
      </c>
      <c r="F682" s="1106" t="str">
        <f t="shared" si="145"/>
        <v>YES</v>
      </c>
      <c r="I682" s="1007" t="e">
        <f ca="1">_xll.BDP(E682 &amp; " Equity","SECURITY_NAME")</f>
        <v>#NAME?</v>
      </c>
      <c r="J682" s="1007" t="e">
        <f ca="1">_xll.BDP(G682 &amp; " Equity","Crncy")</f>
        <v>#NAME?</v>
      </c>
      <c r="K682" s="1108"/>
      <c r="M682" s="1108"/>
      <c r="N682" s="985">
        <f t="shared" si="146"/>
        <v>0</v>
      </c>
      <c r="O682" s="817"/>
      <c r="R682" s="982">
        <f t="shared" si="150"/>
        <v>0</v>
      </c>
      <c r="S682" s="1108"/>
      <c r="T682" s="998" t="e">
        <f t="shared" si="144"/>
        <v>#DIV/0!</v>
      </c>
      <c r="U682" s="584"/>
      <c r="X682" s="971" t="e">
        <f t="shared" si="149"/>
        <v>#DIV/0!</v>
      </c>
      <c r="Y682" s="584" t="s">
        <v>1693</v>
      </c>
      <c r="Z682" s="988" t="e">
        <f ca="1">VLOOKUP(AA682,'place of settlement'!A:C,2,FALSE)</f>
        <v>#NAME?</v>
      </c>
      <c r="AA682" s="988" t="e">
        <f t="shared" ca="1" si="147"/>
        <v>#NAME?</v>
      </c>
      <c r="AB682" s="988" t="e">
        <f t="shared" ca="1" si="148"/>
        <v>#NAME?</v>
      </c>
      <c r="AC682" s="988" t="e">
        <f ca="1">VLOOKUP(AB682,sample!$1:$1048576,2,FALSE)</f>
        <v>#NAME?</v>
      </c>
      <c r="AD682" s="988" t="e">
        <f ca="1">VLOOKUP($AB682,sample!$1:$1048576,3,FALSE)</f>
        <v>#NAME?</v>
      </c>
      <c r="AE682" s="986" t="e">
        <f ca="1">VLOOKUP($AB682,sample!$1:$1048576,4,FALSE)</f>
        <v>#NAME?</v>
      </c>
      <c r="AF682" s="988" t="e">
        <f ca="1">VLOOKUP($AB682,sample!$1:$1048576,5,FALSE)</f>
        <v>#NAME?</v>
      </c>
      <c r="AN682" s="986" t="e">
        <f ca="1">VLOOKUP($AB682,sample!$1:$1048576,13,FALSE)</f>
        <v>#NAME?</v>
      </c>
      <c r="AP682" s="988"/>
    </row>
    <row r="683" spans="1:42">
      <c r="A683" s="911"/>
      <c r="D683" s="1133" t="str">
        <f>IFERROR(VLOOKUP(G683,PosAggregate!$B$13:$B$89,1,FALSE),"")</f>
        <v/>
      </c>
      <c r="E683" s="1013" t="e">
        <f ca="1">_xll.BDP(G683  &amp; " Equity", "ID_ISIN", "Fill", "")</f>
        <v>#NAME?</v>
      </c>
      <c r="F683" s="1106" t="str">
        <f t="shared" si="145"/>
        <v>YES</v>
      </c>
      <c r="I683" s="1007" t="e">
        <f ca="1">_xll.BDP(E683 &amp; " Equity","SECURITY_NAME")</f>
        <v>#NAME?</v>
      </c>
      <c r="J683" s="1007" t="e">
        <f ca="1">_xll.BDP(G683 &amp; " Equity","Crncy")</f>
        <v>#NAME?</v>
      </c>
      <c r="K683" s="1108"/>
      <c r="M683" s="1108"/>
      <c r="N683" s="985">
        <f t="shared" si="146"/>
        <v>0</v>
      </c>
      <c r="O683" s="817"/>
      <c r="R683" s="982">
        <f t="shared" si="150"/>
        <v>0</v>
      </c>
      <c r="S683" s="1108"/>
      <c r="T683" s="998" t="e">
        <f t="shared" si="144"/>
        <v>#DIV/0!</v>
      </c>
      <c r="U683" s="584"/>
      <c r="X683" s="971" t="e">
        <f t="shared" si="149"/>
        <v>#DIV/0!</v>
      </c>
      <c r="Y683" s="584" t="s">
        <v>1693</v>
      </c>
      <c r="Z683" s="988" t="e">
        <f ca="1">VLOOKUP(AA683,'place of settlement'!A:C,2,FALSE)</f>
        <v>#NAME?</v>
      </c>
      <c r="AA683" s="988" t="e">
        <f t="shared" ca="1" si="147"/>
        <v>#NAME?</v>
      </c>
      <c r="AB683" s="988" t="e">
        <f t="shared" ca="1" si="148"/>
        <v>#NAME?</v>
      </c>
      <c r="AC683" s="988" t="e">
        <f ca="1">VLOOKUP(AB683,sample!$1:$1048576,2,FALSE)</f>
        <v>#NAME?</v>
      </c>
      <c r="AD683" s="988" t="e">
        <f ca="1">VLOOKUP($AB683,sample!$1:$1048576,3,FALSE)</f>
        <v>#NAME?</v>
      </c>
      <c r="AE683" s="986" t="e">
        <f ca="1">VLOOKUP($AB683,sample!$1:$1048576,4,FALSE)</f>
        <v>#NAME?</v>
      </c>
      <c r="AF683" s="988" t="e">
        <f ca="1">VLOOKUP($AB683,sample!$1:$1048576,5,FALSE)</f>
        <v>#NAME?</v>
      </c>
      <c r="AN683" s="986" t="e">
        <f ca="1">VLOOKUP($AB683,sample!$1:$1048576,13,FALSE)</f>
        <v>#NAME?</v>
      </c>
      <c r="AP683" s="988"/>
    </row>
    <row r="684" spans="1:42">
      <c r="D684" s="1133" t="str">
        <f>IFERROR(VLOOKUP(G684,PosAggregate!$B$13:$B$89,1,FALSE),"")</f>
        <v/>
      </c>
      <c r="E684" s="1013" t="e">
        <f ca="1">_xll.BDP(G684  &amp; " Equity", "ID_ISIN", "Fill", "")</f>
        <v>#NAME?</v>
      </c>
      <c r="F684" s="1106" t="str">
        <f t="shared" si="145"/>
        <v>YES</v>
      </c>
      <c r="I684" s="1007" t="e">
        <f ca="1">_xll.BDP(E684 &amp; " Equity","SECURITY_NAME")</f>
        <v>#NAME?</v>
      </c>
      <c r="J684" s="1007" t="e">
        <f ca="1">_xll.BDP(G684 &amp; " Equity","Crncy")</f>
        <v>#NAME?</v>
      </c>
      <c r="N684" s="985">
        <f t="shared" si="146"/>
        <v>0</v>
      </c>
      <c r="R684" s="982">
        <f t="shared" si="150"/>
        <v>0</v>
      </c>
      <c r="T684" s="998" t="e">
        <f t="shared" si="144"/>
        <v>#DIV/0!</v>
      </c>
      <c r="X684" s="971" t="e">
        <f t="shared" si="149"/>
        <v>#DIV/0!</v>
      </c>
      <c r="Y684" s="584" t="s">
        <v>1693</v>
      </c>
      <c r="Z684" s="988" t="e">
        <f ca="1">VLOOKUP(AA684,'place of settlement'!A:C,2,FALSE)</f>
        <v>#NAME?</v>
      </c>
      <c r="AA684" s="988" t="e">
        <f t="shared" ca="1" si="147"/>
        <v>#NAME?</v>
      </c>
      <c r="AB684" s="988" t="e">
        <f t="shared" ca="1" si="148"/>
        <v>#NAME?</v>
      </c>
      <c r="AC684" s="988" t="e">
        <f ca="1">VLOOKUP(AB684,sample!$1:$1048576,2,FALSE)</f>
        <v>#NAME?</v>
      </c>
      <c r="AD684" s="988" t="e">
        <f ca="1">VLOOKUP($AB684,sample!$1:$1048576,3,FALSE)</f>
        <v>#NAME?</v>
      </c>
      <c r="AE684" s="986" t="e">
        <f ca="1">VLOOKUP($AB684,sample!$1:$1048576,4,FALSE)</f>
        <v>#NAME?</v>
      </c>
      <c r="AF684" s="988" t="e">
        <f ca="1">VLOOKUP($AB684,sample!$1:$1048576,5,FALSE)</f>
        <v>#NAME?</v>
      </c>
      <c r="AN684" s="986" t="e">
        <f ca="1">VLOOKUP($AB684,sample!$1:$1048576,13,FALSE)</f>
        <v>#NAME?</v>
      </c>
      <c r="AP684" s="988"/>
    </row>
    <row r="685" spans="1:42">
      <c r="D685" s="1133" t="str">
        <f>IFERROR(VLOOKUP(G685,PosAggregate!$B$13:$B$89,1,FALSE),"")</f>
        <v/>
      </c>
      <c r="E685" s="1013" t="e">
        <f ca="1">_xll.BDP(G685  &amp; " Equity", "ID_ISIN", "Fill", "")</f>
        <v>#NAME?</v>
      </c>
      <c r="F685" s="1106" t="str">
        <f t="shared" si="145"/>
        <v>YES</v>
      </c>
      <c r="I685" s="1007" t="e">
        <f ca="1">_xll.BDP(E685 &amp; " Equity","SECURITY_NAME")</f>
        <v>#NAME?</v>
      </c>
      <c r="J685" s="1007" t="e">
        <f ca="1">_xll.BDP(G685 &amp; " Equity","Crncy")</f>
        <v>#NAME?</v>
      </c>
      <c r="N685" s="985">
        <f t="shared" si="146"/>
        <v>0</v>
      </c>
      <c r="R685" s="982">
        <f t="shared" si="150"/>
        <v>0</v>
      </c>
      <c r="T685" s="998" t="e">
        <f t="shared" si="144"/>
        <v>#DIV/0!</v>
      </c>
      <c r="X685" s="971" t="e">
        <f t="shared" si="149"/>
        <v>#DIV/0!</v>
      </c>
      <c r="Y685" s="584" t="s">
        <v>1693</v>
      </c>
      <c r="Z685" s="988" t="e">
        <f ca="1">VLOOKUP(AA685,'place of settlement'!A:C,2,FALSE)</f>
        <v>#NAME?</v>
      </c>
      <c r="AA685" s="988" t="e">
        <f t="shared" ca="1" si="147"/>
        <v>#NAME?</v>
      </c>
      <c r="AB685" s="988" t="e">
        <f t="shared" ca="1" si="148"/>
        <v>#NAME?</v>
      </c>
      <c r="AC685" s="988" t="e">
        <f ca="1">VLOOKUP(AB685,sample!$1:$1048576,2,FALSE)</f>
        <v>#NAME?</v>
      </c>
      <c r="AD685" s="988" t="e">
        <f ca="1">VLOOKUP($AB685,sample!$1:$1048576,3,FALSE)</f>
        <v>#NAME?</v>
      </c>
      <c r="AE685" s="986" t="e">
        <f ca="1">VLOOKUP($AB685,sample!$1:$1048576,4,FALSE)</f>
        <v>#NAME?</v>
      </c>
      <c r="AF685" s="988" t="e">
        <f ca="1">VLOOKUP($AB685,sample!$1:$1048576,5,FALSE)</f>
        <v>#NAME?</v>
      </c>
      <c r="AN685" s="986" t="e">
        <f ca="1">VLOOKUP($AB685,sample!$1:$1048576,13,FALSE)</f>
        <v>#NAME?</v>
      </c>
      <c r="AP685" s="988"/>
    </row>
    <row r="686" spans="1:42">
      <c r="D686" s="1133" t="str">
        <f>IFERROR(VLOOKUP(G686,PosAggregate!$B$13:$B$89,1,FALSE),"")</f>
        <v/>
      </c>
      <c r="E686" s="1013" t="e">
        <f ca="1">_xll.BDP(G686  &amp; " Equity", "ID_ISIN", "Fill", "")</f>
        <v>#NAME?</v>
      </c>
      <c r="F686" s="1106" t="str">
        <f t="shared" si="145"/>
        <v>YES</v>
      </c>
      <c r="I686" s="1007" t="e">
        <f ca="1">_xll.BDP(E686 &amp; " Equity","SECURITY_NAME")</f>
        <v>#NAME?</v>
      </c>
      <c r="J686" s="1007" t="e">
        <f ca="1">_xll.BDP(G686 &amp; " Equity","Crncy")</f>
        <v>#NAME?</v>
      </c>
      <c r="N686" s="985">
        <f t="shared" si="146"/>
        <v>0</v>
      </c>
      <c r="R686" s="982">
        <f t="shared" si="150"/>
        <v>0</v>
      </c>
      <c r="T686" s="998" t="e">
        <f t="shared" si="144"/>
        <v>#DIV/0!</v>
      </c>
      <c r="X686" s="971" t="e">
        <f t="shared" si="149"/>
        <v>#DIV/0!</v>
      </c>
      <c r="Y686" s="584" t="s">
        <v>1693</v>
      </c>
      <c r="Z686" s="988" t="e">
        <f ca="1">VLOOKUP(AA686,'place of settlement'!A:C,2,FALSE)</f>
        <v>#NAME?</v>
      </c>
      <c r="AA686" s="988" t="e">
        <f t="shared" ca="1" si="147"/>
        <v>#NAME?</v>
      </c>
      <c r="AB686" s="988" t="e">
        <f t="shared" ca="1" si="148"/>
        <v>#NAME?</v>
      </c>
      <c r="AC686" s="988" t="e">
        <f ca="1">VLOOKUP(AB686,sample!$1:$1048576,2,FALSE)</f>
        <v>#NAME?</v>
      </c>
      <c r="AD686" s="988" t="e">
        <f ca="1">VLOOKUP($AB686,sample!$1:$1048576,3,FALSE)</f>
        <v>#NAME?</v>
      </c>
      <c r="AE686" s="986" t="e">
        <f ca="1">VLOOKUP($AB686,sample!$1:$1048576,4,FALSE)</f>
        <v>#NAME?</v>
      </c>
      <c r="AF686" s="988" t="e">
        <f ca="1">VLOOKUP($AB686,sample!$1:$1048576,5,FALSE)</f>
        <v>#NAME?</v>
      </c>
      <c r="AP686" s="988"/>
    </row>
    <row r="687" spans="1:42">
      <c r="D687" s="1133" t="str">
        <f>IFERROR(VLOOKUP(G687,PosAggregate!$B$13:$B$89,1,FALSE),"")</f>
        <v/>
      </c>
      <c r="E687" s="1013" t="e">
        <f ca="1">_xll.BDP(G687  &amp; " Equity", "ID_ISIN", "Fill", "")</f>
        <v>#NAME?</v>
      </c>
      <c r="F687" s="1106" t="str">
        <f t="shared" si="145"/>
        <v>YES</v>
      </c>
      <c r="I687" s="1007" t="e">
        <f ca="1">_xll.BDP(E687 &amp; " Equity","SECURITY_NAME")</f>
        <v>#NAME?</v>
      </c>
      <c r="J687" s="1007" t="e">
        <f ca="1">_xll.BDP(G687 &amp; " Equity","Crncy")</f>
        <v>#NAME?</v>
      </c>
      <c r="N687" s="985">
        <f t="shared" si="146"/>
        <v>0</v>
      </c>
      <c r="R687" s="982">
        <f t="shared" si="150"/>
        <v>0</v>
      </c>
      <c r="T687" s="998" t="e">
        <f t="shared" si="144"/>
        <v>#DIV/0!</v>
      </c>
      <c r="X687" s="971" t="e">
        <f t="shared" si="149"/>
        <v>#DIV/0!</v>
      </c>
      <c r="Y687" s="584" t="s">
        <v>1693</v>
      </c>
      <c r="Z687" s="988" t="e">
        <f ca="1">VLOOKUP(AA687,'place of settlement'!A:C,2,FALSE)</f>
        <v>#NAME?</v>
      </c>
      <c r="AA687" s="988" t="e">
        <f t="shared" ca="1" si="147"/>
        <v>#NAME?</v>
      </c>
      <c r="AB687" s="988" t="e">
        <f t="shared" ca="1" si="148"/>
        <v>#NAME?</v>
      </c>
      <c r="AC687" s="988" t="e">
        <f ca="1">VLOOKUP(AB687,sample!$1:$1048576,2,FALSE)</f>
        <v>#NAME?</v>
      </c>
      <c r="AD687" s="988" t="e">
        <f ca="1">VLOOKUP($AB687,sample!$1:$1048576,3,FALSE)</f>
        <v>#NAME?</v>
      </c>
      <c r="AE687" s="986" t="e">
        <f ca="1">VLOOKUP($AB687,sample!$1:$1048576,4,FALSE)</f>
        <v>#NAME?</v>
      </c>
      <c r="AF687" s="988" t="e">
        <f ca="1">VLOOKUP($AB687,sample!$1:$1048576,5,FALSE)</f>
        <v>#NAME?</v>
      </c>
      <c r="AP687" s="988"/>
    </row>
    <row r="688" spans="1:42">
      <c r="D688" s="1133" t="str">
        <f>IFERROR(VLOOKUP(G688,PosAggregate!$B$13:$B$89,1,FALSE),"")</f>
        <v/>
      </c>
      <c r="E688" s="1013" t="e">
        <f ca="1">_xll.BDP(G688  &amp; " Equity", "ID_ISIN", "Fill", "")</f>
        <v>#NAME?</v>
      </c>
      <c r="F688" s="1106" t="str">
        <f t="shared" si="145"/>
        <v>YES</v>
      </c>
      <c r="I688" s="1007" t="e">
        <f ca="1">_xll.BDP(E688 &amp; " Equity","SECURITY_NAME")</f>
        <v>#NAME?</v>
      </c>
      <c r="J688" s="1007" t="e">
        <f ca="1">_xll.BDP(G688 &amp; " Equity","Crncy")</f>
        <v>#NAME?</v>
      </c>
      <c r="N688" s="985">
        <f t="shared" si="146"/>
        <v>0</v>
      </c>
      <c r="R688" s="982">
        <f t="shared" si="150"/>
        <v>0</v>
      </c>
      <c r="T688" s="998" t="e">
        <f t="shared" si="144"/>
        <v>#DIV/0!</v>
      </c>
      <c r="X688" s="971" t="e">
        <f t="shared" si="149"/>
        <v>#DIV/0!</v>
      </c>
      <c r="Y688" s="584" t="s">
        <v>1693</v>
      </c>
      <c r="Z688" s="988" t="e">
        <f ca="1">VLOOKUP(AA688,'place of settlement'!A:C,2,FALSE)</f>
        <v>#NAME?</v>
      </c>
      <c r="AA688" s="988" t="e">
        <f t="shared" ca="1" si="147"/>
        <v>#NAME?</v>
      </c>
      <c r="AB688" s="988" t="e">
        <f t="shared" ca="1" si="148"/>
        <v>#NAME?</v>
      </c>
      <c r="AC688" s="988" t="e">
        <f ca="1">VLOOKUP(AB688,sample!$1:$1048576,2,FALSE)</f>
        <v>#NAME?</v>
      </c>
      <c r="AD688" s="988" t="e">
        <f ca="1">VLOOKUP($AB688,sample!$1:$1048576,3,FALSE)</f>
        <v>#NAME?</v>
      </c>
      <c r="AE688" s="986" t="e">
        <f ca="1">VLOOKUP($AB688,sample!$1:$1048576,4,FALSE)</f>
        <v>#NAME?</v>
      </c>
      <c r="AF688" s="988" t="e">
        <f ca="1">VLOOKUP($AB688,sample!$1:$1048576,5,FALSE)</f>
        <v>#NAME?</v>
      </c>
      <c r="AP688" s="988"/>
    </row>
    <row r="689" spans="4:42">
      <c r="D689" s="1133" t="str">
        <f>IFERROR(VLOOKUP(G689,PosAggregate!$B$13:$B$89,1,FALSE),"")</f>
        <v/>
      </c>
      <c r="E689" s="1013" t="e">
        <f ca="1">_xll.BDP(G689  &amp; " Equity", "ID_ISIN", "Fill", "")</f>
        <v>#NAME?</v>
      </c>
      <c r="F689" s="1106" t="str">
        <f t="shared" si="145"/>
        <v>YES</v>
      </c>
      <c r="I689" s="1007" t="e">
        <f ca="1">_xll.BDP(E689 &amp; " Equity","SECURITY_NAME")</f>
        <v>#NAME?</v>
      </c>
      <c r="J689" s="1007" t="e">
        <f ca="1">_xll.BDP(G689 &amp; " Equity","Crncy")</f>
        <v>#NAME?</v>
      </c>
      <c r="N689" s="985">
        <f t="shared" si="146"/>
        <v>0</v>
      </c>
      <c r="R689" s="982">
        <f t="shared" si="150"/>
        <v>0</v>
      </c>
      <c r="T689" s="998" t="e">
        <f t="shared" si="144"/>
        <v>#DIV/0!</v>
      </c>
      <c r="X689" s="971" t="e">
        <f t="shared" si="149"/>
        <v>#DIV/0!</v>
      </c>
      <c r="Y689" s="584" t="s">
        <v>1693</v>
      </c>
      <c r="Z689" s="988" t="e">
        <f ca="1">VLOOKUP(AA689,'place of settlement'!A:C,2,FALSE)</f>
        <v>#NAME?</v>
      </c>
      <c r="AA689" s="988" t="e">
        <f t="shared" ca="1" si="147"/>
        <v>#NAME?</v>
      </c>
      <c r="AB689" s="988" t="e">
        <f t="shared" ca="1" si="148"/>
        <v>#NAME?</v>
      </c>
      <c r="AC689" s="988" t="e">
        <f ca="1">VLOOKUP(AB689,sample!$1:$1048576,2,FALSE)</f>
        <v>#NAME?</v>
      </c>
      <c r="AD689" s="988" t="e">
        <f ca="1">VLOOKUP($AB689,sample!$1:$1048576,3,FALSE)</f>
        <v>#NAME?</v>
      </c>
      <c r="AE689" s="986" t="e">
        <f ca="1">VLOOKUP($AB689,sample!$1:$1048576,4,FALSE)</f>
        <v>#NAME?</v>
      </c>
      <c r="AF689" s="988" t="e">
        <f ca="1">VLOOKUP($AB689,sample!$1:$1048576,5,FALSE)</f>
        <v>#NAME?</v>
      </c>
      <c r="AP689" s="988"/>
    </row>
    <row r="690" spans="4:42">
      <c r="D690" s="1133" t="str">
        <f>IFERROR(VLOOKUP(G690,PosAggregate!$B$13:$B$89,1,FALSE),"")</f>
        <v/>
      </c>
      <c r="E690" s="1013" t="e">
        <f ca="1">_xll.BDP(G690  &amp; " Equity", "ID_ISIN", "Fill", "")</f>
        <v>#NAME?</v>
      </c>
      <c r="F690" s="1106" t="str">
        <f t="shared" si="145"/>
        <v>YES</v>
      </c>
      <c r="I690" s="1007" t="e">
        <f ca="1">_xll.BDP(E690 &amp; " Equity","SECURITY_NAME")</f>
        <v>#NAME?</v>
      </c>
      <c r="J690" s="1007" t="e">
        <f ca="1">_xll.BDP(G690 &amp; " Equity","Crncy")</f>
        <v>#NAME?</v>
      </c>
      <c r="N690" s="985">
        <f t="shared" si="146"/>
        <v>0</v>
      </c>
      <c r="R690" s="982">
        <f t="shared" si="150"/>
        <v>0</v>
      </c>
      <c r="T690" s="998" t="e">
        <f t="shared" si="144"/>
        <v>#DIV/0!</v>
      </c>
      <c r="X690" s="971" t="e">
        <f t="shared" si="149"/>
        <v>#DIV/0!</v>
      </c>
      <c r="Y690" s="584" t="s">
        <v>1693</v>
      </c>
      <c r="Z690" s="988" t="e">
        <f ca="1">VLOOKUP(AA690,'place of settlement'!A:C,2,FALSE)</f>
        <v>#NAME?</v>
      </c>
      <c r="AA690" s="988" t="e">
        <f t="shared" ca="1" si="147"/>
        <v>#NAME?</v>
      </c>
      <c r="AB690" s="988" t="e">
        <f t="shared" ca="1" si="148"/>
        <v>#NAME?</v>
      </c>
      <c r="AC690" s="988" t="e">
        <f ca="1">VLOOKUP(AB690,sample!$1:$1048576,2,FALSE)</f>
        <v>#NAME?</v>
      </c>
      <c r="AD690" s="988" t="e">
        <f ca="1">VLOOKUP($AB690,sample!$1:$1048576,3,FALSE)</f>
        <v>#NAME?</v>
      </c>
      <c r="AE690" s="986" t="e">
        <f ca="1">VLOOKUP($AB690,sample!$1:$1048576,4,FALSE)</f>
        <v>#NAME?</v>
      </c>
      <c r="AF690" s="988" t="e">
        <f ca="1">VLOOKUP($AB690,sample!$1:$1048576,5,FALSE)</f>
        <v>#NAME?</v>
      </c>
      <c r="AP690" s="988"/>
    </row>
    <row r="691" spans="4:42">
      <c r="D691" s="1133" t="str">
        <f>IFERROR(VLOOKUP(G691,PosAggregate!$B$13:$B$89,1,FALSE),"")</f>
        <v/>
      </c>
      <c r="E691" s="1013" t="e">
        <f ca="1">_xll.BDP(G691  &amp; " Equity", "ID_ISIN", "Fill", "")</f>
        <v>#NAME?</v>
      </c>
      <c r="F691" s="1106" t="str">
        <f t="shared" si="145"/>
        <v>YES</v>
      </c>
      <c r="I691" s="1007" t="e">
        <f ca="1">_xll.BDP(E691 &amp; " Equity","SECURITY_NAME")</f>
        <v>#NAME?</v>
      </c>
      <c r="J691" s="1007" t="e">
        <f ca="1">_xll.BDP(G691 &amp; " Equity","Crncy")</f>
        <v>#NAME?</v>
      </c>
      <c r="N691" s="985">
        <f t="shared" si="146"/>
        <v>0</v>
      </c>
      <c r="R691" s="982">
        <f t="shared" si="150"/>
        <v>0</v>
      </c>
      <c r="T691" s="998" t="e">
        <f t="shared" si="144"/>
        <v>#DIV/0!</v>
      </c>
      <c r="X691" s="971" t="e">
        <f t="shared" si="149"/>
        <v>#DIV/0!</v>
      </c>
      <c r="Y691" s="584" t="s">
        <v>1693</v>
      </c>
      <c r="Z691" s="988" t="e">
        <f ca="1">VLOOKUP(AA691,'place of settlement'!A:C,2,FALSE)</f>
        <v>#NAME?</v>
      </c>
      <c r="AA691" s="988" t="e">
        <f t="shared" ca="1" si="147"/>
        <v>#NAME?</v>
      </c>
      <c r="AB691" s="988" t="e">
        <f t="shared" ca="1" si="148"/>
        <v>#NAME?</v>
      </c>
      <c r="AC691" s="988" t="e">
        <f ca="1">VLOOKUP(AB691,sample!$1:$1048576,2,FALSE)</f>
        <v>#NAME?</v>
      </c>
      <c r="AD691" s="988" t="e">
        <f ca="1">VLOOKUP($AB691,sample!$1:$1048576,3,FALSE)</f>
        <v>#NAME?</v>
      </c>
      <c r="AE691" s="986" t="e">
        <f ca="1">VLOOKUP($AB691,sample!$1:$1048576,4,FALSE)</f>
        <v>#NAME?</v>
      </c>
      <c r="AF691" s="988" t="e">
        <f ca="1">VLOOKUP($AB691,sample!$1:$1048576,5,FALSE)</f>
        <v>#NAME?</v>
      </c>
      <c r="AP691" s="988"/>
    </row>
    <row r="692" spans="4:42">
      <c r="D692" s="1133" t="str">
        <f>IFERROR(VLOOKUP(G692,PosAggregate!$B$13:$B$89,1,FALSE),"")</f>
        <v/>
      </c>
      <c r="E692" s="1013" t="e">
        <f ca="1">_xll.BDP(G692  &amp; " Equity", "ID_ISIN", "Fill", "")</f>
        <v>#NAME?</v>
      </c>
      <c r="F692" s="1106" t="str">
        <f t="shared" si="145"/>
        <v>YES</v>
      </c>
      <c r="I692" s="1007" t="e">
        <f ca="1">_xll.BDP(E692 &amp; " Equity","SECURITY_NAME")</f>
        <v>#NAME?</v>
      </c>
      <c r="J692" s="1007" t="e">
        <f ca="1">_xll.BDP(G692 &amp; " Equity","Crncy")</f>
        <v>#NAME?</v>
      </c>
      <c r="N692" s="985">
        <f t="shared" si="146"/>
        <v>0</v>
      </c>
      <c r="R692" s="982">
        <f t="shared" si="150"/>
        <v>0</v>
      </c>
      <c r="T692" s="998" t="e">
        <f t="shared" si="144"/>
        <v>#DIV/0!</v>
      </c>
      <c r="X692" s="971" t="e">
        <f t="shared" si="149"/>
        <v>#DIV/0!</v>
      </c>
      <c r="Y692" s="584" t="s">
        <v>1693</v>
      </c>
      <c r="Z692" s="988" t="e">
        <f ca="1">VLOOKUP(AA692,'place of settlement'!A:C,2,FALSE)</f>
        <v>#NAME?</v>
      </c>
      <c r="AA692" s="988" t="e">
        <f t="shared" ca="1" si="147"/>
        <v>#NAME?</v>
      </c>
      <c r="AB692" s="988" t="e">
        <f t="shared" ca="1" si="148"/>
        <v>#NAME?</v>
      </c>
      <c r="AC692" s="988" t="e">
        <f ca="1">VLOOKUP(AB692,sample!$1:$1048576,2,FALSE)</f>
        <v>#NAME?</v>
      </c>
      <c r="AD692" s="988" t="e">
        <f ca="1">VLOOKUP($AB692,sample!$1:$1048576,3,FALSE)</f>
        <v>#NAME?</v>
      </c>
      <c r="AE692" s="986" t="e">
        <f ca="1">VLOOKUP($AB692,sample!$1:$1048576,4,FALSE)</f>
        <v>#NAME?</v>
      </c>
      <c r="AF692" s="988" t="e">
        <f ca="1">VLOOKUP($AB692,sample!$1:$1048576,5,FALSE)</f>
        <v>#NAME?</v>
      </c>
      <c r="AP692" s="988"/>
    </row>
    <row r="693" spans="4:42">
      <c r="D693" s="1133" t="str">
        <f>IFERROR(VLOOKUP(G693,PosAggregate!$B$13:$B$89,1,FALSE),"")</f>
        <v/>
      </c>
      <c r="E693" s="1013" t="e">
        <f ca="1">_xll.BDP(G693  &amp; " Equity", "ID_ISIN", "Fill", "")</f>
        <v>#NAME?</v>
      </c>
      <c r="F693" s="1106" t="str">
        <f t="shared" si="145"/>
        <v>YES</v>
      </c>
      <c r="I693" s="1007" t="e">
        <f ca="1">_xll.BDP(E693 &amp; " Equity","SECURITY_NAME")</f>
        <v>#NAME?</v>
      </c>
      <c r="J693" s="1007" t="e">
        <f ca="1">_xll.BDP(G693 &amp; " Equity","Crncy")</f>
        <v>#NAME?</v>
      </c>
      <c r="N693" s="985">
        <f t="shared" si="146"/>
        <v>0</v>
      </c>
      <c r="R693" s="982">
        <f t="shared" si="150"/>
        <v>0</v>
      </c>
      <c r="T693" s="998" t="e">
        <f t="shared" si="144"/>
        <v>#DIV/0!</v>
      </c>
      <c r="X693" s="971" t="e">
        <f t="shared" si="149"/>
        <v>#DIV/0!</v>
      </c>
      <c r="Y693" s="584" t="s">
        <v>1693</v>
      </c>
      <c r="Z693" s="988" t="e">
        <f ca="1">VLOOKUP(AA693,'place of settlement'!A:C,2,FALSE)</f>
        <v>#NAME?</v>
      </c>
      <c r="AA693" s="988" t="e">
        <f t="shared" ca="1" si="147"/>
        <v>#NAME?</v>
      </c>
      <c r="AB693" s="988" t="e">
        <f t="shared" ca="1" si="148"/>
        <v>#NAME?</v>
      </c>
      <c r="AC693" s="988" t="e">
        <f ca="1">VLOOKUP(AB693,sample!$1:$1048576,2,FALSE)</f>
        <v>#NAME?</v>
      </c>
      <c r="AD693" s="988" t="e">
        <f ca="1">VLOOKUP($AB693,sample!$1:$1048576,3,FALSE)</f>
        <v>#NAME?</v>
      </c>
      <c r="AE693" s="986" t="e">
        <f ca="1">VLOOKUP($AB693,sample!$1:$1048576,4,FALSE)</f>
        <v>#NAME?</v>
      </c>
      <c r="AF693" s="988" t="e">
        <f ca="1">VLOOKUP($AB693,sample!$1:$1048576,5,FALSE)</f>
        <v>#NAME?</v>
      </c>
      <c r="AP693" s="988"/>
    </row>
    <row r="694" spans="4:42">
      <c r="D694" s="1133" t="str">
        <f>IFERROR(VLOOKUP(G694,PosAggregate!$B$13:$B$89,1,FALSE),"")</f>
        <v/>
      </c>
      <c r="E694" s="1013" t="e">
        <f ca="1">_xll.BDP(G694  &amp; " Equity", "ID_ISIN", "Fill", "")</f>
        <v>#NAME?</v>
      </c>
      <c r="F694" s="1106" t="str">
        <f t="shared" si="145"/>
        <v>YES</v>
      </c>
      <c r="I694" s="1007" t="e">
        <f ca="1">_xll.BDP(E694 &amp; " Equity","SECURITY_NAME")</f>
        <v>#NAME?</v>
      </c>
      <c r="J694" s="1007" t="e">
        <f ca="1">_xll.BDP(G694 &amp; " Equity","Crncy")</f>
        <v>#NAME?</v>
      </c>
      <c r="N694" s="985">
        <f t="shared" si="146"/>
        <v>0</v>
      </c>
      <c r="R694" s="982">
        <f t="shared" si="150"/>
        <v>0</v>
      </c>
      <c r="T694" s="998" t="e">
        <f t="shared" si="144"/>
        <v>#DIV/0!</v>
      </c>
      <c r="X694" s="971" t="e">
        <f t="shared" si="149"/>
        <v>#DIV/0!</v>
      </c>
      <c r="Y694" s="584" t="s">
        <v>1693</v>
      </c>
      <c r="Z694" s="988" t="e">
        <f ca="1">VLOOKUP(AA694,'place of settlement'!A:C,2,FALSE)</f>
        <v>#NAME?</v>
      </c>
      <c r="AA694" s="988" t="e">
        <f t="shared" ca="1" si="147"/>
        <v>#NAME?</v>
      </c>
      <c r="AB694" s="988" t="e">
        <f t="shared" ca="1" si="148"/>
        <v>#NAME?</v>
      </c>
      <c r="AC694" s="988" t="e">
        <f ca="1">VLOOKUP(AB694,sample!$1:$1048576,2,FALSE)</f>
        <v>#NAME?</v>
      </c>
      <c r="AD694" s="988" t="e">
        <f ca="1">VLOOKUP($AB694,sample!$1:$1048576,3,FALSE)</f>
        <v>#NAME?</v>
      </c>
      <c r="AE694" s="986" t="e">
        <f ca="1">VLOOKUP($AB694,sample!$1:$1048576,4,FALSE)</f>
        <v>#NAME?</v>
      </c>
      <c r="AF694" s="988" t="e">
        <f ca="1">VLOOKUP($AB694,sample!$1:$1048576,5,FALSE)</f>
        <v>#NAME?</v>
      </c>
      <c r="AP694" s="988"/>
    </row>
    <row r="695" spans="4:42">
      <c r="D695" s="1133" t="str">
        <f>IFERROR(VLOOKUP(G695,PosAggregate!$B$13:$B$89,1,FALSE),"")</f>
        <v/>
      </c>
      <c r="E695" s="1013" t="e">
        <f ca="1">_xll.BDP(G695  &amp; " Equity", "ID_ISIN", "Fill", "")</f>
        <v>#NAME?</v>
      </c>
      <c r="F695" s="1106" t="str">
        <f t="shared" si="145"/>
        <v>YES</v>
      </c>
      <c r="I695" s="1007" t="e">
        <f ca="1">_xll.BDP(E695 &amp; " Equity","SECURITY_NAME")</f>
        <v>#NAME?</v>
      </c>
      <c r="J695" s="1007" t="e">
        <f ca="1">_xll.BDP(G695 &amp; " Equity","Crncy")</f>
        <v>#NAME?</v>
      </c>
      <c r="N695" s="985">
        <f t="shared" si="146"/>
        <v>0</v>
      </c>
      <c r="R695" s="982">
        <f t="shared" si="150"/>
        <v>0</v>
      </c>
      <c r="T695" s="998" t="e">
        <f t="shared" ref="T695:T709" si="151">+R695/S695</f>
        <v>#DIV/0!</v>
      </c>
      <c r="X695" s="971" t="e">
        <f t="shared" si="149"/>
        <v>#DIV/0!</v>
      </c>
      <c r="Y695" s="584" t="s">
        <v>1693</v>
      </c>
      <c r="Z695" s="988" t="e">
        <f ca="1">VLOOKUP(AA695,'place of settlement'!A:C,2,FALSE)</f>
        <v>#NAME?</v>
      </c>
      <c r="AA695" s="988" t="e">
        <f t="shared" ca="1" si="147"/>
        <v>#NAME?</v>
      </c>
      <c r="AB695" s="988" t="e">
        <f t="shared" ca="1" si="148"/>
        <v>#NAME?</v>
      </c>
      <c r="AC695" s="988" t="e">
        <f ca="1">VLOOKUP(AB695,sample!$1:$1048576,2,FALSE)</f>
        <v>#NAME?</v>
      </c>
      <c r="AD695" s="988" t="e">
        <f ca="1">VLOOKUP($AB695,sample!$1:$1048576,3,FALSE)</f>
        <v>#NAME?</v>
      </c>
      <c r="AE695" s="986" t="e">
        <f ca="1">VLOOKUP($AB695,sample!$1:$1048576,4,FALSE)</f>
        <v>#NAME?</v>
      </c>
      <c r="AF695" s="988" t="e">
        <f ca="1">VLOOKUP($AB695,sample!$1:$1048576,5,FALSE)</f>
        <v>#NAME?</v>
      </c>
      <c r="AP695" s="988"/>
    </row>
    <row r="696" spans="4:42">
      <c r="D696" s="1133" t="str">
        <f>IFERROR(VLOOKUP(G696,PosAggregate!$B$13:$B$89,1,FALSE),"")</f>
        <v/>
      </c>
      <c r="E696" s="1013" t="e">
        <f ca="1">_xll.BDP(G696  &amp; " Equity", "ID_ISIN", "Fill", "")</f>
        <v>#NAME?</v>
      </c>
      <c r="F696" s="1106" t="str">
        <f t="shared" si="145"/>
        <v>YES</v>
      </c>
      <c r="I696" s="1007" t="e">
        <f ca="1">_xll.BDP(E696 &amp; " Equity","SECURITY_NAME")</f>
        <v>#NAME?</v>
      </c>
      <c r="J696" s="1007" t="e">
        <f ca="1">_xll.BDP(G696 &amp; " Equity","Crncy")</f>
        <v>#NAME?</v>
      </c>
      <c r="N696" s="985">
        <f t="shared" si="146"/>
        <v>0</v>
      </c>
      <c r="R696" s="982">
        <f t="shared" si="150"/>
        <v>0</v>
      </c>
      <c r="T696" s="998" t="e">
        <f t="shared" si="151"/>
        <v>#DIV/0!</v>
      </c>
      <c r="X696" s="971" t="e">
        <f t="shared" si="149"/>
        <v>#DIV/0!</v>
      </c>
      <c r="Y696" s="584" t="s">
        <v>1693</v>
      </c>
      <c r="Z696" s="988" t="e">
        <f ca="1">VLOOKUP(AA696,'place of settlement'!A:C,2,FALSE)</f>
        <v>#NAME?</v>
      </c>
      <c r="AA696" s="988" t="e">
        <f t="shared" ca="1" si="147"/>
        <v>#NAME?</v>
      </c>
      <c r="AB696" s="988" t="e">
        <f t="shared" ca="1" si="148"/>
        <v>#NAME?</v>
      </c>
      <c r="AC696" s="988" t="e">
        <f ca="1">VLOOKUP(AB696,sample!$1:$1048576,2,FALSE)</f>
        <v>#NAME?</v>
      </c>
      <c r="AD696" s="988" t="e">
        <f ca="1">VLOOKUP($AB696,sample!$1:$1048576,3,FALSE)</f>
        <v>#NAME?</v>
      </c>
      <c r="AE696" s="986" t="e">
        <f ca="1">VLOOKUP($AB696,sample!$1:$1048576,4,FALSE)</f>
        <v>#NAME?</v>
      </c>
      <c r="AF696" s="988" t="e">
        <f ca="1">VLOOKUP($AB696,sample!$1:$1048576,5,FALSE)</f>
        <v>#NAME?</v>
      </c>
      <c r="AP696" s="988"/>
    </row>
    <row r="697" spans="4:42">
      <c r="D697" s="1133" t="str">
        <f>IFERROR(VLOOKUP(G697,PosAggregate!$B$13:$B$89,1,FALSE),"")</f>
        <v/>
      </c>
      <c r="E697" s="1013" t="e">
        <f ca="1">_xll.BDP(G697  &amp; " Equity", "ID_ISIN", "Fill", "")</f>
        <v>#NAME?</v>
      </c>
      <c r="F697" s="1106" t="str">
        <f t="shared" si="145"/>
        <v>YES</v>
      </c>
      <c r="I697" s="1007" t="e">
        <f ca="1">_xll.BDP(E697 &amp; " Equity","SECURITY_NAME")</f>
        <v>#NAME?</v>
      </c>
      <c r="J697" s="1007" t="e">
        <f ca="1">_xll.BDP(G697 &amp; " Equity","Crncy")</f>
        <v>#NAME?</v>
      </c>
      <c r="N697" s="985">
        <f t="shared" si="146"/>
        <v>0</v>
      </c>
      <c r="R697" s="982">
        <f t="shared" si="150"/>
        <v>0</v>
      </c>
      <c r="T697" s="998" t="e">
        <f t="shared" si="151"/>
        <v>#DIV/0!</v>
      </c>
      <c r="X697" s="971" t="e">
        <f t="shared" si="149"/>
        <v>#DIV/0!</v>
      </c>
      <c r="Y697" s="584" t="s">
        <v>1693</v>
      </c>
      <c r="Z697" s="988" t="e">
        <f ca="1">VLOOKUP(AA697,'place of settlement'!A:C,2,FALSE)</f>
        <v>#NAME?</v>
      </c>
      <c r="AA697" s="988" t="e">
        <f t="shared" ca="1" si="147"/>
        <v>#NAME?</v>
      </c>
      <c r="AB697" s="988" t="e">
        <f t="shared" ca="1" si="148"/>
        <v>#NAME?</v>
      </c>
      <c r="AC697" s="988" t="e">
        <f ca="1">VLOOKUP(AB697,sample!$1:$1048576,2,FALSE)</f>
        <v>#NAME?</v>
      </c>
      <c r="AD697" s="988" t="e">
        <f ca="1">VLOOKUP($AB697,sample!$1:$1048576,3,FALSE)</f>
        <v>#NAME?</v>
      </c>
      <c r="AE697" s="986" t="e">
        <f ca="1">VLOOKUP($AB697,sample!$1:$1048576,4,FALSE)</f>
        <v>#NAME?</v>
      </c>
      <c r="AF697" s="988" t="e">
        <f ca="1">VLOOKUP($AB697,sample!$1:$1048576,5,FALSE)</f>
        <v>#NAME?</v>
      </c>
      <c r="AP697" s="988"/>
    </row>
    <row r="698" spans="4:42">
      <c r="D698" s="1133" t="str">
        <f>IFERROR(VLOOKUP(G698,PosAggregate!$B$13:$B$89,1,FALSE),"")</f>
        <v/>
      </c>
      <c r="E698" s="1013" t="e">
        <f ca="1">_xll.BDP(G698  &amp; " Equity", "ID_ISIN", "Fill", "")</f>
        <v>#NAME?</v>
      </c>
      <c r="F698" s="1106" t="str">
        <f t="shared" si="145"/>
        <v>YES</v>
      </c>
      <c r="I698" s="1007" t="e">
        <f ca="1">_xll.BDP(E698 &amp; " Equity","SECURITY_NAME")</f>
        <v>#NAME?</v>
      </c>
      <c r="J698" s="1007" t="e">
        <f ca="1">_xll.BDP(G698 &amp; " Equity","Crncy")</f>
        <v>#NAME?</v>
      </c>
      <c r="N698" s="985">
        <f t="shared" si="146"/>
        <v>0</v>
      </c>
      <c r="R698" s="982">
        <f t="shared" si="150"/>
        <v>0</v>
      </c>
      <c r="T698" s="998" t="e">
        <f t="shared" si="151"/>
        <v>#DIV/0!</v>
      </c>
      <c r="X698" s="971" t="e">
        <f t="shared" si="149"/>
        <v>#DIV/0!</v>
      </c>
      <c r="Y698" s="584" t="s">
        <v>1693</v>
      </c>
      <c r="Z698" s="988" t="e">
        <f ca="1">VLOOKUP(AA698,'place of settlement'!A:C,2,FALSE)</f>
        <v>#NAME?</v>
      </c>
      <c r="AA698" s="988" t="e">
        <f t="shared" ca="1" si="147"/>
        <v>#NAME?</v>
      </c>
      <c r="AB698" s="988" t="e">
        <f t="shared" ca="1" si="148"/>
        <v>#NAME?</v>
      </c>
      <c r="AC698" s="988" t="e">
        <f ca="1">VLOOKUP(AB698,sample!$1:$1048576,2,FALSE)</f>
        <v>#NAME?</v>
      </c>
      <c r="AD698" s="988" t="e">
        <f ca="1">VLOOKUP($AB698,sample!$1:$1048576,3,FALSE)</f>
        <v>#NAME?</v>
      </c>
      <c r="AE698" s="986" t="e">
        <f ca="1">VLOOKUP($AB698,sample!$1:$1048576,4,FALSE)</f>
        <v>#NAME?</v>
      </c>
      <c r="AF698" s="988" t="e">
        <f ca="1">VLOOKUP($AB698,sample!$1:$1048576,5,FALSE)</f>
        <v>#NAME?</v>
      </c>
      <c r="AP698" s="988"/>
    </row>
    <row r="699" spans="4:42">
      <c r="D699" s="1133" t="str">
        <f>IFERROR(VLOOKUP(G699,PosAggregate!$B$13:$B$89,1,FALSE),"")</f>
        <v/>
      </c>
      <c r="E699" s="1013" t="e">
        <f ca="1">_xll.BDP(G699  &amp; " Equity", "ID_ISIN", "Fill", "")</f>
        <v>#NAME?</v>
      </c>
      <c r="F699" s="1106" t="str">
        <f t="shared" si="145"/>
        <v>YES</v>
      </c>
      <c r="I699" s="1007" t="e">
        <f ca="1">_xll.BDP(E699 &amp; " Equity","SECURITY_NAME")</f>
        <v>#NAME?</v>
      </c>
      <c r="J699" s="1007" t="e">
        <f ca="1">_xll.BDP(G699 &amp; " Equity","Crncy")</f>
        <v>#NAME?</v>
      </c>
      <c r="N699" s="985">
        <f t="shared" si="146"/>
        <v>0</v>
      </c>
      <c r="R699" s="982">
        <f t="shared" si="150"/>
        <v>0</v>
      </c>
      <c r="T699" s="998" t="e">
        <f t="shared" si="151"/>
        <v>#DIV/0!</v>
      </c>
      <c r="X699" s="971" t="e">
        <f t="shared" si="149"/>
        <v>#DIV/0!</v>
      </c>
      <c r="Y699" s="584" t="s">
        <v>1693</v>
      </c>
      <c r="Z699" s="988" t="e">
        <f ca="1">VLOOKUP(AA699,'place of settlement'!A:C,2,FALSE)</f>
        <v>#NAME?</v>
      </c>
      <c r="AA699" s="988" t="e">
        <f t="shared" ca="1" si="147"/>
        <v>#NAME?</v>
      </c>
      <c r="AB699" s="988" t="e">
        <f t="shared" ca="1" si="148"/>
        <v>#NAME?</v>
      </c>
      <c r="AC699" s="988" t="e">
        <f ca="1">VLOOKUP(AB699,sample!$1:$1048576,2,FALSE)</f>
        <v>#NAME?</v>
      </c>
      <c r="AD699" s="988" t="e">
        <f ca="1">VLOOKUP($AB699,sample!$1:$1048576,3,FALSE)</f>
        <v>#NAME?</v>
      </c>
      <c r="AE699" s="986" t="e">
        <f ca="1">VLOOKUP($AB699,sample!$1:$1048576,4,FALSE)</f>
        <v>#NAME?</v>
      </c>
      <c r="AF699" s="988" t="e">
        <f ca="1">VLOOKUP($AB699,sample!$1:$1048576,5,FALSE)</f>
        <v>#NAME?</v>
      </c>
      <c r="AP699" s="988"/>
    </row>
    <row r="700" spans="4:42">
      <c r="D700" s="1133" t="str">
        <f>IFERROR(VLOOKUP(G700,PosAggregate!$B$13:$B$89,1,FALSE),"")</f>
        <v/>
      </c>
      <c r="E700" s="1013" t="e">
        <f ca="1">_xll.BDP(G700  &amp; " Equity", "ID_ISIN", "Fill", "")</f>
        <v>#NAME?</v>
      </c>
      <c r="F700" s="1106" t="str">
        <f t="shared" si="145"/>
        <v>YES</v>
      </c>
      <c r="I700" s="1007" t="e">
        <f ca="1">_xll.BDP(E700 &amp; " Equity","SECURITY_NAME")</f>
        <v>#NAME?</v>
      </c>
      <c r="J700" s="1007" t="e">
        <f ca="1">_xll.BDP(G700 &amp; " Equity","Crncy")</f>
        <v>#NAME?</v>
      </c>
      <c r="N700" s="985">
        <f t="shared" si="146"/>
        <v>0</v>
      </c>
      <c r="R700" s="982">
        <f t="shared" si="150"/>
        <v>0</v>
      </c>
      <c r="T700" s="998" t="e">
        <f t="shared" si="151"/>
        <v>#DIV/0!</v>
      </c>
      <c r="X700" s="971" t="e">
        <f t="shared" si="149"/>
        <v>#DIV/0!</v>
      </c>
      <c r="Y700" s="584" t="s">
        <v>1693</v>
      </c>
      <c r="Z700" s="988" t="e">
        <f ca="1">VLOOKUP(AA700,'place of settlement'!A:C,2,FALSE)</f>
        <v>#NAME?</v>
      </c>
      <c r="AA700" s="988" t="e">
        <f t="shared" ca="1" si="147"/>
        <v>#NAME?</v>
      </c>
      <c r="AB700" s="988" t="e">
        <f t="shared" ca="1" si="148"/>
        <v>#NAME?</v>
      </c>
      <c r="AC700" s="988" t="e">
        <f ca="1">VLOOKUP(AB700,sample!$1:$1048576,2,FALSE)</f>
        <v>#NAME?</v>
      </c>
      <c r="AD700" s="988" t="e">
        <f ca="1">VLOOKUP($AB700,sample!$1:$1048576,3,FALSE)</f>
        <v>#NAME?</v>
      </c>
      <c r="AE700" s="986" t="e">
        <f ca="1">VLOOKUP($AB700,sample!$1:$1048576,4,FALSE)</f>
        <v>#NAME?</v>
      </c>
      <c r="AF700" s="988" t="e">
        <f ca="1">VLOOKUP($AB700,sample!$1:$1048576,5,FALSE)</f>
        <v>#NAME?</v>
      </c>
      <c r="AP700" s="988"/>
    </row>
    <row r="701" spans="4:42">
      <c r="D701" s="1133" t="str">
        <f>IFERROR(VLOOKUP(G701,PosAggregate!$B$13:$B$89,1,FALSE),"")</f>
        <v/>
      </c>
      <c r="E701" s="1013" t="e">
        <f ca="1">_xll.BDP(G701  &amp; " Equity", "ID_ISIN", "Fill", "")</f>
        <v>#NAME?</v>
      </c>
      <c r="F701" s="1106" t="str">
        <f t="shared" si="145"/>
        <v>YES</v>
      </c>
      <c r="I701" s="1007" t="e">
        <f ca="1">_xll.BDP(E701 &amp; " Equity","SECURITY_NAME")</f>
        <v>#NAME?</v>
      </c>
      <c r="J701" s="1007" t="e">
        <f ca="1">_xll.BDP(G701 &amp; " Equity","Crncy")</f>
        <v>#NAME?</v>
      </c>
      <c r="N701" s="985">
        <f t="shared" si="146"/>
        <v>0</v>
      </c>
      <c r="R701" s="982">
        <f t="shared" si="150"/>
        <v>0</v>
      </c>
      <c r="T701" s="998" t="e">
        <f t="shared" si="151"/>
        <v>#DIV/0!</v>
      </c>
      <c r="X701" s="971" t="e">
        <f t="shared" si="149"/>
        <v>#DIV/0!</v>
      </c>
      <c r="Y701" s="584" t="s">
        <v>1693</v>
      </c>
      <c r="Z701" s="988" t="e">
        <f ca="1">VLOOKUP(AA701,'place of settlement'!A:C,2,FALSE)</f>
        <v>#NAME?</v>
      </c>
      <c r="AA701" s="988" t="e">
        <f t="shared" ca="1" si="147"/>
        <v>#NAME?</v>
      </c>
      <c r="AB701" s="988" t="e">
        <f t="shared" ca="1" si="148"/>
        <v>#NAME?</v>
      </c>
      <c r="AC701" s="988" t="e">
        <f ca="1">VLOOKUP(AB701,sample!$1:$1048576,2,FALSE)</f>
        <v>#NAME?</v>
      </c>
      <c r="AD701" s="988" t="e">
        <f ca="1">VLOOKUP($AB701,sample!$1:$1048576,3,FALSE)</f>
        <v>#NAME?</v>
      </c>
      <c r="AE701" s="986" t="e">
        <f ca="1">VLOOKUP($AB701,sample!$1:$1048576,4,FALSE)</f>
        <v>#NAME?</v>
      </c>
      <c r="AF701" s="988" t="e">
        <f ca="1">VLOOKUP($AB701,sample!$1:$1048576,5,FALSE)</f>
        <v>#NAME?</v>
      </c>
      <c r="AP701" s="988"/>
    </row>
    <row r="702" spans="4:42">
      <c r="D702" s="1133" t="str">
        <f>IFERROR(VLOOKUP(G702,PosAggregate!$B$13:$B$89,1,FALSE),"")</f>
        <v/>
      </c>
      <c r="E702" s="1013" t="e">
        <f ca="1">_xll.BDP(G702  &amp; " Equity", "ID_ISIN", "Fill", "")</f>
        <v>#NAME?</v>
      </c>
      <c r="F702" s="1106" t="str">
        <f t="shared" si="145"/>
        <v>YES</v>
      </c>
      <c r="I702" s="1007" t="e">
        <f ca="1">_xll.BDP(E702 &amp; " Equity","SECURITY_NAME")</f>
        <v>#NAME?</v>
      </c>
      <c r="J702" s="1007" t="e">
        <f ca="1">_xll.BDP(G702 &amp; " Equity","Crncy")</f>
        <v>#NAME?</v>
      </c>
      <c r="N702" s="985">
        <f t="shared" si="146"/>
        <v>0</v>
      </c>
      <c r="R702" s="982">
        <f t="shared" si="150"/>
        <v>0</v>
      </c>
      <c r="T702" s="998" t="e">
        <f t="shared" si="151"/>
        <v>#DIV/0!</v>
      </c>
      <c r="X702" s="971" t="e">
        <f t="shared" si="149"/>
        <v>#DIV/0!</v>
      </c>
      <c r="Y702" s="584" t="s">
        <v>1693</v>
      </c>
      <c r="Z702" s="988" t="e">
        <f ca="1">VLOOKUP(AA702,'place of settlement'!A:C,2,FALSE)</f>
        <v>#NAME?</v>
      </c>
      <c r="AA702" s="988" t="e">
        <f t="shared" ca="1" si="147"/>
        <v>#NAME?</v>
      </c>
      <c r="AB702" s="988" t="e">
        <f t="shared" ca="1" si="148"/>
        <v>#NAME?</v>
      </c>
      <c r="AC702" s="988" t="e">
        <f ca="1">VLOOKUP(AB702,sample!$1:$1048576,2,FALSE)</f>
        <v>#NAME?</v>
      </c>
      <c r="AD702" s="988" t="e">
        <f ca="1">VLOOKUP($AB702,sample!$1:$1048576,3,FALSE)</f>
        <v>#NAME?</v>
      </c>
      <c r="AE702" s="986" t="e">
        <f ca="1">VLOOKUP($AB702,sample!$1:$1048576,4,FALSE)</f>
        <v>#NAME?</v>
      </c>
      <c r="AF702" s="988" t="e">
        <f ca="1">VLOOKUP($AB702,sample!$1:$1048576,5,FALSE)</f>
        <v>#NAME?</v>
      </c>
      <c r="AP702" s="988"/>
    </row>
    <row r="703" spans="4:42">
      <c r="D703" s="1133" t="str">
        <f>IFERROR(VLOOKUP(G703,PosAggregate!$B$13:$B$89,1,FALSE),"")</f>
        <v/>
      </c>
      <c r="E703" s="1013" t="e">
        <f ca="1">_xll.BDP(G703  &amp; " Equity", "ID_ISIN", "Fill", "")</f>
        <v>#NAME?</v>
      </c>
      <c r="F703" s="1106" t="str">
        <f t="shared" si="145"/>
        <v>YES</v>
      </c>
      <c r="I703" s="1007" t="e">
        <f ca="1">_xll.BDP(E703 &amp; " Equity","SECURITY_NAME")</f>
        <v>#NAME?</v>
      </c>
      <c r="J703" s="1007" t="e">
        <f ca="1">_xll.BDP(G703 &amp; " Equity","Crncy")</f>
        <v>#NAME?</v>
      </c>
      <c r="N703" s="985">
        <f t="shared" si="146"/>
        <v>0</v>
      </c>
      <c r="R703" s="982">
        <f t="shared" si="150"/>
        <v>0</v>
      </c>
      <c r="T703" s="998" t="e">
        <f t="shared" si="151"/>
        <v>#DIV/0!</v>
      </c>
      <c r="X703" s="971" t="e">
        <f t="shared" si="149"/>
        <v>#DIV/0!</v>
      </c>
      <c r="Y703" s="584" t="s">
        <v>1693</v>
      </c>
      <c r="Z703" s="988" t="e">
        <f ca="1">VLOOKUP(AA703,'place of settlement'!A:C,2,FALSE)</f>
        <v>#NAME?</v>
      </c>
      <c r="AA703" s="988" t="e">
        <f t="shared" ca="1" si="147"/>
        <v>#NAME?</v>
      </c>
      <c r="AB703" s="988" t="e">
        <f t="shared" ca="1" si="148"/>
        <v>#NAME?</v>
      </c>
      <c r="AC703" s="988" t="e">
        <f ca="1">VLOOKUP(AB703,sample!$1:$1048576,2,FALSE)</f>
        <v>#NAME?</v>
      </c>
      <c r="AD703" s="988" t="e">
        <f ca="1">VLOOKUP($AB703,sample!$1:$1048576,3,FALSE)</f>
        <v>#NAME?</v>
      </c>
      <c r="AE703" s="986" t="e">
        <f ca="1">VLOOKUP($AB703,sample!$1:$1048576,4,FALSE)</f>
        <v>#NAME?</v>
      </c>
      <c r="AF703" s="988" t="e">
        <f ca="1">VLOOKUP($AB703,sample!$1:$1048576,5,FALSE)</f>
        <v>#NAME?</v>
      </c>
      <c r="AP703" s="988"/>
    </row>
    <row r="704" spans="4:42">
      <c r="D704" s="1133" t="str">
        <f>IFERROR(VLOOKUP(G704,PosAggregate!$B$13:$B$89,1,FALSE),"")</f>
        <v/>
      </c>
      <c r="E704" s="1013" t="e">
        <f ca="1">_xll.BDP(G704  &amp; " Equity", "ID_ISIN", "Fill", "")</f>
        <v>#NAME?</v>
      </c>
      <c r="F704" s="1106" t="str">
        <f t="shared" ref="F704:F709" si="152">IF(D704=G704,"YES","NO")</f>
        <v>YES</v>
      </c>
      <c r="I704" s="1007" t="e">
        <f ca="1">_xll.BDP(E704 &amp; " Equity","SECURITY_NAME")</f>
        <v>#NAME?</v>
      </c>
      <c r="J704" s="1007" t="e">
        <f ca="1">_xll.BDP(G704 &amp; " Equity","Crncy")</f>
        <v>#NAME?</v>
      </c>
      <c r="N704" s="985">
        <f t="shared" si="146"/>
        <v>0</v>
      </c>
      <c r="R704" s="982">
        <f t="shared" si="150"/>
        <v>0</v>
      </c>
      <c r="T704" s="998" t="e">
        <f t="shared" si="151"/>
        <v>#DIV/0!</v>
      </c>
      <c r="X704" s="971" t="e">
        <f t="shared" si="149"/>
        <v>#DIV/0!</v>
      </c>
      <c r="Y704" s="584" t="s">
        <v>1693</v>
      </c>
      <c r="Z704" s="988" t="e">
        <f ca="1">VLOOKUP(AA704,'place of settlement'!A:C,2,FALSE)</f>
        <v>#NAME?</v>
      </c>
      <c r="AA704" s="988" t="e">
        <f t="shared" ca="1" si="147"/>
        <v>#NAME?</v>
      </c>
      <c r="AB704" s="988" t="e">
        <f t="shared" ca="1" si="148"/>
        <v>#NAME?</v>
      </c>
      <c r="AC704" s="988" t="e">
        <f ca="1">VLOOKUP(AB704,sample!$1:$1048576,2,FALSE)</f>
        <v>#NAME?</v>
      </c>
      <c r="AD704" s="988" t="e">
        <f ca="1">VLOOKUP($AB704,sample!$1:$1048576,3,FALSE)</f>
        <v>#NAME?</v>
      </c>
      <c r="AE704" s="986" t="e">
        <f ca="1">VLOOKUP($AB704,sample!$1:$1048576,4,FALSE)</f>
        <v>#NAME?</v>
      </c>
      <c r="AF704" s="988" t="e">
        <f ca="1">VLOOKUP($AB704,sample!$1:$1048576,5,FALSE)</f>
        <v>#NAME?</v>
      </c>
      <c r="AP704" s="988"/>
    </row>
    <row r="705" spans="4:42">
      <c r="D705" s="1133" t="str">
        <f>IFERROR(VLOOKUP(G705,PosAggregate!$B$13:$B$89,1,FALSE),"")</f>
        <v/>
      </c>
      <c r="E705" s="1013" t="e">
        <f ca="1">_xll.BDP(G705  &amp; " Equity", "ID_ISIN", "Fill", "")</f>
        <v>#NAME?</v>
      </c>
      <c r="F705" s="1106" t="str">
        <f t="shared" si="152"/>
        <v>YES</v>
      </c>
      <c r="I705" s="1007" t="e">
        <f ca="1">_xll.BDP(E705 &amp; " Equity","SECURITY_NAME")</f>
        <v>#NAME?</v>
      </c>
      <c r="J705" s="1007" t="e">
        <f ca="1">_xll.BDP(G705 &amp; " Equity","Crncy")</f>
        <v>#NAME?</v>
      </c>
      <c r="N705" s="985">
        <f t="shared" si="146"/>
        <v>0</v>
      </c>
      <c r="R705" s="982">
        <f t="shared" si="150"/>
        <v>0</v>
      </c>
      <c r="T705" s="998" t="e">
        <f t="shared" si="151"/>
        <v>#DIV/0!</v>
      </c>
      <c r="X705" s="971" t="e">
        <f t="shared" si="149"/>
        <v>#DIV/0!</v>
      </c>
      <c r="Y705" s="584" t="s">
        <v>1693</v>
      </c>
      <c r="Z705" s="988" t="e">
        <f ca="1">VLOOKUP(AA705,'place of settlement'!A:C,2,FALSE)</f>
        <v>#NAME?</v>
      </c>
      <c r="AA705" s="988" t="e">
        <f t="shared" ca="1" si="147"/>
        <v>#NAME?</v>
      </c>
      <c r="AB705" s="988" t="e">
        <f t="shared" ca="1" si="148"/>
        <v>#NAME?</v>
      </c>
      <c r="AC705" s="988" t="e">
        <f ca="1">VLOOKUP(AB705,sample!$1:$1048576,2,FALSE)</f>
        <v>#NAME?</v>
      </c>
      <c r="AD705" s="988" t="e">
        <f ca="1">VLOOKUP($AB705,sample!$1:$1048576,3,FALSE)</f>
        <v>#NAME?</v>
      </c>
      <c r="AE705" s="986" t="e">
        <f ca="1">VLOOKUP($AB705,sample!$1:$1048576,4,FALSE)</f>
        <v>#NAME?</v>
      </c>
      <c r="AF705" s="988" t="e">
        <f ca="1">VLOOKUP($AB705,sample!$1:$1048576,5,FALSE)</f>
        <v>#NAME?</v>
      </c>
      <c r="AP705" s="988"/>
    </row>
    <row r="706" spans="4:42">
      <c r="D706" s="1133" t="str">
        <f>IFERROR(VLOOKUP(G706,PosAggregate!$B$13:$B$89,1,FALSE),"")</f>
        <v/>
      </c>
      <c r="E706" s="1013" t="e">
        <f ca="1">_xll.BDP(G706  &amp; " Equity", "ID_ISIN", "Fill", "")</f>
        <v>#NAME?</v>
      </c>
      <c r="F706" s="1106" t="str">
        <f t="shared" si="152"/>
        <v>YES</v>
      </c>
      <c r="I706" s="1007" t="e">
        <f ca="1">_xll.BDP(E706 &amp; " Equity","SECURITY_NAME")</f>
        <v>#NAME?</v>
      </c>
      <c r="J706" s="1007" t="e">
        <f ca="1">_xll.BDP(G706 &amp; " Equity","Crncy")</f>
        <v>#NAME?</v>
      </c>
      <c r="N706" s="985">
        <f t="shared" si="146"/>
        <v>0</v>
      </c>
      <c r="R706" s="982">
        <f t="shared" si="150"/>
        <v>0</v>
      </c>
      <c r="T706" s="998" t="e">
        <f t="shared" si="151"/>
        <v>#DIV/0!</v>
      </c>
      <c r="X706" s="971" t="e">
        <f t="shared" si="149"/>
        <v>#DIV/0!</v>
      </c>
      <c r="Y706" s="584" t="s">
        <v>1693</v>
      </c>
      <c r="Z706" s="988" t="e">
        <f ca="1">VLOOKUP(AA706,'place of settlement'!A:C,2,FALSE)</f>
        <v>#NAME?</v>
      </c>
      <c r="AA706" s="988" t="e">
        <f t="shared" ca="1" si="147"/>
        <v>#NAME?</v>
      </c>
      <c r="AB706" s="988" t="e">
        <f t="shared" ca="1" si="148"/>
        <v>#NAME?</v>
      </c>
      <c r="AC706" s="988" t="e">
        <f ca="1">VLOOKUP(AB706,sample!$1:$1048576,2,FALSE)</f>
        <v>#NAME?</v>
      </c>
      <c r="AD706" s="988" t="e">
        <f ca="1">VLOOKUP($AB706,sample!$1:$1048576,3,FALSE)</f>
        <v>#NAME?</v>
      </c>
      <c r="AE706" s="986" t="e">
        <f ca="1">VLOOKUP($AB706,sample!$1:$1048576,4,FALSE)</f>
        <v>#NAME?</v>
      </c>
      <c r="AF706" s="988" t="e">
        <f ca="1">VLOOKUP($AB706,sample!$1:$1048576,5,FALSE)</f>
        <v>#NAME?</v>
      </c>
      <c r="AP706" s="988"/>
    </row>
    <row r="707" spans="4:42">
      <c r="D707" s="1133" t="str">
        <f>IFERROR(VLOOKUP(G707,PosAggregate!$B$13:$B$89,1,FALSE),"")</f>
        <v/>
      </c>
      <c r="E707" s="1013" t="e">
        <f ca="1">_xll.BDP(G707  &amp; " Equity", "ID_ISIN", "Fill", "")</f>
        <v>#NAME?</v>
      </c>
      <c r="F707" s="1106" t="str">
        <f t="shared" si="152"/>
        <v>YES</v>
      </c>
      <c r="I707" s="1007" t="e">
        <f ca="1">_xll.BDP(E707 &amp; " Equity","SECURITY_NAME")</f>
        <v>#NAME?</v>
      </c>
      <c r="J707" s="1007" t="e">
        <f ca="1">_xll.BDP(G707 &amp; " Equity","Crncy")</f>
        <v>#NAME?</v>
      </c>
      <c r="N707" s="985">
        <f t="shared" si="146"/>
        <v>0</v>
      </c>
      <c r="R707" s="982">
        <f t="shared" si="150"/>
        <v>0</v>
      </c>
      <c r="T707" s="998" t="e">
        <f t="shared" si="151"/>
        <v>#DIV/0!</v>
      </c>
      <c r="X707" s="971" t="e">
        <f t="shared" si="149"/>
        <v>#DIV/0!</v>
      </c>
      <c r="Y707" s="584" t="s">
        <v>1693</v>
      </c>
      <c r="Z707" s="988" t="e">
        <f ca="1">VLOOKUP(AA707,'place of settlement'!A:C,2,FALSE)</f>
        <v>#NAME?</v>
      </c>
      <c r="AA707" s="988" t="e">
        <f t="shared" ca="1" si="147"/>
        <v>#NAME?</v>
      </c>
      <c r="AB707" s="988" t="e">
        <f t="shared" ca="1" si="148"/>
        <v>#NAME?</v>
      </c>
      <c r="AC707" s="988" t="e">
        <f ca="1">VLOOKUP(AB707,sample!$1:$1048576,2,FALSE)</f>
        <v>#NAME?</v>
      </c>
      <c r="AD707" s="988" t="e">
        <f ca="1">VLOOKUP($AB707,sample!$1:$1048576,3,FALSE)</f>
        <v>#NAME?</v>
      </c>
      <c r="AE707" s="986" t="e">
        <f ca="1">VLOOKUP($AB707,sample!$1:$1048576,4,FALSE)</f>
        <v>#NAME?</v>
      </c>
      <c r="AF707" s="988" t="e">
        <f ca="1">VLOOKUP($AB707,sample!$1:$1048576,5,FALSE)</f>
        <v>#NAME?</v>
      </c>
      <c r="AP707" s="988"/>
    </row>
    <row r="708" spans="4:42">
      <c r="D708" s="1133" t="str">
        <f>IFERROR(VLOOKUP(G708,PosAggregate!$B$13:$B$89,1,FALSE),"")</f>
        <v/>
      </c>
      <c r="E708" s="1013" t="e">
        <f ca="1">_xll.BDP(G708  &amp; " Equity", "ID_ISIN", "Fill", "")</f>
        <v>#NAME?</v>
      </c>
      <c r="F708" s="1106" t="str">
        <f t="shared" si="152"/>
        <v>YES</v>
      </c>
      <c r="I708" s="1007" t="e">
        <f ca="1">_xll.BDP(E708 &amp; " Equity","SECURITY_NAME")</f>
        <v>#NAME?</v>
      </c>
      <c r="J708" s="1007" t="e">
        <f ca="1">_xll.BDP(G708 &amp; " Equity","Crncy")</f>
        <v>#NAME?</v>
      </c>
      <c r="N708" s="985">
        <f t="shared" si="146"/>
        <v>0</v>
      </c>
      <c r="R708" s="982">
        <f t="shared" si="150"/>
        <v>0</v>
      </c>
      <c r="T708" s="998" t="e">
        <f t="shared" si="151"/>
        <v>#DIV/0!</v>
      </c>
      <c r="X708" s="971" t="e">
        <f t="shared" si="149"/>
        <v>#DIV/0!</v>
      </c>
      <c r="Y708" s="584" t="s">
        <v>1693</v>
      </c>
      <c r="Z708" s="988" t="e">
        <f ca="1">VLOOKUP(AA708,'place of settlement'!A:C,2,FALSE)</f>
        <v>#NAME?</v>
      </c>
      <c r="AA708" s="988" t="e">
        <f t="shared" ca="1" si="147"/>
        <v>#NAME?</v>
      </c>
      <c r="AB708" s="988" t="e">
        <f t="shared" ca="1" si="148"/>
        <v>#NAME?</v>
      </c>
      <c r="AC708" s="988" t="e">
        <f ca="1">VLOOKUP(AB708,sample!$1:$1048576,2,FALSE)</f>
        <v>#NAME?</v>
      </c>
      <c r="AD708" s="988" t="e">
        <f ca="1">VLOOKUP($AB708,sample!$1:$1048576,3,FALSE)</f>
        <v>#NAME?</v>
      </c>
      <c r="AE708" s="986" t="e">
        <f ca="1">VLOOKUP($AB708,sample!$1:$1048576,4,FALSE)</f>
        <v>#NAME?</v>
      </c>
      <c r="AF708" s="988" t="e">
        <f ca="1">VLOOKUP($AB708,sample!$1:$1048576,5,FALSE)</f>
        <v>#NAME?</v>
      </c>
      <c r="AP708" s="988"/>
    </row>
    <row r="709" spans="4:42">
      <c r="D709" s="1133" t="str">
        <f>IFERROR(VLOOKUP(G709,PosAggregate!$B$13:$B$89,1,FALSE),"")</f>
        <v/>
      </c>
      <c r="E709" s="1013" t="e">
        <f ca="1">_xll.BDP(G709  &amp; " Equity", "ID_ISIN", "Fill", "")</f>
        <v>#NAME?</v>
      </c>
      <c r="F709" s="1106" t="str">
        <f t="shared" si="152"/>
        <v>YES</v>
      </c>
      <c r="I709" s="1007" t="e">
        <f ca="1">_xll.BDP(E709 &amp; " Equity","SECURITY_NAME")</f>
        <v>#NAME?</v>
      </c>
      <c r="J709" s="1007" t="e">
        <f ca="1">_xll.BDP(G709 &amp; " Equity","Crncy")</f>
        <v>#NAME?</v>
      </c>
      <c r="N709" s="985">
        <f t="shared" si="146"/>
        <v>0</v>
      </c>
      <c r="R709" s="982">
        <f t="shared" si="150"/>
        <v>0</v>
      </c>
      <c r="T709" s="998" t="e">
        <f t="shared" si="151"/>
        <v>#DIV/0!</v>
      </c>
      <c r="X709" s="971" t="e">
        <f t="shared" si="149"/>
        <v>#DIV/0!</v>
      </c>
      <c r="Y709" s="584" t="s">
        <v>1693</v>
      </c>
      <c r="Z709" s="988" t="e">
        <f ca="1">VLOOKUP(AA709,'place of settlement'!A:C,2,FALSE)</f>
        <v>#NAME?</v>
      </c>
      <c r="AA709" s="988" t="e">
        <f t="shared" ca="1" si="147"/>
        <v>#NAME?</v>
      </c>
      <c r="AB709" s="988" t="e">
        <f t="shared" ca="1" si="148"/>
        <v>#NAME?</v>
      </c>
      <c r="AC709" s="988" t="e">
        <f ca="1">VLOOKUP(AB709,sample!$1:$1048576,2,FALSE)</f>
        <v>#NAME?</v>
      </c>
      <c r="AD709" s="988" t="e">
        <f ca="1">VLOOKUP($AB709,sample!$1:$1048576,3,FALSE)</f>
        <v>#NAME?</v>
      </c>
      <c r="AE709" s="986" t="e">
        <f ca="1">VLOOKUP($AB709,sample!$1:$1048576,4,FALSE)</f>
        <v>#NAME?</v>
      </c>
      <c r="AF709" s="988" t="e">
        <f ca="1">VLOOKUP($AB709,sample!$1:$1048576,5,FALSE)</f>
        <v>#NAME?</v>
      </c>
      <c r="AP709" s="988"/>
    </row>
    <row r="710" spans="4:42">
      <c r="D710" s="1133" t="str">
        <f>IFERROR(VLOOKUP(G710,PosAggregate!$B$13:$B$89,1,FALSE),"")</f>
        <v/>
      </c>
      <c r="I710" s="1007" t="e">
        <f ca="1">_xll.BDP(E710 &amp; " Equity","SECURITY_NAME")</f>
        <v>#NAME?</v>
      </c>
      <c r="AP710" s="988"/>
    </row>
  </sheetData>
  <phoneticPr fontId="77" type="noConversion"/>
  <conditionalFormatting sqref="I11:J19 J59 I65 I23:J50 V107:V117 I88:J119 R11:R94 V11:V105 D232:E239 I232:J239 V124:V228 D11:F11 D195:E230 D189:D193 E189:E194 D52:E188 D51 I52:J58 J51 I121:J230 I269:J297 D269:E296 N269:N298 E297 D297:D300 I307:J307 I302:J305 D307:E307 D302:E305 R307 R304:R305 N307 N304:N305 N309:N310 R309:R310 D309:E310 I309:J310 I317:J329 D317:E329 I331:I333 D331:E333 R315:R333 N315:N333 E337:E338 R337:R338 N337:N338 I337:I338 D335:D338 I356:J357 D356:E357 I341:I351 D343:E351 J330:J351 D360:E362 I360:J362 N360:N362 I364:J364 D364:E364 I66:J86 N364:N379 I366:J379 D366:E379 R365:R379 R381:R388 D381:E388 N381:N388 I381:J388 I395:J407 E395:E407 N395:N407 R395:R407 R409 E409 I409:J409 E414:E416 R414:R417 N409:N417 I414:J417 E419:E430 I419:J430 N419:N430 R419:R430 I445:J447 I432:J442 D432:D442 E432:E470 N432:N470 R432:R470 D449:D470 I450:J470 D12:E50 D472:E479 E480 D480:D481 I472:J480 E481:F481 R472:R481 N472:N481 I487:J491 I483:J484 N483:N484 R483:R484 D483 F483:F484 I481 J492:J494 D487:D494 N487:N500 F487:F500 E482:E500 I495:J500 I502:J502 N502 D502:F502 I505:J519 N505:N519 D505:F505 D511:F513 E510:F519 D509:D519 D522:F525 I522:J533 R487:R533 R535:R546 I535:J546 E535:F546 N522:N546 D534:D544 D548:F553 I548:J558 R548:R558 N241:N259 I241:J259 D241:E259 R241:R259 F12:F259 F261:F480 R261:R298 D261:E267 I261:J267 N261:N267 R560:R561 I560:J561 E560:F561 N548:N561 N563:N567 I563:J567 R563:R567 I684:I710 J684:J709 D556:F558 E554:F555 E563:F564 E533:F533 D527:F532 E526:F526 D507:F509 E506:F506 D496:D500 E569:E571 I569:J571 R99:R239 R569:R571 N11:N239 N569:N571 E565:E567 N573:N709 R573:R709 E573:E709 I573:J683 F565:F709 D559:D710">
    <cfRule type="expression" dxfId="221" priority="291">
      <formula>$C11="SELL"</formula>
    </cfRule>
  </conditionalFormatting>
  <conditionalFormatting sqref="F483:F484 F487:F500 F502 F505:F519 F522:F533 F535:F546 F548:F558 F1:F259 F261:F481 F560:F1048576">
    <cfRule type="containsText" dxfId="220" priority="209" operator="containsText" text="NO">
      <formula>NOT(ISERROR(SEARCH("NO",F1)))</formula>
    </cfRule>
  </conditionalFormatting>
  <conditionalFormatting sqref="I59:I64">
    <cfRule type="expression" dxfId="219" priority="208">
      <formula>$C59="SELL"</formula>
    </cfRule>
  </conditionalFormatting>
  <conditionalFormatting sqref="J60:J65">
    <cfRule type="expression" dxfId="218" priority="206">
      <formula>$C60="SELL"</formula>
    </cfRule>
  </conditionalFormatting>
  <conditionalFormatting sqref="R95:R98">
    <cfRule type="expression" dxfId="217" priority="205">
      <formula>$C95="SELL"</formula>
    </cfRule>
  </conditionalFormatting>
  <conditionalFormatting sqref="I20:J22">
    <cfRule type="expression" dxfId="216" priority="204">
      <formula>$C20="SELL"</formula>
    </cfRule>
  </conditionalFormatting>
  <conditionalFormatting sqref="V118:V119">
    <cfRule type="expression" dxfId="215" priority="203">
      <formula>$C118="SELL"</formula>
    </cfRule>
  </conditionalFormatting>
  <conditionalFormatting sqref="I120:J120">
    <cfRule type="expression" dxfId="214" priority="198">
      <formula>$C120="SELL"</formula>
    </cfRule>
  </conditionalFormatting>
  <conditionalFormatting sqref="I87:J87">
    <cfRule type="expression" dxfId="213" priority="192">
      <formula>$C87="SELL"</formula>
    </cfRule>
  </conditionalFormatting>
  <conditionalFormatting sqref="G170:G173">
    <cfRule type="expression" dxfId="212" priority="188">
      <formula>$C170="SELL"</formula>
    </cfRule>
  </conditionalFormatting>
  <conditionalFormatting sqref="G170:G175">
    <cfRule type="containsText" dxfId="211" priority="187" operator="containsText" text="NO">
      <formula>NOT(ISERROR(SEARCH("NO",G170)))</formula>
    </cfRule>
  </conditionalFormatting>
  <conditionalFormatting sqref="G176:G179">
    <cfRule type="containsText" dxfId="210" priority="186" operator="containsText" text="NO">
      <formula>NOT(ISERROR(SEARCH("NO",G176)))</formula>
    </cfRule>
  </conditionalFormatting>
  <conditionalFormatting sqref="I231:J231 D231:E231">
    <cfRule type="expression" dxfId="209" priority="184">
      <formula>$C231="SELL"</formula>
    </cfRule>
  </conditionalFormatting>
  <conditionalFormatting sqref="R240 N240 D240:E240 I240:J240">
    <cfRule type="expression" dxfId="208" priority="182">
      <formula>$C240="SELL"</formula>
    </cfRule>
  </conditionalFormatting>
  <conditionalFormatting sqref="N268:N269 I268:J269 D268:E269">
    <cfRule type="expression" dxfId="207" priority="176">
      <formula>$C268="SELL"</formula>
    </cfRule>
  </conditionalFormatting>
  <conditionalFormatting sqref="G284">
    <cfRule type="expression" dxfId="206" priority="174">
      <formula>$A284="SELL"</formula>
    </cfRule>
  </conditionalFormatting>
  <conditionalFormatting sqref="I51">
    <cfRule type="expression" dxfId="205" priority="172">
      <formula>$C51="SELL"</formula>
    </cfRule>
  </conditionalFormatting>
  <conditionalFormatting sqref="E299 R299 N299 I299:J299">
    <cfRule type="expression" dxfId="204" priority="171">
      <formula>$C299="SELL"</formula>
    </cfRule>
  </conditionalFormatting>
  <conditionalFormatting sqref="I298:J298 E298">
    <cfRule type="expression" dxfId="203" priority="169">
      <formula>$C298="SELL"</formula>
    </cfRule>
  </conditionalFormatting>
  <conditionalFormatting sqref="E300 R300 N300 I300:J300 I302:J302 N302 R302 E302">
    <cfRule type="expression" dxfId="202" priority="166">
      <formula>$C300="SELL"</formula>
    </cfRule>
  </conditionalFormatting>
  <conditionalFormatting sqref="R302 N302">
    <cfRule type="expression" dxfId="201" priority="164">
      <formula>$C302="SELL"</formula>
    </cfRule>
  </conditionalFormatting>
  <conditionalFormatting sqref="R303 N303">
    <cfRule type="expression" dxfId="200" priority="163">
      <formula>$C303="SELL"</formula>
    </cfRule>
  </conditionalFormatting>
  <conditionalFormatting sqref="D301">
    <cfRule type="expression" dxfId="199" priority="162">
      <formula>$C301="SELL"</formula>
    </cfRule>
  </conditionalFormatting>
  <conditionalFormatting sqref="E301 R301 N301 I301:J301">
    <cfRule type="expression" dxfId="198" priority="161">
      <formula>$C301="SELL"</formula>
    </cfRule>
  </conditionalFormatting>
  <conditionalFormatting sqref="I306:J306 D306:E306 R306 N306">
    <cfRule type="expression" dxfId="197" priority="156">
      <formula>$C306="SELL"</formula>
    </cfRule>
  </conditionalFormatting>
  <conditionalFormatting sqref="I308:J308 D308:E308 R308 N308">
    <cfRule type="expression" dxfId="196" priority="152">
      <formula>$C308="SELL"</formula>
    </cfRule>
  </conditionalFormatting>
  <conditionalFormatting sqref="N311:N313 R311:R313 D311:E313 I311:J313">
    <cfRule type="expression" dxfId="195" priority="145">
      <formula>$C311="SELL"</formula>
    </cfRule>
  </conditionalFormatting>
  <conditionalFormatting sqref="N314 R314 D314:E314 I314:J314">
    <cfRule type="expression" dxfId="194" priority="142">
      <formula>$C314="SELL"</formula>
    </cfRule>
  </conditionalFormatting>
  <conditionalFormatting sqref="D315:E315 I315:J315">
    <cfRule type="expression" dxfId="193" priority="139">
      <formula>$C315="SELL"</formula>
    </cfRule>
  </conditionalFormatting>
  <conditionalFormatting sqref="D316:E316 I316:J316">
    <cfRule type="expression" dxfId="192" priority="132">
      <formula>$C316="SELL"</formula>
    </cfRule>
  </conditionalFormatting>
  <conditionalFormatting sqref="I330 D330:E330">
    <cfRule type="expression" dxfId="191" priority="127">
      <formula>$C330="SELL"</formula>
    </cfRule>
  </conditionalFormatting>
  <conditionalFormatting sqref="I334 D334:E334 R334 N334">
    <cfRule type="expression" dxfId="190" priority="125">
      <formula>$C334="SELL"</formula>
    </cfRule>
  </conditionalFormatting>
  <conditionalFormatting sqref="I335:I336 E335:E336 R335:R336 N335:N336">
    <cfRule type="expression" dxfId="189" priority="123">
      <formula>$C335="SELL"</formula>
    </cfRule>
  </conditionalFormatting>
  <conditionalFormatting sqref="D339:D340">
    <cfRule type="expression" dxfId="188" priority="121">
      <formula>$C339="SELL"</formula>
    </cfRule>
  </conditionalFormatting>
  <conditionalFormatting sqref="I339:I340 E339:E340 R339:R340 N339:N340">
    <cfRule type="expression" dxfId="187" priority="120">
      <formula>$C339="SELL"</formula>
    </cfRule>
  </conditionalFormatting>
  <conditionalFormatting sqref="D341:D347">
    <cfRule type="expression" dxfId="186" priority="118">
      <formula>$C341="SELL"</formula>
    </cfRule>
  </conditionalFormatting>
  <conditionalFormatting sqref="E341:E347 N341:N351 R341:R351 N355:N357 R355:R364">
    <cfRule type="expression" dxfId="185" priority="117">
      <formula>$C341="SELL"</formula>
    </cfRule>
  </conditionalFormatting>
  <conditionalFormatting sqref="I350 D350:E350">
    <cfRule type="expression" dxfId="184" priority="114">
      <formula>$C350="SELL"</formula>
    </cfRule>
  </conditionalFormatting>
  <conditionalFormatting sqref="D355:E355 I355:J355">
    <cfRule type="expression" dxfId="183" priority="111">
      <formula>$C355="SELL"</formula>
    </cfRule>
  </conditionalFormatting>
  <conditionalFormatting sqref="D352:E352 I352:J352">
    <cfRule type="expression" dxfId="182" priority="108">
      <formula>$C352="SELL"</formula>
    </cfRule>
  </conditionalFormatting>
  <conditionalFormatting sqref="N352 R352">
    <cfRule type="expression" dxfId="181" priority="106">
      <formula>$C352="SELL"</formula>
    </cfRule>
  </conditionalFormatting>
  <conditionalFormatting sqref="D353:E353 I353:J353 D354:D357 D359">
    <cfRule type="expression" dxfId="180" priority="105">
      <formula>$C353="SELL"</formula>
    </cfRule>
  </conditionalFormatting>
  <conditionalFormatting sqref="N353 R353">
    <cfRule type="expression" dxfId="179" priority="103">
      <formula>$C353="SELL"</formula>
    </cfRule>
  </conditionalFormatting>
  <conditionalFormatting sqref="E354:E357 I354:J357 I359:J359 E359">
    <cfRule type="expression" dxfId="178" priority="102">
      <formula>$C354="SELL"</formula>
    </cfRule>
  </conditionalFormatting>
  <conditionalFormatting sqref="N354:N357 N359 R354:R364">
    <cfRule type="expression" dxfId="177" priority="100">
      <formula>$C354="SELL"</formula>
    </cfRule>
  </conditionalFormatting>
  <conditionalFormatting sqref="I359:J359 D359:E359">
    <cfRule type="expression" dxfId="176" priority="99">
      <formula>$C359="SELL"</formula>
    </cfRule>
  </conditionalFormatting>
  <conditionalFormatting sqref="N359">
    <cfRule type="expression" dxfId="175" priority="97">
      <formula>$C359="SELL"</formula>
    </cfRule>
  </conditionalFormatting>
  <conditionalFormatting sqref="N358">
    <cfRule type="expression" dxfId="174" priority="83">
      <formula>$C358="SELL"</formula>
    </cfRule>
  </conditionalFormatting>
  <conditionalFormatting sqref="I358:J358 D358:E358">
    <cfRule type="expression" dxfId="173" priority="89">
      <formula>$C358="SELL"</formula>
    </cfRule>
  </conditionalFormatting>
  <conditionalFormatting sqref="N358">
    <cfRule type="expression" dxfId="172" priority="87">
      <formula>$C358="SELL"</formula>
    </cfRule>
  </conditionalFormatting>
  <conditionalFormatting sqref="D358">
    <cfRule type="expression" dxfId="171" priority="86">
      <formula>$C358="SELL"</formula>
    </cfRule>
  </conditionalFormatting>
  <conditionalFormatting sqref="E358 I358:J358">
    <cfRule type="expression" dxfId="170" priority="85">
      <formula>$C358="SELL"</formula>
    </cfRule>
  </conditionalFormatting>
  <conditionalFormatting sqref="D363:E363 I363:J363 N363">
    <cfRule type="expression" dxfId="169" priority="82">
      <formula>$C363="SELL"</formula>
    </cfRule>
  </conditionalFormatting>
  <conditionalFormatting sqref="I365:J365 D365:E365">
    <cfRule type="expression" dxfId="168" priority="80">
      <formula>$C365="SELL"</formula>
    </cfRule>
  </conditionalFormatting>
  <conditionalFormatting sqref="G373">
    <cfRule type="expression" dxfId="167" priority="75">
      <formula>$C373="SELL"</formula>
    </cfRule>
  </conditionalFormatting>
  <conditionalFormatting sqref="N380 I380:J380 D380:E380 R380">
    <cfRule type="expression" dxfId="166" priority="74">
      <formula>$C380="SELL"</formula>
    </cfRule>
  </conditionalFormatting>
  <conditionalFormatting sqref="R389:R395 D389:E391 N389:N395 I389:J395 E392:E395 D392:D407 D409 D419:D430 D414:D417 D445:D448">
    <cfRule type="expression" dxfId="165" priority="72">
      <formula>$C389="SELL"</formula>
    </cfRule>
  </conditionalFormatting>
  <conditionalFormatting sqref="I408:J408 E408 N408 R408">
    <cfRule type="expression" dxfId="164" priority="70">
      <formula>$C408="SELL"</formula>
    </cfRule>
  </conditionalFormatting>
  <conditionalFormatting sqref="D408">
    <cfRule type="expression" dxfId="163" priority="68">
      <formula>$C408="SELL"</formula>
    </cfRule>
  </conditionalFormatting>
  <conditionalFormatting sqref="R410 E410 I410:J410">
    <cfRule type="expression" dxfId="162" priority="67">
      <formula>$C410="SELL"</formula>
    </cfRule>
  </conditionalFormatting>
  <conditionalFormatting sqref="D410">
    <cfRule type="expression" dxfId="161" priority="65">
      <formula>$C410="SELL"</formula>
    </cfRule>
  </conditionalFormatting>
  <conditionalFormatting sqref="R411 E411 I411:J411">
    <cfRule type="expression" dxfId="160" priority="64">
      <formula>$C411="SELL"</formula>
    </cfRule>
  </conditionalFormatting>
  <conditionalFormatting sqref="D411">
    <cfRule type="expression" dxfId="159" priority="62">
      <formula>$C411="SELL"</formula>
    </cfRule>
  </conditionalFormatting>
  <conditionalFormatting sqref="R412:R415 E412:E415 I412:J415">
    <cfRule type="expression" dxfId="158" priority="61">
      <formula>$C412="SELL"</formula>
    </cfRule>
  </conditionalFormatting>
  <conditionalFormatting sqref="D412:D417">
    <cfRule type="expression" dxfId="157" priority="59">
      <formula>$C412="SELL"</formula>
    </cfRule>
  </conditionalFormatting>
  <conditionalFormatting sqref="E418 R418 N418 I418:J418">
    <cfRule type="expression" dxfId="156" priority="58">
      <formula>$C418="SELL"</formula>
    </cfRule>
  </conditionalFormatting>
  <conditionalFormatting sqref="D418">
    <cfRule type="expression" dxfId="155" priority="56">
      <formula>$C418="SELL"</formula>
    </cfRule>
  </conditionalFormatting>
  <conditionalFormatting sqref="E431 I431:J431 N431 R431">
    <cfRule type="expression" dxfId="154" priority="54">
      <formula>$C431="SELL"</formula>
    </cfRule>
  </conditionalFormatting>
  <conditionalFormatting sqref="D431">
    <cfRule type="expression" dxfId="153" priority="52">
      <formula>$C431="SELL"</formula>
    </cfRule>
  </conditionalFormatting>
  <conditionalFormatting sqref="I443:J449">
    <cfRule type="expression" dxfId="152" priority="51">
      <formula>$C443="SELL"</formula>
    </cfRule>
  </conditionalFormatting>
  <conditionalFormatting sqref="D443:D448">
    <cfRule type="expression" dxfId="151" priority="49">
      <formula>$C443="SELL"</formula>
    </cfRule>
  </conditionalFormatting>
  <conditionalFormatting sqref="E417">
    <cfRule type="expression" dxfId="150" priority="47">
      <formula>$C410="SELL"</formula>
    </cfRule>
  </conditionalFormatting>
  <conditionalFormatting sqref="N448:N449 R448:R449">
    <cfRule type="expression" dxfId="149" priority="46">
      <formula>$C448="SELL"</formula>
    </cfRule>
  </conditionalFormatting>
  <conditionalFormatting sqref="I448:J449">
    <cfRule type="expression" dxfId="148" priority="44">
      <formula>$C448="SELL"</formula>
    </cfRule>
  </conditionalFormatting>
  <conditionalFormatting sqref="N471 R471 D471:E471 I471:J471">
    <cfRule type="expression" dxfId="147" priority="929">
      <formula>$B471="SELL"</formula>
    </cfRule>
  </conditionalFormatting>
  <conditionalFormatting sqref="E51">
    <cfRule type="duplicateValues" dxfId="146" priority="39"/>
  </conditionalFormatting>
  <conditionalFormatting sqref="I485:J485 R485 N485 D485:D486 F485">
    <cfRule type="expression" dxfId="145" priority="38">
      <formula>$C485="SELL"</formula>
    </cfRule>
  </conditionalFormatting>
  <conditionalFormatting sqref="F485">
    <cfRule type="containsText" dxfId="144" priority="37" operator="containsText" text="NO">
      <formula>NOT(ISERROR(SEARCH("NO",F485)))</formula>
    </cfRule>
  </conditionalFormatting>
  <conditionalFormatting sqref="N486 R486 I486:J486 F486">
    <cfRule type="expression" dxfId="143" priority="36">
      <formula>$C486="SELL"</formula>
    </cfRule>
  </conditionalFormatting>
  <conditionalFormatting sqref="F486">
    <cfRule type="containsText" dxfId="142" priority="35" operator="containsText" text="NO">
      <formula>NOT(ISERROR(SEARCH("NO",F486)))</formula>
    </cfRule>
  </conditionalFormatting>
  <conditionalFormatting sqref="D482">
    <cfRule type="expression" dxfId="141" priority="34">
      <formula>$C482="SELL"</formula>
    </cfRule>
  </conditionalFormatting>
  <conditionalFormatting sqref="R482 N482 I482:J482 F482 J481">
    <cfRule type="expression" dxfId="140" priority="33">
      <formula>$C481="SELL"</formula>
    </cfRule>
  </conditionalFormatting>
  <conditionalFormatting sqref="F482">
    <cfRule type="containsText" dxfId="139" priority="32" operator="containsText" text="NO">
      <formula>NOT(ISERROR(SEARCH("NO",F482)))</formula>
    </cfRule>
  </conditionalFormatting>
  <conditionalFormatting sqref="I492:I494">
    <cfRule type="expression" dxfId="138" priority="30">
      <formula>$C492="SELL"</formula>
    </cfRule>
  </conditionalFormatting>
  <conditionalFormatting sqref="N501 D501:F501 I501:J501">
    <cfRule type="expression" dxfId="137" priority="29">
      <formula>$C501="SELL"</formula>
    </cfRule>
  </conditionalFormatting>
  <conditionalFormatting sqref="F501">
    <cfRule type="containsText" dxfId="136" priority="28" operator="containsText" text="NO">
      <formula>NOT(ISERROR(SEARCH("NO",F501)))</formula>
    </cfRule>
  </conditionalFormatting>
  <conditionalFormatting sqref="I503:J503 N503 D503:F503">
    <cfRule type="expression" dxfId="135" priority="27">
      <formula>$C503="SELL"</formula>
    </cfRule>
  </conditionalFormatting>
  <conditionalFormatting sqref="F503">
    <cfRule type="containsText" dxfId="134" priority="26" operator="containsText" text="NO">
      <formula>NOT(ISERROR(SEARCH("NO",F503)))</formula>
    </cfRule>
  </conditionalFormatting>
  <conditionalFormatting sqref="I504:J504 N504 E504:F504">
    <cfRule type="expression" dxfId="133" priority="25">
      <formula>$C504="SELL"</formula>
    </cfRule>
  </conditionalFormatting>
  <conditionalFormatting sqref="F504">
    <cfRule type="containsText" dxfId="132" priority="24" operator="containsText" text="NO">
      <formula>NOT(ISERROR(SEARCH("NO",F504)))</formula>
    </cfRule>
  </conditionalFormatting>
  <conditionalFormatting sqref="I520:J530 N520:N530 D520:F525 D527:F530 E526:F526">
    <cfRule type="expression" dxfId="131" priority="21">
      <formula>$C520="SELL"</formula>
    </cfRule>
  </conditionalFormatting>
  <conditionalFormatting sqref="F520:F530">
    <cfRule type="containsText" dxfId="130" priority="20" operator="containsText" text="NO">
      <formula>NOT(ISERROR(SEARCH("NO",F520)))</formula>
    </cfRule>
  </conditionalFormatting>
  <conditionalFormatting sqref="E534:F534 I534:J534 R534">
    <cfRule type="expression" dxfId="129" priority="19">
      <formula>$C534="SELL"</formula>
    </cfRule>
  </conditionalFormatting>
  <conditionalFormatting sqref="F534">
    <cfRule type="containsText" dxfId="128" priority="18" operator="containsText" text="NO">
      <formula>NOT(ISERROR(SEARCH("NO",F534)))</formula>
    </cfRule>
  </conditionalFormatting>
  <conditionalFormatting sqref="R547:R549 I547:J549 N547:N549 D547:F549">
    <cfRule type="expression" dxfId="127" priority="17">
      <formula>$C547="SELL"</formula>
    </cfRule>
  </conditionalFormatting>
  <conditionalFormatting sqref="F547:F549">
    <cfRule type="containsText" dxfId="126" priority="16" operator="containsText" text="NO">
      <formula>NOT(ISERROR(SEARCH("NO",F547)))</formula>
    </cfRule>
  </conditionalFormatting>
  <conditionalFormatting sqref="E559:F561 I559:J561 R559:R561">
    <cfRule type="expression" dxfId="125" priority="15">
      <formula>$C559="SELL"</formula>
    </cfRule>
  </conditionalFormatting>
  <conditionalFormatting sqref="F559:F561">
    <cfRule type="containsText" dxfId="124" priority="14" operator="containsText" text="NO">
      <formula>NOT(ISERROR(SEARCH("NO",F559)))</formula>
    </cfRule>
  </conditionalFormatting>
  <conditionalFormatting sqref="I260:J260 N260 R260 D260:F260">
    <cfRule type="expression" dxfId="123" priority="13">
      <formula>$C260="SELL"</formula>
    </cfRule>
  </conditionalFormatting>
  <conditionalFormatting sqref="F260">
    <cfRule type="containsText" dxfId="122" priority="12" operator="containsText" text="NO">
      <formula>NOT(ISERROR(SEARCH("NO",F260)))</formula>
    </cfRule>
  </conditionalFormatting>
  <conditionalFormatting sqref="R562:R564 I562:J564 N562:N564 E562:F564">
    <cfRule type="expression" dxfId="121" priority="11">
      <formula>$C562="SELL"</formula>
    </cfRule>
  </conditionalFormatting>
  <conditionalFormatting sqref="I562:J564 R562:R564 E562:F564">
    <cfRule type="expression" dxfId="120" priority="9">
      <formula>$C562="SELL"</formula>
    </cfRule>
  </conditionalFormatting>
  <conditionalFormatting sqref="N568 I568:J568 R568 E568">
    <cfRule type="expression" dxfId="119" priority="7">
      <formula>$C568="SELL"</formula>
    </cfRule>
  </conditionalFormatting>
  <conditionalFormatting sqref="E572 I572:J572 R572 N572">
    <cfRule type="expression" dxfId="118" priority="3">
      <formula>$C572="SELL"</formula>
    </cfRule>
  </conditionalFormatting>
  <conditionalFormatting sqref="G592">
    <cfRule type="expression" dxfId="117" priority="1">
      <formula>$C592="SELL"</formula>
    </cfRule>
  </conditionalFormatting>
  <dataValidations count="1">
    <dataValidation allowBlank="1" showInputMessage="1" showErrorMessage="1" sqref="D11:D193 G373 D527:D532 D195:D483 D485:D494 D547:D553 D496:D503 D534:D544 D511:D525 D507:D509 D505 G592 D556:D710" xr:uid="{0F543B65-754E-4B9E-8807-640A63F6D972}"/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AAC82-CCB0-4C45-A805-D088EE5FF456}">
  <sheetPr codeName="Foglio12">
    <tabColor theme="6"/>
  </sheetPr>
  <dimension ref="A1:Y91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G19" sqref="G19"/>
    </sheetView>
  </sheetViews>
  <sheetFormatPr defaultColWidth="9" defaultRowHeight="13" outlineLevelCol="1"/>
  <cols>
    <col min="1" max="1" width="12.54296875" style="1" customWidth="1"/>
    <col min="2" max="2" width="13.54296875" style="1" customWidth="1"/>
    <col min="3" max="3" width="12.81640625" style="1" hidden="1" customWidth="1" outlineLevel="1"/>
    <col min="4" max="4" width="15.26953125" style="1" customWidth="1" collapsed="1"/>
    <col min="5" max="5" width="14.26953125" style="2" customWidth="1"/>
    <col min="6" max="6" width="44" style="2" bestFit="1" customWidth="1"/>
    <col min="7" max="7" width="9" style="2"/>
    <col min="8" max="8" width="7.81640625" style="2" customWidth="1"/>
    <col min="9" max="9" width="9" style="2" customWidth="1"/>
    <col min="10" max="10" width="18.81640625" style="2" customWidth="1"/>
    <col min="11" max="11" width="12.54296875" style="2" customWidth="1"/>
    <col min="12" max="12" width="11.81640625" style="2" customWidth="1"/>
    <col min="13" max="13" width="12.26953125" style="2" customWidth="1"/>
    <col min="14" max="14" width="18.54296875" style="2" customWidth="1"/>
    <col min="15" max="15" width="9" style="60"/>
    <col min="16" max="16" width="18.26953125" style="2" customWidth="1"/>
    <col min="17" max="17" width="16" style="2" customWidth="1"/>
    <col min="18" max="18" width="12" style="1" customWidth="1"/>
    <col min="19" max="19" width="13" style="90" customWidth="1"/>
    <col min="20" max="16384" width="9" style="2"/>
  </cols>
  <sheetData>
    <row r="1" spans="1:25" s="6" customFormat="1">
      <c r="A1" s="8"/>
      <c r="B1" s="8"/>
      <c r="D1" s="8"/>
      <c r="M1" s="8"/>
      <c r="N1" s="8"/>
      <c r="O1" s="52"/>
      <c r="P1" s="8"/>
      <c r="S1" s="88"/>
    </row>
    <row r="2" spans="1:25" s="6" customFormat="1">
      <c r="A2" s="8"/>
      <c r="B2" s="8"/>
      <c r="D2" s="8"/>
      <c r="M2" s="8"/>
      <c r="N2" s="8"/>
      <c r="O2" s="52"/>
      <c r="P2" s="8"/>
      <c r="S2" s="88"/>
    </row>
    <row r="3" spans="1:25" s="6" customFormat="1">
      <c r="A3" s="8"/>
      <c r="B3" s="8"/>
      <c r="D3" s="8"/>
      <c r="M3" s="8"/>
      <c r="N3" s="8"/>
      <c r="O3" s="52"/>
      <c r="P3" s="8"/>
      <c r="S3" s="88"/>
    </row>
    <row r="4" spans="1:25" s="6" customFormat="1">
      <c r="A4" s="8"/>
      <c r="B4" s="8"/>
      <c r="D4" s="8"/>
      <c r="M4" s="8"/>
      <c r="N4" s="8"/>
      <c r="O4" s="52"/>
      <c r="P4" s="8"/>
      <c r="S4" s="88"/>
    </row>
    <row r="5" spans="1:25" s="6" customFormat="1">
      <c r="A5" s="8"/>
      <c r="B5" s="8"/>
      <c r="D5" s="8"/>
      <c r="M5" s="8"/>
      <c r="N5" s="8"/>
      <c r="O5" s="52"/>
      <c r="P5" s="8"/>
      <c r="S5" s="88"/>
    </row>
    <row r="6" spans="1:25" s="6" customFormat="1">
      <c r="A6" s="8"/>
      <c r="B6" s="8"/>
      <c r="C6" s="8"/>
      <c r="D6" s="8"/>
      <c r="O6" s="56"/>
      <c r="R6" s="8"/>
      <c r="S6" s="88"/>
    </row>
    <row r="7" spans="1:25">
      <c r="A7" s="8"/>
      <c r="B7" s="8"/>
      <c r="C7" s="8"/>
      <c r="D7" s="8"/>
      <c r="E7" s="6"/>
      <c r="F7" s="6"/>
      <c r="G7" s="6"/>
      <c r="H7" s="6"/>
      <c r="I7" s="6"/>
      <c r="J7" s="6"/>
      <c r="K7" s="6"/>
      <c r="L7" s="6"/>
      <c r="M7" s="6"/>
      <c r="N7" s="6"/>
      <c r="O7" s="56"/>
      <c r="P7" s="6"/>
      <c r="Q7" s="6"/>
      <c r="R7" s="8"/>
      <c r="S7" s="88"/>
      <c r="T7" s="6"/>
      <c r="U7" s="6"/>
      <c r="V7" s="6"/>
      <c r="W7" s="6"/>
      <c r="X7" s="6"/>
      <c r="Y7" s="6"/>
    </row>
    <row r="8" spans="1:25">
      <c r="A8" s="8"/>
      <c r="B8" s="8"/>
      <c r="C8" s="8"/>
      <c r="D8" s="8"/>
      <c r="E8" s="8"/>
      <c r="F8" s="6"/>
      <c r="G8" s="8"/>
      <c r="H8" s="8"/>
      <c r="I8" s="15"/>
      <c r="J8" s="8"/>
      <c r="K8" s="8"/>
      <c r="L8" s="8"/>
      <c r="M8" s="8"/>
      <c r="N8" s="8"/>
      <c r="O8" s="52"/>
      <c r="P8" s="8"/>
      <c r="Q8" s="8"/>
      <c r="R8" s="8"/>
      <c r="S8" s="89"/>
      <c r="T8" s="6"/>
      <c r="U8" s="6"/>
      <c r="V8" s="6"/>
      <c r="W8" s="6"/>
      <c r="X8" s="6"/>
      <c r="Y8" s="6"/>
    </row>
    <row r="9" spans="1:25">
      <c r="A9" s="8"/>
      <c r="B9" s="8"/>
      <c r="C9" s="19"/>
      <c r="D9" s="8"/>
      <c r="E9" s="8"/>
      <c r="F9" s="6"/>
      <c r="G9" s="8"/>
      <c r="H9" s="6"/>
      <c r="I9" s="20"/>
      <c r="J9" s="21"/>
      <c r="K9" s="6"/>
      <c r="L9" s="6"/>
      <c r="M9" s="6"/>
      <c r="N9" s="6"/>
      <c r="O9" s="56"/>
      <c r="P9" s="6"/>
      <c r="Q9" s="17"/>
      <c r="R9" s="8"/>
      <c r="S9" s="89"/>
      <c r="T9" s="6"/>
      <c r="U9" s="6"/>
      <c r="V9" s="6"/>
      <c r="W9" s="6"/>
      <c r="X9" s="6"/>
      <c r="Y9" s="6"/>
    </row>
    <row r="10" spans="1:25">
      <c r="A10" s="128" t="s">
        <v>27</v>
      </c>
      <c r="B10" s="118" t="s">
        <v>135</v>
      </c>
      <c r="C10" s="119" t="s">
        <v>156</v>
      </c>
      <c r="D10" s="120" t="s">
        <v>34</v>
      </c>
      <c r="E10" s="119" t="s">
        <v>110</v>
      </c>
      <c r="F10" s="129" t="s">
        <v>127</v>
      </c>
      <c r="G10" s="119" t="s">
        <v>5</v>
      </c>
      <c r="H10" s="119" t="s">
        <v>20</v>
      </c>
      <c r="I10" s="130" t="s">
        <v>11</v>
      </c>
      <c r="J10" s="119" t="s">
        <v>46</v>
      </c>
      <c r="K10" s="119" t="s">
        <v>29</v>
      </c>
      <c r="L10" s="119" t="s">
        <v>30</v>
      </c>
      <c r="M10" s="119" t="s">
        <v>1077</v>
      </c>
      <c r="N10" s="119" t="s">
        <v>119</v>
      </c>
      <c r="O10" s="131" t="s">
        <v>25</v>
      </c>
      <c r="P10" s="119" t="s">
        <v>47</v>
      </c>
      <c r="Q10" s="132" t="s">
        <v>32</v>
      </c>
      <c r="R10" s="132" t="s">
        <v>33</v>
      </c>
      <c r="S10" s="121" t="s">
        <v>141</v>
      </c>
      <c r="T10" s="6"/>
      <c r="U10" s="6"/>
      <c r="V10" s="6"/>
      <c r="W10" s="6"/>
      <c r="X10" s="6"/>
      <c r="Y10" s="6"/>
    </row>
    <row r="11" spans="1:25">
      <c r="A11" s="133">
        <v>43522</v>
      </c>
      <c r="B11" s="134" t="s">
        <v>133</v>
      </c>
      <c r="C11" s="123" t="str">
        <f ca="1">IFERROR(VLOOKUP(D11,PosAggregate!$A$13:$A$271,1,FALSE),"")</f>
        <v/>
      </c>
      <c r="D11" s="123" t="s">
        <v>1075</v>
      </c>
      <c r="E11" s="123" t="str">
        <f ca="1">IF(C11=D11,"YES","NO")</f>
        <v>NO</v>
      </c>
      <c r="F11" s="135" t="s">
        <v>1099</v>
      </c>
      <c r="G11" s="123" t="s">
        <v>1100</v>
      </c>
      <c r="H11" s="124">
        <v>45.35</v>
      </c>
      <c r="I11" s="125">
        <v>2200</v>
      </c>
      <c r="J11" s="127">
        <f>-H11*I11</f>
        <v>-99770</v>
      </c>
      <c r="K11" s="136">
        <v>-41.58</v>
      </c>
      <c r="L11" s="123"/>
      <c r="M11" s="136">
        <v>-8.31</v>
      </c>
      <c r="N11" s="137">
        <f>J11+K11+L11+M11</f>
        <v>-99819.89</v>
      </c>
      <c r="O11" s="243">
        <v>0.85924745261000746</v>
      </c>
      <c r="P11" s="139">
        <v>-115473.13838244646</v>
      </c>
      <c r="Q11" s="126">
        <f>+A11+2</f>
        <v>43524</v>
      </c>
      <c r="R11" s="122" t="s">
        <v>1072</v>
      </c>
      <c r="S11" s="146">
        <v>43523.420672337961</v>
      </c>
      <c r="T11" s="6"/>
      <c r="U11" s="6"/>
      <c r="V11" s="6"/>
      <c r="W11" s="6"/>
      <c r="X11" s="6"/>
      <c r="Y11" s="6"/>
    </row>
    <row r="12" spans="1:25">
      <c r="A12" s="133"/>
      <c r="B12" s="134"/>
      <c r="C12" s="123">
        <f ca="1">IFERROR(VLOOKUP(D12,PosAggregate!$A$13:$A$271,1,FALSE),"")</f>
        <v>0</v>
      </c>
      <c r="D12" s="123"/>
      <c r="E12" s="123" t="str">
        <f t="shared" ref="E12:E22" ca="1" si="0">IF(C12=D12,"YES","NO")</f>
        <v>YES</v>
      </c>
      <c r="F12" s="135" t="e">
        <f ca="1">_xll.TR(D12,"TR.CommonName")</f>
        <v>#NAME?</v>
      </c>
      <c r="G12" s="123" t="e">
        <f ca="1">_xll.TR(D12,"TR.FundCurrency")</f>
        <v>#NAME?</v>
      </c>
      <c r="H12" s="124"/>
      <c r="I12" s="125"/>
      <c r="J12" s="127">
        <f>-H12*I12</f>
        <v>0</v>
      </c>
      <c r="K12" s="136"/>
      <c r="L12" s="123"/>
      <c r="M12" s="136"/>
      <c r="N12" s="137">
        <f t="shared" ref="N12:N22" si="1">J12+K12+L12+M12</f>
        <v>0</v>
      </c>
      <c r="O12" s="138"/>
      <c r="P12" s="139" t="e">
        <f t="shared" ref="P12:P22" si="2">+N12/O12</f>
        <v>#DIV/0!</v>
      </c>
      <c r="Q12" s="126">
        <f t="shared" ref="Q12:Q22" si="3">+A12+2</f>
        <v>2</v>
      </c>
      <c r="R12" s="122"/>
      <c r="S12" s="146"/>
      <c r="T12" s="6"/>
      <c r="U12" s="6"/>
      <c r="V12" s="6"/>
      <c r="W12" s="6"/>
      <c r="X12" s="6"/>
      <c r="Y12" s="6"/>
    </row>
    <row r="13" spans="1:25">
      <c r="A13" s="133"/>
      <c r="B13" s="134"/>
      <c r="C13" s="123">
        <f ca="1">IFERROR(VLOOKUP(D13,PosAggregate!$A$13:$A$271,1,FALSE),"")</f>
        <v>0</v>
      </c>
      <c r="D13" s="123"/>
      <c r="E13" s="123" t="str">
        <f t="shared" ca="1" si="0"/>
        <v>YES</v>
      </c>
      <c r="F13" s="135" t="e">
        <f ca="1">_xll.TR(D13,"TR.CommonName")</f>
        <v>#NAME?</v>
      </c>
      <c r="G13" s="123" t="e">
        <f ca="1">_xll.TR(D13,"TR.FundCurrency")</f>
        <v>#NAME?</v>
      </c>
      <c r="H13" s="124"/>
      <c r="I13" s="125"/>
      <c r="J13" s="127">
        <f>-H13*I13</f>
        <v>0</v>
      </c>
      <c r="K13" s="136"/>
      <c r="L13" s="123"/>
      <c r="M13" s="136"/>
      <c r="N13" s="137">
        <f t="shared" si="1"/>
        <v>0</v>
      </c>
      <c r="O13" s="138"/>
      <c r="P13" s="139" t="e">
        <f t="shared" si="2"/>
        <v>#DIV/0!</v>
      </c>
      <c r="Q13" s="126">
        <f t="shared" si="3"/>
        <v>2</v>
      </c>
      <c r="R13" s="122"/>
      <c r="S13" s="146"/>
      <c r="T13" s="6"/>
      <c r="U13" s="6"/>
      <c r="V13" s="6"/>
      <c r="W13" s="6"/>
      <c r="X13" s="6"/>
      <c r="Y13" s="6"/>
    </row>
    <row r="14" spans="1:25">
      <c r="A14" s="133"/>
      <c r="B14" s="134"/>
      <c r="C14" s="123">
        <f ca="1">IFERROR(VLOOKUP(D14,PosAggregate!$A$13:$A$271,1,FALSE),"")</f>
        <v>0</v>
      </c>
      <c r="D14" s="123"/>
      <c r="E14" s="123" t="str">
        <f ca="1">IF(C14=D14,"YES","NO")</f>
        <v>YES</v>
      </c>
      <c r="F14" s="135" t="e">
        <f ca="1">_xll.TR(D14,"TR.CommonName")</f>
        <v>#NAME?</v>
      </c>
      <c r="G14" s="123" t="e">
        <f ca="1">_xll.TR(D14,"TR.FundCurrency")</f>
        <v>#NAME?</v>
      </c>
      <c r="H14" s="124"/>
      <c r="I14" s="125"/>
      <c r="J14" s="127">
        <f>-H14*I14</f>
        <v>0</v>
      </c>
      <c r="K14" s="136"/>
      <c r="L14" s="123"/>
      <c r="M14" s="136"/>
      <c r="N14" s="137">
        <f t="shared" si="1"/>
        <v>0</v>
      </c>
      <c r="O14" s="138"/>
      <c r="P14" s="139" t="e">
        <f t="shared" si="2"/>
        <v>#DIV/0!</v>
      </c>
      <c r="Q14" s="126">
        <f t="shared" si="3"/>
        <v>2</v>
      </c>
      <c r="R14" s="122"/>
      <c r="S14" s="146"/>
      <c r="T14" s="6"/>
      <c r="U14" s="6"/>
      <c r="V14" s="6"/>
      <c r="W14" s="6"/>
      <c r="X14" s="6"/>
      <c r="Y14" s="6"/>
    </row>
    <row r="15" spans="1:25">
      <c r="A15" s="133"/>
      <c r="B15" s="134"/>
      <c r="C15" s="123">
        <f ca="1">IFERROR(VLOOKUP(D15,PosAggregate!$A$13:$A$271,1,FALSE),"")</f>
        <v>0</v>
      </c>
      <c r="D15" s="123"/>
      <c r="E15" s="123" t="str">
        <f t="shared" ca="1" si="0"/>
        <v>YES</v>
      </c>
      <c r="F15" s="135" t="e">
        <f ca="1">_xll.TR(D15,"TR.CommonName")</f>
        <v>#NAME?</v>
      </c>
      <c r="G15" s="123" t="e">
        <f ca="1">_xll.TR(D15,"TR.FundCurrency")</f>
        <v>#NAME?</v>
      </c>
      <c r="H15" s="124"/>
      <c r="I15" s="125"/>
      <c r="J15" s="127">
        <f>-H15*I15</f>
        <v>0</v>
      </c>
      <c r="K15" s="136"/>
      <c r="L15" s="123"/>
      <c r="M15" s="136"/>
      <c r="N15" s="137">
        <f t="shared" si="1"/>
        <v>0</v>
      </c>
      <c r="O15" s="138"/>
      <c r="P15" s="139" t="e">
        <f t="shared" si="2"/>
        <v>#DIV/0!</v>
      </c>
      <c r="Q15" s="126">
        <f t="shared" si="3"/>
        <v>2</v>
      </c>
      <c r="R15" s="122"/>
      <c r="S15" s="146"/>
      <c r="T15" s="6"/>
      <c r="U15" s="6"/>
      <c r="V15" s="6"/>
      <c r="W15" s="6"/>
      <c r="X15" s="6"/>
      <c r="Y15" s="6"/>
    </row>
    <row r="16" spans="1:25">
      <c r="A16" s="133"/>
      <c r="B16" s="134"/>
      <c r="C16" s="123">
        <f ca="1">IFERROR(VLOOKUP(D16,PosAggregate!$A$13:$A$271,1,FALSE),"")</f>
        <v>0</v>
      </c>
      <c r="D16" s="123"/>
      <c r="E16" s="123" t="str">
        <f t="shared" ca="1" si="0"/>
        <v>YES</v>
      </c>
      <c r="F16" s="135" t="e">
        <f ca="1">_xll.TR(D16,"TR.CommonName")</f>
        <v>#NAME?</v>
      </c>
      <c r="G16" s="123" t="e">
        <f ca="1">_xll.TR(D16,"TR.FundCurrency")</f>
        <v>#NAME?</v>
      </c>
      <c r="H16" s="124"/>
      <c r="I16" s="125"/>
      <c r="J16" s="127">
        <f t="shared" ref="J16:J22" si="4">-H16*I16</f>
        <v>0</v>
      </c>
      <c r="K16" s="136"/>
      <c r="L16" s="123"/>
      <c r="M16" s="136"/>
      <c r="N16" s="137">
        <f t="shared" si="1"/>
        <v>0</v>
      </c>
      <c r="O16" s="138"/>
      <c r="P16" s="139" t="e">
        <f t="shared" si="2"/>
        <v>#DIV/0!</v>
      </c>
      <c r="Q16" s="126">
        <f t="shared" si="3"/>
        <v>2</v>
      </c>
      <c r="R16" s="122"/>
      <c r="S16" s="146"/>
      <c r="T16" s="6"/>
      <c r="U16" s="6"/>
      <c r="V16" s="6"/>
      <c r="W16" s="6"/>
      <c r="X16" s="6"/>
      <c r="Y16" s="6"/>
    </row>
    <row r="17" spans="1:25">
      <c r="A17" s="133"/>
      <c r="B17" s="134"/>
      <c r="C17" s="123">
        <f ca="1">IFERROR(VLOOKUP(D17,PosAggregate!$A$13:$A$271,1,FALSE),"")</f>
        <v>0</v>
      </c>
      <c r="D17" s="123"/>
      <c r="E17" s="123" t="str">
        <f t="shared" ca="1" si="0"/>
        <v>YES</v>
      </c>
      <c r="F17" s="135" t="e">
        <f ca="1">_xll.TR(D17,"TR.CommonName")</f>
        <v>#NAME?</v>
      </c>
      <c r="G17" s="123" t="e">
        <f ca="1">_xll.TR(D17,"TR.FundCurrency")</f>
        <v>#NAME?</v>
      </c>
      <c r="H17" s="124"/>
      <c r="I17" s="125"/>
      <c r="J17" s="127">
        <f t="shared" si="4"/>
        <v>0</v>
      </c>
      <c r="K17" s="136"/>
      <c r="L17" s="123"/>
      <c r="M17" s="136"/>
      <c r="N17" s="137">
        <f t="shared" si="1"/>
        <v>0</v>
      </c>
      <c r="O17" s="138"/>
      <c r="P17" s="139" t="e">
        <f t="shared" si="2"/>
        <v>#DIV/0!</v>
      </c>
      <c r="Q17" s="126">
        <f t="shared" si="3"/>
        <v>2</v>
      </c>
      <c r="R17" s="122"/>
      <c r="S17" s="146"/>
      <c r="T17" s="6"/>
      <c r="U17" s="6"/>
      <c r="V17" s="6"/>
      <c r="W17" s="6"/>
      <c r="X17" s="6"/>
      <c r="Y17" s="6"/>
    </row>
    <row r="18" spans="1:25">
      <c r="A18" s="133"/>
      <c r="B18" s="134"/>
      <c r="C18" s="123">
        <f ca="1">IFERROR(VLOOKUP(D18,PosAggregate!$A$13:$A$271,1,FALSE),"")</f>
        <v>0</v>
      </c>
      <c r="D18" s="123"/>
      <c r="E18" s="123" t="str">
        <f t="shared" ca="1" si="0"/>
        <v>YES</v>
      </c>
      <c r="F18" s="135" t="e">
        <f ca="1">_xll.TR(D18,"TR.CommonName")</f>
        <v>#NAME?</v>
      </c>
      <c r="G18" s="123" t="e">
        <f ca="1">_xll.TR(D18,"TR.FundCurrency")</f>
        <v>#NAME?</v>
      </c>
      <c r="H18" s="124"/>
      <c r="I18" s="125"/>
      <c r="J18" s="127">
        <f t="shared" si="4"/>
        <v>0</v>
      </c>
      <c r="K18" s="136"/>
      <c r="L18" s="123"/>
      <c r="M18" s="136"/>
      <c r="N18" s="137">
        <f t="shared" si="1"/>
        <v>0</v>
      </c>
      <c r="O18" s="138"/>
      <c r="P18" s="139" t="e">
        <f t="shared" si="2"/>
        <v>#DIV/0!</v>
      </c>
      <c r="Q18" s="126">
        <f t="shared" si="3"/>
        <v>2</v>
      </c>
      <c r="R18" s="122"/>
      <c r="S18" s="146"/>
      <c r="T18" s="6"/>
      <c r="U18" s="6"/>
      <c r="V18" s="6"/>
      <c r="W18" s="6"/>
      <c r="X18" s="6"/>
      <c r="Y18" s="6"/>
    </row>
    <row r="19" spans="1:25">
      <c r="A19" s="133"/>
      <c r="B19" s="134"/>
      <c r="C19" s="123">
        <f ca="1">IFERROR(VLOOKUP(D19,PosAggregate!$A$13:$A$271,1,FALSE),"")</f>
        <v>0</v>
      </c>
      <c r="D19" s="123"/>
      <c r="E19" s="123" t="str">
        <f t="shared" ca="1" si="0"/>
        <v>YES</v>
      </c>
      <c r="F19" s="135" t="e">
        <f ca="1">_xll.TR(D19,"TR.CommonName")</f>
        <v>#NAME?</v>
      </c>
      <c r="G19" s="123" t="e">
        <f ca="1">_xll.TR(D19,"TR.FundCurrency")</f>
        <v>#NAME?</v>
      </c>
      <c r="H19" s="124"/>
      <c r="I19" s="125"/>
      <c r="J19" s="127">
        <f t="shared" si="4"/>
        <v>0</v>
      </c>
      <c r="K19" s="136"/>
      <c r="L19" s="123"/>
      <c r="M19" s="136"/>
      <c r="N19" s="137">
        <f t="shared" si="1"/>
        <v>0</v>
      </c>
      <c r="O19" s="138"/>
      <c r="P19" s="139" t="e">
        <f t="shared" si="2"/>
        <v>#DIV/0!</v>
      </c>
      <c r="Q19" s="126">
        <f t="shared" si="3"/>
        <v>2</v>
      </c>
      <c r="R19" s="122"/>
      <c r="S19" s="146"/>
      <c r="T19" s="6"/>
      <c r="U19" s="6"/>
      <c r="V19" s="6"/>
      <c r="W19" s="6"/>
      <c r="X19" s="6"/>
      <c r="Y19" s="6"/>
    </row>
    <row r="20" spans="1:25">
      <c r="A20" s="133"/>
      <c r="B20" s="134"/>
      <c r="C20" s="123">
        <f ca="1">IFERROR(VLOOKUP(D20,PosAggregate!$A$13:$A$271,1,FALSE),"")</f>
        <v>0</v>
      </c>
      <c r="D20" s="123"/>
      <c r="E20" s="123" t="str">
        <f t="shared" ca="1" si="0"/>
        <v>YES</v>
      </c>
      <c r="F20" s="135" t="e">
        <f ca="1">_xll.TR(D20,"TR.CommonName")</f>
        <v>#NAME?</v>
      </c>
      <c r="G20" s="123" t="e">
        <f ca="1">_xll.TR(D20,"TR.FundCurrency")</f>
        <v>#NAME?</v>
      </c>
      <c r="H20" s="124"/>
      <c r="I20" s="125"/>
      <c r="J20" s="127">
        <f t="shared" si="4"/>
        <v>0</v>
      </c>
      <c r="K20" s="136"/>
      <c r="L20" s="123"/>
      <c r="M20" s="136"/>
      <c r="N20" s="137">
        <f t="shared" si="1"/>
        <v>0</v>
      </c>
      <c r="O20" s="138"/>
      <c r="P20" s="139" t="e">
        <f t="shared" si="2"/>
        <v>#DIV/0!</v>
      </c>
      <c r="Q20" s="126">
        <f t="shared" si="3"/>
        <v>2</v>
      </c>
      <c r="R20" s="122"/>
      <c r="S20" s="146"/>
      <c r="T20" s="6"/>
      <c r="U20" s="6"/>
      <c r="V20" s="6"/>
      <c r="W20" s="6"/>
      <c r="X20" s="6"/>
      <c r="Y20" s="6"/>
    </row>
    <row r="21" spans="1:25">
      <c r="A21" s="133"/>
      <c r="B21" s="134"/>
      <c r="C21" s="123">
        <f ca="1">IFERROR(VLOOKUP(D21,PosAggregate!$A$13:$A$271,1,FALSE),"")</f>
        <v>0</v>
      </c>
      <c r="D21" s="123"/>
      <c r="E21" s="123" t="str">
        <f t="shared" ca="1" si="0"/>
        <v>YES</v>
      </c>
      <c r="F21" s="135" t="e">
        <f ca="1">_xll.TR(D21,"TR.CommonName")</f>
        <v>#NAME?</v>
      </c>
      <c r="G21" s="123" t="e">
        <f ca="1">_xll.TR(D21,"TR.FundCurrency")</f>
        <v>#NAME?</v>
      </c>
      <c r="H21" s="124"/>
      <c r="I21" s="125"/>
      <c r="J21" s="127">
        <f t="shared" si="4"/>
        <v>0</v>
      </c>
      <c r="K21" s="136"/>
      <c r="L21" s="123"/>
      <c r="M21" s="136"/>
      <c r="N21" s="137">
        <f t="shared" si="1"/>
        <v>0</v>
      </c>
      <c r="O21" s="138"/>
      <c r="P21" s="139" t="e">
        <f t="shared" si="2"/>
        <v>#DIV/0!</v>
      </c>
      <c r="Q21" s="126">
        <f t="shared" si="3"/>
        <v>2</v>
      </c>
      <c r="R21" s="122"/>
      <c r="S21" s="146"/>
      <c r="T21" s="6"/>
      <c r="U21" s="6"/>
      <c r="V21" s="6"/>
      <c r="W21" s="6"/>
      <c r="X21" s="6"/>
      <c r="Y21" s="6"/>
    </row>
    <row r="22" spans="1:25">
      <c r="A22" s="133"/>
      <c r="B22" s="134"/>
      <c r="C22" s="123">
        <f ca="1">IFERROR(VLOOKUP(D22,PosAggregate!$A$13:$A$271,1,FALSE),"")</f>
        <v>0</v>
      </c>
      <c r="D22" s="123"/>
      <c r="E22" s="123" t="str">
        <f t="shared" ca="1" si="0"/>
        <v>YES</v>
      </c>
      <c r="F22" s="135" t="e">
        <f ca="1">_xll.TR(D22,"TR.CommonName")</f>
        <v>#NAME?</v>
      </c>
      <c r="G22" s="123" t="e">
        <f ca="1">_xll.TR(D22,"TR.FundCurrency")</f>
        <v>#NAME?</v>
      </c>
      <c r="H22" s="124"/>
      <c r="I22" s="125"/>
      <c r="J22" s="127">
        <f t="shared" si="4"/>
        <v>0</v>
      </c>
      <c r="K22" s="136"/>
      <c r="L22" s="123"/>
      <c r="M22" s="136"/>
      <c r="N22" s="137">
        <f t="shared" si="1"/>
        <v>0</v>
      </c>
      <c r="O22" s="138"/>
      <c r="P22" s="139" t="e">
        <f t="shared" si="2"/>
        <v>#DIV/0!</v>
      </c>
      <c r="Q22" s="126">
        <f t="shared" si="3"/>
        <v>2</v>
      </c>
      <c r="R22" s="122"/>
      <c r="S22" s="146"/>
      <c r="T22" s="6"/>
      <c r="U22" s="6"/>
      <c r="V22" s="6"/>
      <c r="W22" s="6"/>
      <c r="X22" s="6"/>
      <c r="Y22" s="6"/>
    </row>
    <row r="23" spans="1:25">
      <c r="A23" s="133"/>
      <c r="B23" s="134"/>
      <c r="C23" s="123"/>
      <c r="D23" s="123"/>
      <c r="E23" s="123"/>
      <c r="F23" s="135"/>
      <c r="G23" s="123"/>
      <c r="H23" s="124"/>
      <c r="I23" s="125"/>
      <c r="J23" s="127"/>
      <c r="K23" s="136"/>
      <c r="L23" s="123"/>
      <c r="M23" s="136"/>
      <c r="N23" s="137"/>
      <c r="O23" s="138"/>
      <c r="P23" s="139"/>
      <c r="Q23" s="126"/>
      <c r="R23" s="122"/>
      <c r="S23" s="146"/>
      <c r="T23" s="6"/>
      <c r="U23" s="6"/>
      <c r="V23" s="6"/>
      <c r="W23" s="6"/>
      <c r="X23" s="6"/>
      <c r="Y23" s="6"/>
    </row>
    <row r="24" spans="1:25">
      <c r="A24" s="133"/>
      <c r="B24" s="134"/>
      <c r="C24" s="123"/>
      <c r="D24" s="123"/>
      <c r="E24" s="123"/>
      <c r="F24" s="135"/>
      <c r="G24" s="123"/>
      <c r="H24" s="124"/>
      <c r="I24" s="125"/>
      <c r="J24" s="127"/>
      <c r="K24" s="136"/>
      <c r="L24" s="123"/>
      <c r="M24" s="136"/>
      <c r="N24" s="137"/>
      <c r="O24" s="138"/>
      <c r="P24" s="139"/>
      <c r="Q24" s="126"/>
      <c r="R24" s="122"/>
      <c r="S24" s="146"/>
      <c r="T24" s="6"/>
      <c r="U24" s="6"/>
      <c r="V24" s="6"/>
      <c r="W24" s="6"/>
      <c r="X24" s="6"/>
      <c r="Y24" s="6"/>
    </row>
    <row r="25" spans="1:25">
      <c r="A25" s="133"/>
      <c r="B25" s="134"/>
      <c r="C25" s="123"/>
      <c r="D25" s="123"/>
      <c r="E25" s="123"/>
      <c r="F25" s="135"/>
      <c r="G25" s="123"/>
      <c r="H25" s="124"/>
      <c r="I25" s="125"/>
      <c r="J25" s="127"/>
      <c r="K25" s="136"/>
      <c r="L25" s="123"/>
      <c r="M25" s="136"/>
      <c r="N25" s="137"/>
      <c r="O25" s="138"/>
      <c r="P25" s="139"/>
      <c r="Q25" s="126"/>
      <c r="R25" s="122"/>
      <c r="S25" s="146"/>
      <c r="T25" s="6"/>
      <c r="U25" s="6"/>
      <c r="V25" s="6"/>
      <c r="W25" s="6"/>
      <c r="X25" s="6"/>
      <c r="Y25" s="6"/>
    </row>
    <row r="26" spans="1:25">
      <c r="A26" s="133"/>
      <c r="B26" s="134"/>
      <c r="C26" s="123"/>
      <c r="D26" s="123"/>
      <c r="E26" s="123"/>
      <c r="F26" s="135"/>
      <c r="G26" s="123"/>
      <c r="H26" s="124"/>
      <c r="I26" s="125"/>
      <c r="J26" s="127"/>
      <c r="K26" s="136"/>
      <c r="L26" s="123"/>
      <c r="M26" s="136"/>
      <c r="N26" s="137"/>
      <c r="O26" s="138"/>
      <c r="P26" s="139"/>
      <c r="Q26" s="126"/>
      <c r="R26" s="122"/>
      <c r="S26" s="146"/>
      <c r="T26" s="6"/>
      <c r="U26" s="6"/>
      <c r="V26" s="6"/>
      <c r="W26" s="6"/>
      <c r="X26" s="6"/>
      <c r="Y26" s="6"/>
    </row>
    <row r="27" spans="1:25">
      <c r="A27" s="133"/>
      <c r="B27" s="134"/>
      <c r="C27" s="123"/>
      <c r="D27" s="123"/>
      <c r="E27" s="123"/>
      <c r="F27" s="135"/>
      <c r="G27" s="123"/>
      <c r="H27" s="124"/>
      <c r="I27" s="125"/>
      <c r="J27" s="127"/>
      <c r="K27" s="136"/>
      <c r="L27" s="123"/>
      <c r="M27" s="136"/>
      <c r="N27" s="137"/>
      <c r="O27" s="138"/>
      <c r="P27" s="139"/>
      <c r="Q27" s="126"/>
      <c r="R27" s="122"/>
      <c r="S27" s="146"/>
      <c r="T27" s="6"/>
      <c r="U27" s="6"/>
      <c r="V27" s="6"/>
      <c r="W27" s="6"/>
      <c r="X27" s="6"/>
      <c r="Y27" s="6"/>
    </row>
    <row r="28" spans="1:25">
      <c r="A28" s="133"/>
      <c r="B28" s="134"/>
      <c r="C28" s="123"/>
      <c r="D28" s="123"/>
      <c r="E28" s="123"/>
      <c r="F28" s="135"/>
      <c r="G28" s="123"/>
      <c r="H28" s="124"/>
      <c r="I28" s="125"/>
      <c r="J28" s="127"/>
      <c r="K28" s="136"/>
      <c r="L28" s="123"/>
      <c r="M28" s="136"/>
      <c r="N28" s="137"/>
      <c r="O28" s="138"/>
      <c r="P28" s="139"/>
      <c r="Q28" s="126"/>
      <c r="R28" s="122"/>
      <c r="S28" s="146"/>
      <c r="T28" s="6"/>
      <c r="U28" s="6"/>
      <c r="V28" s="6"/>
      <c r="W28" s="6"/>
      <c r="X28" s="6"/>
      <c r="Y28" s="6"/>
    </row>
    <row r="29" spans="1:25">
      <c r="A29" s="133"/>
      <c r="B29" s="134"/>
      <c r="C29" s="123"/>
      <c r="D29" s="123"/>
      <c r="E29" s="123"/>
      <c r="F29" s="135"/>
      <c r="G29" s="123"/>
      <c r="H29" s="124"/>
      <c r="I29" s="125"/>
      <c r="J29" s="127"/>
      <c r="K29" s="136"/>
      <c r="L29" s="123"/>
      <c r="M29" s="136"/>
      <c r="N29" s="137"/>
      <c r="O29" s="138"/>
      <c r="P29" s="139"/>
      <c r="Q29" s="126"/>
      <c r="R29" s="122"/>
      <c r="S29" s="146"/>
      <c r="T29" s="6"/>
      <c r="U29" s="6"/>
      <c r="V29" s="6"/>
      <c r="W29" s="6"/>
      <c r="X29" s="6"/>
      <c r="Y29" s="6"/>
    </row>
    <row r="30" spans="1:25">
      <c r="A30" s="133"/>
      <c r="B30" s="134"/>
      <c r="C30" s="123"/>
      <c r="D30" s="123"/>
      <c r="E30" s="123"/>
      <c r="F30" s="135"/>
      <c r="G30" s="123"/>
      <c r="H30" s="124"/>
      <c r="I30" s="125"/>
      <c r="J30" s="127"/>
      <c r="K30" s="136"/>
      <c r="L30" s="123"/>
      <c r="M30" s="136"/>
      <c r="N30" s="137"/>
      <c r="O30" s="138"/>
      <c r="P30" s="139"/>
      <c r="Q30" s="126"/>
      <c r="R30" s="122"/>
      <c r="S30" s="146"/>
      <c r="T30" s="6"/>
      <c r="U30" s="6"/>
      <c r="V30" s="6"/>
      <c r="W30" s="6"/>
      <c r="X30" s="6"/>
      <c r="Y30" s="6"/>
    </row>
    <row r="31" spans="1:25">
      <c r="A31" s="133"/>
      <c r="B31" s="134"/>
      <c r="C31" s="123"/>
      <c r="D31" s="123"/>
      <c r="E31" s="123"/>
      <c r="F31" s="135"/>
      <c r="G31" s="123"/>
      <c r="H31" s="124"/>
      <c r="I31" s="125"/>
      <c r="J31" s="127"/>
      <c r="K31" s="136"/>
      <c r="L31" s="123"/>
      <c r="M31" s="136"/>
      <c r="N31" s="137"/>
      <c r="O31" s="138"/>
      <c r="P31" s="139"/>
      <c r="Q31" s="126"/>
      <c r="R31" s="122"/>
      <c r="S31" s="146"/>
      <c r="T31" s="6"/>
      <c r="U31" s="6"/>
      <c r="V31" s="6"/>
      <c r="W31" s="6"/>
      <c r="X31" s="6"/>
      <c r="Y31" s="6"/>
    </row>
    <row r="32" spans="1:25">
      <c r="A32" s="133"/>
      <c r="B32" s="134"/>
      <c r="C32" s="123"/>
      <c r="D32" s="123"/>
      <c r="E32" s="123"/>
      <c r="F32" s="135"/>
      <c r="G32" s="123"/>
      <c r="H32" s="124"/>
      <c r="I32" s="125"/>
      <c r="J32" s="127"/>
      <c r="K32" s="136"/>
      <c r="L32" s="123"/>
      <c r="M32" s="136"/>
      <c r="N32" s="137"/>
      <c r="O32" s="138"/>
      <c r="P32" s="139"/>
      <c r="Q32" s="126"/>
      <c r="R32" s="122"/>
      <c r="S32" s="146"/>
      <c r="T32" s="6"/>
      <c r="U32" s="6"/>
      <c r="V32" s="6"/>
      <c r="W32" s="6"/>
      <c r="X32" s="6"/>
      <c r="Y32" s="6"/>
    </row>
    <row r="33" spans="1:25">
      <c r="A33" s="133"/>
      <c r="B33" s="134"/>
      <c r="C33" s="123"/>
      <c r="D33" s="123"/>
      <c r="E33" s="123"/>
      <c r="F33" s="135"/>
      <c r="G33" s="123"/>
      <c r="H33" s="124"/>
      <c r="I33" s="125"/>
      <c r="J33" s="127"/>
      <c r="K33" s="136"/>
      <c r="L33" s="123"/>
      <c r="M33" s="136"/>
      <c r="N33" s="137"/>
      <c r="O33" s="138"/>
      <c r="P33" s="139"/>
      <c r="Q33" s="126"/>
      <c r="R33" s="122"/>
      <c r="S33" s="146"/>
      <c r="T33" s="6"/>
      <c r="U33" s="6"/>
      <c r="V33" s="6"/>
      <c r="W33" s="6"/>
      <c r="X33" s="6"/>
      <c r="Y33" s="6"/>
    </row>
    <row r="34" spans="1:25">
      <c r="A34" s="133"/>
      <c r="B34" s="134"/>
      <c r="C34" s="123"/>
      <c r="D34" s="123"/>
      <c r="E34" s="123"/>
      <c r="F34" s="135"/>
      <c r="G34" s="123"/>
      <c r="H34" s="124"/>
      <c r="I34" s="125"/>
      <c r="J34" s="127"/>
      <c r="K34" s="136"/>
      <c r="L34" s="123"/>
      <c r="M34" s="136"/>
      <c r="N34" s="137"/>
      <c r="O34" s="138"/>
      <c r="P34" s="139"/>
      <c r="Q34" s="126"/>
      <c r="R34" s="122"/>
      <c r="S34" s="146"/>
      <c r="T34" s="6"/>
      <c r="U34" s="6"/>
      <c r="V34" s="6"/>
      <c r="W34" s="6"/>
      <c r="X34" s="6"/>
      <c r="Y34" s="6"/>
    </row>
    <row r="35" spans="1:25">
      <c r="A35" s="133"/>
      <c r="B35" s="134"/>
      <c r="C35" s="123"/>
      <c r="D35" s="123"/>
      <c r="E35" s="123"/>
      <c r="F35" s="135"/>
      <c r="G35" s="123"/>
      <c r="H35" s="124"/>
      <c r="I35" s="125"/>
      <c r="J35" s="127"/>
      <c r="K35" s="136"/>
      <c r="L35" s="123"/>
      <c r="M35" s="136"/>
      <c r="N35" s="137"/>
      <c r="O35" s="138"/>
      <c r="P35" s="139"/>
      <c r="Q35" s="126"/>
      <c r="R35" s="122"/>
      <c r="S35" s="146"/>
      <c r="T35" s="6"/>
      <c r="U35" s="6"/>
      <c r="V35" s="6"/>
      <c r="W35" s="6"/>
      <c r="X35" s="6"/>
      <c r="Y35" s="6"/>
    </row>
    <row r="36" spans="1:25">
      <c r="A36" s="133"/>
      <c r="B36" s="134"/>
      <c r="C36" s="123"/>
      <c r="D36" s="123"/>
      <c r="E36" s="123"/>
      <c r="F36" s="135"/>
      <c r="G36" s="123"/>
      <c r="H36" s="124"/>
      <c r="I36" s="125"/>
      <c r="J36" s="127"/>
      <c r="K36" s="136"/>
      <c r="L36" s="123"/>
      <c r="M36" s="136"/>
      <c r="N36" s="137"/>
      <c r="O36" s="138"/>
      <c r="P36" s="139"/>
      <c r="Q36" s="126"/>
      <c r="R36" s="122"/>
      <c r="S36" s="146"/>
      <c r="T36" s="6"/>
      <c r="U36" s="6"/>
      <c r="V36" s="6"/>
      <c r="W36" s="6"/>
      <c r="X36" s="6"/>
      <c r="Y36" s="6"/>
    </row>
    <row r="37" spans="1:25">
      <c r="A37" s="133"/>
      <c r="B37" s="134"/>
      <c r="C37" s="123"/>
      <c r="D37" s="123"/>
      <c r="E37" s="123"/>
      <c r="F37" s="135"/>
      <c r="G37" s="123"/>
      <c r="H37" s="124"/>
      <c r="I37" s="125"/>
      <c r="J37" s="127"/>
      <c r="K37" s="136"/>
      <c r="L37" s="123"/>
      <c r="M37" s="136"/>
      <c r="N37" s="137"/>
      <c r="O37" s="138"/>
      <c r="P37" s="139"/>
      <c r="Q37" s="126"/>
      <c r="R37" s="122"/>
      <c r="S37" s="146"/>
      <c r="T37" s="6"/>
      <c r="U37" s="6"/>
      <c r="V37" s="6"/>
      <c r="W37" s="6"/>
      <c r="X37" s="6"/>
      <c r="Y37" s="6"/>
    </row>
    <row r="38" spans="1:25">
      <c r="A38" s="133"/>
      <c r="B38" s="134"/>
      <c r="C38" s="123"/>
      <c r="D38" s="123"/>
      <c r="E38" s="123"/>
      <c r="F38" s="135"/>
      <c r="G38" s="123"/>
      <c r="H38" s="124"/>
      <c r="I38" s="125"/>
      <c r="J38" s="127"/>
      <c r="K38" s="136"/>
      <c r="L38" s="123"/>
      <c r="M38" s="136"/>
      <c r="N38" s="137"/>
      <c r="O38" s="138"/>
      <c r="P38" s="139"/>
      <c r="Q38" s="126"/>
      <c r="R38" s="122"/>
      <c r="S38" s="146"/>
      <c r="T38" s="6"/>
      <c r="U38" s="6"/>
      <c r="V38" s="6"/>
      <c r="W38" s="6"/>
      <c r="X38" s="6"/>
      <c r="Y38" s="6"/>
    </row>
    <row r="39" spans="1:25">
      <c r="A39" s="133"/>
      <c r="B39" s="134"/>
      <c r="C39" s="123"/>
      <c r="D39" s="123"/>
      <c r="E39" s="123"/>
      <c r="F39" s="135"/>
      <c r="G39" s="123"/>
      <c r="H39" s="124"/>
      <c r="I39" s="125"/>
      <c r="J39" s="127"/>
      <c r="K39" s="136"/>
      <c r="L39" s="123"/>
      <c r="M39" s="136"/>
      <c r="N39" s="137"/>
      <c r="O39" s="138"/>
      <c r="P39" s="139"/>
      <c r="Q39" s="126"/>
      <c r="R39" s="122"/>
      <c r="S39" s="146"/>
      <c r="T39" s="6"/>
      <c r="U39" s="6"/>
      <c r="V39" s="6"/>
      <c r="W39" s="6"/>
      <c r="X39" s="6"/>
      <c r="Y39" s="6"/>
    </row>
    <row r="40" spans="1:25">
      <c r="A40" s="133"/>
      <c r="B40" s="134"/>
      <c r="C40" s="123"/>
      <c r="D40" s="123"/>
      <c r="E40" s="123"/>
      <c r="F40" s="135"/>
      <c r="G40" s="123"/>
      <c r="H40" s="124"/>
      <c r="I40" s="125"/>
      <c r="J40" s="127"/>
      <c r="K40" s="136"/>
      <c r="L40" s="123"/>
      <c r="M40" s="136"/>
      <c r="N40" s="137"/>
      <c r="O40" s="138"/>
      <c r="P40" s="139"/>
      <c r="Q40" s="126"/>
      <c r="R40" s="122"/>
      <c r="S40" s="146"/>
      <c r="T40" s="6"/>
      <c r="U40" s="6"/>
      <c r="V40" s="6"/>
      <c r="W40" s="6"/>
      <c r="X40" s="6"/>
      <c r="Y40" s="6"/>
    </row>
    <row r="41" spans="1:25">
      <c r="A41" s="133"/>
      <c r="B41" s="134"/>
      <c r="C41" s="123"/>
      <c r="D41" s="123"/>
      <c r="E41" s="123"/>
      <c r="F41" s="135"/>
      <c r="G41" s="123"/>
      <c r="H41" s="124"/>
      <c r="I41" s="125"/>
      <c r="J41" s="127"/>
      <c r="K41" s="136"/>
      <c r="L41" s="123"/>
      <c r="M41" s="136"/>
      <c r="N41" s="137"/>
      <c r="O41" s="138"/>
      <c r="P41" s="139"/>
      <c r="Q41" s="126"/>
      <c r="R41" s="122"/>
      <c r="S41" s="146"/>
      <c r="T41" s="6"/>
      <c r="U41" s="6"/>
      <c r="V41" s="6"/>
      <c r="W41" s="6"/>
      <c r="X41" s="6"/>
      <c r="Y41" s="6"/>
    </row>
    <row r="42" spans="1:25">
      <c r="A42" s="133"/>
      <c r="B42" s="134"/>
      <c r="C42" s="123"/>
      <c r="D42" s="123"/>
      <c r="E42" s="123"/>
      <c r="F42" s="135"/>
      <c r="G42" s="123"/>
      <c r="H42" s="124"/>
      <c r="I42" s="125"/>
      <c r="J42" s="127"/>
      <c r="K42" s="136"/>
      <c r="L42" s="123"/>
      <c r="M42" s="136"/>
      <c r="N42" s="137"/>
      <c r="O42" s="138"/>
      <c r="P42" s="139"/>
      <c r="Q42" s="126"/>
      <c r="R42" s="122"/>
      <c r="S42" s="146"/>
      <c r="T42" s="6"/>
      <c r="U42" s="6"/>
      <c r="V42" s="6"/>
      <c r="W42" s="6"/>
      <c r="X42" s="6"/>
      <c r="Y42" s="6"/>
    </row>
    <row r="43" spans="1:25">
      <c r="A43" s="133"/>
      <c r="B43" s="134"/>
      <c r="C43" s="123"/>
      <c r="D43" s="123"/>
      <c r="E43" s="123"/>
      <c r="F43" s="135"/>
      <c r="G43" s="123"/>
      <c r="H43" s="124"/>
      <c r="I43" s="125"/>
      <c r="J43" s="127"/>
      <c r="K43" s="136"/>
      <c r="L43" s="123"/>
      <c r="M43" s="136"/>
      <c r="N43" s="137"/>
      <c r="O43" s="138"/>
      <c r="P43" s="139"/>
      <c r="Q43" s="126"/>
      <c r="R43" s="122"/>
      <c r="S43" s="146"/>
      <c r="T43" s="6"/>
      <c r="U43" s="6"/>
      <c r="V43" s="6"/>
      <c r="W43" s="6"/>
      <c r="X43" s="6"/>
      <c r="Y43" s="6"/>
    </row>
    <row r="44" spans="1:25">
      <c r="A44" s="133"/>
      <c r="B44" s="134"/>
      <c r="C44" s="123"/>
      <c r="D44" s="123"/>
      <c r="E44" s="123"/>
      <c r="F44" s="135"/>
      <c r="G44" s="123"/>
      <c r="H44" s="123"/>
      <c r="I44" s="125"/>
      <c r="J44" s="127"/>
      <c r="K44" s="136"/>
      <c r="L44" s="123"/>
      <c r="M44" s="136"/>
      <c r="N44" s="137"/>
      <c r="O44" s="138"/>
      <c r="P44" s="139"/>
      <c r="Q44" s="126"/>
      <c r="R44" s="122"/>
      <c r="S44" s="146"/>
      <c r="T44" s="6"/>
      <c r="U44" s="6"/>
      <c r="V44" s="6"/>
      <c r="W44" s="6"/>
      <c r="X44" s="6"/>
      <c r="Y44" s="6"/>
    </row>
    <row r="45" spans="1:25">
      <c r="A45" s="133"/>
      <c r="B45" s="134"/>
      <c r="C45" s="123"/>
      <c r="D45" s="123"/>
      <c r="E45" s="123"/>
      <c r="F45" s="135"/>
      <c r="G45" s="123"/>
      <c r="H45" s="123"/>
      <c r="I45" s="125"/>
      <c r="J45" s="127"/>
      <c r="K45" s="136"/>
      <c r="L45" s="123"/>
      <c r="M45" s="123"/>
      <c r="N45" s="137"/>
      <c r="O45" s="138"/>
      <c r="P45" s="139"/>
      <c r="Q45" s="126"/>
      <c r="R45" s="122"/>
      <c r="S45" s="146"/>
      <c r="T45" s="6"/>
      <c r="U45" s="6"/>
      <c r="V45" s="6"/>
      <c r="W45" s="6"/>
      <c r="X45" s="6"/>
      <c r="Y45" s="6"/>
    </row>
    <row r="46" spans="1:25">
      <c r="A46" s="133"/>
      <c r="B46" s="134"/>
      <c r="C46" s="123"/>
      <c r="D46" s="123"/>
      <c r="E46" s="123"/>
      <c r="F46" s="135"/>
      <c r="G46" s="123"/>
      <c r="H46" s="123"/>
      <c r="I46" s="125"/>
      <c r="J46" s="127"/>
      <c r="K46" s="136"/>
      <c r="L46" s="123"/>
      <c r="M46" s="123"/>
      <c r="N46" s="137"/>
      <c r="O46" s="138"/>
      <c r="P46" s="139"/>
      <c r="Q46" s="126"/>
      <c r="R46" s="122"/>
      <c r="S46" s="146"/>
      <c r="T46" s="6"/>
      <c r="U46" s="6"/>
      <c r="V46" s="6"/>
      <c r="W46" s="6"/>
      <c r="X46" s="6"/>
      <c r="Y46" s="6"/>
    </row>
    <row r="47" spans="1:25">
      <c r="A47" s="133"/>
      <c r="B47" s="134"/>
      <c r="C47" s="123"/>
      <c r="D47" s="123"/>
      <c r="E47" s="123"/>
      <c r="F47" s="135"/>
      <c r="G47" s="123"/>
      <c r="H47" s="123"/>
      <c r="I47" s="125"/>
      <c r="J47" s="127"/>
      <c r="K47" s="136"/>
      <c r="L47" s="123"/>
      <c r="M47" s="123"/>
      <c r="N47" s="137"/>
      <c r="O47" s="138"/>
      <c r="P47" s="139"/>
      <c r="Q47" s="126"/>
      <c r="R47" s="122"/>
      <c r="S47" s="146"/>
      <c r="T47" s="6"/>
      <c r="U47" s="6"/>
      <c r="V47" s="6"/>
      <c r="W47" s="6"/>
      <c r="X47" s="6"/>
      <c r="Y47" s="6"/>
    </row>
    <row r="48" spans="1:25">
      <c r="A48" s="133"/>
      <c r="B48" s="134"/>
      <c r="C48" s="123"/>
      <c r="D48" s="123"/>
      <c r="E48" s="123"/>
      <c r="F48" s="135"/>
      <c r="G48" s="123"/>
      <c r="H48" s="123"/>
      <c r="I48" s="125"/>
      <c r="J48" s="127"/>
      <c r="K48" s="136"/>
      <c r="L48" s="123"/>
      <c r="M48" s="123"/>
      <c r="N48" s="137"/>
      <c r="O48" s="138"/>
      <c r="P48" s="139"/>
      <c r="Q48" s="126"/>
      <c r="R48" s="122"/>
      <c r="S48" s="146"/>
      <c r="T48" s="6"/>
      <c r="U48" s="6"/>
      <c r="V48" s="6"/>
      <c r="W48" s="6"/>
      <c r="X48" s="6"/>
      <c r="Y48" s="6"/>
    </row>
    <row r="49" spans="1:25">
      <c r="A49" s="133"/>
      <c r="B49" s="134"/>
      <c r="C49" s="123"/>
      <c r="D49" s="123"/>
      <c r="E49" s="123"/>
      <c r="F49" s="135"/>
      <c r="G49" s="123"/>
      <c r="H49" s="123"/>
      <c r="I49" s="125"/>
      <c r="J49" s="127"/>
      <c r="K49" s="136"/>
      <c r="L49" s="123"/>
      <c r="M49" s="123"/>
      <c r="N49" s="137"/>
      <c r="O49" s="138"/>
      <c r="P49" s="139"/>
      <c r="Q49" s="126"/>
      <c r="R49" s="122"/>
      <c r="S49" s="146"/>
      <c r="T49" s="6"/>
      <c r="U49" s="6"/>
      <c r="V49" s="6"/>
      <c r="W49" s="6"/>
      <c r="X49" s="6"/>
      <c r="Y49" s="6"/>
    </row>
    <row r="50" spans="1:25">
      <c r="A50" s="133"/>
      <c r="B50" s="134"/>
      <c r="C50" s="123"/>
      <c r="D50" s="123"/>
      <c r="E50" s="123"/>
      <c r="F50" s="135"/>
      <c r="G50" s="123"/>
      <c r="H50" s="123"/>
      <c r="I50" s="125"/>
      <c r="J50" s="127"/>
      <c r="K50" s="136"/>
      <c r="L50" s="123"/>
      <c r="M50" s="123"/>
      <c r="N50" s="137"/>
      <c r="O50" s="138"/>
      <c r="P50" s="139"/>
      <c r="Q50" s="126"/>
      <c r="R50" s="122"/>
      <c r="S50" s="146"/>
      <c r="T50" s="6"/>
      <c r="U50" s="6"/>
      <c r="V50" s="6"/>
      <c r="W50" s="6"/>
      <c r="X50" s="6"/>
      <c r="Y50" s="6"/>
    </row>
    <row r="51" spans="1:25">
      <c r="A51" s="133"/>
      <c r="B51" s="134"/>
      <c r="C51" s="123"/>
      <c r="D51" s="123"/>
      <c r="E51" s="123"/>
      <c r="F51" s="135"/>
      <c r="G51" s="123"/>
      <c r="H51" s="123"/>
      <c r="I51" s="125"/>
      <c r="J51" s="127"/>
      <c r="K51" s="136"/>
      <c r="L51" s="123"/>
      <c r="M51" s="123"/>
      <c r="N51" s="137"/>
      <c r="O51" s="138"/>
      <c r="P51" s="139"/>
      <c r="Q51" s="126"/>
      <c r="R51" s="122"/>
      <c r="S51" s="146"/>
      <c r="T51" s="6"/>
      <c r="U51" s="6"/>
      <c r="V51" s="6"/>
      <c r="W51" s="6"/>
      <c r="X51" s="6"/>
      <c r="Y51" s="6"/>
    </row>
    <row r="52" spans="1:25">
      <c r="A52" s="133"/>
      <c r="B52" s="134"/>
      <c r="C52" s="123"/>
      <c r="D52" s="123"/>
      <c r="E52" s="123"/>
      <c r="F52" s="135"/>
      <c r="G52" s="123"/>
      <c r="H52" s="123"/>
      <c r="I52" s="125"/>
      <c r="J52" s="127"/>
      <c r="K52" s="136"/>
      <c r="L52" s="123"/>
      <c r="M52" s="123"/>
      <c r="N52" s="137"/>
      <c r="O52" s="138"/>
      <c r="P52" s="139"/>
      <c r="Q52" s="126"/>
      <c r="R52" s="122"/>
      <c r="S52" s="146"/>
      <c r="T52" s="6"/>
      <c r="U52" s="6"/>
      <c r="V52" s="6"/>
      <c r="W52" s="6"/>
      <c r="X52" s="6"/>
      <c r="Y52" s="6"/>
    </row>
    <row r="53" spans="1:25">
      <c r="A53" s="133"/>
      <c r="B53" s="134"/>
      <c r="C53" s="123"/>
      <c r="D53" s="123"/>
      <c r="E53" s="123"/>
      <c r="F53" s="135"/>
      <c r="G53" s="123"/>
      <c r="H53" s="123"/>
      <c r="I53" s="125"/>
      <c r="J53" s="127"/>
      <c r="K53" s="136"/>
      <c r="L53" s="123"/>
      <c r="M53" s="123"/>
      <c r="N53" s="137"/>
      <c r="O53" s="138"/>
      <c r="P53" s="139"/>
      <c r="Q53" s="126"/>
      <c r="R53" s="122"/>
      <c r="S53" s="146"/>
      <c r="T53" s="6"/>
      <c r="U53" s="6"/>
      <c r="V53" s="6"/>
      <c r="W53" s="6"/>
      <c r="X53" s="6"/>
      <c r="Y53" s="6"/>
    </row>
    <row r="54" spans="1:25">
      <c r="A54" s="133"/>
      <c r="B54" s="134"/>
      <c r="C54" s="123"/>
      <c r="D54" s="123"/>
      <c r="E54" s="123"/>
      <c r="F54" s="135"/>
      <c r="G54" s="123"/>
      <c r="H54" s="123"/>
      <c r="I54" s="125"/>
      <c r="J54" s="127"/>
      <c r="K54" s="136"/>
      <c r="L54" s="123"/>
      <c r="M54" s="123"/>
      <c r="N54" s="137"/>
      <c r="O54" s="138"/>
      <c r="P54" s="139"/>
      <c r="Q54" s="126"/>
      <c r="R54" s="122"/>
      <c r="S54" s="146"/>
      <c r="T54" s="6"/>
      <c r="U54" s="6"/>
      <c r="V54" s="6"/>
      <c r="W54" s="6"/>
      <c r="X54" s="6"/>
      <c r="Y54" s="6"/>
    </row>
    <row r="55" spans="1:25">
      <c r="A55" s="133"/>
      <c r="B55" s="134"/>
      <c r="C55" s="123"/>
      <c r="D55" s="123"/>
      <c r="E55" s="123"/>
      <c r="F55" s="135"/>
      <c r="G55" s="123"/>
      <c r="H55" s="123"/>
      <c r="I55" s="125"/>
      <c r="J55" s="127"/>
      <c r="K55" s="136"/>
      <c r="L55" s="123"/>
      <c r="M55" s="123"/>
      <c r="N55" s="137"/>
      <c r="O55" s="138"/>
      <c r="P55" s="139"/>
      <c r="Q55" s="126"/>
      <c r="R55" s="122"/>
      <c r="S55" s="146"/>
      <c r="T55" s="6"/>
      <c r="U55" s="6"/>
      <c r="V55" s="6"/>
      <c r="W55" s="6"/>
      <c r="X55" s="6"/>
      <c r="Y55" s="6"/>
    </row>
    <row r="56" spans="1:25">
      <c r="A56" s="133"/>
      <c r="B56" s="134"/>
      <c r="C56" s="123"/>
      <c r="D56" s="123"/>
      <c r="E56" s="123"/>
      <c r="F56" s="135"/>
      <c r="G56" s="123"/>
      <c r="H56" s="123"/>
      <c r="I56" s="125"/>
      <c r="J56" s="127"/>
      <c r="K56" s="136"/>
      <c r="L56" s="123"/>
      <c r="M56" s="123"/>
      <c r="N56" s="137"/>
      <c r="O56" s="138"/>
      <c r="P56" s="139"/>
      <c r="Q56" s="126"/>
      <c r="R56" s="122"/>
      <c r="S56" s="146"/>
      <c r="T56" s="6"/>
      <c r="U56" s="6"/>
      <c r="V56" s="6"/>
      <c r="W56" s="6"/>
      <c r="X56" s="6"/>
      <c r="Y56" s="6"/>
    </row>
    <row r="57" spans="1:25">
      <c r="A57" s="133"/>
      <c r="B57" s="134"/>
      <c r="C57" s="123"/>
      <c r="D57" s="123"/>
      <c r="E57" s="123"/>
      <c r="F57" s="135"/>
      <c r="G57" s="123"/>
      <c r="H57" s="123"/>
      <c r="I57" s="125"/>
      <c r="J57" s="127"/>
      <c r="K57" s="136"/>
      <c r="L57" s="123"/>
      <c r="M57" s="123"/>
      <c r="N57" s="137"/>
      <c r="O57" s="138"/>
      <c r="P57" s="139"/>
      <c r="Q57" s="126"/>
      <c r="R57" s="122"/>
      <c r="S57" s="146"/>
      <c r="T57" s="6"/>
      <c r="U57" s="6"/>
      <c r="V57" s="6"/>
      <c r="W57" s="6"/>
      <c r="X57" s="6"/>
      <c r="Y57" s="6"/>
    </row>
    <row r="58" spans="1:25">
      <c r="A58" s="133"/>
      <c r="B58" s="134"/>
      <c r="C58" s="123"/>
      <c r="D58" s="123"/>
      <c r="E58" s="123"/>
      <c r="F58" s="135"/>
      <c r="G58" s="123"/>
      <c r="H58" s="123"/>
      <c r="I58" s="125"/>
      <c r="J58" s="127"/>
      <c r="K58" s="136"/>
      <c r="L58" s="123"/>
      <c r="M58" s="123"/>
      <c r="N58" s="137"/>
      <c r="O58" s="138"/>
      <c r="P58" s="139"/>
      <c r="Q58" s="126"/>
      <c r="R58" s="122"/>
      <c r="S58" s="146"/>
      <c r="T58" s="6"/>
      <c r="U58" s="6"/>
      <c r="V58" s="6"/>
      <c r="W58" s="6"/>
      <c r="X58" s="6"/>
      <c r="Y58" s="6"/>
    </row>
    <row r="59" spans="1:25">
      <c r="A59" s="133"/>
      <c r="B59" s="134"/>
      <c r="C59" s="123"/>
      <c r="D59" s="123"/>
      <c r="E59" s="123"/>
      <c r="F59" s="135"/>
      <c r="G59" s="123"/>
      <c r="H59" s="123"/>
      <c r="I59" s="125"/>
      <c r="J59" s="127"/>
      <c r="K59" s="136"/>
      <c r="L59" s="123"/>
      <c r="M59" s="123"/>
      <c r="N59" s="137"/>
      <c r="O59" s="138"/>
      <c r="P59" s="139"/>
      <c r="Q59" s="126"/>
      <c r="R59" s="122"/>
      <c r="S59" s="146"/>
      <c r="T59" s="6"/>
      <c r="U59" s="6"/>
      <c r="V59" s="6"/>
      <c r="W59" s="6"/>
      <c r="X59" s="6"/>
      <c r="Y59" s="6"/>
    </row>
    <row r="60" spans="1:25">
      <c r="A60" s="133"/>
      <c r="B60" s="134"/>
      <c r="C60" s="123"/>
      <c r="D60" s="123"/>
      <c r="E60" s="123"/>
      <c r="F60" s="135"/>
      <c r="G60" s="123"/>
      <c r="H60" s="123"/>
      <c r="I60" s="125"/>
      <c r="J60" s="127"/>
      <c r="K60" s="136"/>
      <c r="L60" s="123"/>
      <c r="M60" s="123"/>
      <c r="N60" s="137"/>
      <c r="O60" s="138"/>
      <c r="P60" s="139"/>
      <c r="Q60" s="126"/>
      <c r="R60" s="122"/>
      <c r="S60" s="146"/>
      <c r="T60" s="6"/>
      <c r="U60" s="6"/>
      <c r="V60" s="6"/>
      <c r="W60" s="6"/>
      <c r="X60" s="6"/>
      <c r="Y60" s="6"/>
    </row>
    <row r="61" spans="1:25">
      <c r="A61" s="133"/>
      <c r="B61" s="134"/>
      <c r="C61" s="123"/>
      <c r="D61" s="123"/>
      <c r="E61" s="123"/>
      <c r="F61" s="135"/>
      <c r="G61" s="123"/>
      <c r="H61" s="123"/>
      <c r="I61" s="125"/>
      <c r="J61" s="127"/>
      <c r="K61" s="136"/>
      <c r="L61" s="123"/>
      <c r="M61" s="123"/>
      <c r="N61" s="137"/>
      <c r="O61" s="138"/>
      <c r="P61" s="139"/>
      <c r="Q61" s="126"/>
      <c r="R61" s="122"/>
      <c r="S61" s="146"/>
      <c r="T61" s="6"/>
      <c r="U61" s="6"/>
      <c r="V61" s="6"/>
      <c r="W61" s="6"/>
      <c r="X61" s="6"/>
      <c r="Y61" s="6"/>
    </row>
    <row r="62" spans="1:25">
      <c r="A62" s="133"/>
      <c r="B62" s="134"/>
      <c r="C62" s="123"/>
      <c r="D62" s="123"/>
      <c r="E62" s="123"/>
      <c r="F62" s="135"/>
      <c r="G62" s="123"/>
      <c r="H62" s="123"/>
      <c r="I62" s="125"/>
      <c r="J62" s="127"/>
      <c r="K62" s="136"/>
      <c r="L62" s="123"/>
      <c r="M62" s="123"/>
      <c r="N62" s="137"/>
      <c r="O62" s="138"/>
      <c r="P62" s="139"/>
      <c r="Q62" s="126"/>
      <c r="R62" s="122"/>
      <c r="S62" s="146"/>
      <c r="T62" s="6"/>
      <c r="U62" s="6"/>
      <c r="V62" s="6"/>
      <c r="W62" s="6"/>
      <c r="X62" s="6"/>
      <c r="Y62" s="6"/>
    </row>
    <row r="63" spans="1:25">
      <c r="A63" s="133"/>
      <c r="B63" s="134"/>
      <c r="C63" s="123"/>
      <c r="D63" s="123"/>
      <c r="E63" s="123"/>
      <c r="F63" s="135"/>
      <c r="G63" s="123"/>
      <c r="H63" s="123"/>
      <c r="I63" s="125"/>
      <c r="J63" s="127"/>
      <c r="K63" s="136"/>
      <c r="L63" s="123"/>
      <c r="M63" s="123"/>
      <c r="N63" s="137"/>
      <c r="O63" s="138"/>
      <c r="P63" s="139"/>
      <c r="Q63" s="126"/>
      <c r="R63" s="122"/>
      <c r="S63" s="146"/>
      <c r="T63" s="6"/>
      <c r="U63" s="6"/>
      <c r="V63" s="6"/>
      <c r="W63" s="6"/>
      <c r="X63" s="6"/>
      <c r="Y63" s="6"/>
    </row>
    <row r="64" spans="1:25">
      <c r="A64" s="133"/>
      <c r="B64" s="134"/>
      <c r="C64" s="123"/>
      <c r="D64" s="123"/>
      <c r="E64" s="123"/>
      <c r="F64" s="135"/>
      <c r="G64" s="123"/>
      <c r="H64" s="123"/>
      <c r="I64" s="125"/>
      <c r="J64" s="127"/>
      <c r="K64" s="136"/>
      <c r="L64" s="123"/>
      <c r="M64" s="123"/>
      <c r="N64" s="137"/>
      <c r="O64" s="138"/>
      <c r="P64" s="139"/>
      <c r="Q64" s="126"/>
      <c r="R64" s="122"/>
      <c r="S64" s="146"/>
      <c r="T64" s="6"/>
      <c r="U64" s="6"/>
      <c r="V64" s="6"/>
      <c r="W64" s="6"/>
      <c r="X64" s="6"/>
      <c r="Y64" s="6"/>
    </row>
    <row r="65" spans="1:25">
      <c r="A65" s="133"/>
      <c r="B65" s="134"/>
      <c r="C65" s="123"/>
      <c r="D65" s="123"/>
      <c r="E65" s="123"/>
      <c r="F65" s="135"/>
      <c r="G65" s="123"/>
      <c r="H65" s="123"/>
      <c r="I65" s="125"/>
      <c r="J65" s="127"/>
      <c r="K65" s="136"/>
      <c r="L65" s="123"/>
      <c r="M65" s="123"/>
      <c r="N65" s="137"/>
      <c r="O65" s="138"/>
      <c r="P65" s="139"/>
      <c r="Q65" s="126"/>
      <c r="R65" s="122"/>
      <c r="S65" s="146"/>
      <c r="T65" s="6"/>
      <c r="U65" s="6"/>
      <c r="V65" s="6"/>
      <c r="W65" s="6"/>
      <c r="X65" s="6"/>
      <c r="Y65" s="6"/>
    </row>
    <row r="66" spans="1:25">
      <c r="A66" s="133"/>
      <c r="B66" s="134"/>
      <c r="C66" s="123"/>
      <c r="D66" s="123"/>
      <c r="E66" s="123"/>
      <c r="F66" s="135"/>
      <c r="G66" s="123"/>
      <c r="H66" s="123"/>
      <c r="I66" s="125"/>
      <c r="J66" s="127"/>
      <c r="K66" s="136"/>
      <c r="L66" s="123"/>
      <c r="M66" s="123"/>
      <c r="N66" s="137"/>
      <c r="O66" s="138"/>
      <c r="P66" s="139"/>
      <c r="Q66" s="126"/>
      <c r="R66" s="122"/>
      <c r="S66" s="146"/>
      <c r="T66" s="6"/>
      <c r="U66" s="6"/>
      <c r="V66" s="6"/>
      <c r="W66" s="6"/>
      <c r="X66" s="6"/>
      <c r="Y66" s="6"/>
    </row>
    <row r="67" spans="1:25">
      <c r="A67" s="133"/>
      <c r="B67" s="134"/>
      <c r="C67" s="123"/>
      <c r="D67" s="123"/>
      <c r="E67" s="123"/>
      <c r="F67" s="135"/>
      <c r="G67" s="123"/>
      <c r="H67" s="123"/>
      <c r="I67" s="125"/>
      <c r="J67" s="127"/>
      <c r="K67" s="136"/>
      <c r="L67" s="123"/>
      <c r="M67" s="123"/>
      <c r="N67" s="137"/>
      <c r="O67" s="138"/>
      <c r="P67" s="139"/>
      <c r="Q67" s="126"/>
      <c r="R67" s="122"/>
      <c r="S67" s="146"/>
      <c r="T67" s="6"/>
      <c r="U67" s="6"/>
      <c r="V67" s="6"/>
      <c r="W67" s="6"/>
      <c r="X67" s="6"/>
      <c r="Y67" s="6"/>
    </row>
    <row r="68" spans="1:25">
      <c r="A68" s="133"/>
      <c r="B68" s="134"/>
      <c r="C68" s="123"/>
      <c r="D68" s="123"/>
      <c r="E68" s="123"/>
      <c r="F68" s="135"/>
      <c r="G68" s="123"/>
      <c r="H68" s="123"/>
      <c r="I68" s="125"/>
      <c r="J68" s="127"/>
      <c r="K68" s="136"/>
      <c r="L68" s="123"/>
      <c r="M68" s="123"/>
      <c r="N68" s="137"/>
      <c r="O68" s="138"/>
      <c r="P68" s="139"/>
      <c r="Q68" s="126"/>
      <c r="R68" s="122"/>
      <c r="S68" s="146"/>
      <c r="T68" s="6"/>
      <c r="U68" s="6"/>
      <c r="V68" s="6"/>
      <c r="W68" s="6"/>
      <c r="X68" s="6"/>
      <c r="Y68" s="6"/>
    </row>
    <row r="69" spans="1:25">
      <c r="A69" s="133"/>
      <c r="B69" s="134"/>
      <c r="C69" s="123"/>
      <c r="D69" s="123"/>
      <c r="E69" s="123"/>
      <c r="F69" s="135"/>
      <c r="G69" s="123"/>
      <c r="H69" s="123"/>
      <c r="I69" s="125"/>
      <c r="J69" s="127"/>
      <c r="K69" s="136"/>
      <c r="L69" s="123"/>
      <c r="M69" s="123"/>
      <c r="N69" s="137"/>
      <c r="O69" s="138"/>
      <c r="P69" s="139"/>
      <c r="Q69" s="126"/>
      <c r="R69" s="122"/>
      <c r="S69" s="146"/>
      <c r="T69" s="6"/>
      <c r="U69" s="6"/>
      <c r="V69" s="6"/>
      <c r="W69" s="6"/>
      <c r="X69" s="6"/>
      <c r="Y69" s="6"/>
    </row>
    <row r="70" spans="1:25">
      <c r="A70" s="133"/>
      <c r="B70" s="134"/>
      <c r="C70" s="123"/>
      <c r="D70" s="123"/>
      <c r="E70" s="123"/>
      <c r="F70" s="135"/>
      <c r="G70" s="123"/>
      <c r="H70" s="123"/>
      <c r="I70" s="125"/>
      <c r="J70" s="127"/>
      <c r="K70" s="136"/>
      <c r="L70" s="123"/>
      <c r="M70" s="123"/>
      <c r="N70" s="137"/>
      <c r="O70" s="138"/>
      <c r="P70" s="139"/>
      <c r="Q70" s="126"/>
      <c r="R70" s="122"/>
      <c r="S70" s="146"/>
      <c r="T70" s="6"/>
      <c r="U70" s="6"/>
      <c r="V70" s="6"/>
      <c r="W70" s="6"/>
      <c r="X70" s="6"/>
      <c r="Y70" s="6"/>
    </row>
    <row r="71" spans="1:25">
      <c r="A71" s="133"/>
      <c r="B71" s="134"/>
      <c r="C71" s="123"/>
      <c r="D71" s="123"/>
      <c r="E71" s="123"/>
      <c r="F71" s="135"/>
      <c r="G71" s="123"/>
      <c r="H71" s="123"/>
      <c r="I71" s="125"/>
      <c r="J71" s="127"/>
      <c r="K71" s="136"/>
      <c r="L71" s="123"/>
      <c r="M71" s="123"/>
      <c r="N71" s="137"/>
      <c r="O71" s="138"/>
      <c r="P71" s="139"/>
      <c r="Q71" s="126"/>
      <c r="R71" s="122"/>
      <c r="S71" s="146"/>
      <c r="T71" s="6"/>
      <c r="U71" s="6"/>
      <c r="V71" s="6"/>
      <c r="W71" s="6"/>
      <c r="X71" s="6"/>
      <c r="Y71" s="6"/>
    </row>
    <row r="72" spans="1:25">
      <c r="A72" s="133"/>
      <c r="B72" s="134"/>
      <c r="C72" s="123"/>
      <c r="D72" s="123"/>
      <c r="E72" s="123"/>
      <c r="F72" s="135"/>
      <c r="G72" s="123"/>
      <c r="H72" s="123"/>
      <c r="I72" s="125"/>
      <c r="J72" s="127"/>
      <c r="K72" s="136"/>
      <c r="L72" s="123"/>
      <c r="M72" s="123"/>
      <c r="N72" s="137"/>
      <c r="O72" s="138"/>
      <c r="P72" s="139"/>
      <c r="Q72" s="126"/>
      <c r="R72" s="122"/>
      <c r="S72" s="146"/>
      <c r="T72" s="6"/>
      <c r="U72" s="6"/>
      <c r="V72" s="6"/>
      <c r="W72" s="6"/>
      <c r="X72" s="6"/>
      <c r="Y72" s="6"/>
    </row>
    <row r="73" spans="1:25">
      <c r="A73" s="133"/>
      <c r="B73" s="134"/>
      <c r="C73" s="123"/>
      <c r="D73" s="123"/>
      <c r="E73" s="123"/>
      <c r="F73" s="135"/>
      <c r="G73" s="123"/>
      <c r="H73" s="123"/>
      <c r="I73" s="125"/>
      <c r="J73" s="127"/>
      <c r="K73" s="136"/>
      <c r="L73" s="123"/>
      <c r="M73" s="123"/>
      <c r="N73" s="137"/>
      <c r="O73" s="138"/>
      <c r="P73" s="139"/>
      <c r="Q73" s="126"/>
      <c r="R73" s="122"/>
      <c r="S73" s="146"/>
      <c r="T73" s="6"/>
      <c r="U73" s="6"/>
      <c r="V73" s="6"/>
      <c r="W73" s="6"/>
      <c r="X73" s="6"/>
      <c r="Y73" s="6"/>
    </row>
    <row r="74" spans="1:25">
      <c r="A74" s="133"/>
      <c r="B74" s="134"/>
      <c r="C74" s="123"/>
      <c r="D74" s="123"/>
      <c r="E74" s="123"/>
      <c r="F74" s="135"/>
      <c r="G74" s="123"/>
      <c r="H74" s="123"/>
      <c r="I74" s="125"/>
      <c r="J74" s="127"/>
      <c r="K74" s="136"/>
      <c r="L74" s="123"/>
      <c r="M74" s="123"/>
      <c r="N74" s="137"/>
      <c r="O74" s="138"/>
      <c r="P74" s="139"/>
      <c r="Q74" s="126"/>
      <c r="R74" s="122"/>
      <c r="S74" s="146"/>
      <c r="T74" s="6"/>
      <c r="U74" s="6"/>
      <c r="V74" s="6"/>
      <c r="W74" s="6"/>
      <c r="X74" s="6"/>
      <c r="Y74" s="6"/>
    </row>
    <row r="75" spans="1:25">
      <c r="A75" s="133"/>
      <c r="B75" s="134"/>
      <c r="C75" s="123"/>
      <c r="D75" s="123"/>
      <c r="E75" s="123"/>
      <c r="F75" s="135"/>
      <c r="G75" s="123"/>
      <c r="H75" s="123"/>
      <c r="I75" s="125"/>
      <c r="J75" s="127"/>
      <c r="K75" s="136"/>
      <c r="L75" s="123"/>
      <c r="M75" s="123"/>
      <c r="N75" s="137"/>
      <c r="O75" s="138"/>
      <c r="P75" s="139"/>
      <c r="Q75" s="126"/>
      <c r="R75" s="122"/>
      <c r="S75" s="146"/>
      <c r="T75" s="6"/>
      <c r="U75" s="6"/>
      <c r="V75" s="6"/>
      <c r="W75" s="6"/>
      <c r="X75" s="6"/>
      <c r="Y75" s="6"/>
    </row>
    <row r="76" spans="1:25">
      <c r="A76" s="140"/>
      <c r="B76" s="123"/>
      <c r="C76" s="123"/>
      <c r="D76" s="123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41"/>
      <c r="P76" s="135"/>
      <c r="Q76" s="135"/>
      <c r="R76" s="123"/>
      <c r="S76" s="147"/>
      <c r="T76" s="6"/>
      <c r="U76" s="6"/>
      <c r="V76" s="6"/>
      <c r="W76" s="6"/>
      <c r="X76" s="6"/>
      <c r="Y76" s="6"/>
    </row>
    <row r="77" spans="1:25">
      <c r="A77" s="140"/>
      <c r="B77" s="123"/>
      <c r="C77" s="123"/>
      <c r="D77" s="123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41"/>
      <c r="P77" s="135"/>
      <c r="Q77" s="135"/>
      <c r="R77" s="123"/>
      <c r="S77" s="147"/>
      <c r="T77" s="6"/>
      <c r="U77" s="6"/>
      <c r="V77" s="6"/>
      <c r="W77" s="6"/>
      <c r="X77" s="6"/>
      <c r="Y77" s="6"/>
    </row>
    <row r="78" spans="1:25">
      <c r="A78" s="140"/>
      <c r="B78" s="123"/>
      <c r="C78" s="123"/>
      <c r="D78" s="123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41"/>
      <c r="P78" s="135"/>
      <c r="Q78" s="135"/>
      <c r="R78" s="123"/>
      <c r="S78" s="147"/>
      <c r="T78" s="6"/>
      <c r="U78" s="6"/>
      <c r="V78" s="6"/>
      <c r="W78" s="6"/>
      <c r="X78" s="6"/>
      <c r="Y78" s="6"/>
    </row>
    <row r="79" spans="1:25">
      <c r="A79" s="140"/>
      <c r="B79" s="123"/>
      <c r="C79" s="123"/>
      <c r="D79" s="123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41"/>
      <c r="P79" s="135"/>
      <c r="Q79" s="135"/>
      <c r="R79" s="123"/>
      <c r="S79" s="147"/>
      <c r="T79" s="6"/>
      <c r="U79" s="6"/>
      <c r="V79" s="6"/>
      <c r="W79" s="6"/>
      <c r="X79" s="6"/>
      <c r="Y79" s="6"/>
    </row>
    <row r="80" spans="1:25">
      <c r="A80" s="140"/>
      <c r="B80" s="123"/>
      <c r="C80" s="123"/>
      <c r="D80" s="123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41"/>
      <c r="P80" s="135"/>
      <c r="Q80" s="135"/>
      <c r="R80" s="123"/>
      <c r="S80" s="147"/>
      <c r="T80" s="6"/>
      <c r="U80" s="6"/>
      <c r="V80" s="6"/>
      <c r="W80" s="6"/>
      <c r="X80" s="6"/>
      <c r="Y80" s="6"/>
    </row>
    <row r="81" spans="1:25">
      <c r="A81" s="140"/>
      <c r="B81" s="123"/>
      <c r="C81" s="123"/>
      <c r="D81" s="123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41"/>
      <c r="P81" s="135"/>
      <c r="Q81" s="135"/>
      <c r="R81" s="123"/>
      <c r="S81" s="147"/>
      <c r="T81" s="6"/>
      <c r="U81" s="6"/>
      <c r="V81" s="6"/>
      <c r="W81" s="6"/>
      <c r="X81" s="6"/>
      <c r="Y81" s="6"/>
    </row>
    <row r="82" spans="1:25">
      <c r="A82" s="140"/>
      <c r="B82" s="123"/>
      <c r="C82" s="123"/>
      <c r="D82" s="123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41"/>
      <c r="P82" s="135"/>
      <c r="Q82" s="135"/>
      <c r="R82" s="123"/>
      <c r="S82" s="147"/>
      <c r="T82" s="6"/>
      <c r="U82" s="6"/>
      <c r="V82" s="6"/>
      <c r="W82" s="6"/>
      <c r="X82" s="6"/>
      <c r="Y82" s="6"/>
    </row>
    <row r="83" spans="1:25">
      <c r="A83" s="140"/>
      <c r="B83" s="123"/>
      <c r="C83" s="123"/>
      <c r="D83" s="123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41"/>
      <c r="P83" s="135"/>
      <c r="Q83" s="135"/>
      <c r="R83" s="123"/>
      <c r="S83" s="147"/>
      <c r="T83" s="6"/>
      <c r="U83" s="6"/>
      <c r="V83" s="6"/>
      <c r="W83" s="6"/>
      <c r="X83" s="6"/>
      <c r="Y83" s="6"/>
    </row>
    <row r="84" spans="1:25">
      <c r="A84" s="140"/>
      <c r="B84" s="123"/>
      <c r="C84" s="123"/>
      <c r="D84" s="123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41"/>
      <c r="P84" s="135"/>
      <c r="Q84" s="135"/>
      <c r="R84" s="123"/>
      <c r="S84" s="147"/>
      <c r="T84" s="6"/>
      <c r="U84" s="6"/>
      <c r="V84" s="6"/>
      <c r="W84" s="6"/>
      <c r="X84" s="6"/>
      <c r="Y84" s="6"/>
    </row>
    <row r="85" spans="1:25">
      <c r="A85" s="140"/>
      <c r="B85" s="123"/>
      <c r="C85" s="123"/>
      <c r="D85" s="123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41"/>
      <c r="P85" s="135"/>
      <c r="Q85" s="135"/>
      <c r="R85" s="123"/>
      <c r="S85" s="147"/>
      <c r="T85" s="6"/>
      <c r="U85" s="6"/>
      <c r="V85" s="6"/>
      <c r="W85" s="6"/>
      <c r="X85" s="6"/>
      <c r="Y85" s="6"/>
    </row>
    <row r="86" spans="1:25">
      <c r="A86" s="140"/>
      <c r="B86" s="123"/>
      <c r="C86" s="123"/>
      <c r="D86" s="123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41"/>
      <c r="P86" s="135"/>
      <c r="Q86" s="135"/>
      <c r="R86" s="123"/>
      <c r="S86" s="147"/>
      <c r="T86" s="6"/>
      <c r="U86" s="6"/>
      <c r="V86" s="6"/>
      <c r="W86" s="6"/>
      <c r="X86" s="6"/>
      <c r="Y86" s="6"/>
    </row>
    <row r="87" spans="1:25">
      <c r="A87" s="140"/>
      <c r="B87" s="123"/>
      <c r="C87" s="123"/>
      <c r="D87" s="123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41"/>
      <c r="P87" s="135"/>
      <c r="Q87" s="135"/>
      <c r="R87" s="123"/>
      <c r="S87" s="147"/>
      <c r="T87" s="6"/>
      <c r="U87" s="6"/>
      <c r="V87" s="6"/>
      <c r="W87" s="6"/>
      <c r="X87" s="6"/>
      <c r="Y87" s="6"/>
    </row>
    <row r="88" spans="1:25">
      <c r="A88" s="140"/>
      <c r="B88" s="123"/>
      <c r="C88" s="123"/>
      <c r="D88" s="123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41"/>
      <c r="P88" s="135"/>
      <c r="Q88" s="135"/>
      <c r="R88" s="123"/>
      <c r="S88" s="147"/>
      <c r="T88" s="6"/>
      <c r="U88" s="6"/>
      <c r="V88" s="6"/>
      <c r="W88" s="6"/>
      <c r="X88" s="6"/>
      <c r="Y88" s="6"/>
    </row>
    <row r="89" spans="1:25">
      <c r="A89" s="140"/>
      <c r="B89" s="123"/>
      <c r="C89" s="123"/>
      <c r="D89" s="123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41"/>
      <c r="P89" s="135"/>
      <c r="Q89" s="135"/>
      <c r="R89" s="123"/>
      <c r="S89" s="147"/>
      <c r="T89" s="6"/>
      <c r="U89" s="6"/>
      <c r="V89" s="6"/>
      <c r="W89" s="6"/>
      <c r="X89" s="6"/>
      <c r="Y89" s="6"/>
    </row>
    <row r="90" spans="1:25">
      <c r="A90" s="140"/>
      <c r="B90" s="123"/>
      <c r="C90" s="123"/>
      <c r="D90" s="123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41"/>
      <c r="P90" s="135"/>
      <c r="Q90" s="135"/>
      <c r="R90" s="123"/>
      <c r="S90" s="147"/>
      <c r="T90" s="6"/>
      <c r="U90" s="6"/>
      <c r="V90" s="6"/>
      <c r="W90" s="6"/>
      <c r="X90" s="6"/>
      <c r="Y90" s="6"/>
    </row>
    <row r="91" spans="1:25">
      <c r="A91" s="142"/>
      <c r="B91" s="143"/>
      <c r="C91" s="143"/>
      <c r="D91" s="143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5"/>
      <c r="P91" s="144"/>
      <c r="Q91" s="144"/>
      <c r="R91" s="143"/>
      <c r="S91" s="148"/>
    </row>
  </sheetData>
  <conditionalFormatting sqref="A11:S91">
    <cfRule type="expression" dxfId="116" priority="1">
      <formula>$B11="SELL"</formula>
    </cfRule>
  </conditionalFormatting>
  <dataValidations count="2">
    <dataValidation type="list" allowBlank="1" showInputMessage="1" showErrorMessage="1" sqref="C9" xr:uid="{2075604D-F183-4AB3-BDD6-7D7B105DBB5F}">
      <formula1>"Buy,Sell"</formula1>
    </dataValidation>
    <dataValidation type="list" allowBlank="1" showInputMessage="1" showErrorMessage="1" sqref="R11:R31" xr:uid="{2EDB45EC-9B9A-46FB-B163-0D4F57BBEB6F}">
      <formula1>"Kepler, Equita, GMSA"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7F000-A7A9-4F0B-896A-580E85C4AED2}">
  <sheetPr codeName="Foglio19"/>
  <dimension ref="A1:AI21"/>
  <sheetViews>
    <sheetView topLeftCell="P1" zoomScale="90" zoomScaleNormal="90" workbookViewId="0">
      <selection activeCell="AC14" sqref="AC14"/>
    </sheetView>
  </sheetViews>
  <sheetFormatPr defaultRowHeight="14.5"/>
  <cols>
    <col min="1" max="1" width="9.54296875" customWidth="1"/>
    <col min="2" max="2" width="22.26953125" customWidth="1"/>
    <col min="3" max="3" width="15" style="275" customWidth="1"/>
    <col min="4" max="4" width="22.26953125" style="275" customWidth="1"/>
    <col min="5" max="5" width="13.453125" style="325" customWidth="1"/>
    <col min="6" max="6" width="14.453125" style="325" customWidth="1"/>
    <col min="7" max="7" width="9.453125" customWidth="1"/>
    <col min="8" max="8" width="22.26953125" style="326" customWidth="1"/>
    <col min="9" max="9" width="13.7265625" customWidth="1"/>
    <col min="10" max="10" width="15.7265625" style="275" customWidth="1"/>
    <col min="11" max="11" width="14.453125" style="275" customWidth="1"/>
    <col min="12" max="12" width="12.26953125" customWidth="1"/>
    <col min="13" max="13" width="10.54296875" customWidth="1"/>
    <col min="14" max="15" width="10" style="298" customWidth="1"/>
    <col min="16" max="16" width="21.81640625" customWidth="1"/>
    <col min="17" max="17" width="13" bestFit="1" customWidth="1"/>
    <col min="18" max="18" width="11" bestFit="1" customWidth="1"/>
    <col min="20" max="20" width="26.81640625" customWidth="1"/>
    <col min="22" max="22" width="16.26953125" customWidth="1"/>
    <col min="25" max="25" width="13.54296875" style="1202" bestFit="1" customWidth="1"/>
    <col min="26" max="26" width="8.26953125" style="1202" bestFit="1" customWidth="1"/>
    <col min="27" max="27" width="21.1796875" style="1202" customWidth="1"/>
    <col min="28" max="28" width="11.81640625" style="1202" customWidth="1"/>
    <col min="29" max="29" width="19.1796875" style="1204" bestFit="1" customWidth="1"/>
    <col min="30" max="30" width="16.81640625" style="275" bestFit="1" customWidth="1"/>
    <col min="31" max="31" width="22.81640625" customWidth="1"/>
    <col min="32" max="32" width="19.81640625" hidden="1" customWidth="1"/>
    <col min="34" max="35" width="16.81640625" bestFit="1" customWidth="1"/>
  </cols>
  <sheetData>
    <row r="1" spans="1:35" ht="31">
      <c r="A1" s="1209" t="s">
        <v>2036</v>
      </c>
      <c r="B1" s="1209"/>
      <c r="C1" s="1209"/>
      <c r="D1" s="1209"/>
      <c r="E1" s="1209"/>
      <c r="F1" s="1209"/>
      <c r="G1" s="1209"/>
      <c r="H1" s="1209"/>
      <c r="I1" s="1209"/>
      <c r="J1" s="1209"/>
      <c r="K1" s="1209"/>
      <c r="L1" s="1209"/>
      <c r="M1" s="1209"/>
    </row>
    <row r="2" spans="1:35" ht="43.5">
      <c r="A2" s="299" t="s">
        <v>1662</v>
      </c>
      <c r="B2" s="300" t="s">
        <v>69</v>
      </c>
      <c r="C2" s="300" t="s">
        <v>215</v>
      </c>
      <c r="D2" s="300" t="s">
        <v>1663</v>
      </c>
      <c r="E2" s="301" t="s">
        <v>1664</v>
      </c>
      <c r="F2" s="302" t="s">
        <v>1665</v>
      </c>
      <c r="G2" s="300" t="s">
        <v>1666</v>
      </c>
      <c r="H2" s="302" t="s">
        <v>1667</v>
      </c>
      <c r="I2" s="303" t="s">
        <v>1668</v>
      </c>
      <c r="J2" s="300" t="s">
        <v>1669</v>
      </c>
      <c r="K2" s="300" t="s">
        <v>1670</v>
      </c>
      <c r="L2" s="300" t="s">
        <v>1671</v>
      </c>
      <c r="M2" s="300" t="s">
        <v>1672</v>
      </c>
      <c r="P2" s="304" t="s">
        <v>1673</v>
      </c>
      <c r="Q2" s="305" t="s">
        <v>1674</v>
      </c>
      <c r="R2" s="305" t="s">
        <v>1675</v>
      </c>
      <c r="S2" s="306" t="s">
        <v>1676</v>
      </c>
      <c r="T2" s="306" t="s">
        <v>1677</v>
      </c>
    </row>
    <row r="3" spans="1:35" s="317" customFormat="1">
      <c r="A3" s="307" t="s">
        <v>134</v>
      </c>
      <c r="B3" s="308" t="s">
        <v>12865</v>
      </c>
      <c r="C3" s="5" t="s">
        <v>12877</v>
      </c>
      <c r="D3" s="5" t="s">
        <v>12867</v>
      </c>
      <c r="E3" s="309">
        <v>4005</v>
      </c>
      <c r="F3" s="309">
        <v>28.234050052872753</v>
      </c>
      <c r="G3" s="312" t="s">
        <v>125</v>
      </c>
      <c r="H3" s="309">
        <v>141.85</v>
      </c>
      <c r="I3" s="310">
        <v>-6000</v>
      </c>
      <c r="J3" s="310">
        <v>24030000</v>
      </c>
      <c r="K3" s="310">
        <v>169404.30031723651</v>
      </c>
      <c r="L3" s="311">
        <v>44719</v>
      </c>
      <c r="M3" s="298">
        <v>0.1</v>
      </c>
      <c r="N3" s="298"/>
      <c r="O3" s="298"/>
      <c r="P3" s="312"/>
      <c r="Q3" s="313"/>
      <c r="R3" s="314"/>
      <c r="S3" s="315"/>
      <c r="T3" s="316"/>
      <c r="Y3" s="1199" t="s">
        <v>13226</v>
      </c>
      <c r="Z3" s="1197"/>
      <c r="AA3" s="1197"/>
      <c r="AB3" s="1197"/>
      <c r="AC3" s="1198"/>
      <c r="AD3" s="312"/>
      <c r="AF3" s="317" t="s">
        <v>13233</v>
      </c>
      <c r="AH3"/>
      <c r="AI3"/>
    </row>
    <row r="4" spans="1:35" s="317" customFormat="1">
      <c r="A4" s="307" t="s">
        <v>133</v>
      </c>
      <c r="B4" s="308" t="s">
        <v>13231</v>
      </c>
      <c r="C4" s="5" t="s">
        <v>13230</v>
      </c>
      <c r="D4" s="5" t="s">
        <v>13232</v>
      </c>
      <c r="E4" s="309">
        <v>2278</v>
      </c>
      <c r="F4" s="309">
        <v>16.059217483256962</v>
      </c>
      <c r="G4" s="312" t="s">
        <v>125</v>
      </c>
      <c r="H4" s="309">
        <v>141.85</v>
      </c>
      <c r="I4" s="310">
        <v>6900</v>
      </c>
      <c r="J4" s="310">
        <v>-15718200</v>
      </c>
      <c r="K4" s="310">
        <v>-110808.60063447304</v>
      </c>
      <c r="L4" s="311">
        <v>44719</v>
      </c>
      <c r="M4" s="298">
        <v>0.1</v>
      </c>
      <c r="N4" s="298"/>
      <c r="O4" s="298"/>
      <c r="P4" s="312"/>
      <c r="Q4" s="313"/>
      <c r="R4" s="314"/>
      <c r="S4" s="315" t="str">
        <f t="shared" ref="S4:S8" si="0">+IFERROR((Q4/R4)-1,"")</f>
        <v/>
      </c>
      <c r="T4" s="316"/>
      <c r="Y4" s="1197"/>
      <c r="Z4" s="1197"/>
      <c r="AA4" s="1197"/>
      <c r="AB4" s="1197"/>
      <c r="AC4" s="1198"/>
      <c r="AD4" s="312"/>
      <c r="AH4"/>
      <c r="AI4"/>
    </row>
    <row r="5" spans="1:35" s="317" customFormat="1">
      <c r="A5" s="307" t="s">
        <v>134</v>
      </c>
      <c r="B5" s="308" t="s">
        <v>12865</v>
      </c>
      <c r="C5" s="5" t="s">
        <v>12877</v>
      </c>
      <c r="D5" s="5" t="s">
        <v>12867</v>
      </c>
      <c r="E5" s="309">
        <v>3830</v>
      </c>
      <c r="F5" s="309">
        <v>27.02511995484053</v>
      </c>
      <c r="G5" s="312" t="s">
        <v>125</v>
      </c>
      <c r="H5" s="309">
        <v>141.72</v>
      </c>
      <c r="I5" s="310">
        <v>-6800</v>
      </c>
      <c r="J5" s="310">
        <v>26044000</v>
      </c>
      <c r="K5" s="310">
        <v>183770.81569291561</v>
      </c>
      <c r="L5" s="311">
        <v>44729</v>
      </c>
      <c r="M5" s="298">
        <v>0.1</v>
      </c>
      <c r="N5" s="298"/>
      <c r="O5" s="298"/>
      <c r="P5" s="312"/>
      <c r="Q5" s="313"/>
      <c r="R5" s="314"/>
      <c r="S5" s="315" t="str">
        <f t="shared" si="0"/>
        <v/>
      </c>
      <c r="T5" s="316"/>
      <c r="Y5" s="1197" t="s">
        <v>13228</v>
      </c>
      <c r="Z5" s="1197"/>
      <c r="AA5" s="1197"/>
      <c r="AB5" s="1197"/>
      <c r="AC5" s="1198"/>
      <c r="AD5" s="312"/>
      <c r="AH5"/>
      <c r="AI5"/>
    </row>
    <row r="6" spans="1:35" s="317" customFormat="1">
      <c r="A6" s="307"/>
      <c r="B6" s="308"/>
      <c r="C6" s="5"/>
      <c r="D6" s="5"/>
      <c r="E6" s="309"/>
      <c r="F6" s="309"/>
      <c r="G6" s="312"/>
      <c r="H6" s="309"/>
      <c r="I6" s="310"/>
      <c r="J6" s="310"/>
      <c r="K6" s="310"/>
      <c r="L6" s="311"/>
      <c r="M6" s="298"/>
      <c r="N6" s="298"/>
      <c r="O6" s="298"/>
      <c r="P6" s="312"/>
      <c r="Q6" s="313"/>
      <c r="R6" s="314"/>
      <c r="S6" s="315" t="str">
        <f t="shared" si="0"/>
        <v/>
      </c>
      <c r="T6" s="316"/>
      <c r="Y6" s="1197"/>
      <c r="Z6" s="1197"/>
      <c r="AA6" s="1197"/>
      <c r="AB6" s="1197"/>
      <c r="AC6" s="1198"/>
      <c r="AD6" s="275"/>
      <c r="AH6"/>
      <c r="AI6"/>
    </row>
    <row r="7" spans="1:35" s="317" customFormat="1" ht="16" customHeight="1">
      <c r="A7" s="307"/>
      <c r="B7" s="308"/>
      <c r="C7" s="5"/>
      <c r="D7" s="5"/>
      <c r="E7" s="309"/>
      <c r="F7" s="309"/>
      <c r="G7" s="312"/>
      <c r="H7" s="309"/>
      <c r="I7" s="310"/>
      <c r="J7" s="310"/>
      <c r="K7" s="310"/>
      <c r="L7" s="311"/>
      <c r="M7" s="298"/>
      <c r="N7" s="298"/>
      <c r="O7" s="298"/>
      <c r="P7" s="320"/>
      <c r="Q7" s="321"/>
      <c r="R7" s="322"/>
      <c r="S7" s="323" t="str">
        <f t="shared" si="0"/>
        <v/>
      </c>
      <c r="T7" s="324"/>
      <c r="Y7" s="1200" t="s">
        <v>1662</v>
      </c>
      <c r="Z7" s="1200" t="s">
        <v>91</v>
      </c>
      <c r="AA7" s="1200" t="s">
        <v>1663</v>
      </c>
      <c r="AB7" s="1200" t="s">
        <v>28</v>
      </c>
      <c r="AC7" s="1201" t="s">
        <v>13227</v>
      </c>
      <c r="AD7" s="1201" t="s">
        <v>33</v>
      </c>
      <c r="AH7"/>
      <c r="AI7"/>
    </row>
    <row r="8" spans="1:35" s="317" customFormat="1">
      <c r="A8" s="307"/>
      <c r="B8" s="308"/>
      <c r="C8" s="5"/>
      <c r="D8" s="5"/>
      <c r="E8" s="309"/>
      <c r="F8" s="309"/>
      <c r="G8" s="312"/>
      <c r="H8" s="309"/>
      <c r="I8" s="310"/>
      <c r="J8" s="310"/>
      <c r="K8" s="310"/>
      <c r="L8" s="311"/>
      <c r="M8" s="298"/>
      <c r="N8" s="298"/>
      <c r="O8" s="298"/>
      <c r="P8" s="312"/>
      <c r="Q8" s="313"/>
      <c r="R8" s="314"/>
      <c r="S8" s="315" t="str">
        <f t="shared" si="0"/>
        <v/>
      </c>
      <c r="T8" s="316"/>
      <c r="Y8" s="1205" t="s">
        <v>134</v>
      </c>
      <c r="Z8" s="1203">
        <v>6000</v>
      </c>
      <c r="AA8" s="1203" t="s">
        <v>12867</v>
      </c>
      <c r="AB8" s="1203" t="s">
        <v>12877</v>
      </c>
      <c r="AC8" s="298">
        <v>0.1</v>
      </c>
      <c r="AD8" s="275" t="s">
        <v>1656</v>
      </c>
      <c r="AH8"/>
      <c r="AI8"/>
    </row>
    <row r="9" spans="1:35" s="317" customFormat="1">
      <c r="A9" s="307"/>
      <c r="B9" s="308"/>
      <c r="C9" s="5"/>
      <c r="D9" s="5"/>
      <c r="E9" s="309"/>
      <c r="F9" s="309"/>
      <c r="G9" s="312"/>
      <c r="H9" s="309"/>
      <c r="I9" s="310"/>
      <c r="J9" s="310"/>
      <c r="K9" s="310"/>
      <c r="L9" s="311"/>
      <c r="M9" s="298"/>
      <c r="N9" s="298"/>
      <c r="O9" s="298"/>
      <c r="Y9" s="1203" t="s">
        <v>133</v>
      </c>
      <c r="Z9" s="1203">
        <v>11000</v>
      </c>
      <c r="AA9" s="1203" t="s">
        <v>13232</v>
      </c>
      <c r="AB9" s="1203" t="s">
        <v>13230</v>
      </c>
      <c r="AC9" s="298">
        <v>0.1</v>
      </c>
      <c r="AD9" s="275" t="s">
        <v>1656</v>
      </c>
      <c r="AH9"/>
      <c r="AI9"/>
    </row>
    <row r="10" spans="1:35" s="317" customFormat="1">
      <c r="A10" s="307"/>
      <c r="B10" s="308"/>
      <c r="C10" s="5"/>
      <c r="D10" s="5"/>
      <c r="E10" s="309"/>
      <c r="F10" s="309"/>
      <c r="G10" s="312"/>
      <c r="H10" s="309"/>
      <c r="I10" s="310"/>
      <c r="J10" s="310"/>
      <c r="K10" s="310"/>
      <c r="L10" s="311"/>
      <c r="M10" s="298"/>
      <c r="Y10" s="1203" t="s">
        <v>134</v>
      </c>
      <c r="Z10" s="1203">
        <v>6000</v>
      </c>
      <c r="AA10" s="1203" t="s">
        <v>12867</v>
      </c>
      <c r="AB10" s="1203" t="s">
        <v>12877</v>
      </c>
      <c r="AC10" s="1204">
        <v>0.1</v>
      </c>
      <c r="AD10" s="275" t="s">
        <v>1656</v>
      </c>
      <c r="AH10"/>
      <c r="AI10"/>
    </row>
    <row r="11" spans="1:35" s="317" customFormat="1">
      <c r="A11" s="307"/>
      <c r="B11" s="308"/>
      <c r="C11" s="5"/>
      <c r="D11" s="5"/>
      <c r="E11" s="309"/>
      <c r="F11" s="309"/>
      <c r="G11" s="312"/>
      <c r="H11" s="309"/>
      <c r="I11" s="310"/>
      <c r="J11" s="310"/>
      <c r="K11" s="310"/>
      <c r="L11" s="311"/>
      <c r="M11" s="298"/>
      <c r="N11" s="298"/>
      <c r="O11" s="298"/>
      <c r="P11" s="312"/>
      <c r="Q11" s="313"/>
      <c r="R11" s="314"/>
      <c r="S11" s="315" t="str">
        <f>+IFERROR((Q11/R11)-1,"")</f>
        <v/>
      </c>
      <c r="T11" s="316"/>
      <c r="Y11" s="1203" t="s">
        <v>133</v>
      </c>
      <c r="Z11" s="1203">
        <v>6900</v>
      </c>
      <c r="AA11" s="1203" t="s">
        <v>13232</v>
      </c>
      <c r="AB11" s="1203" t="s">
        <v>13230</v>
      </c>
      <c r="AC11" s="1204">
        <v>0.1</v>
      </c>
      <c r="AD11" s="275" t="s">
        <v>1656</v>
      </c>
    </row>
    <row r="12" spans="1:35" s="317" customFormat="1">
      <c r="A12" s="307"/>
      <c r="B12" s="308"/>
      <c r="C12" s="5"/>
      <c r="D12" s="5"/>
      <c r="E12" s="309"/>
      <c r="F12" s="309"/>
      <c r="G12" s="312"/>
      <c r="H12" s="309"/>
      <c r="I12" s="310"/>
      <c r="J12" s="310"/>
      <c r="K12" s="310"/>
      <c r="L12" s="311"/>
      <c r="M12" s="298"/>
      <c r="N12" s="298"/>
      <c r="O12" s="298"/>
      <c r="Y12" s="1203" t="s">
        <v>134</v>
      </c>
      <c r="Z12" s="1203">
        <v>6800</v>
      </c>
      <c r="AA12" s="1203" t="s">
        <v>12867</v>
      </c>
      <c r="AB12" s="1203" t="s">
        <v>12877</v>
      </c>
      <c r="AC12" s="1204">
        <v>0.1</v>
      </c>
      <c r="AD12" s="275" t="s">
        <v>1656</v>
      </c>
    </row>
    <row r="13" spans="1:35" s="317" customFormat="1">
      <c r="A13" s="307"/>
      <c r="B13" s="308"/>
      <c r="C13" s="5"/>
      <c r="D13" s="5"/>
      <c r="E13" s="309"/>
      <c r="F13" s="309"/>
      <c r="G13" s="312"/>
      <c r="H13" s="309"/>
      <c r="I13" s="310"/>
      <c r="J13" s="310"/>
      <c r="K13" s="310"/>
      <c r="L13" s="311"/>
      <c r="M13" s="298"/>
      <c r="N13" s="298"/>
      <c r="O13" s="298"/>
      <c r="P13" s="312"/>
      <c r="Q13" s="313"/>
      <c r="R13" s="314"/>
      <c r="S13" s="315"/>
      <c r="T13" s="316"/>
      <c r="Y13" s="1203"/>
      <c r="Z13" s="1203"/>
      <c r="AA13" s="1203"/>
      <c r="AB13" s="1203"/>
      <c r="AC13" s="1204"/>
      <c r="AD13" s="275"/>
    </row>
    <row r="14" spans="1:35" s="317" customFormat="1">
      <c r="A14" s="307"/>
      <c r="B14" s="308"/>
      <c r="C14" s="5"/>
      <c r="D14" s="5"/>
      <c r="E14" s="309"/>
      <c r="F14" s="309"/>
      <c r="G14" s="312"/>
      <c r="H14" s="309"/>
      <c r="I14" s="310"/>
      <c r="J14" s="310"/>
      <c r="K14" s="310"/>
      <c r="L14" s="311"/>
      <c r="M14" s="298"/>
      <c r="N14" s="298"/>
      <c r="O14" s="298"/>
      <c r="P14" s="312"/>
      <c r="Q14" s="313"/>
      <c r="R14" s="314"/>
      <c r="S14" s="315"/>
      <c r="T14" s="316"/>
      <c r="Y14" s="1203"/>
      <c r="Z14" s="1203"/>
      <c r="AA14" s="1203"/>
      <c r="AB14" s="1203"/>
      <c r="AC14" s="1204"/>
      <c r="AD14" s="275"/>
    </row>
    <row r="15" spans="1:35" s="317" customFormat="1">
      <c r="A15"/>
      <c r="B15"/>
      <c r="C15" s="275"/>
      <c r="D15" s="275"/>
      <c r="E15" s="325"/>
      <c r="F15" s="325"/>
      <c r="G15"/>
      <c r="H15" s="326"/>
      <c r="I15"/>
      <c r="J15" s="275"/>
      <c r="K15" s="275"/>
      <c r="L15"/>
      <c r="M15"/>
      <c r="N15" s="298"/>
      <c r="O15" s="298"/>
      <c r="P15" s="312"/>
      <c r="Q15" s="313"/>
      <c r="R15" s="314"/>
      <c r="S15" s="315"/>
      <c r="T15" s="316"/>
      <c r="Y15" s="1203"/>
      <c r="Z15" s="1203"/>
      <c r="AA15" s="1203"/>
      <c r="AB15" s="1203"/>
      <c r="AC15" s="1204"/>
      <c r="AD15" s="275"/>
    </row>
    <row r="16" spans="1:35" s="317" customFormat="1">
      <c r="A16"/>
      <c r="B16"/>
      <c r="C16" s="275"/>
      <c r="D16" s="275"/>
      <c r="E16" s="325"/>
      <c r="F16" s="325"/>
      <c r="G16"/>
      <c r="H16" s="326"/>
      <c r="I16"/>
      <c r="J16" s="275"/>
      <c r="K16" s="275"/>
      <c r="L16"/>
      <c r="M16"/>
      <c r="N16" s="298"/>
      <c r="O16" s="298"/>
      <c r="P16" s="312"/>
      <c r="Q16" s="313"/>
      <c r="R16" s="314"/>
      <c r="S16" s="315"/>
      <c r="T16" s="316"/>
      <c r="Y16" s="1203"/>
      <c r="Z16" s="1203"/>
      <c r="AA16" s="1203"/>
      <c r="AB16" s="1203"/>
      <c r="AC16" s="1204"/>
      <c r="AD16" s="275"/>
    </row>
    <row r="17" spans="1:30" s="317" customFormat="1">
      <c r="A17"/>
      <c r="B17"/>
      <c r="C17" s="275"/>
      <c r="D17" s="275"/>
      <c r="E17" s="325"/>
      <c r="F17" s="325"/>
      <c r="G17"/>
      <c r="H17" s="326"/>
      <c r="I17"/>
      <c r="J17" s="275"/>
      <c r="K17" s="275"/>
      <c r="L17"/>
      <c r="M17"/>
      <c r="N17" s="298"/>
      <c r="O17" s="298"/>
      <c r="P17" s="312"/>
      <c r="Q17" s="313"/>
      <c r="R17" s="314"/>
      <c r="S17" s="315"/>
      <c r="T17" s="316"/>
      <c r="Y17" s="1203"/>
      <c r="Z17" s="1203"/>
      <c r="AA17" s="1203"/>
      <c r="AB17" s="1203"/>
      <c r="AC17" s="1204"/>
      <c r="AD17" s="275"/>
    </row>
    <row r="18" spans="1:30" s="317" customFormat="1">
      <c r="A18"/>
      <c r="B18"/>
      <c r="C18" s="275"/>
      <c r="D18" s="275"/>
      <c r="E18" s="325"/>
      <c r="F18" s="325"/>
      <c r="G18"/>
      <c r="H18" s="326"/>
      <c r="I18"/>
      <c r="J18" s="275"/>
      <c r="K18" s="275"/>
      <c r="L18"/>
      <c r="M18"/>
      <c r="N18" s="298"/>
      <c r="O18" s="298"/>
      <c r="P18" s="312"/>
      <c r="Q18" s="313"/>
      <c r="R18" s="314"/>
      <c r="S18" s="315"/>
      <c r="T18" s="316"/>
      <c r="Y18" s="1203"/>
      <c r="Z18" s="1203"/>
      <c r="AA18" s="1203"/>
      <c r="AB18" s="1203"/>
      <c r="AC18" s="298"/>
      <c r="AD18" s="275"/>
    </row>
    <row r="19" spans="1:30" s="317" customFormat="1">
      <c r="A19"/>
      <c r="B19"/>
      <c r="C19" s="275"/>
      <c r="D19" s="275"/>
      <c r="E19" s="325"/>
      <c r="F19" s="325"/>
      <c r="G19"/>
      <c r="H19" s="326"/>
      <c r="I19"/>
      <c r="J19" s="275"/>
      <c r="K19" s="275"/>
      <c r="L19"/>
      <c r="M19"/>
      <c r="N19" s="298"/>
      <c r="O19" s="298"/>
      <c r="P19" s="312"/>
      <c r="Q19" s="313"/>
      <c r="R19" s="314"/>
      <c r="S19" s="315"/>
      <c r="T19" s="316"/>
      <c r="Y19" s="1203"/>
      <c r="Z19" s="1203"/>
      <c r="AA19" s="1203"/>
      <c r="AB19" s="1203"/>
      <c r="AC19" s="298"/>
      <c r="AD19" s="312"/>
    </row>
    <row r="20" spans="1:30" s="317" customFormat="1">
      <c r="A20"/>
      <c r="B20"/>
      <c r="C20" s="275"/>
      <c r="D20" s="275"/>
      <c r="E20" s="325"/>
      <c r="F20" s="325"/>
      <c r="G20"/>
      <c r="H20" s="326"/>
      <c r="I20"/>
      <c r="J20" s="275"/>
      <c r="K20" s="275"/>
      <c r="L20"/>
      <c r="M20"/>
      <c r="N20" s="298"/>
      <c r="O20" s="298"/>
      <c r="P20" s="312"/>
      <c r="Q20" s="313"/>
      <c r="R20" s="314"/>
      <c r="S20" s="315"/>
      <c r="T20" s="316"/>
      <c r="Y20" s="1203"/>
      <c r="Z20" s="1203"/>
      <c r="AA20" s="1203"/>
      <c r="AB20" s="1203"/>
      <c r="AC20" s="298"/>
      <c r="AD20" s="312"/>
    </row>
    <row r="21" spans="1:30" s="317" customFormat="1">
      <c r="A21"/>
      <c r="B21"/>
      <c r="C21" s="275"/>
      <c r="D21" s="275"/>
      <c r="E21" s="325"/>
      <c r="F21" s="325"/>
      <c r="G21"/>
      <c r="H21" s="326"/>
      <c r="I21"/>
      <c r="J21" s="275"/>
      <c r="K21" s="275"/>
      <c r="L21"/>
      <c r="M21"/>
      <c r="N21" s="298"/>
      <c r="O21" s="298"/>
      <c r="P21" s="312"/>
      <c r="Q21" s="313"/>
      <c r="R21" s="314"/>
      <c r="S21" s="315"/>
      <c r="T21" s="316"/>
      <c r="Y21" s="1203"/>
      <c r="Z21" s="1203"/>
      <c r="AA21" s="1203"/>
      <c r="AB21" s="1203"/>
      <c r="AC21" s="298"/>
      <c r="AD21" s="312"/>
    </row>
  </sheetData>
  <mergeCells count="1">
    <mergeCell ref="A1:M1"/>
  </mergeCells>
  <conditionalFormatting sqref="A1:X1 AJ2:XFD2 A2:U2 AF2:AG2 AD1:XFD1 A3:M1048576">
    <cfRule type="expression" dxfId="115" priority="81">
      <formula>$A1="SELL"</formula>
    </cfRule>
  </conditionalFormatting>
  <conditionalFormatting sqref="N3:T7">
    <cfRule type="expression" dxfId="114" priority="90">
      <formula>#REF!="SELL"</formula>
    </cfRule>
  </conditionalFormatting>
  <conditionalFormatting sqref="A1:A1048576">
    <cfRule type="containsText" dxfId="113" priority="79" operator="containsText" text="sell">
      <formula>NOT(ISERROR(SEARCH("sell",A1)))</formula>
    </cfRule>
    <cfRule type="containsText" dxfId="112" priority="80" operator="containsText" text="Buy">
      <formula>NOT(ISERROR(SEARCH("Buy",A1)))</formula>
    </cfRule>
  </conditionalFormatting>
  <conditionalFormatting sqref="U53:X1048576 AD53:XFD1048576">
    <cfRule type="expression" dxfId="111" priority="216">
      <formula>$A18="SELL"</formula>
    </cfRule>
  </conditionalFormatting>
  <conditionalFormatting sqref="AJ3:XFD7">
    <cfRule type="expression" dxfId="110" priority="415">
      <formula>#REF!="SELL"</formula>
    </cfRule>
  </conditionalFormatting>
  <conditionalFormatting sqref="U3:X6 AD3:AG5 AE6:AG6">
    <cfRule type="expression" dxfId="109" priority="422">
      <formula>#REF!="SELL"</formula>
    </cfRule>
  </conditionalFormatting>
  <conditionalFormatting sqref="AJ8:XFD9 AE10:AG14 AE16:XFD18 AD19:XFD20 U19:U20">
    <cfRule type="expression" dxfId="108" priority="439">
      <formula>#REF!="SELL"</formula>
    </cfRule>
  </conditionalFormatting>
  <conditionalFormatting sqref="U7:X8 AE7:AG8">
    <cfRule type="expression" dxfId="107" priority="442">
      <formula>#REF!="SELL"</formula>
    </cfRule>
  </conditionalFormatting>
  <conditionalFormatting sqref="AH11:XFD11 AJ10:XFD10">
    <cfRule type="expression" dxfId="106" priority="456">
      <formula>#REF!="SELL"</formula>
    </cfRule>
  </conditionalFormatting>
  <conditionalFormatting sqref="U9:X9 U10 AE9:AG9">
    <cfRule type="expression" dxfId="105" priority="462">
      <formula>#REF!="SELL"</formula>
    </cfRule>
  </conditionalFormatting>
  <conditionalFormatting sqref="AH12:XFD12">
    <cfRule type="expression" dxfId="104" priority="476">
      <formula>#REF!="SELL"</formula>
    </cfRule>
  </conditionalFormatting>
  <conditionalFormatting sqref="U11">
    <cfRule type="expression" dxfId="103" priority="482">
      <formula>#REF!="SELL"</formula>
    </cfRule>
  </conditionalFormatting>
  <conditionalFormatting sqref="AH13:XFD13">
    <cfRule type="expression" dxfId="102" priority="496">
      <formula>#REF!="SELL"</formula>
    </cfRule>
  </conditionalFormatting>
  <conditionalFormatting sqref="U12">
    <cfRule type="expression" dxfId="101" priority="502">
      <formula>#REF!="SELL"</formula>
    </cfRule>
  </conditionalFormatting>
  <conditionalFormatting sqref="AH14:XFD15">
    <cfRule type="expression" dxfId="100" priority="516">
      <formula>#REF!="SELL"</formula>
    </cfRule>
  </conditionalFormatting>
  <conditionalFormatting sqref="N8:T8 N9:O9">
    <cfRule type="expression" dxfId="99" priority="520">
      <formula>#REF!="SELL"</formula>
    </cfRule>
  </conditionalFormatting>
  <conditionalFormatting sqref="P7:T7">
    <cfRule type="expression" dxfId="98" priority="522">
      <formula>#REF!="SELL"</formula>
    </cfRule>
  </conditionalFormatting>
  <conditionalFormatting sqref="U13:U14">
    <cfRule type="expression" dxfId="97" priority="523">
      <formula>#REF!="SELL"</formula>
    </cfRule>
  </conditionalFormatting>
  <conditionalFormatting sqref="U16:U17">
    <cfRule type="expression" dxfId="96" priority="533">
      <formula>#REF!="SELL"</formula>
    </cfRule>
  </conditionalFormatting>
  <conditionalFormatting sqref="N11:T11 N12:O12">
    <cfRule type="expression" dxfId="95" priority="536">
      <formula>#REF!="SELL"</formula>
    </cfRule>
  </conditionalFormatting>
  <conditionalFormatting sqref="P7:T7">
    <cfRule type="expression" dxfId="94" priority="538">
      <formula>#REF!="SELL"</formula>
    </cfRule>
  </conditionalFormatting>
  <conditionalFormatting sqref="U18">
    <cfRule type="expression" dxfId="93" priority="548">
      <formula>#REF!="SELL"</formula>
    </cfRule>
  </conditionalFormatting>
  <conditionalFormatting sqref="N13:T13">
    <cfRule type="expression" dxfId="92" priority="551">
      <formula>#REF!="SELL"</formula>
    </cfRule>
  </conditionalFormatting>
  <conditionalFormatting sqref="N14:T14">
    <cfRule type="expression" dxfId="91" priority="565">
      <formula>#REF!="SELL"</formula>
    </cfRule>
  </conditionalFormatting>
  <conditionalFormatting sqref="AD21:XFD21 U21">
    <cfRule type="expression" dxfId="90" priority="575">
      <formula>#REF!="SELL"</formula>
    </cfRule>
  </conditionalFormatting>
  <conditionalFormatting sqref="N15:T17">
    <cfRule type="expression" dxfId="89" priority="578">
      <formula>#REF!="SELL"</formula>
    </cfRule>
  </conditionalFormatting>
  <conditionalFormatting sqref="N48:T1048576">
    <cfRule type="expression" dxfId="88" priority="579">
      <formula>$A18="SELL"</formula>
    </cfRule>
  </conditionalFormatting>
  <conditionalFormatting sqref="N18:T18">
    <cfRule type="expression" dxfId="87" priority="595">
      <formula>#REF!="SELL"</formula>
    </cfRule>
  </conditionalFormatting>
  <conditionalFormatting sqref="N19:T19">
    <cfRule type="expression" dxfId="86" priority="601">
      <formula>#REF!="SELL"</formula>
    </cfRule>
  </conditionalFormatting>
  <conditionalFormatting sqref="N21:T21">
    <cfRule type="expression" dxfId="85" priority="642">
      <formula>#REF!="SELL"</formula>
    </cfRule>
  </conditionalFormatting>
  <conditionalFormatting sqref="N20:T20">
    <cfRule type="expression" dxfId="84" priority="644">
      <formula>#REF!="SELL"</formula>
    </cfRule>
  </conditionalFormatting>
  <conditionalFormatting sqref="U22:X34 AD22:XFD34">
    <cfRule type="expression" dxfId="83" priority="720">
      <formula>$A5="SELL"</formula>
    </cfRule>
  </conditionalFormatting>
  <conditionalFormatting sqref="U35:X52 AD35:XFD52">
    <cfRule type="expression" dxfId="82" priority="722">
      <formula>#REF!="SELL"</formula>
    </cfRule>
  </conditionalFormatting>
  <conditionalFormatting sqref="N22:T29">
    <cfRule type="expression" dxfId="81" priority="725">
      <formula>$A10="SELL"</formula>
    </cfRule>
  </conditionalFormatting>
  <conditionalFormatting sqref="N30:T47">
    <cfRule type="expression" dxfId="80" priority="727">
      <formula>#REF!="SELL"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D1C35-0E22-4F14-B56A-3C8B5DAD55AB}">
  <sheetPr codeName="Foglio25"/>
  <dimension ref="A1:F345"/>
  <sheetViews>
    <sheetView topLeftCell="A330" workbookViewId="0">
      <selection activeCell="I353" sqref="I353"/>
    </sheetView>
  </sheetViews>
  <sheetFormatPr defaultColWidth="9.26953125" defaultRowHeight="14.5"/>
  <cols>
    <col min="1" max="1" width="9.26953125" style="100"/>
    <col min="2" max="2" width="17.26953125" style="242" customWidth="1"/>
    <col min="3" max="3" width="10.453125" style="100" bestFit="1" customWidth="1"/>
    <col min="4" max="4" width="10.1796875" style="100" bestFit="1" customWidth="1"/>
    <col min="5" max="5" width="12.81640625" style="100" customWidth="1"/>
    <col min="6" max="7" width="9.26953125" style="100"/>
    <col min="8" max="8" width="10.54296875" style="100" bestFit="1" customWidth="1"/>
    <col min="9" max="16384" width="9.26953125" style="100"/>
  </cols>
  <sheetData>
    <row r="1" spans="2:5" customFormat="1">
      <c r="B1" s="384"/>
      <c r="C1" s="382" t="s">
        <v>1653</v>
      </c>
      <c r="D1" s="382" t="s">
        <v>2039</v>
      </c>
      <c r="E1" s="382" t="s">
        <v>2040</v>
      </c>
    </row>
    <row r="2" spans="2:5" customFormat="1">
      <c r="B2" s="384">
        <v>12678629.869999999</v>
      </c>
      <c r="C2" s="383">
        <v>44196</v>
      </c>
      <c r="D2" s="276">
        <v>140.4</v>
      </c>
      <c r="E2" s="385">
        <v>0</v>
      </c>
    </row>
    <row r="3" spans="2:5" customFormat="1">
      <c r="B3" s="384">
        <v>12950367.18</v>
      </c>
      <c r="C3" s="383">
        <v>44200</v>
      </c>
      <c r="D3" s="276">
        <v>143.41</v>
      </c>
      <c r="E3" s="385">
        <f>(D3-$D$2)/$D$2</f>
        <v>2.1438746438746374E-2</v>
      </c>
    </row>
    <row r="4" spans="2:5" customFormat="1">
      <c r="B4" s="384">
        <v>13069335.619999999</v>
      </c>
      <c r="C4" s="383">
        <v>44201</v>
      </c>
      <c r="D4" s="276">
        <v>144.72999999999999</v>
      </c>
      <c r="E4" s="385">
        <f t="shared" ref="E4:E67" si="0">(D4-$D$2)/$D$2</f>
        <v>3.0840455840455725E-2</v>
      </c>
    </row>
    <row r="5" spans="2:5" customFormat="1">
      <c r="B5" s="384">
        <v>13218793.949999999</v>
      </c>
      <c r="C5" s="383">
        <v>44202</v>
      </c>
      <c r="D5" s="276">
        <v>146.38999999999999</v>
      </c>
      <c r="E5" s="385">
        <f t="shared" si="0"/>
        <v>4.2663817663817521E-2</v>
      </c>
    </row>
    <row r="6" spans="2:5" customFormat="1">
      <c r="B6" s="384">
        <v>13469135.74</v>
      </c>
      <c r="C6" s="383">
        <v>44203</v>
      </c>
      <c r="D6" s="276">
        <v>149.16</v>
      </c>
      <c r="E6" s="385">
        <f t="shared" si="0"/>
        <v>6.2393162393162324E-2</v>
      </c>
    </row>
    <row r="7" spans="2:5" customFormat="1">
      <c r="B7" s="384">
        <v>13647481.92</v>
      </c>
      <c r="C7" s="383">
        <v>44204</v>
      </c>
      <c r="D7" s="276">
        <v>151.13999999999999</v>
      </c>
      <c r="E7" s="385">
        <f t="shared" si="0"/>
        <v>7.6495726495726349E-2</v>
      </c>
    </row>
    <row r="8" spans="2:5" customFormat="1">
      <c r="B8" s="384">
        <v>13889711.539999999</v>
      </c>
      <c r="C8" s="383">
        <v>44207</v>
      </c>
      <c r="D8" s="276">
        <v>151.4</v>
      </c>
      <c r="E8" s="385">
        <f t="shared" si="0"/>
        <v>7.8347578347578342E-2</v>
      </c>
    </row>
    <row r="9" spans="2:5" customFormat="1">
      <c r="B9" s="384">
        <v>15055761.890000001</v>
      </c>
      <c r="C9" s="383">
        <v>44208</v>
      </c>
      <c r="D9" s="276">
        <v>150.99</v>
      </c>
      <c r="E9" s="385">
        <f t="shared" si="0"/>
        <v>7.5427350427350451E-2</v>
      </c>
    </row>
    <row r="10" spans="2:5" customFormat="1">
      <c r="B10" s="384">
        <v>15458081</v>
      </c>
      <c r="C10" s="383">
        <v>44210</v>
      </c>
      <c r="D10" s="276">
        <v>151.43</v>
      </c>
      <c r="E10" s="385">
        <f t="shared" si="0"/>
        <v>7.8561253561253569E-2</v>
      </c>
    </row>
    <row r="11" spans="2:5" customFormat="1">
      <c r="B11" s="384">
        <v>15667415</v>
      </c>
      <c r="C11" s="383">
        <v>44211</v>
      </c>
      <c r="D11" s="276">
        <v>150.91</v>
      </c>
      <c r="E11" s="385">
        <f t="shared" si="0"/>
        <v>7.4857549857549791E-2</v>
      </c>
    </row>
    <row r="12" spans="2:5" customFormat="1">
      <c r="B12" s="384">
        <v>15576370.74</v>
      </c>
      <c r="C12" s="383">
        <v>44214</v>
      </c>
      <c r="D12" s="276">
        <v>150.03</v>
      </c>
      <c r="E12" s="385">
        <f t="shared" si="0"/>
        <v>6.8589743589743554E-2</v>
      </c>
    </row>
    <row r="13" spans="2:5" customFormat="1">
      <c r="B13" s="384">
        <v>15793788.07</v>
      </c>
      <c r="C13" s="383">
        <v>44215</v>
      </c>
      <c r="D13" s="276">
        <v>151.01</v>
      </c>
      <c r="E13" s="385">
        <f t="shared" si="0"/>
        <v>7.5569800569800463E-2</v>
      </c>
    </row>
    <row r="14" spans="2:5" customFormat="1">
      <c r="B14" s="384">
        <v>16041110.26</v>
      </c>
      <c r="C14" s="383">
        <v>44216</v>
      </c>
      <c r="D14" s="276">
        <v>153.47999999999999</v>
      </c>
      <c r="E14" s="385">
        <f t="shared" si="0"/>
        <v>9.316239316239304E-2</v>
      </c>
    </row>
    <row r="15" spans="2:5" customFormat="1">
      <c r="B15" s="384">
        <v>16837037.27</v>
      </c>
      <c r="C15" s="383">
        <v>44217</v>
      </c>
      <c r="D15" s="276">
        <v>154.88</v>
      </c>
      <c r="E15" s="385">
        <f t="shared" si="0"/>
        <v>0.10313390313390305</v>
      </c>
    </row>
    <row r="16" spans="2:5" customFormat="1">
      <c r="B16" s="384">
        <v>17092867.899999999</v>
      </c>
      <c r="C16" s="383">
        <v>44218</v>
      </c>
      <c r="D16" s="276">
        <v>154.69</v>
      </c>
      <c r="E16" s="385">
        <f t="shared" si="0"/>
        <v>0.10178062678062672</v>
      </c>
    </row>
    <row r="17" spans="2:5" customFormat="1">
      <c r="B17" s="384">
        <v>17522673.059999999</v>
      </c>
      <c r="C17" s="383">
        <v>44221</v>
      </c>
      <c r="D17" s="276">
        <v>156.4</v>
      </c>
      <c r="E17" s="385">
        <f t="shared" si="0"/>
        <v>0.11396011396011396</v>
      </c>
    </row>
    <row r="18" spans="2:5" customFormat="1">
      <c r="B18" s="384">
        <v>17447250</v>
      </c>
      <c r="C18" s="383">
        <v>44222</v>
      </c>
      <c r="D18" s="276">
        <v>155.91</v>
      </c>
      <c r="E18" s="385">
        <f t="shared" si="0"/>
        <v>0.1104700854700854</v>
      </c>
    </row>
    <row r="19" spans="2:5" customFormat="1">
      <c r="B19" s="384">
        <v>17383353.550000001</v>
      </c>
      <c r="C19" s="383">
        <v>44223</v>
      </c>
      <c r="D19" s="276">
        <v>155.71</v>
      </c>
      <c r="E19" s="385">
        <f t="shared" si="0"/>
        <v>0.10904558404558405</v>
      </c>
    </row>
    <row r="20" spans="2:5" customFormat="1">
      <c r="B20" s="384">
        <v>17069822.969999999</v>
      </c>
      <c r="C20" s="383">
        <v>44224</v>
      </c>
      <c r="D20" s="276">
        <v>152.75</v>
      </c>
      <c r="E20" s="385">
        <f t="shared" si="0"/>
        <v>8.7962962962962923E-2</v>
      </c>
    </row>
    <row r="21" spans="2:5" customFormat="1">
      <c r="B21" s="384">
        <v>16746809.050000001</v>
      </c>
      <c r="C21" s="383">
        <v>44225</v>
      </c>
      <c r="D21" s="276">
        <v>149.69999999999999</v>
      </c>
      <c r="E21" s="385">
        <f t="shared" si="0"/>
        <v>6.6239316239316115E-2</v>
      </c>
    </row>
    <row r="22" spans="2:5" customFormat="1">
      <c r="B22" s="384">
        <v>17023791</v>
      </c>
      <c r="C22" s="383">
        <v>44228</v>
      </c>
      <c r="D22" s="276">
        <v>152.18</v>
      </c>
      <c r="E22" s="385">
        <f t="shared" si="0"/>
        <v>8.3903133903133906E-2</v>
      </c>
    </row>
    <row r="23" spans="2:5" customFormat="1">
      <c r="B23" s="384">
        <v>17333410.91</v>
      </c>
      <c r="C23" s="383">
        <v>44229</v>
      </c>
      <c r="D23" s="276">
        <v>154.81</v>
      </c>
      <c r="E23" s="385">
        <f t="shared" si="0"/>
        <v>0.10263532763532761</v>
      </c>
    </row>
    <row r="24" spans="2:5" customFormat="1">
      <c r="B24" s="384">
        <v>17501447.050000001</v>
      </c>
      <c r="C24" s="383">
        <v>44230</v>
      </c>
      <c r="D24" s="276">
        <v>156.01</v>
      </c>
      <c r="E24" s="385">
        <f t="shared" si="0"/>
        <v>0.11118233618233607</v>
      </c>
    </row>
    <row r="25" spans="2:5" customFormat="1">
      <c r="B25" s="384">
        <v>17526182.359999999</v>
      </c>
      <c r="C25" s="383">
        <v>44231</v>
      </c>
      <c r="D25" s="276">
        <v>156.11000000000001</v>
      </c>
      <c r="E25" s="385">
        <f t="shared" si="0"/>
        <v>0.11189458689458695</v>
      </c>
    </row>
    <row r="26" spans="2:5" customFormat="1">
      <c r="B26" s="384">
        <v>17568267.870000001</v>
      </c>
      <c r="C26" s="383">
        <v>44232</v>
      </c>
      <c r="D26" s="276">
        <v>156.43</v>
      </c>
      <c r="E26" s="385">
        <f t="shared" si="0"/>
        <v>0.11417378917378918</v>
      </c>
    </row>
    <row r="27" spans="2:5" customFormat="1">
      <c r="B27" s="384">
        <v>17797375.109999999</v>
      </c>
      <c r="C27" s="383">
        <v>44235</v>
      </c>
      <c r="D27" s="276">
        <v>157.30000000000001</v>
      </c>
      <c r="E27" s="385">
        <f t="shared" si="0"/>
        <v>0.12037037037037041</v>
      </c>
    </row>
    <row r="28" spans="2:5" customFormat="1">
      <c r="B28" s="384">
        <v>17731069.289999999</v>
      </c>
      <c r="C28" s="383">
        <v>44236</v>
      </c>
      <c r="D28" s="276">
        <v>156.71</v>
      </c>
      <c r="E28" s="385">
        <f t="shared" si="0"/>
        <v>0.11616809116809118</v>
      </c>
    </row>
    <row r="29" spans="2:5" customFormat="1">
      <c r="B29" s="384">
        <v>17807149.27</v>
      </c>
      <c r="C29" s="383">
        <v>44237</v>
      </c>
      <c r="D29" s="276">
        <v>157.36000000000001</v>
      </c>
      <c r="E29" s="385">
        <f t="shared" si="0"/>
        <v>0.12079772079772085</v>
      </c>
    </row>
    <row r="30" spans="2:5" customFormat="1">
      <c r="B30" s="384">
        <v>17802299.739999998</v>
      </c>
      <c r="C30" s="383">
        <v>44238</v>
      </c>
      <c r="D30" s="276">
        <v>157.26</v>
      </c>
      <c r="E30" s="385">
        <f t="shared" si="0"/>
        <v>0.12008547008546998</v>
      </c>
    </row>
    <row r="31" spans="2:5" customFormat="1">
      <c r="B31" s="384">
        <v>17786496</v>
      </c>
      <c r="C31" s="383">
        <v>44239</v>
      </c>
      <c r="D31" s="276">
        <v>157.05000000000001</v>
      </c>
      <c r="E31" s="385">
        <f t="shared" si="0"/>
        <v>0.11858974358974363</v>
      </c>
    </row>
    <row r="32" spans="2:5" customFormat="1">
      <c r="B32" s="384">
        <v>18173352</v>
      </c>
      <c r="C32" s="383">
        <v>44242</v>
      </c>
      <c r="D32" s="276">
        <v>158.02000000000001</v>
      </c>
      <c r="E32" s="385">
        <f t="shared" si="0"/>
        <v>0.12549857549857552</v>
      </c>
    </row>
    <row r="33" spans="2:5" customFormat="1">
      <c r="B33" s="384">
        <v>18272947.920000002</v>
      </c>
      <c r="C33" s="383">
        <v>44243</v>
      </c>
      <c r="D33" s="276">
        <v>158.87</v>
      </c>
      <c r="E33" s="385">
        <f t="shared" si="0"/>
        <v>0.13155270655270654</v>
      </c>
    </row>
    <row r="34" spans="2:5" customFormat="1">
      <c r="B34" s="384">
        <v>18419603.539999999</v>
      </c>
      <c r="C34" s="383">
        <v>44244</v>
      </c>
      <c r="D34" s="276">
        <v>160.13</v>
      </c>
      <c r="E34" s="385">
        <f t="shared" si="0"/>
        <v>0.14052706552706545</v>
      </c>
    </row>
    <row r="35" spans="2:5" customFormat="1">
      <c r="B35" s="384">
        <v>18205457.359999999</v>
      </c>
      <c r="C35" s="383">
        <v>44245</v>
      </c>
      <c r="D35" s="276">
        <v>158.09</v>
      </c>
      <c r="E35" s="385">
        <f t="shared" si="0"/>
        <v>0.12599715099715098</v>
      </c>
    </row>
    <row r="36" spans="2:5" customFormat="1">
      <c r="B36" s="384">
        <v>18143609.66</v>
      </c>
      <c r="C36" s="383">
        <v>44246</v>
      </c>
      <c r="D36" s="276">
        <v>157.55000000000001</v>
      </c>
      <c r="E36" s="385">
        <f t="shared" si="0"/>
        <v>0.12215099715099718</v>
      </c>
    </row>
    <row r="37" spans="2:5" customFormat="1">
      <c r="B37" s="384"/>
      <c r="C37" s="383">
        <v>44249</v>
      </c>
      <c r="E37" s="385">
        <f t="shared" si="0"/>
        <v>-1</v>
      </c>
    </row>
    <row r="38" spans="2:5" customFormat="1">
      <c r="B38" s="384">
        <v>18684569.129999999</v>
      </c>
      <c r="C38" s="383">
        <v>44250</v>
      </c>
      <c r="D38" s="276">
        <v>157.85</v>
      </c>
      <c r="E38" s="385">
        <f t="shared" si="0"/>
        <v>0.1242877492877492</v>
      </c>
    </row>
    <row r="39" spans="2:5" customFormat="1">
      <c r="B39" s="384"/>
      <c r="C39" s="383">
        <v>44251</v>
      </c>
      <c r="D39" s="276">
        <v>156.26</v>
      </c>
      <c r="E39" s="385">
        <f t="shared" si="0"/>
        <v>0.11296296296296285</v>
      </c>
    </row>
    <row r="40" spans="2:5" customFormat="1">
      <c r="B40" s="384">
        <v>18594427</v>
      </c>
      <c r="C40" s="383">
        <v>44252</v>
      </c>
      <c r="D40" s="276">
        <v>157.03</v>
      </c>
      <c r="E40" s="385">
        <f t="shared" si="0"/>
        <v>0.11844729344729341</v>
      </c>
    </row>
    <row r="41" spans="2:5" customFormat="1">
      <c r="B41" s="384">
        <v>18204560.870000001</v>
      </c>
      <c r="C41" s="383">
        <v>44253</v>
      </c>
      <c r="D41" s="276">
        <v>153.74</v>
      </c>
      <c r="E41" s="385">
        <f t="shared" si="0"/>
        <v>9.5014245014245033E-2</v>
      </c>
    </row>
    <row r="42" spans="2:5" customFormat="1">
      <c r="B42" s="384">
        <v>18008292</v>
      </c>
      <c r="C42" s="383">
        <v>44256</v>
      </c>
      <c r="D42" s="276">
        <v>155.46</v>
      </c>
      <c r="E42" s="385">
        <f t="shared" si="0"/>
        <v>0.10726495726495727</v>
      </c>
    </row>
    <row r="43" spans="2:5" customFormat="1">
      <c r="B43" s="384">
        <v>17972240.260000002</v>
      </c>
      <c r="C43" s="383">
        <v>44257</v>
      </c>
      <c r="D43" s="276">
        <v>155.15</v>
      </c>
      <c r="E43" s="385">
        <f t="shared" si="0"/>
        <v>0.10505698005698005</v>
      </c>
    </row>
    <row r="44" spans="2:5" customFormat="1">
      <c r="B44" s="384">
        <v>18340918.120000001</v>
      </c>
      <c r="C44" s="383">
        <v>44258</v>
      </c>
      <c r="D44" s="276">
        <v>156.71</v>
      </c>
      <c r="E44" s="385">
        <f t="shared" si="0"/>
        <v>0.11616809116809118</v>
      </c>
    </row>
    <row r="45" spans="2:5" customFormat="1">
      <c r="B45" s="384">
        <v>18182565.899999999</v>
      </c>
      <c r="C45" s="383">
        <v>44259</v>
      </c>
      <c r="D45" s="276">
        <v>155.06</v>
      </c>
      <c r="E45" s="385">
        <f t="shared" si="0"/>
        <v>0.10441595441595439</v>
      </c>
    </row>
    <row r="46" spans="2:5" customFormat="1">
      <c r="B46" s="384">
        <v>18293401.02</v>
      </c>
      <c r="C46" s="383">
        <v>44260</v>
      </c>
      <c r="D46" s="276">
        <v>156.01</v>
      </c>
      <c r="E46" s="385">
        <f t="shared" si="0"/>
        <v>0.11118233618233607</v>
      </c>
    </row>
    <row r="47" spans="2:5" customFormat="1">
      <c r="B47" s="384">
        <v>18209440.219999999</v>
      </c>
      <c r="C47" s="383">
        <v>44263</v>
      </c>
      <c r="D47" s="276">
        <v>155.30000000000001</v>
      </c>
      <c r="E47" s="385">
        <f t="shared" si="0"/>
        <v>0.10612535612535616</v>
      </c>
    </row>
    <row r="48" spans="2:5" customFormat="1">
      <c r="B48" s="384">
        <v>18132834.609999999</v>
      </c>
      <c r="C48" s="383">
        <v>44264</v>
      </c>
      <c r="D48" s="276">
        <v>154.65</v>
      </c>
      <c r="E48" s="385">
        <f t="shared" si="0"/>
        <v>0.1014957264957265</v>
      </c>
    </row>
    <row r="49" spans="2:5" customFormat="1">
      <c r="B49" s="384">
        <v>18027376.010000002</v>
      </c>
      <c r="C49" s="383">
        <v>44265</v>
      </c>
      <c r="D49" s="276">
        <v>153.44999999999999</v>
      </c>
      <c r="E49" s="385">
        <f t="shared" si="0"/>
        <v>9.2948717948717827E-2</v>
      </c>
    </row>
    <row r="50" spans="2:5" customFormat="1">
      <c r="B50" s="384">
        <v>18178724.109999999</v>
      </c>
      <c r="C50" s="383">
        <v>44266</v>
      </c>
      <c r="D50" s="276">
        <v>154.38999999999999</v>
      </c>
      <c r="E50" s="385">
        <f t="shared" si="0"/>
        <v>9.9643874643874503E-2</v>
      </c>
    </row>
    <row r="51" spans="2:5" customFormat="1">
      <c r="B51" s="384">
        <v>18351843.399999999</v>
      </c>
      <c r="C51" s="383">
        <v>44267</v>
      </c>
      <c r="D51" s="276">
        <v>155.74</v>
      </c>
      <c r="E51" s="385">
        <f t="shared" si="0"/>
        <v>0.10925925925925928</v>
      </c>
    </row>
    <row r="52" spans="2:5" customFormat="1">
      <c r="B52" s="384">
        <v>18738777.469999999</v>
      </c>
      <c r="C52" s="383">
        <v>44270</v>
      </c>
      <c r="D52" s="276">
        <v>156</v>
      </c>
      <c r="E52" s="385">
        <f t="shared" si="0"/>
        <v>0.11111111111111106</v>
      </c>
    </row>
    <row r="53" spans="2:5" customFormat="1">
      <c r="B53" s="384">
        <v>18854383.98</v>
      </c>
      <c r="C53" s="383">
        <v>44271</v>
      </c>
      <c r="D53" s="276">
        <v>156.85</v>
      </c>
      <c r="E53" s="385">
        <f t="shared" si="0"/>
        <v>0.11716524216524207</v>
      </c>
    </row>
    <row r="54" spans="2:5" customFormat="1">
      <c r="B54" s="384">
        <v>18916631.960000001</v>
      </c>
      <c r="C54" s="383">
        <v>44272</v>
      </c>
      <c r="D54" s="276">
        <v>156.86000000000001</v>
      </c>
      <c r="E54" s="385">
        <f t="shared" si="0"/>
        <v>0.11723646723646729</v>
      </c>
    </row>
    <row r="55" spans="2:5" customFormat="1">
      <c r="B55" s="384">
        <v>19113762.710000001</v>
      </c>
      <c r="C55" s="383">
        <v>44273</v>
      </c>
      <c r="D55" s="276">
        <v>158.02000000000001</v>
      </c>
      <c r="E55" s="385">
        <f t="shared" si="0"/>
        <v>0.12549857549857552</v>
      </c>
    </row>
    <row r="56" spans="2:5" customFormat="1">
      <c r="B56" s="384">
        <v>19181259</v>
      </c>
      <c r="C56" s="383">
        <v>44274</v>
      </c>
      <c r="D56" s="276">
        <v>157.97</v>
      </c>
      <c r="E56" s="385">
        <f t="shared" si="0"/>
        <v>0.1251424501424501</v>
      </c>
    </row>
    <row r="57" spans="2:5" customFormat="1">
      <c r="B57" s="384">
        <v>19084085.75</v>
      </c>
      <c r="C57" s="383">
        <v>44277</v>
      </c>
      <c r="D57" s="276">
        <v>157.13</v>
      </c>
      <c r="E57" s="385">
        <f t="shared" si="0"/>
        <v>0.11915954415954408</v>
      </c>
    </row>
    <row r="58" spans="2:5" customFormat="1">
      <c r="B58" s="384">
        <v>18880608.280000001</v>
      </c>
      <c r="C58" s="383">
        <v>44278</v>
      </c>
      <c r="D58" s="276">
        <v>155.55000000000001</v>
      </c>
      <c r="E58" s="385">
        <f t="shared" si="0"/>
        <v>0.10790598290598294</v>
      </c>
    </row>
    <row r="59" spans="2:5" customFormat="1">
      <c r="B59" s="384">
        <v>18673669.260000002</v>
      </c>
      <c r="C59" s="383">
        <v>44279</v>
      </c>
      <c r="D59" s="276">
        <v>153.53</v>
      </c>
      <c r="E59" s="385">
        <f t="shared" si="0"/>
        <v>9.3518518518518487E-2</v>
      </c>
    </row>
    <row r="60" spans="2:5" customFormat="1">
      <c r="B60" s="384">
        <v>18784276.350000001</v>
      </c>
      <c r="C60" s="383">
        <v>44280</v>
      </c>
      <c r="D60" s="276">
        <v>154.59</v>
      </c>
      <c r="E60" s="385">
        <f t="shared" si="0"/>
        <v>0.10106837606837604</v>
      </c>
    </row>
    <row r="61" spans="2:5" customFormat="1">
      <c r="B61" s="384">
        <v>18863992.34</v>
      </c>
      <c r="C61" s="383">
        <v>44281</v>
      </c>
      <c r="D61" s="276">
        <v>155</v>
      </c>
      <c r="E61" s="385">
        <f t="shared" si="0"/>
        <v>0.10398860398860395</v>
      </c>
    </row>
    <row r="62" spans="2:5" customFormat="1">
      <c r="B62" s="384">
        <v>18941018.879999999</v>
      </c>
      <c r="C62" s="383">
        <v>44284</v>
      </c>
      <c r="D62" s="276">
        <v>155.51</v>
      </c>
      <c r="E62" s="385">
        <f t="shared" si="0"/>
        <v>0.10762108262108251</v>
      </c>
    </row>
    <row r="63" spans="2:5" customFormat="1">
      <c r="B63" s="384">
        <v>18941018.879999999</v>
      </c>
      <c r="C63" s="383"/>
      <c r="D63" s="276">
        <v>155.51</v>
      </c>
      <c r="E63" s="385">
        <f t="shared" si="0"/>
        <v>0.10762108262108251</v>
      </c>
    </row>
    <row r="64" spans="2:5" customFormat="1">
      <c r="B64" s="384">
        <v>19039013.73</v>
      </c>
      <c r="C64" s="383">
        <v>44286</v>
      </c>
      <c r="D64" s="276">
        <v>156.32</v>
      </c>
      <c r="E64" s="385">
        <f t="shared" si="0"/>
        <v>0.1133903133903133</v>
      </c>
    </row>
    <row r="65" spans="2:5" customFormat="1">
      <c r="B65" s="384">
        <v>19101800.539999999</v>
      </c>
      <c r="C65" s="383">
        <v>44287</v>
      </c>
      <c r="D65" s="276">
        <v>156.78</v>
      </c>
      <c r="E65" s="385">
        <f t="shared" si="0"/>
        <v>0.11666666666666663</v>
      </c>
    </row>
    <row r="66" spans="2:5" customFormat="1">
      <c r="B66" s="384">
        <v>19183183.800000001</v>
      </c>
      <c r="C66" s="383">
        <v>44292</v>
      </c>
      <c r="D66" s="276">
        <v>157.43</v>
      </c>
      <c r="E66" s="385">
        <f t="shared" si="0"/>
        <v>0.1212962962962963</v>
      </c>
    </row>
    <row r="67" spans="2:5" customFormat="1">
      <c r="B67" s="384">
        <v>19527120.620000001</v>
      </c>
      <c r="C67" s="383">
        <v>44293</v>
      </c>
      <c r="D67" s="276">
        <v>160</v>
      </c>
      <c r="E67" s="385">
        <f t="shared" si="0"/>
        <v>0.13960113960113957</v>
      </c>
    </row>
    <row r="68" spans="2:5" customFormat="1">
      <c r="B68" s="384">
        <v>19496620.59</v>
      </c>
      <c r="C68" s="383">
        <v>44294</v>
      </c>
      <c r="D68" s="276">
        <v>159.36000000000001</v>
      </c>
      <c r="E68" s="385">
        <f t="shared" ref="E68:E131" si="1">(D68-$D$2)/$D$2</f>
        <v>0.13504273504273509</v>
      </c>
    </row>
    <row r="69" spans="2:5" customFormat="1">
      <c r="B69" s="384">
        <v>19418399.23</v>
      </c>
      <c r="C69" s="383">
        <v>44295</v>
      </c>
      <c r="D69" s="276">
        <v>158.25</v>
      </c>
      <c r="E69" s="385">
        <f t="shared" si="1"/>
        <v>0.1271367521367521</v>
      </c>
    </row>
    <row r="70" spans="2:5" customFormat="1">
      <c r="B70" s="384">
        <v>19470202.18</v>
      </c>
      <c r="C70" s="383">
        <v>44298</v>
      </c>
      <c r="D70" s="276">
        <v>158.66999999999999</v>
      </c>
      <c r="E70" s="385">
        <f t="shared" si="1"/>
        <v>0.130128205128205</v>
      </c>
    </row>
    <row r="71" spans="2:5" customFormat="1">
      <c r="B71" s="384">
        <v>19522134.620000001</v>
      </c>
      <c r="C71" s="383">
        <v>44299</v>
      </c>
      <c r="D71" s="276">
        <v>159.09</v>
      </c>
      <c r="E71" s="385">
        <f t="shared" si="1"/>
        <v>0.13311965811965809</v>
      </c>
    </row>
    <row r="72" spans="2:5" customFormat="1">
      <c r="B72" s="384">
        <v>19610420.989999998</v>
      </c>
      <c r="C72" s="383">
        <v>44300</v>
      </c>
      <c r="D72" s="276">
        <v>159.77000000000001</v>
      </c>
      <c r="E72" s="385">
        <f t="shared" si="1"/>
        <v>0.13796296296296298</v>
      </c>
    </row>
    <row r="73" spans="2:5" customFormat="1">
      <c r="B73" s="384">
        <v>19812176.390000001</v>
      </c>
      <c r="C73" s="383">
        <v>44302</v>
      </c>
      <c r="D73" s="276">
        <v>161.16999999999999</v>
      </c>
      <c r="E73" s="385">
        <f t="shared" si="1"/>
        <v>0.14793447293447279</v>
      </c>
    </row>
    <row r="74" spans="2:5" customFormat="1">
      <c r="B74" s="384">
        <v>19826055.780000001</v>
      </c>
      <c r="C74" s="383">
        <v>44305</v>
      </c>
      <c r="D74" s="276">
        <v>160.88</v>
      </c>
      <c r="E74" s="385">
        <f t="shared" si="1"/>
        <v>0.14586894586894578</v>
      </c>
    </row>
    <row r="75" spans="2:5" customFormat="1">
      <c r="B75" s="384">
        <v>19692037.48</v>
      </c>
      <c r="C75" s="383">
        <v>44306</v>
      </c>
      <c r="D75" s="276">
        <v>159.68</v>
      </c>
      <c r="E75" s="385">
        <f t="shared" si="1"/>
        <v>0.13732193732193732</v>
      </c>
    </row>
    <row r="76" spans="2:5" customFormat="1">
      <c r="B76" s="384">
        <v>20411427.030000001</v>
      </c>
      <c r="C76" s="383">
        <v>44307</v>
      </c>
      <c r="D76" s="276">
        <v>158.05000000000001</v>
      </c>
      <c r="E76" s="385">
        <f t="shared" si="1"/>
        <v>0.12571225071225076</v>
      </c>
    </row>
    <row r="77" spans="2:5" customFormat="1">
      <c r="B77" s="384">
        <v>20607608.670000002</v>
      </c>
      <c r="C77" s="383">
        <v>44308</v>
      </c>
      <c r="D77" s="276">
        <v>159.13</v>
      </c>
      <c r="E77" s="385">
        <f t="shared" si="1"/>
        <v>0.13340455840455834</v>
      </c>
    </row>
    <row r="78" spans="2:5" customFormat="1">
      <c r="B78" s="384">
        <v>20566499.800000001</v>
      </c>
      <c r="C78" s="383">
        <v>44309</v>
      </c>
      <c r="D78" s="276">
        <v>158.78</v>
      </c>
      <c r="E78" s="385">
        <f t="shared" si="1"/>
        <v>0.13091168091168087</v>
      </c>
    </row>
    <row r="79" spans="2:5" customFormat="1">
      <c r="B79" s="384">
        <v>20674387.649999999</v>
      </c>
      <c r="C79" s="383">
        <v>44312</v>
      </c>
      <c r="D79" s="276">
        <v>159.62</v>
      </c>
      <c r="E79" s="385">
        <f t="shared" si="1"/>
        <v>0.13689458689458689</v>
      </c>
    </row>
    <row r="80" spans="2:5" customFormat="1">
      <c r="B80" s="384">
        <v>20725803</v>
      </c>
      <c r="C80" s="383">
        <v>44313</v>
      </c>
      <c r="D80" s="276">
        <v>159.91999999999999</v>
      </c>
      <c r="E80" s="385">
        <f t="shared" si="1"/>
        <v>0.13903133903133891</v>
      </c>
    </row>
    <row r="81" spans="2:5" customFormat="1">
      <c r="B81" s="384">
        <v>20723400.41</v>
      </c>
      <c r="C81" s="383">
        <v>44314</v>
      </c>
      <c r="D81" s="276">
        <v>159.44999999999999</v>
      </c>
      <c r="E81" s="385">
        <f t="shared" si="1"/>
        <v>0.13568376068376056</v>
      </c>
    </row>
    <row r="82" spans="2:5" customFormat="1">
      <c r="B82" s="384">
        <v>20846128.649999999</v>
      </c>
      <c r="C82" s="383">
        <v>44315</v>
      </c>
      <c r="D82" s="276">
        <v>159.88999999999999</v>
      </c>
      <c r="E82" s="385">
        <f t="shared" si="1"/>
        <v>0.13881766381766367</v>
      </c>
    </row>
    <row r="83" spans="2:5" customFormat="1">
      <c r="B83" s="384">
        <v>20785435.949999999</v>
      </c>
      <c r="C83" s="383">
        <v>44316</v>
      </c>
      <c r="D83" s="276">
        <v>159.12</v>
      </c>
      <c r="E83" s="385">
        <f t="shared" si="1"/>
        <v>0.13333333333333333</v>
      </c>
    </row>
    <row r="84" spans="2:5" customFormat="1">
      <c r="B84" s="384">
        <v>20935994.300000001</v>
      </c>
      <c r="C84" s="383">
        <v>44319</v>
      </c>
      <c r="D84" s="276">
        <v>158.69</v>
      </c>
      <c r="E84" s="385">
        <f t="shared" si="1"/>
        <v>0.13027065527065521</v>
      </c>
    </row>
    <row r="85" spans="2:5" customFormat="1">
      <c r="B85" s="384">
        <v>20939384.510000002</v>
      </c>
      <c r="C85" s="383">
        <v>44320</v>
      </c>
      <c r="D85" s="276">
        <v>158.96</v>
      </c>
      <c r="E85" s="385">
        <f t="shared" si="1"/>
        <v>0.13219373219373221</v>
      </c>
    </row>
    <row r="86" spans="2:5" customFormat="1">
      <c r="B86" s="384">
        <v>21028023.239999998</v>
      </c>
      <c r="C86" s="383">
        <v>44321</v>
      </c>
      <c r="D86" s="276">
        <v>159.66999999999999</v>
      </c>
      <c r="E86" s="385">
        <f t="shared" si="1"/>
        <v>0.13725071225071211</v>
      </c>
    </row>
    <row r="87" spans="2:5" customFormat="1">
      <c r="B87" s="384">
        <v>21199296.120000001</v>
      </c>
      <c r="C87" s="383">
        <v>44323</v>
      </c>
      <c r="D87" s="276">
        <v>160.9</v>
      </c>
      <c r="E87" s="385">
        <f t="shared" si="1"/>
        <v>0.14601139601139601</v>
      </c>
    </row>
    <row r="88" spans="2:5" customFormat="1">
      <c r="B88" s="384">
        <v>21024479.079999998</v>
      </c>
      <c r="C88" s="383">
        <v>44326</v>
      </c>
      <c r="D88" s="276">
        <v>162.69999999999999</v>
      </c>
      <c r="E88" s="385">
        <f t="shared" si="1"/>
        <v>0.1588319088319087</v>
      </c>
    </row>
    <row r="89" spans="2:5" customFormat="1">
      <c r="B89" s="384">
        <v>20720731</v>
      </c>
      <c r="C89" s="383">
        <v>44327</v>
      </c>
      <c r="D89" s="276">
        <v>160.35</v>
      </c>
      <c r="E89" s="385">
        <f t="shared" si="1"/>
        <v>0.14209401709401701</v>
      </c>
    </row>
    <row r="90" spans="2:5" customFormat="1">
      <c r="B90" s="384">
        <v>20504186.300000001</v>
      </c>
      <c r="C90" s="383">
        <v>44328</v>
      </c>
      <c r="D90" s="276">
        <v>158.65</v>
      </c>
      <c r="E90" s="385">
        <f t="shared" si="1"/>
        <v>0.12998575498575499</v>
      </c>
    </row>
    <row r="91" spans="2:5" customFormat="1">
      <c r="B91" s="384">
        <v>20298140.530000001</v>
      </c>
      <c r="C91" s="383">
        <v>44330</v>
      </c>
      <c r="D91" s="276">
        <v>157.11000000000001</v>
      </c>
      <c r="E91" s="385">
        <f t="shared" si="1"/>
        <v>0.11901709401709407</v>
      </c>
    </row>
    <row r="92" spans="2:5" customFormat="1">
      <c r="B92" s="384">
        <v>20334309.260000002</v>
      </c>
      <c r="C92" s="383">
        <v>44334</v>
      </c>
      <c r="D92" s="276">
        <v>157.43</v>
      </c>
      <c r="E92" s="385">
        <f t="shared" si="1"/>
        <v>0.1212962962962963</v>
      </c>
    </row>
    <row r="93" spans="2:5" customFormat="1">
      <c r="B93" s="384">
        <v>20153069.149999999</v>
      </c>
      <c r="C93" s="383">
        <v>44335</v>
      </c>
      <c r="D93" s="276">
        <v>155.71</v>
      </c>
      <c r="E93" s="385">
        <f t="shared" si="1"/>
        <v>0.10904558404558405</v>
      </c>
    </row>
    <row r="94" spans="2:5" customFormat="1">
      <c r="B94" s="384">
        <v>20159403</v>
      </c>
      <c r="C94" s="383">
        <v>44336</v>
      </c>
      <c r="D94" s="276">
        <v>155.76</v>
      </c>
      <c r="E94" s="385">
        <f t="shared" si="1"/>
        <v>0.10940170940170929</v>
      </c>
    </row>
    <row r="95" spans="2:5" customFormat="1">
      <c r="B95" s="384">
        <v>20191493.350000001</v>
      </c>
      <c r="C95" s="383">
        <v>44340</v>
      </c>
      <c r="D95" s="276">
        <v>155.94</v>
      </c>
      <c r="E95" s="385">
        <f t="shared" si="1"/>
        <v>0.11068376068376062</v>
      </c>
    </row>
    <row r="96" spans="2:5" customFormat="1">
      <c r="B96" s="384">
        <v>20276742.359999999</v>
      </c>
      <c r="C96" s="383">
        <v>44341</v>
      </c>
      <c r="D96" s="276">
        <v>156.52000000000001</v>
      </c>
      <c r="E96" s="385">
        <f t="shared" si="1"/>
        <v>0.11481481481481484</v>
      </c>
    </row>
    <row r="97" spans="2:5" customFormat="1">
      <c r="B97" s="384">
        <v>20366680.640000001</v>
      </c>
      <c r="C97" s="383">
        <v>44342</v>
      </c>
      <c r="D97" s="276">
        <v>156.83000000000001</v>
      </c>
      <c r="E97" s="385">
        <f t="shared" si="1"/>
        <v>0.11702279202279206</v>
      </c>
    </row>
    <row r="98" spans="2:5" customFormat="1">
      <c r="B98" s="384"/>
      <c r="C98" s="383">
        <v>44343</v>
      </c>
      <c r="E98" s="385">
        <f t="shared" si="1"/>
        <v>-1</v>
      </c>
    </row>
    <row r="99" spans="2:5" customFormat="1">
      <c r="B99" s="384">
        <v>20605109.260000002</v>
      </c>
      <c r="C99" s="383">
        <v>44344</v>
      </c>
      <c r="D99" s="276">
        <v>158.55000000000001</v>
      </c>
      <c r="E99" s="385">
        <f t="shared" si="1"/>
        <v>0.12927350427350431</v>
      </c>
    </row>
    <row r="100" spans="2:5" customFormat="1">
      <c r="B100" s="384">
        <v>20669231.239999998</v>
      </c>
      <c r="C100" s="383">
        <v>44347</v>
      </c>
      <c r="D100" s="276">
        <v>157.19999999999999</v>
      </c>
      <c r="E100" s="385">
        <f t="shared" si="1"/>
        <v>0.11965811965811954</v>
      </c>
    </row>
    <row r="101" spans="2:5" customFormat="1">
      <c r="B101" s="384">
        <v>20772014.789999999</v>
      </c>
      <c r="C101" s="383">
        <v>44348</v>
      </c>
      <c r="D101" s="276">
        <v>157.99</v>
      </c>
      <c r="E101" s="385">
        <f t="shared" si="1"/>
        <v>0.1252849002849003</v>
      </c>
    </row>
    <row r="102" spans="2:5" customFormat="1">
      <c r="B102" s="384">
        <v>20907378.66</v>
      </c>
      <c r="C102" s="383">
        <v>44349</v>
      </c>
      <c r="D102" s="276">
        <v>159.02000000000001</v>
      </c>
      <c r="E102" s="385">
        <f t="shared" si="1"/>
        <v>0.13262108262108266</v>
      </c>
    </row>
    <row r="103" spans="2:5" customFormat="1">
      <c r="B103" s="384">
        <v>20979954</v>
      </c>
      <c r="C103" s="383">
        <v>44350</v>
      </c>
      <c r="D103" s="276">
        <v>159.57</v>
      </c>
      <c r="E103" s="385">
        <f t="shared" si="1"/>
        <v>0.13653846153846144</v>
      </c>
    </row>
    <row r="104" spans="2:5" customFormat="1">
      <c r="B104" s="384"/>
      <c r="C104" s="383">
        <v>44351</v>
      </c>
      <c r="D104" s="276">
        <v>159.66999999999999</v>
      </c>
      <c r="E104" s="385">
        <f t="shared" si="1"/>
        <v>0.13725071225071211</v>
      </c>
    </row>
    <row r="105" spans="2:5" customFormat="1">
      <c r="B105" s="384"/>
      <c r="C105" s="383">
        <v>44354</v>
      </c>
      <c r="D105" s="276">
        <v>159.47999999999999</v>
      </c>
      <c r="E105" s="385">
        <f t="shared" si="1"/>
        <v>0.13589743589743578</v>
      </c>
    </row>
    <row r="106" spans="2:5" customFormat="1">
      <c r="B106" s="384">
        <v>20898771.640000001</v>
      </c>
      <c r="C106" s="383">
        <v>44355</v>
      </c>
      <c r="D106" s="276">
        <v>158.94999999999999</v>
      </c>
      <c r="E106" s="385">
        <f t="shared" si="1"/>
        <v>0.132122507122507</v>
      </c>
    </row>
    <row r="107" spans="2:5" customFormat="1">
      <c r="B107" s="384">
        <v>20880524.100000001</v>
      </c>
      <c r="C107" s="383">
        <v>44356</v>
      </c>
      <c r="D107" s="276">
        <v>158.82</v>
      </c>
      <c r="E107" s="385">
        <f t="shared" si="1"/>
        <v>0.13119658119658109</v>
      </c>
    </row>
    <row r="108" spans="2:5" customFormat="1">
      <c r="B108" s="384">
        <v>20957054.489999998</v>
      </c>
      <c r="C108" s="383">
        <v>44361</v>
      </c>
      <c r="D108" s="276">
        <v>159.41</v>
      </c>
      <c r="E108" s="385">
        <f t="shared" si="1"/>
        <v>0.13539886039886032</v>
      </c>
    </row>
    <row r="109" spans="2:5" customFormat="1">
      <c r="B109" s="384">
        <v>20870092</v>
      </c>
      <c r="C109" s="383">
        <v>44362</v>
      </c>
      <c r="D109" s="276">
        <v>158.69</v>
      </c>
      <c r="E109" s="385">
        <f t="shared" si="1"/>
        <v>0.13027065527065521</v>
      </c>
    </row>
    <row r="110" spans="2:5" customFormat="1">
      <c r="B110" s="384">
        <v>20783803.600000001</v>
      </c>
      <c r="C110" s="383">
        <v>44363</v>
      </c>
      <c r="D110" s="276">
        <v>158.1</v>
      </c>
      <c r="E110" s="385">
        <f t="shared" si="1"/>
        <v>0.12606837606837598</v>
      </c>
    </row>
    <row r="111" spans="2:5" customFormat="1">
      <c r="B111" s="384">
        <v>20759266</v>
      </c>
      <c r="C111" s="383">
        <v>44364</v>
      </c>
      <c r="D111" s="276">
        <v>157.83000000000001</v>
      </c>
      <c r="E111" s="385">
        <f t="shared" si="1"/>
        <v>0.12414529914529919</v>
      </c>
    </row>
    <row r="112" spans="2:5" customFormat="1">
      <c r="B112" s="384">
        <v>20675974.859999999</v>
      </c>
      <c r="C112" s="383">
        <v>44365</v>
      </c>
      <c r="D112" s="276">
        <v>157.19999999999999</v>
      </c>
      <c r="E112" s="385">
        <f t="shared" si="1"/>
        <v>0.11965811965811954</v>
      </c>
    </row>
    <row r="113" spans="2:5" customFormat="1">
      <c r="B113" s="384">
        <v>20495052.620000001</v>
      </c>
      <c r="C113" s="383">
        <v>44368</v>
      </c>
      <c r="D113" s="276">
        <v>155.79</v>
      </c>
      <c r="E113" s="385">
        <f t="shared" si="1"/>
        <v>0.10961538461538452</v>
      </c>
    </row>
    <row r="114" spans="2:5" customFormat="1">
      <c r="B114" s="384">
        <v>20740554.32</v>
      </c>
      <c r="C114" s="383">
        <v>44369</v>
      </c>
      <c r="D114" s="276">
        <v>157.59</v>
      </c>
      <c r="E114" s="385">
        <f t="shared" si="1"/>
        <v>0.12243589743589742</v>
      </c>
    </row>
    <row r="115" spans="2:5" customFormat="1">
      <c r="B115" s="384">
        <v>20819769.449999999</v>
      </c>
      <c r="C115" s="383">
        <v>44371</v>
      </c>
      <c r="D115" s="276">
        <v>158.30000000000001</v>
      </c>
      <c r="E115" s="385">
        <f t="shared" si="1"/>
        <v>0.12749287749287752</v>
      </c>
    </row>
    <row r="116" spans="2:5" customFormat="1">
      <c r="B116" s="384">
        <v>20009569</v>
      </c>
      <c r="C116" s="383">
        <v>44372</v>
      </c>
      <c r="D116" s="276">
        <v>159.12</v>
      </c>
      <c r="E116" s="385">
        <f t="shared" si="1"/>
        <v>0.13333333333333333</v>
      </c>
    </row>
    <row r="117" spans="2:5" customFormat="1">
      <c r="B117" s="384">
        <v>20032056.16</v>
      </c>
      <c r="C117" s="383">
        <v>44375</v>
      </c>
      <c r="D117" s="276">
        <v>159.27000000000001</v>
      </c>
      <c r="E117" s="385">
        <f t="shared" si="1"/>
        <v>0.13440170940170942</v>
      </c>
    </row>
    <row r="118" spans="2:5" customFormat="1">
      <c r="B118" s="384">
        <v>19678231</v>
      </c>
      <c r="C118" s="383">
        <v>44382</v>
      </c>
      <c r="D118" s="276">
        <v>160.29</v>
      </c>
      <c r="E118" s="385">
        <f t="shared" si="1"/>
        <v>0.14166666666666655</v>
      </c>
    </row>
    <row r="119" spans="2:5" customFormat="1">
      <c r="B119" s="384">
        <v>19628857</v>
      </c>
      <c r="C119" s="383">
        <v>44383</v>
      </c>
      <c r="D119" s="276">
        <v>159.88999999999999</v>
      </c>
      <c r="E119" s="385">
        <f t="shared" si="1"/>
        <v>0.13881766381766367</v>
      </c>
    </row>
    <row r="120" spans="2:5" customFormat="1">
      <c r="B120" s="384">
        <v>19533429</v>
      </c>
      <c r="C120" s="383">
        <v>44384</v>
      </c>
      <c r="D120" s="276">
        <v>159.11000000000001</v>
      </c>
      <c r="E120" s="385">
        <f t="shared" si="1"/>
        <v>0.13326210826210833</v>
      </c>
    </row>
    <row r="121" spans="2:5" customFormat="1">
      <c r="B121" s="384">
        <v>19374837</v>
      </c>
      <c r="C121" s="383">
        <v>44385</v>
      </c>
      <c r="D121" s="276">
        <v>157.82</v>
      </c>
      <c r="E121" s="385">
        <f t="shared" si="1"/>
        <v>0.12407407407407398</v>
      </c>
    </row>
    <row r="122" spans="2:5" customFormat="1">
      <c r="B122" s="384">
        <v>19334660.829999998</v>
      </c>
      <c r="C122" s="383">
        <v>44386</v>
      </c>
      <c r="D122" s="276">
        <v>157.44</v>
      </c>
      <c r="E122" s="385">
        <f t="shared" si="1"/>
        <v>0.12136752136752131</v>
      </c>
    </row>
    <row r="123" spans="2:5" customFormat="1">
      <c r="B123" s="384">
        <v>19524955.52</v>
      </c>
      <c r="C123" s="383">
        <v>44389</v>
      </c>
      <c r="D123" s="276">
        <v>158.94999999999999</v>
      </c>
      <c r="E123" s="385">
        <f t="shared" si="1"/>
        <v>0.132122507122507</v>
      </c>
    </row>
    <row r="124" spans="2:5" customFormat="1">
      <c r="B124" s="384">
        <v>19682160.57</v>
      </c>
      <c r="C124" s="383">
        <v>44390</v>
      </c>
      <c r="D124" s="276">
        <v>160.22999999999999</v>
      </c>
      <c r="E124" s="385">
        <f t="shared" si="1"/>
        <v>0.14123931623931613</v>
      </c>
    </row>
    <row r="125" spans="2:5" customFormat="1">
      <c r="B125" s="384">
        <v>19683493.359999999</v>
      </c>
      <c r="C125" s="383">
        <v>44391</v>
      </c>
      <c r="D125" s="276">
        <v>160.1</v>
      </c>
      <c r="E125" s="385">
        <f t="shared" si="1"/>
        <v>0.14031339031339024</v>
      </c>
    </row>
    <row r="126" spans="2:5" customFormat="1">
      <c r="B126" s="384">
        <v>19106883.120000001</v>
      </c>
      <c r="C126" s="383">
        <v>44396</v>
      </c>
      <c r="D126" s="276">
        <v>155.34</v>
      </c>
      <c r="E126" s="385">
        <f t="shared" si="1"/>
        <v>0.10641025641025639</v>
      </c>
    </row>
    <row r="127" spans="2:5" customFormat="1">
      <c r="B127" s="384">
        <v>19279602.199999999</v>
      </c>
      <c r="C127" s="383">
        <v>44397</v>
      </c>
      <c r="D127" s="276">
        <v>156.75</v>
      </c>
      <c r="E127" s="385">
        <f t="shared" si="1"/>
        <v>0.11645299145299141</v>
      </c>
    </row>
    <row r="128" spans="2:5" customFormat="1">
      <c r="B128" s="384">
        <v>19660394.66</v>
      </c>
      <c r="C128" s="383">
        <v>44403</v>
      </c>
      <c r="D128" s="276">
        <v>159.51</v>
      </c>
      <c r="E128" s="385">
        <f t="shared" si="1"/>
        <v>0.13611111111111099</v>
      </c>
    </row>
    <row r="129" spans="2:5" customFormat="1">
      <c r="B129" s="384">
        <v>19774126.73</v>
      </c>
      <c r="C129" s="383">
        <v>44404</v>
      </c>
      <c r="D129" s="276">
        <v>160.37</v>
      </c>
      <c r="E129" s="385">
        <f t="shared" si="1"/>
        <v>0.14223646723646721</v>
      </c>
    </row>
    <row r="130" spans="2:5" customFormat="1">
      <c r="B130" s="384">
        <v>19700370.760000002</v>
      </c>
      <c r="C130" s="383">
        <v>44405</v>
      </c>
      <c r="D130" s="276">
        <v>159.88999999999999</v>
      </c>
      <c r="E130" s="385">
        <f t="shared" si="1"/>
        <v>0.13881766381766367</v>
      </c>
    </row>
    <row r="131" spans="2:5" customFormat="1">
      <c r="B131" s="384">
        <v>19905718.780000001</v>
      </c>
      <c r="C131" s="383">
        <v>44406</v>
      </c>
      <c r="D131" s="276">
        <v>161.57</v>
      </c>
      <c r="E131" s="385">
        <f t="shared" si="1"/>
        <v>0.1507834757834757</v>
      </c>
    </row>
    <row r="132" spans="2:5">
      <c r="B132" s="384">
        <v>19699621.32</v>
      </c>
      <c r="C132" s="383">
        <v>44407</v>
      </c>
      <c r="D132" s="276">
        <v>159.83000000000001</v>
      </c>
      <c r="E132" s="385">
        <f t="shared" ref="E132:E225" si="2">(D132-$D$2)/$D$2</f>
        <v>0.13839031339031344</v>
      </c>
    </row>
    <row r="133" spans="2:5">
      <c r="B133" s="478">
        <v>19893798.649999999</v>
      </c>
      <c r="C133" s="383">
        <v>44410</v>
      </c>
      <c r="D133" s="276">
        <v>161.47999999999999</v>
      </c>
      <c r="E133" s="385">
        <f t="shared" si="2"/>
        <v>0.15014245014245003</v>
      </c>
    </row>
    <row r="134" spans="2:5">
      <c r="B134" s="478">
        <v>19926270.309999999</v>
      </c>
      <c r="C134" s="383">
        <v>44411</v>
      </c>
      <c r="D134" s="276">
        <v>161.74</v>
      </c>
      <c r="E134" s="385">
        <f t="shared" si="2"/>
        <v>0.151994301994302</v>
      </c>
    </row>
    <row r="135" spans="2:5">
      <c r="B135" s="478">
        <v>19980018.300000001</v>
      </c>
      <c r="C135" s="383">
        <v>44412</v>
      </c>
      <c r="D135" s="276">
        <v>162.18</v>
      </c>
      <c r="E135" s="385">
        <f t="shared" si="2"/>
        <v>0.15512820512820513</v>
      </c>
    </row>
    <row r="136" spans="2:5">
      <c r="B136" s="478">
        <v>20141152.969999999</v>
      </c>
      <c r="C136" s="383">
        <v>44413</v>
      </c>
      <c r="D136" s="276">
        <v>162.82</v>
      </c>
      <c r="E136" s="385">
        <f t="shared" si="2"/>
        <v>0.15968660968660958</v>
      </c>
    </row>
    <row r="137" spans="2:5">
      <c r="B137" s="478">
        <v>20258972.75</v>
      </c>
      <c r="C137" s="383">
        <v>44414</v>
      </c>
      <c r="D137" s="276">
        <v>163.75</v>
      </c>
      <c r="E137" s="385">
        <f t="shared" si="2"/>
        <v>0.16631054131054127</v>
      </c>
    </row>
    <row r="138" spans="2:5">
      <c r="B138" s="478">
        <v>20216088.949999999</v>
      </c>
      <c r="C138" s="383">
        <v>44417</v>
      </c>
      <c r="D138" s="276">
        <v>163.44</v>
      </c>
      <c r="E138" s="385">
        <f t="shared" si="2"/>
        <v>0.16410256410256405</v>
      </c>
    </row>
    <row r="139" spans="2:5">
      <c r="B139" s="478">
        <v>20218555.379999999</v>
      </c>
      <c r="C139" s="383">
        <v>44418</v>
      </c>
      <c r="D139" s="276">
        <v>163.47</v>
      </c>
      <c r="E139" s="385">
        <f t="shared" si="2"/>
        <v>0.16431623931623926</v>
      </c>
    </row>
    <row r="140" spans="2:5">
      <c r="B140" s="478">
        <v>20348972.48</v>
      </c>
      <c r="C140" s="383">
        <v>44419</v>
      </c>
      <c r="D140" s="100">
        <v>164.63</v>
      </c>
      <c r="E140" s="385">
        <f t="shared" si="2"/>
        <v>0.1725783475783475</v>
      </c>
    </row>
    <row r="141" spans="2:5">
      <c r="B141" s="478">
        <v>20507025.52</v>
      </c>
      <c r="C141" s="383">
        <v>44420</v>
      </c>
      <c r="D141" s="100">
        <v>165.91</v>
      </c>
      <c r="E141" s="385">
        <f t="shared" si="2"/>
        <v>0.18169515669515662</v>
      </c>
    </row>
    <row r="142" spans="2:5">
      <c r="B142" s="478">
        <v>20460892.789999999</v>
      </c>
      <c r="C142" s="383">
        <v>44421</v>
      </c>
      <c r="D142" s="276">
        <v>165.54</v>
      </c>
      <c r="E142" s="385">
        <f t="shared" si="2"/>
        <v>0.17905982905982895</v>
      </c>
    </row>
    <row r="143" spans="2:5">
      <c r="B143" s="478">
        <v>20217282.050000001</v>
      </c>
      <c r="C143" s="383">
        <v>44424</v>
      </c>
      <c r="D143" s="276">
        <v>163.57</v>
      </c>
      <c r="E143" s="385">
        <f t="shared" si="2"/>
        <v>0.16502849002848993</v>
      </c>
    </row>
    <row r="144" spans="2:5">
      <c r="B144" s="478">
        <v>19863634.989999998</v>
      </c>
      <c r="C144" s="383">
        <v>44425</v>
      </c>
      <c r="D144" s="276">
        <v>160.66999999999999</v>
      </c>
      <c r="E144" s="385">
        <f t="shared" si="2"/>
        <v>0.14437321937321923</v>
      </c>
    </row>
    <row r="145" spans="2:6">
      <c r="B145" s="478">
        <v>19858778.559999999</v>
      </c>
      <c r="C145" s="383">
        <v>44426</v>
      </c>
      <c r="D145" s="276">
        <v>160.6</v>
      </c>
      <c r="E145" s="385">
        <f t="shared" si="2"/>
        <v>0.1438746438746438</v>
      </c>
    </row>
    <row r="146" spans="2:6">
      <c r="B146" s="478">
        <v>19504589.789999999</v>
      </c>
      <c r="C146" s="383">
        <v>44427</v>
      </c>
      <c r="D146" s="100">
        <v>157.72999999999999</v>
      </c>
      <c r="E146" s="385">
        <f t="shared" si="2"/>
        <v>0.12343304843304831</v>
      </c>
    </row>
    <row r="147" spans="2:6">
      <c r="B147" s="478">
        <v>19303916.91</v>
      </c>
      <c r="C147" s="383">
        <v>44428</v>
      </c>
      <c r="D147" s="276">
        <v>156.11000000000001</v>
      </c>
      <c r="E147" s="385">
        <f t="shared" si="2"/>
        <v>0.11189458689458695</v>
      </c>
      <c r="F147" s="385"/>
    </row>
    <row r="148" spans="2:6">
      <c r="B148" s="478">
        <v>19501840.859999999</v>
      </c>
      <c r="C148" s="383">
        <v>44431</v>
      </c>
      <c r="D148" s="100">
        <v>157.71</v>
      </c>
      <c r="E148" s="385">
        <f t="shared" si="2"/>
        <v>0.1232905982905983</v>
      </c>
    </row>
    <row r="149" spans="2:6">
      <c r="B149" s="478">
        <v>19611884.960000001</v>
      </c>
      <c r="C149" s="383">
        <v>44432</v>
      </c>
      <c r="D149" s="276">
        <v>158.6</v>
      </c>
      <c r="E149" s="385">
        <f t="shared" si="2"/>
        <v>0.12962962962962954</v>
      </c>
    </row>
    <row r="150" spans="2:6">
      <c r="B150" s="478">
        <v>19743163.890000001</v>
      </c>
      <c r="C150" s="383">
        <v>44433</v>
      </c>
      <c r="D150" s="100">
        <v>159.59</v>
      </c>
      <c r="E150" s="385">
        <f t="shared" si="2"/>
        <v>0.13668091168091165</v>
      </c>
    </row>
    <row r="151" spans="2:6">
      <c r="B151" s="478">
        <v>19682515.460000001</v>
      </c>
      <c r="C151" s="383">
        <v>44434</v>
      </c>
      <c r="D151" s="100">
        <v>159.27000000000001</v>
      </c>
      <c r="E151" s="385">
        <f t="shared" si="2"/>
        <v>0.13440170940170942</v>
      </c>
    </row>
    <row r="152" spans="2:6">
      <c r="B152" s="478">
        <v>19630889.68</v>
      </c>
      <c r="C152" s="383">
        <v>44435</v>
      </c>
      <c r="D152" s="100">
        <v>158.63</v>
      </c>
      <c r="E152" s="385">
        <f t="shared" si="2"/>
        <v>0.12984330484330475</v>
      </c>
    </row>
    <row r="153" spans="2:6">
      <c r="B153" s="478">
        <v>19817216.57</v>
      </c>
      <c r="C153" s="383">
        <v>44438</v>
      </c>
      <c r="D153" s="100">
        <v>160.41999999999999</v>
      </c>
      <c r="E153" s="385">
        <f t="shared" si="2"/>
        <v>0.14259259259259247</v>
      </c>
    </row>
    <row r="154" spans="2:6">
      <c r="B154" s="478">
        <v>19903748.440000001</v>
      </c>
      <c r="C154" s="383">
        <v>44439</v>
      </c>
      <c r="D154" s="100">
        <v>161.12</v>
      </c>
      <c r="E154" s="385">
        <f t="shared" si="2"/>
        <v>0.14757834757834756</v>
      </c>
    </row>
    <row r="155" spans="2:6">
      <c r="B155" s="478">
        <v>19872583.890000001</v>
      </c>
      <c r="C155" s="383">
        <v>44441</v>
      </c>
      <c r="D155" s="100">
        <v>160.87</v>
      </c>
      <c r="E155" s="385">
        <f t="shared" si="2"/>
        <v>0.14579772079772077</v>
      </c>
    </row>
    <row r="156" spans="2:6">
      <c r="B156" s="478">
        <v>20052387.890000001</v>
      </c>
      <c r="C156" s="383">
        <v>44442</v>
      </c>
      <c r="D156" s="100">
        <v>161.91999999999999</v>
      </c>
      <c r="E156" s="385">
        <f t="shared" si="2"/>
        <v>0.15327635327635314</v>
      </c>
    </row>
    <row r="157" spans="2:6">
      <c r="B157" s="478">
        <v>20057133.600000001</v>
      </c>
      <c r="C157" s="383">
        <v>44445</v>
      </c>
      <c r="D157" s="100">
        <v>162.6</v>
      </c>
      <c r="E157" s="385">
        <f t="shared" si="2"/>
        <v>0.15811965811965803</v>
      </c>
    </row>
    <row r="158" spans="2:6">
      <c r="B158" s="478">
        <v>20291905.440000001</v>
      </c>
      <c r="C158" s="383">
        <v>44449</v>
      </c>
      <c r="D158" s="100">
        <v>164.39</v>
      </c>
      <c r="E158" s="385">
        <f t="shared" si="2"/>
        <v>0.17086894586894572</v>
      </c>
    </row>
    <row r="159" spans="2:6">
      <c r="B159" s="478">
        <v>20383309.899999999</v>
      </c>
      <c r="C159" s="498">
        <v>44452</v>
      </c>
      <c r="D159" s="100">
        <v>165.13</v>
      </c>
      <c r="E159" s="385">
        <f t="shared" si="2"/>
        <v>0.17613960113960106</v>
      </c>
    </row>
    <row r="160" spans="2:6">
      <c r="B160" s="478">
        <v>20583233.140000001</v>
      </c>
      <c r="C160" s="498">
        <v>44453</v>
      </c>
      <c r="D160" s="100">
        <v>165.53</v>
      </c>
      <c r="E160" s="385">
        <f t="shared" si="2"/>
        <v>0.17898860398860394</v>
      </c>
    </row>
    <row r="161" spans="2:5">
      <c r="B161" s="478">
        <v>20301747.039999999</v>
      </c>
      <c r="C161" s="498">
        <v>44455</v>
      </c>
      <c r="D161" s="100">
        <v>163.02000000000001</v>
      </c>
      <c r="E161" s="385">
        <f t="shared" si="2"/>
        <v>0.16111111111111115</v>
      </c>
    </row>
    <row r="162" spans="2:5">
      <c r="B162" s="478">
        <v>20055536.780000001</v>
      </c>
      <c r="C162" s="498">
        <v>44459</v>
      </c>
      <c r="D162" s="100">
        <v>161</v>
      </c>
      <c r="E162" s="385">
        <f t="shared" si="2"/>
        <v>0.14672364672364668</v>
      </c>
    </row>
    <row r="163" spans="2:5">
      <c r="B163" s="478">
        <v>20018637.260000002</v>
      </c>
      <c r="C163" s="498">
        <v>44462</v>
      </c>
      <c r="D163" s="100">
        <v>160.6</v>
      </c>
      <c r="E163" s="385">
        <f t="shared" si="2"/>
        <v>0.1438746438746438</v>
      </c>
    </row>
    <row r="164" spans="2:5">
      <c r="B164" s="478">
        <v>20195307.489999998</v>
      </c>
      <c r="C164" s="498">
        <v>44463</v>
      </c>
      <c r="D164" s="100">
        <v>162.06</v>
      </c>
      <c r="E164" s="385">
        <f t="shared" si="2"/>
        <v>0.15427350427350425</v>
      </c>
    </row>
    <row r="165" spans="2:5">
      <c r="B165" s="478">
        <v>20191741</v>
      </c>
      <c r="C165" s="498">
        <v>44466</v>
      </c>
      <c r="D165" s="100">
        <v>162.04</v>
      </c>
      <c r="E165" s="385">
        <f t="shared" si="2"/>
        <v>0.15413105413105402</v>
      </c>
    </row>
    <row r="166" spans="2:5">
      <c r="B166" s="478">
        <v>20105050.52</v>
      </c>
      <c r="C166" s="498">
        <v>44467</v>
      </c>
      <c r="D166" s="100">
        <v>161.41999999999999</v>
      </c>
      <c r="E166" s="385">
        <f t="shared" si="2"/>
        <v>0.14971509971509958</v>
      </c>
    </row>
    <row r="167" spans="2:5">
      <c r="B167" s="478">
        <v>20003139.940000001</v>
      </c>
      <c r="C167" s="498">
        <v>44468</v>
      </c>
      <c r="D167" s="100">
        <v>160.61000000000001</v>
      </c>
      <c r="E167" s="385">
        <f t="shared" si="2"/>
        <v>0.143945868945869</v>
      </c>
    </row>
    <row r="168" spans="2:5">
      <c r="B168" s="478">
        <v>19971227.210000001</v>
      </c>
      <c r="C168" s="498">
        <v>44469</v>
      </c>
      <c r="D168" s="100">
        <v>160.35</v>
      </c>
      <c r="E168" s="385">
        <f t="shared" si="2"/>
        <v>0.14209401709401701</v>
      </c>
    </row>
    <row r="169" spans="2:5">
      <c r="B169" s="478">
        <v>19703036</v>
      </c>
      <c r="C169" s="498">
        <v>44470</v>
      </c>
      <c r="D169" s="100">
        <v>158.19999999999999</v>
      </c>
      <c r="E169" s="385">
        <f t="shared" si="2"/>
        <v>0.12678062678062665</v>
      </c>
    </row>
    <row r="170" spans="2:5">
      <c r="B170" s="478">
        <v>19565792.440000001</v>
      </c>
      <c r="C170" s="498">
        <v>44473</v>
      </c>
      <c r="D170" s="100">
        <v>157.1</v>
      </c>
      <c r="E170" s="385">
        <f t="shared" si="2"/>
        <v>0.11894586894586887</v>
      </c>
    </row>
    <row r="171" spans="2:5">
      <c r="B171" s="478">
        <v>19406135.91</v>
      </c>
      <c r="C171" s="498">
        <v>44474</v>
      </c>
      <c r="D171" s="100">
        <v>156.13999999999999</v>
      </c>
      <c r="E171" s="385">
        <f t="shared" si="2"/>
        <v>0.11210826210826197</v>
      </c>
    </row>
    <row r="172" spans="2:5">
      <c r="B172" s="478">
        <v>19447893.199999999</v>
      </c>
      <c r="C172" s="498">
        <v>44475</v>
      </c>
      <c r="D172" s="100">
        <v>156.47999999999999</v>
      </c>
      <c r="E172" s="385">
        <f t="shared" si="2"/>
        <v>0.11452991452991441</v>
      </c>
    </row>
    <row r="173" spans="2:5">
      <c r="B173" s="478">
        <v>19500011.149999999</v>
      </c>
      <c r="C173" s="498">
        <v>44476</v>
      </c>
      <c r="D173" s="100">
        <v>156.9</v>
      </c>
      <c r="E173" s="385">
        <f t="shared" si="2"/>
        <v>0.11752136752136752</v>
      </c>
    </row>
    <row r="174" spans="2:5">
      <c r="B174" s="478">
        <v>19737765.579999998</v>
      </c>
      <c r="C174" s="498">
        <v>44477</v>
      </c>
      <c r="D174" s="100">
        <v>158.4</v>
      </c>
      <c r="E174" s="385">
        <f t="shared" si="2"/>
        <v>0.12820512820512819</v>
      </c>
    </row>
    <row r="175" spans="2:5">
      <c r="C175" s="498">
        <v>44480</v>
      </c>
      <c r="D175" s="100">
        <v>160.6</v>
      </c>
      <c r="E175" s="385">
        <f t="shared" si="2"/>
        <v>0.1438746438746438</v>
      </c>
    </row>
    <row r="176" spans="2:5">
      <c r="B176" s="478">
        <v>20166325.609999999</v>
      </c>
      <c r="C176" s="498">
        <v>44481</v>
      </c>
      <c r="D176" s="100">
        <v>160.93</v>
      </c>
      <c r="E176" s="385">
        <f t="shared" si="2"/>
        <v>0.14622507122507122</v>
      </c>
    </row>
    <row r="177" spans="2:5">
      <c r="B177" s="478">
        <v>20071118.399999999</v>
      </c>
      <c r="C177" s="498">
        <v>44482</v>
      </c>
      <c r="D177" s="100">
        <v>160.06</v>
      </c>
      <c r="E177" s="385">
        <f t="shared" si="2"/>
        <v>0.14002849002848999</v>
      </c>
    </row>
    <row r="178" spans="2:5">
      <c r="B178" s="478">
        <v>20232866.5</v>
      </c>
      <c r="C178" s="498">
        <v>44483</v>
      </c>
      <c r="D178" s="100">
        <v>161.26</v>
      </c>
      <c r="E178" s="385">
        <f t="shared" si="2"/>
        <v>0.14857549857549845</v>
      </c>
    </row>
    <row r="179" spans="2:5">
      <c r="B179" s="478">
        <v>20517403.379999999</v>
      </c>
      <c r="C179" s="498">
        <v>44484</v>
      </c>
      <c r="D179" s="100">
        <v>163.53</v>
      </c>
      <c r="E179" s="385">
        <f t="shared" si="2"/>
        <v>0.16474358974358971</v>
      </c>
    </row>
    <row r="180" spans="2:5">
      <c r="B180" s="478">
        <v>20572021.050000001</v>
      </c>
      <c r="C180" s="498">
        <v>44487</v>
      </c>
      <c r="D180" s="100">
        <v>163.97</v>
      </c>
      <c r="E180" s="385">
        <f t="shared" si="2"/>
        <v>0.16787749287749282</v>
      </c>
    </row>
    <row r="181" spans="2:5">
      <c r="B181" s="478">
        <v>20504693.390000001</v>
      </c>
      <c r="C181" s="498">
        <v>44488</v>
      </c>
      <c r="D181" s="100">
        <v>163.66</v>
      </c>
      <c r="E181" s="385">
        <f t="shared" si="2"/>
        <v>0.1656695156695156</v>
      </c>
    </row>
    <row r="182" spans="2:5">
      <c r="B182" s="478">
        <v>20412889.550000001</v>
      </c>
      <c r="C182" s="498">
        <v>44489</v>
      </c>
      <c r="D182" s="100">
        <v>162.93</v>
      </c>
      <c r="E182" s="385">
        <f t="shared" si="2"/>
        <v>0.16047008547008548</v>
      </c>
    </row>
    <row r="183" spans="2:5">
      <c r="B183" s="478">
        <v>20308719.359999999</v>
      </c>
      <c r="C183" s="498">
        <v>44490</v>
      </c>
      <c r="D183" s="100">
        <v>162.11000000000001</v>
      </c>
      <c r="E183" s="385">
        <f t="shared" si="2"/>
        <v>0.15462962962962967</v>
      </c>
    </row>
    <row r="184" spans="2:5">
      <c r="B184" s="478">
        <v>19888558.420000002</v>
      </c>
      <c r="C184" s="498">
        <v>44491</v>
      </c>
      <c r="D184" s="100">
        <v>162.26</v>
      </c>
      <c r="E184" s="385">
        <f t="shared" si="2"/>
        <v>0.1556980056980056</v>
      </c>
    </row>
    <row r="185" spans="2:5">
      <c r="B185" s="478">
        <v>20001376.91</v>
      </c>
      <c r="C185" s="498">
        <v>44494</v>
      </c>
      <c r="D185" s="100">
        <v>163.18</v>
      </c>
      <c r="E185" s="385">
        <f t="shared" si="2"/>
        <v>0.16225071225071225</v>
      </c>
    </row>
    <row r="186" spans="2:5">
      <c r="B186" s="478">
        <v>20214018.420000002</v>
      </c>
      <c r="C186" s="498">
        <v>44495</v>
      </c>
      <c r="D186" s="100">
        <v>164.87</v>
      </c>
      <c r="E186" s="385">
        <f t="shared" si="2"/>
        <v>0.17428774928774926</v>
      </c>
    </row>
    <row r="187" spans="2:5">
      <c r="B187" s="478">
        <v>20079208.550000001</v>
      </c>
      <c r="C187" s="498">
        <v>44497</v>
      </c>
      <c r="D187" s="100">
        <v>163.69999999999999</v>
      </c>
      <c r="E187" s="385">
        <f t="shared" si="2"/>
        <v>0.16595441595441582</v>
      </c>
    </row>
    <row r="188" spans="2:5">
      <c r="B188" s="478">
        <v>20004023.050000001</v>
      </c>
      <c r="C188" s="498">
        <v>44501</v>
      </c>
      <c r="D188" s="100">
        <v>163.09</v>
      </c>
      <c r="E188" s="385">
        <f t="shared" si="2"/>
        <v>0.16160968660968658</v>
      </c>
    </row>
    <row r="189" spans="2:5">
      <c r="B189" s="478">
        <v>20064721.57</v>
      </c>
      <c r="C189" s="498">
        <v>44502</v>
      </c>
      <c r="D189" s="100">
        <v>163.51</v>
      </c>
      <c r="E189" s="385">
        <f t="shared" si="2"/>
        <v>0.16460113960113948</v>
      </c>
    </row>
    <row r="190" spans="2:5">
      <c r="B190" s="478">
        <v>20100540.32</v>
      </c>
      <c r="C190" s="498">
        <v>44503</v>
      </c>
      <c r="D190" s="100">
        <v>163.61000000000001</v>
      </c>
      <c r="E190" s="385">
        <f t="shared" si="2"/>
        <v>0.16531339031339037</v>
      </c>
    </row>
    <row r="191" spans="2:5">
      <c r="B191" s="478">
        <v>20332648.98</v>
      </c>
      <c r="C191" s="498">
        <v>44504</v>
      </c>
      <c r="D191" s="100">
        <v>165.4</v>
      </c>
      <c r="E191" s="385">
        <f t="shared" si="2"/>
        <v>0.17806267806267806</v>
      </c>
    </row>
    <row r="192" spans="2:5">
      <c r="B192" s="478">
        <v>20190831.420000002</v>
      </c>
      <c r="C192" s="498">
        <v>44505</v>
      </c>
      <c r="D192" s="100">
        <v>164.15</v>
      </c>
      <c r="E192" s="385">
        <f t="shared" si="2"/>
        <v>0.16915954415954415</v>
      </c>
    </row>
    <row r="193" spans="2:5">
      <c r="B193" s="478">
        <v>20238211.649999999</v>
      </c>
      <c r="C193" s="498">
        <v>44508</v>
      </c>
      <c r="D193" s="100">
        <v>164.54</v>
      </c>
      <c r="E193" s="385">
        <f t="shared" si="2"/>
        <v>0.17193732193732184</v>
      </c>
    </row>
    <row r="194" spans="2:5">
      <c r="B194" s="478">
        <v>20225486.789999999</v>
      </c>
      <c r="C194" s="498">
        <v>44509</v>
      </c>
      <c r="D194" s="100">
        <v>164.44</v>
      </c>
      <c r="E194" s="385">
        <f t="shared" si="2"/>
        <v>0.17122507122507116</v>
      </c>
    </row>
    <row r="195" spans="2:5">
      <c r="B195" s="478">
        <v>20167785.43</v>
      </c>
      <c r="C195" s="498">
        <v>44510</v>
      </c>
      <c r="D195" s="100">
        <v>163.83000000000001</v>
      </c>
      <c r="E195" s="385">
        <f t="shared" si="2"/>
        <v>0.16688034188034193</v>
      </c>
    </row>
    <row r="196" spans="2:5">
      <c r="B196" s="478">
        <v>20191007.870000001</v>
      </c>
      <c r="C196" s="498">
        <v>44511</v>
      </c>
      <c r="D196" s="100">
        <v>163.56</v>
      </c>
      <c r="E196" s="385">
        <f t="shared" si="2"/>
        <v>0.16495726495726493</v>
      </c>
    </row>
    <row r="197" spans="2:5">
      <c r="B197" s="478">
        <v>20521329.77</v>
      </c>
      <c r="C197" s="498">
        <v>44512</v>
      </c>
      <c r="D197" s="100">
        <v>166.22</v>
      </c>
      <c r="E197" s="385">
        <f t="shared" si="2"/>
        <v>0.18390313390313384</v>
      </c>
    </row>
    <row r="198" spans="2:5">
      <c r="B198" s="478">
        <v>20549371.18</v>
      </c>
      <c r="C198" s="498">
        <v>44515</v>
      </c>
      <c r="D198" s="100">
        <v>166.36</v>
      </c>
      <c r="E198" s="385">
        <f t="shared" si="2"/>
        <v>0.18490028490028496</v>
      </c>
    </row>
    <row r="199" spans="2:5">
      <c r="B199" s="478">
        <v>20618788.16</v>
      </c>
      <c r="C199" s="498">
        <v>44516</v>
      </c>
      <c r="D199" s="100">
        <v>166.96</v>
      </c>
      <c r="E199" s="385">
        <f t="shared" si="2"/>
        <v>0.18917378917378919</v>
      </c>
    </row>
    <row r="200" spans="2:5">
      <c r="B200" s="478">
        <v>20654246.609999999</v>
      </c>
      <c r="C200" s="498">
        <v>44517</v>
      </c>
      <c r="D200" s="100">
        <v>167.19</v>
      </c>
      <c r="E200" s="385">
        <f t="shared" si="2"/>
        <v>0.19081196581196574</v>
      </c>
    </row>
    <row r="201" spans="2:5">
      <c r="B201" s="478">
        <v>20567758.890000001</v>
      </c>
      <c r="C201" s="498">
        <v>44518</v>
      </c>
      <c r="D201" s="100">
        <v>166.6</v>
      </c>
      <c r="E201" s="385">
        <f t="shared" si="2"/>
        <v>0.18660968660968652</v>
      </c>
    </row>
    <row r="202" spans="2:5">
      <c r="B202" s="478">
        <v>20642087.940000001</v>
      </c>
      <c r="C202" s="498">
        <v>44519</v>
      </c>
      <c r="D202" s="100">
        <v>167.26</v>
      </c>
      <c r="E202" s="385">
        <f t="shared" si="2"/>
        <v>0.1913105413105412</v>
      </c>
    </row>
    <row r="203" spans="2:5">
      <c r="B203" s="478">
        <v>20701188.140000001</v>
      </c>
      <c r="C203" s="498">
        <v>44522</v>
      </c>
      <c r="D203" s="100">
        <v>167.74</v>
      </c>
      <c r="E203" s="385">
        <f t="shared" si="2"/>
        <v>0.19472934472934475</v>
      </c>
    </row>
    <row r="204" spans="2:5">
      <c r="B204" s="478">
        <v>20592069.710000001</v>
      </c>
      <c r="C204" s="498">
        <v>44523</v>
      </c>
      <c r="D204" s="100">
        <v>166.86</v>
      </c>
      <c r="E204" s="385">
        <f t="shared" si="2"/>
        <v>0.18846153846153851</v>
      </c>
    </row>
    <row r="205" spans="2:5">
      <c r="B205" s="478">
        <v>20560381.59</v>
      </c>
      <c r="C205" s="498">
        <v>44524</v>
      </c>
      <c r="D205" s="100">
        <v>166.55</v>
      </c>
      <c r="E205" s="385">
        <f t="shared" si="2"/>
        <v>0.18625356125356129</v>
      </c>
    </row>
    <row r="206" spans="2:5">
      <c r="B206" s="478">
        <v>20407656</v>
      </c>
      <c r="C206" s="498">
        <v>44525</v>
      </c>
      <c r="D206" s="100">
        <v>165.32</v>
      </c>
      <c r="E206" s="385">
        <f t="shared" si="2"/>
        <v>0.1774928774928774</v>
      </c>
    </row>
    <row r="207" spans="2:5">
      <c r="B207" s="478">
        <v>19869878.41</v>
      </c>
      <c r="C207" s="498">
        <v>44526</v>
      </c>
      <c r="D207" s="100">
        <v>161.05000000000001</v>
      </c>
      <c r="E207" s="385">
        <f t="shared" si="2"/>
        <v>0.1470797720797721</v>
      </c>
    </row>
    <row r="208" spans="2:5">
      <c r="B208" s="478">
        <v>19482057.75</v>
      </c>
      <c r="C208" s="498">
        <v>44529</v>
      </c>
      <c r="D208" s="100">
        <v>157.83000000000001</v>
      </c>
      <c r="E208" s="385">
        <f t="shared" si="2"/>
        <v>0.12414529914529919</v>
      </c>
    </row>
    <row r="209" spans="2:5">
      <c r="B209" s="478">
        <v>19412477.57</v>
      </c>
      <c r="C209" s="498">
        <v>44530</v>
      </c>
      <c r="D209" s="100">
        <v>157.22999999999999</v>
      </c>
      <c r="E209" s="385">
        <f t="shared" si="2"/>
        <v>0.11987179487179475</v>
      </c>
    </row>
    <row r="210" spans="2:5">
      <c r="B210" s="478">
        <v>19656789.879999999</v>
      </c>
      <c r="C210" s="498">
        <v>44531</v>
      </c>
      <c r="D210" s="100">
        <v>159.19999999999999</v>
      </c>
      <c r="E210" s="385">
        <f t="shared" si="2"/>
        <v>0.13390313390313377</v>
      </c>
    </row>
    <row r="211" spans="2:5">
      <c r="B211" s="478">
        <v>19580100.25</v>
      </c>
      <c r="C211" s="498">
        <v>44532</v>
      </c>
      <c r="D211" s="100">
        <v>158.68</v>
      </c>
      <c r="E211" s="385">
        <f t="shared" si="2"/>
        <v>0.1301994301994302</v>
      </c>
    </row>
    <row r="212" spans="2:5">
      <c r="B212" s="478">
        <v>20276493.879999999</v>
      </c>
      <c r="C212" s="498">
        <v>44533</v>
      </c>
      <c r="D212" s="100">
        <v>159.38</v>
      </c>
      <c r="E212" s="385">
        <f t="shared" si="2"/>
        <v>0.1351851851851851</v>
      </c>
    </row>
    <row r="213" spans="2:5">
      <c r="B213" s="478">
        <v>20219833.73</v>
      </c>
      <c r="C213" s="498">
        <v>44536</v>
      </c>
      <c r="D213" s="100">
        <v>158.93</v>
      </c>
      <c r="E213" s="385">
        <f t="shared" si="2"/>
        <v>0.13198005698005699</v>
      </c>
    </row>
    <row r="214" spans="2:5">
      <c r="B214" s="478">
        <v>20566058.710000001</v>
      </c>
      <c r="C214" s="498">
        <v>44537</v>
      </c>
      <c r="D214" s="100">
        <v>161.66</v>
      </c>
      <c r="E214" s="385">
        <f t="shared" si="2"/>
        <v>0.15142450142450134</v>
      </c>
    </row>
    <row r="215" spans="2:5">
      <c r="B215" s="478">
        <v>20589860.899999999</v>
      </c>
      <c r="C215" s="498">
        <v>44538</v>
      </c>
      <c r="D215" s="100">
        <v>161.79</v>
      </c>
      <c r="E215" s="385">
        <f t="shared" si="2"/>
        <v>0.15235042735042725</v>
      </c>
    </row>
    <row r="216" spans="2:5">
      <c r="B216" s="478">
        <v>20568033.859999999</v>
      </c>
      <c r="C216" s="498">
        <v>44539</v>
      </c>
      <c r="D216" s="100">
        <v>161.52000000000001</v>
      </c>
      <c r="E216" s="385">
        <f t="shared" si="2"/>
        <v>0.15042735042735045</v>
      </c>
    </row>
    <row r="217" spans="2:5">
      <c r="B217" s="478">
        <v>20554977.34</v>
      </c>
      <c r="C217" s="498">
        <v>44540</v>
      </c>
      <c r="D217" s="100">
        <v>161.52000000000001</v>
      </c>
      <c r="E217" s="385">
        <f t="shared" si="2"/>
        <v>0.15042735042735045</v>
      </c>
    </row>
    <row r="218" spans="2:5">
      <c r="B218" s="478">
        <v>20591632.809999999</v>
      </c>
      <c r="C218" s="498">
        <v>44543</v>
      </c>
      <c r="D218" s="100">
        <v>161.81</v>
      </c>
      <c r="E218" s="385">
        <f t="shared" si="2"/>
        <v>0.15249287749287746</v>
      </c>
    </row>
    <row r="219" spans="2:5">
      <c r="B219" s="478">
        <v>20488612.75</v>
      </c>
      <c r="C219" s="498">
        <v>44544</v>
      </c>
      <c r="D219" s="100">
        <v>160.88999999999999</v>
      </c>
      <c r="E219" s="385">
        <f t="shared" si="2"/>
        <v>0.14594017094017081</v>
      </c>
    </row>
    <row r="220" spans="2:5">
      <c r="B220" s="478">
        <v>20646890.210000001</v>
      </c>
      <c r="C220" s="498">
        <v>44545</v>
      </c>
      <c r="D220" s="100">
        <v>162.05000000000001</v>
      </c>
      <c r="E220" s="385">
        <f t="shared" si="2"/>
        <v>0.15420227920227925</v>
      </c>
    </row>
    <row r="221" spans="2:5">
      <c r="B221" s="478">
        <v>20982003.890000001</v>
      </c>
      <c r="C221" s="498">
        <v>44546</v>
      </c>
      <c r="D221" s="100">
        <v>164.72</v>
      </c>
      <c r="E221" s="385">
        <f t="shared" si="2"/>
        <v>0.17321937321937317</v>
      </c>
    </row>
    <row r="222" spans="2:5">
      <c r="B222" s="478">
        <v>20969775.43</v>
      </c>
      <c r="C222" s="498">
        <v>44547</v>
      </c>
      <c r="D222" s="100">
        <v>164.6</v>
      </c>
      <c r="E222" s="385">
        <f t="shared" si="2"/>
        <v>0.17236467236467229</v>
      </c>
    </row>
    <row r="223" spans="2:5">
      <c r="B223" s="478">
        <v>20593911.559999999</v>
      </c>
      <c r="C223" s="498">
        <v>44551</v>
      </c>
      <c r="D223" s="100">
        <v>161.51</v>
      </c>
      <c r="E223" s="385">
        <f t="shared" si="2"/>
        <v>0.15035612535612525</v>
      </c>
    </row>
    <row r="224" spans="2:5">
      <c r="B224" s="478">
        <v>20623871.550000001</v>
      </c>
      <c r="C224" s="498">
        <v>44552</v>
      </c>
      <c r="D224" s="100">
        <v>161.72999999999999</v>
      </c>
      <c r="E224" s="385">
        <f t="shared" si="2"/>
        <v>0.1519230769230768</v>
      </c>
    </row>
    <row r="225" spans="1:5">
      <c r="B225" s="478">
        <v>20985184.370000001</v>
      </c>
      <c r="C225" s="498">
        <v>44553</v>
      </c>
      <c r="D225" s="100">
        <v>164.48</v>
      </c>
      <c r="E225" s="385">
        <f t="shared" si="2"/>
        <v>0.17150997150997138</v>
      </c>
    </row>
    <row r="226" spans="1:5">
      <c r="B226" s="478">
        <v>21102411.170000002</v>
      </c>
      <c r="C226" s="498">
        <v>44554</v>
      </c>
      <c r="D226" s="100">
        <v>165.31</v>
      </c>
      <c r="E226" s="385">
        <f t="shared" ref="E226:E230" si="3">(D226-$D$2)/$D$2</f>
        <v>0.17742165242165239</v>
      </c>
    </row>
    <row r="227" spans="1:5">
      <c r="B227" s="478">
        <v>21122994.370000001</v>
      </c>
      <c r="C227" s="498">
        <v>44558</v>
      </c>
      <c r="D227" s="100">
        <v>165.51</v>
      </c>
      <c r="E227" s="385">
        <f t="shared" si="3"/>
        <v>0.17884615384615374</v>
      </c>
    </row>
    <row r="228" spans="1:5">
      <c r="B228" s="478">
        <v>21075657.859999999</v>
      </c>
      <c r="C228" s="498">
        <v>44559</v>
      </c>
      <c r="D228" s="100">
        <v>165.14</v>
      </c>
      <c r="E228" s="385">
        <f t="shared" si="3"/>
        <v>0.17621082621082607</v>
      </c>
    </row>
    <row r="229" spans="1:5">
      <c r="C229" s="498">
        <v>44560</v>
      </c>
      <c r="E229" s="385"/>
    </row>
    <row r="230" spans="1:5">
      <c r="B230" s="478">
        <v>21207559.550000001</v>
      </c>
      <c r="C230" s="498">
        <v>44561</v>
      </c>
      <c r="D230" s="100">
        <v>166.14</v>
      </c>
      <c r="E230" s="385">
        <f t="shared" si="3"/>
        <v>0.18333333333333318</v>
      </c>
    </row>
    <row r="231" spans="1:5" s="1094" customFormat="1">
      <c r="A231" s="1094">
        <v>2022</v>
      </c>
      <c r="B231" s="1092">
        <v>21342092.550000001</v>
      </c>
      <c r="C231" s="1093">
        <v>44199</v>
      </c>
      <c r="D231" s="1094">
        <v>167.2</v>
      </c>
      <c r="E231" s="1095">
        <f>(D231-$D$230)/$D$230</f>
        <v>6.3801613097387889E-3</v>
      </c>
    </row>
    <row r="232" spans="1:5">
      <c r="B232" s="478">
        <v>21585243.289999999</v>
      </c>
      <c r="C232" s="498">
        <v>44200</v>
      </c>
      <c r="D232" s="100">
        <v>169.1</v>
      </c>
      <c r="E232" s="410">
        <f t="shared" ref="E232:E238" si="4">(D232-$D$230)/$D$230</f>
        <v>1.7816299506440401E-2</v>
      </c>
    </row>
    <row r="233" spans="1:5">
      <c r="B233" s="478">
        <v>21677895.210000001</v>
      </c>
      <c r="C233" s="498">
        <v>44201</v>
      </c>
      <c r="D233" s="100">
        <v>169.58</v>
      </c>
      <c r="E233" s="410">
        <f t="shared" si="4"/>
        <v>2.0705429156133541E-2</v>
      </c>
    </row>
    <row r="234" spans="1:5">
      <c r="B234" s="478">
        <v>21564583.829999998</v>
      </c>
      <c r="C234" s="498">
        <v>44202</v>
      </c>
      <c r="D234" s="100">
        <v>167.96</v>
      </c>
      <c r="E234" s="410">
        <f t="shared" si="4"/>
        <v>1.0954616588419536E-2</v>
      </c>
    </row>
    <row r="235" spans="1:5">
      <c r="B235" s="478">
        <v>21576322.079999998</v>
      </c>
      <c r="C235" s="498">
        <v>44203</v>
      </c>
      <c r="D235" s="100">
        <v>167.82</v>
      </c>
      <c r="E235" s="410">
        <f t="shared" si="4"/>
        <v>1.0111953773925647E-2</v>
      </c>
    </row>
    <row r="236" spans="1:5">
      <c r="B236" s="478">
        <v>21594047.620000001</v>
      </c>
      <c r="C236" s="498">
        <v>44206</v>
      </c>
      <c r="D236" s="100">
        <v>167.87</v>
      </c>
      <c r="E236" s="410">
        <f t="shared" si="4"/>
        <v>1.0412904779102073E-2</v>
      </c>
    </row>
    <row r="237" spans="1:5">
      <c r="B237" s="478">
        <v>21656703.629999999</v>
      </c>
      <c r="C237" s="498">
        <v>44207</v>
      </c>
      <c r="D237" s="100">
        <v>168.36</v>
      </c>
      <c r="E237" s="410">
        <f t="shared" si="4"/>
        <v>1.336222462983043E-2</v>
      </c>
    </row>
    <row r="238" spans="1:5">
      <c r="B238" s="478">
        <v>21961736.84</v>
      </c>
      <c r="C238" s="498">
        <v>44208</v>
      </c>
      <c r="D238" s="100">
        <v>170.83</v>
      </c>
      <c r="E238" s="410">
        <f t="shared" si="4"/>
        <v>2.8229204285542472E-2</v>
      </c>
    </row>
    <row r="239" spans="1:5">
      <c r="B239" s="478">
        <v>22229247.5</v>
      </c>
      <c r="C239" s="498">
        <v>44209</v>
      </c>
      <c r="D239" s="100">
        <v>172.75</v>
      </c>
      <c r="E239" s="410">
        <f t="shared" ref="E239:E302" si="5">(D239-$D$230)/$D$230</f>
        <v>3.978572288431452E-2</v>
      </c>
    </row>
    <row r="240" spans="1:5">
      <c r="B240" s="478">
        <v>22027105.899999999</v>
      </c>
      <c r="C240" s="498">
        <v>44210</v>
      </c>
      <c r="D240" s="100">
        <v>171.23</v>
      </c>
      <c r="E240" s="410">
        <f t="shared" si="5"/>
        <v>3.0636812326953197E-2</v>
      </c>
    </row>
    <row r="241" spans="2:5">
      <c r="B241" s="478">
        <v>21922790.039999999</v>
      </c>
      <c r="C241" s="498">
        <v>44213</v>
      </c>
      <c r="D241" s="100">
        <v>170.42</v>
      </c>
      <c r="E241" s="410">
        <f t="shared" si="5"/>
        <v>2.5761406043096194E-2</v>
      </c>
    </row>
    <row r="242" spans="2:5">
      <c r="B242" s="478">
        <v>21908693.530000001</v>
      </c>
      <c r="C242" s="498">
        <v>44214</v>
      </c>
      <c r="D242" s="100">
        <v>170.29</v>
      </c>
      <c r="E242" s="410">
        <f t="shared" si="5"/>
        <v>2.4978933429637692E-2</v>
      </c>
    </row>
    <row r="243" spans="2:5">
      <c r="B243" s="478">
        <v>21609657.460000001</v>
      </c>
      <c r="C243" s="498">
        <v>44215</v>
      </c>
      <c r="D243" s="100">
        <v>167.95</v>
      </c>
      <c r="E243" s="410">
        <f t="shared" si="5"/>
        <v>1.0894426387384148E-2</v>
      </c>
    </row>
    <row r="244" spans="2:5">
      <c r="B244" s="478">
        <v>21772469.530000001</v>
      </c>
      <c r="C244" s="498">
        <v>44216</v>
      </c>
      <c r="D244" s="100">
        <v>169.21</v>
      </c>
      <c r="E244" s="410">
        <f t="shared" si="5"/>
        <v>1.8478391717828471E-2</v>
      </c>
    </row>
    <row r="245" spans="2:5">
      <c r="B245" s="478">
        <v>21547988.43</v>
      </c>
      <c r="C245" s="498">
        <v>44217</v>
      </c>
      <c r="D245" s="100">
        <v>167.47</v>
      </c>
      <c r="E245" s="410">
        <f t="shared" si="5"/>
        <v>8.0052967376911793E-3</v>
      </c>
    </row>
    <row r="246" spans="2:5">
      <c r="B246" s="478">
        <v>21259779.609999999</v>
      </c>
      <c r="C246" s="498">
        <v>44220</v>
      </c>
      <c r="D246" s="100">
        <v>164.85</v>
      </c>
      <c r="E246" s="410">
        <f t="shared" si="5"/>
        <v>-7.7645359335499712E-3</v>
      </c>
    </row>
    <row r="247" spans="2:5">
      <c r="B247" s="478">
        <v>20918390.140000001</v>
      </c>
      <c r="C247" s="498">
        <v>44221</v>
      </c>
      <c r="D247" s="100">
        <v>161.72999999999999</v>
      </c>
      <c r="E247" s="410">
        <f t="shared" si="5"/>
        <v>-2.6543878656554696E-2</v>
      </c>
    </row>
    <row r="248" spans="2:5">
      <c r="B248" s="478">
        <v>21100994.73</v>
      </c>
      <c r="C248" s="498">
        <v>44222</v>
      </c>
      <c r="D248" s="100">
        <v>163.13999999999999</v>
      </c>
      <c r="E248" s="410">
        <f t="shared" si="5"/>
        <v>-1.8057060310581439E-2</v>
      </c>
    </row>
    <row r="249" spans="2:5">
      <c r="B249" s="478">
        <v>20707303.370000001</v>
      </c>
      <c r="C249" s="498">
        <v>44223</v>
      </c>
      <c r="D249" s="100">
        <v>160.19999999999999</v>
      </c>
      <c r="E249" s="410">
        <f t="shared" si="5"/>
        <v>-3.5752979414951237E-2</v>
      </c>
    </row>
    <row r="250" spans="2:5">
      <c r="B250" s="478">
        <v>21208844.77</v>
      </c>
      <c r="C250" s="498">
        <v>44224</v>
      </c>
      <c r="D250" s="100">
        <v>162.35</v>
      </c>
      <c r="E250" s="410">
        <f t="shared" si="5"/>
        <v>-2.2812086192367836E-2</v>
      </c>
    </row>
    <row r="251" spans="2:5">
      <c r="B251" s="478">
        <v>21270859.850000001</v>
      </c>
      <c r="C251" s="498">
        <v>44227</v>
      </c>
      <c r="D251" s="100">
        <v>162.72</v>
      </c>
      <c r="E251" s="410">
        <f t="shared" si="5"/>
        <v>-2.0585048754062765E-2</v>
      </c>
    </row>
    <row r="252" spans="2:5">
      <c r="B252" s="478">
        <v>21323765.059999999</v>
      </c>
      <c r="C252" s="498">
        <v>44228</v>
      </c>
      <c r="D252" s="100">
        <v>163.11000000000001</v>
      </c>
      <c r="E252" s="410">
        <f t="shared" si="5"/>
        <v>-1.8237630913687089E-2</v>
      </c>
    </row>
    <row r="253" spans="2:5">
      <c r="B253" s="478">
        <v>21536186.699999999</v>
      </c>
      <c r="C253" s="498">
        <v>44229</v>
      </c>
      <c r="D253" s="100">
        <v>164.82</v>
      </c>
      <c r="E253" s="410">
        <f t="shared" si="5"/>
        <v>-7.9451065366557914E-3</v>
      </c>
    </row>
    <row r="254" spans="2:5">
      <c r="B254" s="478">
        <v>21177266.43</v>
      </c>
      <c r="C254" s="498">
        <v>44230</v>
      </c>
      <c r="D254" s="100">
        <v>161.97</v>
      </c>
      <c r="E254" s="410">
        <f t="shared" si="5"/>
        <v>-2.5099313831708124E-2</v>
      </c>
    </row>
    <row r="255" spans="2:5">
      <c r="B255" s="478">
        <v>21150924.510000002</v>
      </c>
      <c r="C255" s="498">
        <v>44231</v>
      </c>
      <c r="D255" s="100">
        <v>161.87</v>
      </c>
      <c r="E255" s="410">
        <f t="shared" si="5"/>
        <v>-2.5701215842060806E-2</v>
      </c>
    </row>
    <row r="256" spans="2:5">
      <c r="B256" s="478">
        <v>20983373.010000002</v>
      </c>
      <c r="C256" s="498">
        <v>44234</v>
      </c>
      <c r="D256" s="100">
        <v>160.49</v>
      </c>
      <c r="E256" s="410">
        <f t="shared" si="5"/>
        <v>-3.4007463584928239E-2</v>
      </c>
    </row>
    <row r="257" spans="2:5">
      <c r="B257" s="478">
        <v>20994467.870000001</v>
      </c>
      <c r="C257" s="498">
        <v>44235</v>
      </c>
      <c r="D257" s="100">
        <v>160.54</v>
      </c>
      <c r="E257" s="410">
        <f t="shared" si="5"/>
        <v>-3.3706512579751984E-2</v>
      </c>
    </row>
    <row r="258" spans="2:5">
      <c r="B258" s="478">
        <v>21311042.09</v>
      </c>
      <c r="C258" s="498">
        <v>44236</v>
      </c>
      <c r="D258" s="100">
        <v>163.82</v>
      </c>
      <c r="E258" s="410">
        <f t="shared" si="5"/>
        <v>-1.3964126640182938E-2</v>
      </c>
    </row>
    <row r="259" spans="2:5">
      <c r="B259" s="478">
        <v>21350510.68</v>
      </c>
      <c r="C259" s="498">
        <v>44237</v>
      </c>
      <c r="D259" s="100">
        <v>164.06</v>
      </c>
      <c r="E259" s="410">
        <f t="shared" si="5"/>
        <v>-1.2519561815336368E-2</v>
      </c>
    </row>
    <row r="260" spans="2:5">
      <c r="B260" s="478">
        <v>21583221.039999999</v>
      </c>
      <c r="C260" s="498">
        <v>44238</v>
      </c>
      <c r="D260" s="100">
        <v>163.59</v>
      </c>
      <c r="E260" s="410">
        <f t="shared" si="5"/>
        <v>-1.534850126399412E-2</v>
      </c>
    </row>
    <row r="261" spans="2:5">
      <c r="B261" s="478">
        <v>21403589.100000001</v>
      </c>
      <c r="C261" s="498">
        <v>44241</v>
      </c>
      <c r="D261" s="100">
        <v>162.30000000000001</v>
      </c>
      <c r="E261" s="410">
        <f t="shared" si="5"/>
        <v>-2.3113037197544092E-2</v>
      </c>
    </row>
    <row r="262" spans="2:5">
      <c r="B262" s="478">
        <v>21217145.719999999</v>
      </c>
      <c r="C262" s="498">
        <v>44242</v>
      </c>
      <c r="D262" s="100">
        <v>160.88</v>
      </c>
      <c r="E262" s="410">
        <f t="shared" si="5"/>
        <v>-3.1660045744552737E-2</v>
      </c>
    </row>
    <row r="263" spans="2:5">
      <c r="B263" s="478">
        <v>21465589.93</v>
      </c>
      <c r="C263" s="498">
        <v>44243</v>
      </c>
      <c r="D263" s="100">
        <v>162.72</v>
      </c>
      <c r="E263" s="410">
        <f t="shared" si="5"/>
        <v>-2.0585048754062765E-2</v>
      </c>
    </row>
    <row r="264" spans="2:5">
      <c r="B264" s="478">
        <v>21445676.93</v>
      </c>
      <c r="C264" s="498">
        <v>44244</v>
      </c>
      <c r="D264" s="100">
        <v>162.52000000000001</v>
      </c>
      <c r="E264" s="410">
        <f t="shared" si="5"/>
        <v>-2.1788852774768126E-2</v>
      </c>
    </row>
    <row r="265" spans="2:5">
      <c r="B265" s="478">
        <v>21372176.899999999</v>
      </c>
      <c r="C265" s="498">
        <v>44245</v>
      </c>
      <c r="D265" s="100">
        <v>161.96</v>
      </c>
      <c r="E265" s="410">
        <f t="shared" si="5"/>
        <v>-2.5159504032743342E-2</v>
      </c>
    </row>
    <row r="266" spans="2:5">
      <c r="B266" s="478">
        <v>21120878.609999999</v>
      </c>
      <c r="C266" s="498">
        <v>44248</v>
      </c>
      <c r="D266" s="100">
        <v>160.06</v>
      </c>
      <c r="E266" s="410">
        <f t="shared" si="5"/>
        <v>-3.6595642229444954E-2</v>
      </c>
    </row>
    <row r="267" spans="2:5">
      <c r="B267" s="478">
        <v>20823572.25</v>
      </c>
      <c r="C267" s="498">
        <v>44249</v>
      </c>
      <c r="D267" s="100">
        <v>157.81</v>
      </c>
      <c r="E267" s="410">
        <f t="shared" si="5"/>
        <v>-5.013843746238103E-2</v>
      </c>
    </row>
    <row r="268" spans="2:5">
      <c r="B268" s="478">
        <v>20837066.09</v>
      </c>
      <c r="C268" s="498">
        <v>44250</v>
      </c>
      <c r="D268" s="100">
        <v>157.94</v>
      </c>
      <c r="E268" s="410">
        <f t="shared" si="5"/>
        <v>-4.9355964848922532E-2</v>
      </c>
    </row>
    <row r="269" spans="2:5">
      <c r="B269" s="478">
        <v>20409412.48</v>
      </c>
      <c r="C269" s="498">
        <v>44251</v>
      </c>
      <c r="D269" s="100">
        <v>154.80000000000001</v>
      </c>
      <c r="E269" s="410">
        <f t="shared" si="5"/>
        <v>-6.8255687973997684E-2</v>
      </c>
    </row>
    <row r="270" spans="2:5">
      <c r="B270" s="478">
        <v>20524607.379999999</v>
      </c>
      <c r="C270" s="498">
        <v>44252</v>
      </c>
      <c r="D270" s="100">
        <v>156.16999999999999</v>
      </c>
      <c r="E270" s="410">
        <f t="shared" si="5"/>
        <v>-6.0009630432165645E-2</v>
      </c>
    </row>
    <row r="271" spans="2:5">
      <c r="B271" s="478">
        <v>20418369.219999999</v>
      </c>
      <c r="C271" s="498">
        <v>44255</v>
      </c>
      <c r="D271" s="100">
        <v>155.38999999999999</v>
      </c>
      <c r="E271" s="410">
        <f t="shared" si="5"/>
        <v>-6.4704466112916817E-2</v>
      </c>
    </row>
    <row r="272" spans="2:5">
      <c r="B272" s="478">
        <v>20261352.280000001</v>
      </c>
      <c r="C272" s="498">
        <v>44256</v>
      </c>
      <c r="D272" s="100">
        <v>154.22</v>
      </c>
      <c r="E272" s="410">
        <f t="shared" si="5"/>
        <v>-7.1746719634043513E-2</v>
      </c>
    </row>
    <row r="273" spans="2:5">
      <c r="B273" s="478">
        <v>20339317.93</v>
      </c>
      <c r="C273" s="498">
        <v>44258</v>
      </c>
      <c r="D273" s="100">
        <v>154.81</v>
      </c>
      <c r="E273" s="410">
        <f t="shared" si="5"/>
        <v>-6.8195497772962466E-2</v>
      </c>
    </row>
    <row r="274" spans="2:5">
      <c r="B274" s="478">
        <v>19971731.140000001</v>
      </c>
      <c r="C274" s="498">
        <v>44259</v>
      </c>
      <c r="D274" s="100">
        <v>152.01</v>
      </c>
      <c r="E274" s="410">
        <f t="shared" si="5"/>
        <v>-8.5048754062838544E-2</v>
      </c>
    </row>
    <row r="275" spans="2:5">
      <c r="B275" s="478">
        <v>19505487.25</v>
      </c>
      <c r="C275" s="498">
        <v>44627</v>
      </c>
      <c r="D275" s="100">
        <v>148.47</v>
      </c>
      <c r="E275" s="410">
        <f t="shared" si="5"/>
        <v>-0.1063560852293246</v>
      </c>
    </row>
    <row r="276" spans="2:5">
      <c r="B276" s="478">
        <v>19001688.739999998</v>
      </c>
      <c r="C276" s="498">
        <v>44628</v>
      </c>
      <c r="D276" s="100">
        <v>144.52000000000001</v>
      </c>
      <c r="E276" s="410">
        <f t="shared" si="5"/>
        <v>-0.13013121463825675</v>
      </c>
    </row>
    <row r="277" spans="2:5">
      <c r="B277" s="478">
        <v>19030997.719999999</v>
      </c>
      <c r="C277" s="498">
        <v>44629</v>
      </c>
      <c r="D277" s="100">
        <v>144.84</v>
      </c>
      <c r="E277" s="410">
        <f t="shared" si="5"/>
        <v>-0.12820512820512811</v>
      </c>
    </row>
    <row r="278" spans="2:5">
      <c r="B278" s="478">
        <v>19485292.23</v>
      </c>
      <c r="C278" s="498">
        <v>44630</v>
      </c>
      <c r="D278" s="100">
        <v>148.30000000000001</v>
      </c>
      <c r="E278" s="410">
        <f t="shared" si="5"/>
        <v>-0.10737931864692414</v>
      </c>
    </row>
    <row r="279" spans="2:5">
      <c r="B279" s="478">
        <v>19352967.550000001</v>
      </c>
      <c r="C279" s="498">
        <v>44631</v>
      </c>
      <c r="D279" s="100">
        <v>147.31</v>
      </c>
      <c r="E279" s="410">
        <f t="shared" si="5"/>
        <v>-0.11333814854941607</v>
      </c>
    </row>
    <row r="280" spans="2:5">
      <c r="B280" s="478">
        <v>19206174.399999999</v>
      </c>
      <c r="C280" s="498">
        <v>44634</v>
      </c>
      <c r="D280" s="100">
        <v>146.1</v>
      </c>
      <c r="E280" s="410">
        <f t="shared" si="5"/>
        <v>-0.12062116287468397</v>
      </c>
    </row>
    <row r="281" spans="2:5">
      <c r="B281" s="478">
        <v>19091976.530000001</v>
      </c>
      <c r="C281" s="498">
        <v>44635</v>
      </c>
      <c r="D281" s="100">
        <v>145.27000000000001</v>
      </c>
      <c r="E281" s="410">
        <f t="shared" si="5"/>
        <v>-0.1256169495606114</v>
      </c>
    </row>
    <row r="282" spans="2:5">
      <c r="B282" s="478">
        <v>19495619.050000001</v>
      </c>
      <c r="C282" s="498">
        <v>44636</v>
      </c>
      <c r="D282" s="100">
        <v>148.27000000000001</v>
      </c>
      <c r="E282" s="410">
        <f t="shared" si="5"/>
        <v>-0.10755988925002996</v>
      </c>
    </row>
    <row r="283" spans="2:5">
      <c r="B283" s="478">
        <v>19918058.789999999</v>
      </c>
      <c r="C283" s="498">
        <v>44637</v>
      </c>
      <c r="D283" s="100">
        <v>151.46</v>
      </c>
      <c r="E283" s="410">
        <f t="shared" si="5"/>
        <v>-8.8359215119778373E-2</v>
      </c>
    </row>
    <row r="284" spans="2:5">
      <c r="B284" s="478">
        <v>20245968.890000001</v>
      </c>
      <c r="C284" s="498">
        <v>44638</v>
      </c>
      <c r="D284" s="100">
        <v>153.82</v>
      </c>
      <c r="E284" s="410">
        <f t="shared" si="5"/>
        <v>-7.4154327675454407E-2</v>
      </c>
    </row>
    <row r="285" spans="2:5">
      <c r="B285" s="478">
        <v>20287395.050000001</v>
      </c>
      <c r="C285" s="498">
        <v>44641</v>
      </c>
      <c r="D285" s="100">
        <v>154.28</v>
      </c>
      <c r="E285" s="410">
        <f t="shared" si="5"/>
        <v>-7.1385578427831872E-2</v>
      </c>
    </row>
    <row r="286" spans="2:5">
      <c r="B286" s="478">
        <v>20767490.760000002</v>
      </c>
      <c r="C286" s="498">
        <v>44643</v>
      </c>
      <c r="D286" s="100">
        <v>157.91999999999999</v>
      </c>
      <c r="E286" s="410">
        <f t="shared" si="5"/>
        <v>-4.9476345250993134E-2</v>
      </c>
    </row>
    <row r="287" spans="2:5">
      <c r="B287" s="478">
        <v>20804402.539999999</v>
      </c>
      <c r="C287" s="498">
        <v>44644</v>
      </c>
      <c r="D287" s="100">
        <v>158.19999999999999</v>
      </c>
      <c r="E287" s="410">
        <f t="shared" si="5"/>
        <v>-4.7791019622005528E-2</v>
      </c>
    </row>
    <row r="288" spans="2:5">
      <c r="B288" s="478">
        <v>20948248.640000001</v>
      </c>
      <c r="C288" s="498">
        <v>44645</v>
      </c>
      <c r="D288" s="100">
        <v>159.29</v>
      </c>
      <c r="E288" s="410">
        <f t="shared" si="5"/>
        <v>-4.1230287709160915E-2</v>
      </c>
    </row>
    <row r="289" spans="2:5">
      <c r="B289" s="478">
        <v>20694006.190000001</v>
      </c>
      <c r="C289" s="498">
        <v>44648</v>
      </c>
      <c r="D289" s="100">
        <v>157.37</v>
      </c>
      <c r="E289" s="410">
        <f t="shared" si="5"/>
        <v>-5.2786806307932962E-2</v>
      </c>
    </row>
    <row r="290" spans="2:5">
      <c r="B290" s="478">
        <v>20977492.02</v>
      </c>
      <c r="C290" s="498">
        <v>44649</v>
      </c>
      <c r="D290" s="100">
        <v>159.52000000000001</v>
      </c>
      <c r="E290" s="410">
        <f t="shared" si="5"/>
        <v>-3.9845913085349564E-2</v>
      </c>
    </row>
    <row r="291" spans="2:5">
      <c r="B291" s="478">
        <v>20900930.640000001</v>
      </c>
      <c r="C291" s="498">
        <v>44650</v>
      </c>
      <c r="D291" s="100">
        <v>158.94</v>
      </c>
      <c r="E291" s="410">
        <f t="shared" si="5"/>
        <v>-4.3336944745395387E-2</v>
      </c>
    </row>
    <row r="292" spans="2:5">
      <c r="B292" s="478">
        <v>20964590.460000001</v>
      </c>
      <c r="C292" s="498">
        <v>44651</v>
      </c>
      <c r="D292" s="100">
        <v>159.47</v>
      </c>
      <c r="E292" s="410">
        <f t="shared" si="5"/>
        <v>-4.0146864090525994E-2</v>
      </c>
    </row>
    <row r="293" spans="2:5">
      <c r="B293" s="478">
        <v>20922381.789999999</v>
      </c>
      <c r="C293" s="498">
        <v>44652</v>
      </c>
      <c r="D293" s="100">
        <v>159.15</v>
      </c>
      <c r="E293" s="410">
        <f t="shared" si="5"/>
        <v>-4.2072950523654638E-2</v>
      </c>
    </row>
    <row r="294" spans="2:5">
      <c r="B294" s="478">
        <v>21106625.66</v>
      </c>
      <c r="C294" s="498">
        <v>44655</v>
      </c>
      <c r="D294" s="100">
        <v>160.56</v>
      </c>
      <c r="E294" s="410">
        <f t="shared" si="5"/>
        <v>-3.3586132177681381E-2</v>
      </c>
    </row>
    <row r="295" spans="2:5">
      <c r="B295" s="478">
        <v>21059502.489999998</v>
      </c>
      <c r="C295" s="498">
        <v>44656</v>
      </c>
      <c r="D295" s="100">
        <v>160.12</v>
      </c>
      <c r="E295" s="410">
        <f t="shared" si="5"/>
        <v>-3.6234501023233313E-2</v>
      </c>
    </row>
    <row r="296" spans="2:5">
      <c r="B296" s="478">
        <v>20519051.699999999</v>
      </c>
      <c r="C296" s="498">
        <v>44657</v>
      </c>
      <c r="D296" s="100">
        <v>156.74</v>
      </c>
      <c r="E296" s="410">
        <f t="shared" si="5"/>
        <v>-5.6578788973155041E-2</v>
      </c>
    </row>
    <row r="297" spans="2:5">
      <c r="B297" s="478">
        <v>20133758.899999999</v>
      </c>
      <c r="C297" s="498">
        <v>44658</v>
      </c>
      <c r="D297" s="100">
        <v>153.80000000000001</v>
      </c>
      <c r="E297" s="410">
        <f t="shared" si="5"/>
        <v>-7.4274708077524829E-2</v>
      </c>
    </row>
    <row r="298" spans="2:5">
      <c r="B298" s="478">
        <v>20380144.920000002</v>
      </c>
      <c r="C298" s="498">
        <v>44659</v>
      </c>
      <c r="D298" s="100">
        <v>155.76</v>
      </c>
      <c r="E298" s="410">
        <f t="shared" si="5"/>
        <v>-6.247742867461175E-2</v>
      </c>
    </row>
    <row r="299" spans="2:5">
      <c r="B299" s="478">
        <v>20148375.469999999</v>
      </c>
      <c r="C299" s="498">
        <v>44662</v>
      </c>
      <c r="D299" s="100">
        <v>153.99</v>
      </c>
      <c r="E299" s="410">
        <f t="shared" si="5"/>
        <v>-7.313109425785469E-2</v>
      </c>
    </row>
    <row r="300" spans="2:5">
      <c r="B300" s="478">
        <v>20042537.77</v>
      </c>
      <c r="C300" s="498">
        <v>44663</v>
      </c>
      <c r="D300" s="100">
        <v>153.18</v>
      </c>
      <c r="E300" s="410">
        <f t="shared" si="5"/>
        <v>-7.8006500541711696E-2</v>
      </c>
    </row>
    <row r="301" spans="2:5">
      <c r="B301" s="478">
        <v>20361596.23</v>
      </c>
      <c r="C301" s="498">
        <v>44664</v>
      </c>
      <c r="D301" s="100">
        <v>155.63</v>
      </c>
      <c r="E301" s="410">
        <f t="shared" si="5"/>
        <v>-6.3259901288070255E-2</v>
      </c>
    </row>
    <row r="302" spans="2:5">
      <c r="B302" s="478">
        <v>20589980.510000002</v>
      </c>
      <c r="C302" s="498">
        <v>44665</v>
      </c>
      <c r="D302" s="100">
        <v>157.26</v>
      </c>
      <c r="E302" s="410">
        <f t="shared" si="5"/>
        <v>-5.3448898519321032E-2</v>
      </c>
    </row>
    <row r="303" spans="2:5">
      <c r="B303" s="478">
        <v>20645114.43</v>
      </c>
      <c r="C303" s="498">
        <v>44670</v>
      </c>
      <c r="D303" s="100">
        <v>157.72999999999999</v>
      </c>
      <c r="E303" s="410">
        <f t="shared" ref="E303:E321" si="6">(D303-$D$230)/$D$230</f>
        <v>-5.061995907066328E-2</v>
      </c>
    </row>
    <row r="304" spans="2:5">
      <c r="B304" s="478">
        <v>20670936.57</v>
      </c>
      <c r="C304" s="498">
        <v>44671</v>
      </c>
      <c r="D304" s="100">
        <v>158.01</v>
      </c>
      <c r="E304" s="410">
        <f t="shared" si="6"/>
        <v>-4.8934633441675673E-2</v>
      </c>
    </row>
    <row r="305" spans="2:5">
      <c r="B305" s="478">
        <v>20919290.399999999</v>
      </c>
      <c r="C305" s="498">
        <v>44672</v>
      </c>
      <c r="D305" s="100">
        <v>159.46</v>
      </c>
      <c r="E305" s="410">
        <f t="shared" si="6"/>
        <v>-4.0207054291561205E-2</v>
      </c>
    </row>
    <row r="306" spans="2:5">
      <c r="B306" s="478">
        <v>20489577.300000001</v>
      </c>
      <c r="C306" s="498">
        <v>44673</v>
      </c>
      <c r="D306" s="100">
        <v>156.29</v>
      </c>
      <c r="E306" s="410">
        <f t="shared" si="6"/>
        <v>-5.9287348019742357E-2</v>
      </c>
    </row>
    <row r="307" spans="2:5">
      <c r="B307" s="478">
        <v>20235559.550000001</v>
      </c>
      <c r="C307" s="498">
        <v>44676</v>
      </c>
      <c r="D307" s="100">
        <v>153.88</v>
      </c>
      <c r="E307" s="410">
        <f t="shared" si="6"/>
        <v>-7.3793186469242752E-2</v>
      </c>
    </row>
    <row r="308" spans="2:5">
      <c r="B308" s="478">
        <v>20114314.170000002</v>
      </c>
      <c r="C308" s="498">
        <v>44677</v>
      </c>
      <c r="D308" s="100">
        <v>153.07</v>
      </c>
      <c r="E308" s="410">
        <f t="shared" si="6"/>
        <v>-7.8668592753099759E-2</v>
      </c>
    </row>
    <row r="309" spans="2:5">
      <c r="B309" s="478">
        <v>20119616.859999999</v>
      </c>
      <c r="C309" s="498">
        <v>44678</v>
      </c>
      <c r="D309" s="100">
        <v>153</v>
      </c>
      <c r="E309" s="410">
        <f t="shared" si="6"/>
        <v>-7.9089924160346617E-2</v>
      </c>
    </row>
    <row r="310" spans="2:5">
      <c r="B310" s="478">
        <v>20497265.609999999</v>
      </c>
      <c r="C310" s="498">
        <v>44679</v>
      </c>
      <c r="D310" s="100">
        <v>155.91999999999999</v>
      </c>
      <c r="E310" s="410">
        <f t="shared" si="6"/>
        <v>-6.1514385458047431E-2</v>
      </c>
    </row>
    <row r="311" spans="2:5">
      <c r="B311" s="478">
        <v>20696016.239999998</v>
      </c>
      <c r="C311" s="498">
        <v>44680</v>
      </c>
      <c r="D311" s="100">
        <v>157.37</v>
      </c>
      <c r="E311" s="410">
        <f t="shared" si="6"/>
        <v>-5.2786806307932962E-2</v>
      </c>
    </row>
    <row r="312" spans="2:5">
      <c r="B312" s="478">
        <v>20616635.399999999</v>
      </c>
      <c r="C312" s="498">
        <v>44683</v>
      </c>
      <c r="D312" s="100">
        <v>156.81</v>
      </c>
      <c r="E312" s="410">
        <f t="shared" si="6"/>
        <v>-5.6157457565908182E-2</v>
      </c>
    </row>
    <row r="313" spans="2:5">
      <c r="B313" s="478">
        <v>20607877</v>
      </c>
      <c r="C313" s="498">
        <v>44684</v>
      </c>
      <c r="D313" s="100">
        <v>156.86000000000001</v>
      </c>
      <c r="E313" s="410">
        <f t="shared" si="6"/>
        <v>-5.5856506560731753E-2</v>
      </c>
    </row>
    <row r="314" spans="2:5">
      <c r="B314" s="478">
        <v>18967098.949999999</v>
      </c>
      <c r="C314" s="498">
        <v>44685</v>
      </c>
      <c r="D314" s="100">
        <v>156.26</v>
      </c>
      <c r="E314" s="410">
        <f t="shared" si="6"/>
        <v>-5.9467918622848177E-2</v>
      </c>
    </row>
    <row r="315" spans="2:5">
      <c r="B315" s="478">
        <v>18927449.780000001</v>
      </c>
      <c r="C315" s="498">
        <v>44686</v>
      </c>
      <c r="D315" s="100">
        <v>155.93</v>
      </c>
      <c r="E315" s="410">
        <f t="shared" si="6"/>
        <v>-6.145419525701204E-2</v>
      </c>
    </row>
    <row r="316" spans="2:5">
      <c r="B316" s="478">
        <v>18928067.120000001</v>
      </c>
      <c r="C316" s="498">
        <v>44687</v>
      </c>
      <c r="D316" s="100">
        <v>155.83000000000001</v>
      </c>
      <c r="E316" s="410">
        <f t="shared" si="6"/>
        <v>-6.2056097267364718E-2</v>
      </c>
    </row>
    <row r="317" spans="2:5">
      <c r="B317" s="478">
        <v>18399998.640000001</v>
      </c>
      <c r="C317" s="498">
        <v>44692</v>
      </c>
      <c r="D317" s="100">
        <v>151.37</v>
      </c>
      <c r="E317" s="410">
        <f t="shared" si="6"/>
        <v>-8.8900926929095847E-2</v>
      </c>
    </row>
    <row r="318" spans="2:5">
      <c r="B318" s="478">
        <v>18280163.969999999</v>
      </c>
      <c r="C318" s="498">
        <v>44693</v>
      </c>
      <c r="D318" s="100">
        <v>150.38999999999999</v>
      </c>
      <c r="E318" s="410">
        <f t="shared" si="6"/>
        <v>-9.4799566630552556E-2</v>
      </c>
    </row>
    <row r="319" spans="2:5">
      <c r="B319" s="478">
        <v>18546892.640000001</v>
      </c>
      <c r="C319" s="498">
        <v>44694</v>
      </c>
      <c r="D319" s="100">
        <v>152.58000000000001</v>
      </c>
      <c r="E319" s="410">
        <f t="shared" si="6"/>
        <v>-8.1617912603827947E-2</v>
      </c>
    </row>
    <row r="320" spans="2:5">
      <c r="B320" s="478">
        <v>18370848.780000001</v>
      </c>
      <c r="C320" s="498">
        <v>44697</v>
      </c>
      <c r="D320" s="100">
        <v>151.63999999999999</v>
      </c>
      <c r="E320" s="410">
        <f t="shared" si="6"/>
        <v>-8.7275791501143618E-2</v>
      </c>
    </row>
    <row r="321" spans="2:5">
      <c r="B321" s="478">
        <v>18535829.84</v>
      </c>
      <c r="C321" s="498">
        <v>44698</v>
      </c>
      <c r="D321" s="100">
        <v>152.94999999999999</v>
      </c>
      <c r="E321" s="410">
        <f t="shared" si="6"/>
        <v>-7.9390875165523039E-2</v>
      </c>
    </row>
    <row r="322" spans="2:5">
      <c r="B322" s="478">
        <v>18845855.34</v>
      </c>
      <c r="C322" s="498">
        <v>44699</v>
      </c>
      <c r="D322" s="100">
        <v>155.43</v>
      </c>
      <c r="E322" s="410">
        <f t="shared" ref="E322:E345" si="7">(D322-$D$230)/$D$230</f>
        <v>-6.4463705308775612E-2</v>
      </c>
    </row>
    <row r="323" spans="2:5">
      <c r="B323" s="478">
        <v>18741260.960000001</v>
      </c>
      <c r="C323" s="498">
        <v>44700</v>
      </c>
      <c r="D323" s="100">
        <v>154.54</v>
      </c>
      <c r="E323" s="410">
        <f t="shared" si="7"/>
        <v>-6.9820633200914861E-2</v>
      </c>
    </row>
    <row r="324" spans="2:5">
      <c r="B324" s="478">
        <v>19112487.030000001</v>
      </c>
      <c r="C324" s="498">
        <v>44701</v>
      </c>
      <c r="D324" s="100">
        <v>157.69</v>
      </c>
      <c r="E324" s="410">
        <f t="shared" si="7"/>
        <v>-5.0860719874804318E-2</v>
      </c>
    </row>
    <row r="325" spans="2:5">
      <c r="B325" s="478">
        <v>19041035.5</v>
      </c>
      <c r="C325" s="498">
        <v>44704</v>
      </c>
      <c r="D325" s="100">
        <v>157.11000000000001</v>
      </c>
      <c r="E325" s="410">
        <f t="shared" si="7"/>
        <v>-5.4351751534849967E-2</v>
      </c>
    </row>
    <row r="326" spans="2:5">
      <c r="B326" s="478">
        <v>18833857.59</v>
      </c>
      <c r="C326" s="498">
        <v>44705</v>
      </c>
      <c r="D326" s="100">
        <v>155.4</v>
      </c>
      <c r="E326" s="410">
        <f t="shared" si="7"/>
        <v>-6.4644275911881433E-2</v>
      </c>
    </row>
    <row r="327" spans="2:5">
      <c r="B327" s="478">
        <v>18852850.32</v>
      </c>
      <c r="C327" s="498">
        <v>44706</v>
      </c>
      <c r="D327" s="100">
        <v>155.56</v>
      </c>
      <c r="E327" s="410">
        <f t="shared" si="7"/>
        <v>-6.3681232695317114E-2</v>
      </c>
    </row>
    <row r="328" spans="2:5">
      <c r="B328" s="478">
        <v>19180707.120000001</v>
      </c>
      <c r="C328" s="498">
        <v>44708</v>
      </c>
      <c r="D328" s="100">
        <v>158.27000000000001</v>
      </c>
      <c r="E328" s="410">
        <f t="shared" si="7"/>
        <v>-4.7369688214758496E-2</v>
      </c>
    </row>
    <row r="329" spans="2:5">
      <c r="B329" s="478">
        <v>19480226.199999999</v>
      </c>
      <c r="C329" s="498">
        <v>44711</v>
      </c>
      <c r="D329" s="100">
        <v>160.79</v>
      </c>
      <c r="E329" s="410">
        <f t="shared" si="7"/>
        <v>-3.2201757553870197E-2</v>
      </c>
    </row>
    <row r="330" spans="2:5">
      <c r="B330" s="478">
        <v>19578157.48</v>
      </c>
      <c r="C330" s="498">
        <v>44712</v>
      </c>
      <c r="D330" s="100">
        <v>161.47999999999999</v>
      </c>
      <c r="E330" s="410">
        <f t="shared" si="7"/>
        <v>-2.8048633682436482E-2</v>
      </c>
    </row>
    <row r="331" spans="2:5">
      <c r="B331" s="478">
        <v>19678519.949999999</v>
      </c>
      <c r="C331" s="498">
        <v>44713</v>
      </c>
      <c r="D331" s="100">
        <v>162.31</v>
      </c>
      <c r="E331" s="410">
        <f t="shared" si="7"/>
        <v>-2.3052846996508874E-2</v>
      </c>
    </row>
    <row r="332" spans="2:5">
      <c r="B332" s="478">
        <v>19596360.109999999</v>
      </c>
      <c r="C332" s="498">
        <v>44714</v>
      </c>
      <c r="D332" s="100">
        <v>161.75</v>
      </c>
      <c r="E332" s="410">
        <f t="shared" si="7"/>
        <v>-2.642349825448409E-2</v>
      </c>
    </row>
    <row r="333" spans="2:5">
      <c r="B333" s="478">
        <v>19768183.329999998</v>
      </c>
      <c r="C333" s="498">
        <v>44715</v>
      </c>
      <c r="D333" s="100">
        <v>162.9</v>
      </c>
      <c r="E333" s="410">
        <f t="shared" si="7"/>
        <v>-1.9501625135427837E-2</v>
      </c>
    </row>
    <row r="334" spans="2:5">
      <c r="B334" s="478">
        <v>19827630.059999999</v>
      </c>
      <c r="C334" s="498">
        <v>44719</v>
      </c>
      <c r="D334" s="100">
        <v>163.49</v>
      </c>
      <c r="E334" s="410">
        <f t="shared" si="7"/>
        <v>-1.5950403274346801E-2</v>
      </c>
    </row>
    <row r="335" spans="2:5">
      <c r="B335" s="478">
        <v>19960954.899999999</v>
      </c>
      <c r="C335" s="498">
        <v>44720</v>
      </c>
      <c r="D335" s="100">
        <v>164.18</v>
      </c>
      <c r="E335" s="410">
        <f t="shared" si="7"/>
        <v>-1.1797279402913084E-2</v>
      </c>
    </row>
    <row r="336" spans="2:5">
      <c r="B336" s="478">
        <v>19756644.699999999</v>
      </c>
      <c r="C336" s="498">
        <v>44721</v>
      </c>
      <c r="D336" s="100">
        <v>162.5</v>
      </c>
      <c r="E336" s="410">
        <f t="shared" si="7"/>
        <v>-2.1909233176838731E-2</v>
      </c>
    </row>
    <row r="337" spans="2:5">
      <c r="B337" s="478">
        <v>19479149.219999999</v>
      </c>
      <c r="C337" s="498">
        <v>44722</v>
      </c>
      <c r="D337" s="100">
        <v>160.33000000000001</v>
      </c>
      <c r="E337" s="410">
        <f t="shared" si="7"/>
        <v>-3.4970506801492565E-2</v>
      </c>
    </row>
    <row r="338" spans="2:5">
      <c r="B338" s="478">
        <v>18832714.899999999</v>
      </c>
      <c r="C338" s="498">
        <v>44725</v>
      </c>
      <c r="D338" s="100">
        <v>156.13999999999999</v>
      </c>
      <c r="E338" s="410">
        <f t="shared" si="7"/>
        <v>-6.0190201035271465E-2</v>
      </c>
    </row>
    <row r="339" spans="2:5">
      <c r="B339" s="478">
        <v>18664764.989999998</v>
      </c>
      <c r="C339" s="498">
        <v>44726</v>
      </c>
      <c r="D339" s="100">
        <v>154.75</v>
      </c>
      <c r="E339" s="410">
        <f t="shared" si="7"/>
        <v>-6.855663897917412E-2</v>
      </c>
    </row>
    <row r="340" spans="2:5">
      <c r="B340" s="478">
        <v>18523158.34</v>
      </c>
      <c r="C340" s="498">
        <v>44727</v>
      </c>
      <c r="D340" s="100">
        <v>153.58000000000001</v>
      </c>
      <c r="E340" s="410">
        <f t="shared" si="7"/>
        <v>-7.5598892500300802E-2</v>
      </c>
    </row>
    <row r="341" spans="2:5">
      <c r="B341" s="478">
        <v>18479456.370000001</v>
      </c>
      <c r="C341" s="498">
        <v>44728</v>
      </c>
      <c r="D341" s="100">
        <v>153.16999999999999</v>
      </c>
      <c r="E341" s="410">
        <f t="shared" si="7"/>
        <v>-7.806669074274708E-2</v>
      </c>
    </row>
    <row r="342" spans="2:5">
      <c r="B342" s="478">
        <v>18207372.129999999</v>
      </c>
      <c r="C342" s="498">
        <v>44729</v>
      </c>
      <c r="D342" s="100">
        <v>150.94</v>
      </c>
      <c r="E342" s="410">
        <f t="shared" si="7"/>
        <v>-9.1489105573612561E-2</v>
      </c>
    </row>
    <row r="343" spans="2:5">
      <c r="B343" s="478">
        <v>17808227</v>
      </c>
      <c r="C343" s="498">
        <v>44732</v>
      </c>
      <c r="D343" s="100">
        <v>147.66</v>
      </c>
      <c r="E343" s="410">
        <f t="shared" si="7"/>
        <v>-0.1112314915131816</v>
      </c>
    </row>
    <row r="344" spans="2:5">
      <c r="B344" s="478">
        <v>18056327.390000001</v>
      </c>
      <c r="C344" s="498">
        <v>44733</v>
      </c>
      <c r="D344" s="100">
        <v>149.71</v>
      </c>
      <c r="E344" s="410">
        <f t="shared" si="7"/>
        <v>-9.8892500300950884E-2</v>
      </c>
    </row>
    <row r="345" spans="2:5">
      <c r="B345" s="478">
        <v>17676760.780000001</v>
      </c>
      <c r="C345" s="498">
        <v>44734</v>
      </c>
      <c r="D345" s="100">
        <v>146.76</v>
      </c>
      <c r="E345" s="410">
        <f t="shared" si="7"/>
        <v>-0.11664860960635606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>
    <tabColor rgb="FFFFFF00"/>
  </sheetPr>
  <dimension ref="A1:CQ443"/>
  <sheetViews>
    <sheetView topLeftCell="A10" zoomScale="85" zoomScaleNormal="85" workbookViewId="0">
      <selection activeCell="A22" sqref="A22"/>
    </sheetView>
  </sheetViews>
  <sheetFormatPr defaultColWidth="9" defaultRowHeight="14.5" outlineLevelCol="2"/>
  <cols>
    <col min="1" max="1" width="27.1796875" style="716" bestFit="1" customWidth="1"/>
    <col min="2" max="2" width="17.81640625" style="594" bestFit="1" customWidth="1"/>
    <col min="3" max="3" width="16.26953125" style="594" customWidth="1" outlineLevel="1"/>
    <col min="4" max="4" width="30.81640625" style="594" customWidth="1" outlineLevel="2"/>
    <col min="5" max="5" width="31.26953125" style="594" customWidth="1"/>
    <col min="6" max="6" width="12.453125" style="594" hidden="1" customWidth="1"/>
    <col min="7" max="7" width="15.26953125" style="594" hidden="1" customWidth="1"/>
    <col min="8" max="8" width="17.453125" style="594" hidden="1" customWidth="1"/>
    <col min="9" max="9" width="11.54296875" style="594" customWidth="1"/>
    <col min="10" max="10" width="17" style="594" customWidth="1"/>
    <col min="11" max="11" width="11.54296875" style="594" customWidth="1"/>
    <col min="12" max="12" width="9.54296875" style="594" bestFit="1" customWidth="1"/>
    <col min="13" max="13" width="22.7265625" style="594" customWidth="1"/>
    <col min="14" max="14" width="17.81640625" style="594" customWidth="1"/>
    <col min="15" max="18" width="9.26953125" style="594" customWidth="1"/>
    <col min="19" max="19" width="14.26953125" style="594" customWidth="1"/>
    <col min="20" max="20" width="12" style="809" customWidth="1"/>
    <col min="21" max="21" width="14.81640625" style="809" customWidth="1"/>
    <col min="22" max="22" width="12.1796875" style="594" customWidth="1"/>
    <col min="23" max="23" width="15.453125" style="594" hidden="1" customWidth="1"/>
    <col min="24" max="24" width="17.7265625" style="594" hidden="1" customWidth="1"/>
    <col min="25" max="26" width="17.7265625" style="594" customWidth="1"/>
    <col min="27" max="29" width="10" style="594" customWidth="1"/>
    <col min="30" max="30" width="11.81640625" style="594" customWidth="1"/>
    <col min="31" max="31" width="12" style="594" customWidth="1"/>
    <col min="32" max="32" width="7.54296875" style="716" customWidth="1"/>
    <col min="33" max="33" width="9" style="564" customWidth="1"/>
    <col min="34" max="34" width="31.26953125" style="564" customWidth="1"/>
    <col min="35" max="35" width="26.81640625" style="564" customWidth="1"/>
    <col min="36" max="36" width="9" style="623" customWidth="1"/>
    <col min="37" max="37" width="13.54296875" style="564" bestFit="1" customWidth="1"/>
    <col min="38" max="38" width="17" style="564" customWidth="1"/>
    <col min="39" max="39" width="27.26953125" style="564" customWidth="1"/>
    <col min="40" max="41" width="24.26953125" style="558" bestFit="1" customWidth="1"/>
    <col min="42" max="42" width="16" style="558" customWidth="1"/>
    <col min="43" max="43" width="13.26953125" style="558" customWidth="1"/>
    <col min="44" max="45" width="16" style="558" customWidth="1"/>
    <col min="46" max="46" width="19.26953125" style="558" bestFit="1" customWidth="1"/>
    <col min="47" max="47" width="2.81640625" style="558" bestFit="1" customWidth="1"/>
    <col min="48" max="48" width="13.7265625" style="558" customWidth="1"/>
    <col min="49" max="49" width="7.7265625" style="558" customWidth="1"/>
    <col min="50" max="51" width="22.26953125" style="558" customWidth="1"/>
    <col min="52" max="52" width="14.81640625" style="558" bestFit="1" customWidth="1"/>
    <col min="53" max="53" width="7.7265625" style="558" customWidth="1"/>
    <col min="54" max="54" width="19" style="695" bestFit="1" customWidth="1"/>
    <col min="55" max="55" width="14.81640625" style="564" bestFit="1" customWidth="1"/>
    <col min="56" max="56" width="13.26953125" style="193" bestFit="1" customWidth="1"/>
    <col min="57" max="57" width="7" style="564" customWidth="1"/>
    <col min="58" max="58" width="13.54296875" style="564" bestFit="1" customWidth="1"/>
    <col min="59" max="59" width="10.26953125" style="564" bestFit="1" customWidth="1"/>
    <col min="60" max="61" width="9" style="564"/>
    <col min="62" max="62" width="12.26953125" style="564" bestFit="1" customWidth="1"/>
    <col min="63" max="95" width="9" style="564"/>
    <col min="96" max="16384" width="9" style="716"/>
  </cols>
  <sheetData>
    <row r="1" spans="1:95" s="564" customFormat="1" ht="13">
      <c r="B1" s="558"/>
      <c r="I1" s="558"/>
      <c r="J1" s="558"/>
      <c r="K1" s="558"/>
      <c r="T1" s="623"/>
      <c r="U1" s="623"/>
      <c r="V1" s="558"/>
      <c r="AA1" s="558"/>
      <c r="AB1" s="558"/>
      <c r="AJ1" s="623"/>
      <c r="AN1" s="558"/>
      <c r="AO1" s="558"/>
      <c r="AP1" s="558"/>
      <c r="AQ1" s="558"/>
      <c r="AR1" s="558"/>
      <c r="AS1" s="558"/>
      <c r="AT1" s="558"/>
      <c r="AU1" s="558"/>
      <c r="AV1" s="558"/>
      <c r="AW1" s="558"/>
      <c r="AX1" s="558"/>
      <c r="AY1" s="558"/>
      <c r="AZ1" s="558"/>
      <c r="BA1" s="558"/>
      <c r="BB1" s="695"/>
    </row>
    <row r="2" spans="1:95" s="564" customFormat="1">
      <c r="A2" s="558"/>
      <c r="B2" s="558"/>
      <c r="C2" s="558"/>
      <c r="D2" s="558"/>
      <c r="E2" s="558"/>
      <c r="I2" s="558"/>
      <c r="J2" s="558"/>
      <c r="K2" s="558"/>
      <c r="L2" s="558"/>
      <c r="T2" s="623"/>
      <c r="U2" s="623"/>
      <c r="V2" s="558"/>
      <c r="AA2" s="558"/>
      <c r="AB2" s="558"/>
      <c r="AJ2" s="623"/>
      <c r="AN2" s="696"/>
      <c r="AO2" s="696"/>
      <c r="AP2" s="696"/>
      <c r="AQ2" s="696"/>
      <c r="AR2" s="696"/>
      <c r="AS2" s="696"/>
      <c r="AT2" s="696"/>
      <c r="AU2" s="696"/>
      <c r="AV2" s="696"/>
      <c r="AW2" s="696"/>
      <c r="AX2" s="697"/>
      <c r="AY2" s="697"/>
      <c r="AZ2" s="698"/>
      <c r="BA2" s="192"/>
      <c r="BE2" s="569" t="s">
        <v>132</v>
      </c>
    </row>
    <row r="3" spans="1:95" s="564" customFormat="1">
      <c r="A3" s="558"/>
      <c r="B3" s="558"/>
      <c r="C3" s="558"/>
      <c r="D3" s="558"/>
      <c r="E3" s="558"/>
      <c r="I3" s="558"/>
      <c r="J3" s="558"/>
      <c r="K3" s="558"/>
      <c r="L3" s="558"/>
      <c r="T3" s="623"/>
      <c r="U3" s="623"/>
      <c r="V3" s="558"/>
      <c r="AA3" s="558"/>
      <c r="AB3" s="558"/>
      <c r="AJ3" s="623"/>
      <c r="AN3" s="558"/>
      <c r="AO3" s="558"/>
      <c r="AP3" s="558"/>
      <c r="AQ3" s="558"/>
      <c r="AR3" s="558"/>
      <c r="AS3" s="558"/>
      <c r="AT3" s="558"/>
      <c r="AU3" s="558"/>
      <c r="AV3" s="558"/>
      <c r="AW3" s="558"/>
      <c r="AX3" s="699"/>
      <c r="AY3" s="699"/>
      <c r="AZ3" s="700"/>
      <c r="BA3" s="192"/>
      <c r="BB3" s="695"/>
    </row>
    <row r="4" spans="1:95" s="564" customFormat="1">
      <c r="A4" s="558"/>
      <c r="B4" s="558"/>
      <c r="C4" s="558"/>
      <c r="D4" s="558"/>
      <c r="E4" s="558"/>
      <c r="I4" s="558"/>
      <c r="J4" s="558"/>
      <c r="K4" s="558"/>
      <c r="L4" s="558"/>
      <c r="T4" s="623"/>
      <c r="U4" s="623"/>
      <c r="V4" s="558"/>
      <c r="AA4" s="558"/>
      <c r="AB4" s="558"/>
      <c r="AJ4" s="623"/>
      <c r="AL4" s="701"/>
      <c r="AM4" s="701"/>
      <c r="AN4" s="702"/>
      <c r="AO4" s="702"/>
      <c r="AP4" s="702"/>
      <c r="AQ4" s="702"/>
      <c r="AR4" s="702"/>
      <c r="AS4" s="702"/>
      <c r="AT4" s="702"/>
      <c r="AU4" s="702"/>
      <c r="AV4" s="702"/>
      <c r="AW4" s="702"/>
      <c r="AX4" s="703"/>
      <c r="AY4" s="703"/>
      <c r="AZ4" s="704"/>
      <c r="BA4" s="705"/>
      <c r="BB4" s="706"/>
      <c r="BC4" s="707"/>
      <c r="BE4" s="708"/>
    </row>
    <row r="5" spans="1:95" s="564" customFormat="1">
      <c r="A5" s="558"/>
      <c r="B5" s="558"/>
      <c r="C5" s="558"/>
      <c r="D5" s="558"/>
      <c r="E5" s="558"/>
      <c r="I5" s="558"/>
      <c r="J5" s="558"/>
      <c r="K5" s="558"/>
      <c r="L5" s="558"/>
      <c r="T5" s="623"/>
      <c r="U5" s="623"/>
      <c r="V5" s="558"/>
      <c r="AA5" s="558"/>
      <c r="AB5" s="558"/>
      <c r="AJ5" s="623"/>
      <c r="AL5" s="701"/>
      <c r="AM5" s="701"/>
      <c r="AN5" s="709"/>
      <c r="AO5" s="709"/>
      <c r="AP5" s="709"/>
      <c r="AQ5" s="709"/>
      <c r="AR5" s="705"/>
      <c r="AS5" s="705"/>
      <c r="AT5" s="705"/>
      <c r="AU5" s="705"/>
      <c r="AV5" s="705"/>
      <c r="AW5" s="705"/>
      <c r="AX5" s="710"/>
      <c r="AY5" s="710"/>
      <c r="AZ5" s="704"/>
      <c r="BA5" s="710"/>
      <c r="BB5" s="711"/>
      <c r="BC5" s="712"/>
    </row>
    <row r="6" spans="1:95">
      <c r="A6" s="564"/>
      <c r="B6" s="558"/>
      <c r="C6" s="558"/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8"/>
      <c r="P6" s="558"/>
      <c r="Q6" s="558"/>
      <c r="R6" s="558"/>
      <c r="S6" s="558"/>
      <c r="T6" s="625"/>
      <c r="U6" s="625"/>
      <c r="V6" s="558"/>
      <c r="W6" s="558"/>
      <c r="X6" s="558"/>
      <c r="Y6" s="558"/>
      <c r="Z6" s="558"/>
      <c r="AA6" s="558"/>
      <c r="AB6" s="558"/>
      <c r="AC6" s="558"/>
      <c r="AD6" s="558"/>
      <c r="AE6" s="558"/>
      <c r="AF6" s="564"/>
      <c r="AL6" s="701"/>
      <c r="AM6" s="701"/>
      <c r="AN6" s="709"/>
      <c r="AO6" s="709"/>
      <c r="AP6" s="709"/>
      <c r="AQ6" s="709"/>
      <c r="AR6" s="705"/>
      <c r="AS6" s="705"/>
      <c r="AT6" s="705"/>
      <c r="AU6" s="705"/>
      <c r="AV6" s="705"/>
      <c r="AW6" s="705"/>
      <c r="AX6" s="704"/>
      <c r="AY6" s="704"/>
      <c r="AZ6" s="704"/>
      <c r="BA6" s="713"/>
      <c r="BB6" s="711"/>
      <c r="BC6" s="714"/>
      <c r="BE6" s="715"/>
    </row>
    <row r="7" spans="1:95">
      <c r="A7" s="570"/>
      <c r="B7" s="558"/>
      <c r="C7" s="558"/>
      <c r="D7" s="558"/>
      <c r="E7" s="558"/>
      <c r="F7" s="558"/>
      <c r="G7" s="558"/>
      <c r="H7" s="558"/>
      <c r="I7" s="558"/>
      <c r="J7" s="558"/>
      <c r="K7" s="558"/>
      <c r="L7" s="558"/>
      <c r="M7" s="558"/>
      <c r="N7" s="558"/>
      <c r="O7" s="558"/>
      <c r="P7" s="558"/>
      <c r="Q7" s="558"/>
      <c r="R7" s="558"/>
      <c r="S7" s="558"/>
      <c r="T7" s="625"/>
      <c r="U7" s="625"/>
      <c r="V7" s="558"/>
      <c r="W7" s="558"/>
      <c r="X7" s="558"/>
      <c r="Y7" s="558"/>
      <c r="Z7" s="558"/>
      <c r="AA7" s="558"/>
      <c r="AB7" s="558"/>
      <c r="AC7" s="558"/>
      <c r="AD7" s="558"/>
      <c r="AE7" s="558"/>
      <c r="AF7" s="564"/>
      <c r="AL7" s="701"/>
      <c r="AM7" s="701"/>
      <c r="AN7" s="709"/>
      <c r="AO7" s="709"/>
      <c r="AP7" s="709"/>
      <c r="AQ7" s="709"/>
      <c r="AR7" s="705"/>
      <c r="AS7" s="705"/>
      <c r="AT7" s="705"/>
      <c r="AU7" s="705"/>
      <c r="AV7" s="705"/>
      <c r="AW7" s="705"/>
      <c r="AX7" s="717"/>
      <c r="AY7" s="717"/>
      <c r="AZ7" s="704"/>
      <c r="BA7" s="705"/>
      <c r="BB7" s="711"/>
      <c r="BC7" s="701"/>
    </row>
    <row r="8" spans="1:95" hidden="1">
      <c r="A8" s="570" t="s">
        <v>22</v>
      </c>
      <c r="B8" s="558"/>
      <c r="C8" s="558"/>
      <c r="D8" s="558"/>
      <c r="E8" s="500">
        <f ca="1">TODAY()-1</f>
        <v>44893</v>
      </c>
      <c r="F8" s="558"/>
      <c r="G8" s="558"/>
      <c r="H8" s="558"/>
      <c r="I8" s="558"/>
      <c r="J8" s="558"/>
      <c r="K8" s="558"/>
      <c r="L8" s="718"/>
      <c r="M8" s="558"/>
      <c r="N8" s="558"/>
      <c r="O8" s="558"/>
      <c r="P8" s="558"/>
      <c r="Q8" s="558"/>
      <c r="R8" s="558"/>
      <c r="S8" s="558"/>
      <c r="T8" s="625"/>
      <c r="U8" s="625"/>
      <c r="V8" s="558"/>
      <c r="W8" s="558"/>
      <c r="X8" s="558"/>
      <c r="Y8" s="558"/>
      <c r="Z8" s="558"/>
      <c r="AA8" s="558"/>
      <c r="AB8" s="558"/>
      <c r="AC8" s="558"/>
      <c r="AD8" s="558"/>
      <c r="AE8" s="558"/>
      <c r="AF8" s="564"/>
      <c r="AL8" s="701"/>
      <c r="AM8" s="701"/>
      <c r="AN8" s="709"/>
      <c r="AO8" s="709"/>
      <c r="AP8" s="709"/>
      <c r="AQ8" s="709"/>
      <c r="AR8" s="705"/>
      <c r="AS8" s="705"/>
      <c r="AT8" s="705"/>
      <c r="AU8" s="705"/>
      <c r="AV8" s="705"/>
      <c r="AW8" s="705"/>
      <c r="AX8" s="705"/>
      <c r="AY8" s="705"/>
      <c r="AZ8" s="705"/>
      <c r="BA8" s="705"/>
      <c r="BB8" s="711"/>
      <c r="BC8" s="701"/>
    </row>
    <row r="9" spans="1:95" ht="15.5">
      <c r="A9" s="564"/>
      <c r="B9" s="719"/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8"/>
      <c r="N9" s="558"/>
      <c r="O9" s="558"/>
      <c r="P9" s="558"/>
      <c r="Q9" s="558"/>
      <c r="R9" s="558"/>
      <c r="S9" s="558"/>
      <c r="T9" s="625"/>
      <c r="U9" s="625"/>
      <c r="V9" s="720"/>
      <c r="W9" s="558"/>
      <c r="X9" s="558"/>
      <c r="Y9" s="558"/>
      <c r="Z9" s="558"/>
      <c r="AA9" s="558"/>
      <c r="AB9" s="558"/>
      <c r="AC9" s="558"/>
      <c r="AD9" s="558"/>
      <c r="AE9" s="558"/>
      <c r="AF9" s="564"/>
      <c r="AL9" s="701"/>
      <c r="AM9" s="701"/>
      <c r="AN9" s="709"/>
      <c r="AO9" s="709"/>
      <c r="AP9" s="709"/>
      <c r="AQ9" s="709"/>
      <c r="AR9" s="705"/>
      <c r="AS9" s="705"/>
      <c r="AT9" s="721"/>
      <c r="AU9" s="721"/>
      <c r="AV9" s="722"/>
      <c r="AW9" s="723"/>
      <c r="AX9" s="705"/>
      <c r="AY9" s="705"/>
      <c r="AZ9" s="705"/>
      <c r="BA9" s="705"/>
      <c r="BB9" s="711"/>
      <c r="BC9" s="701"/>
    </row>
    <row r="10" spans="1:95" s="726" customFormat="1" ht="39.75" customHeight="1">
      <c r="A10" s="577" t="s">
        <v>0</v>
      </c>
      <c r="B10" s="571" t="s">
        <v>4</v>
      </c>
      <c r="C10" s="571"/>
      <c r="D10" s="566" t="s">
        <v>139</v>
      </c>
      <c r="E10" s="571"/>
      <c r="F10" s="571"/>
      <c r="G10" s="571"/>
      <c r="H10" s="571"/>
      <c r="I10" s="571" t="s">
        <v>21</v>
      </c>
      <c r="J10" s="571"/>
      <c r="K10" s="571" t="s">
        <v>1</v>
      </c>
      <c r="L10" s="571" t="s">
        <v>23</v>
      </c>
      <c r="M10" s="571" t="s">
        <v>54</v>
      </c>
      <c r="N10" s="571" t="s">
        <v>24</v>
      </c>
      <c r="O10" s="572" t="s">
        <v>6</v>
      </c>
      <c r="P10" s="572" t="s">
        <v>7</v>
      </c>
      <c r="Q10" s="572" t="s">
        <v>8</v>
      </c>
      <c r="R10" s="572" t="s">
        <v>9</v>
      </c>
      <c r="S10" s="572"/>
      <c r="T10" s="573"/>
      <c r="U10" s="573" t="s">
        <v>126</v>
      </c>
      <c r="V10" s="571" t="s">
        <v>67</v>
      </c>
      <c r="W10" s="571" t="s">
        <v>62</v>
      </c>
      <c r="X10" s="566" t="s">
        <v>56</v>
      </c>
      <c r="Y10" s="574" t="s">
        <v>57</v>
      </c>
      <c r="Z10" s="574" t="s">
        <v>12947</v>
      </c>
      <c r="AA10" s="574" t="s">
        <v>57</v>
      </c>
      <c r="AB10" s="575" t="s">
        <v>58</v>
      </c>
      <c r="AC10" s="566" t="s">
        <v>55</v>
      </c>
      <c r="AD10" s="566" t="s">
        <v>60</v>
      </c>
      <c r="AE10" s="576" t="s">
        <v>12602</v>
      </c>
      <c r="AF10" s="708"/>
      <c r="AG10" s="708"/>
      <c r="AH10" s="708"/>
      <c r="AI10" s="708"/>
      <c r="AJ10" s="724"/>
      <c r="AK10" s="708"/>
      <c r="AL10" s="566" t="s">
        <v>1234</v>
      </c>
      <c r="AM10" s="566" t="s">
        <v>0</v>
      </c>
      <c r="AN10" s="566" t="s">
        <v>1235</v>
      </c>
      <c r="AO10" s="566" t="s">
        <v>1236</v>
      </c>
      <c r="AP10" s="566" t="s">
        <v>1237</v>
      </c>
      <c r="AQ10" s="566" t="s">
        <v>1238</v>
      </c>
      <c r="AR10" s="725"/>
      <c r="AS10" s="725"/>
      <c r="AT10" s="725"/>
      <c r="AU10" s="725"/>
      <c r="AV10" s="725"/>
      <c r="AW10" s="725"/>
      <c r="AX10" s="725"/>
      <c r="AY10" s="725"/>
      <c r="AZ10" s="725"/>
      <c r="BA10" s="725"/>
      <c r="BB10" s="711"/>
      <c r="BC10" s="701"/>
      <c r="BD10" s="708"/>
      <c r="BE10" s="564"/>
      <c r="BF10" s="708"/>
      <c r="BG10" s="708"/>
      <c r="BH10" s="708"/>
      <c r="BI10" s="708"/>
      <c r="BJ10" s="708"/>
      <c r="BK10" s="708"/>
      <c r="BL10" s="708"/>
      <c r="BM10" s="708"/>
      <c r="BN10" s="708"/>
      <c r="BO10" s="708"/>
      <c r="BP10" s="708"/>
      <c r="BQ10" s="708"/>
      <c r="BR10" s="708"/>
      <c r="BS10" s="708"/>
      <c r="BT10" s="708"/>
      <c r="BU10" s="708"/>
      <c r="BV10" s="708"/>
      <c r="BW10" s="708"/>
      <c r="BX10" s="708"/>
      <c r="BY10" s="708"/>
      <c r="BZ10" s="708"/>
      <c r="CA10" s="708"/>
      <c r="CB10" s="708"/>
      <c r="CC10" s="708"/>
      <c r="CD10" s="708"/>
      <c r="CE10" s="708"/>
      <c r="CF10" s="708"/>
      <c r="CG10" s="708"/>
      <c r="CH10" s="708"/>
      <c r="CI10" s="708"/>
      <c r="CJ10" s="708"/>
      <c r="CK10" s="708"/>
      <c r="CL10" s="708"/>
      <c r="CM10" s="708"/>
      <c r="CN10" s="708"/>
      <c r="CO10" s="708"/>
      <c r="CP10" s="708"/>
      <c r="CQ10" s="708"/>
    </row>
    <row r="11" spans="1:95">
      <c r="A11" s="578" t="s">
        <v>12759</v>
      </c>
      <c r="B11" s="579"/>
      <c r="C11" s="579"/>
      <c r="D11" s="579"/>
      <c r="E11" s="579"/>
      <c r="F11" s="579"/>
      <c r="G11" s="579"/>
      <c r="H11" s="579"/>
      <c r="I11" s="579"/>
      <c r="J11" s="579"/>
      <c r="K11" s="727"/>
      <c r="L11" s="579"/>
      <c r="M11" s="579"/>
      <c r="N11" s="579"/>
      <c r="O11" s="572"/>
      <c r="P11" s="572"/>
      <c r="Q11" s="572"/>
      <c r="R11" s="572"/>
      <c r="S11" s="572"/>
      <c r="T11" s="728"/>
      <c r="U11" s="728"/>
      <c r="V11" s="501" t="e">
        <f ca="1">SUM(V13:V150)+E160+E161</f>
        <v>#NAME?</v>
      </c>
      <c r="W11" s="578"/>
      <c r="X11" s="579" t="s">
        <v>59</v>
      </c>
      <c r="Y11" s="502">
        <f ca="1">TODAY()-7</f>
        <v>44887</v>
      </c>
      <c r="Z11" s="502"/>
      <c r="AA11" s="502">
        <f ca="1">TODAY()-1</f>
        <v>44893</v>
      </c>
      <c r="AB11" s="502">
        <f ca="1">+AA11</f>
        <v>44893</v>
      </c>
      <c r="AC11" s="579" t="s">
        <v>59</v>
      </c>
      <c r="AD11" s="578"/>
      <c r="AE11" s="502">
        <f ca="1">TODAY()-1</f>
        <v>44893</v>
      </c>
      <c r="AF11" s="564"/>
      <c r="AG11" s="729"/>
      <c r="AH11" s="729"/>
      <c r="AO11" s="730"/>
      <c r="AR11" s="705"/>
      <c r="AS11" s="705"/>
      <c r="AT11" s="731"/>
      <c r="AU11" s="731"/>
      <c r="AV11" s="705"/>
      <c r="AW11" s="705"/>
      <c r="AX11" s="731"/>
      <c r="AY11" s="731"/>
      <c r="AZ11" s="705"/>
      <c r="BA11" s="705"/>
      <c r="BB11" s="731"/>
      <c r="BC11" s="732"/>
      <c r="BE11" s="625"/>
      <c r="BF11" s="732"/>
      <c r="BG11" s="732"/>
      <c r="BH11" s="625"/>
      <c r="BI11" s="625"/>
      <c r="BJ11" s="625"/>
    </row>
    <row r="12" spans="1:95" s="564" customFormat="1" ht="14.9" customHeight="1">
      <c r="A12" s="733"/>
      <c r="B12" s="734"/>
      <c r="C12" s="734"/>
      <c r="D12" s="580" t="s">
        <v>139</v>
      </c>
      <c r="E12" s="734"/>
      <c r="F12" s="734"/>
      <c r="G12" s="734"/>
      <c r="H12" s="734"/>
      <c r="I12" s="734"/>
      <c r="J12" s="581" t="s">
        <v>1</v>
      </c>
      <c r="K12" s="581" t="s">
        <v>1</v>
      </c>
      <c r="L12" s="734"/>
      <c r="M12" s="735"/>
      <c r="N12" s="734"/>
      <c r="O12" s="735"/>
      <c r="P12" s="735"/>
      <c r="Q12" s="735"/>
      <c r="R12" s="735"/>
      <c r="S12" s="734"/>
      <c r="T12" s="736"/>
      <c r="U12" s="737"/>
      <c r="V12" s="738"/>
      <c r="W12" s="739"/>
      <c r="X12" s="739"/>
      <c r="Y12" s="739"/>
      <c r="Z12" s="739"/>
      <c r="AA12" s="739"/>
      <c r="AB12" s="739"/>
      <c r="AC12" s="739"/>
      <c r="AE12" s="739"/>
      <c r="AH12" s="557" t="s">
        <v>117</v>
      </c>
      <c r="AI12" s="503" t="str">
        <f t="shared" ref="AI12:AI60" si="0">+D12</f>
        <v>CAST_PARENT_ID</v>
      </c>
      <c r="AJ12" s="504" t="str">
        <f t="shared" ref="AJ12:AJ60" si="1">+J12</f>
        <v>% Wgt (P)</v>
      </c>
      <c r="AN12" s="558"/>
      <c r="AO12" s="558"/>
      <c r="AP12" s="558"/>
      <c r="AQ12" s="558"/>
      <c r="AR12" s="705"/>
      <c r="AS12" s="705"/>
      <c r="AT12" s="582" t="s">
        <v>1239</v>
      </c>
      <c r="AU12" s="582"/>
      <c r="AV12" s="505" t="e">
        <f ca="1">+AQ61</f>
        <v>#NAME?</v>
      </c>
      <c r="AW12" s="583" t="s">
        <v>1240</v>
      </c>
      <c r="AX12" s="192"/>
      <c r="AY12" s="192"/>
      <c r="AZ12" s="192"/>
      <c r="BA12" s="192"/>
      <c r="BB12" s="193"/>
      <c r="BD12" s="193"/>
      <c r="BF12" s="701"/>
      <c r="BG12" s="701"/>
      <c r="BJ12" s="625"/>
    </row>
    <row r="13" spans="1:95">
      <c r="A13" s="534" t="e">
        <f ca="1">_xll.BDP(B13 &amp; " Equity","ID_ISIN")</f>
        <v>#NAME?</v>
      </c>
      <c r="B13" s="558" t="s">
        <v>12704</v>
      </c>
      <c r="C13" s="506" t="str">
        <f t="shared" ref="C13:C60" si="2">IF(B13="","",B13)</f>
        <v>6752 JP</v>
      </c>
      <c r="D13" s="507" t="str">
        <f ca="1">IFERROR(_xll.BDP(C13&amp; " Equity","CAST_PARENT_NAME"),"")</f>
        <v/>
      </c>
      <c r="E13" s="508" t="e">
        <f ca="1">_xll.BDP(A13 &amp; " Equity","SECURITY_NAME")</f>
        <v>#NAME?</v>
      </c>
      <c r="F13" s="506" t="e">
        <f t="shared" ref="F13:F60" ca="1" si="3">+("EUR"&amp;N13&amp; " Curncy")</f>
        <v>#NAME?</v>
      </c>
      <c r="G13" s="509" t="e">
        <f ca="1">IF(N13="EUR",1,IF(N13="GBp",_xll.BDP(F13,"PX LAST")*100,_xll.BDP(F13,"PX LAST")))</f>
        <v>#NAME?</v>
      </c>
      <c r="H13" s="510" t="e">
        <f t="shared" ref="H13:H60" ca="1" si="4">+M13/G13</f>
        <v>#NAME?</v>
      </c>
      <c r="I13" s="510" t="e">
        <f t="shared" ref="I13:I60" ca="1" si="5">+H13</f>
        <v>#NAME?</v>
      </c>
      <c r="J13" s="511" t="e">
        <f t="shared" ref="J13:J60" ca="1" si="6">+K13</f>
        <v>#NAME?</v>
      </c>
      <c r="K13" s="512" t="e">
        <f t="shared" ref="K13:K60" ca="1" si="7">+V13/$V$11</f>
        <v>#NAME?</v>
      </c>
      <c r="L13" s="513">
        <f ca="1">SUMIF(TradesEquity!$E$11:$E$1816,A13,TradesEquity!$M$11:$M$1816)</f>
        <v>-1463572</v>
      </c>
      <c r="M13" s="514" t="e">
        <f ca="1">_xll.BDP(C13 &amp; " Equity","PX_LAST")</f>
        <v>#NAME?</v>
      </c>
      <c r="N13" s="515" t="e">
        <f ca="1">_xll.BDP(C13 &amp; " Equity","Crncy")</f>
        <v>#NAME?</v>
      </c>
      <c r="O13" s="559"/>
      <c r="P13" s="559"/>
      <c r="Q13" s="559"/>
      <c r="R13" s="559"/>
      <c r="S13" s="558"/>
      <c r="T13" s="514" t="e">
        <f t="shared" ref="T13:T60" ca="1" si="8">M13</f>
        <v>#NAME?</v>
      </c>
      <c r="U13" s="522" t="e">
        <f t="shared" ref="U13:U60" ca="1" si="9">+T13*L13</f>
        <v>#NAME?</v>
      </c>
      <c r="V13" s="523" t="e">
        <f t="shared" ref="V13:V60" ca="1" si="10">+I13*L13</f>
        <v>#NAME?</v>
      </c>
      <c r="W13" s="745"/>
      <c r="X13" s="527" t="e">
        <f t="shared" ref="X13:X60" ca="1" si="11">+M13/W13-1</f>
        <v>#NAME?</v>
      </c>
      <c r="Y13" s="528" t="e">
        <f ca="1">_xll.BDH(B13 &amp; " Equity","PX_LAST",$Y$11,$Y$11,"days=a","fill=p")</f>
        <v>#NAME?</v>
      </c>
      <c r="Z13" s="528" t="e">
        <f ca="1">IF(L13=0,"NOT IN NAV",M13-Y13)</f>
        <v>#NAME?</v>
      </c>
      <c r="AA13" s="528" t="e">
        <f ca="1">_xll.BDH(C13 &amp; " Equity","PX_LAST",$AA$11,$AA$11,"days=a","fill=p")</f>
        <v>#NAME?</v>
      </c>
      <c r="AB13" s="528" t="e">
        <f ca="1">IF(F13="EUREUR Curncy",1,_xll.BDH(F13,"last_price",AB$11,AB$11,"days=a","fill=p"))</f>
        <v>#NAME?</v>
      </c>
      <c r="AC13" s="527" t="e">
        <f t="shared" ref="AC13:AC60" ca="1" si="12">+M13/AA13-1</f>
        <v>#NAME?</v>
      </c>
      <c r="AD13" s="529" t="e">
        <f t="shared" ref="AD13:AD60" ca="1" si="13">+IF(N13="GBp",(V13-(L13*AA13/AB13/100)),V13-(L13*AA13/AB13))</f>
        <v>#NAME?</v>
      </c>
      <c r="AE13" s="560" t="s">
        <v>12603</v>
      </c>
      <c r="AF13" s="564"/>
      <c r="AH13" s="506" t="str">
        <f t="shared" ref="AH13:AH60" ca="1" si="14">D13</f>
        <v/>
      </c>
      <c r="AI13" s="534" t="str">
        <f t="shared" ca="1" si="0"/>
        <v/>
      </c>
      <c r="AJ13" s="512" t="e">
        <f t="shared" ca="1" si="1"/>
        <v>#NAME?</v>
      </c>
      <c r="AL13" s="534" t="e">
        <f ca="1">+A13</f>
        <v>#NAME?</v>
      </c>
      <c r="AM13" s="534" t="e">
        <f t="shared" ref="AM13:AM60" ca="1" si="15">+E13</f>
        <v>#NAME?</v>
      </c>
      <c r="AN13" s="506" t="e">
        <f ca="1">_xll.BDP(C13 &amp; " Equity","COUNTRY")</f>
        <v>#NAME?</v>
      </c>
      <c r="AO13" s="506" t="e">
        <f ca="1">_xll.BDP(C13 &amp; " Equity","COUNTRY")</f>
        <v>#NAME?</v>
      </c>
      <c r="AP13" s="506" t="e">
        <f t="shared" ref="AP13:AP60" ca="1" si="16">N13</f>
        <v>#NAME?</v>
      </c>
      <c r="AQ13" s="523" t="e">
        <f t="shared" ref="AQ13:AQ60" ca="1" si="17">+AA13/AB13*L13</f>
        <v>#NAME?</v>
      </c>
      <c r="AR13" s="651"/>
      <c r="AS13" s="192"/>
      <c r="AT13" s="748"/>
      <c r="AU13" s="748"/>
      <c r="AV13" s="748"/>
      <c r="AW13" s="748"/>
      <c r="AX13" s="748"/>
      <c r="AY13" s="748"/>
      <c r="AZ13" s="748"/>
      <c r="BA13" s="748"/>
      <c r="BB13" s="193"/>
      <c r="BD13" s="708"/>
      <c r="BF13" s="585"/>
      <c r="BG13" s="585"/>
      <c r="BH13" s="708"/>
      <c r="BI13" s="708"/>
      <c r="BJ13" s="625"/>
    </row>
    <row r="14" spans="1:95">
      <c r="A14" s="534" t="e">
        <f ca="1">_xll.BDP(B14 &amp; " Equity","ID_ISIN")</f>
        <v>#NAME?</v>
      </c>
      <c r="B14" s="558" t="s">
        <v>12705</v>
      </c>
      <c r="C14" s="506" t="str">
        <f t="shared" si="2"/>
        <v>5713 JP</v>
      </c>
      <c r="D14" s="507" t="str">
        <f ca="1">IFERROR(_xll.BDP(C14&amp; " Equity","CAST_PARENT_NAME"),"")</f>
        <v/>
      </c>
      <c r="E14" s="508" t="e">
        <f ca="1">_xll.BDP(A14 &amp; " Equity","SECURITY_NAME")</f>
        <v>#NAME?</v>
      </c>
      <c r="F14" s="506" t="e">
        <f t="shared" ca="1" si="3"/>
        <v>#NAME?</v>
      </c>
      <c r="G14" s="509" t="e">
        <f ca="1">IF(N14="EUR",1,IF(N14="GBp",_xll.BDP(F14,"PX LAST")*100,_xll.BDP(F14,"PX LAST")))</f>
        <v>#NAME?</v>
      </c>
      <c r="H14" s="510" t="e">
        <f t="shared" ca="1" si="4"/>
        <v>#NAME?</v>
      </c>
      <c r="I14" s="510" t="e">
        <f t="shared" ca="1" si="5"/>
        <v>#NAME?</v>
      </c>
      <c r="J14" s="511" t="e">
        <f t="shared" ca="1" si="6"/>
        <v>#NAME?</v>
      </c>
      <c r="K14" s="511" t="e">
        <f t="shared" ca="1" si="7"/>
        <v>#NAME?</v>
      </c>
      <c r="L14" s="513">
        <f ca="1">SUMIF(TradesEquity!$E$11:$E$1816,A14,TradesEquity!$M$11:$M$1816)</f>
        <v>-1463572</v>
      </c>
      <c r="M14" s="514" t="e">
        <f ca="1">_xll.BDP(C14 &amp; " Equity","PX_LAST")</f>
        <v>#NAME?</v>
      </c>
      <c r="N14" s="515" t="e">
        <f ca="1">_xll.BDP(C14 &amp; " Equity","Crncy")</f>
        <v>#NAME?</v>
      </c>
      <c r="O14" s="559"/>
      <c r="P14" s="559"/>
      <c r="Q14" s="559"/>
      <c r="R14" s="559"/>
      <c r="S14" s="558"/>
      <c r="T14" s="514" t="e">
        <f t="shared" ca="1" si="8"/>
        <v>#NAME?</v>
      </c>
      <c r="U14" s="522" t="e">
        <f t="shared" ca="1" si="9"/>
        <v>#NAME?</v>
      </c>
      <c r="V14" s="523" t="e">
        <f t="shared" ca="1" si="10"/>
        <v>#NAME?</v>
      </c>
      <c r="W14" s="745"/>
      <c r="X14" s="527" t="e">
        <f t="shared" ca="1" si="11"/>
        <v>#NAME?</v>
      </c>
      <c r="Y14" s="528" t="e">
        <f ca="1">_xll.BDH(B14 &amp; " Equity","PX_LAST",$Y$11,$Y$11,"days=a","fill=p")</f>
        <v>#NAME?</v>
      </c>
      <c r="Z14" s="528" t="e">
        <f t="shared" ref="Z14:Z60" ca="1" si="18">IF(L14=0,"NOT IN NAV",M14-Y14)</f>
        <v>#NAME?</v>
      </c>
      <c r="AA14" s="528" t="e">
        <f ca="1">_xll.BDH(C14 &amp; " Equity","PX_LAST",$AA$11,$AA$11,"days=a","fill=p")</f>
        <v>#NAME?</v>
      </c>
      <c r="AB14" s="528" t="e">
        <f ca="1">IF(F14="EUREUR Curncy",1,_xll.BDH(F14,"last_price",AB$11,AB$11,"days=a","fill=p"))</f>
        <v>#NAME?</v>
      </c>
      <c r="AC14" s="527" t="e">
        <f t="shared" ca="1" si="12"/>
        <v>#NAME?</v>
      </c>
      <c r="AD14" s="529" t="e">
        <f t="shared" ca="1" si="13"/>
        <v>#NAME?</v>
      </c>
      <c r="AE14" s="560" t="s">
        <v>12603</v>
      </c>
      <c r="AF14" s="564"/>
      <c r="AH14" s="506" t="str">
        <f t="shared" ca="1" si="14"/>
        <v/>
      </c>
      <c r="AI14" s="534" t="str">
        <f t="shared" ca="1" si="0"/>
        <v/>
      </c>
      <c r="AJ14" s="512" t="e">
        <f t="shared" ca="1" si="1"/>
        <v>#NAME?</v>
      </c>
      <c r="AL14" s="534" t="e">
        <f ca="1">+A14</f>
        <v>#NAME?</v>
      </c>
      <c r="AM14" s="534" t="e">
        <f t="shared" ca="1" si="15"/>
        <v>#NAME?</v>
      </c>
      <c r="AN14" s="506" t="e">
        <f ca="1">_xll.BDP(C14 &amp; " Equity","COUNTRY")</f>
        <v>#NAME?</v>
      </c>
      <c r="AO14" s="506" t="e">
        <f ca="1">_xll.BDP(C14 &amp; " Equity","COUNTRY")</f>
        <v>#NAME?</v>
      </c>
      <c r="AP14" s="506" t="e">
        <f t="shared" ca="1" si="16"/>
        <v>#NAME?</v>
      </c>
      <c r="AQ14" s="523" t="e">
        <f t="shared" ca="1" si="17"/>
        <v>#NAME?</v>
      </c>
      <c r="AR14" s="651"/>
      <c r="AS14" s="192"/>
      <c r="AT14" s="589" t="s">
        <v>1241</v>
      </c>
      <c r="AU14" s="589"/>
      <c r="AV14" s="749"/>
      <c r="AW14" s="192"/>
      <c r="AX14" s="589" t="s">
        <v>1236</v>
      </c>
      <c r="AY14" s="589"/>
      <c r="AZ14" s="749"/>
      <c r="BA14" s="192"/>
      <c r="BB14" s="589" t="s">
        <v>1242</v>
      </c>
      <c r="BC14" s="750"/>
      <c r="BE14" s="625"/>
      <c r="BF14" s="585"/>
      <c r="BG14" s="585" t="s">
        <v>1568</v>
      </c>
      <c r="BH14" s="625"/>
      <c r="BI14" s="625"/>
      <c r="BJ14" s="625"/>
    </row>
    <row r="15" spans="1:95" s="584" customFormat="1">
      <c r="A15" s="534" t="e">
        <f ca="1">_xll.BDP(B15 &amp; " Equity","ID_ISIN")</f>
        <v>#NAME?</v>
      </c>
      <c r="B15" s="561" t="s">
        <v>12728</v>
      </c>
      <c r="C15" s="516" t="str">
        <f t="shared" si="2"/>
        <v>4080 JP</v>
      </c>
      <c r="D15" s="507" t="str">
        <f ca="1">IFERROR(_xll.BDP(C15&amp; " Equity","CAST_PARENT_NAME"),"")</f>
        <v/>
      </c>
      <c r="E15" s="508" t="e">
        <f ca="1">_xll.BDP(A15 &amp; " Equity","SECURITY_NAME")</f>
        <v>#NAME?</v>
      </c>
      <c r="F15" s="506" t="e">
        <f t="shared" ca="1" si="3"/>
        <v>#NAME?</v>
      </c>
      <c r="G15" s="509" t="e">
        <f ca="1">IF(N15="EUR",1,IF(N15="GBp",_xll.BDP(F15,"PX LAST")*100,_xll.BDP(F15,"PX LAST")))</f>
        <v>#NAME?</v>
      </c>
      <c r="H15" s="517" t="e">
        <f t="shared" ca="1" si="4"/>
        <v>#NAME?</v>
      </c>
      <c r="I15" s="517" t="e">
        <f t="shared" ca="1" si="5"/>
        <v>#NAME?</v>
      </c>
      <c r="J15" s="518" t="e">
        <f t="shared" ca="1" si="6"/>
        <v>#NAME?</v>
      </c>
      <c r="K15" s="518" t="e">
        <f t="shared" ca="1" si="7"/>
        <v>#NAME?</v>
      </c>
      <c r="L15" s="513">
        <f ca="1">SUMIF(TradesEquity!$E$11:$E$1816,A15,TradesEquity!$M$11:$M$1816)</f>
        <v>-1463572</v>
      </c>
      <c r="M15" s="514" t="e">
        <f ca="1">_xll.BDP(C15 &amp; " Equity","PX_LAST")</f>
        <v>#NAME?</v>
      </c>
      <c r="N15" s="515" t="e">
        <f ca="1">_xll.BDP(C15 &amp; " Equity","Crncy")</f>
        <v>#NAME?</v>
      </c>
      <c r="O15" s="751"/>
      <c r="P15" s="751"/>
      <c r="Q15" s="751"/>
      <c r="R15" s="751"/>
      <c r="S15" s="561"/>
      <c r="T15" s="514" t="e">
        <f t="shared" ca="1" si="8"/>
        <v>#NAME?</v>
      </c>
      <c r="U15" s="524" t="e">
        <f t="shared" ca="1" si="9"/>
        <v>#NAME?</v>
      </c>
      <c r="V15" s="523" t="e">
        <f t="shared" ca="1" si="10"/>
        <v>#NAME?</v>
      </c>
      <c r="W15" s="752"/>
      <c r="X15" s="530" t="e">
        <f t="shared" ca="1" si="11"/>
        <v>#NAME?</v>
      </c>
      <c r="Y15" s="528" t="e">
        <f ca="1">_xll.BDH(B15 &amp; " Equity","PX_LAST",$Y$11,$Y$11,"days=a","fill=p")</f>
        <v>#NAME?</v>
      </c>
      <c r="Z15" s="528" t="e">
        <f t="shared" ca="1" si="18"/>
        <v>#NAME?</v>
      </c>
      <c r="AA15" s="528" t="e">
        <f ca="1">_xll.BDH(C15 &amp; " Equity","PX_LAST",$AA$11,$AA$11,"days=a","fill=p")</f>
        <v>#NAME?</v>
      </c>
      <c r="AB15" s="528" t="e">
        <f ca="1">IF(F15="EUREUR Curncy",1,_xll.BDH(F15,"last_price",AB$11,AB$11,"days=a","fill=p"))</f>
        <v>#NAME?</v>
      </c>
      <c r="AC15" s="530" t="e">
        <f t="shared" ca="1" si="12"/>
        <v>#NAME?</v>
      </c>
      <c r="AD15" s="531" t="e">
        <f t="shared" ca="1" si="13"/>
        <v>#NAME?</v>
      </c>
      <c r="AE15" s="560" t="s">
        <v>12603</v>
      </c>
      <c r="AH15" s="506" t="str">
        <f t="shared" ca="1" si="14"/>
        <v/>
      </c>
      <c r="AI15" s="534" t="str">
        <f t="shared" ca="1" si="0"/>
        <v/>
      </c>
      <c r="AJ15" s="512" t="e">
        <f t="shared" ca="1" si="1"/>
        <v>#NAME?</v>
      </c>
      <c r="AL15" s="534" t="e">
        <f ca="1">_xll.BDP("AAPL US EQUITY", "COUNTRY_FULL_NAME")</f>
        <v>#NAME?</v>
      </c>
      <c r="AM15" s="534" t="e">
        <f t="shared" ca="1" si="15"/>
        <v>#NAME?</v>
      </c>
      <c r="AN15" s="506" t="e">
        <f ca="1">_xll.BDP(C15 &amp; " Equity","COUNTRY")</f>
        <v>#NAME?</v>
      </c>
      <c r="AO15" s="506" t="e">
        <f ca="1">_xll.BDP(C15 &amp; " Equity","COUNTRY")</f>
        <v>#NAME?</v>
      </c>
      <c r="AP15" s="506" t="e">
        <f t="shared" ca="1" si="16"/>
        <v>#NAME?</v>
      </c>
      <c r="AQ15" s="523" t="e">
        <f t="shared" ca="1" si="17"/>
        <v>#NAME?</v>
      </c>
      <c r="AR15" s="753"/>
      <c r="AS15" s="754"/>
      <c r="AT15" s="590" t="s">
        <v>1243</v>
      </c>
      <c r="AU15" s="590"/>
      <c r="AV15" s="755"/>
      <c r="AW15" s="654"/>
      <c r="AX15" s="590" t="s">
        <v>1243</v>
      </c>
      <c r="AY15" s="590"/>
      <c r="AZ15" s="755"/>
      <c r="BA15" s="654"/>
      <c r="BB15" s="590" t="s">
        <v>1243</v>
      </c>
      <c r="BC15" s="756"/>
      <c r="BE15" s="757"/>
      <c r="BF15" s="586"/>
      <c r="BG15" s="586" t="s">
        <v>1569</v>
      </c>
      <c r="BH15" s="757"/>
      <c r="BI15" s="757"/>
      <c r="BJ15" s="757"/>
    </row>
    <row r="16" spans="1:95">
      <c r="A16" s="534" t="e">
        <f ca="1">_xll.BDP(B16 &amp; " Equity","ID_ISIN")</f>
        <v>#NAME?</v>
      </c>
      <c r="B16" s="558" t="s">
        <v>12729</v>
      </c>
      <c r="C16" s="506" t="str">
        <f t="shared" si="2"/>
        <v>4092 JP</v>
      </c>
      <c r="D16" s="507" t="str">
        <f ca="1">IFERROR(_xll.BDP(C16&amp; " Equity","CAST_PARENT_NAME"),"")</f>
        <v/>
      </c>
      <c r="E16" s="508" t="e">
        <f ca="1">_xll.BDP(A16 &amp; " Equity","SECURITY_NAME")</f>
        <v>#NAME?</v>
      </c>
      <c r="F16" s="506" t="e">
        <f t="shared" ca="1" si="3"/>
        <v>#NAME?</v>
      </c>
      <c r="G16" s="509" t="e">
        <f ca="1">IF(N16="EUR",1,IF(N16="GBp",_xll.BDP(F16,"PX LAST")*100,_xll.BDP(F16,"PX LAST")))</f>
        <v>#NAME?</v>
      </c>
      <c r="H16" s="510" t="e">
        <f t="shared" ca="1" si="4"/>
        <v>#NAME?</v>
      </c>
      <c r="I16" s="510" t="e">
        <f t="shared" ca="1" si="5"/>
        <v>#NAME?</v>
      </c>
      <c r="J16" s="511" t="e">
        <f t="shared" ca="1" si="6"/>
        <v>#NAME?</v>
      </c>
      <c r="K16" s="511" t="e">
        <f t="shared" ca="1" si="7"/>
        <v>#NAME?</v>
      </c>
      <c r="L16" s="513">
        <f ca="1">SUMIF(TradesEquity!$E$11:$E$1816,A16,TradesEquity!$M$11:$M$1816)</f>
        <v>-1463572</v>
      </c>
      <c r="M16" s="514" t="e">
        <f ca="1">_xll.BDP(C16 &amp; " Equity","PX_LAST")</f>
        <v>#NAME?</v>
      </c>
      <c r="N16" s="515" t="e">
        <f ca="1">_xll.BDP(C16 &amp; " Equity","Crncy")</f>
        <v>#NAME?</v>
      </c>
      <c r="O16" s="559"/>
      <c r="P16" s="559"/>
      <c r="Q16" s="559"/>
      <c r="R16" s="559"/>
      <c r="S16" s="558"/>
      <c r="T16" s="514" t="e">
        <f t="shared" ca="1" si="8"/>
        <v>#NAME?</v>
      </c>
      <c r="U16" s="522" t="e">
        <f t="shared" ca="1" si="9"/>
        <v>#NAME?</v>
      </c>
      <c r="V16" s="523" t="e">
        <f t="shared" ca="1" si="10"/>
        <v>#NAME?</v>
      </c>
      <c r="W16" s="745"/>
      <c r="X16" s="527" t="e">
        <f t="shared" ca="1" si="11"/>
        <v>#NAME?</v>
      </c>
      <c r="Y16" s="528" t="e">
        <f ca="1">_xll.BDH(B16 &amp; " Equity","PX_LAST",$Y$11,$Y$11,"days=a","fill=p")</f>
        <v>#NAME?</v>
      </c>
      <c r="Z16" s="528" t="e">
        <f t="shared" ca="1" si="18"/>
        <v>#NAME?</v>
      </c>
      <c r="AA16" s="528" t="e">
        <f ca="1">_xll.BDH(C16 &amp; " Equity","PX_LAST",$AA$11,$AA$11,"days=a","fill=p")</f>
        <v>#NAME?</v>
      </c>
      <c r="AB16" s="528" t="e">
        <f ca="1">IF(F16="EUREUR Curncy",1,_xll.BDH(F16,"last_price",AB$11,AB$11,"days=a","fill=p"))</f>
        <v>#NAME?</v>
      </c>
      <c r="AC16" s="527" t="e">
        <f t="shared" ca="1" si="12"/>
        <v>#NAME?</v>
      </c>
      <c r="AD16" s="529" t="e">
        <f t="shared" ca="1" si="13"/>
        <v>#NAME?</v>
      </c>
      <c r="AE16" s="560" t="s">
        <v>12603</v>
      </c>
      <c r="AF16" s="564"/>
      <c r="AH16" s="506" t="str">
        <f t="shared" ca="1" si="14"/>
        <v/>
      </c>
      <c r="AI16" s="534" t="str">
        <f t="shared" ca="1" si="0"/>
        <v/>
      </c>
      <c r="AJ16" s="512" t="e">
        <f t="shared" ca="1" si="1"/>
        <v>#NAME?</v>
      </c>
      <c r="AL16" s="534" t="e">
        <f t="shared" ref="AL16:AL60" ca="1" si="19">+A16</f>
        <v>#NAME?</v>
      </c>
      <c r="AM16" s="534" t="e">
        <f t="shared" ca="1" si="15"/>
        <v>#NAME?</v>
      </c>
      <c r="AN16" s="506" t="e">
        <f ca="1">_xll.BDP(C16 &amp; " Equity","COUNTRY")</f>
        <v>#NAME?</v>
      </c>
      <c r="AO16" s="506" t="e">
        <f ca="1">_xll.BDP(C16 &amp; " Equity","COUNTRY")</f>
        <v>#NAME?</v>
      </c>
      <c r="AP16" s="506" t="e">
        <f t="shared" ca="1" si="16"/>
        <v>#NAME?</v>
      </c>
      <c r="AQ16" s="523" t="e">
        <f t="shared" ca="1" si="17"/>
        <v>#NAME?</v>
      </c>
      <c r="AR16" s="758"/>
      <c r="AS16" s="705"/>
      <c r="AT16" s="588" t="s">
        <v>1244</v>
      </c>
      <c r="AU16" s="588" t="s">
        <v>12761</v>
      </c>
      <c r="AV16" s="540">
        <f ca="1">SUMIF($AN$13:$AN$170,AU16,$AQ$13:$AQ$171)</f>
        <v>0</v>
      </c>
      <c r="AW16" s="192"/>
      <c r="AX16" s="588" t="s">
        <v>1244</v>
      </c>
      <c r="AY16" s="588" t="s">
        <v>12761</v>
      </c>
      <c r="AZ16" s="537">
        <f ca="1">SUMIF($AO$13:$AO$171,AY16,$AQ$13:$AQ$172)</f>
        <v>0</v>
      </c>
      <c r="BA16" s="192"/>
      <c r="BB16" s="588" t="s">
        <v>123</v>
      </c>
      <c r="BC16" s="539">
        <f ca="1">SUMIF($AP$13:$AP$169,BB16,$AQ$13:$AQ$172)</f>
        <v>0</v>
      </c>
      <c r="BE16" s="625"/>
      <c r="BF16" s="585" t="s">
        <v>1570</v>
      </c>
      <c r="BG16" s="587" t="s">
        <v>146</v>
      </c>
      <c r="BH16" s="625"/>
      <c r="BI16" s="625"/>
      <c r="BJ16" s="625"/>
    </row>
    <row r="17" spans="1:62">
      <c r="A17" s="534" t="e">
        <f ca="1">_xll.BDP(B17 &amp; " Equity","ID_ISIN")</f>
        <v>#NAME?</v>
      </c>
      <c r="B17" s="558" t="s">
        <v>12730</v>
      </c>
      <c r="C17" s="506" t="str">
        <f t="shared" si="2"/>
        <v>4100 JP</v>
      </c>
      <c r="D17" s="507" t="str">
        <f ca="1">IFERROR(_xll.BDP(C17&amp; " Equity","CAST_PARENT_NAME"),"")</f>
        <v/>
      </c>
      <c r="E17" s="508" t="e">
        <f ca="1">_xll.BDP(A17 &amp; " Equity","SECURITY_NAME")</f>
        <v>#NAME?</v>
      </c>
      <c r="F17" s="506" t="e">
        <f t="shared" ca="1" si="3"/>
        <v>#NAME?</v>
      </c>
      <c r="G17" s="509" t="e">
        <f ca="1">IF(N17="EUR",1,IF(N17="GBp",_xll.BDP(F17,"PX LAST")*100,_xll.BDP(F17,"PX LAST")))</f>
        <v>#NAME?</v>
      </c>
      <c r="H17" s="510" t="e">
        <f t="shared" ca="1" si="4"/>
        <v>#NAME?</v>
      </c>
      <c r="I17" s="510" t="e">
        <f t="shared" ca="1" si="5"/>
        <v>#NAME?</v>
      </c>
      <c r="J17" s="511" t="e">
        <f t="shared" ca="1" si="6"/>
        <v>#NAME?</v>
      </c>
      <c r="K17" s="511" t="e">
        <f t="shared" ca="1" si="7"/>
        <v>#NAME?</v>
      </c>
      <c r="L17" s="513">
        <f ca="1">SUMIF(TradesEquity!$E$11:$E$1816,A17,TradesEquity!$M$11:$M$1816)</f>
        <v>-1463572</v>
      </c>
      <c r="M17" s="514" t="e">
        <f ca="1">_xll.BDP(C17 &amp; " Equity","PX_LAST")</f>
        <v>#NAME?</v>
      </c>
      <c r="N17" s="515" t="e">
        <f ca="1">_xll.BDP(C17 &amp; " Equity","Crncy")</f>
        <v>#NAME?</v>
      </c>
      <c r="O17" s="559"/>
      <c r="P17" s="559"/>
      <c r="Q17" s="559"/>
      <c r="R17" s="559"/>
      <c r="S17" s="558"/>
      <c r="T17" s="514" t="e">
        <f t="shared" ca="1" si="8"/>
        <v>#NAME?</v>
      </c>
      <c r="U17" s="522" t="e">
        <f t="shared" ca="1" si="9"/>
        <v>#NAME?</v>
      </c>
      <c r="V17" s="523" t="e">
        <f t="shared" ca="1" si="10"/>
        <v>#NAME?</v>
      </c>
      <c r="W17" s="745"/>
      <c r="X17" s="527" t="e">
        <f t="shared" ca="1" si="11"/>
        <v>#NAME?</v>
      </c>
      <c r="Y17" s="528" t="e">
        <f ca="1">_xll.BDH(B17 &amp; " Equity","PX_LAST",$Y$11,$Y$11,"days=a","fill=p")</f>
        <v>#NAME?</v>
      </c>
      <c r="Z17" s="528" t="e">
        <f t="shared" ca="1" si="18"/>
        <v>#NAME?</v>
      </c>
      <c r="AA17" s="528" t="e">
        <f ca="1">_xll.BDH(C17 &amp; " Equity","PX_LAST",$AA$11,$AA$11,"days=a","fill=p")</f>
        <v>#NAME?</v>
      </c>
      <c r="AB17" s="528" t="e">
        <f ca="1">IF(F17="EUREUR Curncy",1,_xll.BDH(F17,"last_price",AB$11,AB$11,"days=a","fill=p"))</f>
        <v>#NAME?</v>
      </c>
      <c r="AC17" s="527" t="e">
        <f ca="1">+M17/AA17-1</f>
        <v>#NAME?</v>
      </c>
      <c r="AD17" s="529" t="e">
        <f t="shared" ca="1" si="13"/>
        <v>#NAME?</v>
      </c>
      <c r="AE17" s="560" t="s">
        <v>12603</v>
      </c>
      <c r="AF17" s="564"/>
      <c r="AH17" s="506" t="str">
        <f t="shared" ca="1" si="14"/>
        <v/>
      </c>
      <c r="AI17" s="534" t="str">
        <f t="shared" ca="1" si="0"/>
        <v/>
      </c>
      <c r="AJ17" s="512" t="e">
        <f t="shared" ca="1" si="1"/>
        <v>#NAME?</v>
      </c>
      <c r="AL17" s="534" t="e">
        <f t="shared" ca="1" si="19"/>
        <v>#NAME?</v>
      </c>
      <c r="AM17" s="534" t="e">
        <f t="shared" ca="1" si="15"/>
        <v>#NAME?</v>
      </c>
      <c r="AN17" s="506" t="e">
        <f ca="1">_xll.BDP(C17 &amp; " Equity","COUNTRY")</f>
        <v>#NAME?</v>
      </c>
      <c r="AO17" s="506" t="e">
        <f ca="1">_xll.BDP(C17 &amp; " Equity","COUNTRY")</f>
        <v>#NAME?</v>
      </c>
      <c r="AP17" s="506" t="e">
        <f t="shared" ca="1" si="16"/>
        <v>#NAME?</v>
      </c>
      <c r="AQ17" s="523" t="e">
        <f t="shared" ca="1" si="17"/>
        <v>#NAME?</v>
      </c>
      <c r="AR17" s="758"/>
      <c r="AS17" s="705"/>
      <c r="AT17" s="588" t="s">
        <v>1245</v>
      </c>
      <c r="AU17" s="588" t="s">
        <v>12760</v>
      </c>
      <c r="AV17" s="540">
        <f ca="1">SUMIF($AN$13:$AN$170,AU17,$AQ$13:$AQ$171)</f>
        <v>0</v>
      </c>
      <c r="AW17" s="759"/>
      <c r="AX17" s="588" t="s">
        <v>1245</v>
      </c>
      <c r="AY17" s="588" t="s">
        <v>12760</v>
      </c>
      <c r="AZ17" s="537">
        <f ca="1">SUMIF($AO$13:$AO$171,AY17,$AQ$13:$AQ$172)</f>
        <v>0</v>
      </c>
      <c r="BA17" s="192"/>
      <c r="BB17" s="588" t="s">
        <v>125</v>
      </c>
      <c r="BC17" s="539">
        <f ca="1">SUMIF($AP$13:$AP$169,BB17,$AQ$13:$AQ$172)</f>
        <v>0</v>
      </c>
      <c r="BE17" s="625"/>
      <c r="BF17" s="585" t="s">
        <v>1570</v>
      </c>
      <c r="BG17" s="587" t="s">
        <v>146</v>
      </c>
      <c r="BH17" s="625"/>
      <c r="BI17" s="625"/>
      <c r="BJ17" s="625"/>
    </row>
    <row r="18" spans="1:62">
      <c r="A18" s="534" t="e">
        <f ca="1">_xll.BDP(B18 &amp; " Equity","ID_ISIN")</f>
        <v>#NAME?</v>
      </c>
      <c r="B18" s="558" t="s">
        <v>12706</v>
      </c>
      <c r="C18" s="506" t="str">
        <f t="shared" si="2"/>
        <v>4004 JP</v>
      </c>
      <c r="D18" s="507" t="str">
        <f ca="1">IFERROR(_xll.BDP(C18&amp; " Equity","CAST_PARENT_NAME"),"")</f>
        <v/>
      </c>
      <c r="E18" s="508" t="e">
        <f ca="1">_xll.BDP(A18 &amp; " Equity","SECURITY_NAME")</f>
        <v>#NAME?</v>
      </c>
      <c r="F18" s="506" t="e">
        <f t="shared" ca="1" si="3"/>
        <v>#NAME?</v>
      </c>
      <c r="G18" s="509" t="e">
        <f ca="1">IF(N18="EUR",1,IF(N18="GBp",_xll.BDP(F18,"PX LAST")*100,_xll.BDP(F18,"PX LAST")))</f>
        <v>#NAME?</v>
      </c>
      <c r="H18" s="510" t="e">
        <f t="shared" ca="1" si="4"/>
        <v>#NAME?</v>
      </c>
      <c r="I18" s="510" t="e">
        <f t="shared" ca="1" si="5"/>
        <v>#NAME?</v>
      </c>
      <c r="J18" s="511" t="e">
        <f t="shared" ca="1" si="6"/>
        <v>#NAME?</v>
      </c>
      <c r="K18" s="511" t="e">
        <f t="shared" ca="1" si="7"/>
        <v>#NAME?</v>
      </c>
      <c r="L18" s="513">
        <f ca="1">SUMIF(TradesEquity!$E$11:$E$1816,A18,TradesEquity!$M$11:$M$1816)</f>
        <v>-1463572</v>
      </c>
      <c r="M18" s="514" t="e">
        <f ca="1">_xll.BDP(C18 &amp; " Equity","PX_LAST")</f>
        <v>#NAME?</v>
      </c>
      <c r="N18" s="515" t="e">
        <f ca="1">_xll.BDP(C18 &amp; " Equity","Crncy")</f>
        <v>#NAME?</v>
      </c>
      <c r="O18" s="559"/>
      <c r="P18" s="559"/>
      <c r="Q18" s="559"/>
      <c r="R18" s="559"/>
      <c r="S18" s="558"/>
      <c r="T18" s="514" t="e">
        <f t="shared" ca="1" si="8"/>
        <v>#NAME?</v>
      </c>
      <c r="U18" s="522" t="e">
        <f t="shared" ca="1" si="9"/>
        <v>#NAME?</v>
      </c>
      <c r="V18" s="523" t="e">
        <f t="shared" ca="1" si="10"/>
        <v>#NAME?</v>
      </c>
      <c r="W18" s="745"/>
      <c r="X18" s="527" t="e">
        <f t="shared" ca="1" si="11"/>
        <v>#NAME?</v>
      </c>
      <c r="Y18" s="528" t="e">
        <f ca="1">_xll.BDH(B18 &amp; " Equity","PX_LAST",$Y$11,$Y$11,"days=a","fill=p")</f>
        <v>#NAME?</v>
      </c>
      <c r="Z18" s="528" t="e">
        <f t="shared" ca="1" si="18"/>
        <v>#NAME?</v>
      </c>
      <c r="AA18" s="528" t="e">
        <f ca="1">_xll.BDH(C18 &amp; " Equity","PX_LAST",$AA$11,$AA$11,"days=a","fill=p")</f>
        <v>#NAME?</v>
      </c>
      <c r="AB18" s="528" t="e">
        <f ca="1">IF(F18="EUREUR Curncy",1,_xll.BDH(F18,"last_price",AB$11,AB$11,"days=a","fill=p"))</f>
        <v>#NAME?</v>
      </c>
      <c r="AC18" s="527" t="e">
        <f t="shared" ca="1" si="12"/>
        <v>#NAME?</v>
      </c>
      <c r="AD18" s="529" t="e">
        <f t="shared" ca="1" si="13"/>
        <v>#NAME?</v>
      </c>
      <c r="AE18" s="560" t="s">
        <v>12603</v>
      </c>
      <c r="AF18" s="564"/>
      <c r="AH18" s="506" t="str">
        <f t="shared" ca="1" si="14"/>
        <v/>
      </c>
      <c r="AI18" s="534" t="str">
        <f t="shared" ca="1" si="0"/>
        <v/>
      </c>
      <c r="AJ18" s="512" t="e">
        <f t="shared" ca="1" si="1"/>
        <v>#NAME?</v>
      </c>
      <c r="AL18" s="534" t="e">
        <f t="shared" ca="1" si="19"/>
        <v>#NAME?</v>
      </c>
      <c r="AM18" s="534" t="e">
        <f t="shared" ca="1" si="15"/>
        <v>#NAME?</v>
      </c>
      <c r="AN18" s="506" t="e">
        <f ca="1">_xll.BDP(C18 &amp; " Equity","COUNTRY")</f>
        <v>#NAME?</v>
      </c>
      <c r="AO18" s="506" t="e">
        <f ca="1">_xll.BDP(C18 &amp; " Equity","COUNTRY")</f>
        <v>#NAME?</v>
      </c>
      <c r="AP18" s="506" t="e">
        <f t="shared" ca="1" si="16"/>
        <v>#NAME?</v>
      </c>
      <c r="AQ18" s="523" t="e">
        <f t="shared" ca="1" si="17"/>
        <v>#NAME?</v>
      </c>
      <c r="AR18" s="758"/>
      <c r="AS18" s="705"/>
      <c r="AT18" s="588" t="s">
        <v>1246</v>
      </c>
      <c r="AU18" s="588" t="s">
        <v>1451</v>
      </c>
      <c r="AV18" s="540">
        <f ca="1">SUMIF($AN$13:$AN$170,AU18,$AQ$13:$AQ$171)</f>
        <v>0</v>
      </c>
      <c r="AW18" s="192"/>
      <c r="AX18" s="588" t="s">
        <v>1246</v>
      </c>
      <c r="AY18" s="588" t="s">
        <v>1451</v>
      </c>
      <c r="AZ18" s="537">
        <f ca="1">SUMIF($AO$13:$AO$171,AY18,$AQ$13:$AQ$172)</f>
        <v>0</v>
      </c>
      <c r="BA18" s="192"/>
      <c r="BB18" s="588" t="s">
        <v>1065</v>
      </c>
      <c r="BC18" s="539">
        <f ca="1">SUMIF($AP$13:$AP$169,BB18,$AQ$13:$AQ$172)</f>
        <v>0</v>
      </c>
      <c r="BE18" s="625"/>
      <c r="BF18" s="585"/>
      <c r="BG18" s="587"/>
      <c r="BH18" s="625"/>
      <c r="BI18" s="625"/>
      <c r="BJ18" s="625"/>
    </row>
    <row r="19" spans="1:62">
      <c r="A19" s="534" t="e">
        <f ca="1">_xll.BDP(B19 &amp; " Equity","ID_ISIN")</f>
        <v>#NAME?</v>
      </c>
      <c r="B19" s="558" t="s">
        <v>12731</v>
      </c>
      <c r="C19" s="506" t="str">
        <f t="shared" si="2"/>
        <v>5302 JP</v>
      </c>
      <c r="D19" s="507" t="str">
        <f ca="1">IFERROR(_xll.BDP(C19&amp; " Equity","CAST_PARENT_NAME"),"")</f>
        <v/>
      </c>
      <c r="E19" s="508" t="e">
        <f ca="1">_xll.BDP(A19 &amp; " Equity","SECURITY_NAME")</f>
        <v>#NAME?</v>
      </c>
      <c r="F19" s="506" t="e">
        <f t="shared" ca="1" si="3"/>
        <v>#NAME?</v>
      </c>
      <c r="G19" s="509" t="e">
        <f ca="1">IF(N19="EUR",1,IF(N19="GBp",_xll.BDP(F19,"PX LAST")*100,_xll.BDP(F19,"PX LAST")))</f>
        <v>#NAME?</v>
      </c>
      <c r="H19" s="510" t="e">
        <f t="shared" ca="1" si="4"/>
        <v>#NAME?</v>
      </c>
      <c r="I19" s="510" t="e">
        <f t="shared" ca="1" si="5"/>
        <v>#NAME?</v>
      </c>
      <c r="J19" s="511" t="e">
        <f t="shared" ca="1" si="6"/>
        <v>#NAME?</v>
      </c>
      <c r="K19" s="511" t="e">
        <f t="shared" ca="1" si="7"/>
        <v>#NAME?</v>
      </c>
      <c r="L19" s="513">
        <f ca="1">SUMIF(TradesEquity!$E$11:$E$1816,A19,TradesEquity!$M$11:$M$1816)</f>
        <v>-1463572</v>
      </c>
      <c r="M19" s="514" t="e">
        <f ca="1">_xll.BDP(C19 &amp; " Equity","PX_LAST")</f>
        <v>#NAME?</v>
      </c>
      <c r="N19" s="515" t="e">
        <f ca="1">_xll.BDP(C19 &amp; " Equity","Crncy")</f>
        <v>#NAME?</v>
      </c>
      <c r="O19" s="559"/>
      <c r="P19" s="559"/>
      <c r="Q19" s="559"/>
      <c r="R19" s="559"/>
      <c r="S19" s="558"/>
      <c r="T19" s="514" t="e">
        <f t="shared" ca="1" si="8"/>
        <v>#NAME?</v>
      </c>
      <c r="U19" s="522" t="e">
        <f t="shared" ca="1" si="9"/>
        <v>#NAME?</v>
      </c>
      <c r="V19" s="523" t="e">
        <f t="shared" ca="1" si="10"/>
        <v>#NAME?</v>
      </c>
      <c r="W19" s="745"/>
      <c r="X19" s="527" t="e">
        <f t="shared" ca="1" si="11"/>
        <v>#NAME?</v>
      </c>
      <c r="Y19" s="528" t="e">
        <f ca="1">_xll.BDH(B19 &amp; " Equity","PX_LAST",$Y$11,$Y$11,"days=a","fill=p")</f>
        <v>#NAME?</v>
      </c>
      <c r="Z19" s="528" t="e">
        <f t="shared" ca="1" si="18"/>
        <v>#NAME?</v>
      </c>
      <c r="AA19" s="528" t="e">
        <f ca="1">_xll.BDH(C19 &amp; " Equity","PX_LAST",$AA$11,$AA$11,"days=a","fill=p")</f>
        <v>#NAME?</v>
      </c>
      <c r="AB19" s="528" t="e">
        <f ca="1">IF(F19="EUREUR Curncy",1,_xll.BDH(F19,"last_price",AB$11,AB$11,"days=a","fill=p"))</f>
        <v>#NAME?</v>
      </c>
      <c r="AC19" s="527" t="e">
        <f t="shared" ca="1" si="12"/>
        <v>#NAME?</v>
      </c>
      <c r="AD19" s="529" t="e">
        <f t="shared" ca="1" si="13"/>
        <v>#NAME?</v>
      </c>
      <c r="AE19" s="560" t="s">
        <v>12603</v>
      </c>
      <c r="AF19" s="564"/>
      <c r="AH19" s="506" t="str">
        <f t="shared" ca="1" si="14"/>
        <v/>
      </c>
      <c r="AI19" s="534" t="str">
        <f t="shared" ca="1" si="0"/>
        <v/>
      </c>
      <c r="AJ19" s="512" t="e">
        <f t="shared" ca="1" si="1"/>
        <v>#NAME?</v>
      </c>
      <c r="AL19" s="534" t="e">
        <f t="shared" ca="1" si="19"/>
        <v>#NAME?</v>
      </c>
      <c r="AM19" s="534" t="e">
        <f t="shared" ca="1" si="15"/>
        <v>#NAME?</v>
      </c>
      <c r="AN19" s="506" t="e">
        <f ca="1">_xll.BDP(C19 &amp; " Equity","COUNTRY")</f>
        <v>#NAME?</v>
      </c>
      <c r="AO19" s="506" t="e">
        <f ca="1">_xll.BDP(C19 &amp; " Equity","COUNTRY")</f>
        <v>#NAME?</v>
      </c>
      <c r="AP19" s="506" t="e">
        <f t="shared" ca="1" si="16"/>
        <v>#NAME?</v>
      </c>
      <c r="AQ19" s="523" t="e">
        <f t="shared" ca="1" si="17"/>
        <v>#NAME?</v>
      </c>
      <c r="AR19" s="758"/>
      <c r="AS19" s="705"/>
      <c r="AT19" s="588" t="s">
        <v>1247</v>
      </c>
      <c r="AU19" s="588" t="s">
        <v>1702</v>
      </c>
      <c r="AV19" s="540">
        <f ca="1">SUMIF($AN$13:$AN$170,AU19,$AQ$13:$AQ$171)</f>
        <v>0</v>
      </c>
      <c r="AW19" s="192"/>
      <c r="AX19" s="588" t="s">
        <v>1247</v>
      </c>
      <c r="AY19" s="588" t="s">
        <v>1702</v>
      </c>
      <c r="AZ19" s="537">
        <f ca="1">SUMIF($AO$13:$AO$171,AY19,$AQ$13:$AQ$172)</f>
        <v>0</v>
      </c>
      <c r="BA19" s="192"/>
      <c r="BB19" s="588" t="s">
        <v>1069</v>
      </c>
      <c r="BC19" s="539">
        <f ca="1">SUMIF($AP$13:$AP$169,BB19,$AQ$13:$AQ$172)</f>
        <v>0</v>
      </c>
      <c r="BH19" s="625"/>
      <c r="BI19" s="625"/>
      <c r="BJ19" s="625"/>
    </row>
    <row r="20" spans="1:62">
      <c r="A20" s="534" t="e">
        <f ca="1">_xll.BDP(B20 &amp; " Equity","ID_ISIN")</f>
        <v>#NAME?</v>
      </c>
      <c r="B20" s="558" t="s">
        <v>12753</v>
      </c>
      <c r="C20" s="506" t="str">
        <f t="shared" si="2"/>
        <v>5310 JP</v>
      </c>
      <c r="D20" s="507" t="str">
        <f ca="1">IFERROR(_xll.BDP(C20&amp; " Equity","CAST_PARENT_NAME"),"")</f>
        <v/>
      </c>
      <c r="E20" s="508" t="e">
        <f ca="1">_xll.BDP(A20 &amp; " Equity","SECURITY_NAME")</f>
        <v>#NAME?</v>
      </c>
      <c r="F20" s="506" t="e">
        <f t="shared" ca="1" si="3"/>
        <v>#NAME?</v>
      </c>
      <c r="G20" s="509" t="e">
        <f ca="1">IF(N20="EUR",1,IF(N20="GBp",_xll.BDP(F20,"PX LAST")*100,_xll.BDP(F20,"PX LAST")))</f>
        <v>#NAME?</v>
      </c>
      <c r="H20" s="510" t="e">
        <f t="shared" ca="1" si="4"/>
        <v>#NAME?</v>
      </c>
      <c r="I20" s="510" t="e">
        <f t="shared" ca="1" si="5"/>
        <v>#NAME?</v>
      </c>
      <c r="J20" s="511" t="e">
        <f t="shared" ca="1" si="6"/>
        <v>#NAME?</v>
      </c>
      <c r="K20" s="511" t="e">
        <f t="shared" ca="1" si="7"/>
        <v>#NAME?</v>
      </c>
      <c r="L20" s="513">
        <f ca="1">SUMIF(TradesEquity!$E$11:$E$1816,A20,TradesEquity!$M$11:$M$1816)</f>
        <v>-1463572</v>
      </c>
      <c r="M20" s="514" t="e">
        <f ca="1">_xll.BDP(C20 &amp; " Equity","PX_LAST")</f>
        <v>#NAME?</v>
      </c>
      <c r="N20" s="515" t="e">
        <f ca="1">_xll.BDP(C20 &amp; " Equity","Crncy")</f>
        <v>#NAME?</v>
      </c>
      <c r="O20" s="559"/>
      <c r="P20" s="559"/>
      <c r="Q20" s="559"/>
      <c r="R20" s="559"/>
      <c r="S20" s="558"/>
      <c r="T20" s="514" t="e">
        <f t="shared" ca="1" si="8"/>
        <v>#NAME?</v>
      </c>
      <c r="U20" s="522" t="e">
        <f t="shared" ca="1" si="9"/>
        <v>#NAME?</v>
      </c>
      <c r="V20" s="523" t="e">
        <f t="shared" ca="1" si="10"/>
        <v>#NAME?</v>
      </c>
      <c r="W20" s="745"/>
      <c r="X20" s="527" t="e">
        <f t="shared" ca="1" si="11"/>
        <v>#NAME?</v>
      </c>
      <c r="Y20" s="528" t="e">
        <f ca="1">_xll.BDH(B20 &amp; " Equity","PX_LAST",$Y$11,$Y$11,"days=a","fill=p")</f>
        <v>#NAME?</v>
      </c>
      <c r="Z20" s="528" t="e">
        <f t="shared" ca="1" si="18"/>
        <v>#NAME?</v>
      </c>
      <c r="AA20" s="528" t="e">
        <f ca="1">_xll.BDH(C20 &amp; " Equity","PX_LAST",$AA$11,$AA$11,"days=a","fill=p")</f>
        <v>#NAME?</v>
      </c>
      <c r="AB20" s="528" t="e">
        <f ca="1">IF(F20="EUREUR Curncy",1,_xll.BDH(F20,"last_price",AB$11,AB$11,"days=a","fill=p"))</f>
        <v>#NAME?</v>
      </c>
      <c r="AC20" s="527" t="e">
        <f t="shared" ca="1" si="12"/>
        <v>#NAME?</v>
      </c>
      <c r="AD20" s="529" t="e">
        <f t="shared" ca="1" si="13"/>
        <v>#NAME?</v>
      </c>
      <c r="AE20" s="560" t="s">
        <v>12603</v>
      </c>
      <c r="AF20" s="564"/>
      <c r="AH20" s="506" t="str">
        <f t="shared" ca="1" si="14"/>
        <v/>
      </c>
      <c r="AI20" s="534" t="str">
        <f t="shared" ca="1" si="0"/>
        <v/>
      </c>
      <c r="AJ20" s="512" t="e">
        <f t="shared" ca="1" si="1"/>
        <v>#NAME?</v>
      </c>
      <c r="AL20" s="534" t="e">
        <f t="shared" ca="1" si="19"/>
        <v>#NAME?</v>
      </c>
      <c r="AM20" s="534" t="e">
        <f t="shared" ca="1" si="15"/>
        <v>#NAME?</v>
      </c>
      <c r="AN20" s="506" t="e">
        <f ca="1">_xll.BDP(C20 &amp; " Equity","COUNTRY")</f>
        <v>#NAME?</v>
      </c>
      <c r="AO20" s="506" t="e">
        <f ca="1">_xll.BDP(C20 &amp; " Equity","COUNTRY")</f>
        <v>#NAME?</v>
      </c>
      <c r="AP20" s="506" t="e">
        <f t="shared" ca="1" si="16"/>
        <v>#NAME?</v>
      </c>
      <c r="AQ20" s="523" t="e">
        <f t="shared" ca="1" si="17"/>
        <v>#NAME?</v>
      </c>
      <c r="AR20" s="651"/>
      <c r="AS20" s="192"/>
      <c r="AT20" s="591" t="s">
        <v>1248</v>
      </c>
      <c r="AU20" s="591"/>
      <c r="AV20" s="538">
        <f ca="1">SUM(AV16:AV19)</f>
        <v>0</v>
      </c>
      <c r="AW20" s="192"/>
      <c r="AX20" s="591" t="s">
        <v>1248</v>
      </c>
      <c r="AY20" s="591"/>
      <c r="AZ20" s="538">
        <f ca="1">SUM(AZ16:AZ19)</f>
        <v>0</v>
      </c>
      <c r="BA20" s="192"/>
      <c r="BB20" s="591" t="s">
        <v>1248</v>
      </c>
      <c r="BC20" s="538">
        <f ca="1">SUM(BC16:BC19)</f>
        <v>0</v>
      </c>
      <c r="BH20" s="625"/>
      <c r="BI20" s="625"/>
    </row>
    <row r="21" spans="1:62">
      <c r="A21" s="534" t="e">
        <f ca="1">_xll.BDP(B21 &amp; " Equity","ID_ISIN")</f>
        <v>#NAME?</v>
      </c>
      <c r="B21" s="558" t="s">
        <v>12707</v>
      </c>
      <c r="C21" s="506" t="str">
        <f t="shared" si="2"/>
        <v>4005 JP</v>
      </c>
      <c r="D21" s="507" t="str">
        <f ca="1">IFERROR(_xll.BDP(C21&amp; " Equity","CAST_PARENT_NAME"),"")</f>
        <v/>
      </c>
      <c r="E21" s="508" t="e">
        <f ca="1">_xll.BDP(A21 &amp; " Equity","SECURITY_NAME")</f>
        <v>#NAME?</v>
      </c>
      <c r="F21" s="506" t="e">
        <f t="shared" ca="1" si="3"/>
        <v>#NAME?</v>
      </c>
      <c r="G21" s="509" t="e">
        <f ca="1">IF(N21="EUR",1,IF(N21="GBp",_xll.BDP(F21,"PX LAST")*100,_xll.BDP(F21,"PX LAST")))</f>
        <v>#NAME?</v>
      </c>
      <c r="H21" s="510" t="e">
        <f t="shared" ca="1" si="4"/>
        <v>#NAME?</v>
      </c>
      <c r="I21" s="510" t="e">
        <f t="shared" ca="1" si="5"/>
        <v>#NAME?</v>
      </c>
      <c r="J21" s="511" t="e">
        <f t="shared" ca="1" si="6"/>
        <v>#NAME?</v>
      </c>
      <c r="K21" s="511" t="e">
        <f t="shared" ca="1" si="7"/>
        <v>#NAME?</v>
      </c>
      <c r="L21" s="513">
        <f ca="1">SUMIF(TradesEquity!$E$11:$E$1816,A21,TradesEquity!$M$11:$M$1816)</f>
        <v>-1463572</v>
      </c>
      <c r="M21" s="514" t="e">
        <f ca="1">_xll.BDP(C21 &amp; " Equity","PX_LAST")</f>
        <v>#NAME?</v>
      </c>
      <c r="N21" s="515" t="e">
        <f ca="1">_xll.BDP(C21 &amp; " Equity","Crncy")</f>
        <v>#NAME?</v>
      </c>
      <c r="O21" s="559"/>
      <c r="P21" s="559"/>
      <c r="Q21" s="559"/>
      <c r="R21" s="559"/>
      <c r="S21" s="558"/>
      <c r="T21" s="514" t="e">
        <f t="shared" ca="1" si="8"/>
        <v>#NAME?</v>
      </c>
      <c r="U21" s="522" t="e">
        <f t="shared" ca="1" si="9"/>
        <v>#NAME?</v>
      </c>
      <c r="V21" s="523" t="e">
        <f t="shared" ca="1" si="10"/>
        <v>#NAME?</v>
      </c>
      <c r="W21" s="745"/>
      <c r="X21" s="527" t="e">
        <f t="shared" ca="1" si="11"/>
        <v>#NAME?</v>
      </c>
      <c r="Y21" s="528" t="e">
        <f ca="1">_xll.BDH(B21 &amp; " Equity","PX_LAST",$Y$11,$Y$11,"days=a","fill=p")</f>
        <v>#NAME?</v>
      </c>
      <c r="Z21" s="528" t="e">
        <f t="shared" ca="1" si="18"/>
        <v>#NAME?</v>
      </c>
      <c r="AA21" s="528" t="e">
        <f ca="1">_xll.BDH(C21 &amp; " Equity","PX_LAST",$AA$11,$AA$11,"days=a","fill=p")</f>
        <v>#NAME?</v>
      </c>
      <c r="AB21" s="528" t="e">
        <f ca="1">IF(F21="EUREUR Curncy",1,_xll.BDH(F21,"last_price",AB$11,AB$11,"days=a","fill=p"))</f>
        <v>#NAME?</v>
      </c>
      <c r="AC21" s="527" t="e">
        <f t="shared" ca="1" si="12"/>
        <v>#NAME?</v>
      </c>
      <c r="AD21" s="529" t="e">
        <f t="shared" ca="1" si="13"/>
        <v>#NAME?</v>
      </c>
      <c r="AE21" s="560" t="s">
        <v>12603</v>
      </c>
      <c r="AF21" s="564"/>
      <c r="AH21" s="506" t="str">
        <f t="shared" ca="1" si="14"/>
        <v/>
      </c>
      <c r="AI21" s="534" t="str">
        <f t="shared" ca="1" si="0"/>
        <v/>
      </c>
      <c r="AJ21" s="512" t="e">
        <f t="shared" ca="1" si="1"/>
        <v>#NAME?</v>
      </c>
      <c r="AL21" s="534" t="e">
        <f t="shared" ca="1" si="19"/>
        <v>#NAME?</v>
      </c>
      <c r="AM21" s="534" t="e">
        <f t="shared" ca="1" si="15"/>
        <v>#NAME?</v>
      </c>
      <c r="AN21" s="506" t="e">
        <f ca="1">_xll.BDP(C21 &amp; " Equity","COUNTRY")</f>
        <v>#NAME?</v>
      </c>
      <c r="AO21" s="506" t="e">
        <f ca="1">_xll.BDP(C21 &amp; " Equity","COUNTRY")</f>
        <v>#NAME?</v>
      </c>
      <c r="AP21" s="506" t="e">
        <f t="shared" ca="1" si="16"/>
        <v>#NAME?</v>
      </c>
      <c r="AQ21" s="523" t="e">
        <f t="shared" ca="1" si="17"/>
        <v>#NAME?</v>
      </c>
      <c r="AR21" s="651"/>
      <c r="AS21" s="192"/>
      <c r="AT21" s="591" t="s">
        <v>1250</v>
      </c>
      <c r="AU21" s="591"/>
      <c r="AV21" s="541" t="e">
        <f ca="1">+AV20/V11</f>
        <v>#NAME?</v>
      </c>
      <c r="AW21" s="192"/>
      <c r="AX21" s="192"/>
      <c r="AY21" s="192"/>
      <c r="AZ21" s="192"/>
      <c r="BA21" s="192"/>
      <c r="BD21" s="645"/>
      <c r="BF21" s="585"/>
      <c r="BG21" s="587" t="s">
        <v>1571</v>
      </c>
      <c r="BH21" s="625"/>
      <c r="BI21" s="625"/>
    </row>
    <row r="22" spans="1:62">
      <c r="A22" s="534" t="e">
        <f ca="1">_xll.BDP(B22 &amp; " Equity","ID_ISIN")</f>
        <v>#NAME?</v>
      </c>
      <c r="B22" s="558" t="s">
        <v>12708</v>
      </c>
      <c r="C22" s="506" t="str">
        <f t="shared" si="2"/>
        <v>3401 JP</v>
      </c>
      <c r="D22" s="507" t="str">
        <f ca="1">IFERROR(_xll.BDP(C22&amp; " Equity","CAST_PARENT_NAME"),"")</f>
        <v/>
      </c>
      <c r="E22" s="508" t="e">
        <f ca="1">_xll.BDP(A22 &amp; " Equity","SECURITY_NAME")</f>
        <v>#NAME?</v>
      </c>
      <c r="F22" s="506" t="e">
        <f t="shared" ca="1" si="3"/>
        <v>#NAME?</v>
      </c>
      <c r="G22" s="509" t="e">
        <f ca="1">IF(N22="EUR",1,IF(N22="GBp",_xll.BDP(F22,"PX LAST")*100,_xll.BDP(F22,"PX LAST")))</f>
        <v>#NAME?</v>
      </c>
      <c r="H22" s="510" t="e">
        <f t="shared" ca="1" si="4"/>
        <v>#NAME?</v>
      </c>
      <c r="I22" s="510" t="e">
        <f t="shared" ca="1" si="5"/>
        <v>#NAME?</v>
      </c>
      <c r="J22" s="511" t="e">
        <f t="shared" ca="1" si="6"/>
        <v>#NAME?</v>
      </c>
      <c r="K22" s="511" t="e">
        <f t="shared" ca="1" si="7"/>
        <v>#NAME?</v>
      </c>
      <c r="L22" s="513">
        <f ca="1">SUMIF(TradesEquity!$E$11:$E$1816,A22,TradesEquity!$M$11:$M$1816)</f>
        <v>-1463572</v>
      </c>
      <c r="M22" s="514" t="e">
        <f ca="1">_xll.BDP(C22 &amp; " Equity","PX_LAST")</f>
        <v>#NAME?</v>
      </c>
      <c r="N22" s="515" t="e">
        <f ca="1">_xll.BDP(C22 &amp; " Equity","Crncy")</f>
        <v>#NAME?</v>
      </c>
      <c r="O22" s="559"/>
      <c r="P22" s="559"/>
      <c r="Q22" s="559"/>
      <c r="R22" s="559"/>
      <c r="S22" s="558"/>
      <c r="T22" s="514" t="e">
        <f t="shared" ca="1" si="8"/>
        <v>#NAME?</v>
      </c>
      <c r="U22" s="522" t="e">
        <f t="shared" ca="1" si="9"/>
        <v>#NAME?</v>
      </c>
      <c r="V22" s="523" t="e">
        <f t="shared" ca="1" si="10"/>
        <v>#NAME?</v>
      </c>
      <c r="W22" s="745"/>
      <c r="X22" s="527" t="e">
        <f t="shared" ca="1" si="11"/>
        <v>#NAME?</v>
      </c>
      <c r="Y22" s="528" t="e">
        <f ca="1">_xll.BDH(B22 &amp; " Equity","PX_LAST",$Y$11,$Y$11,"days=a","fill=p")</f>
        <v>#NAME?</v>
      </c>
      <c r="Z22" s="528" t="e">
        <f t="shared" ca="1" si="18"/>
        <v>#NAME?</v>
      </c>
      <c r="AA22" s="528" t="e">
        <f ca="1">_xll.BDH(C22 &amp; " Equity","PX_LAST",$AA$11,$AA$11,"days=a","fill=p")</f>
        <v>#NAME?</v>
      </c>
      <c r="AB22" s="528" t="e">
        <f ca="1">IF(F22="EUREUR Curncy",1,_xll.BDH(F22,"last_price",AB$11,AB$11,"days=a","fill=p"))</f>
        <v>#NAME?</v>
      </c>
      <c r="AC22" s="527" t="e">
        <f t="shared" ca="1" si="12"/>
        <v>#NAME?</v>
      </c>
      <c r="AD22" s="529" t="e">
        <f t="shared" ca="1" si="13"/>
        <v>#NAME?</v>
      </c>
      <c r="AE22" s="560" t="s">
        <v>12603</v>
      </c>
      <c r="AF22" s="564"/>
      <c r="AH22" s="506" t="str">
        <f t="shared" ca="1" si="14"/>
        <v/>
      </c>
      <c r="AI22" s="534" t="str">
        <f t="shared" ca="1" si="0"/>
        <v/>
      </c>
      <c r="AJ22" s="512" t="e">
        <f t="shared" ca="1" si="1"/>
        <v>#NAME?</v>
      </c>
      <c r="AL22" s="534" t="e">
        <f t="shared" ca="1" si="19"/>
        <v>#NAME?</v>
      </c>
      <c r="AM22" s="534" t="e">
        <f t="shared" ca="1" si="15"/>
        <v>#NAME?</v>
      </c>
      <c r="AN22" s="506" t="e">
        <f ca="1">_xll.BDP(C22 &amp; " Equity","COUNTRY")</f>
        <v>#NAME?</v>
      </c>
      <c r="AO22" s="506" t="e">
        <f ca="1">_xll.BDP(C22 &amp; " Equity","COUNTRY")</f>
        <v>#NAME?</v>
      </c>
      <c r="AP22" s="506" t="e">
        <f t="shared" ca="1" si="16"/>
        <v>#NAME?</v>
      </c>
      <c r="AQ22" s="523" t="e">
        <f t="shared" ca="1" si="17"/>
        <v>#NAME?</v>
      </c>
      <c r="AR22" s="651"/>
      <c r="AS22" s="192"/>
      <c r="BF22" s="592"/>
      <c r="BG22" s="592" t="s">
        <v>1569</v>
      </c>
      <c r="BJ22" s="625"/>
    </row>
    <row r="23" spans="1:62">
      <c r="A23" s="534" t="e">
        <f ca="1">_xll.BDP(B23 &amp; " Equity","ID_ISIN")</f>
        <v>#NAME?</v>
      </c>
      <c r="B23" s="558" t="s">
        <v>12709</v>
      </c>
      <c r="C23" s="506" t="str">
        <f t="shared" si="2"/>
        <v>051915 KS</v>
      </c>
      <c r="D23" s="507" t="str">
        <f ca="1">IFERROR(_xll.BDP(C23&amp; " Equity","CAST_PARENT_NAME"),"")</f>
        <v/>
      </c>
      <c r="E23" s="508" t="e">
        <f ca="1">_xll.BDP(A23 &amp; " Equity","SECURITY_NAME")</f>
        <v>#NAME?</v>
      </c>
      <c r="F23" s="506" t="e">
        <f t="shared" ca="1" si="3"/>
        <v>#NAME?</v>
      </c>
      <c r="G23" s="509" t="e">
        <f ca="1">IF(N23="EUR",1,IF(N23="GBp",_xll.BDP(F23,"PX LAST")*100,_xll.BDP(F23,"PX LAST")))</f>
        <v>#NAME?</v>
      </c>
      <c r="H23" s="510" t="e">
        <f t="shared" ca="1" si="4"/>
        <v>#NAME?</v>
      </c>
      <c r="I23" s="510" t="e">
        <f t="shared" ca="1" si="5"/>
        <v>#NAME?</v>
      </c>
      <c r="J23" s="511" t="e">
        <f t="shared" ca="1" si="6"/>
        <v>#NAME?</v>
      </c>
      <c r="K23" s="511" t="e">
        <f t="shared" ca="1" si="7"/>
        <v>#NAME?</v>
      </c>
      <c r="L23" s="513">
        <f ca="1">SUMIF(TradesEquity!$E$11:$E$1816,A23,TradesEquity!$M$11:$M$1816)</f>
        <v>-1463572</v>
      </c>
      <c r="M23" s="514" t="e">
        <f ca="1">_xll.BDP(C23 &amp; " Equity","PX_LAST")</f>
        <v>#NAME?</v>
      </c>
      <c r="N23" s="515" t="e">
        <f ca="1">_xll.BDP(C23 &amp; " Equity","Crncy")</f>
        <v>#NAME?</v>
      </c>
      <c r="O23" s="559"/>
      <c r="P23" s="559"/>
      <c r="Q23" s="559"/>
      <c r="R23" s="559"/>
      <c r="S23" s="558"/>
      <c r="T23" s="514" t="e">
        <f t="shared" ca="1" si="8"/>
        <v>#NAME?</v>
      </c>
      <c r="U23" s="525" t="e">
        <f t="shared" ca="1" si="9"/>
        <v>#NAME?</v>
      </c>
      <c r="V23" s="523" t="e">
        <f t="shared" ca="1" si="10"/>
        <v>#NAME?</v>
      </c>
      <c r="W23" s="745"/>
      <c r="X23" s="527" t="e">
        <f t="shared" ca="1" si="11"/>
        <v>#NAME?</v>
      </c>
      <c r="Y23" s="528" t="e">
        <f ca="1">_xll.BDH(B23 &amp; " Equity","PX_LAST",$Y$11,$Y$11,"days=a","fill=p")</f>
        <v>#NAME?</v>
      </c>
      <c r="Z23" s="528" t="e">
        <f t="shared" ca="1" si="18"/>
        <v>#NAME?</v>
      </c>
      <c r="AA23" s="528" t="e">
        <f ca="1">_xll.BDH(C23 &amp; " Equity","PX_LAST",$AA$11,$AA$11,"days=a","fill=p")</f>
        <v>#NAME?</v>
      </c>
      <c r="AB23" s="528" t="e">
        <f ca="1">IF(F23="EUREUR Curncy",1,_xll.BDH(F23,"last_price",AB$11,AB$11,"days=a","fill=p"))</f>
        <v>#NAME?</v>
      </c>
      <c r="AC23" s="527" t="e">
        <f t="shared" ca="1" si="12"/>
        <v>#NAME?</v>
      </c>
      <c r="AD23" s="529" t="e">
        <f t="shared" ca="1" si="13"/>
        <v>#NAME?</v>
      </c>
      <c r="AE23" s="560" t="s">
        <v>12603</v>
      </c>
      <c r="AF23" s="564"/>
      <c r="AH23" s="506" t="str">
        <f t="shared" ca="1" si="14"/>
        <v/>
      </c>
      <c r="AI23" s="534" t="str">
        <f t="shared" ca="1" si="0"/>
        <v/>
      </c>
      <c r="AJ23" s="512" t="e">
        <f t="shared" ca="1" si="1"/>
        <v>#NAME?</v>
      </c>
      <c r="AL23" s="534" t="e">
        <f t="shared" ca="1" si="19"/>
        <v>#NAME?</v>
      </c>
      <c r="AM23" s="534" t="e">
        <f t="shared" ca="1" si="15"/>
        <v>#NAME?</v>
      </c>
      <c r="AN23" s="506" t="e">
        <f ca="1">_xll.BDP(C23 &amp; " Equity","COUNTRY")</f>
        <v>#NAME?</v>
      </c>
      <c r="AO23" s="506" t="e">
        <f ca="1">_xll.BDP(C23 &amp; " Equity","COUNTRY")</f>
        <v>#NAME?</v>
      </c>
      <c r="AP23" s="506" t="e">
        <f t="shared" ca="1" si="16"/>
        <v>#NAME?</v>
      </c>
      <c r="AQ23" s="523" t="e">
        <f t="shared" ca="1" si="17"/>
        <v>#NAME?</v>
      </c>
      <c r="AR23" s="651"/>
      <c r="AS23" s="192"/>
      <c r="AT23" s="192"/>
      <c r="AU23" s="192"/>
      <c r="AV23" s="192"/>
      <c r="AW23" s="192"/>
      <c r="AX23" s="192"/>
      <c r="AY23" s="192"/>
      <c r="AZ23" s="192"/>
      <c r="BA23" s="192"/>
      <c r="BB23" s="761"/>
      <c r="BC23" s="720"/>
    </row>
    <row r="24" spans="1:62">
      <c r="A24" s="534" t="e">
        <f ca="1">_xll.BDP(B24 &amp; " Equity","ID_ISIN")</f>
        <v>#NAME?</v>
      </c>
      <c r="B24" s="558" t="s">
        <v>12710</v>
      </c>
      <c r="C24" s="506" t="str">
        <f t="shared" si="2"/>
        <v>006405 KS</v>
      </c>
      <c r="D24" s="507" t="str">
        <f ca="1">IFERROR(_xll.BDP(C24&amp; " Equity","CAST_PARENT_NAME"),"")</f>
        <v/>
      </c>
      <c r="E24" s="508" t="e">
        <f ca="1">_xll.BDP(A24 &amp; " Equity","SECURITY_NAME")</f>
        <v>#NAME?</v>
      </c>
      <c r="F24" s="506" t="e">
        <f t="shared" ca="1" si="3"/>
        <v>#NAME?</v>
      </c>
      <c r="G24" s="509" t="e">
        <f ca="1">IF(N24="EUR",1,IF(N24="GBp",_xll.BDP(F24,"PX LAST")*100,_xll.BDP(F24,"PX LAST")))</f>
        <v>#NAME?</v>
      </c>
      <c r="H24" s="510" t="e">
        <f t="shared" ca="1" si="4"/>
        <v>#NAME?</v>
      </c>
      <c r="I24" s="510" t="e">
        <f t="shared" ca="1" si="5"/>
        <v>#NAME?</v>
      </c>
      <c r="J24" s="511" t="e">
        <f t="shared" ca="1" si="6"/>
        <v>#NAME?</v>
      </c>
      <c r="K24" s="511" t="e">
        <f t="shared" ca="1" si="7"/>
        <v>#NAME?</v>
      </c>
      <c r="L24" s="513">
        <f ca="1">SUMIF(TradesEquity!$E$11:$E$1816,A24,TradesEquity!$M$11:$M$1816)</f>
        <v>-1463572</v>
      </c>
      <c r="M24" s="514" t="e">
        <f ca="1">_xll.BDP(C24 &amp; " Equity","PX_LAST")</f>
        <v>#NAME?</v>
      </c>
      <c r="N24" s="515" t="e">
        <f ca="1">_xll.BDP(C24 &amp; " Equity","Crncy")</f>
        <v>#NAME?</v>
      </c>
      <c r="O24" s="559"/>
      <c r="P24" s="559"/>
      <c r="Q24" s="559"/>
      <c r="R24" s="559"/>
      <c r="S24" s="558"/>
      <c r="T24" s="514" t="e">
        <f t="shared" ca="1" si="8"/>
        <v>#NAME?</v>
      </c>
      <c r="U24" s="525" t="e">
        <f t="shared" ca="1" si="9"/>
        <v>#NAME?</v>
      </c>
      <c r="V24" s="523" t="e">
        <f t="shared" ca="1" si="10"/>
        <v>#NAME?</v>
      </c>
      <c r="W24" s="745"/>
      <c r="X24" s="527" t="e">
        <f t="shared" ca="1" si="11"/>
        <v>#NAME?</v>
      </c>
      <c r="Y24" s="528" t="e">
        <f ca="1">_xll.BDH(B24 &amp; " Equity","PX_LAST",$Y$11,$Y$11,"days=a","fill=p")</f>
        <v>#NAME?</v>
      </c>
      <c r="Z24" s="528" t="e">
        <f t="shared" ca="1" si="18"/>
        <v>#NAME?</v>
      </c>
      <c r="AA24" s="528" t="e">
        <f ca="1">_xll.BDH(C24 &amp; " Equity","PX_LAST",$AA$11,$AA$11,"days=a","fill=p")</f>
        <v>#NAME?</v>
      </c>
      <c r="AB24" s="528" t="e">
        <f ca="1">IF(F24="EUREUR Curncy",1,_xll.BDH(F24,"last_price",AB$11,AB$11,"days=a","fill=p"))</f>
        <v>#NAME?</v>
      </c>
      <c r="AC24" s="527" t="e">
        <f t="shared" ca="1" si="12"/>
        <v>#NAME?</v>
      </c>
      <c r="AD24" s="529" t="e">
        <f t="shared" ca="1" si="13"/>
        <v>#NAME?</v>
      </c>
      <c r="AE24" s="560" t="s">
        <v>12603</v>
      </c>
      <c r="AF24" s="564"/>
      <c r="AH24" s="506" t="str">
        <f t="shared" ca="1" si="14"/>
        <v/>
      </c>
      <c r="AI24" s="534" t="str">
        <f t="shared" ca="1" si="0"/>
        <v/>
      </c>
      <c r="AJ24" s="512" t="e">
        <f t="shared" ca="1" si="1"/>
        <v>#NAME?</v>
      </c>
      <c r="AL24" s="534" t="e">
        <f t="shared" ca="1" si="19"/>
        <v>#NAME?</v>
      </c>
      <c r="AM24" s="534" t="e">
        <f t="shared" ca="1" si="15"/>
        <v>#NAME?</v>
      </c>
      <c r="AN24" s="506" t="e">
        <f ca="1">_xll.BDP(C24 &amp; " Equity","COUNTRY")</f>
        <v>#NAME?</v>
      </c>
      <c r="AO24" s="506" t="e">
        <f ca="1">_xll.BDP(C24 &amp; " Equity","COUNTRY")</f>
        <v>#NAME?</v>
      </c>
      <c r="AP24" s="506" t="e">
        <f t="shared" ca="1" si="16"/>
        <v>#NAME?</v>
      </c>
      <c r="AQ24" s="523" t="e">
        <f t="shared" ca="1" si="17"/>
        <v>#NAME?</v>
      </c>
      <c r="AR24" s="651"/>
      <c r="AS24" s="192"/>
      <c r="AT24" s="192"/>
      <c r="AU24" s="192"/>
      <c r="AV24" s="192"/>
      <c r="AW24" s="192"/>
      <c r="AX24" s="192"/>
      <c r="AY24" s="192"/>
      <c r="AZ24" s="192"/>
      <c r="BA24" s="192"/>
      <c r="BB24" s="761"/>
      <c r="BC24" s="720"/>
      <c r="BE24" s="625"/>
      <c r="BF24" s="625"/>
      <c r="BG24" s="625"/>
      <c r="BH24" s="625"/>
      <c r="BI24" s="625"/>
      <c r="BJ24" s="625"/>
    </row>
    <row r="25" spans="1:62">
      <c r="A25" s="534" t="e">
        <f ca="1">_xll.BDP(B25 &amp; " Equity","ID_ISIN")</f>
        <v>#NAME?</v>
      </c>
      <c r="B25" s="558" t="s">
        <v>13028</v>
      </c>
      <c r="C25" s="506" t="str">
        <f t="shared" ref="C25" si="20">IF(B25="","",B25)</f>
        <v>096770 KS</v>
      </c>
      <c r="D25" s="507" t="str">
        <f ca="1">IFERROR(_xll.BDP(C25&amp; " Equity","CAST_PARENT_NAME"),"")</f>
        <v/>
      </c>
      <c r="E25" s="508" t="e">
        <f ca="1">_xll.BDP(A25 &amp; " Equity","SECURITY_NAME")</f>
        <v>#NAME?</v>
      </c>
      <c r="F25" s="506" t="e">
        <f t="shared" ref="F25" ca="1" si="21">+("EUR"&amp;N25&amp; " Curncy")</f>
        <v>#NAME?</v>
      </c>
      <c r="G25" s="509" t="e">
        <f ca="1">IF(N25="EUR",1,IF(N25="GBp",_xll.BDP(F25,"PX LAST")*100,_xll.BDP(F25,"PX LAST")))</f>
        <v>#NAME?</v>
      </c>
      <c r="H25" s="510" t="e">
        <f t="shared" ref="H25" ca="1" si="22">+M25/G25</f>
        <v>#NAME?</v>
      </c>
      <c r="I25" s="510" t="e">
        <f t="shared" ref="I25" ca="1" si="23">+H25</f>
        <v>#NAME?</v>
      </c>
      <c r="J25" s="511" t="e">
        <f t="shared" ref="J25" ca="1" si="24">+K25</f>
        <v>#NAME?</v>
      </c>
      <c r="K25" s="511" t="e">
        <f t="shared" ref="K25" ca="1" si="25">+V25/$V$11</f>
        <v>#NAME?</v>
      </c>
      <c r="L25" s="513">
        <f ca="1">SUMIF(TradesEquity!$E$11:$E$1816,A25,TradesEquity!$M$11:$M$1816)</f>
        <v>-1463572</v>
      </c>
      <c r="M25" s="514" t="e">
        <f ca="1">_xll.BDP(C25 &amp; " Equity","PX_LAST")</f>
        <v>#NAME?</v>
      </c>
      <c r="N25" s="515" t="e">
        <f ca="1">_xll.BDP(C25 &amp; " Equity","Crncy")</f>
        <v>#NAME?</v>
      </c>
      <c r="O25" s="559"/>
      <c r="P25" s="559"/>
      <c r="Q25" s="559"/>
      <c r="R25" s="559"/>
      <c r="S25" s="558"/>
      <c r="T25" s="514" t="e">
        <f t="shared" ref="T25" ca="1" si="26">M25</f>
        <v>#NAME?</v>
      </c>
      <c r="U25" s="525" t="e">
        <f t="shared" ref="U25" ca="1" si="27">+T25*L25</f>
        <v>#NAME?</v>
      </c>
      <c r="V25" s="523" t="e">
        <f t="shared" ref="V25" ca="1" si="28">+I25*L25</f>
        <v>#NAME?</v>
      </c>
      <c r="W25" s="745"/>
      <c r="X25" s="527" t="e">
        <f t="shared" ref="X25" ca="1" si="29">+M25/W25-1</f>
        <v>#NAME?</v>
      </c>
      <c r="Y25" s="528" t="e">
        <f ca="1">_xll.BDH(B25 &amp; " Equity","PX_LAST",$Y$11,$Y$11,"days=a","fill=p")</f>
        <v>#NAME?</v>
      </c>
      <c r="Z25" s="528" t="e">
        <f t="shared" ref="Z25" ca="1" si="30">IF(L25=0,"NOT IN NAV",M25-Y25)</f>
        <v>#NAME?</v>
      </c>
      <c r="AA25" s="528" t="e">
        <f ca="1">_xll.BDH(C25 &amp; " Equity","PX_LAST",$AA$11,$AA$11,"days=a","fill=p")</f>
        <v>#NAME?</v>
      </c>
      <c r="AB25" s="528" t="e">
        <f ca="1">IF(F25="EUREUR Curncy",1,_xll.BDH(F25,"last_price",AB$11,AB$11,"days=a","fill=p"))</f>
        <v>#NAME?</v>
      </c>
      <c r="AC25" s="527" t="e">
        <f t="shared" ref="AC25" ca="1" si="31">+M25/AA25-1</f>
        <v>#NAME?</v>
      </c>
      <c r="AD25" s="529" t="e">
        <f t="shared" ref="AD25" ca="1" si="32">+IF(N25="GBp",(V25-(L25*AA25/AB25/100)),V25-(L25*AA25/AB25))</f>
        <v>#NAME?</v>
      </c>
      <c r="AE25" s="560" t="s">
        <v>12603</v>
      </c>
      <c r="AF25" s="564"/>
      <c r="AH25" s="506"/>
      <c r="AI25" s="534"/>
      <c r="AJ25" s="512"/>
      <c r="AL25" s="534"/>
      <c r="AM25" s="534"/>
      <c r="AN25" s="506"/>
      <c r="AO25" s="506"/>
      <c r="AP25" s="506"/>
      <c r="AQ25" s="523"/>
      <c r="AR25" s="651"/>
      <c r="AS25" s="192"/>
      <c r="AT25" s="192"/>
      <c r="AU25" s="192"/>
      <c r="AV25" s="192"/>
      <c r="AW25" s="192"/>
      <c r="AX25" s="192"/>
      <c r="AY25" s="192"/>
      <c r="AZ25" s="192"/>
      <c r="BA25" s="192"/>
      <c r="BB25" s="761"/>
      <c r="BC25" s="720"/>
      <c r="BE25" s="625"/>
      <c r="BF25" s="625"/>
      <c r="BG25" s="625"/>
      <c r="BH25" s="625"/>
      <c r="BI25" s="625"/>
      <c r="BJ25" s="625"/>
    </row>
    <row r="26" spans="1:62">
      <c r="A26" s="534" t="e">
        <f ca="1">_xll.BDP(B26 &amp; " Equity","ID_ISIN")</f>
        <v>#NAME?</v>
      </c>
      <c r="B26" s="558" t="s">
        <v>12711</v>
      </c>
      <c r="C26" s="506" t="str">
        <f t="shared" si="2"/>
        <v>096775 KS</v>
      </c>
      <c r="D26" s="507" t="str">
        <f ca="1">IFERROR(_xll.BDP(C26&amp; " Equity","CAST_PARENT_NAME"),"")</f>
        <v/>
      </c>
      <c r="E26" s="508" t="e">
        <f ca="1">_xll.BDP(A26 &amp; " Equity","SECURITY_NAME")</f>
        <v>#NAME?</v>
      </c>
      <c r="F26" s="506" t="e">
        <f t="shared" ca="1" si="3"/>
        <v>#NAME?</v>
      </c>
      <c r="G26" s="509" t="e">
        <f ca="1">IF(N26="EUR",1,IF(N26="GBp",_xll.BDP(F26,"PX LAST")*100,_xll.BDP(F26,"PX LAST")))</f>
        <v>#NAME?</v>
      </c>
      <c r="H26" s="510" t="e">
        <f t="shared" ca="1" si="4"/>
        <v>#NAME?</v>
      </c>
      <c r="I26" s="510" t="e">
        <f t="shared" ca="1" si="5"/>
        <v>#NAME?</v>
      </c>
      <c r="J26" s="511" t="e">
        <f t="shared" ca="1" si="6"/>
        <v>#NAME?</v>
      </c>
      <c r="K26" s="511" t="e">
        <f t="shared" ca="1" si="7"/>
        <v>#NAME?</v>
      </c>
      <c r="L26" s="513">
        <f ca="1">SUMIF(TradesEquity!$E$11:$E$1816,A26,TradesEquity!$M$11:$M$1816)</f>
        <v>-1463572</v>
      </c>
      <c r="M26" s="514" t="e">
        <f ca="1">_xll.BDP(C26 &amp; " Equity","PX_LAST")</f>
        <v>#NAME?</v>
      </c>
      <c r="N26" s="515" t="e">
        <f ca="1">_xll.BDP(C26 &amp; " Equity","Crncy")</f>
        <v>#NAME?</v>
      </c>
      <c r="O26" s="559"/>
      <c r="P26" s="559"/>
      <c r="Q26" s="559"/>
      <c r="R26" s="559"/>
      <c r="S26" s="558"/>
      <c r="T26" s="514" t="e">
        <f t="shared" ca="1" si="8"/>
        <v>#NAME?</v>
      </c>
      <c r="U26" s="525" t="e">
        <f t="shared" ca="1" si="9"/>
        <v>#NAME?</v>
      </c>
      <c r="V26" s="523" t="e">
        <f t="shared" ca="1" si="10"/>
        <v>#NAME?</v>
      </c>
      <c r="W26" s="745"/>
      <c r="X26" s="527" t="e">
        <f t="shared" ca="1" si="11"/>
        <v>#NAME?</v>
      </c>
      <c r="Y26" s="528" t="e">
        <f ca="1">_xll.BDH(B26 &amp; " Equity","PX_LAST",$Y$11,$Y$11,"days=a","fill=p")</f>
        <v>#NAME?</v>
      </c>
      <c r="Z26" s="528" t="e">
        <f t="shared" ca="1" si="18"/>
        <v>#NAME?</v>
      </c>
      <c r="AA26" s="528" t="e">
        <f ca="1">_xll.BDH(C26 &amp; " Equity","PX_LAST",$AA$11,$AA$11,"days=a","fill=p")</f>
        <v>#NAME?</v>
      </c>
      <c r="AB26" s="528" t="e">
        <f ca="1">IF(F26="EUREUR Curncy",1,_xll.BDH(F26,"last_price",AB$11,AB$11,"days=a","fill=p"))</f>
        <v>#NAME?</v>
      </c>
      <c r="AC26" s="527" t="e">
        <f t="shared" ca="1" si="12"/>
        <v>#NAME?</v>
      </c>
      <c r="AD26" s="529" t="e">
        <f t="shared" ca="1" si="13"/>
        <v>#NAME?</v>
      </c>
      <c r="AE26" s="560" t="s">
        <v>12603</v>
      </c>
      <c r="AF26" s="564"/>
      <c r="AH26" s="506" t="str">
        <f t="shared" ca="1" si="14"/>
        <v/>
      </c>
      <c r="AI26" s="534" t="str">
        <f t="shared" ca="1" si="0"/>
        <v/>
      </c>
      <c r="AJ26" s="512" t="e">
        <f t="shared" ca="1" si="1"/>
        <v>#NAME?</v>
      </c>
      <c r="AL26" s="534" t="e">
        <f t="shared" ca="1" si="19"/>
        <v>#NAME?</v>
      </c>
      <c r="AM26" s="534" t="e">
        <f t="shared" ca="1" si="15"/>
        <v>#NAME?</v>
      </c>
      <c r="AN26" s="506" t="e">
        <f ca="1">_xll.BDP(C26 &amp; " Equity","COUNTRY")</f>
        <v>#NAME?</v>
      </c>
      <c r="AO26" s="506" t="e">
        <f ca="1">_xll.BDP(C26 &amp; " Equity","COUNTRY")</f>
        <v>#NAME?</v>
      </c>
      <c r="AP26" s="506" t="e">
        <f t="shared" ca="1" si="16"/>
        <v>#NAME?</v>
      </c>
      <c r="AQ26" s="523" t="e">
        <f t="shared" ca="1" si="17"/>
        <v>#NAME?</v>
      </c>
      <c r="AR26" s="651"/>
      <c r="AS26" s="192"/>
      <c r="AT26" s="192"/>
      <c r="AU26" s="192"/>
      <c r="AV26" s="192"/>
      <c r="AW26" s="192"/>
      <c r="AX26" s="192"/>
      <c r="AY26" s="192"/>
      <c r="AZ26" s="192"/>
      <c r="BA26" s="192"/>
      <c r="BB26" s="761"/>
      <c r="BC26" s="720"/>
    </row>
    <row r="27" spans="1:62">
      <c r="A27" s="534" t="e">
        <f ca="1">_xll.BDP(B27 &amp; " Equity","ID_ISIN")</f>
        <v>#NAME?</v>
      </c>
      <c r="B27" s="558" t="s">
        <v>12879</v>
      </c>
      <c r="C27" s="506" t="str">
        <f t="shared" si="2"/>
        <v>036830 KS</v>
      </c>
      <c r="D27" s="507" t="str">
        <f ca="1">IFERROR(_xll.BDP(C27&amp; " Equity","CAST_PARENT_NAME"),"")</f>
        <v/>
      </c>
      <c r="E27" s="508" t="e">
        <f ca="1">_xll.BDP(A27 &amp; " Equity","SECURITY_NAME")</f>
        <v>#NAME?</v>
      </c>
      <c r="F27" s="506" t="e">
        <f t="shared" ca="1" si="3"/>
        <v>#NAME?</v>
      </c>
      <c r="G27" s="509" t="e">
        <f ca="1">IF(N27="EUR",1,IF(N27="GBp",_xll.BDP(F27,"PX LAST")*100,_xll.BDP(F27,"PX LAST")))</f>
        <v>#NAME?</v>
      </c>
      <c r="H27" s="510" t="e">
        <f t="shared" ca="1" si="4"/>
        <v>#NAME?</v>
      </c>
      <c r="I27" s="510" t="e">
        <f t="shared" ca="1" si="5"/>
        <v>#NAME?</v>
      </c>
      <c r="J27" s="511" t="e">
        <f t="shared" ca="1" si="6"/>
        <v>#NAME?</v>
      </c>
      <c r="K27" s="511" t="e">
        <f t="shared" ca="1" si="7"/>
        <v>#NAME?</v>
      </c>
      <c r="L27" s="513">
        <f ca="1">SUMIF(TradesEquity!$E$11:$E$1816,A27,TradesEquity!$M$11:$M$1816)</f>
        <v>-1463572</v>
      </c>
      <c r="M27" s="514" t="e">
        <f ca="1">_xll.BDP(C27 &amp; " Equity","PX_LAST")</f>
        <v>#NAME?</v>
      </c>
      <c r="N27" s="515" t="e">
        <f ca="1">_xll.BDP(C27 &amp; " Equity","Crncy")</f>
        <v>#NAME?</v>
      </c>
      <c r="O27" s="559"/>
      <c r="P27" s="559"/>
      <c r="Q27" s="559"/>
      <c r="R27" s="559"/>
      <c r="S27" s="558"/>
      <c r="T27" s="514" t="e">
        <f t="shared" ca="1" si="8"/>
        <v>#NAME?</v>
      </c>
      <c r="U27" s="525" t="e">
        <f t="shared" ca="1" si="9"/>
        <v>#NAME?</v>
      </c>
      <c r="V27" s="523" t="e">
        <f t="shared" ca="1" si="10"/>
        <v>#NAME?</v>
      </c>
      <c r="W27" s="745"/>
      <c r="X27" s="527" t="e">
        <f t="shared" ca="1" si="11"/>
        <v>#NAME?</v>
      </c>
      <c r="Y27" s="528" t="e">
        <f ca="1">_xll.BDH(B27 &amp; " Equity","PX_LAST",$Y$11,$Y$11,"days=a","fill=p")</f>
        <v>#NAME?</v>
      </c>
      <c r="Z27" s="528" t="e">
        <f t="shared" ca="1" si="18"/>
        <v>#NAME?</v>
      </c>
      <c r="AA27" s="528" t="e">
        <f ca="1">_xll.BDH(C27 &amp; " Equity","PX_LAST",$AA$11,$AA$11,"days=a","fill=p")</f>
        <v>#NAME?</v>
      </c>
      <c r="AB27" s="528" t="e">
        <f ca="1">IF(F27="EUREUR Curncy",1,_xll.BDH(F27,"last_price",AB$11,AB$11,"days=a","fill=p"))</f>
        <v>#NAME?</v>
      </c>
      <c r="AC27" s="527" t="e">
        <f t="shared" ca="1" si="12"/>
        <v>#NAME?</v>
      </c>
      <c r="AD27" s="529" t="e">
        <f t="shared" ca="1" si="13"/>
        <v>#NAME?</v>
      </c>
      <c r="AE27" s="560" t="s">
        <v>12603</v>
      </c>
      <c r="AF27" s="564"/>
      <c r="AH27" s="506" t="str">
        <f t="shared" ca="1" si="14"/>
        <v/>
      </c>
      <c r="AI27" s="534" t="str">
        <f t="shared" ca="1" si="0"/>
        <v/>
      </c>
      <c r="AJ27" s="512" t="e">
        <f t="shared" ca="1" si="1"/>
        <v>#NAME?</v>
      </c>
      <c r="AL27" s="534" t="e">
        <f t="shared" ca="1" si="19"/>
        <v>#NAME?</v>
      </c>
      <c r="AM27" s="534" t="e">
        <f t="shared" ca="1" si="15"/>
        <v>#NAME?</v>
      </c>
      <c r="AN27" s="506" t="e">
        <f ca="1">_xll.BDP(C27 &amp; " Equity","COUNTRY")</f>
        <v>#NAME?</v>
      </c>
      <c r="AO27" s="506" t="e">
        <f ca="1">_xll.BDP(C27 &amp; " Equity","COUNTRY")</f>
        <v>#NAME?</v>
      </c>
      <c r="AP27" s="506" t="e">
        <f t="shared" ca="1" si="16"/>
        <v>#NAME?</v>
      </c>
      <c r="AQ27" s="523" t="e">
        <f t="shared" ca="1" si="17"/>
        <v>#NAME?</v>
      </c>
      <c r="AR27" s="651"/>
      <c r="AT27" s="192"/>
      <c r="AU27" s="192"/>
      <c r="AV27" s="192"/>
      <c r="AW27" s="192"/>
      <c r="AX27" s="192"/>
      <c r="AY27" s="192"/>
      <c r="AZ27" s="192"/>
      <c r="BA27" s="192"/>
      <c r="BB27" s="761"/>
      <c r="BC27" s="720"/>
    </row>
    <row r="28" spans="1:62">
      <c r="A28" s="534" t="e">
        <f ca="1">_xll.BDP(B28 &amp; " Equity","ID_ISIN")</f>
        <v>#NAME?</v>
      </c>
      <c r="B28" s="558" t="s">
        <v>12712</v>
      </c>
      <c r="C28" s="506" t="str">
        <f t="shared" si="2"/>
        <v>NK FP</v>
      </c>
      <c r="D28" s="507" t="str">
        <f ca="1">IFERROR(_xll.BDP(C28&amp; " Equity","CAST_PARENT_NAME"),"")</f>
        <v/>
      </c>
      <c r="E28" s="508" t="e">
        <f ca="1">_xll.BDP(A28 &amp; " Equity","SECURITY_NAME")</f>
        <v>#NAME?</v>
      </c>
      <c r="F28" s="506" t="e">
        <f t="shared" ca="1" si="3"/>
        <v>#NAME?</v>
      </c>
      <c r="G28" s="509" t="e">
        <f ca="1">IF(N28="EUR",1,IF(N28="GBp",_xll.BDP(F28,"PX LAST")*100,_xll.BDP(F28,"PX LAST")))</f>
        <v>#NAME?</v>
      </c>
      <c r="H28" s="510" t="e">
        <f t="shared" ca="1" si="4"/>
        <v>#NAME?</v>
      </c>
      <c r="I28" s="510" t="e">
        <f t="shared" ca="1" si="5"/>
        <v>#NAME?</v>
      </c>
      <c r="J28" s="511" t="e">
        <f t="shared" ca="1" si="6"/>
        <v>#NAME?</v>
      </c>
      <c r="K28" s="511" t="e">
        <f t="shared" ca="1" si="7"/>
        <v>#NAME?</v>
      </c>
      <c r="L28" s="513">
        <f ca="1">SUMIF(TradesEquity!$E$11:$E$1816,A28,TradesEquity!$M$11:$M$1816)</f>
        <v>-1463572</v>
      </c>
      <c r="M28" s="514" t="e">
        <f ca="1">_xll.BDP(C28 &amp; " Equity","PX_LAST")</f>
        <v>#NAME?</v>
      </c>
      <c r="N28" s="515" t="e">
        <f ca="1">_xll.BDP(C28 &amp; " Equity","Crncy")</f>
        <v>#NAME?</v>
      </c>
      <c r="O28" s="559"/>
      <c r="P28" s="559"/>
      <c r="Q28" s="559"/>
      <c r="R28" s="559"/>
      <c r="S28" s="558"/>
      <c r="T28" s="514" t="e">
        <f t="shared" ca="1" si="8"/>
        <v>#NAME?</v>
      </c>
      <c r="U28" s="525" t="e">
        <f t="shared" ca="1" si="9"/>
        <v>#NAME?</v>
      </c>
      <c r="V28" s="523" t="e">
        <f t="shared" ca="1" si="10"/>
        <v>#NAME?</v>
      </c>
      <c r="W28" s="745"/>
      <c r="X28" s="527" t="e">
        <f t="shared" ca="1" si="11"/>
        <v>#NAME?</v>
      </c>
      <c r="Y28" s="528" t="e">
        <f ca="1">_xll.BDH(B28 &amp; " Equity","PX_LAST",$Y$11,$Y$11,"days=a","fill=p")</f>
        <v>#NAME?</v>
      </c>
      <c r="Z28" s="528" t="e">
        <f t="shared" ca="1" si="18"/>
        <v>#NAME?</v>
      </c>
      <c r="AA28" s="528" t="e">
        <f ca="1">_xll.BDH(C28 &amp; " Equity","PX_LAST",$AA$11,$AA$11,"days=a","fill=p")</f>
        <v>#NAME?</v>
      </c>
      <c r="AB28" s="528" t="e">
        <f ca="1">IF(F28="EUREUR Curncy",1,_xll.BDH(F28,"last_price",AB$11,AB$11,"days=a","fill=p"))</f>
        <v>#NAME?</v>
      </c>
      <c r="AC28" s="527" t="e">
        <f t="shared" ca="1" si="12"/>
        <v>#NAME?</v>
      </c>
      <c r="AD28" s="529" t="e">
        <f t="shared" ca="1" si="13"/>
        <v>#NAME?</v>
      </c>
      <c r="AE28" s="560" t="s">
        <v>12603</v>
      </c>
      <c r="AF28" s="564"/>
      <c r="AH28" s="506" t="str">
        <f t="shared" ca="1" si="14"/>
        <v/>
      </c>
      <c r="AI28" s="534" t="str">
        <f t="shared" ca="1" si="0"/>
        <v/>
      </c>
      <c r="AJ28" s="512" t="e">
        <f t="shared" ca="1" si="1"/>
        <v>#NAME?</v>
      </c>
      <c r="AL28" s="534" t="e">
        <f t="shared" ca="1" si="19"/>
        <v>#NAME?</v>
      </c>
      <c r="AM28" s="534" t="e">
        <f t="shared" ca="1" si="15"/>
        <v>#NAME?</v>
      </c>
      <c r="AN28" s="506" t="e">
        <f ca="1">_xll.BDP(C28 &amp; " Equity","COUNTRY")</f>
        <v>#NAME?</v>
      </c>
      <c r="AO28" s="506" t="e">
        <f ca="1">_xll.BDP(C28 &amp; " Equity","COUNTRY")</f>
        <v>#NAME?</v>
      </c>
      <c r="AP28" s="506" t="e">
        <f t="shared" ca="1" si="16"/>
        <v>#NAME?</v>
      </c>
      <c r="AQ28" s="523" t="e">
        <f t="shared" ca="1" si="17"/>
        <v>#NAME?</v>
      </c>
      <c r="AR28" s="651"/>
      <c r="AS28" s="192"/>
      <c r="AT28" s="192"/>
      <c r="AU28" s="192"/>
      <c r="AV28" s="192"/>
      <c r="AW28" s="192"/>
      <c r="AX28" s="192"/>
      <c r="AY28" s="192"/>
      <c r="AZ28" s="192"/>
      <c r="BA28" s="192"/>
      <c r="BB28" s="761"/>
      <c r="BC28" s="720"/>
    </row>
    <row r="29" spans="1:62" s="564" customFormat="1">
      <c r="A29" s="534" t="e">
        <f ca="1">_xll.BDP(B29 &amp; " Equity","ID_ISIN")</f>
        <v>#NAME?</v>
      </c>
      <c r="B29" s="558" t="s">
        <v>12713</v>
      </c>
      <c r="C29" s="506" t="str">
        <f t="shared" si="2"/>
        <v>ERA FP</v>
      </c>
      <c r="D29" s="507" t="str">
        <f ca="1">IFERROR(_xll.BDP(C29&amp; " Equity","CAST_PARENT_NAME"),"")</f>
        <v/>
      </c>
      <c r="E29" s="508" t="e">
        <f ca="1">_xll.BDP(A29 &amp; " Equity","SECURITY_NAME")</f>
        <v>#NAME?</v>
      </c>
      <c r="F29" s="506" t="e">
        <f t="shared" ca="1" si="3"/>
        <v>#NAME?</v>
      </c>
      <c r="G29" s="509" t="e">
        <f ca="1">IF(N29="EUR",1,IF(N29="GBp",_xll.BDP(F29,"PX LAST")*100,_xll.BDP(F29,"PX LAST")))</f>
        <v>#NAME?</v>
      </c>
      <c r="H29" s="510" t="e">
        <f t="shared" ca="1" si="4"/>
        <v>#NAME?</v>
      </c>
      <c r="I29" s="510" t="e">
        <f t="shared" ca="1" si="5"/>
        <v>#NAME?</v>
      </c>
      <c r="J29" s="511" t="e">
        <f t="shared" ca="1" si="6"/>
        <v>#NAME?</v>
      </c>
      <c r="K29" s="511" t="e">
        <f t="shared" ca="1" si="7"/>
        <v>#NAME?</v>
      </c>
      <c r="L29" s="513">
        <f ca="1">SUMIF(TradesEquity!$E$11:$E$1816,A29,TradesEquity!$M$11:$M$1816)</f>
        <v>-1463572</v>
      </c>
      <c r="M29" s="514" t="e">
        <f ca="1">_xll.BDP(C29 &amp; " Equity","PX_LAST")</f>
        <v>#NAME?</v>
      </c>
      <c r="N29" s="515" t="e">
        <f ca="1">_xll.BDP(C29 &amp; " Equity","Crncy")</f>
        <v>#NAME?</v>
      </c>
      <c r="O29" s="559"/>
      <c r="P29" s="559"/>
      <c r="Q29" s="559"/>
      <c r="R29" s="559"/>
      <c r="S29" s="558"/>
      <c r="T29" s="514" t="e">
        <f t="shared" ca="1" si="8"/>
        <v>#NAME?</v>
      </c>
      <c r="U29" s="525" t="e">
        <f t="shared" ca="1" si="9"/>
        <v>#NAME?</v>
      </c>
      <c r="V29" s="523" t="e">
        <f t="shared" ca="1" si="10"/>
        <v>#NAME?</v>
      </c>
      <c r="W29" s="745"/>
      <c r="X29" s="527" t="e">
        <f t="shared" ca="1" si="11"/>
        <v>#NAME?</v>
      </c>
      <c r="Y29" s="528" t="e">
        <f ca="1">_xll.BDH(B29 &amp; " Equity","PX_LAST",$Y$11,$Y$11,"days=a","fill=p")</f>
        <v>#NAME?</v>
      </c>
      <c r="Z29" s="528" t="e">
        <f t="shared" ca="1" si="18"/>
        <v>#NAME?</v>
      </c>
      <c r="AA29" s="528" t="e">
        <f ca="1">_xll.BDH(C29 &amp; " Equity","PX_LAST",$AA$11,$AA$11,"days=a","fill=p")</f>
        <v>#NAME?</v>
      </c>
      <c r="AB29" s="528" t="e">
        <f ca="1">IF(F29="EUREUR Curncy",1,_xll.BDH(F29,"last_price",AB$11,AB$11,"days=a","fill=p"))</f>
        <v>#NAME?</v>
      </c>
      <c r="AC29" s="527" t="e">
        <f t="shared" ca="1" si="12"/>
        <v>#NAME?</v>
      </c>
      <c r="AD29" s="529" t="e">
        <f t="shared" ca="1" si="13"/>
        <v>#NAME?</v>
      </c>
      <c r="AE29" s="560" t="s">
        <v>12603</v>
      </c>
      <c r="AG29" s="593" t="s">
        <v>1644</v>
      </c>
      <c r="AH29" s="506" t="str">
        <f t="shared" ca="1" si="14"/>
        <v/>
      </c>
      <c r="AI29" s="534" t="str">
        <f t="shared" ca="1" si="0"/>
        <v/>
      </c>
      <c r="AJ29" s="512" t="e">
        <f t="shared" ca="1" si="1"/>
        <v>#NAME?</v>
      </c>
      <c r="AL29" s="534" t="e">
        <f t="shared" ca="1" si="19"/>
        <v>#NAME?</v>
      </c>
      <c r="AM29" s="534" t="e">
        <f t="shared" ca="1" si="15"/>
        <v>#NAME?</v>
      </c>
      <c r="AN29" s="506" t="e">
        <f ca="1">_xll.BDP(C29 &amp; " Equity","COUNTRY")</f>
        <v>#NAME?</v>
      </c>
      <c r="AO29" s="506" t="e">
        <f ca="1">_xll.BDP(C29 &amp; " Equity","COUNTRY")</f>
        <v>#NAME?</v>
      </c>
      <c r="AP29" s="506" t="e">
        <f t="shared" ca="1" si="16"/>
        <v>#NAME?</v>
      </c>
      <c r="AQ29" s="523" t="e">
        <f t="shared" ca="1" si="17"/>
        <v>#NAME?</v>
      </c>
      <c r="AR29" s="651"/>
      <c r="AS29" s="192"/>
      <c r="AT29" s="192"/>
      <c r="AU29" s="192"/>
      <c r="AV29" s="192"/>
      <c r="AW29" s="192"/>
      <c r="AX29" s="192"/>
      <c r="AY29" s="192"/>
      <c r="AZ29" s="192"/>
      <c r="BA29" s="192"/>
      <c r="BB29" s="761"/>
      <c r="BC29" s="720"/>
      <c r="BD29" s="193"/>
      <c r="BE29" s="625"/>
      <c r="BF29" s="625"/>
      <c r="BG29" s="625"/>
      <c r="BH29" s="625"/>
      <c r="BI29" s="625"/>
      <c r="BJ29" s="625"/>
    </row>
    <row r="30" spans="1:62">
      <c r="A30" s="534" t="e">
        <f ca="1">_xll.BDP(B30 &amp; " Equity","ID_ISIN")</f>
        <v>#NAME?</v>
      </c>
      <c r="B30" s="558" t="s">
        <v>12714</v>
      </c>
      <c r="C30" s="506" t="str">
        <f t="shared" si="2"/>
        <v>FR FP</v>
      </c>
      <c r="D30" s="507" t="str">
        <f ca="1">IFERROR(_xll.BDP(C30&amp; " Equity","CAST_PARENT_NAME"),"")</f>
        <v/>
      </c>
      <c r="E30" s="508" t="e">
        <f ca="1">_xll.BDP(A30 &amp; " Equity","SECURITY_NAME")</f>
        <v>#NAME?</v>
      </c>
      <c r="F30" s="506" t="e">
        <f t="shared" ca="1" si="3"/>
        <v>#NAME?</v>
      </c>
      <c r="G30" s="509" t="e">
        <f ca="1">IF(N30="EUR",1,IF(N30="GBp",_xll.BDP(F30,"PX LAST")*100,_xll.BDP(F30,"PX LAST")))</f>
        <v>#NAME?</v>
      </c>
      <c r="H30" s="510" t="e">
        <f t="shared" ca="1" si="4"/>
        <v>#NAME?</v>
      </c>
      <c r="I30" s="510" t="e">
        <f t="shared" ca="1" si="5"/>
        <v>#NAME?</v>
      </c>
      <c r="J30" s="511" t="e">
        <f t="shared" ca="1" si="6"/>
        <v>#NAME?</v>
      </c>
      <c r="K30" s="511" t="e">
        <f t="shared" ca="1" si="7"/>
        <v>#NAME?</v>
      </c>
      <c r="L30" s="513">
        <f ca="1">SUMIF(TradesEquity!$E$11:$E$1816,A30,TradesEquity!$M$11:$M$1816)</f>
        <v>-1463572</v>
      </c>
      <c r="M30" s="514" t="e">
        <f ca="1">_xll.BDP(C30 &amp; " Equity","PX_LAST")</f>
        <v>#NAME?</v>
      </c>
      <c r="N30" s="515" t="e">
        <f ca="1">_xll.BDP(C30 &amp; " Equity","Crncy")</f>
        <v>#NAME?</v>
      </c>
      <c r="O30" s="559"/>
      <c r="P30" s="559"/>
      <c r="Q30" s="559"/>
      <c r="R30" s="559"/>
      <c r="S30" s="558"/>
      <c r="T30" s="514" t="e">
        <f t="shared" ca="1" si="8"/>
        <v>#NAME?</v>
      </c>
      <c r="U30" s="525" t="e">
        <f t="shared" ca="1" si="9"/>
        <v>#NAME?</v>
      </c>
      <c r="V30" s="523" t="e">
        <f t="shared" ca="1" si="10"/>
        <v>#NAME?</v>
      </c>
      <c r="W30" s="745"/>
      <c r="X30" s="527" t="e">
        <f t="shared" ca="1" si="11"/>
        <v>#NAME?</v>
      </c>
      <c r="Y30" s="528" t="e">
        <f ca="1">_xll.BDH(B30 &amp; " Equity","PX_LAST",$Y$11,$Y$11,"days=a","fill=p")</f>
        <v>#NAME?</v>
      </c>
      <c r="Z30" s="528" t="e">
        <f t="shared" ca="1" si="18"/>
        <v>#NAME?</v>
      </c>
      <c r="AA30" s="528" t="e">
        <f ca="1">_xll.BDH(C30 &amp; " Equity","PX_LAST",$AA$11,$AA$11,"days=a","fill=p")</f>
        <v>#NAME?</v>
      </c>
      <c r="AB30" s="528" t="e">
        <f ca="1">IF(F30="EUREUR Curncy",1,_xll.BDH(F30,"last_price",AB$11,AB$11,"days=a","fill=p"))</f>
        <v>#NAME?</v>
      </c>
      <c r="AC30" s="527" t="e">
        <f t="shared" ca="1" si="12"/>
        <v>#NAME?</v>
      </c>
      <c r="AD30" s="529" t="e">
        <f t="shared" ca="1" si="13"/>
        <v>#NAME?</v>
      </c>
      <c r="AE30" s="560" t="s">
        <v>12603</v>
      </c>
      <c r="AF30" s="564"/>
      <c r="AH30" s="506" t="str">
        <f t="shared" ca="1" si="14"/>
        <v/>
      </c>
      <c r="AI30" s="534" t="str">
        <f t="shared" ca="1" si="0"/>
        <v/>
      </c>
      <c r="AJ30" s="512" t="e">
        <f t="shared" ca="1" si="1"/>
        <v>#NAME?</v>
      </c>
      <c r="AL30" s="534" t="e">
        <f t="shared" ca="1" si="19"/>
        <v>#NAME?</v>
      </c>
      <c r="AM30" s="534" t="e">
        <f t="shared" ca="1" si="15"/>
        <v>#NAME?</v>
      </c>
      <c r="AN30" s="506" t="e">
        <f ca="1">_xll.BDP(C30 &amp; " Equity","COUNTRY")</f>
        <v>#NAME?</v>
      </c>
      <c r="AO30" s="506" t="e">
        <f ca="1">_xll.BDP(C30 &amp; " Equity","COUNTRY")</f>
        <v>#NAME?</v>
      </c>
      <c r="AP30" s="506" t="e">
        <f t="shared" ca="1" si="16"/>
        <v>#NAME?</v>
      </c>
      <c r="AQ30" s="523" t="e">
        <f t="shared" ca="1" si="17"/>
        <v>#NAME?</v>
      </c>
      <c r="AR30" s="651"/>
      <c r="AS30" s="192"/>
      <c r="AT30" s="192"/>
      <c r="AU30" s="192"/>
      <c r="AV30" s="192"/>
      <c r="AW30" s="192"/>
      <c r="AX30" s="192"/>
      <c r="AY30" s="192"/>
      <c r="AZ30" s="192"/>
      <c r="BA30" s="192"/>
      <c r="BB30" s="761"/>
      <c r="BC30" s="720"/>
      <c r="BF30" s="701"/>
      <c r="BG30" s="701"/>
    </row>
    <row r="31" spans="1:62">
      <c r="A31" s="534" t="e">
        <f ca="1">_xll.BDP(B31 &amp; " Equity","ID_ISIN")</f>
        <v>#NAME?</v>
      </c>
      <c r="B31" s="558" t="s">
        <v>12715</v>
      </c>
      <c r="C31" s="506" t="str">
        <f t="shared" si="2"/>
        <v>CON GR</v>
      </c>
      <c r="D31" s="507" t="str">
        <f ca="1">IFERROR(_xll.BDP(C31&amp; " Equity","CAST_PARENT_NAME"),"")</f>
        <v/>
      </c>
      <c r="E31" s="508" t="e">
        <f ca="1">_xll.BDP(A31 &amp; " Equity","SECURITY_NAME")</f>
        <v>#NAME?</v>
      </c>
      <c r="F31" s="506" t="e">
        <f t="shared" ca="1" si="3"/>
        <v>#NAME?</v>
      </c>
      <c r="G31" s="509" t="e">
        <f ca="1">IF(N31="EUR",1,IF(N31="GBp",_xll.BDP(F31,"PX LAST")*100,_xll.BDP(F31,"PX LAST")))</f>
        <v>#NAME?</v>
      </c>
      <c r="H31" s="510" t="e">
        <f t="shared" ca="1" si="4"/>
        <v>#NAME?</v>
      </c>
      <c r="I31" s="510" t="e">
        <f t="shared" ca="1" si="5"/>
        <v>#NAME?</v>
      </c>
      <c r="J31" s="511" t="e">
        <f t="shared" ca="1" si="6"/>
        <v>#NAME?</v>
      </c>
      <c r="K31" s="511" t="e">
        <f t="shared" ca="1" si="7"/>
        <v>#NAME?</v>
      </c>
      <c r="L31" s="513">
        <f ca="1">SUMIF(TradesEquity!$E$11:$E$1816,A31,TradesEquity!$M$11:$M$1816)</f>
        <v>-1463572</v>
      </c>
      <c r="M31" s="514" t="e">
        <f ca="1">_xll.BDP(C31 &amp; " Equity","PX_LAST")</f>
        <v>#NAME?</v>
      </c>
      <c r="N31" s="515" t="e">
        <f ca="1">_xll.BDP(C31 &amp; " Equity","Crncy")</f>
        <v>#NAME?</v>
      </c>
      <c r="O31" s="559"/>
      <c r="P31" s="559"/>
      <c r="Q31" s="559"/>
      <c r="R31" s="559"/>
      <c r="S31" s="558"/>
      <c r="T31" s="514" t="e">
        <f t="shared" ca="1" si="8"/>
        <v>#NAME?</v>
      </c>
      <c r="U31" s="525" t="e">
        <f t="shared" ca="1" si="9"/>
        <v>#NAME?</v>
      </c>
      <c r="V31" s="523" t="e">
        <f t="shared" ca="1" si="10"/>
        <v>#NAME?</v>
      </c>
      <c r="W31" s="745"/>
      <c r="X31" s="527" t="e">
        <f t="shared" ca="1" si="11"/>
        <v>#NAME?</v>
      </c>
      <c r="Y31" s="528" t="e">
        <f ca="1">_xll.BDH(B31 &amp; " Equity","PX_LAST",$Y$11,$Y$11,"days=a","fill=p")</f>
        <v>#NAME?</v>
      </c>
      <c r="Z31" s="528" t="e">
        <f t="shared" ca="1" si="18"/>
        <v>#NAME?</v>
      </c>
      <c r="AA31" s="528" t="e">
        <f ca="1">_xll.BDH(C31 &amp; " Equity","PX_LAST",$AA$11,$AA$11,"days=a","fill=p")</f>
        <v>#NAME?</v>
      </c>
      <c r="AB31" s="528" t="e">
        <f ca="1">IF(F31="EUREUR Curncy",1,_xll.BDH(F31,"last_price",AB$11,AB$11,"days=a","fill=p"))</f>
        <v>#NAME?</v>
      </c>
      <c r="AC31" s="527" t="e">
        <f t="shared" ca="1" si="12"/>
        <v>#NAME?</v>
      </c>
      <c r="AD31" s="529" t="e">
        <f t="shared" ca="1" si="13"/>
        <v>#NAME?</v>
      </c>
      <c r="AE31" s="560" t="s">
        <v>12603</v>
      </c>
      <c r="AF31" s="564"/>
      <c r="AH31" s="506" t="str">
        <f t="shared" ca="1" si="14"/>
        <v/>
      </c>
      <c r="AI31" s="534" t="str">
        <f t="shared" ca="1" si="0"/>
        <v/>
      </c>
      <c r="AJ31" s="512" t="e">
        <f t="shared" ca="1" si="1"/>
        <v>#NAME?</v>
      </c>
      <c r="AL31" s="534" t="e">
        <f t="shared" ca="1" si="19"/>
        <v>#NAME?</v>
      </c>
      <c r="AM31" s="534" t="e">
        <f t="shared" ca="1" si="15"/>
        <v>#NAME?</v>
      </c>
      <c r="AN31" s="506" t="e">
        <f ca="1">_xll.BDP(C31 &amp; " Equity","COUNTRY")</f>
        <v>#NAME?</v>
      </c>
      <c r="AO31" s="506" t="e">
        <f ca="1">_xll.BDP(C31 &amp; " Equity","COUNTRY")</f>
        <v>#NAME?</v>
      </c>
      <c r="AP31" s="506" t="e">
        <f t="shared" ca="1" si="16"/>
        <v>#NAME?</v>
      </c>
      <c r="AQ31" s="523" t="e">
        <f t="shared" ca="1" si="17"/>
        <v>#NAME?</v>
      </c>
      <c r="AR31" s="651"/>
      <c r="AS31" s="192"/>
      <c r="AT31" s="192"/>
      <c r="AU31" s="192"/>
      <c r="AV31" s="192"/>
      <c r="AW31" s="192"/>
      <c r="AX31" s="192"/>
      <c r="AY31" s="192"/>
      <c r="AZ31" s="192"/>
      <c r="BA31" s="192"/>
      <c r="BB31" s="761"/>
      <c r="BC31" s="720"/>
      <c r="BE31" s="625"/>
      <c r="BF31" s="625"/>
      <c r="BG31" s="625"/>
      <c r="BH31" s="625"/>
      <c r="BI31" s="625"/>
      <c r="BJ31" s="625"/>
    </row>
    <row r="32" spans="1:62">
      <c r="A32" s="534" t="e">
        <f ca="1">_xll.BDP(B32 &amp; " Equity","ID_ISIN")</f>
        <v>#NAME?</v>
      </c>
      <c r="B32" s="558" t="s">
        <v>12716</v>
      </c>
      <c r="C32" s="506" t="str">
        <f t="shared" si="2"/>
        <v>RNO FP</v>
      </c>
      <c r="D32" s="507" t="str">
        <f ca="1">IFERROR(_xll.BDP(C32&amp; " Equity","CAST_PARENT_NAME"),"")</f>
        <v/>
      </c>
      <c r="E32" s="508" t="e">
        <f ca="1">_xll.BDP(A32 &amp; " Equity","SECURITY_NAME")</f>
        <v>#NAME?</v>
      </c>
      <c r="F32" s="506" t="e">
        <f t="shared" ca="1" si="3"/>
        <v>#NAME?</v>
      </c>
      <c r="G32" s="509" t="e">
        <f ca="1">IF(N32="EUR",1,IF(N32="GBp",_xll.BDP(F32,"PX LAST")*100,_xll.BDP(F32,"PX LAST")))</f>
        <v>#NAME?</v>
      </c>
      <c r="H32" s="510" t="e">
        <f t="shared" ca="1" si="4"/>
        <v>#NAME?</v>
      </c>
      <c r="I32" s="510" t="e">
        <f t="shared" ca="1" si="5"/>
        <v>#NAME?</v>
      </c>
      <c r="J32" s="511" t="e">
        <f t="shared" ca="1" si="6"/>
        <v>#NAME?</v>
      </c>
      <c r="K32" s="511" t="e">
        <f t="shared" ca="1" si="7"/>
        <v>#NAME?</v>
      </c>
      <c r="L32" s="513">
        <f ca="1">SUMIF(TradesEquity!$E$11:$E$1816,A32,TradesEquity!$M$11:$M$1816)</f>
        <v>-1463572</v>
      </c>
      <c r="M32" s="514" t="e">
        <f ca="1">_xll.BDP(C32 &amp; " Equity","PX_LAST")</f>
        <v>#NAME?</v>
      </c>
      <c r="N32" s="515" t="e">
        <f ca="1">_xll.BDP(C32 &amp; " Equity","Crncy")</f>
        <v>#NAME?</v>
      </c>
      <c r="O32" s="559"/>
      <c r="P32" s="559"/>
      <c r="Q32" s="559"/>
      <c r="R32" s="559"/>
      <c r="S32" s="558"/>
      <c r="T32" s="514" t="e">
        <f t="shared" ca="1" si="8"/>
        <v>#NAME?</v>
      </c>
      <c r="U32" s="525" t="e">
        <f t="shared" ca="1" si="9"/>
        <v>#NAME?</v>
      </c>
      <c r="V32" s="523" t="e">
        <f t="shared" ca="1" si="10"/>
        <v>#NAME?</v>
      </c>
      <c r="W32" s="745"/>
      <c r="X32" s="527" t="e">
        <f t="shared" ca="1" si="11"/>
        <v>#NAME?</v>
      </c>
      <c r="Y32" s="528" t="e">
        <f ca="1">_xll.BDH(B32 &amp; " Equity","PX_LAST",$Y$11,$Y$11,"days=a","fill=p")</f>
        <v>#NAME?</v>
      </c>
      <c r="Z32" s="528" t="e">
        <f t="shared" ca="1" si="18"/>
        <v>#NAME?</v>
      </c>
      <c r="AA32" s="528" t="e">
        <f ca="1">_xll.BDH(C32 &amp; " Equity","PX_LAST",$AA$11,$AA$11,"days=a","fill=p")</f>
        <v>#NAME?</v>
      </c>
      <c r="AB32" s="528" t="e">
        <f ca="1">IF(F32="EUREUR Curncy",1,_xll.BDH(F32,"last_price",AB$11,AB$11,"days=a","fill=p"))</f>
        <v>#NAME?</v>
      </c>
      <c r="AC32" s="527" t="e">
        <f t="shared" ca="1" si="12"/>
        <v>#NAME?</v>
      </c>
      <c r="AD32" s="529" t="e">
        <f t="shared" ca="1" si="13"/>
        <v>#NAME?</v>
      </c>
      <c r="AE32" s="560" t="s">
        <v>12603</v>
      </c>
      <c r="AF32" s="564"/>
      <c r="AH32" s="506" t="str">
        <f t="shared" ca="1" si="14"/>
        <v/>
      </c>
      <c r="AI32" s="534" t="str">
        <f t="shared" ca="1" si="0"/>
        <v/>
      </c>
      <c r="AJ32" s="512" t="e">
        <f t="shared" ca="1" si="1"/>
        <v>#NAME?</v>
      </c>
      <c r="AL32" s="534" t="e">
        <f t="shared" ca="1" si="19"/>
        <v>#NAME?</v>
      </c>
      <c r="AM32" s="534" t="e">
        <f t="shared" ca="1" si="15"/>
        <v>#NAME?</v>
      </c>
      <c r="AN32" s="506" t="e">
        <f ca="1">_xll.BDP(C32 &amp; " Equity","COUNTRY")</f>
        <v>#NAME?</v>
      </c>
      <c r="AO32" s="506" t="e">
        <f ca="1">_xll.BDP(C32 &amp; " Equity","COUNTRY")</f>
        <v>#NAME?</v>
      </c>
      <c r="AP32" s="506" t="e">
        <f t="shared" ca="1" si="16"/>
        <v>#NAME?</v>
      </c>
      <c r="AQ32" s="523" t="e">
        <f t="shared" ca="1" si="17"/>
        <v>#NAME?</v>
      </c>
      <c r="AR32" s="651"/>
      <c r="AS32" s="192"/>
      <c r="AT32" s="192"/>
      <c r="AU32" s="192"/>
      <c r="AV32" s="192"/>
      <c r="AW32" s="192"/>
      <c r="AX32" s="192"/>
      <c r="AY32" s="192"/>
      <c r="AZ32" s="192"/>
      <c r="BA32" s="192"/>
      <c r="BB32" s="761"/>
      <c r="BC32" s="720"/>
    </row>
    <row r="33" spans="1:62" s="565" customFormat="1">
      <c r="A33" s="534" t="e">
        <f ca="1">_xll.BDP(B33 &amp; " Equity","ID_ISIN")</f>
        <v>#NAME?</v>
      </c>
      <c r="B33" s="562" t="s">
        <v>12734</v>
      </c>
      <c r="C33" s="519" t="str">
        <f t="shared" si="2"/>
        <v>NKL CN</v>
      </c>
      <c r="D33" s="507" t="str">
        <f ca="1">IFERROR(_xll.BDP(C33&amp; " Equity","CAST_PARENT_NAME"),"")</f>
        <v/>
      </c>
      <c r="E33" s="508" t="e">
        <f ca="1">_xll.BDP(A33 &amp; " Equity","SECURITY_NAME")</f>
        <v>#NAME?</v>
      </c>
      <c r="F33" s="506" t="e">
        <f t="shared" ca="1" si="3"/>
        <v>#NAME?</v>
      </c>
      <c r="G33" s="509" t="e">
        <f ca="1">IF(N33="EUR",1,IF(N33="GBp",_xll.BDP(F33,"PX LAST")*100,_xll.BDP(F33,"PX LAST")))</f>
        <v>#NAME?</v>
      </c>
      <c r="H33" s="520" t="e">
        <f t="shared" ca="1" si="4"/>
        <v>#NAME?</v>
      </c>
      <c r="I33" s="520" t="e">
        <f t="shared" ca="1" si="5"/>
        <v>#NAME?</v>
      </c>
      <c r="J33" s="521" t="e">
        <f t="shared" ca="1" si="6"/>
        <v>#NAME?</v>
      </c>
      <c r="K33" s="521" t="e">
        <f t="shared" ca="1" si="7"/>
        <v>#NAME?</v>
      </c>
      <c r="L33" s="513">
        <f ca="1">SUMIF(TradesEquity!$E$11:$E$1816,A33,TradesEquity!$M$11:$M$1816)</f>
        <v>-1463572</v>
      </c>
      <c r="M33" s="514" t="e">
        <f ca="1">_xll.BDP(C33 &amp; " Equity","PX_LAST")</f>
        <v>#NAME?</v>
      </c>
      <c r="N33" s="515" t="e">
        <f ca="1">_xll.BDP(C33 &amp; " Equity","Crncy")</f>
        <v>#NAME?</v>
      </c>
      <c r="O33" s="762"/>
      <c r="P33" s="762"/>
      <c r="Q33" s="762"/>
      <c r="R33" s="762"/>
      <c r="S33" s="562"/>
      <c r="T33" s="514" t="e">
        <f t="shared" ca="1" si="8"/>
        <v>#NAME?</v>
      </c>
      <c r="U33" s="522" t="e">
        <f t="shared" ca="1" si="9"/>
        <v>#NAME?</v>
      </c>
      <c r="V33" s="526" t="e">
        <f t="shared" ca="1" si="10"/>
        <v>#NAME?</v>
      </c>
      <c r="W33" s="764"/>
      <c r="X33" s="532" t="e">
        <f t="shared" ca="1" si="11"/>
        <v>#NAME?</v>
      </c>
      <c r="Y33" s="528" t="e">
        <f ca="1">_xll.BDH(B33 &amp; " Equity","PX_LAST",$Y$11,$Y$11,"days=a","fill=p")</f>
        <v>#NAME?</v>
      </c>
      <c r="Z33" s="528" t="e">
        <f t="shared" ca="1" si="18"/>
        <v>#NAME?</v>
      </c>
      <c r="AA33" s="528" t="e">
        <f ca="1">_xll.BDH(C33 &amp; " Equity","PX_LAST",$AA$11,$AA$11,"days=a","fill=p")</f>
        <v>#NAME?</v>
      </c>
      <c r="AB33" s="528" t="e">
        <f ca="1">IF(F33="EUREUR Curncy",1,_xll.BDH(F33,"last_price",AB$11,AB$11,"days=a","fill=p"))</f>
        <v>#NAME?</v>
      </c>
      <c r="AC33" s="532" t="e">
        <f t="shared" ca="1" si="12"/>
        <v>#NAME?</v>
      </c>
      <c r="AD33" s="533" t="e">
        <f t="shared" ca="1" si="13"/>
        <v>#NAME?</v>
      </c>
      <c r="AE33" s="563" t="s">
        <v>12603</v>
      </c>
      <c r="AH33" s="506" t="str">
        <f t="shared" ca="1" si="14"/>
        <v/>
      </c>
      <c r="AI33" s="535" t="str">
        <f t="shared" ca="1" si="0"/>
        <v/>
      </c>
      <c r="AJ33" s="536" t="e">
        <f t="shared" ca="1" si="1"/>
        <v>#NAME?</v>
      </c>
      <c r="AL33" s="535" t="e">
        <f t="shared" ca="1" si="19"/>
        <v>#NAME?</v>
      </c>
      <c r="AM33" s="535" t="e">
        <f t="shared" ca="1" si="15"/>
        <v>#NAME?</v>
      </c>
      <c r="AN33" s="506" t="e">
        <f ca="1">_xll.BDP(C33 &amp; " Equity","COUNTRY")</f>
        <v>#NAME?</v>
      </c>
      <c r="AO33" s="506" t="e">
        <f ca="1">_xll.BDP(C33 &amp; " Equity","COUNTRY")</f>
        <v>#NAME?</v>
      </c>
      <c r="AP33" s="506" t="e">
        <f t="shared" ca="1" si="16"/>
        <v>#NAME?</v>
      </c>
      <c r="AQ33" s="526" t="e">
        <f t="shared" ca="1" si="17"/>
        <v>#NAME?</v>
      </c>
      <c r="AR33" s="765"/>
      <c r="AS33" s="191"/>
      <c r="AT33" s="191"/>
      <c r="AU33" s="191"/>
      <c r="AV33" s="191"/>
      <c r="AW33" s="191"/>
      <c r="AX33" s="191"/>
      <c r="AY33" s="191"/>
      <c r="AZ33" s="191"/>
      <c r="BA33" s="191"/>
      <c r="BB33" s="766"/>
      <c r="BC33" s="763"/>
      <c r="BD33" s="767"/>
      <c r="BE33" s="768"/>
      <c r="BF33" s="768"/>
      <c r="BG33" s="768"/>
      <c r="BH33" s="768"/>
      <c r="BI33" s="768"/>
      <c r="BJ33" s="768"/>
    </row>
    <row r="34" spans="1:62">
      <c r="A34" s="534" t="e">
        <f ca="1">_xll.BDP(B34 &amp; " Equity","ID_ISIN")</f>
        <v>#NAME?</v>
      </c>
      <c r="B34" s="558" t="s">
        <v>12717</v>
      </c>
      <c r="C34" s="506" t="str">
        <f t="shared" si="2"/>
        <v>SYR AU</v>
      </c>
      <c r="D34" s="507" t="str">
        <f ca="1">IFERROR(_xll.BDP(C34&amp; " Equity","CAST_PARENT_NAME"),"")</f>
        <v/>
      </c>
      <c r="E34" s="508" t="e">
        <f ca="1">_xll.BDP(A34 &amp; " Equity","SECURITY_NAME")</f>
        <v>#NAME?</v>
      </c>
      <c r="F34" s="506" t="e">
        <f t="shared" ca="1" si="3"/>
        <v>#NAME?</v>
      </c>
      <c r="G34" s="509" t="e">
        <f ca="1">IF(N34="EUR",1,IF(N34="GBp",_xll.BDP(F34,"PX LAST")*100,_xll.BDP(F34,"PX LAST")))</f>
        <v>#NAME?</v>
      </c>
      <c r="H34" s="510" t="e">
        <f t="shared" ca="1" si="4"/>
        <v>#NAME?</v>
      </c>
      <c r="I34" s="510" t="e">
        <f t="shared" ca="1" si="5"/>
        <v>#NAME?</v>
      </c>
      <c r="J34" s="511" t="e">
        <f t="shared" ca="1" si="6"/>
        <v>#NAME?</v>
      </c>
      <c r="K34" s="511" t="e">
        <f t="shared" ca="1" si="7"/>
        <v>#NAME?</v>
      </c>
      <c r="L34" s="513">
        <f ca="1">SUMIF(TradesEquity!$E$11:$E$1816,A34,TradesEquity!$M$11:$M$1816)</f>
        <v>-1463572</v>
      </c>
      <c r="M34" s="514" t="e">
        <f ca="1">_xll.BDP(C34 &amp; " Equity","PX_LAST")</f>
        <v>#NAME?</v>
      </c>
      <c r="N34" s="515" t="e">
        <f ca="1">_xll.BDP(C34 &amp; " Equity","Crncy")</f>
        <v>#NAME?</v>
      </c>
      <c r="O34" s="559"/>
      <c r="P34" s="559"/>
      <c r="Q34" s="559"/>
      <c r="R34" s="559"/>
      <c r="S34" s="558"/>
      <c r="T34" s="514" t="e">
        <f t="shared" ca="1" si="8"/>
        <v>#NAME?</v>
      </c>
      <c r="U34" s="525" t="e">
        <f t="shared" ca="1" si="9"/>
        <v>#NAME?</v>
      </c>
      <c r="V34" s="523" t="e">
        <f t="shared" ca="1" si="10"/>
        <v>#NAME?</v>
      </c>
      <c r="W34" s="745"/>
      <c r="X34" s="527" t="e">
        <f t="shared" ca="1" si="11"/>
        <v>#NAME?</v>
      </c>
      <c r="Y34" s="528" t="e">
        <f ca="1">_xll.BDH(B34 &amp; " Equity","PX_LAST",$Y$11,$Y$11,"days=a","fill=p")</f>
        <v>#NAME?</v>
      </c>
      <c r="Z34" s="528" t="e">
        <f t="shared" ca="1" si="18"/>
        <v>#NAME?</v>
      </c>
      <c r="AA34" s="528" t="e">
        <f ca="1">_xll.BDH(C34 &amp; " Equity","PX_LAST",$AA$11,$AA$11,"days=a","fill=p")</f>
        <v>#NAME?</v>
      </c>
      <c r="AB34" s="528" t="e">
        <f ca="1">IF(F34="EUREUR Curncy",1,_xll.BDH(F34,"last_price",AB$11,AB$11,"days=a","fill=p"))</f>
        <v>#NAME?</v>
      </c>
      <c r="AC34" s="527" t="e">
        <f t="shared" ca="1" si="12"/>
        <v>#NAME?</v>
      </c>
      <c r="AD34" s="529" t="e">
        <f t="shared" ca="1" si="13"/>
        <v>#NAME?</v>
      </c>
      <c r="AE34" s="560" t="s">
        <v>12603</v>
      </c>
      <c r="AF34" s="564"/>
      <c r="AH34" s="506" t="str">
        <f t="shared" ca="1" si="14"/>
        <v/>
      </c>
      <c r="AI34" s="534" t="str">
        <f t="shared" ca="1" si="0"/>
        <v/>
      </c>
      <c r="AJ34" s="512" t="e">
        <f t="shared" ca="1" si="1"/>
        <v>#NAME?</v>
      </c>
      <c r="AL34" s="534" t="e">
        <f t="shared" ca="1" si="19"/>
        <v>#NAME?</v>
      </c>
      <c r="AM34" s="534" t="e">
        <f t="shared" ca="1" si="15"/>
        <v>#NAME?</v>
      </c>
      <c r="AN34" s="506" t="e">
        <f ca="1">_xll.BDP(C34 &amp; " Equity","COUNTRY")</f>
        <v>#NAME?</v>
      </c>
      <c r="AO34" s="506" t="e">
        <f ca="1">_xll.BDP(C34 &amp; " Equity","COUNTRY")</f>
        <v>#NAME?</v>
      </c>
      <c r="AP34" s="506" t="e">
        <f t="shared" ca="1" si="16"/>
        <v>#NAME?</v>
      </c>
      <c r="AQ34" s="523" t="e">
        <f t="shared" ca="1" si="17"/>
        <v>#NAME?</v>
      </c>
      <c r="AR34" s="651"/>
      <c r="AS34" s="192"/>
      <c r="AT34" s="192"/>
      <c r="AU34" s="192"/>
      <c r="AV34" s="192"/>
      <c r="AW34" s="192"/>
      <c r="AX34" s="192"/>
      <c r="AY34" s="192"/>
      <c r="AZ34" s="192"/>
      <c r="BA34" s="192"/>
      <c r="BB34" s="761"/>
      <c r="BC34" s="720"/>
    </row>
    <row r="35" spans="1:62">
      <c r="A35" s="534" t="e">
        <f ca="1">_xll.BDP(B35 &amp; " Equity","ID_ISIN")</f>
        <v>#NAME?</v>
      </c>
      <c r="B35" s="558" t="s">
        <v>12735</v>
      </c>
      <c r="C35" s="506" t="str">
        <f t="shared" si="2"/>
        <v>ALELIO SS</v>
      </c>
      <c r="D35" s="507" t="str">
        <f ca="1">IFERROR(_xll.BDP(C35&amp; " Equity","CAST_PARENT_NAME"),"")</f>
        <v/>
      </c>
      <c r="E35" s="508" t="e">
        <f ca="1">_xll.BDP(A35 &amp; " Equity","SECURITY_NAME")</f>
        <v>#NAME?</v>
      </c>
      <c r="F35" s="506" t="e">
        <f t="shared" ca="1" si="3"/>
        <v>#NAME?</v>
      </c>
      <c r="G35" s="509" t="e">
        <f ca="1">IF(N35="EUR",1,IF(N35="GBp",_xll.BDP(F35,"PX LAST")*100,_xll.BDP(F35,"PX LAST")))</f>
        <v>#NAME?</v>
      </c>
      <c r="H35" s="510" t="e">
        <f t="shared" ca="1" si="4"/>
        <v>#NAME?</v>
      </c>
      <c r="I35" s="510" t="e">
        <f t="shared" ca="1" si="5"/>
        <v>#NAME?</v>
      </c>
      <c r="J35" s="511" t="e">
        <f t="shared" ca="1" si="6"/>
        <v>#NAME?</v>
      </c>
      <c r="K35" s="511" t="e">
        <f t="shared" ca="1" si="7"/>
        <v>#NAME?</v>
      </c>
      <c r="L35" s="513">
        <f ca="1">SUMIF(TradesEquity!$E$11:$E$1816,A35,TradesEquity!$M$11:$M$1816)</f>
        <v>-1463572</v>
      </c>
      <c r="M35" s="514" t="e">
        <f ca="1">_xll.BDP(C35 &amp; " Equity","PX_LAST")</f>
        <v>#NAME?</v>
      </c>
      <c r="N35" s="515" t="e">
        <f ca="1">_xll.BDP(C35 &amp; " Equity","Crncy")</f>
        <v>#NAME?</v>
      </c>
      <c r="O35" s="559"/>
      <c r="P35" s="559"/>
      <c r="Q35" s="559"/>
      <c r="R35" s="559"/>
      <c r="S35" s="558"/>
      <c r="T35" s="514" t="e">
        <f t="shared" ca="1" si="8"/>
        <v>#NAME?</v>
      </c>
      <c r="U35" s="525" t="e">
        <f t="shared" ca="1" si="9"/>
        <v>#NAME?</v>
      </c>
      <c r="V35" s="523" t="e">
        <f t="shared" ca="1" si="10"/>
        <v>#NAME?</v>
      </c>
      <c r="W35" s="745"/>
      <c r="X35" s="527" t="e">
        <f t="shared" ca="1" si="11"/>
        <v>#NAME?</v>
      </c>
      <c r="Y35" s="528" t="e">
        <f ca="1">_xll.BDH(B35 &amp; " Equity","PX_LAST",$Y$11,$Y$11,"days=a","fill=p")</f>
        <v>#NAME?</v>
      </c>
      <c r="Z35" s="528" t="e">
        <f t="shared" ca="1" si="18"/>
        <v>#NAME?</v>
      </c>
      <c r="AA35" s="528" t="e">
        <f ca="1">_xll.BDH(C35 &amp; " Equity","PX_LAST",$AA$11,$AA$11,"days=a","fill=p")</f>
        <v>#NAME?</v>
      </c>
      <c r="AB35" s="528" t="e">
        <f ca="1">IF(F35="EUREUR Curncy",1,_xll.BDH(F35,"last_price",AB$11,AB$11,"days=a","fill=p"))</f>
        <v>#NAME?</v>
      </c>
      <c r="AC35" s="527" t="e">
        <f t="shared" ca="1" si="12"/>
        <v>#NAME?</v>
      </c>
      <c r="AD35" s="529" t="e">
        <f t="shared" ca="1" si="13"/>
        <v>#NAME?</v>
      </c>
      <c r="AE35" s="560" t="s">
        <v>12603</v>
      </c>
      <c r="AF35" s="564"/>
      <c r="AH35" s="506" t="str">
        <f t="shared" ca="1" si="14"/>
        <v/>
      </c>
      <c r="AI35" s="534" t="str">
        <f t="shared" ca="1" si="0"/>
        <v/>
      </c>
      <c r="AJ35" s="512" t="e">
        <f t="shared" ca="1" si="1"/>
        <v>#NAME?</v>
      </c>
      <c r="AL35" s="534" t="e">
        <f t="shared" ca="1" si="19"/>
        <v>#NAME?</v>
      </c>
      <c r="AM35" s="534" t="e">
        <f t="shared" ca="1" si="15"/>
        <v>#NAME?</v>
      </c>
      <c r="AN35" s="506" t="e">
        <f ca="1">_xll.BDP(C35 &amp; " Equity","COUNTRY")</f>
        <v>#NAME?</v>
      </c>
      <c r="AO35" s="506" t="e">
        <f ca="1">_xll.BDP(C35 &amp; " Equity","COUNTRY")</f>
        <v>#NAME?</v>
      </c>
      <c r="AP35" s="506" t="e">
        <f t="shared" ca="1" si="16"/>
        <v>#NAME?</v>
      </c>
      <c r="AQ35" s="523" t="e">
        <f t="shared" ca="1" si="17"/>
        <v>#NAME?</v>
      </c>
      <c r="AR35" s="651"/>
      <c r="AS35" s="192"/>
      <c r="AT35" s="192"/>
      <c r="AU35" s="192"/>
      <c r="AV35" s="192"/>
      <c r="AW35" s="192"/>
      <c r="AX35" s="192"/>
      <c r="AY35" s="192"/>
      <c r="AZ35" s="192"/>
      <c r="BA35" s="192"/>
      <c r="BB35" s="761"/>
      <c r="BC35" s="720"/>
      <c r="BE35" s="625"/>
      <c r="BF35" s="625"/>
      <c r="BG35" s="625"/>
      <c r="BH35" s="625"/>
      <c r="BI35" s="625"/>
      <c r="BJ35" s="625"/>
    </row>
    <row r="36" spans="1:62">
      <c r="A36" s="534" t="e">
        <f ca="1">_xll.BDP(B36 &amp; " Equity","ID_ISIN")</f>
        <v>#NAME?</v>
      </c>
      <c r="B36" s="558" t="s">
        <v>12718</v>
      </c>
      <c r="C36" s="506" t="str">
        <f t="shared" si="2"/>
        <v>EAF US</v>
      </c>
      <c r="D36" s="507" t="str">
        <f ca="1">IFERROR(_xll.BDP(C36&amp; " Equity","CAST_PARENT_NAME"),"")</f>
        <v/>
      </c>
      <c r="E36" s="508" t="e">
        <f ca="1">_xll.BDP(A36 &amp; " Equity","SECURITY_NAME")</f>
        <v>#NAME?</v>
      </c>
      <c r="F36" s="506" t="e">
        <f t="shared" ca="1" si="3"/>
        <v>#NAME?</v>
      </c>
      <c r="G36" s="509" t="e">
        <f ca="1">IF(N36="EUR",1,IF(N36="GBp",_xll.BDP(F36,"PX LAST")*100,_xll.BDP(F36,"PX LAST")))</f>
        <v>#NAME?</v>
      </c>
      <c r="H36" s="510" t="e">
        <f t="shared" ca="1" si="4"/>
        <v>#NAME?</v>
      </c>
      <c r="I36" s="510" t="e">
        <f t="shared" ca="1" si="5"/>
        <v>#NAME?</v>
      </c>
      <c r="J36" s="511" t="e">
        <f t="shared" ca="1" si="6"/>
        <v>#NAME?</v>
      </c>
      <c r="K36" s="511" t="e">
        <f t="shared" ca="1" si="7"/>
        <v>#NAME?</v>
      </c>
      <c r="L36" s="513">
        <f ca="1">SUMIF(TradesEquity!$E$11:$E$1816,A36,TradesEquity!$M$11:$M$1816)</f>
        <v>-1463572</v>
      </c>
      <c r="M36" s="514" t="e">
        <f ca="1">_xll.BDP(C36 &amp; " Equity","PX_LAST")</f>
        <v>#NAME?</v>
      </c>
      <c r="N36" s="515" t="e">
        <f ca="1">_xll.BDP(C36 &amp; " Equity","Crncy")</f>
        <v>#NAME?</v>
      </c>
      <c r="O36" s="559"/>
      <c r="P36" s="559"/>
      <c r="Q36" s="559"/>
      <c r="R36" s="559"/>
      <c r="S36" s="558"/>
      <c r="T36" s="514" t="e">
        <f t="shared" ca="1" si="8"/>
        <v>#NAME?</v>
      </c>
      <c r="U36" s="525" t="e">
        <f t="shared" ca="1" si="9"/>
        <v>#NAME?</v>
      </c>
      <c r="V36" s="523" t="e">
        <f t="shared" ca="1" si="10"/>
        <v>#NAME?</v>
      </c>
      <c r="W36" s="745"/>
      <c r="X36" s="527" t="e">
        <f t="shared" ca="1" si="11"/>
        <v>#NAME?</v>
      </c>
      <c r="Y36" s="528" t="e">
        <f ca="1">_xll.BDH(B36 &amp; " Equity","PX_LAST",$Y$11,$Y$11,"days=a","fill=p")</f>
        <v>#NAME?</v>
      </c>
      <c r="Z36" s="528" t="e">
        <f t="shared" ca="1" si="18"/>
        <v>#NAME?</v>
      </c>
      <c r="AA36" s="528" t="e">
        <f ca="1">_xll.BDH(C36 &amp; " Equity","PX_LAST",$AA$11,$AA$11,"days=a","fill=p")</f>
        <v>#NAME?</v>
      </c>
      <c r="AB36" s="528" t="e">
        <f ca="1">IF(F36="EUREUR Curncy",1,_xll.BDH(F36,"last_price",AB$11,AB$11,"days=a","fill=p"))</f>
        <v>#NAME?</v>
      </c>
      <c r="AC36" s="527" t="e">
        <f t="shared" ca="1" si="12"/>
        <v>#NAME?</v>
      </c>
      <c r="AD36" s="529" t="e">
        <f t="shared" ca="1" si="13"/>
        <v>#NAME?</v>
      </c>
      <c r="AE36" s="560" t="s">
        <v>12603</v>
      </c>
      <c r="AF36" s="564"/>
      <c r="AH36" s="506" t="str">
        <f t="shared" ca="1" si="14"/>
        <v/>
      </c>
      <c r="AI36" s="534" t="str">
        <f t="shared" ca="1" si="0"/>
        <v/>
      </c>
      <c r="AJ36" s="512" t="e">
        <f t="shared" ca="1" si="1"/>
        <v>#NAME?</v>
      </c>
      <c r="AL36" s="534" t="e">
        <f t="shared" ca="1" si="19"/>
        <v>#NAME?</v>
      </c>
      <c r="AM36" s="534" t="e">
        <f t="shared" ca="1" si="15"/>
        <v>#NAME?</v>
      </c>
      <c r="AN36" s="506" t="e">
        <f ca="1">_xll.BDP(C36 &amp; " Equity","COUNTRY")</f>
        <v>#NAME?</v>
      </c>
      <c r="AO36" s="506" t="e">
        <f ca="1">_xll.BDP(C36 &amp; " Equity","COUNTRY")</f>
        <v>#NAME?</v>
      </c>
      <c r="AP36" s="506" t="e">
        <f t="shared" ca="1" si="16"/>
        <v>#NAME?</v>
      </c>
      <c r="AQ36" s="523" t="e">
        <f t="shared" ca="1" si="17"/>
        <v>#NAME?</v>
      </c>
      <c r="AR36" s="651"/>
      <c r="AS36" s="192"/>
      <c r="AT36" s="192"/>
      <c r="AU36" s="192"/>
      <c r="AV36" s="192"/>
      <c r="AW36" s="192"/>
      <c r="AX36" s="192"/>
      <c r="AY36" s="192"/>
      <c r="AZ36" s="192"/>
      <c r="BA36" s="192"/>
      <c r="BB36" s="761"/>
      <c r="BC36" s="720"/>
      <c r="BE36" s="625"/>
      <c r="BF36" s="625"/>
      <c r="BG36" s="625"/>
      <c r="BH36" s="625"/>
      <c r="BI36" s="625"/>
      <c r="BJ36" s="625"/>
    </row>
    <row r="37" spans="1:62">
      <c r="A37" s="534" t="e">
        <f ca="1">_xll.BDP(B37 &amp; " Equity","ID_ISIN")</f>
        <v>#NAME?</v>
      </c>
      <c r="B37" s="558" t="s">
        <v>12720</v>
      </c>
      <c r="C37" s="506" t="str">
        <f t="shared" si="2"/>
        <v>1958 HK</v>
      </c>
      <c r="D37" s="507" t="str">
        <f ca="1">IFERROR(_xll.BDP(C37&amp; " Equity","CAST_PARENT_NAME"),"")</f>
        <v/>
      </c>
      <c r="E37" s="508" t="e">
        <f ca="1">_xll.BDP(A37 &amp; " Equity","SECURITY_NAME")</f>
        <v>#NAME?</v>
      </c>
      <c r="F37" s="506" t="e">
        <f t="shared" ca="1" si="3"/>
        <v>#NAME?</v>
      </c>
      <c r="G37" s="509" t="e">
        <f ca="1">IF(N37="EUR",1,IF(N37="GBp",_xll.BDP(F37,"PX LAST")*100,_xll.BDP(F37,"PX LAST")))</f>
        <v>#NAME?</v>
      </c>
      <c r="H37" s="510" t="e">
        <f t="shared" ca="1" si="4"/>
        <v>#NAME?</v>
      </c>
      <c r="I37" s="510" t="e">
        <f t="shared" ca="1" si="5"/>
        <v>#NAME?</v>
      </c>
      <c r="J37" s="511" t="e">
        <f t="shared" ca="1" si="6"/>
        <v>#NAME?</v>
      </c>
      <c r="K37" s="511" t="e">
        <f t="shared" ca="1" si="7"/>
        <v>#NAME?</v>
      </c>
      <c r="L37" s="513">
        <f ca="1">SUMIF(TradesEquity!$E$11:$E$1816,A37,TradesEquity!$M$11:$M$1816)</f>
        <v>-1463572</v>
      </c>
      <c r="M37" s="514" t="e">
        <f ca="1">_xll.BDP(C37 &amp; " Equity","PX_LAST")</f>
        <v>#NAME?</v>
      </c>
      <c r="N37" s="515" t="e">
        <f ca="1">_xll.BDP(C37 &amp; " Equity","Crncy")</f>
        <v>#NAME?</v>
      </c>
      <c r="O37" s="559"/>
      <c r="P37" s="559"/>
      <c r="Q37" s="559"/>
      <c r="R37" s="559"/>
      <c r="S37" s="558"/>
      <c r="T37" s="514" t="e">
        <f t="shared" ca="1" si="8"/>
        <v>#NAME?</v>
      </c>
      <c r="U37" s="525" t="e">
        <f t="shared" ca="1" si="9"/>
        <v>#NAME?</v>
      </c>
      <c r="V37" s="523" t="e">
        <f t="shared" ca="1" si="10"/>
        <v>#NAME?</v>
      </c>
      <c r="W37" s="745"/>
      <c r="X37" s="527" t="e">
        <f t="shared" ca="1" si="11"/>
        <v>#NAME?</v>
      </c>
      <c r="Y37" s="528" t="e">
        <f ca="1">_xll.BDH(B37 &amp; " Equity","PX_LAST",$Y$11,$Y$11,"days=a","fill=p")</f>
        <v>#NAME?</v>
      </c>
      <c r="Z37" s="528" t="e">
        <f t="shared" ca="1" si="18"/>
        <v>#NAME?</v>
      </c>
      <c r="AA37" s="528" t="e">
        <f ca="1">_xll.BDH(C37 &amp; " Equity","PX_LAST",$AA$11,$AA$11,"days=a","fill=p")</f>
        <v>#NAME?</v>
      </c>
      <c r="AB37" s="528" t="e">
        <f ca="1">IF(F37="EUREUR Curncy",1,_xll.BDH(F37,"last_price",AB$11,AB$11,"days=a","fill=p"))</f>
        <v>#NAME?</v>
      </c>
      <c r="AC37" s="527" t="e">
        <f t="shared" ca="1" si="12"/>
        <v>#NAME?</v>
      </c>
      <c r="AD37" s="529" t="e">
        <f t="shared" ca="1" si="13"/>
        <v>#NAME?</v>
      </c>
      <c r="AE37" s="560" t="s">
        <v>12603</v>
      </c>
      <c r="AF37" s="564"/>
      <c r="AH37" s="506" t="str">
        <f t="shared" ca="1" si="14"/>
        <v/>
      </c>
      <c r="AI37" s="534" t="str">
        <f t="shared" ca="1" si="0"/>
        <v/>
      </c>
      <c r="AJ37" s="512" t="e">
        <f t="shared" ca="1" si="1"/>
        <v>#NAME?</v>
      </c>
      <c r="AL37" s="534" t="e">
        <f t="shared" ca="1" si="19"/>
        <v>#NAME?</v>
      </c>
      <c r="AM37" s="534" t="e">
        <f t="shared" ca="1" si="15"/>
        <v>#NAME?</v>
      </c>
      <c r="AN37" s="506" t="e">
        <f ca="1">_xll.BDP(C37 &amp; " Equity","COUNTRY")</f>
        <v>#NAME?</v>
      </c>
      <c r="AO37" s="506" t="e">
        <f ca="1">_xll.BDP(C37 &amp; " Equity","COUNTRY")</f>
        <v>#NAME?</v>
      </c>
      <c r="AP37" s="506" t="e">
        <f t="shared" ca="1" si="16"/>
        <v>#NAME?</v>
      </c>
      <c r="AQ37" s="523" t="e">
        <f t="shared" ca="1" si="17"/>
        <v>#NAME?</v>
      </c>
      <c r="AR37" s="651"/>
      <c r="AS37" s="192"/>
      <c r="AT37" s="705"/>
      <c r="AU37" s="705"/>
      <c r="AV37" s="705"/>
      <c r="AW37" s="192"/>
      <c r="AX37" s="705"/>
      <c r="AY37" s="705"/>
      <c r="AZ37" s="705"/>
      <c r="BA37" s="192"/>
      <c r="BB37" s="1126"/>
      <c r="BC37" s="1127"/>
      <c r="BE37" s="625"/>
      <c r="BF37" s="701"/>
      <c r="BG37" s="701"/>
      <c r="BH37" s="625"/>
      <c r="BI37" s="625"/>
      <c r="BJ37" s="625"/>
    </row>
    <row r="38" spans="1:62">
      <c r="A38" s="534" t="e">
        <f ca="1">_xll.BDP(B38 &amp; " Equity","ID_ISIN")</f>
        <v>#NAME?</v>
      </c>
      <c r="B38" s="558" t="s">
        <v>12737</v>
      </c>
      <c r="C38" s="506" t="str">
        <f t="shared" si="2"/>
        <v>4094 JP</v>
      </c>
      <c r="D38" s="507" t="str">
        <f ca="1">IFERROR(_xll.BDP(C38&amp; " Equity","CAST_PARENT_NAME"),"")</f>
        <v/>
      </c>
      <c r="E38" s="508" t="e">
        <f ca="1">_xll.BDP(A38 &amp; " Equity","SECURITY_NAME")</f>
        <v>#NAME?</v>
      </c>
      <c r="F38" s="506" t="e">
        <f t="shared" ca="1" si="3"/>
        <v>#NAME?</v>
      </c>
      <c r="G38" s="509" t="e">
        <f ca="1">IF(N38="EUR",1,IF(N38="GBp",_xll.BDP(F38,"PX LAST")*100,_xll.BDP(F38,"PX LAST")))</f>
        <v>#NAME?</v>
      </c>
      <c r="H38" s="510" t="e">
        <f t="shared" ca="1" si="4"/>
        <v>#NAME?</v>
      </c>
      <c r="I38" s="510" t="e">
        <f t="shared" ca="1" si="5"/>
        <v>#NAME?</v>
      </c>
      <c r="J38" s="511" t="e">
        <f t="shared" ca="1" si="6"/>
        <v>#NAME?</v>
      </c>
      <c r="K38" s="511" t="e">
        <f t="shared" ca="1" si="7"/>
        <v>#NAME?</v>
      </c>
      <c r="L38" s="513">
        <f ca="1">SUMIF(TradesEquity!$E$11:$E$1816,A38,TradesEquity!$M$11:$M$1816)</f>
        <v>-1463572</v>
      </c>
      <c r="M38" s="514" t="e">
        <f ca="1">_xll.BDP(C38 &amp; " Equity","PX_LAST")</f>
        <v>#NAME?</v>
      </c>
      <c r="N38" s="515" t="e">
        <f ca="1">_xll.BDP(C38 &amp; " Equity","Crncy")</f>
        <v>#NAME?</v>
      </c>
      <c r="O38" s="559"/>
      <c r="P38" s="559"/>
      <c r="Q38" s="559"/>
      <c r="R38" s="559"/>
      <c r="S38" s="558"/>
      <c r="T38" s="514" t="e">
        <f t="shared" ca="1" si="8"/>
        <v>#NAME?</v>
      </c>
      <c r="U38" s="525" t="e">
        <f t="shared" ca="1" si="9"/>
        <v>#NAME?</v>
      </c>
      <c r="V38" s="523" t="e">
        <f t="shared" ca="1" si="10"/>
        <v>#NAME?</v>
      </c>
      <c r="W38" s="745"/>
      <c r="X38" s="527" t="e">
        <f t="shared" ca="1" si="11"/>
        <v>#NAME?</v>
      </c>
      <c r="Y38" s="528" t="e">
        <f ca="1">_xll.BDH(B38 &amp; " Equity","PX_LAST",$Y$11,$Y$11,"days=a","fill=p")</f>
        <v>#NAME?</v>
      </c>
      <c r="Z38" s="528" t="e">
        <f t="shared" ca="1" si="18"/>
        <v>#NAME?</v>
      </c>
      <c r="AA38" s="528" t="e">
        <f ca="1">_xll.BDH(C38 &amp; " Equity","PX_LAST",$AA$11,$AA$11,"days=a","fill=p")</f>
        <v>#NAME?</v>
      </c>
      <c r="AB38" s="528" t="e">
        <f ca="1">IF(F38="EUREUR Curncy",1,_xll.BDH(F38,"last_price",AB$11,AB$11,"days=a","fill=p"))</f>
        <v>#NAME?</v>
      </c>
      <c r="AC38" s="527" t="e">
        <f t="shared" ca="1" si="12"/>
        <v>#NAME?</v>
      </c>
      <c r="AD38" s="529" t="e">
        <f t="shared" ca="1" si="13"/>
        <v>#NAME?</v>
      </c>
      <c r="AE38" s="560" t="s">
        <v>12603</v>
      </c>
      <c r="AF38" s="564"/>
      <c r="AH38" s="506" t="str">
        <f t="shared" ca="1" si="14"/>
        <v/>
      </c>
      <c r="AI38" s="534" t="str">
        <f t="shared" ca="1" si="0"/>
        <v/>
      </c>
      <c r="AJ38" s="512" t="e">
        <f t="shared" ca="1" si="1"/>
        <v>#NAME?</v>
      </c>
      <c r="AL38" s="534" t="e">
        <f t="shared" ca="1" si="19"/>
        <v>#NAME?</v>
      </c>
      <c r="AM38" s="534" t="e">
        <f t="shared" ca="1" si="15"/>
        <v>#NAME?</v>
      </c>
      <c r="AN38" s="506" t="e">
        <f ca="1">_xll.BDP(C38 &amp; " Equity","COUNTRY")</f>
        <v>#NAME?</v>
      </c>
      <c r="AO38" s="506" t="e">
        <f ca="1">_xll.BDP(C38 &amp; " Equity","COUNTRY")</f>
        <v>#NAME?</v>
      </c>
      <c r="AP38" s="506" t="e">
        <f t="shared" ca="1" si="16"/>
        <v>#NAME?</v>
      </c>
      <c r="AQ38" s="523" t="e">
        <f t="shared" ca="1" si="17"/>
        <v>#NAME?</v>
      </c>
      <c r="AR38" s="651"/>
      <c r="AS38" s="192"/>
      <c r="AT38" s="192"/>
      <c r="AU38" s="192"/>
      <c r="AV38" s="192"/>
      <c r="AW38" s="192"/>
      <c r="AX38" s="192"/>
      <c r="AY38" s="192"/>
      <c r="AZ38" s="192"/>
      <c r="BA38" s="192"/>
    </row>
    <row r="39" spans="1:62">
      <c r="A39" s="534" t="e">
        <f ca="1">_xll.BDP(B39 &amp; " Equity","ID_ISIN")</f>
        <v>#NAME?</v>
      </c>
      <c r="B39" s="558" t="s">
        <v>12892</v>
      </c>
      <c r="C39" s="506" t="str">
        <f t="shared" si="2"/>
        <v>MNOD LI</v>
      </c>
      <c r="D39" s="507" t="str">
        <f ca="1">IFERROR(_xll.BDP(C39&amp; " Equity","CAST_PARENT_NAME"),"")</f>
        <v/>
      </c>
      <c r="E39" s="508" t="e">
        <f ca="1">_xll.BDP(A39 &amp; " Equity","SECURITY_NAME")</f>
        <v>#NAME?</v>
      </c>
      <c r="F39" s="506" t="e">
        <f t="shared" ca="1" si="3"/>
        <v>#NAME?</v>
      </c>
      <c r="G39" s="509" t="e">
        <f ca="1">IF(N39="EUR",1,IF(N39="GBp",_xll.BDP(F39,"PX LAST")*100,_xll.BDP(F39,"PX LAST")))</f>
        <v>#NAME?</v>
      </c>
      <c r="H39" s="510" t="e">
        <f t="shared" ca="1" si="4"/>
        <v>#NAME?</v>
      </c>
      <c r="I39" s="520">
        <v>0</v>
      </c>
      <c r="J39" s="511" t="e">
        <f t="shared" ca="1" si="6"/>
        <v>#NAME?</v>
      </c>
      <c r="K39" s="511" t="e">
        <f t="shared" ca="1" si="7"/>
        <v>#NAME?</v>
      </c>
      <c r="L39" s="513">
        <f ca="1">SUMIF(TradesEquity!$E$11:$E$1816,A39,TradesEquity!$M$11:$M$1816)</f>
        <v>-1463572</v>
      </c>
      <c r="M39" s="514" t="e">
        <f ca="1">_xll.BDP(C39 &amp; " Equity","PX_LAST")</f>
        <v>#NAME?</v>
      </c>
      <c r="N39" s="515" t="e">
        <f ca="1">_xll.BDP(C39 &amp; " Equity","Crncy")</f>
        <v>#NAME?</v>
      </c>
      <c r="O39" s="559"/>
      <c r="P39" s="559"/>
      <c r="Q39" s="559"/>
      <c r="R39" s="559"/>
      <c r="S39" s="558"/>
      <c r="T39" s="514" t="e">
        <f t="shared" ca="1" si="8"/>
        <v>#NAME?</v>
      </c>
      <c r="U39" s="525" t="e">
        <f t="shared" ca="1" si="9"/>
        <v>#NAME?</v>
      </c>
      <c r="V39" s="523">
        <f t="shared" ca="1" si="10"/>
        <v>0</v>
      </c>
      <c r="W39" s="745"/>
      <c r="X39" s="527" t="e">
        <f t="shared" ca="1" si="11"/>
        <v>#NAME?</v>
      </c>
      <c r="Y39" s="528" t="e">
        <f ca="1">_xll.BDH(B39 &amp; " Equity","PX_LAST",$Y$11,$Y$11,"days=a","fill=p")</f>
        <v>#NAME?</v>
      </c>
      <c r="Z39" s="528" t="e">
        <f t="shared" ca="1" si="18"/>
        <v>#NAME?</v>
      </c>
      <c r="AA39" s="528" t="e">
        <f ca="1">_xll.BDH(C39 &amp; " Equity","PX_LAST",$AA$11,$AA$11,"days=a","fill=p")</f>
        <v>#NAME?</v>
      </c>
      <c r="AB39" s="528" t="e">
        <f ca="1">IF(F39="EUREUR Curncy",1,_xll.BDH(F39,"last_price",AB$11,AB$11,"days=a","fill=p"))</f>
        <v>#NAME?</v>
      </c>
      <c r="AC39" s="527" t="e">
        <f t="shared" ca="1" si="12"/>
        <v>#NAME?</v>
      </c>
      <c r="AD39" s="529" t="e">
        <f t="shared" ca="1" si="13"/>
        <v>#NAME?</v>
      </c>
      <c r="AE39" s="560" t="s">
        <v>12603</v>
      </c>
      <c r="AF39" s="564"/>
      <c r="AH39" s="506" t="str">
        <f t="shared" ca="1" si="14"/>
        <v/>
      </c>
      <c r="AI39" s="534" t="str">
        <f t="shared" ca="1" si="0"/>
        <v/>
      </c>
      <c r="AJ39" s="512" t="e">
        <f t="shared" ca="1" si="1"/>
        <v>#NAME?</v>
      </c>
      <c r="AL39" s="534" t="e">
        <f t="shared" ca="1" si="19"/>
        <v>#NAME?</v>
      </c>
      <c r="AM39" s="534" t="e">
        <f t="shared" ca="1" si="15"/>
        <v>#NAME?</v>
      </c>
      <c r="AN39" s="506" t="e">
        <f ca="1">_xll.BDP(C39 &amp; " Equity","COUNTRY")</f>
        <v>#NAME?</v>
      </c>
      <c r="AO39" s="506" t="e">
        <f ca="1">_xll.BDP(C39 &amp; " Equity","COUNTRY")</f>
        <v>#NAME?</v>
      </c>
      <c r="AP39" s="506" t="e">
        <f t="shared" ca="1" si="16"/>
        <v>#NAME?</v>
      </c>
      <c r="AQ39" s="523" t="e">
        <f t="shared" ca="1" si="17"/>
        <v>#NAME?</v>
      </c>
      <c r="AR39" s="651"/>
      <c r="AS39" s="192"/>
      <c r="AT39" s="192"/>
      <c r="AU39" s="192"/>
      <c r="AV39" s="192"/>
      <c r="AW39" s="192"/>
      <c r="AX39" s="192"/>
      <c r="AY39" s="192"/>
      <c r="AZ39" s="192"/>
      <c r="BA39" s="192"/>
    </row>
    <row r="40" spans="1:62">
      <c r="A40" s="534" t="e">
        <f ca="1">_xll.BDP(B40 &amp; " Equity","ID_ISIN")</f>
        <v>#NAME?</v>
      </c>
      <c r="B40" s="558" t="s">
        <v>12739</v>
      </c>
      <c r="C40" s="506" t="str">
        <f t="shared" si="2"/>
        <v>4109 JP</v>
      </c>
      <c r="D40" s="507" t="str">
        <f ca="1">IFERROR(_xll.BDP(C40&amp; " Equity","CAST_PARENT_NAME"),"")</f>
        <v/>
      </c>
      <c r="E40" s="508" t="e">
        <f ca="1">_xll.BDP(A40 &amp; " Equity","SECURITY_NAME")</f>
        <v>#NAME?</v>
      </c>
      <c r="F40" s="506" t="e">
        <f t="shared" ca="1" si="3"/>
        <v>#NAME?</v>
      </c>
      <c r="G40" s="509" t="e">
        <f ca="1">IF(N40="EUR",1,IF(N40="GBp",_xll.BDP(F40,"PX LAST")*100,_xll.BDP(F40,"PX LAST")))</f>
        <v>#NAME?</v>
      </c>
      <c r="H40" s="510" t="e">
        <f t="shared" ca="1" si="4"/>
        <v>#NAME?</v>
      </c>
      <c r="I40" s="510" t="e">
        <f t="shared" ca="1" si="5"/>
        <v>#NAME?</v>
      </c>
      <c r="J40" s="511" t="e">
        <f t="shared" ca="1" si="6"/>
        <v>#NAME?</v>
      </c>
      <c r="K40" s="511" t="e">
        <f t="shared" ca="1" si="7"/>
        <v>#NAME?</v>
      </c>
      <c r="L40" s="513">
        <f ca="1">SUMIF(TradesEquity!$E$11:$E$1816,A40,TradesEquity!$M$11:$M$1816)</f>
        <v>-1463572</v>
      </c>
      <c r="M40" s="514" t="e">
        <f ca="1">_xll.BDP(C40 &amp; " Equity","PX_LAST")</f>
        <v>#NAME?</v>
      </c>
      <c r="N40" s="515" t="e">
        <f ca="1">_xll.BDP(C40 &amp; " Equity","Crncy")</f>
        <v>#NAME?</v>
      </c>
      <c r="O40" s="559"/>
      <c r="P40" s="559"/>
      <c r="Q40" s="559"/>
      <c r="R40" s="559"/>
      <c r="S40" s="558"/>
      <c r="T40" s="514" t="e">
        <f t="shared" ca="1" si="8"/>
        <v>#NAME?</v>
      </c>
      <c r="U40" s="525" t="e">
        <f t="shared" ca="1" si="9"/>
        <v>#NAME?</v>
      </c>
      <c r="V40" s="523" t="e">
        <f t="shared" ca="1" si="10"/>
        <v>#NAME?</v>
      </c>
      <c r="W40" s="745"/>
      <c r="X40" s="527" t="e">
        <f t="shared" ca="1" si="11"/>
        <v>#NAME?</v>
      </c>
      <c r="Y40" s="528" t="e">
        <f ca="1">_xll.BDH(B40 &amp; " Equity","PX_LAST",$Y$11,$Y$11,"days=a","fill=p")</f>
        <v>#NAME?</v>
      </c>
      <c r="Z40" s="528" t="e">
        <f t="shared" ca="1" si="18"/>
        <v>#NAME?</v>
      </c>
      <c r="AA40" s="528" t="e">
        <f ca="1">_xll.BDH(C40 &amp; " Equity","PX_LAST",$AA$11,$AA$11,"days=a","fill=p")</f>
        <v>#NAME?</v>
      </c>
      <c r="AB40" s="528" t="e">
        <f ca="1">IF(F40="EUREUR Curncy",1,_xll.BDH(F40,"last_price",AB$11,AB$11,"days=a","fill=p"))</f>
        <v>#NAME?</v>
      </c>
      <c r="AC40" s="527" t="e">
        <f t="shared" ca="1" si="12"/>
        <v>#NAME?</v>
      </c>
      <c r="AD40" s="529" t="e">
        <f t="shared" ca="1" si="13"/>
        <v>#NAME?</v>
      </c>
      <c r="AE40" s="560" t="s">
        <v>12603</v>
      </c>
      <c r="AF40" s="564"/>
      <c r="AH40" s="506" t="str">
        <f t="shared" ca="1" si="14"/>
        <v/>
      </c>
      <c r="AI40" s="534" t="str">
        <f t="shared" ca="1" si="0"/>
        <v/>
      </c>
      <c r="AJ40" s="512" t="e">
        <f t="shared" ca="1" si="1"/>
        <v>#NAME?</v>
      </c>
      <c r="AL40" s="534" t="e">
        <f t="shared" ca="1" si="19"/>
        <v>#NAME?</v>
      </c>
      <c r="AM40" s="534" t="e">
        <f t="shared" ca="1" si="15"/>
        <v>#NAME?</v>
      </c>
      <c r="AN40" s="506" t="e">
        <f ca="1">_xll.BDP(C40 &amp; " Equity","COUNTRY")</f>
        <v>#NAME?</v>
      </c>
      <c r="AO40" s="506" t="e">
        <f ca="1">_xll.BDP(C40 &amp; " Equity","COUNTRY")</f>
        <v>#NAME?</v>
      </c>
      <c r="AP40" s="506" t="e">
        <f t="shared" ca="1" si="16"/>
        <v>#NAME?</v>
      </c>
      <c r="AQ40" s="523" t="e">
        <f t="shared" ca="1" si="17"/>
        <v>#NAME?</v>
      </c>
      <c r="AR40" s="651"/>
      <c r="AS40" s="192"/>
      <c r="AT40" s="192"/>
      <c r="AU40" s="192"/>
      <c r="AV40" s="192"/>
      <c r="AW40" s="192"/>
      <c r="AX40" s="192"/>
      <c r="AY40" s="192"/>
      <c r="AZ40" s="192"/>
      <c r="BA40" s="192"/>
      <c r="BB40" s="761"/>
      <c r="BC40" s="720"/>
      <c r="BE40" s="625"/>
      <c r="BF40" s="625"/>
      <c r="BG40" s="625"/>
      <c r="BH40" s="625"/>
      <c r="BI40" s="625"/>
      <c r="BJ40" s="625"/>
    </row>
    <row r="41" spans="1:62">
      <c r="A41" s="534" t="e">
        <f ca="1">_xll.BDP(B41 &amp; " Equity","ID_ISIN")</f>
        <v>#NAME?</v>
      </c>
      <c r="B41" s="558" t="s">
        <v>12722</v>
      </c>
      <c r="C41" s="506" t="str">
        <f t="shared" si="2"/>
        <v>VOW3 GY</v>
      </c>
      <c r="D41" s="507" t="str">
        <f ca="1">IFERROR(_xll.BDP(C41&amp; " Equity","CAST_PARENT_NAME"),"")</f>
        <v/>
      </c>
      <c r="E41" s="508" t="e">
        <f ca="1">_xll.BDP(A41 &amp; " Equity","SECURITY_NAME")</f>
        <v>#NAME?</v>
      </c>
      <c r="F41" s="506" t="e">
        <f t="shared" ca="1" si="3"/>
        <v>#NAME?</v>
      </c>
      <c r="G41" s="509" t="e">
        <f ca="1">IF(N41="EUR",1,IF(N41="GBp",_xll.BDP(F41,"PX LAST")*100,_xll.BDP(F41,"PX LAST")))</f>
        <v>#NAME?</v>
      </c>
      <c r="H41" s="510" t="e">
        <f t="shared" ca="1" si="4"/>
        <v>#NAME?</v>
      </c>
      <c r="I41" s="510" t="e">
        <f t="shared" ca="1" si="5"/>
        <v>#NAME?</v>
      </c>
      <c r="J41" s="511" t="e">
        <f t="shared" ca="1" si="6"/>
        <v>#NAME?</v>
      </c>
      <c r="K41" s="511" t="e">
        <f t="shared" ca="1" si="7"/>
        <v>#NAME?</v>
      </c>
      <c r="L41" s="513">
        <f ca="1">SUMIF(TradesEquity!$E$11:$E$1816,A41,TradesEquity!$M$11:$M$1816)</f>
        <v>-1463572</v>
      </c>
      <c r="M41" s="514" t="e">
        <f ca="1">_xll.BDP(C41 &amp; " Equity","PX_LAST")</f>
        <v>#NAME?</v>
      </c>
      <c r="N41" s="515" t="e">
        <f ca="1">_xll.BDP(C41 &amp; " Equity","Crncy")</f>
        <v>#NAME?</v>
      </c>
      <c r="O41" s="559"/>
      <c r="P41" s="559"/>
      <c r="Q41" s="559"/>
      <c r="R41" s="559"/>
      <c r="S41" s="558"/>
      <c r="T41" s="514" t="e">
        <f t="shared" ca="1" si="8"/>
        <v>#NAME?</v>
      </c>
      <c r="U41" s="525" t="e">
        <f t="shared" ca="1" si="9"/>
        <v>#NAME?</v>
      </c>
      <c r="V41" s="523" t="e">
        <f t="shared" ca="1" si="10"/>
        <v>#NAME?</v>
      </c>
      <c r="W41" s="745"/>
      <c r="X41" s="527" t="e">
        <f t="shared" ca="1" si="11"/>
        <v>#NAME?</v>
      </c>
      <c r="Y41" s="528" t="e">
        <f ca="1">_xll.BDH(B41 &amp; " Equity","PX_LAST",$Y$11,$Y$11,"days=a","fill=p")</f>
        <v>#NAME?</v>
      </c>
      <c r="Z41" s="528" t="e">
        <f t="shared" ca="1" si="18"/>
        <v>#NAME?</v>
      </c>
      <c r="AA41" s="528" t="e">
        <f ca="1">_xll.BDH(C41 &amp; " Equity","PX_LAST",$AA$11,$AA$11,"days=a","fill=p")</f>
        <v>#NAME?</v>
      </c>
      <c r="AB41" s="528" t="e">
        <f ca="1">IF(F41="EUREUR Curncy",1,_xll.BDH(F41,"last_price",AB$11,AB$11,"days=a","fill=p"))</f>
        <v>#NAME?</v>
      </c>
      <c r="AC41" s="527" t="e">
        <f t="shared" ca="1" si="12"/>
        <v>#NAME?</v>
      </c>
      <c r="AD41" s="529" t="e">
        <f t="shared" ca="1" si="13"/>
        <v>#NAME?</v>
      </c>
      <c r="AE41" s="560" t="s">
        <v>12603</v>
      </c>
      <c r="AF41" s="564"/>
      <c r="AH41" s="506" t="str">
        <f t="shared" ca="1" si="14"/>
        <v/>
      </c>
      <c r="AI41" s="534" t="str">
        <f t="shared" ca="1" si="0"/>
        <v/>
      </c>
      <c r="AJ41" s="512" t="e">
        <f t="shared" ca="1" si="1"/>
        <v>#NAME?</v>
      </c>
      <c r="AL41" s="534" t="e">
        <f t="shared" ca="1" si="19"/>
        <v>#NAME?</v>
      </c>
      <c r="AM41" s="534" t="e">
        <f t="shared" ca="1" si="15"/>
        <v>#NAME?</v>
      </c>
      <c r="AN41" s="506" t="e">
        <f ca="1">_xll.BDP(C41 &amp; " Equity","COUNTRY")</f>
        <v>#NAME?</v>
      </c>
      <c r="AO41" s="506" t="e">
        <f ca="1">_xll.BDP(C41 &amp; " Equity","COUNTRY")</f>
        <v>#NAME?</v>
      </c>
      <c r="AP41" s="506" t="e">
        <f t="shared" ca="1" si="16"/>
        <v>#NAME?</v>
      </c>
      <c r="AQ41" s="523" t="e">
        <f t="shared" ca="1" si="17"/>
        <v>#NAME?</v>
      </c>
      <c r="AR41" s="651"/>
      <c r="AS41" s="192"/>
      <c r="AT41" s="192"/>
      <c r="AU41" s="192"/>
      <c r="AV41" s="192"/>
      <c r="AW41" s="192"/>
      <c r="AX41" s="192"/>
      <c r="AY41" s="192"/>
      <c r="AZ41" s="192"/>
      <c r="BA41" s="192"/>
      <c r="BB41" s="193"/>
    </row>
    <row r="42" spans="1:62">
      <c r="A42" s="534" t="e">
        <f ca="1">_xll.BDP(B42 &amp; " Equity","ID_ISIN")</f>
        <v>#NAME?</v>
      </c>
      <c r="B42" s="558" t="s">
        <v>12740</v>
      </c>
      <c r="C42" s="506" t="str">
        <f t="shared" si="2"/>
        <v>GLEN LN</v>
      </c>
      <c r="D42" s="507" t="str">
        <f ca="1">IFERROR(_xll.BDP(C42&amp; " Equity","CAST_PARENT_NAME"),"")</f>
        <v/>
      </c>
      <c r="E42" s="508" t="e">
        <f ca="1">_xll.BDP(A42 &amp; " Equity","SECURITY_NAME")</f>
        <v>#NAME?</v>
      </c>
      <c r="F42" s="506" t="e">
        <f t="shared" ca="1" si="3"/>
        <v>#NAME?</v>
      </c>
      <c r="G42" s="509" t="e">
        <f ca="1">IF(N42="EUR",1,IF(N42="GBp",_xll.BDP(F42,"PX LAST")*100,_xll.BDP(F42,"PX LAST")))</f>
        <v>#NAME?</v>
      </c>
      <c r="H42" s="510" t="e">
        <f t="shared" ca="1" si="4"/>
        <v>#NAME?</v>
      </c>
      <c r="I42" s="510" t="e">
        <f t="shared" ca="1" si="5"/>
        <v>#NAME?</v>
      </c>
      <c r="J42" s="511" t="e">
        <f t="shared" ca="1" si="6"/>
        <v>#NAME?</v>
      </c>
      <c r="K42" s="511" t="e">
        <f t="shared" ca="1" si="7"/>
        <v>#NAME?</v>
      </c>
      <c r="L42" s="513">
        <f ca="1">SUMIF(TradesEquity!$E$11:$E$1816,A42,TradesEquity!$M$11:$M$1816)</f>
        <v>-1463572</v>
      </c>
      <c r="M42" s="514" t="e">
        <f ca="1">_xll.BDP(C42 &amp; " Equity","PX_LAST")</f>
        <v>#NAME?</v>
      </c>
      <c r="N42" s="515" t="e">
        <f ca="1">_xll.BDP(C42 &amp; " Equity","Crncy")</f>
        <v>#NAME?</v>
      </c>
      <c r="O42" s="559"/>
      <c r="P42" s="559"/>
      <c r="Q42" s="559"/>
      <c r="R42" s="559"/>
      <c r="S42" s="558"/>
      <c r="T42" s="514" t="e">
        <f t="shared" ca="1" si="8"/>
        <v>#NAME?</v>
      </c>
      <c r="U42" s="525" t="e">
        <f t="shared" ca="1" si="9"/>
        <v>#NAME?</v>
      </c>
      <c r="V42" s="523" t="e">
        <f t="shared" ca="1" si="10"/>
        <v>#NAME?</v>
      </c>
      <c r="W42" s="745"/>
      <c r="X42" s="527" t="e">
        <f t="shared" ca="1" si="11"/>
        <v>#NAME?</v>
      </c>
      <c r="Y42" s="528" t="e">
        <f ca="1">_xll.BDH(B42 &amp; " Equity","PX_LAST",$Y$11,$Y$11,"days=a","fill=p")</f>
        <v>#NAME?</v>
      </c>
      <c r="Z42" s="528" t="e">
        <f t="shared" ca="1" si="18"/>
        <v>#NAME?</v>
      </c>
      <c r="AA42" s="528" t="e">
        <f ca="1">_xll.BDH(C42 &amp; " Equity","PX_LAST",$AA$11,$AA$11,"days=a","fill=p")</f>
        <v>#NAME?</v>
      </c>
      <c r="AB42" s="528" t="e">
        <f ca="1">IF(F42="EUREUR Curncy",1,_xll.BDH(F42,"last_price",AB$11,AB$11,"days=a","fill=p"))</f>
        <v>#NAME?</v>
      </c>
      <c r="AC42" s="527" t="e">
        <f t="shared" ca="1" si="12"/>
        <v>#NAME?</v>
      </c>
      <c r="AD42" s="529" t="e">
        <f t="shared" ca="1" si="13"/>
        <v>#NAME?</v>
      </c>
      <c r="AE42" s="560" t="s">
        <v>12603</v>
      </c>
      <c r="AF42" s="564"/>
      <c r="AH42" s="506" t="str">
        <f t="shared" ca="1" si="14"/>
        <v/>
      </c>
      <c r="AI42" s="534" t="str">
        <f t="shared" ca="1" si="0"/>
        <v/>
      </c>
      <c r="AJ42" s="512" t="e">
        <f t="shared" ca="1" si="1"/>
        <v>#NAME?</v>
      </c>
      <c r="AL42" s="534" t="e">
        <f t="shared" ca="1" si="19"/>
        <v>#NAME?</v>
      </c>
      <c r="AM42" s="534" t="e">
        <f t="shared" ca="1" si="15"/>
        <v>#NAME?</v>
      </c>
      <c r="AN42" s="506" t="e">
        <f ca="1">_xll.BDP(C42 &amp; " Equity","COUNTRY")</f>
        <v>#NAME?</v>
      </c>
      <c r="AO42" s="506" t="e">
        <f ca="1">_xll.BDP(C42 &amp; " Equity","COUNTRY")</f>
        <v>#NAME?</v>
      </c>
      <c r="AP42" s="506" t="e">
        <f t="shared" ca="1" si="16"/>
        <v>#NAME?</v>
      </c>
      <c r="AQ42" s="523" t="e">
        <f t="shared" ca="1" si="17"/>
        <v>#NAME?</v>
      </c>
      <c r="AR42" s="651"/>
      <c r="AS42" s="192"/>
      <c r="AT42" s="192"/>
      <c r="AU42" s="192"/>
      <c r="AV42" s="192"/>
      <c r="AW42" s="192"/>
      <c r="AX42" s="192"/>
      <c r="AY42" s="192"/>
      <c r="AZ42" s="192"/>
      <c r="BA42" s="192"/>
      <c r="BB42" s="193"/>
    </row>
    <row r="43" spans="1:62">
      <c r="A43" s="534" t="e">
        <f ca="1">_xll.BDP(B43 &amp; " Equity","ID_ISIN")</f>
        <v>#NAME?</v>
      </c>
      <c r="B43" s="558" t="s">
        <v>12741</v>
      </c>
      <c r="C43" s="506" t="str">
        <f t="shared" si="2"/>
        <v>064960 KS</v>
      </c>
      <c r="D43" s="507" t="str">
        <f ca="1">IFERROR(_xll.BDP(C43&amp; " Equity","CAST_PARENT_NAME"),"")</f>
        <v/>
      </c>
      <c r="E43" s="508" t="e">
        <f ca="1">_xll.BDP(A43 &amp; " Equity","SECURITY_NAME")</f>
        <v>#NAME?</v>
      </c>
      <c r="F43" s="506" t="e">
        <f t="shared" ca="1" si="3"/>
        <v>#NAME?</v>
      </c>
      <c r="G43" s="509" t="e">
        <f ca="1">IF(N43="EUR",1,IF(N43="GBp",_xll.BDP(F43,"PX LAST")*100,_xll.BDP(F43,"PX LAST")))</f>
        <v>#NAME?</v>
      </c>
      <c r="H43" s="510" t="e">
        <f t="shared" ca="1" si="4"/>
        <v>#NAME?</v>
      </c>
      <c r="I43" s="510" t="e">
        <f t="shared" ca="1" si="5"/>
        <v>#NAME?</v>
      </c>
      <c r="J43" s="511" t="e">
        <f t="shared" ca="1" si="6"/>
        <v>#NAME?</v>
      </c>
      <c r="K43" s="511" t="e">
        <f t="shared" ca="1" si="7"/>
        <v>#NAME?</v>
      </c>
      <c r="L43" s="513">
        <f ca="1">SUMIF(TradesEquity!$E$11:$E$1816,A43,TradesEquity!$M$11:$M$1816)</f>
        <v>-1463572</v>
      </c>
      <c r="M43" s="514" t="e">
        <f ca="1">_xll.BDP(C43 &amp; " Equity","PX_LAST")</f>
        <v>#NAME?</v>
      </c>
      <c r="N43" s="515" t="e">
        <f ca="1">_xll.BDP(C43 &amp; " Equity","Crncy")</f>
        <v>#NAME?</v>
      </c>
      <c r="O43" s="559"/>
      <c r="P43" s="559"/>
      <c r="Q43" s="559"/>
      <c r="R43" s="559"/>
      <c r="S43" s="558"/>
      <c r="T43" s="514" t="e">
        <f t="shared" ca="1" si="8"/>
        <v>#NAME?</v>
      </c>
      <c r="U43" s="525" t="e">
        <f t="shared" ca="1" si="9"/>
        <v>#NAME?</v>
      </c>
      <c r="V43" s="523" t="e">
        <f t="shared" ca="1" si="10"/>
        <v>#NAME?</v>
      </c>
      <c r="W43" s="745"/>
      <c r="X43" s="527" t="e">
        <f t="shared" ca="1" si="11"/>
        <v>#NAME?</v>
      </c>
      <c r="Y43" s="528" t="e">
        <f ca="1">_xll.BDH(B43 &amp; " Equity","PX_LAST",$Y$11,$Y$11,"days=a","fill=p")</f>
        <v>#NAME?</v>
      </c>
      <c r="Z43" s="528" t="e">
        <f t="shared" ca="1" si="18"/>
        <v>#NAME?</v>
      </c>
      <c r="AA43" s="528" t="e">
        <f ca="1">_xll.BDH(C43 &amp; " Equity","PX_LAST",$AA$11,$AA$11,"days=a","fill=p")</f>
        <v>#NAME?</v>
      </c>
      <c r="AB43" s="528" t="e">
        <f ca="1">IF(F43="EUREUR Curncy",1,_xll.BDH(F43,"last_price",AB$11,AB$11,"days=a","fill=p"))</f>
        <v>#NAME?</v>
      </c>
      <c r="AC43" s="527" t="e">
        <f t="shared" ca="1" si="12"/>
        <v>#NAME?</v>
      </c>
      <c r="AD43" s="529" t="e">
        <f t="shared" ca="1" si="13"/>
        <v>#NAME?</v>
      </c>
      <c r="AE43" s="560" t="s">
        <v>12603</v>
      </c>
      <c r="AF43" s="564"/>
      <c r="AH43" s="506" t="str">
        <f t="shared" ca="1" si="14"/>
        <v/>
      </c>
      <c r="AI43" s="534" t="str">
        <f t="shared" ca="1" si="0"/>
        <v/>
      </c>
      <c r="AJ43" s="512" t="e">
        <f t="shared" ca="1" si="1"/>
        <v>#NAME?</v>
      </c>
      <c r="AL43" s="534" t="e">
        <f t="shared" ca="1" si="19"/>
        <v>#NAME?</v>
      </c>
      <c r="AM43" s="534" t="e">
        <f t="shared" ca="1" si="15"/>
        <v>#NAME?</v>
      </c>
      <c r="AN43" s="506" t="e">
        <f ca="1">_xll.BDP(C43 &amp; " Equity","COUNTRY")</f>
        <v>#NAME?</v>
      </c>
      <c r="AO43" s="506" t="e">
        <f ca="1">_xll.BDP(C43 &amp; " Equity","COUNTRY")</f>
        <v>#NAME?</v>
      </c>
      <c r="AP43" s="506" t="e">
        <f t="shared" ca="1" si="16"/>
        <v>#NAME?</v>
      </c>
      <c r="AQ43" s="523" t="e">
        <f t="shared" ca="1" si="17"/>
        <v>#NAME?</v>
      </c>
      <c r="AR43" s="651"/>
      <c r="AS43" s="192"/>
      <c r="AX43" s="192"/>
      <c r="AY43" s="192"/>
      <c r="AZ43" s="192"/>
      <c r="BA43" s="192"/>
      <c r="BB43" s="761"/>
      <c r="BC43" s="720"/>
      <c r="BE43" s="625"/>
      <c r="BF43" s="625"/>
      <c r="BG43" s="625"/>
      <c r="BH43" s="625"/>
      <c r="BI43" s="625"/>
      <c r="BJ43" s="625"/>
    </row>
    <row r="44" spans="1:62">
      <c r="A44" s="534" t="e">
        <f ca="1">_xll.BDP(B44 &amp; " Equity","ID_ISIN")</f>
        <v>#NAME?</v>
      </c>
      <c r="B44" s="558" t="s">
        <v>12723</v>
      </c>
      <c r="C44" s="506" t="str">
        <f t="shared" si="2"/>
        <v>005490 KS</v>
      </c>
      <c r="D44" s="507" t="str">
        <f ca="1">IFERROR(_xll.BDP(C44&amp; " Equity","CAST_PARENT_NAME"),"")</f>
        <v/>
      </c>
      <c r="E44" s="508" t="e">
        <f ca="1">_xll.BDP(A44 &amp; " Equity","SECURITY_NAME")</f>
        <v>#NAME?</v>
      </c>
      <c r="F44" s="506" t="e">
        <f t="shared" ca="1" si="3"/>
        <v>#NAME?</v>
      </c>
      <c r="G44" s="509" t="e">
        <f ca="1">IF(N44="EUR",1,IF(N44="GBp",_xll.BDP(F44,"PX LAST")*100,_xll.BDP(F44,"PX LAST")))</f>
        <v>#NAME?</v>
      </c>
      <c r="H44" s="510" t="e">
        <f t="shared" ca="1" si="4"/>
        <v>#NAME?</v>
      </c>
      <c r="I44" s="510" t="e">
        <f t="shared" ca="1" si="5"/>
        <v>#NAME?</v>
      </c>
      <c r="J44" s="511" t="e">
        <f t="shared" ca="1" si="6"/>
        <v>#NAME?</v>
      </c>
      <c r="K44" s="511" t="e">
        <f t="shared" ca="1" si="7"/>
        <v>#NAME?</v>
      </c>
      <c r="L44" s="513">
        <f ca="1">SUMIF(TradesEquity!$E$11:$E$1816,A44,TradesEquity!$M$11:$M$1816)</f>
        <v>-1463572</v>
      </c>
      <c r="M44" s="514" t="e">
        <f ca="1">_xll.BDP(C44 &amp; " Equity","PX_LAST")</f>
        <v>#NAME?</v>
      </c>
      <c r="N44" s="515" t="e">
        <f ca="1">_xll.BDP(C44 &amp; " Equity","Crncy")</f>
        <v>#NAME?</v>
      </c>
      <c r="O44" s="559"/>
      <c r="P44" s="559"/>
      <c r="Q44" s="559"/>
      <c r="R44" s="559"/>
      <c r="S44" s="558"/>
      <c r="T44" s="514" t="e">
        <f t="shared" ca="1" si="8"/>
        <v>#NAME?</v>
      </c>
      <c r="U44" s="525" t="e">
        <f t="shared" ca="1" si="9"/>
        <v>#NAME?</v>
      </c>
      <c r="V44" s="523" t="e">
        <f t="shared" ca="1" si="10"/>
        <v>#NAME?</v>
      </c>
      <c r="W44" s="745"/>
      <c r="X44" s="527" t="e">
        <f t="shared" ca="1" si="11"/>
        <v>#NAME?</v>
      </c>
      <c r="Y44" s="528" t="e">
        <f ca="1">_xll.BDH(B44 &amp; " Equity","PX_LAST",$Y$11,$Y$11,"days=a","fill=p")</f>
        <v>#NAME?</v>
      </c>
      <c r="Z44" s="528" t="e">
        <f t="shared" ca="1" si="18"/>
        <v>#NAME?</v>
      </c>
      <c r="AA44" s="528" t="e">
        <f ca="1">_xll.BDH(C44 &amp; " Equity","PX_LAST",$AA$11,$AA$11,"days=a","fill=p")</f>
        <v>#NAME?</v>
      </c>
      <c r="AB44" s="528" t="e">
        <f ca="1">IF(F44="EUREUR Curncy",1,_xll.BDH(F44,"last_price",AB$11,AB$11,"days=a","fill=p"))</f>
        <v>#NAME?</v>
      </c>
      <c r="AC44" s="527" t="e">
        <f t="shared" ca="1" si="12"/>
        <v>#NAME?</v>
      </c>
      <c r="AD44" s="529" t="e">
        <f t="shared" ca="1" si="13"/>
        <v>#NAME?</v>
      </c>
      <c r="AE44" s="560" t="s">
        <v>12603</v>
      </c>
      <c r="AF44" s="564"/>
      <c r="AH44" s="506" t="str">
        <f t="shared" ca="1" si="14"/>
        <v/>
      </c>
      <c r="AI44" s="534" t="str">
        <f t="shared" ca="1" si="0"/>
        <v/>
      </c>
      <c r="AJ44" s="512" t="e">
        <f t="shared" ca="1" si="1"/>
        <v>#NAME?</v>
      </c>
      <c r="AL44" s="534" t="e">
        <f t="shared" ca="1" si="19"/>
        <v>#NAME?</v>
      </c>
      <c r="AM44" s="534" t="e">
        <f t="shared" ca="1" si="15"/>
        <v>#NAME?</v>
      </c>
      <c r="AN44" s="506" t="e">
        <f ca="1">_xll.BDP(C44 &amp; " Equity","COUNTRY")</f>
        <v>#NAME?</v>
      </c>
      <c r="AO44" s="506" t="e">
        <f ca="1">_xll.BDP(C44 &amp; " Equity","COUNTRY")</f>
        <v>#NAME?</v>
      </c>
      <c r="AP44" s="506" t="e">
        <f t="shared" ca="1" si="16"/>
        <v>#NAME?</v>
      </c>
      <c r="AQ44" s="523" t="e">
        <f t="shared" ca="1" si="17"/>
        <v>#NAME?</v>
      </c>
      <c r="AR44" s="651"/>
      <c r="AS44" s="192"/>
      <c r="AT44" s="192"/>
      <c r="AU44" s="192"/>
      <c r="AV44" s="192"/>
      <c r="AW44" s="192"/>
      <c r="AX44" s="192"/>
      <c r="AY44" s="192"/>
      <c r="AZ44" s="192"/>
      <c r="BA44" s="192"/>
      <c r="BB44" s="193"/>
    </row>
    <row r="45" spans="1:62">
      <c r="A45" s="534" t="e">
        <f ca="1">_xll.BDP(B45 &amp; " Equity","ID_ISIN")</f>
        <v>#NAME?</v>
      </c>
      <c r="B45" s="558" t="s">
        <v>12789</v>
      </c>
      <c r="C45" s="506" t="str">
        <f t="shared" si="2"/>
        <v>056190 KS</v>
      </c>
      <c r="D45" s="507" t="str">
        <f ca="1">IFERROR(_xll.BDP(C45&amp; " Equity","CAST_PARENT_NAME"),"")</f>
        <v/>
      </c>
      <c r="E45" s="508" t="e">
        <f ca="1">_xll.BDP(A45 &amp; " Equity","SECURITY_NAME")</f>
        <v>#NAME?</v>
      </c>
      <c r="F45" s="506" t="e">
        <f t="shared" ca="1" si="3"/>
        <v>#NAME?</v>
      </c>
      <c r="G45" s="509" t="e">
        <f ca="1">IF(N45="EUR",1,IF(N45="GBp",_xll.BDP(F45,"PX LAST")*100,_xll.BDP(F45,"PX LAST")))</f>
        <v>#NAME?</v>
      </c>
      <c r="H45" s="510" t="e">
        <f t="shared" ca="1" si="4"/>
        <v>#NAME?</v>
      </c>
      <c r="I45" s="510" t="e">
        <f t="shared" ca="1" si="5"/>
        <v>#NAME?</v>
      </c>
      <c r="J45" s="511" t="e">
        <f t="shared" ca="1" si="6"/>
        <v>#NAME?</v>
      </c>
      <c r="K45" s="511" t="e">
        <f t="shared" ca="1" si="7"/>
        <v>#NAME?</v>
      </c>
      <c r="L45" s="513">
        <f ca="1">SUMIF(TradesEquity!$E$11:$E$1816,A45,TradesEquity!$M$11:$M$1816)</f>
        <v>-1463572</v>
      </c>
      <c r="M45" s="514" t="e">
        <f ca="1">_xll.BDP(C45 &amp; " Equity","PX_LAST")</f>
        <v>#NAME?</v>
      </c>
      <c r="N45" s="515" t="e">
        <f ca="1">_xll.BDP(C45 &amp; " Equity","Crncy")</f>
        <v>#NAME?</v>
      </c>
      <c r="O45" s="559"/>
      <c r="P45" s="559"/>
      <c r="Q45" s="559"/>
      <c r="R45" s="559"/>
      <c r="S45" s="558"/>
      <c r="T45" s="514" t="e">
        <f t="shared" ca="1" si="8"/>
        <v>#NAME?</v>
      </c>
      <c r="U45" s="525" t="e">
        <f t="shared" ca="1" si="9"/>
        <v>#NAME?</v>
      </c>
      <c r="V45" s="523" t="e">
        <f t="shared" ca="1" si="10"/>
        <v>#NAME?</v>
      </c>
      <c r="W45" s="745"/>
      <c r="X45" s="527" t="e">
        <f t="shared" ca="1" si="11"/>
        <v>#NAME?</v>
      </c>
      <c r="Y45" s="528" t="e">
        <f ca="1">_xll.BDH(B45 &amp; " Equity","PX_LAST",$Y$11,$Y$11,"days=a","fill=p")</f>
        <v>#NAME?</v>
      </c>
      <c r="Z45" s="528" t="e">
        <f t="shared" ca="1" si="18"/>
        <v>#NAME?</v>
      </c>
      <c r="AA45" s="528" t="e">
        <f ca="1">_xll.BDH(C45 &amp; " Equity","PX_LAST",$AA$11,$AA$11,"days=a","fill=p")</f>
        <v>#NAME?</v>
      </c>
      <c r="AB45" s="528" t="e">
        <f ca="1">IF(F45="EUREUR Curncy",1,_xll.BDH(F45,"last_price",AB$11,AB$11,"days=a","fill=p"))</f>
        <v>#NAME?</v>
      </c>
      <c r="AC45" s="527" t="e">
        <f t="shared" ca="1" si="12"/>
        <v>#NAME?</v>
      </c>
      <c r="AD45" s="529" t="e">
        <f t="shared" ca="1" si="13"/>
        <v>#NAME?</v>
      </c>
      <c r="AE45" s="560" t="s">
        <v>12603</v>
      </c>
      <c r="AF45" s="564"/>
      <c r="AH45" s="506" t="str">
        <f t="shared" ca="1" si="14"/>
        <v/>
      </c>
      <c r="AI45" s="534" t="str">
        <f t="shared" ca="1" si="0"/>
        <v/>
      </c>
      <c r="AJ45" s="512" t="e">
        <f t="shared" ca="1" si="1"/>
        <v>#NAME?</v>
      </c>
      <c r="AL45" s="534" t="e">
        <f t="shared" ca="1" si="19"/>
        <v>#NAME?</v>
      </c>
      <c r="AM45" s="534" t="e">
        <f t="shared" ca="1" si="15"/>
        <v>#NAME?</v>
      </c>
      <c r="AN45" s="506" t="e">
        <f ca="1">_xll.BDP(C45 &amp; " Equity","COUNTRY")</f>
        <v>#NAME?</v>
      </c>
      <c r="AO45" s="506" t="e">
        <f ca="1">_xll.BDP(C45 &amp; " Equity","COUNTRY")</f>
        <v>#NAME?</v>
      </c>
      <c r="AP45" s="506" t="e">
        <f t="shared" ca="1" si="16"/>
        <v>#NAME?</v>
      </c>
      <c r="AQ45" s="523" t="e">
        <f t="shared" ca="1" si="17"/>
        <v>#NAME?</v>
      </c>
      <c r="AR45" s="651"/>
      <c r="AS45" s="192"/>
      <c r="AT45" s="192"/>
      <c r="AU45" s="192"/>
      <c r="AV45" s="192"/>
      <c r="AW45" s="192"/>
      <c r="AX45" s="192"/>
      <c r="AY45" s="192"/>
      <c r="AZ45" s="192"/>
      <c r="BA45" s="192"/>
      <c r="BB45" s="193"/>
    </row>
    <row r="46" spans="1:62" ht="16.5" customHeight="1">
      <c r="A46" s="534" t="e">
        <f ca="1">_xll.BDP(B46 &amp; " Equity","ID_ISIN")</f>
        <v>#NAME?</v>
      </c>
      <c r="B46" s="558" t="s">
        <v>12742</v>
      </c>
      <c r="C46" s="506" t="str">
        <f t="shared" si="2"/>
        <v>4023 JP</v>
      </c>
      <c r="D46" s="507" t="str">
        <f ca="1">IFERROR(_xll.BDP(C46&amp; " Equity","CAST_PARENT_NAME"),"")</f>
        <v/>
      </c>
      <c r="E46" s="508" t="e">
        <f ca="1">_xll.BDP(A46 &amp; " Equity","SECURITY_NAME")</f>
        <v>#NAME?</v>
      </c>
      <c r="F46" s="506" t="e">
        <f t="shared" ca="1" si="3"/>
        <v>#NAME?</v>
      </c>
      <c r="G46" s="509" t="e">
        <f ca="1">IF(N46="EUR",1,IF(N46="GBp",_xll.BDP(F46,"PX LAST")*100,_xll.BDP(F46,"PX LAST")))</f>
        <v>#NAME?</v>
      </c>
      <c r="H46" s="510" t="e">
        <f t="shared" ca="1" si="4"/>
        <v>#NAME?</v>
      </c>
      <c r="I46" s="510" t="e">
        <f t="shared" ca="1" si="5"/>
        <v>#NAME?</v>
      </c>
      <c r="J46" s="511" t="e">
        <f t="shared" ca="1" si="6"/>
        <v>#NAME?</v>
      </c>
      <c r="K46" s="511" t="e">
        <f t="shared" ca="1" si="7"/>
        <v>#NAME?</v>
      </c>
      <c r="L46" s="513">
        <f ca="1">SUMIF(TradesEquity!$E$11:$E$1816,A46,TradesEquity!$M$11:$M$1816)</f>
        <v>-1463572</v>
      </c>
      <c r="M46" s="514" t="e">
        <f ca="1">_xll.BDP(C46 &amp; " Equity","PX_LAST")</f>
        <v>#NAME?</v>
      </c>
      <c r="N46" s="515" t="e">
        <f ca="1">_xll.BDP(C46 &amp; " Equity","Crncy")</f>
        <v>#NAME?</v>
      </c>
      <c r="O46" s="559"/>
      <c r="P46" s="559"/>
      <c r="Q46" s="559"/>
      <c r="R46" s="559"/>
      <c r="S46" s="558"/>
      <c r="T46" s="514" t="e">
        <f t="shared" ca="1" si="8"/>
        <v>#NAME?</v>
      </c>
      <c r="U46" s="525" t="e">
        <f t="shared" ca="1" si="9"/>
        <v>#NAME?</v>
      </c>
      <c r="V46" s="523" t="e">
        <f t="shared" ca="1" si="10"/>
        <v>#NAME?</v>
      </c>
      <c r="W46" s="745"/>
      <c r="X46" s="527" t="e">
        <f t="shared" ca="1" si="11"/>
        <v>#NAME?</v>
      </c>
      <c r="Y46" s="528" t="e">
        <f ca="1">_xll.BDH(B46 &amp; " Equity","PX_LAST",$Y$11,$Y$11,"days=a","fill=p")</f>
        <v>#NAME?</v>
      </c>
      <c r="Z46" s="528" t="e">
        <f t="shared" ca="1" si="18"/>
        <v>#NAME?</v>
      </c>
      <c r="AA46" s="528" t="e">
        <f ca="1">_xll.BDH(C46 &amp; " Equity","PX_LAST",$AA$11,$AA$11,"days=a","fill=p")</f>
        <v>#NAME?</v>
      </c>
      <c r="AB46" s="528" t="e">
        <f ca="1">IF(F46="EUREUR Curncy",1,_xll.BDH(F46,"last_price",AB$11,AB$11,"days=a","fill=p"))</f>
        <v>#NAME?</v>
      </c>
      <c r="AC46" s="527" t="e">
        <f t="shared" ca="1" si="12"/>
        <v>#NAME?</v>
      </c>
      <c r="AD46" s="529" t="e">
        <f t="shared" ca="1" si="13"/>
        <v>#NAME?</v>
      </c>
      <c r="AE46" s="560" t="s">
        <v>12603</v>
      </c>
      <c r="AF46" s="564"/>
      <c r="AH46" s="506" t="str">
        <f t="shared" ca="1" si="14"/>
        <v/>
      </c>
      <c r="AI46" s="534" t="str">
        <f t="shared" ca="1" si="0"/>
        <v/>
      </c>
      <c r="AJ46" s="512" t="e">
        <f t="shared" ca="1" si="1"/>
        <v>#NAME?</v>
      </c>
      <c r="AL46" s="534" t="e">
        <f t="shared" ca="1" si="19"/>
        <v>#NAME?</v>
      </c>
      <c r="AM46" s="534" t="e">
        <f t="shared" ca="1" si="15"/>
        <v>#NAME?</v>
      </c>
      <c r="AN46" s="506" t="e">
        <f ca="1">_xll.BDP(C46 &amp; " Equity","COUNTRY")</f>
        <v>#NAME?</v>
      </c>
      <c r="AO46" s="506" t="e">
        <f ca="1">_xll.BDP(C46 &amp; " Equity","COUNTRY")</f>
        <v>#NAME?</v>
      </c>
      <c r="AP46" s="506" t="e">
        <f t="shared" ca="1" si="16"/>
        <v>#NAME?</v>
      </c>
      <c r="AQ46" s="523" t="e">
        <f t="shared" ca="1" si="17"/>
        <v>#NAME?</v>
      </c>
      <c r="AR46" s="651"/>
      <c r="AS46" s="192"/>
      <c r="AT46" s="192"/>
      <c r="AU46" s="192"/>
      <c r="AV46" s="192"/>
      <c r="AW46" s="192"/>
      <c r="AX46" s="192"/>
      <c r="AY46" s="192"/>
      <c r="AZ46" s="192"/>
      <c r="BA46" s="192"/>
      <c r="BB46" s="761"/>
      <c r="BC46" s="720"/>
      <c r="BE46" s="625"/>
      <c r="BF46" s="625"/>
      <c r="BG46" s="625"/>
      <c r="BH46" s="625"/>
      <c r="BI46" s="625"/>
      <c r="BJ46" s="625"/>
    </row>
    <row r="47" spans="1:62">
      <c r="A47" s="534" t="e">
        <f ca="1">_xll.BDP(B47 &amp; " Equity","ID_ISIN")</f>
        <v>#NAME?</v>
      </c>
      <c r="B47" s="558" t="s">
        <v>12743</v>
      </c>
      <c r="C47" s="506" t="str">
        <f t="shared" si="2"/>
        <v>4205 JP</v>
      </c>
      <c r="D47" s="507" t="str">
        <f ca="1">IFERROR(_xll.BDP(C47&amp; " Equity","CAST_PARENT_NAME"),"")</f>
        <v/>
      </c>
      <c r="E47" s="508" t="e">
        <f ca="1">_xll.BDP(A47 &amp; " Equity","SECURITY_NAME")</f>
        <v>#NAME?</v>
      </c>
      <c r="F47" s="506" t="e">
        <f t="shared" ca="1" si="3"/>
        <v>#NAME?</v>
      </c>
      <c r="G47" s="509" t="e">
        <f ca="1">IF(N47="EUR",1,IF(N47="GBp",_xll.BDP(F47,"PX LAST")*100,_xll.BDP(F47,"PX LAST")))</f>
        <v>#NAME?</v>
      </c>
      <c r="H47" s="510" t="e">
        <f t="shared" ca="1" si="4"/>
        <v>#NAME?</v>
      </c>
      <c r="I47" s="510" t="e">
        <f t="shared" ca="1" si="5"/>
        <v>#NAME?</v>
      </c>
      <c r="J47" s="511" t="e">
        <f t="shared" ca="1" si="6"/>
        <v>#NAME?</v>
      </c>
      <c r="K47" s="511" t="e">
        <f t="shared" ca="1" si="7"/>
        <v>#NAME?</v>
      </c>
      <c r="L47" s="513">
        <f ca="1">SUMIF(TradesEquity!$E$11:$E$1816,A47,TradesEquity!$M$11:$M$1816)</f>
        <v>-1463572</v>
      </c>
      <c r="M47" s="514" t="e">
        <f ca="1">_xll.BDP(C47 &amp; " Equity","PX_LAST")</f>
        <v>#NAME?</v>
      </c>
      <c r="N47" s="515" t="e">
        <f ca="1">_xll.BDP(C47 &amp; " Equity","Crncy")</f>
        <v>#NAME?</v>
      </c>
      <c r="O47" s="559"/>
      <c r="P47" s="559"/>
      <c r="Q47" s="559"/>
      <c r="R47" s="559"/>
      <c r="S47" s="558"/>
      <c r="T47" s="514" t="e">
        <f t="shared" ca="1" si="8"/>
        <v>#NAME?</v>
      </c>
      <c r="U47" s="525" t="e">
        <f t="shared" ca="1" si="9"/>
        <v>#NAME?</v>
      </c>
      <c r="V47" s="523" t="e">
        <f t="shared" ca="1" si="10"/>
        <v>#NAME?</v>
      </c>
      <c r="W47" s="745"/>
      <c r="X47" s="527" t="e">
        <f t="shared" ca="1" si="11"/>
        <v>#NAME?</v>
      </c>
      <c r="Y47" s="528" t="e">
        <f ca="1">_xll.BDH(B47 &amp; " Equity","PX_LAST",$Y$11,$Y$11,"days=a","fill=p")</f>
        <v>#NAME?</v>
      </c>
      <c r="Z47" s="528" t="e">
        <f t="shared" ca="1" si="18"/>
        <v>#NAME?</v>
      </c>
      <c r="AA47" s="528" t="e">
        <f ca="1">_xll.BDH(C47 &amp; " Equity","PX_LAST",$AA$11,$AA$11,"days=a","fill=p")</f>
        <v>#NAME?</v>
      </c>
      <c r="AB47" s="528" t="e">
        <f ca="1">IF(F47="EUREUR Curncy",1,_xll.BDH(F47,"last_price",AB$11,AB$11,"days=a","fill=p"))</f>
        <v>#NAME?</v>
      </c>
      <c r="AC47" s="527" t="e">
        <f t="shared" ca="1" si="12"/>
        <v>#NAME?</v>
      </c>
      <c r="AD47" s="529" t="e">
        <f t="shared" ca="1" si="13"/>
        <v>#NAME?</v>
      </c>
      <c r="AE47" s="560" t="s">
        <v>12603</v>
      </c>
      <c r="AF47" s="564"/>
      <c r="AH47" s="506" t="str">
        <f t="shared" ca="1" si="14"/>
        <v/>
      </c>
      <c r="AI47" s="534" t="str">
        <f t="shared" ca="1" si="0"/>
        <v/>
      </c>
      <c r="AJ47" s="512" t="e">
        <f t="shared" ca="1" si="1"/>
        <v>#NAME?</v>
      </c>
      <c r="AL47" s="534" t="e">
        <f t="shared" ca="1" si="19"/>
        <v>#NAME?</v>
      </c>
      <c r="AM47" s="534" t="e">
        <f t="shared" ca="1" si="15"/>
        <v>#NAME?</v>
      </c>
      <c r="AN47" s="506" t="e">
        <f ca="1">_xll.BDP(C47 &amp; " Equity","COUNTRY")</f>
        <v>#NAME?</v>
      </c>
      <c r="AO47" s="506" t="e">
        <f ca="1">_xll.BDP(C47 &amp; " Equity","COUNTRY")</f>
        <v>#NAME?</v>
      </c>
      <c r="AP47" s="506" t="e">
        <f t="shared" ca="1" si="16"/>
        <v>#NAME?</v>
      </c>
      <c r="AQ47" s="523" t="e">
        <f t="shared" ca="1" si="17"/>
        <v>#NAME?</v>
      </c>
      <c r="AR47" s="651"/>
      <c r="AS47" s="192"/>
      <c r="AT47" s="192"/>
      <c r="AU47" s="192"/>
      <c r="AV47" s="192"/>
      <c r="AW47" s="192"/>
      <c r="AX47" s="192"/>
      <c r="AY47" s="192"/>
      <c r="AZ47" s="192"/>
      <c r="BA47" s="192"/>
      <c r="BB47" s="761"/>
      <c r="BC47" s="720"/>
      <c r="BE47" s="625"/>
      <c r="BF47" s="625"/>
      <c r="BG47" s="625"/>
      <c r="BH47" s="625"/>
      <c r="BI47" s="625"/>
      <c r="BJ47" s="625"/>
    </row>
    <row r="48" spans="1:62" ht="15.75" customHeight="1">
      <c r="A48" s="534" t="e">
        <f ca="1">_xll.BDP(B48 &amp; " Equity","ID_ISIN")</f>
        <v>#NAME?</v>
      </c>
      <c r="B48" s="558" t="s">
        <v>12724</v>
      </c>
      <c r="C48" s="506" t="str">
        <f t="shared" si="2"/>
        <v>6502 JP</v>
      </c>
      <c r="D48" s="507" t="str">
        <f ca="1">IFERROR(_xll.BDP(C48&amp; " Equity","CAST_PARENT_NAME"),"")</f>
        <v/>
      </c>
      <c r="E48" s="508" t="e">
        <f ca="1">_xll.BDP(A48 &amp; " Equity","SECURITY_NAME")</f>
        <v>#NAME?</v>
      </c>
      <c r="F48" s="506" t="e">
        <f t="shared" ca="1" si="3"/>
        <v>#NAME?</v>
      </c>
      <c r="G48" s="509" t="e">
        <f ca="1">IF(N48="EUR",1,IF(N48="GBp",_xll.BDP(F48,"PX LAST")*100,_xll.BDP(F48,"PX LAST")))</f>
        <v>#NAME?</v>
      </c>
      <c r="H48" s="510" t="e">
        <f t="shared" ca="1" si="4"/>
        <v>#NAME?</v>
      </c>
      <c r="I48" s="510" t="e">
        <f t="shared" ca="1" si="5"/>
        <v>#NAME?</v>
      </c>
      <c r="J48" s="511" t="e">
        <f t="shared" ca="1" si="6"/>
        <v>#NAME?</v>
      </c>
      <c r="K48" s="511" t="e">
        <f t="shared" ca="1" si="7"/>
        <v>#NAME?</v>
      </c>
      <c r="L48" s="513">
        <f ca="1">SUMIF(TradesEquity!$E$11:$E$1816,A48,TradesEquity!$M$11:$M$1816)</f>
        <v>-1463572</v>
      </c>
      <c r="M48" s="514" t="e">
        <f ca="1">_xll.BDP(C48 &amp; " Equity","PX_LAST")</f>
        <v>#NAME?</v>
      </c>
      <c r="N48" s="515" t="e">
        <f ca="1">_xll.BDP(C48 &amp; " Equity","Crncy")</f>
        <v>#NAME?</v>
      </c>
      <c r="O48" s="559"/>
      <c r="P48" s="559"/>
      <c r="Q48" s="559"/>
      <c r="R48" s="559"/>
      <c r="S48" s="558"/>
      <c r="T48" s="514" t="e">
        <f t="shared" ca="1" si="8"/>
        <v>#NAME?</v>
      </c>
      <c r="U48" s="525" t="e">
        <f t="shared" ca="1" si="9"/>
        <v>#NAME?</v>
      </c>
      <c r="V48" s="523" t="e">
        <f t="shared" ca="1" si="10"/>
        <v>#NAME?</v>
      </c>
      <c r="W48" s="745"/>
      <c r="X48" s="527" t="e">
        <f t="shared" ca="1" si="11"/>
        <v>#NAME?</v>
      </c>
      <c r="Y48" s="528" t="e">
        <f ca="1">_xll.BDH(B48 &amp; " Equity","PX_LAST",$Y$11,$Y$11,"days=a","fill=p")</f>
        <v>#NAME?</v>
      </c>
      <c r="Z48" s="528" t="e">
        <f t="shared" ca="1" si="18"/>
        <v>#NAME?</v>
      </c>
      <c r="AA48" s="528" t="e">
        <f ca="1">_xll.BDH(C48 &amp; " Equity","PX_LAST",$AA$11,$AA$11,"days=a","fill=p")</f>
        <v>#NAME?</v>
      </c>
      <c r="AB48" s="528" t="e">
        <f ca="1">IF(F48="EUREUR Curncy",1,_xll.BDH(F48,"last_price",AB$11,AB$11,"days=a","fill=p"))</f>
        <v>#NAME?</v>
      </c>
      <c r="AC48" s="527" t="e">
        <f t="shared" ca="1" si="12"/>
        <v>#NAME?</v>
      </c>
      <c r="AD48" s="529" t="e">
        <f t="shared" ca="1" si="13"/>
        <v>#NAME?</v>
      </c>
      <c r="AE48" s="560" t="s">
        <v>12603</v>
      </c>
      <c r="AF48" s="564"/>
      <c r="AH48" s="506" t="str">
        <f t="shared" ca="1" si="14"/>
        <v/>
      </c>
      <c r="AI48" s="534" t="str">
        <f t="shared" ca="1" si="0"/>
        <v/>
      </c>
      <c r="AJ48" s="512" t="e">
        <f t="shared" ca="1" si="1"/>
        <v>#NAME?</v>
      </c>
      <c r="AL48" s="534" t="e">
        <f t="shared" ca="1" si="19"/>
        <v>#NAME?</v>
      </c>
      <c r="AM48" s="534" t="e">
        <f t="shared" ca="1" si="15"/>
        <v>#NAME?</v>
      </c>
      <c r="AN48" s="506" t="e">
        <f ca="1">_xll.BDP(C48 &amp; " Equity","COUNTRY")</f>
        <v>#NAME?</v>
      </c>
      <c r="AO48" s="506" t="e">
        <f ca="1">_xll.BDP(C48 &amp; " Equity","COUNTRY")</f>
        <v>#NAME?</v>
      </c>
      <c r="AP48" s="506" t="e">
        <f t="shared" ca="1" si="16"/>
        <v>#NAME?</v>
      </c>
      <c r="AQ48" s="523" t="e">
        <f t="shared" ca="1" si="17"/>
        <v>#NAME?</v>
      </c>
      <c r="AR48" s="651"/>
      <c r="AS48" s="192"/>
      <c r="AT48" s="192"/>
      <c r="AU48" s="192"/>
      <c r="AV48" s="192"/>
      <c r="AW48" s="192"/>
      <c r="AX48" s="192"/>
      <c r="AY48" s="192"/>
      <c r="AZ48" s="192"/>
      <c r="BA48" s="192"/>
    </row>
    <row r="49" spans="1:53">
      <c r="A49" s="534" t="e">
        <f ca="1">_xll.BDP(B49 &amp; " Equity","ID_ISIN")</f>
        <v>#NAME?</v>
      </c>
      <c r="B49" s="558" t="s">
        <v>12744</v>
      </c>
      <c r="C49" s="506" t="str">
        <f t="shared" si="2"/>
        <v>BMN LN</v>
      </c>
      <c r="D49" s="507" t="str">
        <f ca="1">IFERROR(_xll.BDP(C49&amp; " Equity","CAST_PARENT_NAME"),"")</f>
        <v/>
      </c>
      <c r="E49" s="508" t="e">
        <f ca="1">_xll.BDP(A49 &amp; " Equity","SECURITY_NAME")</f>
        <v>#NAME?</v>
      </c>
      <c r="F49" s="506" t="e">
        <f t="shared" ca="1" si="3"/>
        <v>#NAME?</v>
      </c>
      <c r="G49" s="509" t="e">
        <f ca="1">IF(N49="EUR",1,IF(N49="GBp",_xll.BDP(F49,"PX LAST")*100,_xll.BDP(F49,"PX LAST")))</f>
        <v>#NAME?</v>
      </c>
      <c r="H49" s="510" t="e">
        <f t="shared" ca="1" si="4"/>
        <v>#NAME?</v>
      </c>
      <c r="I49" s="510" t="e">
        <f t="shared" ca="1" si="5"/>
        <v>#NAME?</v>
      </c>
      <c r="J49" s="511" t="e">
        <f t="shared" ca="1" si="6"/>
        <v>#NAME?</v>
      </c>
      <c r="K49" s="511" t="e">
        <f t="shared" ca="1" si="7"/>
        <v>#NAME?</v>
      </c>
      <c r="L49" s="513">
        <f ca="1">SUMIF(TradesEquity!$E$11:$E$1816,A49,TradesEquity!$M$11:$M$1816)</f>
        <v>-1463572</v>
      </c>
      <c r="M49" s="514" t="e">
        <f ca="1">_xll.BDP(C49 &amp; " Equity","PX_LAST")</f>
        <v>#NAME?</v>
      </c>
      <c r="N49" s="515" t="e">
        <f ca="1">_xll.BDP(C49 &amp; " Equity","Crncy")</f>
        <v>#NAME?</v>
      </c>
      <c r="O49" s="559"/>
      <c r="P49" s="559"/>
      <c r="Q49" s="559"/>
      <c r="R49" s="559"/>
      <c r="S49" s="558"/>
      <c r="T49" s="514" t="e">
        <f t="shared" ca="1" si="8"/>
        <v>#NAME?</v>
      </c>
      <c r="U49" s="525" t="e">
        <f t="shared" ca="1" si="9"/>
        <v>#NAME?</v>
      </c>
      <c r="V49" s="523" t="e">
        <f t="shared" ca="1" si="10"/>
        <v>#NAME?</v>
      </c>
      <c r="W49" s="745"/>
      <c r="X49" s="527" t="e">
        <f t="shared" ca="1" si="11"/>
        <v>#NAME?</v>
      </c>
      <c r="Y49" s="528" t="e">
        <f ca="1">_xll.BDH(B49 &amp; " Equity","PX_LAST",$Y$11,$Y$11,"days=a","fill=p")</f>
        <v>#NAME?</v>
      </c>
      <c r="Z49" s="528" t="e">
        <f t="shared" ca="1" si="18"/>
        <v>#NAME?</v>
      </c>
      <c r="AA49" s="528" t="e">
        <f ca="1">_xll.BDH(C49 &amp; " Equity","PX_LAST",$AA$11,$AA$11,"days=a","fill=p")</f>
        <v>#NAME?</v>
      </c>
      <c r="AB49" s="528" t="e">
        <f ca="1">IF(F49="EUREUR Curncy",1,_xll.BDH(F49,"last_price",AB$11,AB$11,"days=a","fill=p"))</f>
        <v>#NAME?</v>
      </c>
      <c r="AC49" s="527" t="e">
        <f t="shared" ca="1" si="12"/>
        <v>#NAME?</v>
      </c>
      <c r="AD49" s="529" t="e">
        <f t="shared" ca="1" si="13"/>
        <v>#NAME?</v>
      </c>
      <c r="AE49" s="560" t="s">
        <v>12603</v>
      </c>
      <c r="AF49" s="564"/>
      <c r="AH49" s="506" t="str">
        <f t="shared" ca="1" si="14"/>
        <v/>
      </c>
      <c r="AI49" s="534" t="str">
        <f t="shared" ca="1" si="0"/>
        <v/>
      </c>
      <c r="AJ49" s="512" t="e">
        <f t="shared" ca="1" si="1"/>
        <v>#NAME?</v>
      </c>
      <c r="AL49" s="534" t="e">
        <f t="shared" ca="1" si="19"/>
        <v>#NAME?</v>
      </c>
      <c r="AM49" s="534" t="e">
        <f t="shared" ca="1" si="15"/>
        <v>#NAME?</v>
      </c>
      <c r="AN49" s="506" t="e">
        <f ca="1">_xll.BDP(C49 &amp; " Equity","COUNTRY")</f>
        <v>#NAME?</v>
      </c>
      <c r="AO49" s="506" t="e">
        <f ca="1">_xll.BDP(C49 &amp; " Equity","COUNTRY")</f>
        <v>#NAME?</v>
      </c>
      <c r="AP49" s="506" t="e">
        <f t="shared" ca="1" si="16"/>
        <v>#NAME?</v>
      </c>
      <c r="AQ49" s="523" t="e">
        <f t="shared" ca="1" si="17"/>
        <v>#NAME?</v>
      </c>
      <c r="AR49" s="651"/>
      <c r="AS49" s="192"/>
      <c r="AT49" s="192"/>
      <c r="AU49" s="192"/>
      <c r="AV49" s="192"/>
      <c r="AW49" s="192"/>
      <c r="AX49" s="192"/>
      <c r="AY49" s="192"/>
      <c r="AZ49" s="192"/>
      <c r="BA49" s="192"/>
    </row>
    <row r="50" spans="1:53">
      <c r="A50" s="534" t="e">
        <f ca="1">_xll.BDP(B50 &amp; " Equity","ID_ISIN")</f>
        <v>#NAME?</v>
      </c>
      <c r="B50" s="558" t="s">
        <v>12745</v>
      </c>
      <c r="C50" s="506" t="str">
        <f t="shared" si="2"/>
        <v>5563 JP</v>
      </c>
      <c r="D50" s="507" t="str">
        <f ca="1">IFERROR(_xll.BDP(C50&amp; " Equity","CAST_PARENT_NAME"),"")</f>
        <v/>
      </c>
      <c r="E50" s="508" t="e">
        <f ca="1">_xll.BDP(A50 &amp; " Equity","SECURITY_NAME")</f>
        <v>#NAME?</v>
      </c>
      <c r="F50" s="506" t="e">
        <f t="shared" ca="1" si="3"/>
        <v>#NAME?</v>
      </c>
      <c r="G50" s="509" t="e">
        <f ca="1">IF(N50="EUR",1,IF(N50="GBp",_xll.BDP(F50,"PX LAST")*100,_xll.BDP(F50,"PX LAST")))</f>
        <v>#NAME?</v>
      </c>
      <c r="H50" s="510" t="e">
        <f t="shared" ca="1" si="4"/>
        <v>#NAME?</v>
      </c>
      <c r="I50" s="510" t="e">
        <f t="shared" ca="1" si="5"/>
        <v>#NAME?</v>
      </c>
      <c r="J50" s="511" t="e">
        <f t="shared" ca="1" si="6"/>
        <v>#NAME?</v>
      </c>
      <c r="K50" s="511" t="e">
        <f t="shared" ca="1" si="7"/>
        <v>#NAME?</v>
      </c>
      <c r="L50" s="513">
        <f ca="1">SUMIF(TradesEquity!$E$11:$E$1816,A50,TradesEquity!$M$11:$M$1816)</f>
        <v>-1463572</v>
      </c>
      <c r="M50" s="514" t="e">
        <f ca="1">_xll.BDP(C50 &amp; " Equity","PX_LAST")</f>
        <v>#NAME?</v>
      </c>
      <c r="N50" s="515" t="e">
        <f ca="1">_xll.BDP(C50 &amp; " Equity","Crncy")</f>
        <v>#NAME?</v>
      </c>
      <c r="O50" s="559"/>
      <c r="P50" s="559"/>
      <c r="Q50" s="559"/>
      <c r="R50" s="559"/>
      <c r="S50" s="558"/>
      <c r="T50" s="514" t="e">
        <f t="shared" ca="1" si="8"/>
        <v>#NAME?</v>
      </c>
      <c r="U50" s="525" t="e">
        <f t="shared" ca="1" si="9"/>
        <v>#NAME?</v>
      </c>
      <c r="V50" s="523" t="e">
        <f t="shared" ca="1" si="10"/>
        <v>#NAME?</v>
      </c>
      <c r="W50" s="745"/>
      <c r="X50" s="527" t="e">
        <f t="shared" ca="1" si="11"/>
        <v>#NAME?</v>
      </c>
      <c r="Y50" s="528" t="e">
        <f ca="1">_xll.BDH(B50 &amp; " Equity","PX_LAST",$Y$11,$Y$11,"days=a","fill=p")</f>
        <v>#NAME?</v>
      </c>
      <c r="Z50" s="528" t="e">
        <f t="shared" ca="1" si="18"/>
        <v>#NAME?</v>
      </c>
      <c r="AA50" s="528" t="e">
        <f ca="1">_xll.BDH(C50 &amp; " Equity","PX_LAST",$AA$11,$AA$11,"days=a","fill=p")</f>
        <v>#NAME?</v>
      </c>
      <c r="AB50" s="528" t="e">
        <f ca="1">IF(F50="EUREUR Curncy",1,_xll.BDH(F50,"last_price",AB$11,AB$11,"days=a","fill=p"))</f>
        <v>#NAME?</v>
      </c>
      <c r="AC50" s="527" t="e">
        <f t="shared" ca="1" si="12"/>
        <v>#NAME?</v>
      </c>
      <c r="AD50" s="529" t="e">
        <f t="shared" ca="1" si="13"/>
        <v>#NAME?</v>
      </c>
      <c r="AE50" s="560" t="s">
        <v>12603</v>
      </c>
      <c r="AF50" s="564"/>
      <c r="AH50" s="506" t="str">
        <f t="shared" ca="1" si="14"/>
        <v/>
      </c>
      <c r="AI50" s="534" t="str">
        <f t="shared" ca="1" si="0"/>
        <v/>
      </c>
      <c r="AJ50" s="512" t="e">
        <f t="shared" ca="1" si="1"/>
        <v>#NAME?</v>
      </c>
      <c r="AL50" s="534" t="e">
        <f t="shared" ca="1" si="19"/>
        <v>#NAME?</v>
      </c>
      <c r="AM50" s="534" t="e">
        <f t="shared" ca="1" si="15"/>
        <v>#NAME?</v>
      </c>
      <c r="AN50" s="506" t="e">
        <f ca="1">_xll.BDP(C50 &amp; " Equity","COUNTRY")</f>
        <v>#NAME?</v>
      </c>
      <c r="AO50" s="506" t="e">
        <f ca="1">_xll.BDP(C50 &amp; " Equity","COUNTRY")</f>
        <v>#NAME?</v>
      </c>
      <c r="AP50" s="506" t="e">
        <f t="shared" ca="1" si="16"/>
        <v>#NAME?</v>
      </c>
      <c r="AQ50" s="523" t="e">
        <f t="shared" ca="1" si="17"/>
        <v>#NAME?</v>
      </c>
      <c r="AR50" s="651"/>
      <c r="AS50" s="192"/>
      <c r="AT50" s="192"/>
      <c r="AU50" s="192"/>
      <c r="AV50" s="192"/>
      <c r="AW50" s="192"/>
      <c r="AX50" s="192"/>
      <c r="AY50" s="192"/>
      <c r="AZ50" s="192"/>
      <c r="BA50" s="192"/>
    </row>
    <row r="51" spans="1:53">
      <c r="A51" s="534" t="e">
        <f ca="1">_xll.BDP(B51 &amp; " Equity","ID_ISIN")</f>
        <v>#NAME?</v>
      </c>
      <c r="B51" s="558" t="s">
        <v>12746</v>
      </c>
      <c r="C51" s="506" t="str">
        <f t="shared" si="2"/>
        <v>4047 JP</v>
      </c>
      <c r="D51" s="507" t="str">
        <f ca="1">IFERROR(_xll.BDP(C51&amp; " Equity","CAST_PARENT_NAME"),"")</f>
        <v/>
      </c>
      <c r="E51" s="508" t="e">
        <f ca="1">_xll.BDP(A51 &amp; " Equity","SECURITY_NAME")</f>
        <v>#NAME?</v>
      </c>
      <c r="F51" s="506" t="e">
        <f t="shared" ca="1" si="3"/>
        <v>#NAME?</v>
      </c>
      <c r="G51" s="509" t="e">
        <f ca="1">IF(N51="EUR",1,IF(N51="GBp",_xll.BDP(F51,"PX LAST")*100,_xll.BDP(F51,"PX LAST")))</f>
        <v>#NAME?</v>
      </c>
      <c r="H51" s="510" t="e">
        <f t="shared" ca="1" si="4"/>
        <v>#NAME?</v>
      </c>
      <c r="I51" s="510" t="e">
        <f t="shared" ca="1" si="5"/>
        <v>#NAME?</v>
      </c>
      <c r="J51" s="511" t="e">
        <f t="shared" ca="1" si="6"/>
        <v>#NAME?</v>
      </c>
      <c r="K51" s="511" t="e">
        <f t="shared" ca="1" si="7"/>
        <v>#NAME?</v>
      </c>
      <c r="L51" s="513">
        <f ca="1">SUMIF(TradesEquity!$E$11:$E$1816,A51,TradesEquity!$M$11:$M$1816)</f>
        <v>-1463572</v>
      </c>
      <c r="M51" s="514" t="e">
        <f ca="1">_xll.BDP(C51 &amp; " Equity","PX_LAST")</f>
        <v>#NAME?</v>
      </c>
      <c r="N51" s="515" t="e">
        <f ca="1">_xll.BDP(C51 &amp; " Equity","Crncy")</f>
        <v>#NAME?</v>
      </c>
      <c r="O51" s="559"/>
      <c r="P51" s="559"/>
      <c r="Q51" s="559"/>
      <c r="R51" s="559"/>
      <c r="S51" s="558"/>
      <c r="T51" s="514" t="e">
        <f t="shared" ca="1" si="8"/>
        <v>#NAME?</v>
      </c>
      <c r="U51" s="525" t="e">
        <f t="shared" ca="1" si="9"/>
        <v>#NAME?</v>
      </c>
      <c r="V51" s="523" t="e">
        <f t="shared" ca="1" si="10"/>
        <v>#NAME?</v>
      </c>
      <c r="W51" s="745"/>
      <c r="X51" s="527" t="e">
        <f t="shared" ca="1" si="11"/>
        <v>#NAME?</v>
      </c>
      <c r="Y51" s="528" t="e">
        <f ca="1">_xll.BDH(B51 &amp; " Equity","PX_LAST",$Y$11,$Y$11,"days=a","fill=p")</f>
        <v>#NAME?</v>
      </c>
      <c r="Z51" s="528" t="e">
        <f t="shared" ca="1" si="18"/>
        <v>#NAME?</v>
      </c>
      <c r="AA51" s="528" t="e">
        <f ca="1">_xll.BDH(C51 &amp; " Equity","PX_LAST",$AA$11,$AA$11,"days=a","fill=p")</f>
        <v>#NAME?</v>
      </c>
      <c r="AB51" s="528" t="e">
        <f ca="1">IF(F51="EUREUR Curncy",1,_xll.BDH(F51,"last_price",AB$11,AB$11,"days=a","fill=p"))</f>
        <v>#NAME?</v>
      </c>
      <c r="AC51" s="527" t="e">
        <f t="shared" ca="1" si="12"/>
        <v>#NAME?</v>
      </c>
      <c r="AD51" s="529" t="e">
        <f t="shared" ca="1" si="13"/>
        <v>#NAME?</v>
      </c>
      <c r="AE51" s="560" t="s">
        <v>12603</v>
      </c>
      <c r="AF51" s="564"/>
      <c r="AH51" s="506" t="str">
        <f t="shared" ca="1" si="14"/>
        <v/>
      </c>
      <c r="AI51" s="534" t="str">
        <f t="shared" ca="1" si="0"/>
        <v/>
      </c>
      <c r="AJ51" s="512" t="e">
        <f t="shared" ca="1" si="1"/>
        <v>#NAME?</v>
      </c>
      <c r="AL51" s="534" t="e">
        <f t="shared" ca="1" si="19"/>
        <v>#NAME?</v>
      </c>
      <c r="AM51" s="534" t="e">
        <f t="shared" ca="1" si="15"/>
        <v>#NAME?</v>
      </c>
      <c r="AN51" s="506" t="e">
        <f ca="1">_xll.BDP(C51 &amp; " Equity","COUNTRY")</f>
        <v>#NAME?</v>
      </c>
      <c r="AO51" s="506" t="e">
        <f ca="1">_xll.BDP(C51 &amp; " Equity","COUNTRY")</f>
        <v>#NAME?</v>
      </c>
      <c r="AP51" s="506" t="e">
        <f t="shared" ca="1" si="16"/>
        <v>#NAME?</v>
      </c>
      <c r="AQ51" s="523" t="e">
        <f t="shared" ca="1" si="17"/>
        <v>#NAME?</v>
      </c>
      <c r="AR51" s="651"/>
      <c r="AS51" s="192"/>
      <c r="AT51" s="192"/>
      <c r="AU51" s="192"/>
      <c r="AV51" s="192"/>
      <c r="AW51" s="192"/>
      <c r="AX51" s="192"/>
      <c r="AY51" s="192"/>
      <c r="AZ51" s="192"/>
      <c r="BA51" s="192"/>
    </row>
    <row r="52" spans="1:53">
      <c r="A52" s="534" t="e">
        <f ca="1">_xll.BDP(B52 &amp; " Equity","ID_ISIN")</f>
        <v>#NAME?</v>
      </c>
      <c r="B52" s="558" t="s">
        <v>12747</v>
      </c>
      <c r="C52" s="506" t="str">
        <f t="shared" si="2"/>
        <v>6246 JP</v>
      </c>
      <c r="D52" s="507" t="str">
        <f ca="1">IFERROR(_xll.BDP(C52&amp; " Equity","CAST_PARENT_NAME"),"")</f>
        <v/>
      </c>
      <c r="E52" s="508" t="e">
        <f ca="1">_xll.BDP(A52 &amp; " Equity","SECURITY_NAME")</f>
        <v>#NAME?</v>
      </c>
      <c r="F52" s="506" t="e">
        <f t="shared" ca="1" si="3"/>
        <v>#NAME?</v>
      </c>
      <c r="G52" s="509" t="e">
        <f ca="1">IF(N52="EUR",1,IF(N52="GBp",_xll.BDP(F52,"PX LAST")*100,_xll.BDP(F52,"PX LAST")))</f>
        <v>#NAME?</v>
      </c>
      <c r="H52" s="510" t="e">
        <f t="shared" ca="1" si="4"/>
        <v>#NAME?</v>
      </c>
      <c r="I52" s="510" t="e">
        <f t="shared" ca="1" si="5"/>
        <v>#NAME?</v>
      </c>
      <c r="J52" s="511" t="e">
        <f t="shared" ca="1" si="6"/>
        <v>#NAME?</v>
      </c>
      <c r="K52" s="511" t="e">
        <f t="shared" ca="1" si="7"/>
        <v>#NAME?</v>
      </c>
      <c r="L52" s="513">
        <f ca="1">SUMIF(TradesEquity!$E$11:$E$1816,A52,TradesEquity!$M$11:$M$1816)</f>
        <v>-1463572</v>
      </c>
      <c r="M52" s="514" t="e">
        <f ca="1">_xll.BDP(C52 &amp; " Equity","PX_LAST")</f>
        <v>#NAME?</v>
      </c>
      <c r="N52" s="515" t="e">
        <f ca="1">_xll.BDP(C52 &amp; " Equity","Crncy")</f>
        <v>#NAME?</v>
      </c>
      <c r="O52" s="559"/>
      <c r="P52" s="559"/>
      <c r="Q52" s="559"/>
      <c r="R52" s="559"/>
      <c r="S52" s="558"/>
      <c r="T52" s="514" t="e">
        <f t="shared" ca="1" si="8"/>
        <v>#NAME?</v>
      </c>
      <c r="U52" s="525" t="e">
        <f t="shared" ca="1" si="9"/>
        <v>#NAME?</v>
      </c>
      <c r="V52" s="523" t="e">
        <f t="shared" ca="1" si="10"/>
        <v>#NAME?</v>
      </c>
      <c r="W52" s="745"/>
      <c r="X52" s="527" t="e">
        <f t="shared" ca="1" si="11"/>
        <v>#NAME?</v>
      </c>
      <c r="Y52" s="528" t="e">
        <f ca="1">_xll.BDH(B52 &amp; " Equity","PX_LAST",$Y$11,$Y$11,"days=a","fill=p")</f>
        <v>#NAME?</v>
      </c>
      <c r="Z52" s="528" t="e">
        <f t="shared" ca="1" si="18"/>
        <v>#NAME?</v>
      </c>
      <c r="AA52" s="528" t="e">
        <f ca="1">_xll.BDH(C52 &amp; " Equity","PX_LAST",$AA$11,$AA$11,"days=a","fill=p")</f>
        <v>#NAME?</v>
      </c>
      <c r="AB52" s="528" t="e">
        <f ca="1">IF(F52="EUREUR Curncy",1,_xll.BDH(F52,"last_price",AB$11,AB$11,"days=a","fill=p"))</f>
        <v>#NAME?</v>
      </c>
      <c r="AC52" s="527" t="e">
        <f t="shared" ca="1" si="12"/>
        <v>#NAME?</v>
      </c>
      <c r="AD52" s="529" t="e">
        <f t="shared" ca="1" si="13"/>
        <v>#NAME?</v>
      </c>
      <c r="AE52" s="560" t="s">
        <v>12603</v>
      </c>
      <c r="AF52" s="564"/>
      <c r="AH52" s="506" t="str">
        <f t="shared" ca="1" si="14"/>
        <v/>
      </c>
      <c r="AI52" s="534" t="str">
        <f t="shared" ca="1" si="0"/>
        <v/>
      </c>
      <c r="AJ52" s="512" t="e">
        <f t="shared" ca="1" si="1"/>
        <v>#NAME?</v>
      </c>
      <c r="AL52" s="534" t="e">
        <f t="shared" ca="1" si="19"/>
        <v>#NAME?</v>
      </c>
      <c r="AM52" s="534" t="e">
        <f t="shared" ca="1" si="15"/>
        <v>#NAME?</v>
      </c>
      <c r="AN52" s="506" t="e">
        <f ca="1">_xll.BDP(C52 &amp; " Equity","COUNTRY")</f>
        <v>#NAME?</v>
      </c>
      <c r="AO52" s="506" t="e">
        <f ca="1">_xll.BDP(C52 &amp; " Equity","COUNTRY")</f>
        <v>#NAME?</v>
      </c>
      <c r="AP52" s="506" t="e">
        <f t="shared" ca="1" si="16"/>
        <v>#NAME?</v>
      </c>
      <c r="AQ52" s="523" t="e">
        <f t="shared" ca="1" si="17"/>
        <v>#NAME?</v>
      </c>
      <c r="AR52" s="651"/>
      <c r="AS52" s="192"/>
      <c r="AT52" s="192"/>
      <c r="AU52" s="192"/>
      <c r="AV52" s="192"/>
      <c r="AW52" s="192"/>
      <c r="AX52" s="192"/>
      <c r="AY52" s="192"/>
      <c r="AZ52" s="192"/>
      <c r="BA52" s="192"/>
    </row>
    <row r="53" spans="1:53">
      <c r="A53" s="534" t="e">
        <f ca="1">_xll.BDP(B53 &amp; " Equity","ID_ISIN")</f>
        <v>#NAME?</v>
      </c>
      <c r="B53" s="558" t="s">
        <v>12748</v>
      </c>
      <c r="C53" s="506" t="str">
        <f t="shared" si="2"/>
        <v>6882 JP</v>
      </c>
      <c r="D53" s="507" t="str">
        <f ca="1">IFERROR(_xll.BDP(C53&amp; " Equity","CAST_PARENT_NAME"),"")</f>
        <v/>
      </c>
      <c r="E53" s="508" t="e">
        <f ca="1">_xll.BDP(A53 &amp; " Equity","SECURITY_NAME")</f>
        <v>#NAME?</v>
      </c>
      <c r="F53" s="506" t="e">
        <f t="shared" ca="1" si="3"/>
        <v>#NAME?</v>
      </c>
      <c r="G53" s="509" t="e">
        <f ca="1">IF(N53="EUR",1,IF(N53="GBp",_xll.BDP(F53,"PX LAST")*100,_xll.BDP(F53,"PX LAST")))</f>
        <v>#NAME?</v>
      </c>
      <c r="H53" s="510" t="e">
        <f t="shared" ca="1" si="4"/>
        <v>#NAME?</v>
      </c>
      <c r="I53" s="510" t="e">
        <f t="shared" ca="1" si="5"/>
        <v>#NAME?</v>
      </c>
      <c r="J53" s="511" t="e">
        <f t="shared" ca="1" si="6"/>
        <v>#NAME?</v>
      </c>
      <c r="K53" s="511" t="e">
        <f t="shared" ca="1" si="7"/>
        <v>#NAME?</v>
      </c>
      <c r="L53" s="513">
        <f ca="1">SUMIF(TradesEquity!$E$11:$E$1816,A53,TradesEquity!$M$11:$M$1816)</f>
        <v>-1463572</v>
      </c>
      <c r="M53" s="514" t="e">
        <f ca="1">_xll.BDP(C53 &amp; " Equity","PX_LAST")</f>
        <v>#NAME?</v>
      </c>
      <c r="N53" s="515" t="e">
        <f ca="1">_xll.BDP(C53 &amp; " Equity","Crncy")</f>
        <v>#NAME?</v>
      </c>
      <c r="O53" s="559"/>
      <c r="P53" s="559"/>
      <c r="Q53" s="559"/>
      <c r="R53" s="559"/>
      <c r="S53" s="558"/>
      <c r="T53" s="514" t="e">
        <f t="shared" ca="1" si="8"/>
        <v>#NAME?</v>
      </c>
      <c r="U53" s="525" t="e">
        <f t="shared" ca="1" si="9"/>
        <v>#NAME?</v>
      </c>
      <c r="V53" s="523" t="e">
        <f t="shared" ca="1" si="10"/>
        <v>#NAME?</v>
      </c>
      <c r="W53" s="745"/>
      <c r="X53" s="527" t="e">
        <f t="shared" ca="1" si="11"/>
        <v>#NAME?</v>
      </c>
      <c r="Y53" s="528" t="e">
        <f ca="1">_xll.BDH(B53 &amp; " Equity","PX_LAST",$Y$11,$Y$11,"days=a","fill=p")</f>
        <v>#NAME?</v>
      </c>
      <c r="Z53" s="528" t="e">
        <f t="shared" ca="1" si="18"/>
        <v>#NAME?</v>
      </c>
      <c r="AA53" s="528" t="e">
        <f ca="1">_xll.BDH(C53 &amp; " Equity","PX_LAST",$AA$11,$AA$11,"days=a","fill=p")</f>
        <v>#NAME?</v>
      </c>
      <c r="AB53" s="528" t="e">
        <f ca="1">IF(F53="EUREUR Curncy",1,_xll.BDH(F53,"last_price",AB$11,AB$11,"days=a","fill=p"))</f>
        <v>#NAME?</v>
      </c>
      <c r="AC53" s="527" t="e">
        <f t="shared" ca="1" si="12"/>
        <v>#NAME?</v>
      </c>
      <c r="AD53" s="529" t="e">
        <f t="shared" ca="1" si="13"/>
        <v>#NAME?</v>
      </c>
      <c r="AE53" s="560" t="s">
        <v>12603</v>
      </c>
      <c r="AF53" s="564"/>
      <c r="AH53" s="506" t="str">
        <f t="shared" ca="1" si="14"/>
        <v/>
      </c>
      <c r="AI53" s="534" t="str">
        <f t="shared" ca="1" si="0"/>
        <v/>
      </c>
      <c r="AJ53" s="512" t="e">
        <f t="shared" ca="1" si="1"/>
        <v>#NAME?</v>
      </c>
      <c r="AL53" s="534" t="e">
        <f t="shared" ca="1" si="19"/>
        <v>#NAME?</v>
      </c>
      <c r="AM53" s="534" t="e">
        <f t="shared" ca="1" si="15"/>
        <v>#NAME?</v>
      </c>
      <c r="AN53" s="506" t="e">
        <f ca="1">_xll.BDP(C53 &amp; " Equity","COUNTRY")</f>
        <v>#NAME?</v>
      </c>
      <c r="AO53" s="506" t="e">
        <f ca="1">_xll.BDP(C53 &amp; " Equity","COUNTRY")</f>
        <v>#NAME?</v>
      </c>
      <c r="AP53" s="506" t="e">
        <f t="shared" ca="1" si="16"/>
        <v>#NAME?</v>
      </c>
      <c r="AQ53" s="523" t="e">
        <f t="shared" ca="1" si="17"/>
        <v>#NAME?</v>
      </c>
      <c r="AR53" s="651"/>
      <c r="AS53" s="192"/>
      <c r="AT53" s="192"/>
      <c r="AU53" s="192"/>
      <c r="AV53" s="192"/>
      <c r="AW53" s="192"/>
      <c r="AX53" s="192"/>
      <c r="AY53" s="192"/>
      <c r="AZ53" s="192"/>
      <c r="BA53" s="192"/>
    </row>
    <row r="54" spans="1:53">
      <c r="A54" s="534" t="e">
        <f ca="1">_xll.BDP(B54 &amp; " Equity","ID_ISIN")</f>
        <v>#NAME?</v>
      </c>
      <c r="B54" s="558" t="s">
        <v>12749</v>
      </c>
      <c r="C54" s="506" t="str">
        <f t="shared" si="2"/>
        <v>4044 JP</v>
      </c>
      <c r="D54" s="507" t="str">
        <f ca="1">IFERROR(_xll.BDP(C54&amp; " Equity","CAST_PARENT_NAME"),"")</f>
        <v/>
      </c>
      <c r="E54" s="508" t="e">
        <f ca="1">_xll.BDP(A54 &amp; " Equity","SECURITY_NAME")</f>
        <v>#NAME?</v>
      </c>
      <c r="F54" s="506" t="e">
        <f t="shared" ca="1" si="3"/>
        <v>#NAME?</v>
      </c>
      <c r="G54" s="509" t="e">
        <f ca="1">IF(N54="EUR",1,IF(N54="GBp",_xll.BDP(F54,"PX LAST")*100,_xll.BDP(F54,"PX LAST")))</f>
        <v>#NAME?</v>
      </c>
      <c r="H54" s="510" t="e">
        <f t="shared" ca="1" si="4"/>
        <v>#NAME?</v>
      </c>
      <c r="I54" s="510" t="e">
        <f t="shared" ca="1" si="5"/>
        <v>#NAME?</v>
      </c>
      <c r="J54" s="511" t="e">
        <f t="shared" ca="1" si="6"/>
        <v>#NAME?</v>
      </c>
      <c r="K54" s="511" t="e">
        <f t="shared" ca="1" si="7"/>
        <v>#NAME?</v>
      </c>
      <c r="L54" s="513">
        <f ca="1">SUMIF(TradesEquity!$E$11:$E$1816,A54,TradesEquity!$M$11:$M$1816)</f>
        <v>-1463572</v>
      </c>
      <c r="M54" s="514" t="e">
        <f ca="1">_xll.BDP(C54 &amp; " Equity","PX_LAST")</f>
        <v>#NAME?</v>
      </c>
      <c r="N54" s="515" t="e">
        <f ca="1">_xll.BDP(C54 &amp; " Equity","Crncy")</f>
        <v>#NAME?</v>
      </c>
      <c r="O54" s="559"/>
      <c r="P54" s="559"/>
      <c r="Q54" s="559"/>
      <c r="R54" s="559"/>
      <c r="S54" s="558"/>
      <c r="T54" s="514" t="e">
        <f t="shared" ca="1" si="8"/>
        <v>#NAME?</v>
      </c>
      <c r="U54" s="525" t="e">
        <f t="shared" ca="1" si="9"/>
        <v>#NAME?</v>
      </c>
      <c r="V54" s="523" t="e">
        <f t="shared" ca="1" si="10"/>
        <v>#NAME?</v>
      </c>
      <c r="W54" s="745"/>
      <c r="X54" s="527" t="e">
        <f t="shared" ca="1" si="11"/>
        <v>#NAME?</v>
      </c>
      <c r="Y54" s="528" t="e">
        <f ca="1">_xll.BDH(B54 &amp; " Equity","PX_LAST",$Y$11,$Y$11,"days=a","fill=p")</f>
        <v>#NAME?</v>
      </c>
      <c r="Z54" s="528" t="e">
        <f t="shared" ca="1" si="18"/>
        <v>#NAME?</v>
      </c>
      <c r="AA54" s="528" t="e">
        <f ca="1">_xll.BDH(C54 &amp; " Equity","PX_LAST",$AA$11,$AA$11,"days=a","fill=p")</f>
        <v>#NAME?</v>
      </c>
      <c r="AB54" s="528" t="e">
        <f ca="1">IF(F54="EUREUR Curncy",1,_xll.BDH(F54,"last_price",AB$11,AB$11,"days=a","fill=p"))</f>
        <v>#NAME?</v>
      </c>
      <c r="AC54" s="527" t="e">
        <f t="shared" ca="1" si="12"/>
        <v>#NAME?</v>
      </c>
      <c r="AD54" s="529" t="e">
        <f t="shared" ca="1" si="13"/>
        <v>#NAME?</v>
      </c>
      <c r="AE54" s="560" t="s">
        <v>12603</v>
      </c>
      <c r="AF54" s="564"/>
      <c r="AH54" s="506" t="str">
        <f t="shared" ca="1" si="14"/>
        <v/>
      </c>
      <c r="AI54" s="534" t="str">
        <f t="shared" ca="1" si="0"/>
        <v/>
      </c>
      <c r="AJ54" s="512" t="e">
        <f t="shared" ca="1" si="1"/>
        <v>#NAME?</v>
      </c>
      <c r="AL54" s="534" t="e">
        <f t="shared" ca="1" si="19"/>
        <v>#NAME?</v>
      </c>
      <c r="AM54" s="534" t="e">
        <f t="shared" ca="1" si="15"/>
        <v>#NAME?</v>
      </c>
      <c r="AN54" s="506" t="e">
        <f ca="1">_xll.BDP(C54 &amp; " Equity","COUNTRY")</f>
        <v>#NAME?</v>
      </c>
      <c r="AO54" s="506" t="e">
        <f ca="1">_xll.BDP(C54 &amp; " Equity","COUNTRY")</f>
        <v>#NAME?</v>
      </c>
      <c r="AP54" s="506" t="e">
        <f t="shared" ca="1" si="16"/>
        <v>#NAME?</v>
      </c>
      <c r="AQ54" s="523" t="e">
        <f t="shared" ca="1" si="17"/>
        <v>#NAME?</v>
      </c>
      <c r="AR54" s="651"/>
      <c r="AS54" s="192"/>
      <c r="AT54" s="192"/>
      <c r="AU54" s="192"/>
      <c r="AV54" s="192"/>
      <c r="AW54" s="192"/>
      <c r="AX54" s="192"/>
      <c r="AY54" s="192"/>
      <c r="AZ54" s="192"/>
      <c r="BA54" s="192"/>
    </row>
    <row r="55" spans="1:53">
      <c r="A55" s="534" t="e">
        <f ca="1">_xll.BDP(B55 &amp; " Equity","ID_ISIN")</f>
        <v>#NAME?</v>
      </c>
      <c r="B55" s="558" t="s">
        <v>12751</v>
      </c>
      <c r="C55" s="506" t="str">
        <f t="shared" si="2"/>
        <v>SFR AU</v>
      </c>
      <c r="D55" s="507" t="str">
        <f ca="1">IFERROR(_xll.BDP(C55&amp; " Equity","CAST_PARENT_NAME"),"")</f>
        <v/>
      </c>
      <c r="E55" s="508" t="e">
        <f ca="1">_xll.BDP(A55 &amp; " Equity","SECURITY_NAME")</f>
        <v>#NAME?</v>
      </c>
      <c r="F55" s="506" t="e">
        <f t="shared" ca="1" si="3"/>
        <v>#NAME?</v>
      </c>
      <c r="G55" s="509" t="e">
        <f ca="1">IF(N55="EUR",1,IF(N55="GBp",_xll.BDP(F55,"PX LAST")*100,_xll.BDP(F55,"PX LAST")))</f>
        <v>#NAME?</v>
      </c>
      <c r="H55" s="510" t="e">
        <f t="shared" ca="1" si="4"/>
        <v>#NAME?</v>
      </c>
      <c r="I55" s="510" t="e">
        <f t="shared" ca="1" si="5"/>
        <v>#NAME?</v>
      </c>
      <c r="J55" s="511" t="e">
        <f t="shared" ca="1" si="6"/>
        <v>#NAME?</v>
      </c>
      <c r="K55" s="511" t="e">
        <f t="shared" ca="1" si="7"/>
        <v>#NAME?</v>
      </c>
      <c r="L55" s="513">
        <f ca="1">SUMIF(TradesEquity!$E$11:$E$1816,A55,TradesEquity!$M$11:$M$1816)</f>
        <v>-1463572</v>
      </c>
      <c r="M55" s="514" t="e">
        <f ca="1">_xll.BDP(C55 &amp; " Equity","PX_LAST")</f>
        <v>#NAME?</v>
      </c>
      <c r="N55" s="515" t="e">
        <f ca="1">_xll.BDP(C55 &amp; " Equity","Crncy")</f>
        <v>#NAME?</v>
      </c>
      <c r="O55" s="559"/>
      <c r="P55" s="559"/>
      <c r="Q55" s="559"/>
      <c r="R55" s="559"/>
      <c r="S55" s="558"/>
      <c r="T55" s="514" t="e">
        <f t="shared" ca="1" si="8"/>
        <v>#NAME?</v>
      </c>
      <c r="U55" s="525" t="e">
        <f t="shared" ca="1" si="9"/>
        <v>#NAME?</v>
      </c>
      <c r="V55" s="523" t="e">
        <f t="shared" ca="1" si="10"/>
        <v>#NAME?</v>
      </c>
      <c r="W55" s="745"/>
      <c r="X55" s="527" t="e">
        <f t="shared" ca="1" si="11"/>
        <v>#NAME?</v>
      </c>
      <c r="Y55" s="528" t="e">
        <f ca="1">_xll.BDH(B55 &amp; " Equity","PX_LAST",$Y$11,$Y$11,"days=a","fill=p")</f>
        <v>#NAME?</v>
      </c>
      <c r="Z55" s="528" t="e">
        <f t="shared" ca="1" si="18"/>
        <v>#NAME?</v>
      </c>
      <c r="AA55" s="528" t="e">
        <f ca="1">_xll.BDH(C55 &amp; " Equity","PX_LAST",$AA$11,$AA$11,"days=a","fill=p")</f>
        <v>#NAME?</v>
      </c>
      <c r="AB55" s="528" t="e">
        <f ca="1">IF(F55="EUREUR Curncy",1,_xll.BDH(F55,"last_price",AB$11,AB$11,"days=a","fill=p"))</f>
        <v>#NAME?</v>
      </c>
      <c r="AC55" s="527" t="e">
        <f t="shared" ca="1" si="12"/>
        <v>#NAME?</v>
      </c>
      <c r="AD55" s="529" t="e">
        <f t="shared" ca="1" si="13"/>
        <v>#NAME?</v>
      </c>
      <c r="AE55" s="560" t="s">
        <v>12603</v>
      </c>
      <c r="AF55" s="564"/>
      <c r="AH55" s="506" t="str">
        <f t="shared" ca="1" si="14"/>
        <v/>
      </c>
      <c r="AI55" s="534" t="str">
        <f t="shared" ca="1" si="0"/>
        <v/>
      </c>
      <c r="AJ55" s="512" t="e">
        <f t="shared" ca="1" si="1"/>
        <v>#NAME?</v>
      </c>
      <c r="AL55" s="534" t="e">
        <f t="shared" ca="1" si="19"/>
        <v>#NAME?</v>
      </c>
      <c r="AM55" s="534" t="e">
        <f t="shared" ca="1" si="15"/>
        <v>#NAME?</v>
      </c>
      <c r="AN55" s="506" t="e">
        <f ca="1">_xll.BDP(C55 &amp; " Equity","COUNTRY")</f>
        <v>#NAME?</v>
      </c>
      <c r="AO55" s="506" t="e">
        <f ca="1">_xll.BDP(C55 &amp; " Equity","COUNTRY")</f>
        <v>#NAME?</v>
      </c>
      <c r="AP55" s="506" t="e">
        <f t="shared" ca="1" si="16"/>
        <v>#NAME?</v>
      </c>
      <c r="AQ55" s="523" t="e">
        <f t="shared" ca="1" si="17"/>
        <v>#NAME?</v>
      </c>
      <c r="AR55" s="651"/>
      <c r="AS55" s="192"/>
      <c r="AT55" s="192"/>
      <c r="AU55" s="192"/>
      <c r="AV55" s="192"/>
      <c r="AW55" s="192"/>
      <c r="AX55" s="192"/>
      <c r="AY55" s="192"/>
      <c r="AZ55" s="192"/>
      <c r="BA55" s="192"/>
    </row>
    <row r="56" spans="1:53">
      <c r="A56" s="534" t="e">
        <f ca="1">_xll.BDP(B56 &amp; " Equity","ID_ISIN")</f>
        <v>#NAME?</v>
      </c>
      <c r="B56" s="558" t="s">
        <v>12752</v>
      </c>
      <c r="C56" s="506" t="str">
        <f t="shared" si="2"/>
        <v>5233 JP</v>
      </c>
      <c r="D56" s="507" t="str">
        <f ca="1">IFERROR(_xll.BDP(C56&amp; " Equity","CAST_PARENT_NAME"),"")</f>
        <v/>
      </c>
      <c r="E56" s="508" t="e">
        <f ca="1">_xll.BDP(A56 &amp; " Equity","SECURITY_NAME")</f>
        <v>#NAME?</v>
      </c>
      <c r="F56" s="506" t="e">
        <f t="shared" ca="1" si="3"/>
        <v>#NAME?</v>
      </c>
      <c r="G56" s="509" t="e">
        <f ca="1">IF(N56="EUR",1,IF(N56="GBp",_xll.BDP(F56,"PX LAST")*100,_xll.BDP(F56,"PX LAST")))</f>
        <v>#NAME?</v>
      </c>
      <c r="H56" s="510" t="e">
        <f t="shared" ca="1" si="4"/>
        <v>#NAME?</v>
      </c>
      <c r="I56" s="510" t="e">
        <f t="shared" ca="1" si="5"/>
        <v>#NAME?</v>
      </c>
      <c r="J56" s="511" t="e">
        <f t="shared" ca="1" si="6"/>
        <v>#NAME?</v>
      </c>
      <c r="K56" s="511" t="e">
        <f t="shared" ca="1" si="7"/>
        <v>#NAME?</v>
      </c>
      <c r="L56" s="513">
        <f ca="1">SUMIF(TradesEquity!$E$11:$E$1816,A56,TradesEquity!$M$11:$M$1816)</f>
        <v>-1463572</v>
      </c>
      <c r="M56" s="514" t="e">
        <f ca="1">_xll.BDP(C56 &amp; " Equity","PX_LAST")</f>
        <v>#NAME?</v>
      </c>
      <c r="N56" s="515" t="e">
        <f ca="1">_xll.BDP(C56 &amp; " Equity","Crncy")</f>
        <v>#NAME?</v>
      </c>
      <c r="O56" s="559"/>
      <c r="P56" s="559"/>
      <c r="Q56" s="559"/>
      <c r="R56" s="559"/>
      <c r="S56" s="558"/>
      <c r="T56" s="514" t="e">
        <f t="shared" ca="1" si="8"/>
        <v>#NAME?</v>
      </c>
      <c r="U56" s="525" t="e">
        <f t="shared" ca="1" si="9"/>
        <v>#NAME?</v>
      </c>
      <c r="V56" s="523" t="e">
        <f t="shared" ca="1" si="10"/>
        <v>#NAME?</v>
      </c>
      <c r="W56" s="745"/>
      <c r="X56" s="527" t="e">
        <f t="shared" ca="1" si="11"/>
        <v>#NAME?</v>
      </c>
      <c r="Y56" s="528" t="e">
        <f ca="1">_xll.BDH(B56 &amp; " Equity","PX_LAST",$Y$11,$Y$11,"days=a","fill=p")</f>
        <v>#NAME?</v>
      </c>
      <c r="Z56" s="528" t="e">
        <f t="shared" ca="1" si="18"/>
        <v>#NAME?</v>
      </c>
      <c r="AA56" s="528" t="e">
        <f ca="1">_xll.BDH(C56 &amp; " Equity","PX_LAST",$AA$11,$AA$11,"days=a","fill=p")</f>
        <v>#NAME?</v>
      </c>
      <c r="AB56" s="528" t="e">
        <f ca="1">IF(F56="EUREUR Curncy",1,_xll.BDH(F56,"last_price",AB$11,AB$11,"days=a","fill=p"))</f>
        <v>#NAME?</v>
      </c>
      <c r="AC56" s="527" t="e">
        <f t="shared" ca="1" si="12"/>
        <v>#NAME?</v>
      </c>
      <c r="AD56" s="529" t="e">
        <f t="shared" ca="1" si="13"/>
        <v>#NAME?</v>
      </c>
      <c r="AE56" s="560" t="s">
        <v>12603</v>
      </c>
      <c r="AF56" s="564"/>
      <c r="AH56" s="506" t="str">
        <f t="shared" ca="1" si="14"/>
        <v/>
      </c>
      <c r="AI56" s="534" t="str">
        <f t="shared" ca="1" si="0"/>
        <v/>
      </c>
      <c r="AJ56" s="512" t="e">
        <f t="shared" ca="1" si="1"/>
        <v>#NAME?</v>
      </c>
      <c r="AL56" s="534" t="e">
        <f t="shared" ca="1" si="19"/>
        <v>#NAME?</v>
      </c>
      <c r="AM56" s="534" t="e">
        <f t="shared" ca="1" si="15"/>
        <v>#NAME?</v>
      </c>
      <c r="AN56" s="506" t="e">
        <f ca="1">_xll.BDP(C56 &amp; " Equity","COUNTRY")</f>
        <v>#NAME?</v>
      </c>
      <c r="AO56" s="506" t="e">
        <f ca="1">_xll.BDP(C56 &amp; " Equity","COUNTRY")</f>
        <v>#NAME?</v>
      </c>
      <c r="AP56" s="506" t="e">
        <f t="shared" ca="1" si="16"/>
        <v>#NAME?</v>
      </c>
      <c r="AQ56" s="523" t="e">
        <f t="shared" ca="1" si="17"/>
        <v>#NAME?</v>
      </c>
      <c r="AR56" s="651"/>
      <c r="AS56" s="192"/>
      <c r="AT56" s="192"/>
      <c r="AU56" s="192"/>
      <c r="AV56" s="192"/>
      <c r="AW56" s="192"/>
      <c r="AX56" s="192"/>
      <c r="AY56" s="192"/>
      <c r="AZ56" s="192"/>
      <c r="BA56" s="192"/>
    </row>
    <row r="57" spans="1:53">
      <c r="A57" s="534" t="e">
        <f ca="1">_xll.BDP(B57 &amp; " Equity","ID_ISIN")</f>
        <v>#NAME?</v>
      </c>
      <c r="B57" s="558" t="s">
        <v>12860</v>
      </c>
      <c r="C57" s="506" t="str">
        <f t="shared" si="2"/>
        <v>6762 JP</v>
      </c>
      <c r="D57" s="507" t="str">
        <f ca="1">IFERROR(_xll.BDP(C57&amp; " Equity","CAST_PARENT_NAME"),"")</f>
        <v/>
      </c>
      <c r="E57" s="508" t="e">
        <f ca="1">_xll.BDP(B57 &amp; " Equity","SECURITY_NAME")</f>
        <v>#NAME?</v>
      </c>
      <c r="F57" s="506" t="e">
        <f t="shared" ca="1" si="3"/>
        <v>#NAME?</v>
      </c>
      <c r="G57" s="509" t="e">
        <f ca="1">IF(N57="EUR",1,IF(N57="GBp",_xll.BDP(F57,"PX LAST")*100,_xll.BDP(F57,"PX LAST")))</f>
        <v>#NAME?</v>
      </c>
      <c r="H57" s="510" t="e">
        <f t="shared" ca="1" si="4"/>
        <v>#NAME?</v>
      </c>
      <c r="I57" s="510" t="e">
        <f t="shared" ca="1" si="5"/>
        <v>#NAME?</v>
      </c>
      <c r="J57" s="511" t="e">
        <f t="shared" ca="1" si="6"/>
        <v>#NAME?</v>
      </c>
      <c r="K57" s="511" t="e">
        <f t="shared" ca="1" si="7"/>
        <v>#NAME?</v>
      </c>
      <c r="L57" s="513">
        <f ca="1">SUMIF(TradesEquity!$E$11:$E$1816,A57,TradesEquity!$M$11:$M$1816)</f>
        <v>-1463572</v>
      </c>
      <c r="M57" s="514" t="e">
        <f ca="1">_xll.BDP(C57 &amp; " Equity","PX_LAST")</f>
        <v>#NAME?</v>
      </c>
      <c r="N57" s="515" t="e">
        <f ca="1">_xll.BDP(C57 &amp; " Equity","Crncy")</f>
        <v>#NAME?</v>
      </c>
      <c r="O57" s="559"/>
      <c r="P57" s="559"/>
      <c r="Q57" s="559"/>
      <c r="R57" s="559"/>
      <c r="S57" s="558"/>
      <c r="T57" s="514" t="e">
        <f t="shared" ca="1" si="8"/>
        <v>#NAME?</v>
      </c>
      <c r="U57" s="525" t="e">
        <f t="shared" ca="1" si="9"/>
        <v>#NAME?</v>
      </c>
      <c r="V57" s="523" t="e">
        <f t="shared" ca="1" si="10"/>
        <v>#NAME?</v>
      </c>
      <c r="W57" s="745"/>
      <c r="X57" s="527" t="e">
        <f t="shared" ca="1" si="11"/>
        <v>#NAME?</v>
      </c>
      <c r="Y57" s="528" t="e">
        <f ca="1">_xll.BDH(B57 &amp; " Equity","PX_LAST",$Y$11,$Y$11,"days=a","fill=p")</f>
        <v>#NAME?</v>
      </c>
      <c r="Z57" s="528" t="e">
        <f t="shared" ca="1" si="18"/>
        <v>#NAME?</v>
      </c>
      <c r="AA57" s="528" t="e">
        <f ca="1">_xll.BDH(C57 &amp; " Equity","PX_LAST",$AA$11,$AA$11,"days=a","fill=p")</f>
        <v>#NAME?</v>
      </c>
      <c r="AB57" s="528" t="e">
        <f ca="1">IF(F57="EUREUR Curncy",1,_xll.BDH(F57,"last_price",AB$11,AB$11,"days=a","fill=p"))</f>
        <v>#NAME?</v>
      </c>
      <c r="AC57" s="527" t="e">
        <f t="shared" ca="1" si="12"/>
        <v>#NAME?</v>
      </c>
      <c r="AD57" s="529" t="e">
        <f t="shared" ca="1" si="13"/>
        <v>#NAME?</v>
      </c>
      <c r="AE57" s="560" t="s">
        <v>12603</v>
      </c>
      <c r="AF57" s="564"/>
      <c r="AH57" s="506" t="str">
        <f t="shared" ca="1" si="14"/>
        <v/>
      </c>
      <c r="AI57" s="534" t="str">
        <f t="shared" ca="1" si="0"/>
        <v/>
      </c>
      <c r="AJ57" s="512" t="e">
        <f t="shared" ca="1" si="1"/>
        <v>#NAME?</v>
      </c>
      <c r="AL57" s="534" t="e">
        <f t="shared" ca="1" si="19"/>
        <v>#NAME?</v>
      </c>
      <c r="AM57" s="534" t="e">
        <f t="shared" ca="1" si="15"/>
        <v>#NAME?</v>
      </c>
      <c r="AN57" s="506" t="e">
        <f ca="1">_xll.BDP(C57 &amp; " Equity","COUNTRY")</f>
        <v>#NAME?</v>
      </c>
      <c r="AO57" s="506" t="e">
        <f ca="1">_xll.BDP(C57 &amp; " Equity","COUNTRY")</f>
        <v>#NAME?</v>
      </c>
      <c r="AP57" s="506" t="e">
        <f t="shared" ca="1" si="16"/>
        <v>#NAME?</v>
      </c>
      <c r="AQ57" s="523" t="e">
        <f t="shared" ca="1" si="17"/>
        <v>#NAME?</v>
      </c>
      <c r="AR57" s="651"/>
      <c r="AS57" s="192"/>
      <c r="AT57" s="192"/>
      <c r="AU57" s="192"/>
      <c r="AV57" s="192"/>
      <c r="AW57" s="192"/>
      <c r="AX57" s="192"/>
      <c r="AY57" s="192"/>
      <c r="AZ57" s="192"/>
      <c r="BA57" s="192"/>
    </row>
    <row r="58" spans="1:53">
      <c r="A58" s="534" t="e">
        <f ca="1">_xll.BDP(B58 &amp; " Equity","ID_ISIN")</f>
        <v>#NAME?</v>
      </c>
      <c r="B58" s="558" t="s">
        <v>12862</v>
      </c>
      <c r="C58" s="506" t="str">
        <f t="shared" si="2"/>
        <v>VTSC GR</v>
      </c>
      <c r="D58" s="507" t="str">
        <f ca="1">IFERROR(_xll.BDP(C58&amp; " Equity","CAST_PARENT_NAME"),"")</f>
        <v/>
      </c>
      <c r="E58" s="508" t="e">
        <f ca="1">_xll.BDP(B58 &amp; " Equity","SECURITY_NAME")</f>
        <v>#NAME?</v>
      </c>
      <c r="F58" s="506" t="e">
        <f t="shared" ca="1" si="3"/>
        <v>#NAME?</v>
      </c>
      <c r="G58" s="509" t="e">
        <f ca="1">IF(N58="EUR",1,IF(N58="GBp",_xll.BDP(F58,"PX LAST")*100,_xll.BDP(F58,"PX LAST")))</f>
        <v>#NAME?</v>
      </c>
      <c r="H58" s="510" t="e">
        <f t="shared" ca="1" si="4"/>
        <v>#NAME?</v>
      </c>
      <c r="I58" s="510" t="e">
        <f t="shared" ca="1" si="5"/>
        <v>#NAME?</v>
      </c>
      <c r="J58" s="511" t="e">
        <f t="shared" ca="1" si="6"/>
        <v>#NAME?</v>
      </c>
      <c r="K58" s="511" t="e">
        <f t="shared" ca="1" si="7"/>
        <v>#NAME?</v>
      </c>
      <c r="L58" s="513">
        <f ca="1">SUMIF(TradesEquity!$E$11:$E$1816,A58,TradesEquity!$M$11:$M$1816)</f>
        <v>-1463572</v>
      </c>
      <c r="M58" s="514" t="e">
        <f ca="1">_xll.BDP(C58 &amp; " Equity","PX_LAST")</f>
        <v>#NAME?</v>
      </c>
      <c r="N58" s="515" t="e">
        <f ca="1">_xll.BDP(C58 &amp; " Equity","Crncy")</f>
        <v>#NAME?</v>
      </c>
      <c r="O58" s="559"/>
      <c r="P58" s="559"/>
      <c r="Q58" s="559"/>
      <c r="R58" s="559"/>
      <c r="S58" s="558"/>
      <c r="T58" s="514" t="e">
        <f t="shared" ca="1" si="8"/>
        <v>#NAME?</v>
      </c>
      <c r="U58" s="525" t="e">
        <f t="shared" ca="1" si="9"/>
        <v>#NAME?</v>
      </c>
      <c r="V58" s="523" t="e">
        <f t="shared" ca="1" si="10"/>
        <v>#NAME?</v>
      </c>
      <c r="W58" s="745"/>
      <c r="X58" s="527" t="e">
        <f t="shared" ca="1" si="11"/>
        <v>#NAME?</v>
      </c>
      <c r="Y58" s="528" t="e">
        <f ca="1">_xll.BDH(B58 &amp; " Equity","PX_LAST",$Y$11,$Y$11,"days=a","fill=p")</f>
        <v>#NAME?</v>
      </c>
      <c r="Z58" s="528" t="e">
        <f t="shared" ca="1" si="18"/>
        <v>#NAME?</v>
      </c>
      <c r="AA58" s="528" t="e">
        <f ca="1">_xll.BDH(C58 &amp; " Equity","PX_LAST",$AA$11,$AA$11,"days=a","fill=p")</f>
        <v>#NAME?</v>
      </c>
      <c r="AB58" s="528" t="e">
        <f ca="1">IF(F58="EUREUR Curncy",1,_xll.BDH(F58,"last_price",AB$11,AB$11,"days=a","fill=p"))</f>
        <v>#NAME?</v>
      </c>
      <c r="AC58" s="527" t="e">
        <f t="shared" ca="1" si="12"/>
        <v>#NAME?</v>
      </c>
      <c r="AD58" s="529" t="e">
        <f t="shared" ca="1" si="13"/>
        <v>#NAME?</v>
      </c>
      <c r="AE58" s="560" t="s">
        <v>12603</v>
      </c>
      <c r="AF58" s="564"/>
      <c r="AH58" s="506" t="str">
        <f t="shared" ca="1" si="14"/>
        <v/>
      </c>
      <c r="AI58" s="534" t="str">
        <f t="shared" ca="1" si="0"/>
        <v/>
      </c>
      <c r="AJ58" s="512" t="e">
        <f t="shared" ca="1" si="1"/>
        <v>#NAME?</v>
      </c>
      <c r="AL58" s="534" t="e">
        <f t="shared" ca="1" si="19"/>
        <v>#NAME?</v>
      </c>
      <c r="AM58" s="534" t="e">
        <f t="shared" ca="1" si="15"/>
        <v>#NAME?</v>
      </c>
      <c r="AN58" s="506" t="e">
        <f ca="1">_xll.BDP(C58 &amp; " Equity","COUNTRY")</f>
        <v>#NAME?</v>
      </c>
      <c r="AO58" s="506" t="e">
        <f ca="1">_xll.BDP(C58 &amp; " Equity","COUNTRY")</f>
        <v>#NAME?</v>
      </c>
      <c r="AP58" s="506" t="e">
        <f t="shared" ca="1" si="16"/>
        <v>#NAME?</v>
      </c>
      <c r="AQ58" s="523" t="e">
        <f t="shared" ca="1" si="17"/>
        <v>#NAME?</v>
      </c>
      <c r="AR58" s="651"/>
      <c r="AS58" s="192"/>
      <c r="AT58" s="192"/>
      <c r="AU58" s="192"/>
      <c r="AV58" s="192"/>
      <c r="AW58" s="192"/>
      <c r="AX58" s="192"/>
      <c r="AY58" s="192"/>
      <c r="AZ58" s="192"/>
      <c r="BA58" s="192"/>
    </row>
    <row r="59" spans="1:53">
      <c r="A59" s="534" t="e">
        <f ca="1">_xll.BDP(B59 &amp; " Equity","ID_ISIN")</f>
        <v>#NAME?</v>
      </c>
      <c r="B59" s="558" t="s">
        <v>12877</v>
      </c>
      <c r="C59" s="506" t="str">
        <f t="shared" si="2"/>
        <v>7013 JP</v>
      </c>
      <c r="D59" s="507" t="str">
        <f ca="1">IFERROR(_xll.BDP(C59&amp; " Equity","CAST_PARENT_NAME"),"")</f>
        <v/>
      </c>
      <c r="E59" s="508" t="e">
        <f ca="1">_xll.BDP(B59 &amp; " Equity","SECURITY_NAME")</f>
        <v>#NAME?</v>
      </c>
      <c r="F59" s="506" t="e">
        <f t="shared" ca="1" si="3"/>
        <v>#NAME?</v>
      </c>
      <c r="G59" s="509" t="e">
        <f ca="1">IF(N59="EUR",1,IF(N59="GBp",_xll.BDP(F59,"PX LAST")*100,_xll.BDP(F59,"PX LAST")))</f>
        <v>#NAME?</v>
      </c>
      <c r="H59" s="510" t="e">
        <f t="shared" ca="1" si="4"/>
        <v>#NAME?</v>
      </c>
      <c r="I59" s="510" t="e">
        <f t="shared" ca="1" si="5"/>
        <v>#NAME?</v>
      </c>
      <c r="J59" s="511" t="e">
        <f t="shared" ca="1" si="6"/>
        <v>#NAME?</v>
      </c>
      <c r="K59" s="511" t="e">
        <f t="shared" ca="1" si="7"/>
        <v>#NAME?</v>
      </c>
      <c r="L59" s="513">
        <f ca="1">SUMIF(TradesEquity!$E$11:$E$1816,A59,TradesEquity!$M$11:$M$1816)</f>
        <v>-1463572</v>
      </c>
      <c r="M59" s="514" t="e">
        <f ca="1">_xll.BDP(C59 &amp; " Equity","PX_LAST")</f>
        <v>#NAME?</v>
      </c>
      <c r="N59" s="515" t="e">
        <f ca="1">_xll.BDP(C59 &amp; " Equity","Crncy")</f>
        <v>#NAME?</v>
      </c>
      <c r="O59" s="559"/>
      <c r="P59" s="559"/>
      <c r="Q59" s="559"/>
      <c r="R59" s="559"/>
      <c r="S59" s="558"/>
      <c r="T59" s="514" t="e">
        <f t="shared" ca="1" si="8"/>
        <v>#NAME?</v>
      </c>
      <c r="U59" s="525" t="e">
        <f t="shared" ca="1" si="9"/>
        <v>#NAME?</v>
      </c>
      <c r="V59" s="523" t="e">
        <f t="shared" ca="1" si="10"/>
        <v>#NAME?</v>
      </c>
      <c r="W59" s="745"/>
      <c r="X59" s="527" t="e">
        <f t="shared" ca="1" si="11"/>
        <v>#NAME?</v>
      </c>
      <c r="Y59" s="528" t="e">
        <f ca="1">_xll.BDH(B59 &amp; " Equity","PX_LAST",$Y$11,$Y$11,"days=a","fill=p")</f>
        <v>#NAME?</v>
      </c>
      <c r="Z59" s="528" t="e">
        <f t="shared" ca="1" si="18"/>
        <v>#NAME?</v>
      </c>
      <c r="AA59" s="528" t="e">
        <f ca="1">_xll.BDH(C59 &amp; " Equity","PX_LAST",$AA$11,$AA$11,"days=a","fill=p")</f>
        <v>#NAME?</v>
      </c>
      <c r="AB59" s="528" t="e">
        <f ca="1">IF(F59="EUREUR Curncy",1,_xll.BDH(F59,"last_price",AB$11,AB$11,"days=a","fill=p"))</f>
        <v>#NAME?</v>
      </c>
      <c r="AC59" s="527" t="e">
        <f t="shared" ca="1" si="12"/>
        <v>#NAME?</v>
      </c>
      <c r="AD59" s="529" t="e">
        <f t="shared" ca="1" si="13"/>
        <v>#NAME?</v>
      </c>
      <c r="AE59" s="560" t="s">
        <v>12603</v>
      </c>
      <c r="AF59" s="564"/>
      <c r="AH59" s="506" t="str">
        <f t="shared" ca="1" si="14"/>
        <v/>
      </c>
      <c r="AI59" s="534" t="str">
        <f t="shared" ca="1" si="0"/>
        <v/>
      </c>
      <c r="AJ59" s="512" t="e">
        <f t="shared" ca="1" si="1"/>
        <v>#NAME?</v>
      </c>
      <c r="AL59" s="534" t="e">
        <f t="shared" ca="1" si="19"/>
        <v>#NAME?</v>
      </c>
      <c r="AM59" s="534" t="e">
        <f t="shared" ca="1" si="15"/>
        <v>#NAME?</v>
      </c>
      <c r="AN59" s="506" t="e">
        <f ca="1">_xll.BDP(C59 &amp; " Equity","COUNTRY")</f>
        <v>#NAME?</v>
      </c>
      <c r="AO59" s="506" t="e">
        <f ca="1">_xll.BDP(C59 &amp; " Equity","COUNTRY")</f>
        <v>#NAME?</v>
      </c>
      <c r="AP59" s="506" t="e">
        <f t="shared" ca="1" si="16"/>
        <v>#NAME?</v>
      </c>
      <c r="AQ59" s="523" t="e">
        <f t="shared" ca="1" si="17"/>
        <v>#NAME?</v>
      </c>
      <c r="AR59" s="651"/>
      <c r="AS59" s="192"/>
      <c r="AT59" s="192"/>
      <c r="AU59" s="192"/>
      <c r="AV59" s="192"/>
      <c r="AW59" s="192"/>
      <c r="AX59" s="192"/>
      <c r="AY59" s="192"/>
      <c r="AZ59" s="192"/>
      <c r="BA59" s="192"/>
    </row>
    <row r="60" spans="1:53">
      <c r="A60" s="534" t="e">
        <f ca="1">_xll.BDP(B60 &amp; " Equity","ID_ISIN")</f>
        <v>#NAME?</v>
      </c>
      <c r="B60" s="558" t="s">
        <v>12878</v>
      </c>
      <c r="C60" s="506" t="str">
        <f t="shared" si="2"/>
        <v>3407 JP</v>
      </c>
      <c r="D60" s="507" t="str">
        <f ca="1">IFERROR(_xll.BDP(C60&amp; " Equity","CAST_PARENT_NAME"),"")</f>
        <v/>
      </c>
      <c r="E60" s="508" t="e">
        <f ca="1">_xll.BDP(B60 &amp; " Equity","SECURITY_NAME")</f>
        <v>#NAME?</v>
      </c>
      <c r="F60" s="506" t="e">
        <f t="shared" ca="1" si="3"/>
        <v>#NAME?</v>
      </c>
      <c r="G60" s="509" t="e">
        <f ca="1">IF(N60="EUR",1,IF(N60="GBp",_xll.BDP(F60,"PX LAST")*100,_xll.BDP(F60,"PX LAST")))</f>
        <v>#NAME?</v>
      </c>
      <c r="H60" s="510" t="e">
        <f t="shared" ca="1" si="4"/>
        <v>#NAME?</v>
      </c>
      <c r="I60" s="510" t="e">
        <f t="shared" ca="1" si="5"/>
        <v>#NAME?</v>
      </c>
      <c r="J60" s="511" t="e">
        <f t="shared" ca="1" si="6"/>
        <v>#NAME?</v>
      </c>
      <c r="K60" s="511" t="e">
        <f t="shared" ca="1" si="7"/>
        <v>#NAME?</v>
      </c>
      <c r="L60" s="513">
        <f ca="1">SUMIF(TradesEquity!$E$11:$E$1816,A60,TradesEquity!$M$11:$M$1816)</f>
        <v>-1463572</v>
      </c>
      <c r="M60" s="514" t="e">
        <f ca="1">_xll.BDP(C60 &amp; " Equity","PX_LAST")</f>
        <v>#NAME?</v>
      </c>
      <c r="N60" s="515" t="e">
        <f ca="1">_xll.BDP(C60 &amp; " Equity","Crncy")</f>
        <v>#NAME?</v>
      </c>
      <c r="O60" s="559"/>
      <c r="P60" s="559"/>
      <c r="Q60" s="559"/>
      <c r="R60" s="559"/>
      <c r="S60" s="558"/>
      <c r="T60" s="514" t="e">
        <f t="shared" ca="1" si="8"/>
        <v>#NAME?</v>
      </c>
      <c r="U60" s="525" t="e">
        <f t="shared" ca="1" si="9"/>
        <v>#NAME?</v>
      </c>
      <c r="V60" s="523" t="e">
        <f t="shared" ca="1" si="10"/>
        <v>#NAME?</v>
      </c>
      <c r="W60" s="745"/>
      <c r="X60" s="527" t="e">
        <f t="shared" ca="1" si="11"/>
        <v>#NAME?</v>
      </c>
      <c r="Y60" s="528" t="e">
        <f ca="1">_xll.BDH(B60 &amp; " Equity","PX_LAST",$Y$11,$Y$11,"days=a","fill=p")</f>
        <v>#NAME?</v>
      </c>
      <c r="Z60" s="528" t="e">
        <f t="shared" ca="1" si="18"/>
        <v>#NAME?</v>
      </c>
      <c r="AA60" s="528" t="e">
        <f ca="1">_xll.BDH(C60 &amp; " Equity","PX_LAST",$AA$11,$AA$11,"days=a","fill=p")</f>
        <v>#NAME?</v>
      </c>
      <c r="AB60" s="528" t="e">
        <f ca="1">IF(F60="EUREUR Curncy",1,_xll.BDH(F60,"last_price",AB$11,AB$11,"days=a","fill=p"))</f>
        <v>#NAME?</v>
      </c>
      <c r="AC60" s="527" t="e">
        <f t="shared" ca="1" si="12"/>
        <v>#NAME?</v>
      </c>
      <c r="AD60" s="529" t="e">
        <f t="shared" ca="1" si="13"/>
        <v>#NAME?</v>
      </c>
      <c r="AE60" s="560" t="s">
        <v>12603</v>
      </c>
      <c r="AF60" s="564"/>
      <c r="AH60" s="506" t="str">
        <f t="shared" ca="1" si="14"/>
        <v/>
      </c>
      <c r="AI60" s="534" t="str">
        <f t="shared" ca="1" si="0"/>
        <v/>
      </c>
      <c r="AJ60" s="512" t="e">
        <f t="shared" ca="1" si="1"/>
        <v>#NAME?</v>
      </c>
      <c r="AL60" s="534" t="e">
        <f t="shared" ca="1" si="19"/>
        <v>#NAME?</v>
      </c>
      <c r="AM60" s="534" t="e">
        <f t="shared" ca="1" si="15"/>
        <v>#NAME?</v>
      </c>
      <c r="AN60" s="506" t="e">
        <f ca="1">_xll.BDP(C60 &amp; " Equity","COUNTRY")</f>
        <v>#NAME?</v>
      </c>
      <c r="AO60" s="506" t="e">
        <f ca="1">_xll.BDP(C60 &amp; " Equity","COUNTRY")</f>
        <v>#NAME?</v>
      </c>
      <c r="AP60" s="506" t="e">
        <f t="shared" ca="1" si="16"/>
        <v>#NAME?</v>
      </c>
      <c r="AQ60" s="523" t="e">
        <f t="shared" ca="1" si="17"/>
        <v>#NAME?</v>
      </c>
      <c r="AR60" s="651"/>
      <c r="AS60" s="192"/>
      <c r="AT60" s="192"/>
      <c r="AU60" s="192"/>
      <c r="AV60" s="192"/>
      <c r="AW60" s="192"/>
      <c r="AX60" s="192"/>
      <c r="AY60" s="192"/>
      <c r="AZ60" s="192"/>
      <c r="BA60" s="192"/>
    </row>
    <row r="61" spans="1:53">
      <c r="A61" s="534" t="e">
        <f ca="1">_xll.BDP(B61 &amp; " Equity","ID_ISIN")</f>
        <v>#NAME?</v>
      </c>
      <c r="B61" s="558" t="s">
        <v>13014</v>
      </c>
      <c r="C61" s="506" t="str">
        <f t="shared" ref="C61" si="33">IF(B61="","",B61)</f>
        <v>5714 JP</v>
      </c>
      <c r="D61" s="507" t="str">
        <f ca="1">IFERROR(_xll.BDP(C61&amp; " Equity","CAST_PARENT_NAME"),"")</f>
        <v/>
      </c>
      <c r="E61" s="508" t="e">
        <f ca="1">_xll.BDP(B61 &amp; " Equity","SECURITY_NAME")</f>
        <v>#NAME?</v>
      </c>
      <c r="F61" s="506" t="e">
        <f t="shared" ref="F61" ca="1" si="34">+("EUR"&amp;N61&amp; " Curncy")</f>
        <v>#NAME?</v>
      </c>
      <c r="G61" s="509" t="e">
        <f ca="1">IF(N61="EUR",1,IF(N61="GBp",_xll.BDP(F61,"PX LAST")*100,_xll.BDP(F61,"PX LAST")))</f>
        <v>#NAME?</v>
      </c>
      <c r="H61" s="510" t="e">
        <f t="shared" ref="H61" ca="1" si="35">+M61/G61</f>
        <v>#NAME?</v>
      </c>
      <c r="I61" s="510" t="e">
        <f t="shared" ref="I61" ca="1" si="36">+H61</f>
        <v>#NAME?</v>
      </c>
      <c r="J61" s="511" t="e">
        <f t="shared" ref="J61" ca="1" si="37">+K61</f>
        <v>#NAME?</v>
      </c>
      <c r="K61" s="511" t="e">
        <f t="shared" ref="K61" ca="1" si="38">+V61/$V$11</f>
        <v>#NAME?</v>
      </c>
      <c r="L61" s="513">
        <f ca="1">SUMIF(TradesEquity!$E$11:$E$1816,A61,TradesEquity!$M$11:$M$1816)</f>
        <v>-1463572</v>
      </c>
      <c r="M61" s="514" t="e">
        <f ca="1">_xll.BDP(C61 &amp; " Equity","PX_LAST")</f>
        <v>#NAME?</v>
      </c>
      <c r="N61" s="515" t="e">
        <f ca="1">_xll.BDP(C61 &amp; " Equity","Crncy")</f>
        <v>#NAME?</v>
      </c>
      <c r="O61" s="559"/>
      <c r="P61" s="559"/>
      <c r="Q61" s="559"/>
      <c r="R61" s="559"/>
      <c r="S61" s="558"/>
      <c r="T61" s="514" t="e">
        <f t="shared" ref="T61" ca="1" si="39">M61</f>
        <v>#NAME?</v>
      </c>
      <c r="U61" s="525" t="e">
        <f t="shared" ref="U61" ca="1" si="40">+T61*L61</f>
        <v>#NAME?</v>
      </c>
      <c r="V61" s="523" t="e">
        <f t="shared" ref="V61" ca="1" si="41">+I61*L61</f>
        <v>#NAME?</v>
      </c>
      <c r="W61" s="745"/>
      <c r="X61" s="527" t="e">
        <f t="shared" ref="X61" ca="1" si="42">+M61/W61-1</f>
        <v>#NAME?</v>
      </c>
      <c r="Y61" s="528" t="e">
        <f ca="1">_xll.BDH(B61 &amp; " Equity","PX_LAST",$Y$11,$Y$11,"days=a","fill=p")</f>
        <v>#NAME?</v>
      </c>
      <c r="Z61" s="528" t="e">
        <f t="shared" ref="Z61" ca="1" si="43">IF(L61=0,"NOT IN NAV",M61-Y61)</f>
        <v>#NAME?</v>
      </c>
      <c r="AA61" s="528" t="e">
        <f ca="1">_xll.BDH(C61 &amp; " Equity","PX_LAST",$AA$11,$AA$11,"days=a","fill=p")</f>
        <v>#NAME?</v>
      </c>
      <c r="AB61" s="528" t="e">
        <f ca="1">IF(F61="EUREUR Curncy",1,_xll.BDH(F61,"last_price",AB$11,AB$11,"days=a","fill=p"))</f>
        <v>#NAME?</v>
      </c>
      <c r="AC61" s="527" t="e">
        <f t="shared" ref="AC61:AC62" ca="1" si="44">+M61/AA61-1</f>
        <v>#NAME?</v>
      </c>
      <c r="AD61" s="529" t="e">
        <f t="shared" ref="AD61:AD62" ca="1" si="45">+IF(N61="GBp",(V61-(L61*AA61/AB61/100)),V61-(L61*AA61/AB61))</f>
        <v>#NAME?</v>
      </c>
      <c r="AE61" s="560" t="s">
        <v>12603</v>
      </c>
      <c r="AF61" s="564"/>
      <c r="AH61" s="506" t="str">
        <f t="shared" ref="AH61:AH62" ca="1" si="46">D61</f>
        <v/>
      </c>
      <c r="AI61" s="534" t="str">
        <f t="shared" ref="AI61:AI62" ca="1" si="47">+D61</f>
        <v/>
      </c>
      <c r="AJ61" s="512" t="e">
        <f t="shared" ref="AJ61:AJ62" ca="1" si="48">+J61</f>
        <v>#NAME?</v>
      </c>
      <c r="AL61" s="534" t="e">
        <f t="shared" ref="AL61:AL62" ca="1" si="49">+A61</f>
        <v>#NAME?</v>
      </c>
      <c r="AM61" s="534" t="e">
        <f t="shared" ref="AM61:AM62" ca="1" si="50">+E61</f>
        <v>#NAME?</v>
      </c>
      <c r="AN61" s="506" t="e">
        <f ca="1">_xll.BDP(C61 &amp; " Equity","COUNTRY")</f>
        <v>#NAME?</v>
      </c>
      <c r="AO61" s="506" t="e">
        <f ca="1">_xll.BDP(C61 &amp; " Equity","COUNTRY")</f>
        <v>#NAME?</v>
      </c>
      <c r="AP61" s="506" t="e">
        <f t="shared" ref="AP61:AP62" ca="1" si="51">N61</f>
        <v>#NAME?</v>
      </c>
      <c r="AQ61" s="523" t="e">
        <f t="shared" ref="AQ61:AQ62" ca="1" si="52">+AA61/AB61*L61</f>
        <v>#NAME?</v>
      </c>
      <c r="AR61" s="651"/>
      <c r="AS61" s="192"/>
      <c r="AT61" s="192"/>
      <c r="AU61" s="192"/>
      <c r="AV61" s="192"/>
      <c r="AW61" s="192"/>
      <c r="AX61" s="192"/>
      <c r="AY61" s="192"/>
      <c r="AZ61" s="192"/>
      <c r="BA61" s="192"/>
    </row>
    <row r="62" spans="1:53">
      <c r="A62" s="534" t="e">
        <f ca="1">_xll.BDP(B62 &amp; " Equity","ID_ISIN")</f>
        <v>#NAME?</v>
      </c>
      <c r="B62" s="558" t="s">
        <v>13017</v>
      </c>
      <c r="C62" s="506" t="str">
        <f t="shared" ref="C62" si="53">IF(B62="","",B62)</f>
        <v>5711 JP</v>
      </c>
      <c r="D62" s="507" t="str">
        <f ca="1">IFERROR(_xll.BDP(C62&amp; " Equity","CAST_PARENT_NAME"),"")</f>
        <v/>
      </c>
      <c r="E62" s="508" t="e">
        <f ca="1">_xll.BDP(B62 &amp; " Equity","SECURITY_NAME")</f>
        <v>#NAME?</v>
      </c>
      <c r="F62" s="506" t="e">
        <f t="shared" ref="F62" ca="1" si="54">+("EUR"&amp;N62&amp; " Curncy")</f>
        <v>#NAME?</v>
      </c>
      <c r="G62" s="509" t="e">
        <f ca="1">IF(N62="EUR",1,IF(N62="GBp",_xll.BDP(F62,"PX LAST")*100,_xll.BDP(F62,"PX LAST")))</f>
        <v>#NAME?</v>
      </c>
      <c r="H62" s="510" t="e">
        <f t="shared" ref="H62" ca="1" si="55">+M62/G62</f>
        <v>#NAME?</v>
      </c>
      <c r="I62" s="510" t="e">
        <f t="shared" ref="I62" ca="1" si="56">+H62</f>
        <v>#NAME?</v>
      </c>
      <c r="J62" s="511" t="e">
        <f t="shared" ref="J62" ca="1" si="57">+K62</f>
        <v>#NAME?</v>
      </c>
      <c r="K62" s="511" t="e">
        <f t="shared" ref="K62" ca="1" si="58">+V62/$V$11</f>
        <v>#NAME?</v>
      </c>
      <c r="L62" s="513">
        <f ca="1">SUMIF(TradesEquity!$E$11:$E$1816,A62,TradesEquity!$M$11:$M$1816)</f>
        <v>-1463572</v>
      </c>
      <c r="M62" s="514" t="e">
        <f ca="1">_xll.BDP(C62 &amp; " Equity","PX_LAST")</f>
        <v>#NAME?</v>
      </c>
      <c r="N62" s="515" t="e">
        <f ca="1">_xll.BDP(C62 &amp; " Equity","Crncy")</f>
        <v>#NAME?</v>
      </c>
      <c r="O62" s="559"/>
      <c r="P62" s="559"/>
      <c r="Q62" s="559"/>
      <c r="R62" s="559"/>
      <c r="S62" s="558"/>
      <c r="T62" s="514" t="e">
        <f t="shared" ref="T62" ca="1" si="59">M62</f>
        <v>#NAME?</v>
      </c>
      <c r="U62" s="525" t="e">
        <f t="shared" ref="U62" ca="1" si="60">+T62*L62</f>
        <v>#NAME?</v>
      </c>
      <c r="V62" s="523" t="e">
        <f t="shared" ref="V62" ca="1" si="61">+I62*L62</f>
        <v>#NAME?</v>
      </c>
      <c r="W62" s="745"/>
      <c r="X62" s="527" t="e">
        <f t="shared" ref="X62" ca="1" si="62">+M62/W62-1</f>
        <v>#NAME?</v>
      </c>
      <c r="Y62" s="528" t="e">
        <f ca="1">_xll.BDH(B62 &amp; " Equity","PX_LAST",$Y$11,$Y$11,"days=a","fill=p")</f>
        <v>#NAME?</v>
      </c>
      <c r="Z62" s="528" t="e">
        <f t="shared" ref="Z62" ca="1" si="63">IF(L62=0,"NOT IN NAV",M62-Y62)</f>
        <v>#NAME?</v>
      </c>
      <c r="AA62" s="528" t="e">
        <f ca="1">_xll.BDH(C62 &amp; " Equity","PX_LAST",$AA$11,$AA$11,"days=a","fill=p")</f>
        <v>#NAME?</v>
      </c>
      <c r="AB62" s="528" t="e">
        <f ca="1">IF(F62="EUREUR Curncy",1,_xll.BDH(F62,"last_price",AB$11,AB$11,"days=a","fill=p"))</f>
        <v>#NAME?</v>
      </c>
      <c r="AC62" s="527" t="e">
        <f t="shared" ca="1" si="44"/>
        <v>#NAME?</v>
      </c>
      <c r="AD62" s="529" t="e">
        <f t="shared" ca="1" si="45"/>
        <v>#NAME?</v>
      </c>
      <c r="AE62" s="560" t="s">
        <v>12603</v>
      </c>
      <c r="AF62" s="564"/>
      <c r="AH62" s="506" t="str">
        <f t="shared" ca="1" si="46"/>
        <v/>
      </c>
      <c r="AI62" s="534" t="str">
        <f t="shared" ca="1" si="47"/>
        <v/>
      </c>
      <c r="AJ62" s="512" t="e">
        <f t="shared" ca="1" si="48"/>
        <v>#NAME?</v>
      </c>
      <c r="AL62" s="534" t="e">
        <f t="shared" ca="1" si="49"/>
        <v>#NAME?</v>
      </c>
      <c r="AM62" s="534" t="e">
        <f t="shared" ca="1" si="50"/>
        <v>#NAME?</v>
      </c>
      <c r="AN62" s="506" t="e">
        <f ca="1">_xll.BDP(C62 &amp; " Equity","COUNTRY")</f>
        <v>#NAME?</v>
      </c>
      <c r="AO62" s="506" t="e">
        <f ca="1">_xll.BDP(C62 &amp; " Equity","COUNTRY")</f>
        <v>#NAME?</v>
      </c>
      <c r="AP62" s="506" t="e">
        <f t="shared" ca="1" si="51"/>
        <v>#NAME?</v>
      </c>
      <c r="AQ62" s="523" t="e">
        <f t="shared" ca="1" si="52"/>
        <v>#NAME?</v>
      </c>
      <c r="AR62" s="651"/>
      <c r="AS62" s="192"/>
      <c r="AT62" s="192"/>
      <c r="AU62" s="192"/>
      <c r="AV62" s="192"/>
      <c r="AW62" s="192"/>
      <c r="AX62" s="192"/>
      <c r="AY62" s="192"/>
      <c r="AZ62" s="192"/>
      <c r="BA62" s="192"/>
    </row>
    <row r="63" spans="1:53">
      <c r="A63" s="564" t="e">
        <f ca="1">_xll.BDP(B63 &amp; " Equity","ID_ISIN")</f>
        <v>#NAME?</v>
      </c>
      <c r="B63" s="558" t="s">
        <v>13230</v>
      </c>
      <c r="C63" s="558" t="str">
        <f t="shared" ref="C63" si="64">IF(B63="","",B63)</f>
        <v>5801 JP</v>
      </c>
      <c r="D63" s="740" t="str">
        <f ca="1">IFERROR(_xll.BDP(C63&amp; " Equity","CAST_PARENT_NAME"),"")</f>
        <v/>
      </c>
      <c r="E63" s="741" t="e">
        <f ca="1">_xll.BDP(B63 &amp; " Equity","SECURITY_NAME")</f>
        <v>#NAME?</v>
      </c>
      <c r="F63" s="558" t="e">
        <f t="shared" ref="F63" ca="1" si="65">+("EUR"&amp;N63&amp; " Curncy")</f>
        <v>#NAME?</v>
      </c>
      <c r="G63" s="625" t="e">
        <f ca="1">IF(N63="EUR",1,IF(N63="GBp",_xll.BDP(F63,"PX LAST")*100,_xll.BDP(F63,"PX LAST")))</f>
        <v>#NAME?</v>
      </c>
      <c r="H63" s="559" t="e">
        <f t="shared" ref="H63" ca="1" si="66">+M63/G63</f>
        <v>#NAME?</v>
      </c>
      <c r="I63" s="559" t="e">
        <f t="shared" ref="I63" ca="1" si="67">+H63</f>
        <v>#NAME?</v>
      </c>
      <c r="J63" s="560" t="e">
        <f t="shared" ref="J63" ca="1" si="68">+K63</f>
        <v>#NAME?</v>
      </c>
      <c r="K63" s="560" t="e">
        <f t="shared" ref="K63" ca="1" si="69">+V63/$V$11</f>
        <v>#NAME?</v>
      </c>
      <c r="L63" s="743">
        <f ca="1">SUMIF(TradesEquity!$E$11:$E$1816,A63,TradesEquity!$M$11:$M$1816)</f>
        <v>-1463572</v>
      </c>
      <c r="M63" s="744" t="e">
        <f ca="1">_xll.BDP(C63 &amp; " Equity","PX_LAST")</f>
        <v>#NAME?</v>
      </c>
      <c r="N63" s="1207" t="e">
        <f ca="1">_xll.BDP(C63 &amp; " Equity","Crncy")</f>
        <v>#NAME?</v>
      </c>
      <c r="O63" s="559"/>
      <c r="P63" s="559"/>
      <c r="Q63" s="559"/>
      <c r="R63" s="559"/>
      <c r="S63" s="558"/>
      <c r="T63" s="744" t="e">
        <f t="shared" ref="T63" ca="1" si="70">M63</f>
        <v>#NAME?</v>
      </c>
      <c r="U63" s="760" t="e">
        <f t="shared" ref="U63" ca="1" si="71">+T63*L63</f>
        <v>#NAME?</v>
      </c>
      <c r="V63" s="720" t="e">
        <f t="shared" ref="V63" ca="1" si="72">+I63*L63</f>
        <v>#NAME?</v>
      </c>
      <c r="W63" s="745"/>
      <c r="X63" s="746" t="e">
        <f t="shared" ref="X63" ca="1" si="73">+M63/W63-1</f>
        <v>#NAME?</v>
      </c>
      <c r="Y63" s="745" t="e">
        <f ca="1">_xll.BDH(B63 &amp; " Equity","PX_LAST",$Y$11,$Y$11,"days=a","fill=p")</f>
        <v>#NAME?</v>
      </c>
      <c r="Z63" s="745" t="e">
        <f t="shared" ref="Z63" ca="1" si="74">IF(L63=0,"NOT IN NAV",M63-Y63)</f>
        <v>#NAME?</v>
      </c>
      <c r="AA63" s="745" t="e">
        <f ca="1">_xll.BDH(C63 &amp; " Equity","PX_LAST",$AA$11,$AA$11,"days=a","fill=p")</f>
        <v>#NAME?</v>
      </c>
      <c r="AB63" s="745" t="e">
        <f ca="1">IF(F63="EUREUR Curncy",1,_xll.BDH(F63,"last_price",AB$11,AB$11,"days=a","fill=p"))</f>
        <v>#NAME?</v>
      </c>
      <c r="AC63" s="746"/>
      <c r="AD63" s="747"/>
      <c r="AE63" s="560"/>
      <c r="AF63" s="564"/>
      <c r="AH63" s="558"/>
      <c r="AJ63" s="742"/>
      <c r="AQ63" s="720"/>
      <c r="AR63" s="651"/>
      <c r="AS63" s="192"/>
      <c r="AT63" s="192"/>
      <c r="AU63" s="192"/>
      <c r="AV63" s="192"/>
      <c r="AW63" s="192"/>
      <c r="AX63" s="192"/>
      <c r="AY63" s="192"/>
      <c r="AZ63" s="192"/>
      <c r="BA63" s="192"/>
    </row>
    <row r="64" spans="1:53">
      <c r="A64" s="564"/>
      <c r="B64" s="558"/>
      <c r="C64" s="558"/>
      <c r="D64" s="740"/>
      <c r="E64" s="741"/>
      <c r="F64" s="558"/>
      <c r="G64" s="625"/>
      <c r="H64" s="559"/>
      <c r="I64" s="559"/>
      <c r="J64" s="560"/>
      <c r="K64" s="560"/>
      <c r="L64" s="743"/>
      <c r="M64" s="744"/>
      <c r="N64" s="558"/>
      <c r="O64" s="559"/>
      <c r="P64" s="559"/>
      <c r="Q64" s="559"/>
      <c r="R64" s="559"/>
      <c r="S64" s="558"/>
      <c r="T64" s="625"/>
      <c r="U64" s="760"/>
      <c r="V64" s="720"/>
      <c r="W64" s="745"/>
      <c r="X64" s="746"/>
      <c r="Y64" s="746"/>
      <c r="Z64" s="746"/>
      <c r="AA64" s="745"/>
      <c r="AB64" s="770"/>
      <c r="AC64" s="746"/>
      <c r="AD64" s="747"/>
      <c r="AE64" s="560"/>
      <c r="AF64" s="564"/>
      <c r="AH64" s="558"/>
      <c r="AJ64" s="742"/>
      <c r="AQ64" s="720"/>
      <c r="AR64" s="651"/>
      <c r="AS64" s="192"/>
      <c r="AT64" s="192"/>
      <c r="AU64" s="192"/>
      <c r="AV64" s="192"/>
      <c r="AW64" s="192"/>
      <c r="AX64" s="192"/>
      <c r="AY64" s="192"/>
      <c r="AZ64" s="192"/>
      <c r="BA64" s="192"/>
    </row>
    <row r="65" spans="1:53">
      <c r="A65" s="564"/>
      <c r="B65" s="558"/>
      <c r="C65" s="558"/>
      <c r="D65" s="740"/>
      <c r="E65" s="741"/>
      <c r="F65" s="558"/>
      <c r="G65" s="625"/>
      <c r="H65" s="559"/>
      <c r="I65" s="559"/>
      <c r="J65" s="560"/>
      <c r="K65" s="560"/>
      <c r="L65" s="743"/>
      <c r="M65" s="744"/>
      <c r="N65" s="558"/>
      <c r="O65" s="559"/>
      <c r="P65" s="559"/>
      <c r="Q65" s="559"/>
      <c r="R65" s="559"/>
      <c r="S65" s="558"/>
      <c r="T65" s="625"/>
      <c r="U65" s="760"/>
      <c r="V65" s="720"/>
      <c r="W65" s="745"/>
      <c r="X65" s="746"/>
      <c r="Y65" s="746"/>
      <c r="Z65" s="746"/>
      <c r="AA65" s="745"/>
      <c r="AB65" s="770"/>
      <c r="AC65" s="746"/>
      <c r="AD65" s="747"/>
      <c r="AE65" s="560"/>
      <c r="AF65" s="564"/>
      <c r="AH65" s="558"/>
      <c r="AJ65" s="742"/>
      <c r="AQ65" s="720"/>
      <c r="AR65" s="651"/>
      <c r="AS65" s="192"/>
      <c r="AT65" s="192"/>
      <c r="AU65" s="192"/>
      <c r="AV65" s="192"/>
      <c r="AW65" s="192"/>
      <c r="AX65" s="192"/>
      <c r="AY65" s="192"/>
      <c r="AZ65" s="192"/>
      <c r="BA65" s="192"/>
    </row>
    <row r="66" spans="1:53">
      <c r="A66" s="564"/>
      <c r="B66" s="558"/>
      <c r="C66" s="558"/>
      <c r="D66" s="740"/>
      <c r="E66" s="741"/>
      <c r="F66" s="558"/>
      <c r="G66" s="625"/>
      <c r="H66" s="559"/>
      <c r="I66" s="559"/>
      <c r="J66" s="560"/>
      <c r="K66" s="560"/>
      <c r="L66" s="743"/>
      <c r="M66" s="744"/>
      <c r="N66" s="558"/>
      <c r="O66" s="559"/>
      <c r="P66" s="559"/>
      <c r="Q66" s="559"/>
      <c r="R66" s="559"/>
      <c r="S66" s="558"/>
      <c r="T66" s="625"/>
      <c r="U66" s="760"/>
      <c r="V66" s="720"/>
      <c r="W66" s="745"/>
      <c r="X66" s="746"/>
      <c r="Y66" s="746"/>
      <c r="Z66" s="746"/>
      <c r="AA66" s="745"/>
      <c r="AB66" s="770"/>
      <c r="AC66" s="746"/>
      <c r="AD66" s="747"/>
      <c r="AE66" s="560"/>
      <c r="AF66" s="564"/>
      <c r="AH66" s="558"/>
      <c r="AJ66" s="742"/>
      <c r="AQ66" s="720"/>
      <c r="AR66" s="651"/>
      <c r="AS66" s="192"/>
      <c r="AT66" s="192"/>
      <c r="AU66" s="192"/>
      <c r="AV66" s="192"/>
      <c r="AW66" s="192"/>
      <c r="AX66" s="192"/>
      <c r="AY66" s="192"/>
      <c r="AZ66" s="192"/>
      <c r="BA66" s="192"/>
    </row>
    <row r="67" spans="1:53">
      <c r="A67" s="564"/>
      <c r="B67" s="558"/>
      <c r="C67" s="558"/>
      <c r="D67" s="740"/>
      <c r="E67" s="741"/>
      <c r="F67" s="558"/>
      <c r="G67" s="625"/>
      <c r="H67" s="559"/>
      <c r="I67" s="559"/>
      <c r="J67" s="560"/>
      <c r="K67" s="560"/>
      <c r="L67" s="743"/>
      <c r="M67" s="744"/>
      <c r="N67" s="558"/>
      <c r="O67" s="559"/>
      <c r="P67" s="559"/>
      <c r="Q67" s="559"/>
      <c r="R67" s="559"/>
      <c r="S67" s="558"/>
      <c r="T67" s="625"/>
      <c r="U67" s="760"/>
      <c r="V67" s="720"/>
      <c r="W67" s="745"/>
      <c r="X67" s="746"/>
      <c r="Y67" s="746"/>
      <c r="Z67" s="746"/>
      <c r="AA67" s="745"/>
      <c r="AB67" s="770"/>
      <c r="AC67" s="746"/>
      <c r="AD67" s="747"/>
      <c r="AE67" s="560"/>
      <c r="AF67" s="564"/>
      <c r="AH67" s="558"/>
      <c r="AJ67" s="742"/>
      <c r="AQ67" s="720"/>
      <c r="AR67" s="651"/>
      <c r="AS67" s="192"/>
      <c r="AT67" s="192"/>
      <c r="AU67" s="192"/>
      <c r="AV67" s="192"/>
      <c r="AW67" s="192"/>
      <c r="AX67" s="192"/>
      <c r="AY67" s="192"/>
      <c r="AZ67" s="192"/>
      <c r="BA67" s="192"/>
    </row>
    <row r="68" spans="1:53">
      <c r="A68" s="564"/>
      <c r="B68" s="558"/>
      <c r="C68" s="558"/>
      <c r="D68" s="740"/>
      <c r="E68" s="741"/>
      <c r="F68" s="558"/>
      <c r="G68" s="625"/>
      <c r="H68" s="559"/>
      <c r="I68" s="559"/>
      <c r="J68" s="560"/>
      <c r="K68" s="560"/>
      <c r="L68" s="743"/>
      <c r="M68" s="744"/>
      <c r="N68" s="558"/>
      <c r="O68" s="559"/>
      <c r="P68" s="559"/>
      <c r="Q68" s="559"/>
      <c r="R68" s="559"/>
      <c r="S68" s="558"/>
      <c r="T68" s="625"/>
      <c r="U68" s="760"/>
      <c r="V68" s="720"/>
      <c r="W68" s="745"/>
      <c r="X68" s="746"/>
      <c r="Y68" s="746"/>
      <c r="Z68" s="746"/>
      <c r="AA68" s="745"/>
      <c r="AB68" s="770"/>
      <c r="AC68" s="746"/>
      <c r="AD68" s="747"/>
      <c r="AE68" s="560"/>
      <c r="AF68" s="564"/>
      <c r="AH68" s="558"/>
      <c r="AJ68" s="742"/>
      <c r="AQ68" s="720"/>
      <c r="AR68" s="651"/>
      <c r="AS68" s="192"/>
      <c r="AT68" s="192"/>
      <c r="AU68" s="192"/>
      <c r="AV68" s="192"/>
      <c r="AW68" s="192"/>
      <c r="AX68" s="192"/>
      <c r="AY68" s="192"/>
      <c r="AZ68" s="192"/>
      <c r="BA68" s="192"/>
    </row>
    <row r="69" spans="1:53" ht="15" customHeight="1">
      <c r="A69" s="564"/>
      <c r="B69" s="558"/>
      <c r="C69" s="558"/>
      <c r="D69" s="740"/>
      <c r="E69" s="741"/>
      <c r="F69" s="558"/>
      <c r="G69" s="625"/>
      <c r="H69" s="559"/>
      <c r="I69" s="559"/>
      <c r="J69" s="560"/>
      <c r="K69" s="560"/>
      <c r="L69" s="743"/>
      <c r="M69" s="744"/>
      <c r="N69" s="558"/>
      <c r="O69" s="559"/>
      <c r="P69" s="559"/>
      <c r="Q69" s="559"/>
      <c r="R69" s="559"/>
      <c r="S69" s="558"/>
      <c r="T69" s="625"/>
      <c r="U69" s="760"/>
      <c r="V69" s="720"/>
      <c r="W69" s="745"/>
      <c r="X69" s="746"/>
      <c r="Y69" s="746"/>
      <c r="Z69" s="746"/>
      <c r="AA69" s="745"/>
      <c r="AB69" s="770"/>
      <c r="AC69" s="746"/>
      <c r="AD69" s="747"/>
      <c r="AE69" s="560"/>
      <c r="AF69" s="564"/>
      <c r="AH69" s="558"/>
      <c r="AJ69" s="742"/>
      <c r="AQ69" s="720"/>
      <c r="AR69" s="651"/>
      <c r="AS69" s="192"/>
      <c r="AT69" s="192"/>
      <c r="AU69" s="192"/>
      <c r="AV69" s="192"/>
      <c r="AW69" s="192"/>
      <c r="AX69" s="192"/>
      <c r="AY69" s="192"/>
      <c r="AZ69" s="192"/>
      <c r="BA69" s="192"/>
    </row>
    <row r="70" spans="1:53" ht="15" customHeight="1">
      <c r="A70" s="564"/>
      <c r="B70" s="558"/>
      <c r="C70" s="558"/>
      <c r="D70" s="740"/>
      <c r="E70" s="741"/>
      <c r="F70" s="558"/>
      <c r="G70" s="625"/>
      <c r="H70" s="559"/>
      <c r="I70" s="559"/>
      <c r="J70" s="560"/>
      <c r="K70" s="560"/>
      <c r="L70" s="743"/>
      <c r="M70" s="744"/>
      <c r="N70" s="558"/>
      <c r="O70" s="559"/>
      <c r="P70" s="559"/>
      <c r="Q70" s="559"/>
      <c r="R70" s="559"/>
      <c r="S70" s="558"/>
      <c r="T70" s="625"/>
      <c r="U70" s="760"/>
      <c r="V70" s="720"/>
      <c r="W70" s="745"/>
      <c r="X70" s="746"/>
      <c r="Y70" s="746"/>
      <c r="Z70" s="746"/>
      <c r="AA70" s="745"/>
      <c r="AB70" s="770"/>
      <c r="AC70" s="746"/>
      <c r="AD70" s="747"/>
      <c r="AE70" s="560"/>
      <c r="AF70" s="564"/>
      <c r="AH70" s="558"/>
      <c r="AJ70" s="742"/>
      <c r="AQ70" s="720"/>
      <c r="AR70" s="651"/>
      <c r="AS70" s="192"/>
      <c r="AT70" s="192"/>
      <c r="AU70" s="192"/>
      <c r="AV70" s="192"/>
      <c r="AW70" s="192"/>
      <c r="AX70" s="192"/>
      <c r="AY70" s="192"/>
      <c r="AZ70" s="192"/>
      <c r="BA70" s="192"/>
    </row>
    <row r="71" spans="1:53" ht="15" customHeight="1">
      <c r="A71" s="564"/>
      <c r="B71" s="558"/>
      <c r="C71" s="558"/>
      <c r="D71" s="740"/>
      <c r="E71" s="741"/>
      <c r="F71" s="558"/>
      <c r="G71" s="625"/>
      <c r="H71" s="559"/>
      <c r="I71" s="559"/>
      <c r="J71" s="560"/>
      <c r="K71" s="560"/>
      <c r="L71" s="743"/>
      <c r="M71" s="744"/>
      <c r="N71" s="558"/>
      <c r="O71" s="559"/>
      <c r="P71" s="559"/>
      <c r="Q71" s="559"/>
      <c r="R71" s="559"/>
      <c r="S71" s="558"/>
      <c r="T71" s="625"/>
      <c r="U71" s="760"/>
      <c r="V71" s="720"/>
      <c r="W71" s="745"/>
      <c r="X71" s="746"/>
      <c r="Y71" s="746"/>
      <c r="Z71" s="746"/>
      <c r="AA71" s="745"/>
      <c r="AB71" s="770"/>
      <c r="AC71" s="746"/>
      <c r="AD71" s="747"/>
      <c r="AE71" s="560"/>
      <c r="AF71" s="564"/>
      <c r="AH71" s="558"/>
      <c r="AJ71" s="742"/>
      <c r="AQ71" s="720"/>
      <c r="AR71" s="651"/>
      <c r="AS71" s="192"/>
      <c r="AT71" s="192"/>
      <c r="AU71" s="192"/>
      <c r="AV71" s="192"/>
      <c r="AW71" s="192"/>
      <c r="AX71" s="192"/>
      <c r="AY71" s="192"/>
      <c r="AZ71" s="192"/>
      <c r="BA71" s="192"/>
    </row>
    <row r="72" spans="1:53" ht="15" customHeight="1">
      <c r="A72" s="564"/>
      <c r="B72" s="558"/>
      <c r="C72" s="558"/>
      <c r="D72" s="740"/>
      <c r="E72" s="741"/>
      <c r="F72" s="558"/>
      <c r="G72" s="625"/>
      <c r="H72" s="559"/>
      <c r="I72" s="559"/>
      <c r="J72" s="560"/>
      <c r="K72" s="560"/>
      <c r="L72" s="743"/>
      <c r="M72" s="744"/>
      <c r="N72" s="558"/>
      <c r="O72" s="559"/>
      <c r="P72" s="559"/>
      <c r="Q72" s="559"/>
      <c r="R72" s="559"/>
      <c r="S72" s="558"/>
      <c r="T72" s="625"/>
      <c r="U72" s="760"/>
      <c r="V72" s="720"/>
      <c r="W72" s="745"/>
      <c r="X72" s="746"/>
      <c r="Y72" s="746"/>
      <c r="Z72" s="746"/>
      <c r="AA72" s="745"/>
      <c r="AB72" s="770"/>
      <c r="AC72" s="746"/>
      <c r="AD72" s="747"/>
      <c r="AE72" s="560"/>
      <c r="AF72" s="564"/>
      <c r="AH72" s="558"/>
      <c r="AJ72" s="742"/>
      <c r="AQ72" s="720"/>
      <c r="AR72" s="651"/>
      <c r="AS72" s="192"/>
      <c r="AT72" s="192"/>
      <c r="AU72" s="192"/>
      <c r="AV72" s="192"/>
      <c r="AW72" s="192"/>
      <c r="AX72" s="192"/>
      <c r="AY72" s="192"/>
      <c r="AZ72" s="192"/>
      <c r="BA72" s="192"/>
    </row>
    <row r="73" spans="1:53" ht="15" customHeight="1">
      <c r="A73" s="564"/>
      <c r="B73" s="558"/>
      <c r="C73" s="558"/>
      <c r="D73" s="740"/>
      <c r="E73" s="741"/>
      <c r="F73" s="558"/>
      <c r="G73" s="625"/>
      <c r="H73" s="559"/>
      <c r="I73" s="559"/>
      <c r="J73" s="560"/>
      <c r="K73" s="560"/>
      <c r="L73" s="743"/>
      <c r="M73" s="744"/>
      <c r="N73" s="558"/>
      <c r="O73" s="559"/>
      <c r="P73" s="559"/>
      <c r="Q73" s="559"/>
      <c r="R73" s="559"/>
      <c r="S73" s="558"/>
      <c r="T73" s="625"/>
      <c r="U73" s="760"/>
      <c r="V73" s="720"/>
      <c r="W73" s="745"/>
      <c r="X73" s="746"/>
      <c r="Y73" s="746"/>
      <c r="Z73" s="746"/>
      <c r="AA73" s="745"/>
      <c r="AB73" s="770"/>
      <c r="AC73" s="746"/>
      <c r="AD73" s="747"/>
      <c r="AE73" s="560"/>
      <c r="AF73" s="564"/>
      <c r="AH73" s="558"/>
      <c r="AJ73" s="742"/>
      <c r="AQ73" s="720"/>
      <c r="AR73" s="651"/>
      <c r="AS73" s="192"/>
      <c r="AT73" s="192"/>
      <c r="AU73" s="192"/>
      <c r="AV73" s="192"/>
      <c r="AW73" s="192"/>
      <c r="AX73" s="192"/>
      <c r="AY73" s="192"/>
      <c r="AZ73" s="192"/>
      <c r="BA73" s="192"/>
    </row>
    <row r="74" spans="1:53" ht="15" customHeight="1">
      <c r="A74" s="564"/>
      <c r="B74" s="558"/>
      <c r="C74" s="558"/>
      <c r="D74" s="740"/>
      <c r="E74" s="741"/>
      <c r="F74" s="558"/>
      <c r="G74" s="625"/>
      <c r="H74" s="559"/>
      <c r="I74" s="559"/>
      <c r="J74" s="560"/>
      <c r="K74" s="560"/>
      <c r="L74" s="743"/>
      <c r="M74" s="744"/>
      <c r="N74" s="558"/>
      <c r="O74" s="559"/>
      <c r="P74" s="559"/>
      <c r="Q74" s="559"/>
      <c r="R74" s="559"/>
      <c r="S74" s="558"/>
      <c r="T74" s="625"/>
      <c r="U74" s="760"/>
      <c r="V74" s="720"/>
      <c r="W74" s="745"/>
      <c r="X74" s="746"/>
      <c r="Y74" s="746"/>
      <c r="Z74" s="746"/>
      <c r="AA74" s="745"/>
      <c r="AB74" s="770"/>
      <c r="AC74" s="746"/>
      <c r="AD74" s="747"/>
      <c r="AE74" s="560"/>
      <c r="AF74" s="564"/>
      <c r="AH74" s="558"/>
      <c r="AJ74" s="742"/>
      <c r="AQ74" s="720"/>
      <c r="AR74" s="651"/>
      <c r="AS74" s="192"/>
      <c r="AT74" s="192"/>
      <c r="AU74" s="192"/>
      <c r="AV74" s="192"/>
      <c r="AW74" s="192"/>
      <c r="AX74" s="192"/>
      <c r="AY74" s="192"/>
      <c r="AZ74" s="192"/>
      <c r="BA74" s="192"/>
    </row>
    <row r="75" spans="1:53" ht="15" customHeight="1">
      <c r="A75" s="564"/>
      <c r="B75" s="558"/>
      <c r="C75" s="558"/>
      <c r="D75" s="740"/>
      <c r="E75" s="741"/>
      <c r="F75" s="558"/>
      <c r="G75" s="625"/>
      <c r="H75" s="559"/>
      <c r="I75" s="559"/>
      <c r="J75" s="560"/>
      <c r="K75" s="560"/>
      <c r="L75" s="743"/>
      <c r="M75" s="744"/>
      <c r="N75" s="558"/>
      <c r="O75" s="559"/>
      <c r="P75" s="559"/>
      <c r="Q75" s="559"/>
      <c r="R75" s="559"/>
      <c r="S75" s="558"/>
      <c r="T75" s="625"/>
      <c r="U75" s="760"/>
      <c r="V75" s="720"/>
      <c r="W75" s="745"/>
      <c r="X75" s="746"/>
      <c r="Y75" s="746"/>
      <c r="Z75" s="746"/>
      <c r="AA75" s="745"/>
      <c r="AB75" s="770"/>
      <c r="AC75" s="746"/>
      <c r="AD75" s="747"/>
      <c r="AE75" s="560"/>
      <c r="AF75" s="564"/>
      <c r="AH75" s="558"/>
      <c r="AJ75" s="742"/>
      <c r="AQ75" s="720"/>
      <c r="AR75" s="651"/>
      <c r="AS75" s="192"/>
      <c r="AT75" s="192"/>
      <c r="AU75" s="192"/>
      <c r="AV75" s="192"/>
      <c r="AW75" s="192"/>
      <c r="AX75" s="192"/>
      <c r="AY75" s="192"/>
      <c r="AZ75" s="192"/>
      <c r="BA75" s="192"/>
    </row>
    <row r="76" spans="1:53" ht="15" customHeight="1">
      <c r="A76" s="564"/>
      <c r="B76" s="558"/>
      <c r="C76" s="558"/>
      <c r="D76" s="740"/>
      <c r="E76" s="741"/>
      <c r="F76" s="558"/>
      <c r="G76" s="625"/>
      <c r="H76" s="559"/>
      <c r="I76" s="559"/>
      <c r="J76" s="560"/>
      <c r="K76" s="560"/>
      <c r="L76" s="743"/>
      <c r="M76" s="744"/>
      <c r="N76" s="558"/>
      <c r="O76" s="559"/>
      <c r="P76" s="559"/>
      <c r="Q76" s="559"/>
      <c r="R76" s="559"/>
      <c r="S76" s="558"/>
      <c r="T76" s="625"/>
      <c r="U76" s="760"/>
      <c r="V76" s="720"/>
      <c r="W76" s="745"/>
      <c r="X76" s="746"/>
      <c r="Y76" s="746"/>
      <c r="Z76" s="746"/>
      <c r="AA76" s="745"/>
      <c r="AB76" s="770"/>
      <c r="AC76" s="746"/>
      <c r="AD76" s="747"/>
      <c r="AE76" s="560"/>
      <c r="AF76" s="564"/>
      <c r="AH76" s="558"/>
      <c r="AJ76" s="742"/>
      <c r="AQ76" s="720"/>
      <c r="AR76" s="651"/>
      <c r="AS76" s="192"/>
      <c r="AT76" s="192"/>
      <c r="AU76" s="192"/>
      <c r="AV76" s="192"/>
      <c r="AW76" s="192"/>
      <c r="AX76" s="192"/>
      <c r="AY76" s="192"/>
      <c r="AZ76" s="192"/>
      <c r="BA76" s="192"/>
    </row>
    <row r="77" spans="1:53" ht="15" customHeight="1">
      <c r="A77" s="564"/>
      <c r="B77" s="558"/>
      <c r="C77" s="558"/>
      <c r="D77" s="740"/>
      <c r="E77" s="741"/>
      <c r="F77" s="558"/>
      <c r="G77" s="625"/>
      <c r="H77" s="559"/>
      <c r="I77" s="559"/>
      <c r="J77" s="560"/>
      <c r="K77" s="560"/>
      <c r="L77" s="743"/>
      <c r="M77" s="744"/>
      <c r="N77" s="558"/>
      <c r="O77" s="559"/>
      <c r="P77" s="559"/>
      <c r="Q77" s="559"/>
      <c r="R77" s="559"/>
      <c r="S77" s="558"/>
      <c r="T77" s="625"/>
      <c r="U77" s="760"/>
      <c r="V77" s="720"/>
      <c r="W77" s="745"/>
      <c r="X77" s="746"/>
      <c r="Y77" s="746"/>
      <c r="Z77" s="746"/>
      <c r="AA77" s="745"/>
      <c r="AB77" s="770"/>
      <c r="AC77" s="746"/>
      <c r="AD77" s="747"/>
      <c r="AE77" s="560"/>
      <c r="AF77" s="564"/>
      <c r="AH77" s="558"/>
      <c r="AJ77" s="742"/>
      <c r="AQ77" s="720"/>
      <c r="AR77" s="651"/>
      <c r="AS77" s="192"/>
      <c r="AT77" s="192"/>
      <c r="AU77" s="192"/>
      <c r="AV77" s="192"/>
      <c r="AW77" s="192"/>
      <c r="AX77" s="192"/>
      <c r="AY77" s="192"/>
      <c r="AZ77" s="192"/>
      <c r="BA77" s="192"/>
    </row>
    <row r="78" spans="1:53" ht="15" customHeight="1">
      <c r="A78" s="564"/>
      <c r="B78" s="558"/>
      <c r="C78" s="558"/>
      <c r="D78" s="740"/>
      <c r="E78" s="741"/>
      <c r="F78" s="558"/>
      <c r="G78" s="625"/>
      <c r="H78" s="559"/>
      <c r="I78" s="559"/>
      <c r="J78" s="560"/>
      <c r="K78" s="560"/>
      <c r="L78" s="743"/>
      <c r="M78" s="744"/>
      <c r="N78" s="558"/>
      <c r="O78" s="559"/>
      <c r="P78" s="559"/>
      <c r="Q78" s="559"/>
      <c r="R78" s="559"/>
      <c r="S78" s="558"/>
      <c r="T78" s="625"/>
      <c r="U78" s="760"/>
      <c r="V78" s="720"/>
      <c r="W78" s="745"/>
      <c r="X78" s="746"/>
      <c r="Y78" s="746"/>
      <c r="Z78" s="746"/>
      <c r="AA78" s="745"/>
      <c r="AB78" s="770"/>
      <c r="AC78" s="746"/>
      <c r="AD78" s="747"/>
      <c r="AE78" s="560"/>
      <c r="AF78" s="564"/>
      <c r="AH78" s="558"/>
      <c r="AJ78" s="742"/>
      <c r="AQ78" s="720"/>
      <c r="AR78" s="651"/>
      <c r="AS78" s="192"/>
      <c r="AT78" s="192"/>
      <c r="AU78" s="192"/>
      <c r="AV78" s="192"/>
      <c r="AW78" s="192"/>
      <c r="AX78" s="192"/>
      <c r="AY78" s="192"/>
      <c r="AZ78" s="192"/>
      <c r="BA78" s="192"/>
    </row>
    <row r="79" spans="1:53" ht="15" customHeight="1">
      <c r="A79" s="564"/>
      <c r="B79" s="558"/>
      <c r="C79" s="558"/>
      <c r="D79" s="740"/>
      <c r="E79" s="741"/>
      <c r="F79" s="558"/>
      <c r="G79" s="625"/>
      <c r="H79" s="559"/>
      <c r="I79" s="559"/>
      <c r="J79" s="560"/>
      <c r="K79" s="560"/>
      <c r="L79" s="743"/>
      <c r="M79" s="744"/>
      <c r="N79" s="558"/>
      <c r="O79" s="559"/>
      <c r="P79" s="559"/>
      <c r="Q79" s="559"/>
      <c r="R79" s="559"/>
      <c r="S79" s="558"/>
      <c r="T79" s="625"/>
      <c r="U79" s="760"/>
      <c r="V79" s="720"/>
      <c r="W79" s="745"/>
      <c r="X79" s="746"/>
      <c r="Y79" s="746"/>
      <c r="Z79" s="746"/>
      <c r="AA79" s="745"/>
      <c r="AB79" s="770"/>
      <c r="AC79" s="746"/>
      <c r="AD79" s="747"/>
      <c r="AE79" s="560"/>
      <c r="AF79" s="564"/>
      <c r="AH79" s="558"/>
      <c r="AJ79" s="742"/>
      <c r="AQ79" s="720"/>
      <c r="AR79" s="651"/>
      <c r="AS79" s="192"/>
      <c r="AT79" s="192"/>
      <c r="AU79" s="192"/>
      <c r="AV79" s="192"/>
      <c r="AW79" s="192"/>
      <c r="AX79" s="192"/>
      <c r="AY79" s="192"/>
      <c r="AZ79" s="192"/>
      <c r="BA79" s="192"/>
    </row>
    <row r="80" spans="1:53" ht="15" customHeight="1">
      <c r="A80" s="564"/>
      <c r="B80" s="558"/>
      <c r="C80" s="558"/>
      <c r="D80" s="740"/>
      <c r="E80" s="741"/>
      <c r="F80" s="558"/>
      <c r="G80" s="625"/>
      <c r="H80" s="559"/>
      <c r="I80" s="559"/>
      <c r="J80" s="560"/>
      <c r="K80" s="560"/>
      <c r="L80" s="743"/>
      <c r="M80" s="744"/>
      <c r="N80" s="558"/>
      <c r="O80" s="559"/>
      <c r="P80" s="559"/>
      <c r="Q80" s="559"/>
      <c r="R80" s="559"/>
      <c r="S80" s="558"/>
      <c r="T80" s="625"/>
      <c r="U80" s="760"/>
      <c r="V80" s="720"/>
      <c r="W80" s="745"/>
      <c r="X80" s="746"/>
      <c r="Y80" s="746"/>
      <c r="Z80" s="746"/>
      <c r="AA80" s="745"/>
      <c r="AB80" s="770"/>
      <c r="AC80" s="746"/>
      <c r="AD80" s="747"/>
      <c r="AE80" s="560"/>
      <c r="AF80" s="564"/>
      <c r="AH80" s="558"/>
      <c r="AJ80" s="742"/>
      <c r="AQ80" s="720"/>
      <c r="AR80" s="651"/>
      <c r="AS80" s="192"/>
      <c r="AT80" s="192"/>
      <c r="AU80" s="192"/>
      <c r="AV80" s="192"/>
      <c r="AW80" s="192"/>
      <c r="AX80" s="192"/>
      <c r="AY80" s="192"/>
      <c r="AZ80" s="192"/>
      <c r="BA80" s="192"/>
    </row>
    <row r="81" spans="1:62" ht="15" customHeight="1">
      <c r="A81" s="564"/>
      <c r="B81" s="558"/>
      <c r="C81" s="558"/>
      <c r="D81" s="740"/>
      <c r="E81" s="741"/>
      <c r="F81" s="558"/>
      <c r="G81" s="625"/>
      <c r="H81" s="559"/>
      <c r="I81" s="559"/>
      <c r="J81" s="560"/>
      <c r="K81" s="560"/>
      <c r="L81" s="743"/>
      <c r="M81" s="744"/>
      <c r="N81" s="558"/>
      <c r="O81" s="559"/>
      <c r="P81" s="559"/>
      <c r="Q81" s="559"/>
      <c r="R81" s="559"/>
      <c r="S81" s="558"/>
      <c r="T81" s="625"/>
      <c r="U81" s="760"/>
      <c r="V81" s="720"/>
      <c r="W81" s="745"/>
      <c r="X81" s="746"/>
      <c r="Y81" s="746"/>
      <c r="Z81" s="746"/>
      <c r="AA81" s="745"/>
      <c r="AB81" s="770"/>
      <c r="AC81" s="746"/>
      <c r="AD81" s="747"/>
      <c r="AE81" s="560"/>
      <c r="AF81" s="564"/>
      <c r="AH81" s="558"/>
      <c r="AJ81" s="742"/>
      <c r="AQ81" s="720"/>
      <c r="AR81" s="651"/>
      <c r="AS81" s="192"/>
      <c r="AT81" s="192"/>
      <c r="AU81" s="192"/>
      <c r="AV81" s="192"/>
      <c r="AW81" s="192"/>
      <c r="AX81" s="192"/>
      <c r="AY81" s="192"/>
      <c r="AZ81" s="192"/>
      <c r="BA81" s="192"/>
    </row>
    <row r="82" spans="1:62">
      <c r="A82" s="564"/>
      <c r="B82" s="558"/>
      <c r="C82" s="558"/>
      <c r="D82" s="740"/>
      <c r="E82" s="741"/>
      <c r="F82" s="558"/>
      <c r="G82" s="625"/>
      <c r="H82" s="559"/>
      <c r="I82" s="559"/>
      <c r="J82" s="560"/>
      <c r="K82" s="560"/>
      <c r="L82" s="743"/>
      <c r="M82" s="744"/>
      <c r="N82" s="558"/>
      <c r="O82" s="559"/>
      <c r="P82" s="559"/>
      <c r="Q82" s="559"/>
      <c r="R82" s="559"/>
      <c r="S82" s="558"/>
      <c r="T82" s="625"/>
      <c r="U82" s="760"/>
      <c r="V82" s="720"/>
      <c r="W82" s="745"/>
      <c r="X82" s="746"/>
      <c r="Y82" s="746"/>
      <c r="Z82" s="746"/>
      <c r="AA82" s="745"/>
      <c r="AB82" s="770"/>
      <c r="AC82" s="746"/>
      <c r="AD82" s="747"/>
      <c r="AE82" s="560"/>
      <c r="AF82" s="564"/>
      <c r="AH82" s="558"/>
      <c r="AJ82" s="742"/>
      <c r="AQ82" s="720"/>
      <c r="AR82" s="651"/>
      <c r="AS82" s="192"/>
      <c r="AT82" s="192"/>
      <c r="AU82" s="192"/>
      <c r="AV82" s="192"/>
      <c r="AW82" s="192"/>
      <c r="AX82" s="192"/>
      <c r="AY82" s="192"/>
      <c r="AZ82" s="192"/>
      <c r="BA82" s="192"/>
    </row>
    <row r="83" spans="1:62">
      <c r="A83" s="564"/>
      <c r="B83" s="558"/>
      <c r="C83" s="558"/>
      <c r="D83" s="740"/>
      <c r="E83" s="741"/>
      <c r="F83" s="558"/>
      <c r="G83" s="625"/>
      <c r="H83" s="559"/>
      <c r="I83" s="559"/>
      <c r="J83" s="560"/>
      <c r="K83" s="560"/>
      <c r="L83" s="743"/>
      <c r="M83" s="744"/>
      <c r="N83" s="558"/>
      <c r="O83" s="559"/>
      <c r="P83" s="559"/>
      <c r="Q83" s="559"/>
      <c r="R83" s="559"/>
      <c r="S83" s="558"/>
      <c r="T83" s="625"/>
      <c r="U83" s="760"/>
      <c r="V83" s="720"/>
      <c r="W83" s="745"/>
      <c r="X83" s="746"/>
      <c r="Y83" s="746"/>
      <c r="Z83" s="746"/>
      <c r="AA83" s="745"/>
      <c r="AB83" s="770"/>
      <c r="AC83" s="746"/>
      <c r="AD83" s="747"/>
      <c r="AE83" s="560"/>
      <c r="AF83" s="564"/>
      <c r="AH83" s="558"/>
      <c r="AJ83" s="742"/>
      <c r="AQ83" s="720"/>
      <c r="AR83" s="651"/>
      <c r="AS83" s="192"/>
      <c r="AT83" s="192"/>
      <c r="AU83" s="192"/>
      <c r="AV83" s="192"/>
      <c r="AW83" s="192"/>
      <c r="AX83" s="192"/>
      <c r="AY83" s="192"/>
      <c r="AZ83" s="192"/>
      <c r="BA83" s="192"/>
    </row>
    <row r="84" spans="1:62">
      <c r="A84" s="564"/>
      <c r="B84" s="558"/>
      <c r="C84" s="558"/>
      <c r="D84" s="740"/>
      <c r="E84" s="741"/>
      <c r="F84" s="558"/>
      <c r="G84" s="625"/>
      <c r="H84" s="559"/>
      <c r="I84" s="559"/>
      <c r="J84" s="560"/>
      <c r="K84" s="560"/>
      <c r="L84" s="743"/>
      <c r="M84" s="744"/>
      <c r="N84" s="558"/>
      <c r="O84" s="559"/>
      <c r="P84" s="559"/>
      <c r="Q84" s="559"/>
      <c r="R84" s="559"/>
      <c r="S84" s="558"/>
      <c r="T84" s="625"/>
      <c r="U84" s="760"/>
      <c r="V84" s="720"/>
      <c r="W84" s="745"/>
      <c r="X84" s="746"/>
      <c r="Y84" s="746"/>
      <c r="Z84" s="746"/>
      <c r="AA84" s="745"/>
      <c r="AB84" s="770"/>
      <c r="AC84" s="746"/>
      <c r="AD84" s="747"/>
      <c r="AE84" s="560"/>
      <c r="AF84" s="564"/>
      <c r="AH84" s="558"/>
      <c r="AJ84" s="742"/>
      <c r="AQ84" s="720"/>
      <c r="AR84" s="651"/>
      <c r="AS84" s="192"/>
      <c r="AT84" s="192"/>
      <c r="AU84" s="192"/>
      <c r="AV84" s="192"/>
      <c r="AW84" s="192"/>
      <c r="AX84" s="192"/>
      <c r="AY84" s="192"/>
      <c r="AZ84" s="192"/>
      <c r="BA84" s="192"/>
    </row>
    <row r="85" spans="1:62">
      <c r="A85" s="564"/>
      <c r="B85" s="558"/>
      <c r="C85" s="558"/>
      <c r="D85" s="740"/>
      <c r="E85" s="741"/>
      <c r="F85" s="558"/>
      <c r="G85" s="625"/>
      <c r="H85" s="559"/>
      <c r="I85" s="559"/>
      <c r="J85" s="560"/>
      <c r="K85" s="560"/>
      <c r="L85" s="743"/>
      <c r="M85" s="744"/>
      <c r="N85" s="558"/>
      <c r="O85" s="559"/>
      <c r="P85" s="559"/>
      <c r="Q85" s="559"/>
      <c r="R85" s="559"/>
      <c r="S85" s="558"/>
      <c r="T85" s="625"/>
      <c r="U85" s="760"/>
      <c r="V85" s="771"/>
      <c r="W85" s="745"/>
      <c r="X85" s="746"/>
      <c r="Y85" s="746"/>
      <c r="Z85" s="746"/>
      <c r="AA85" s="745"/>
      <c r="AB85" s="770"/>
      <c r="AC85" s="746"/>
      <c r="AD85" s="747"/>
      <c r="AE85" s="560"/>
      <c r="AF85" s="564"/>
      <c r="AH85" s="558"/>
      <c r="AJ85" s="742"/>
      <c r="AQ85" s="720"/>
      <c r="AR85" s="651"/>
      <c r="AS85" s="192"/>
      <c r="AT85" s="192"/>
      <c r="AU85" s="192"/>
      <c r="AV85" s="192"/>
      <c r="AW85" s="192"/>
      <c r="AX85" s="192"/>
      <c r="AY85" s="192"/>
      <c r="AZ85" s="192"/>
      <c r="BA85" s="192"/>
    </row>
    <row r="86" spans="1:62">
      <c r="A86" s="564"/>
      <c r="B86" s="772"/>
      <c r="C86" s="558"/>
      <c r="D86" s="740"/>
      <c r="E86" s="741"/>
      <c r="F86" s="558"/>
      <c r="G86" s="625"/>
      <c r="H86" s="559"/>
      <c r="I86" s="559"/>
      <c r="J86" s="560"/>
      <c r="K86" s="560"/>
      <c r="L86" s="760"/>
      <c r="M86" s="559"/>
      <c r="N86" s="558"/>
      <c r="O86" s="773"/>
      <c r="P86" s="559"/>
      <c r="Q86" s="773"/>
      <c r="R86" s="773"/>
      <c r="S86" s="558"/>
      <c r="T86" s="625"/>
      <c r="U86" s="760"/>
      <c r="V86" s="774"/>
      <c r="W86" s="745"/>
      <c r="X86" s="746"/>
      <c r="Y86" s="746"/>
      <c r="Z86" s="746"/>
      <c r="AA86" s="745"/>
      <c r="AB86" s="770"/>
      <c r="AC86" s="746"/>
      <c r="AD86" s="747"/>
      <c r="AE86" s="560"/>
      <c r="AF86" s="564"/>
      <c r="AH86" s="558"/>
      <c r="AJ86" s="742"/>
      <c r="AQ86" s="720"/>
      <c r="AR86" s="651"/>
      <c r="AS86" s="192"/>
      <c r="AT86" s="192"/>
      <c r="AU86" s="192"/>
      <c r="AV86" s="192"/>
      <c r="AW86" s="192"/>
      <c r="AX86" s="192"/>
      <c r="AY86" s="192"/>
      <c r="AZ86" s="192"/>
      <c r="BA86" s="192"/>
      <c r="BB86" s="761"/>
      <c r="BC86" s="720"/>
      <c r="BE86" s="625"/>
      <c r="BF86" s="625"/>
      <c r="BG86" s="625"/>
      <c r="BH86" s="625"/>
      <c r="BI86" s="625"/>
      <c r="BJ86" s="625"/>
    </row>
    <row r="87" spans="1:62" ht="14.25" customHeight="1">
      <c r="A87" s="564"/>
      <c r="B87" s="558"/>
      <c r="C87" s="558"/>
      <c r="D87" s="740"/>
      <c r="E87" s="741"/>
      <c r="F87" s="558"/>
      <c r="G87" s="625"/>
      <c r="H87" s="559"/>
      <c r="I87" s="559"/>
      <c r="J87" s="560"/>
      <c r="K87" s="560"/>
      <c r="L87" s="743"/>
      <c r="M87" s="744"/>
      <c r="N87" s="558"/>
      <c r="O87" s="559"/>
      <c r="P87" s="559"/>
      <c r="Q87" s="559"/>
      <c r="R87" s="559"/>
      <c r="S87" s="558"/>
      <c r="T87" s="625"/>
      <c r="U87" s="760"/>
      <c r="V87" s="775"/>
      <c r="W87" s="745"/>
      <c r="X87" s="746"/>
      <c r="Y87" s="746"/>
      <c r="Z87" s="746"/>
      <c r="AA87" s="745"/>
      <c r="AB87" s="770"/>
      <c r="AC87" s="746"/>
      <c r="AD87" s="747"/>
      <c r="AE87" s="560"/>
      <c r="AF87" s="564"/>
      <c r="AH87" s="558"/>
      <c r="AJ87" s="742"/>
      <c r="AL87" s="542" t="e">
        <f ca="1">_xll.BQL("ZQ616510 Corp, BH962214 Corp","rtg_moody, rtg_fitch, rtg_sp","cols=4;rows=3")</f>
        <v>#NAME?</v>
      </c>
      <c r="AM87" s="566" t="s">
        <v>12882</v>
      </c>
      <c r="AN87" s="566" t="s">
        <v>12883</v>
      </c>
      <c r="AO87" s="566" t="s">
        <v>12884</v>
      </c>
      <c r="AP87" s="566"/>
      <c r="AQ87" s="566"/>
    </row>
    <row r="88" spans="1:62">
      <c r="A88" s="564"/>
      <c r="B88" s="558"/>
      <c r="C88" s="558"/>
      <c r="D88" s="740"/>
      <c r="E88" s="741"/>
      <c r="F88" s="558"/>
      <c r="G88" s="625"/>
      <c r="H88" s="559"/>
      <c r="I88" s="559"/>
      <c r="J88" s="560"/>
      <c r="K88" s="560"/>
      <c r="L88" s="760"/>
      <c r="M88" s="559"/>
      <c r="N88" s="558"/>
      <c r="O88" s="773"/>
      <c r="P88" s="559"/>
      <c r="Q88" s="773"/>
      <c r="R88" s="773"/>
      <c r="S88" s="558"/>
      <c r="T88" s="625"/>
      <c r="U88" s="760"/>
      <c r="V88" s="775"/>
      <c r="W88" s="745"/>
      <c r="X88" s="746"/>
      <c r="Y88" s="746"/>
      <c r="Z88" s="746"/>
      <c r="AA88" s="745"/>
      <c r="AB88" s="770"/>
      <c r="AC88" s="746"/>
      <c r="AD88" s="747"/>
      <c r="AE88" s="560"/>
      <c r="AF88" s="564"/>
      <c r="AH88" s="558"/>
      <c r="AJ88" s="742"/>
      <c r="AL88" s="564" t="s">
        <v>13007</v>
      </c>
      <c r="AM88" s="564" t="s">
        <v>13008</v>
      </c>
      <c r="AN88" s="558" t="s">
        <v>13008</v>
      </c>
      <c r="AO88" s="558" t="s">
        <v>13008</v>
      </c>
      <c r="AQ88" s="720"/>
    </row>
    <row r="89" spans="1:62">
      <c r="A89" s="564"/>
      <c r="B89" s="558"/>
      <c r="C89" s="558"/>
      <c r="D89" s="740"/>
      <c r="E89" s="741"/>
      <c r="F89" s="558"/>
      <c r="G89" s="625"/>
      <c r="H89" s="559"/>
      <c r="I89" s="559"/>
      <c r="J89" s="560"/>
      <c r="K89" s="560"/>
      <c r="L89" s="760"/>
      <c r="M89" s="776"/>
      <c r="N89" s="558"/>
      <c r="O89" s="773"/>
      <c r="P89" s="777"/>
      <c r="Q89" s="760"/>
      <c r="R89" s="773"/>
      <c r="S89" s="558"/>
      <c r="T89" s="625"/>
      <c r="U89" s="760"/>
      <c r="V89" s="774"/>
      <c r="W89" s="745"/>
      <c r="X89" s="746"/>
      <c r="Y89" s="746"/>
      <c r="Z89" s="746"/>
      <c r="AA89" s="745"/>
      <c r="AB89" s="770"/>
      <c r="AC89" s="746"/>
      <c r="AD89" s="747"/>
      <c r="AE89" s="560"/>
      <c r="AF89" s="564"/>
      <c r="AH89" s="558"/>
      <c r="AJ89" s="742"/>
      <c r="AL89" s="564" t="s">
        <v>13009</v>
      </c>
      <c r="AM89" s="564" t="s">
        <v>13010</v>
      </c>
      <c r="AN89" s="558" t="s">
        <v>13011</v>
      </c>
      <c r="AO89" s="558" t="s">
        <v>13011</v>
      </c>
      <c r="AQ89" s="720"/>
    </row>
    <row r="90" spans="1:62">
      <c r="A90" s="564"/>
      <c r="B90" s="558"/>
      <c r="C90" s="558"/>
      <c r="D90" s="740"/>
      <c r="E90" s="741"/>
      <c r="F90" s="558"/>
      <c r="G90" s="625"/>
      <c r="H90" s="559"/>
      <c r="I90" s="559"/>
      <c r="J90" s="560"/>
      <c r="K90" s="560"/>
      <c r="L90" s="760"/>
      <c r="M90" s="559"/>
      <c r="N90" s="558"/>
      <c r="O90" s="773"/>
      <c r="P90" s="559"/>
      <c r="Q90" s="773"/>
      <c r="R90" s="773"/>
      <c r="S90" s="558"/>
      <c r="T90" s="625"/>
      <c r="U90" s="760"/>
      <c r="V90" s="775"/>
      <c r="W90" s="745"/>
      <c r="X90" s="746"/>
      <c r="Y90" s="746"/>
      <c r="Z90" s="746"/>
      <c r="AA90" s="745"/>
      <c r="AB90" s="770"/>
      <c r="AC90" s="746"/>
      <c r="AD90" s="747"/>
      <c r="AE90" s="560"/>
      <c r="AF90" s="564"/>
      <c r="AH90" s="558"/>
      <c r="AJ90" s="742"/>
      <c r="AQ90" s="720"/>
    </row>
    <row r="91" spans="1:62" ht="12.75" customHeight="1">
      <c r="A91" s="564"/>
      <c r="B91" s="558"/>
      <c r="C91" s="558"/>
      <c r="D91" s="740"/>
      <c r="E91" s="741"/>
      <c r="F91" s="558"/>
      <c r="G91" s="625"/>
      <c r="H91" s="559"/>
      <c r="I91" s="559"/>
      <c r="J91" s="560"/>
      <c r="K91" s="560"/>
      <c r="L91" s="760"/>
      <c r="M91" s="559"/>
      <c r="N91" s="558"/>
      <c r="O91" s="773"/>
      <c r="P91" s="559"/>
      <c r="Q91" s="773"/>
      <c r="R91" s="773"/>
      <c r="S91" s="558"/>
      <c r="T91" s="625"/>
      <c r="U91" s="760"/>
      <c r="V91" s="775"/>
      <c r="W91" s="745"/>
      <c r="X91" s="746"/>
      <c r="Y91" s="746"/>
      <c r="Z91" s="746"/>
      <c r="AA91" s="745"/>
      <c r="AB91" s="770"/>
      <c r="AC91" s="746"/>
      <c r="AD91" s="747"/>
      <c r="AE91" s="560"/>
      <c r="AF91" s="564"/>
      <c r="AH91" s="558"/>
      <c r="AJ91" s="742"/>
      <c r="AQ91" s="720"/>
    </row>
    <row r="92" spans="1:62">
      <c r="A92" s="564"/>
      <c r="B92" s="558"/>
      <c r="C92" s="558"/>
      <c r="D92" s="740"/>
      <c r="E92" s="741"/>
      <c r="F92" s="558"/>
      <c r="G92" s="625"/>
      <c r="H92" s="559"/>
      <c r="I92" s="559"/>
      <c r="J92" s="560"/>
      <c r="K92" s="560"/>
      <c r="L92" s="760"/>
      <c r="M92" s="559"/>
      <c r="N92" s="558"/>
      <c r="O92" s="773"/>
      <c r="P92" s="559"/>
      <c r="Q92" s="773"/>
      <c r="R92" s="773"/>
      <c r="S92" s="558"/>
      <c r="T92" s="625"/>
      <c r="U92" s="760"/>
      <c r="V92" s="775"/>
      <c r="W92" s="745"/>
      <c r="X92" s="746"/>
      <c r="Y92" s="746"/>
      <c r="Z92" s="746"/>
      <c r="AA92" s="745"/>
      <c r="AB92" s="770"/>
      <c r="AC92" s="746"/>
      <c r="AD92" s="747"/>
      <c r="AE92" s="560"/>
      <c r="AF92" s="564"/>
      <c r="AH92" s="558"/>
      <c r="AJ92" s="742"/>
      <c r="AQ92" s="720"/>
    </row>
    <row r="93" spans="1:62" ht="12.75" hidden="1" customHeight="1">
      <c r="A93" s="564"/>
      <c r="B93" s="558"/>
      <c r="C93" s="558"/>
      <c r="D93" s="740"/>
      <c r="E93" s="741"/>
      <c r="F93" s="558"/>
      <c r="G93" s="625"/>
      <c r="H93" s="559"/>
      <c r="I93" s="559"/>
      <c r="J93" s="560"/>
      <c r="K93" s="560"/>
      <c r="L93" s="760"/>
      <c r="M93" s="559"/>
      <c r="N93" s="558"/>
      <c r="O93" s="773"/>
      <c r="P93" s="559"/>
      <c r="Q93" s="773"/>
      <c r="R93" s="773"/>
      <c r="S93" s="558"/>
      <c r="T93" s="625"/>
      <c r="U93" s="760"/>
      <c r="V93" s="775"/>
      <c r="W93" s="745"/>
      <c r="X93" s="746"/>
      <c r="Y93" s="746"/>
      <c r="Z93" s="746"/>
      <c r="AA93" s="745"/>
      <c r="AB93" s="770"/>
      <c r="AC93" s="746"/>
      <c r="AD93" s="747"/>
      <c r="AE93" s="560"/>
      <c r="AF93" s="564"/>
      <c r="AH93" s="558"/>
      <c r="AJ93" s="742"/>
      <c r="AQ93" s="720"/>
    </row>
    <row r="94" spans="1:62" hidden="1">
      <c r="A94" s="564"/>
      <c r="B94" s="558"/>
      <c r="C94" s="558"/>
      <c r="D94" s="740"/>
      <c r="E94" s="741"/>
      <c r="F94" s="558"/>
      <c r="G94" s="625"/>
      <c r="H94" s="559"/>
      <c r="I94" s="559"/>
      <c r="J94" s="560"/>
      <c r="K94" s="560"/>
      <c r="L94" s="760"/>
      <c r="M94" s="559"/>
      <c r="N94" s="558"/>
      <c r="O94" s="773"/>
      <c r="P94" s="559"/>
      <c r="Q94" s="773"/>
      <c r="R94" s="773"/>
      <c r="S94" s="558"/>
      <c r="T94" s="625"/>
      <c r="U94" s="760"/>
      <c r="V94" s="775"/>
      <c r="W94" s="745"/>
      <c r="X94" s="746"/>
      <c r="Y94" s="746"/>
      <c r="Z94" s="746"/>
      <c r="AA94" s="745"/>
      <c r="AB94" s="770"/>
      <c r="AC94" s="746"/>
      <c r="AD94" s="747"/>
      <c r="AE94" s="560"/>
      <c r="AF94" s="564"/>
      <c r="AH94" s="558"/>
      <c r="AJ94" s="742"/>
      <c r="AQ94" s="720"/>
    </row>
    <row r="95" spans="1:62" hidden="1">
      <c r="A95" s="564"/>
      <c r="B95" s="558"/>
      <c r="C95" s="558"/>
      <c r="D95" s="740"/>
      <c r="E95" s="741"/>
      <c r="F95" s="558"/>
      <c r="G95" s="625"/>
      <c r="H95" s="559"/>
      <c r="I95" s="559"/>
      <c r="J95" s="560"/>
      <c r="K95" s="560"/>
      <c r="L95" s="760"/>
      <c r="M95" s="559"/>
      <c r="N95" s="558"/>
      <c r="O95" s="773"/>
      <c r="P95" s="559"/>
      <c r="Q95" s="773"/>
      <c r="R95" s="773"/>
      <c r="S95" s="558"/>
      <c r="T95" s="625"/>
      <c r="U95" s="760"/>
      <c r="V95" s="775"/>
      <c r="W95" s="745"/>
      <c r="X95" s="746"/>
      <c r="Y95" s="746"/>
      <c r="Z95" s="746"/>
      <c r="AA95" s="745"/>
      <c r="AB95" s="770"/>
      <c r="AC95" s="746"/>
      <c r="AD95" s="747"/>
      <c r="AE95" s="560"/>
      <c r="AF95" s="564"/>
      <c r="AH95" s="558"/>
      <c r="AJ95" s="742"/>
      <c r="AQ95" s="720"/>
    </row>
    <row r="96" spans="1:62" ht="12.75" hidden="1" customHeight="1">
      <c r="B96" s="558"/>
      <c r="C96" s="558"/>
      <c r="D96" s="740"/>
      <c r="E96" s="741"/>
      <c r="F96" s="558"/>
      <c r="G96" s="625"/>
      <c r="H96" s="559"/>
      <c r="I96" s="559"/>
      <c r="J96" s="560"/>
      <c r="K96" s="560"/>
      <c r="L96" s="760"/>
      <c r="M96" s="559"/>
      <c r="N96" s="558"/>
      <c r="O96" s="773"/>
      <c r="P96" s="559"/>
      <c r="Q96" s="773"/>
      <c r="R96" s="773"/>
      <c r="S96" s="558"/>
      <c r="T96" s="625"/>
      <c r="U96" s="760"/>
      <c r="V96" s="775"/>
      <c r="W96" s="745"/>
      <c r="X96" s="746"/>
      <c r="Y96" s="746"/>
      <c r="Z96" s="746"/>
      <c r="AA96" s="745"/>
      <c r="AB96" s="770"/>
      <c r="AC96" s="746"/>
      <c r="AD96" s="747"/>
      <c r="AE96" s="560"/>
      <c r="AF96" s="564"/>
      <c r="AH96" s="558"/>
      <c r="AJ96" s="742"/>
      <c r="AQ96" s="720"/>
    </row>
    <row r="97" spans="1:43" ht="12.75" hidden="1" customHeight="1">
      <c r="A97" s="564"/>
      <c r="B97" s="558"/>
      <c r="C97" s="558"/>
      <c r="D97" s="740"/>
      <c r="E97" s="741"/>
      <c r="F97" s="558"/>
      <c r="G97" s="625"/>
      <c r="H97" s="559"/>
      <c r="I97" s="559"/>
      <c r="J97" s="560"/>
      <c r="K97" s="560"/>
      <c r="L97" s="760"/>
      <c r="M97" s="559"/>
      <c r="N97" s="558"/>
      <c r="O97" s="773"/>
      <c r="P97" s="559"/>
      <c r="Q97" s="773"/>
      <c r="R97" s="773"/>
      <c r="S97" s="558"/>
      <c r="T97" s="625"/>
      <c r="U97" s="760"/>
      <c r="V97" s="775"/>
      <c r="W97" s="745"/>
      <c r="X97" s="746"/>
      <c r="Y97" s="746"/>
      <c r="Z97" s="746"/>
      <c r="AA97" s="745"/>
      <c r="AB97" s="770"/>
      <c r="AC97" s="746"/>
      <c r="AD97" s="747"/>
      <c r="AE97" s="560"/>
      <c r="AF97" s="564"/>
      <c r="AH97" s="558"/>
      <c r="AJ97" s="742"/>
      <c r="AQ97" s="720"/>
    </row>
    <row r="98" spans="1:43" hidden="1">
      <c r="A98" s="564"/>
      <c r="B98" s="558"/>
      <c r="C98" s="558"/>
      <c r="D98" s="740"/>
      <c r="E98" s="741"/>
      <c r="F98" s="558"/>
      <c r="G98" s="625"/>
      <c r="H98" s="559"/>
      <c r="I98" s="559"/>
      <c r="J98" s="560"/>
      <c r="K98" s="560"/>
      <c r="L98" s="760"/>
      <c r="M98" s="776"/>
      <c r="N98" s="558"/>
      <c r="O98" s="773"/>
      <c r="P98" s="559"/>
      <c r="Q98" s="773"/>
      <c r="R98" s="773"/>
      <c r="S98" s="558"/>
      <c r="T98" s="625"/>
      <c r="U98" s="760"/>
      <c r="V98" s="775"/>
      <c r="W98" s="745"/>
      <c r="X98" s="746"/>
      <c r="Y98" s="746"/>
      <c r="Z98" s="746"/>
      <c r="AA98" s="745"/>
      <c r="AB98" s="770"/>
      <c r="AC98" s="746"/>
      <c r="AD98" s="747"/>
      <c r="AE98" s="560"/>
      <c r="AF98" s="564"/>
      <c r="AH98" s="558"/>
      <c r="AJ98" s="742"/>
      <c r="AQ98" s="720"/>
    </row>
    <row r="99" spans="1:43" hidden="1">
      <c r="A99" s="564"/>
      <c r="B99" s="558"/>
      <c r="C99" s="558"/>
      <c r="D99" s="740"/>
      <c r="E99" s="741"/>
      <c r="F99" s="558"/>
      <c r="G99" s="625"/>
      <c r="H99" s="559"/>
      <c r="I99" s="559"/>
      <c r="J99" s="560"/>
      <c r="K99" s="560"/>
      <c r="L99" s="760"/>
      <c r="M99" s="559"/>
      <c r="N99" s="558"/>
      <c r="O99" s="773"/>
      <c r="P99" s="559"/>
      <c r="Q99" s="773"/>
      <c r="R99" s="773"/>
      <c r="S99" s="558"/>
      <c r="T99" s="625"/>
      <c r="U99" s="760"/>
      <c r="V99" s="775"/>
      <c r="W99" s="745"/>
      <c r="X99" s="746"/>
      <c r="Y99" s="746"/>
      <c r="Z99" s="746"/>
      <c r="AA99" s="745"/>
      <c r="AB99" s="770"/>
      <c r="AC99" s="746"/>
      <c r="AD99" s="747"/>
      <c r="AE99" s="560"/>
      <c r="AF99" s="564"/>
      <c r="AH99" s="558"/>
      <c r="AJ99" s="742"/>
      <c r="AQ99" s="720"/>
    </row>
    <row r="100" spans="1:43" ht="14.25" hidden="1" customHeight="1">
      <c r="A100" s="564"/>
      <c r="B100" s="558"/>
      <c r="C100" s="558"/>
      <c r="D100" s="740"/>
      <c r="E100" s="741"/>
      <c r="F100" s="558"/>
      <c r="G100" s="625"/>
      <c r="H100" s="559"/>
      <c r="I100" s="559"/>
      <c r="J100" s="560"/>
      <c r="K100" s="560"/>
      <c r="L100" s="760"/>
      <c r="M100" s="559"/>
      <c r="N100" s="558"/>
      <c r="O100" s="773"/>
      <c r="P100" s="559"/>
      <c r="Q100" s="773"/>
      <c r="R100" s="773"/>
      <c r="S100" s="558"/>
      <c r="T100" s="625"/>
      <c r="U100" s="760"/>
      <c r="V100" s="775"/>
      <c r="W100" s="745"/>
      <c r="X100" s="746"/>
      <c r="Y100" s="746"/>
      <c r="Z100" s="746"/>
      <c r="AA100" s="745"/>
      <c r="AB100" s="770"/>
      <c r="AC100" s="746"/>
      <c r="AD100" s="747"/>
      <c r="AE100" s="560"/>
      <c r="AF100" s="564"/>
      <c r="AH100" s="558"/>
      <c r="AJ100" s="742"/>
      <c r="AQ100" s="720"/>
    </row>
    <row r="101" spans="1:43" hidden="1">
      <c r="A101" s="564"/>
      <c r="B101" s="558"/>
      <c r="C101" s="558"/>
      <c r="D101" s="740"/>
      <c r="E101" s="741"/>
      <c r="F101" s="558"/>
      <c r="G101" s="625"/>
      <c r="H101" s="559"/>
      <c r="I101" s="559"/>
      <c r="J101" s="560"/>
      <c r="K101" s="560"/>
      <c r="L101" s="760"/>
      <c r="M101" s="559"/>
      <c r="N101" s="558"/>
      <c r="O101" s="773"/>
      <c r="P101" s="559"/>
      <c r="Q101" s="773"/>
      <c r="R101" s="773"/>
      <c r="S101" s="558"/>
      <c r="T101" s="625"/>
      <c r="U101" s="760"/>
      <c r="V101" s="775"/>
      <c r="W101" s="745"/>
      <c r="X101" s="746"/>
      <c r="Y101" s="746"/>
      <c r="Z101" s="746"/>
      <c r="AA101" s="745"/>
      <c r="AB101" s="770"/>
      <c r="AC101" s="746"/>
      <c r="AD101" s="747"/>
      <c r="AE101" s="560"/>
      <c r="AF101" s="564"/>
      <c r="AH101" s="558"/>
      <c r="AJ101" s="742"/>
      <c r="AQ101" s="720"/>
    </row>
    <row r="102" spans="1:43" hidden="1">
      <c r="A102" s="564"/>
      <c r="B102" s="558"/>
      <c r="C102" s="558"/>
      <c r="D102" s="740"/>
      <c r="E102" s="741"/>
      <c r="F102" s="558"/>
      <c r="G102" s="625"/>
      <c r="H102" s="559"/>
      <c r="I102" s="559"/>
      <c r="J102" s="560"/>
      <c r="K102" s="560"/>
      <c r="L102" s="760"/>
      <c r="M102" s="776"/>
      <c r="N102" s="558"/>
      <c r="O102" s="773"/>
      <c r="P102" s="559"/>
      <c r="Q102" s="773"/>
      <c r="R102" s="773"/>
      <c r="S102" s="558"/>
      <c r="T102" s="625"/>
      <c r="U102" s="760"/>
      <c r="V102" s="775"/>
      <c r="W102" s="745"/>
      <c r="X102" s="746"/>
      <c r="Y102" s="746"/>
      <c r="Z102" s="746"/>
      <c r="AA102" s="745"/>
      <c r="AB102" s="770"/>
      <c r="AC102" s="746"/>
      <c r="AD102" s="747"/>
      <c r="AE102" s="560"/>
      <c r="AF102" s="564"/>
      <c r="AH102" s="558"/>
      <c r="AJ102" s="742"/>
      <c r="AQ102" s="720"/>
    </row>
    <row r="103" spans="1:43" hidden="1">
      <c r="A103" s="778"/>
      <c r="B103" s="778"/>
      <c r="C103" s="778"/>
      <c r="D103" s="779"/>
      <c r="E103" s="780"/>
      <c r="F103" s="778"/>
      <c r="G103" s="781"/>
      <c r="H103" s="782"/>
      <c r="I103" s="782"/>
      <c r="J103" s="783"/>
      <c r="K103" s="783"/>
      <c r="L103" s="784"/>
      <c r="M103" s="782"/>
      <c r="N103" s="778"/>
      <c r="O103" s="785"/>
      <c r="P103" s="782"/>
      <c r="Q103" s="785"/>
      <c r="R103" s="785"/>
      <c r="S103" s="778"/>
      <c r="T103" s="781"/>
      <c r="U103" s="784"/>
      <c r="V103" s="786"/>
      <c r="W103" s="787"/>
      <c r="X103" s="788"/>
      <c r="Y103" s="788"/>
      <c r="Z103" s="788"/>
      <c r="AA103" s="787"/>
      <c r="AB103" s="789"/>
      <c r="AC103" s="788"/>
      <c r="AD103" s="790"/>
      <c r="AE103" s="788"/>
      <c r="AF103" s="788"/>
      <c r="AG103" s="788"/>
      <c r="AH103" s="788"/>
      <c r="AI103" s="788"/>
      <c r="AJ103" s="788"/>
      <c r="AK103" s="788"/>
      <c r="AQ103" s="720"/>
    </row>
    <row r="104" spans="1:43" hidden="1">
      <c r="A104" s="564"/>
      <c r="B104" s="558"/>
      <c r="C104" s="558"/>
      <c r="D104" s="791"/>
      <c r="E104" s="741"/>
      <c r="F104" s="558"/>
      <c r="G104" s="625"/>
      <c r="H104" s="559"/>
      <c r="I104" s="559"/>
      <c r="J104" s="560"/>
      <c r="K104" s="560"/>
      <c r="L104" s="760"/>
      <c r="M104" s="559"/>
      <c r="N104" s="558"/>
      <c r="O104" s="773"/>
      <c r="P104" s="559"/>
      <c r="Q104" s="773"/>
      <c r="R104" s="773"/>
      <c r="S104" s="558"/>
      <c r="T104" s="625"/>
      <c r="U104" s="760"/>
      <c r="V104" s="775"/>
      <c r="W104" s="745"/>
      <c r="X104" s="746"/>
      <c r="Y104" s="746"/>
      <c r="Z104" s="746"/>
      <c r="AA104" s="745"/>
      <c r="AB104" s="770"/>
      <c r="AC104" s="746"/>
      <c r="AD104" s="747"/>
      <c r="AE104" s="564"/>
      <c r="AF104" s="564"/>
      <c r="AJ104" s="564"/>
      <c r="AQ104" s="720"/>
    </row>
    <row r="105" spans="1:43" ht="11.9" hidden="1" customHeight="1">
      <c r="A105" s="564"/>
      <c r="B105" s="558"/>
      <c r="C105" s="558"/>
      <c r="D105" s="740"/>
      <c r="E105" s="741"/>
      <c r="F105" s="558"/>
      <c r="G105" s="625"/>
      <c r="H105" s="559"/>
      <c r="I105" s="559"/>
      <c r="J105" s="560"/>
      <c r="K105" s="560"/>
      <c r="L105" s="760"/>
      <c r="M105" s="559"/>
      <c r="N105" s="558"/>
      <c r="O105" s="773"/>
      <c r="P105" s="559"/>
      <c r="Q105" s="773"/>
      <c r="R105" s="773"/>
      <c r="S105" s="558"/>
      <c r="T105" s="625"/>
      <c r="U105" s="760"/>
      <c r="V105" s="775"/>
      <c r="W105" s="745"/>
      <c r="X105" s="746"/>
      <c r="Y105" s="746"/>
      <c r="Z105" s="746"/>
      <c r="AA105" s="745"/>
      <c r="AB105" s="770"/>
      <c r="AC105" s="746"/>
      <c r="AD105" s="747"/>
      <c r="AE105" s="564"/>
      <c r="AF105" s="564"/>
      <c r="AJ105" s="564"/>
      <c r="AQ105" s="720"/>
    </row>
    <row r="106" spans="1:43" hidden="1">
      <c r="A106" s="564"/>
      <c r="B106" s="558"/>
      <c r="C106" s="558"/>
      <c r="D106" s="740"/>
      <c r="E106" s="741"/>
      <c r="F106" s="558"/>
      <c r="G106" s="625"/>
      <c r="H106" s="559"/>
      <c r="I106" s="559"/>
      <c r="J106" s="560"/>
      <c r="K106" s="560"/>
      <c r="L106" s="760"/>
      <c r="M106" s="559"/>
      <c r="N106" s="558"/>
      <c r="O106" s="773"/>
      <c r="P106" s="559"/>
      <c r="Q106" s="773"/>
      <c r="R106" s="773"/>
      <c r="S106" s="558"/>
      <c r="T106" s="625"/>
      <c r="U106" s="760"/>
      <c r="V106" s="775"/>
      <c r="W106" s="745"/>
      <c r="X106" s="746"/>
      <c r="Y106" s="746"/>
      <c r="Z106" s="746"/>
      <c r="AA106" s="745"/>
      <c r="AB106" s="770"/>
      <c r="AC106" s="746"/>
      <c r="AD106" s="747"/>
      <c r="AE106" s="564"/>
      <c r="AF106" s="564"/>
      <c r="AJ106" s="564"/>
      <c r="AQ106" s="720"/>
    </row>
    <row r="107" spans="1:43" ht="23.25" hidden="1" customHeight="1">
      <c r="A107" s="564"/>
      <c r="B107" s="558"/>
      <c r="C107" s="558"/>
      <c r="D107" s="740"/>
      <c r="E107" s="741"/>
      <c r="F107" s="558"/>
      <c r="G107" s="625"/>
      <c r="H107" s="559"/>
      <c r="I107" s="559"/>
      <c r="J107" s="560"/>
      <c r="K107" s="560"/>
      <c r="L107" s="760"/>
      <c r="M107" s="559"/>
      <c r="N107" s="558"/>
      <c r="O107" s="773"/>
      <c r="P107" s="559"/>
      <c r="Q107" s="773"/>
      <c r="R107" s="773"/>
      <c r="S107" s="558"/>
      <c r="T107" s="625"/>
      <c r="U107" s="760"/>
      <c r="V107" s="775"/>
      <c r="W107" s="745"/>
      <c r="X107" s="746"/>
      <c r="Y107" s="746"/>
      <c r="Z107" s="746"/>
      <c r="AA107" s="745"/>
      <c r="AB107" s="770"/>
      <c r="AC107" s="746"/>
      <c r="AD107" s="747"/>
      <c r="AE107" s="560"/>
      <c r="AF107" s="564"/>
      <c r="AH107" s="558"/>
      <c r="AJ107" s="742"/>
      <c r="AQ107" s="720"/>
    </row>
    <row r="108" spans="1:43" hidden="1">
      <c r="A108" s="564"/>
      <c r="B108" s="558"/>
      <c r="C108" s="558"/>
      <c r="D108" s="740"/>
      <c r="E108" s="741"/>
      <c r="F108" s="558"/>
      <c r="G108" s="625"/>
      <c r="H108" s="559"/>
      <c r="I108" s="559"/>
      <c r="J108" s="560"/>
      <c r="K108" s="560"/>
      <c r="L108" s="760"/>
      <c r="M108" s="559"/>
      <c r="N108" s="558"/>
      <c r="O108" s="773"/>
      <c r="P108" s="559"/>
      <c r="Q108" s="773"/>
      <c r="R108" s="773"/>
      <c r="S108" s="558"/>
      <c r="T108" s="625"/>
      <c r="U108" s="760"/>
      <c r="V108" s="775"/>
      <c r="W108" s="745"/>
      <c r="X108" s="746"/>
      <c r="Y108" s="746"/>
      <c r="Z108" s="746"/>
      <c r="AA108" s="745"/>
      <c r="AB108" s="770"/>
      <c r="AC108" s="746"/>
      <c r="AD108" s="747"/>
      <c r="AE108" s="560"/>
      <c r="AF108" s="564"/>
      <c r="AH108" s="558"/>
      <c r="AJ108" s="742"/>
      <c r="AQ108" s="720"/>
    </row>
    <row r="109" spans="1:43" hidden="1">
      <c r="A109" s="564"/>
      <c r="B109" s="558"/>
      <c r="C109" s="558"/>
      <c r="D109" s="740"/>
      <c r="E109" s="741"/>
      <c r="F109" s="558"/>
      <c r="G109" s="625"/>
      <c r="H109" s="559"/>
      <c r="I109" s="559"/>
      <c r="J109" s="560"/>
      <c r="K109" s="560"/>
      <c r="L109" s="760"/>
      <c r="M109" s="559"/>
      <c r="N109" s="558"/>
      <c r="O109" s="773"/>
      <c r="P109" s="559"/>
      <c r="Q109" s="773"/>
      <c r="R109" s="773"/>
      <c r="S109" s="558"/>
      <c r="T109" s="625"/>
      <c r="U109" s="760"/>
      <c r="V109" s="775"/>
      <c r="W109" s="745"/>
      <c r="X109" s="746"/>
      <c r="Y109" s="746"/>
      <c r="Z109" s="746"/>
      <c r="AA109" s="745"/>
      <c r="AB109" s="770"/>
      <c r="AC109" s="746"/>
      <c r="AD109" s="747"/>
      <c r="AE109" s="560"/>
      <c r="AF109" s="564"/>
      <c r="AH109" s="558"/>
      <c r="AJ109" s="742"/>
      <c r="AQ109" s="720"/>
    </row>
    <row r="110" spans="1:43" hidden="1">
      <c r="A110" s="564"/>
      <c r="B110" s="558"/>
      <c r="C110" s="558"/>
      <c r="D110" s="740"/>
      <c r="E110" s="741"/>
      <c r="F110" s="558"/>
      <c r="G110" s="625"/>
      <c r="H110" s="559"/>
      <c r="I110" s="559"/>
      <c r="J110" s="560"/>
      <c r="K110" s="560"/>
      <c r="L110" s="760"/>
      <c r="M110" s="559"/>
      <c r="N110" s="558"/>
      <c r="O110" s="773"/>
      <c r="P110" s="559"/>
      <c r="Q110" s="773"/>
      <c r="R110" s="773"/>
      <c r="S110" s="558"/>
      <c r="T110" s="625"/>
      <c r="U110" s="760"/>
      <c r="V110" s="775"/>
      <c r="W110" s="745"/>
      <c r="X110" s="746"/>
      <c r="Y110" s="746"/>
      <c r="Z110" s="746"/>
      <c r="AA110" s="745"/>
      <c r="AB110" s="770"/>
      <c r="AC110" s="746"/>
      <c r="AD110" s="747"/>
      <c r="AE110" s="560"/>
      <c r="AF110" s="564"/>
      <c r="AH110" s="558"/>
      <c r="AJ110" s="742"/>
      <c r="AQ110" s="720"/>
    </row>
    <row r="111" spans="1:43" hidden="1">
      <c r="A111" s="564"/>
      <c r="B111" s="558"/>
      <c r="C111" s="558"/>
      <c r="D111" s="740"/>
      <c r="E111" s="741"/>
      <c r="F111" s="558"/>
      <c r="G111" s="625"/>
      <c r="H111" s="559"/>
      <c r="I111" s="559"/>
      <c r="J111" s="560"/>
      <c r="K111" s="560"/>
      <c r="L111" s="760"/>
      <c r="M111" s="559"/>
      <c r="N111" s="558"/>
      <c r="O111" s="773"/>
      <c r="P111" s="559"/>
      <c r="Q111" s="773"/>
      <c r="R111" s="773"/>
      <c r="S111" s="558"/>
      <c r="T111" s="625"/>
      <c r="U111" s="760"/>
      <c r="V111" s="775"/>
      <c r="W111" s="745"/>
      <c r="X111" s="746"/>
      <c r="Y111" s="746"/>
      <c r="Z111" s="746"/>
      <c r="AA111" s="745"/>
      <c r="AB111" s="770"/>
      <c r="AC111" s="746"/>
      <c r="AD111" s="747"/>
      <c r="AE111" s="560"/>
      <c r="AF111" s="564"/>
      <c r="AH111" s="558"/>
      <c r="AJ111" s="742"/>
      <c r="AQ111" s="720"/>
    </row>
    <row r="112" spans="1:43" hidden="1">
      <c r="A112" s="564"/>
      <c r="B112" s="558"/>
      <c r="C112" s="558"/>
      <c r="D112" s="740"/>
      <c r="E112" s="741"/>
      <c r="F112" s="558"/>
      <c r="G112" s="625"/>
      <c r="H112" s="559"/>
      <c r="I112" s="559"/>
      <c r="J112" s="560"/>
      <c r="K112" s="560"/>
      <c r="L112" s="760"/>
      <c r="M112" s="559"/>
      <c r="N112" s="558"/>
      <c r="O112" s="773"/>
      <c r="P112" s="559"/>
      <c r="Q112" s="773"/>
      <c r="R112" s="773"/>
      <c r="S112" s="558"/>
      <c r="T112" s="625"/>
      <c r="U112" s="760"/>
      <c r="V112" s="775"/>
      <c r="W112" s="745"/>
      <c r="X112" s="746"/>
      <c r="Y112" s="746"/>
      <c r="Z112" s="746"/>
      <c r="AA112" s="745"/>
      <c r="AB112" s="770"/>
      <c r="AC112" s="746"/>
      <c r="AD112" s="747"/>
      <c r="AE112" s="560"/>
      <c r="AF112" s="564"/>
      <c r="AH112" s="558"/>
      <c r="AJ112" s="742"/>
      <c r="AQ112" s="720"/>
    </row>
    <row r="113" spans="1:43" hidden="1">
      <c r="A113" s="564"/>
      <c r="B113" s="558"/>
      <c r="C113" s="558"/>
      <c r="D113" s="740"/>
      <c r="E113" s="741"/>
      <c r="F113" s="558"/>
      <c r="G113" s="625"/>
      <c r="H113" s="559"/>
      <c r="I113" s="559"/>
      <c r="J113" s="560"/>
      <c r="K113" s="560"/>
      <c r="L113" s="760"/>
      <c r="M113" s="559"/>
      <c r="N113" s="558"/>
      <c r="O113" s="773"/>
      <c r="P113" s="559"/>
      <c r="Q113" s="773"/>
      <c r="R113" s="773"/>
      <c r="S113" s="558"/>
      <c r="T113" s="625"/>
      <c r="U113" s="760"/>
      <c r="V113" s="775"/>
      <c r="W113" s="745"/>
      <c r="X113" s="746"/>
      <c r="Y113" s="746"/>
      <c r="Z113" s="746"/>
      <c r="AA113" s="745"/>
      <c r="AB113" s="770"/>
      <c r="AC113" s="746"/>
      <c r="AD113" s="747"/>
      <c r="AE113" s="560"/>
      <c r="AF113" s="564"/>
      <c r="AH113" s="558"/>
      <c r="AJ113" s="742"/>
      <c r="AQ113" s="720"/>
    </row>
    <row r="114" spans="1:43" hidden="1">
      <c r="A114" s="564"/>
      <c r="B114" s="558"/>
      <c r="C114" s="558"/>
      <c r="D114" s="740"/>
      <c r="E114" s="741"/>
      <c r="F114" s="558"/>
      <c r="G114" s="625"/>
      <c r="H114" s="559"/>
      <c r="I114" s="559"/>
      <c r="J114" s="560"/>
      <c r="K114" s="560"/>
      <c r="L114" s="760"/>
      <c r="M114" s="559"/>
      <c r="N114" s="558"/>
      <c r="O114" s="773"/>
      <c r="P114" s="559"/>
      <c r="Q114" s="773"/>
      <c r="R114" s="773"/>
      <c r="S114" s="558"/>
      <c r="T114" s="625"/>
      <c r="U114" s="760"/>
      <c r="V114" s="775"/>
      <c r="W114" s="745"/>
      <c r="X114" s="746"/>
      <c r="Y114" s="746"/>
      <c r="Z114" s="746"/>
      <c r="AA114" s="745"/>
      <c r="AB114" s="770"/>
      <c r="AC114" s="746"/>
      <c r="AD114" s="747"/>
      <c r="AE114" s="560"/>
      <c r="AF114" s="564"/>
      <c r="AH114" s="558"/>
      <c r="AJ114" s="742"/>
      <c r="AQ114" s="720"/>
    </row>
    <row r="115" spans="1:43" hidden="1">
      <c r="A115" s="564"/>
      <c r="B115" s="558"/>
      <c r="C115" s="558"/>
      <c r="D115" s="740"/>
      <c r="E115" s="741"/>
      <c r="F115" s="558"/>
      <c r="G115" s="625"/>
      <c r="H115" s="559"/>
      <c r="I115" s="559"/>
      <c r="J115" s="560"/>
      <c r="K115" s="560"/>
      <c r="L115" s="760"/>
      <c r="M115" s="559"/>
      <c r="N115" s="558"/>
      <c r="O115" s="773"/>
      <c r="P115" s="559"/>
      <c r="Q115" s="773"/>
      <c r="R115" s="773"/>
      <c r="S115" s="558"/>
      <c r="T115" s="625"/>
      <c r="U115" s="760"/>
      <c r="V115" s="775"/>
      <c r="W115" s="745"/>
      <c r="X115" s="746"/>
      <c r="Y115" s="746"/>
      <c r="Z115" s="746"/>
      <c r="AA115" s="745"/>
      <c r="AB115" s="770"/>
      <c r="AC115" s="746"/>
      <c r="AD115" s="747"/>
      <c r="AE115" s="560"/>
      <c r="AF115" s="564"/>
      <c r="AH115" s="558"/>
      <c r="AJ115" s="742"/>
      <c r="AQ115" s="720"/>
    </row>
    <row r="116" spans="1:43" hidden="1">
      <c r="A116" s="564"/>
      <c r="B116" s="558"/>
      <c r="C116" s="558"/>
      <c r="D116" s="558"/>
      <c r="E116" s="741"/>
      <c r="F116" s="558"/>
      <c r="G116" s="625"/>
      <c r="H116" s="559"/>
      <c r="I116" s="559"/>
      <c r="J116" s="560"/>
      <c r="K116" s="560"/>
      <c r="L116" s="760"/>
      <c r="M116" s="559"/>
      <c r="N116" s="558"/>
      <c r="O116" s="773"/>
      <c r="P116" s="559"/>
      <c r="Q116" s="773"/>
      <c r="R116" s="773"/>
      <c r="S116" s="558"/>
      <c r="T116" s="625"/>
      <c r="U116" s="625"/>
      <c r="V116" s="720"/>
      <c r="W116" s="792"/>
      <c r="X116" s="746"/>
      <c r="Y116" s="746"/>
      <c r="Z116" s="746"/>
      <c r="AA116" s="745"/>
      <c r="AB116" s="770"/>
      <c r="AC116" s="792"/>
      <c r="AD116" s="558"/>
      <c r="AE116" s="560"/>
      <c r="AF116" s="564"/>
      <c r="AH116" s="558"/>
      <c r="AJ116" s="742"/>
      <c r="AQ116" s="720"/>
    </row>
    <row r="117" spans="1:43" hidden="1">
      <c r="A117" s="564"/>
      <c r="B117" s="558"/>
      <c r="C117" s="558"/>
      <c r="D117" s="558"/>
      <c r="E117" s="741"/>
      <c r="F117" s="558"/>
      <c r="G117" s="625"/>
      <c r="H117" s="559"/>
      <c r="I117" s="559"/>
      <c r="J117" s="560"/>
      <c r="K117" s="560"/>
      <c r="L117" s="760"/>
      <c r="M117" s="559"/>
      <c r="N117" s="558"/>
      <c r="O117" s="773"/>
      <c r="P117" s="559"/>
      <c r="Q117" s="773"/>
      <c r="R117" s="773"/>
      <c r="S117" s="558"/>
      <c r="T117" s="625"/>
      <c r="U117" s="625"/>
      <c r="V117" s="720"/>
      <c r="W117" s="792"/>
      <c r="X117" s="746"/>
      <c r="Y117" s="746"/>
      <c r="Z117" s="746"/>
      <c r="AA117" s="745"/>
      <c r="AB117" s="770"/>
      <c r="AC117" s="792"/>
      <c r="AD117" s="558"/>
      <c r="AE117" s="560"/>
      <c r="AF117" s="564"/>
      <c r="AH117" s="506" t="e">
        <f ca="1">_xll.TR(A116,"TR.UltimateParent")</f>
        <v>#NAME?</v>
      </c>
      <c r="AI117" s="534">
        <f>+D116</f>
        <v>0</v>
      </c>
      <c r="AJ117" s="512">
        <f>+J116</f>
        <v>0</v>
      </c>
      <c r="AQ117" s="720"/>
    </row>
    <row r="118" spans="1:43" hidden="1">
      <c r="A118" s="564"/>
      <c r="B118" s="558"/>
      <c r="C118" s="558"/>
      <c r="D118" s="558"/>
      <c r="E118" s="741"/>
      <c r="F118" s="558"/>
      <c r="G118" s="625"/>
      <c r="H118" s="559"/>
      <c r="I118" s="559"/>
      <c r="J118" s="560"/>
      <c r="K118" s="560"/>
      <c r="L118" s="760"/>
      <c r="M118" s="559"/>
      <c r="N118" s="558"/>
      <c r="O118" s="773"/>
      <c r="P118" s="559"/>
      <c r="Q118" s="773"/>
      <c r="R118" s="773"/>
      <c r="S118" s="558"/>
      <c r="T118" s="625"/>
      <c r="U118" s="625"/>
      <c r="V118" s="720"/>
      <c r="W118" s="792"/>
      <c r="X118" s="746"/>
      <c r="Y118" s="746"/>
      <c r="Z118" s="746"/>
      <c r="AA118" s="745"/>
      <c r="AB118" s="770"/>
      <c r="AC118" s="792"/>
      <c r="AD118" s="558"/>
      <c r="AE118" s="560"/>
      <c r="AF118" s="564"/>
      <c r="AH118" s="506" t="e">
        <f ca="1">_xll.TR(A117,"TR.UltimateParent")</f>
        <v>#NAME?</v>
      </c>
      <c r="AI118" s="534">
        <f t="shared" ref="AI118:AI138" si="75">+D117</f>
        <v>0</v>
      </c>
      <c r="AJ118" s="512">
        <f t="shared" ref="AJ118:AJ138" si="76">+J117</f>
        <v>0</v>
      </c>
      <c r="AQ118" s="720"/>
    </row>
    <row r="119" spans="1:43" hidden="1">
      <c r="A119" s="564"/>
      <c r="B119" s="558"/>
      <c r="C119" s="558"/>
      <c r="D119" s="558"/>
      <c r="E119" s="741"/>
      <c r="F119" s="558"/>
      <c r="G119" s="625"/>
      <c r="H119" s="559"/>
      <c r="I119" s="559"/>
      <c r="J119" s="560"/>
      <c r="K119" s="560"/>
      <c r="L119" s="760"/>
      <c r="M119" s="559"/>
      <c r="N119" s="558"/>
      <c r="O119" s="773"/>
      <c r="P119" s="559"/>
      <c r="Q119" s="773"/>
      <c r="R119" s="773"/>
      <c r="S119" s="558"/>
      <c r="T119" s="625"/>
      <c r="U119" s="625"/>
      <c r="V119" s="720"/>
      <c r="W119" s="792"/>
      <c r="X119" s="746"/>
      <c r="Y119" s="746"/>
      <c r="Z119" s="746"/>
      <c r="AA119" s="745"/>
      <c r="AB119" s="770"/>
      <c r="AC119" s="792"/>
      <c r="AD119" s="558"/>
      <c r="AE119" s="560"/>
      <c r="AF119" s="564"/>
      <c r="AH119" s="506" t="e">
        <f ca="1">_xll.TR(A118,"TR.UltimateParent")</f>
        <v>#NAME?</v>
      </c>
      <c r="AI119" s="534">
        <f t="shared" si="75"/>
        <v>0</v>
      </c>
      <c r="AJ119" s="512">
        <f t="shared" si="76"/>
        <v>0</v>
      </c>
      <c r="AQ119" s="720"/>
    </row>
    <row r="120" spans="1:43" hidden="1">
      <c r="A120" s="564"/>
      <c r="B120" s="558"/>
      <c r="C120" s="558"/>
      <c r="D120" s="558"/>
      <c r="E120" s="741"/>
      <c r="F120" s="558"/>
      <c r="G120" s="625"/>
      <c r="H120" s="559"/>
      <c r="I120" s="559"/>
      <c r="J120" s="560"/>
      <c r="K120" s="560"/>
      <c r="L120" s="760"/>
      <c r="M120" s="559"/>
      <c r="N120" s="558"/>
      <c r="O120" s="773"/>
      <c r="P120" s="559"/>
      <c r="Q120" s="773"/>
      <c r="R120" s="773"/>
      <c r="S120" s="558"/>
      <c r="T120" s="625"/>
      <c r="U120" s="625"/>
      <c r="V120" s="720"/>
      <c r="W120" s="792"/>
      <c r="X120" s="746"/>
      <c r="Y120" s="746"/>
      <c r="Z120" s="746"/>
      <c r="AA120" s="745"/>
      <c r="AB120" s="770"/>
      <c r="AC120" s="792"/>
      <c r="AD120" s="558"/>
      <c r="AE120" s="560"/>
      <c r="AF120" s="564"/>
      <c r="AH120" s="534" t="e">
        <f ca="1">_xll.BDP(A119 &amp; " Isin","ID_BB_ULTIMATE_PARENT_CO_NAME")</f>
        <v>#NAME?</v>
      </c>
      <c r="AI120" s="534">
        <f t="shared" si="75"/>
        <v>0</v>
      </c>
      <c r="AJ120" s="512">
        <f t="shared" si="76"/>
        <v>0</v>
      </c>
      <c r="AQ120" s="720"/>
    </row>
    <row r="121" spans="1:43" hidden="1">
      <c r="A121" s="564"/>
      <c r="B121" s="558"/>
      <c r="C121" s="558"/>
      <c r="D121" s="558"/>
      <c r="E121" s="741"/>
      <c r="F121" s="558"/>
      <c r="G121" s="625"/>
      <c r="H121" s="559"/>
      <c r="I121" s="559"/>
      <c r="J121" s="560"/>
      <c r="K121" s="560"/>
      <c r="L121" s="760"/>
      <c r="M121" s="559"/>
      <c r="N121" s="558"/>
      <c r="O121" s="773"/>
      <c r="P121" s="559"/>
      <c r="Q121" s="773"/>
      <c r="R121" s="773"/>
      <c r="S121" s="558"/>
      <c r="T121" s="625"/>
      <c r="U121" s="625"/>
      <c r="V121" s="720"/>
      <c r="W121" s="792"/>
      <c r="X121" s="746"/>
      <c r="Y121" s="746"/>
      <c r="Z121" s="746"/>
      <c r="AA121" s="745"/>
      <c r="AB121" s="770"/>
      <c r="AC121" s="792"/>
      <c r="AD121" s="558"/>
      <c r="AE121" s="560"/>
      <c r="AF121" s="564"/>
      <c r="AH121" s="534" t="e">
        <f ca="1">_xll.BDP(A120 &amp; " Isin","ID_BB_ULTIMATE_PARENT_CO_NAME")</f>
        <v>#NAME?</v>
      </c>
      <c r="AI121" s="534">
        <f t="shared" si="75"/>
        <v>0</v>
      </c>
      <c r="AJ121" s="512">
        <f t="shared" si="76"/>
        <v>0</v>
      </c>
      <c r="AQ121" s="720"/>
    </row>
    <row r="122" spans="1:43" hidden="1">
      <c r="A122" s="564"/>
      <c r="B122" s="558"/>
      <c r="C122" s="558"/>
      <c r="D122" s="558"/>
      <c r="E122" s="741"/>
      <c r="F122" s="558"/>
      <c r="G122" s="625"/>
      <c r="H122" s="559"/>
      <c r="I122" s="559"/>
      <c r="J122" s="560"/>
      <c r="K122" s="560"/>
      <c r="L122" s="760"/>
      <c r="M122" s="559"/>
      <c r="N122" s="558"/>
      <c r="O122" s="773"/>
      <c r="P122" s="559"/>
      <c r="Q122" s="773"/>
      <c r="R122" s="773"/>
      <c r="S122" s="558"/>
      <c r="T122" s="625"/>
      <c r="U122" s="625"/>
      <c r="V122" s="720"/>
      <c r="W122" s="792"/>
      <c r="X122" s="746"/>
      <c r="Y122" s="746"/>
      <c r="Z122" s="746"/>
      <c r="AA122" s="745"/>
      <c r="AB122" s="770"/>
      <c r="AC122" s="792"/>
      <c r="AD122" s="558"/>
      <c r="AE122" s="560"/>
      <c r="AF122" s="564"/>
      <c r="AJ122" s="742"/>
      <c r="AQ122" s="720"/>
    </row>
    <row r="123" spans="1:43" hidden="1">
      <c r="A123" s="564"/>
      <c r="B123" s="558"/>
      <c r="C123" s="558"/>
      <c r="D123" s="558"/>
      <c r="E123" s="741"/>
      <c r="F123" s="558"/>
      <c r="G123" s="625"/>
      <c r="H123" s="559"/>
      <c r="I123" s="559"/>
      <c r="J123" s="560"/>
      <c r="K123" s="560"/>
      <c r="L123" s="760"/>
      <c r="M123" s="559"/>
      <c r="N123" s="558"/>
      <c r="O123" s="773"/>
      <c r="P123" s="559"/>
      <c r="Q123" s="773"/>
      <c r="R123" s="773"/>
      <c r="S123" s="558"/>
      <c r="T123" s="625"/>
      <c r="U123" s="625"/>
      <c r="V123" s="720"/>
      <c r="W123" s="792"/>
      <c r="X123" s="746"/>
      <c r="Y123" s="746"/>
      <c r="Z123" s="746"/>
      <c r="AA123" s="745"/>
      <c r="AB123" s="770"/>
      <c r="AC123" s="792"/>
      <c r="AD123" s="558"/>
      <c r="AE123" s="560"/>
      <c r="AF123" s="564"/>
      <c r="AJ123" s="742"/>
      <c r="AQ123" s="720"/>
    </row>
    <row r="124" spans="1:43" hidden="1">
      <c r="A124" s="564"/>
      <c r="B124" s="558"/>
      <c r="C124" s="558"/>
      <c r="D124" s="558"/>
      <c r="E124" s="741"/>
      <c r="F124" s="558"/>
      <c r="G124" s="625"/>
      <c r="H124" s="559"/>
      <c r="I124" s="559"/>
      <c r="J124" s="560"/>
      <c r="K124" s="560"/>
      <c r="L124" s="760"/>
      <c r="M124" s="559"/>
      <c r="N124" s="558"/>
      <c r="O124" s="773"/>
      <c r="P124" s="559"/>
      <c r="Q124" s="773"/>
      <c r="R124" s="773"/>
      <c r="S124" s="558"/>
      <c r="T124" s="625"/>
      <c r="U124" s="625"/>
      <c r="V124" s="720"/>
      <c r="W124" s="792"/>
      <c r="X124" s="746"/>
      <c r="Y124" s="746"/>
      <c r="Z124" s="746"/>
      <c r="AA124" s="745"/>
      <c r="AB124" s="770"/>
      <c r="AC124" s="792"/>
      <c r="AD124" s="558"/>
      <c r="AE124" s="560"/>
      <c r="AF124" s="564"/>
      <c r="AH124" s="534" t="e">
        <f ca="1">_xll.BDP(A123 &amp; " Isin","ID_BB_ULTIMATE_PARENT_CO_NAME")</f>
        <v>#NAME?</v>
      </c>
      <c r="AI124" s="534">
        <f t="shared" si="75"/>
        <v>0</v>
      </c>
      <c r="AJ124" s="512">
        <f t="shared" si="76"/>
        <v>0</v>
      </c>
      <c r="AQ124" s="720"/>
    </row>
    <row r="125" spans="1:43" hidden="1">
      <c r="A125" s="564"/>
      <c r="B125" s="558"/>
      <c r="C125" s="558"/>
      <c r="D125" s="558"/>
      <c r="E125" s="741"/>
      <c r="F125" s="558"/>
      <c r="G125" s="625"/>
      <c r="H125" s="559"/>
      <c r="I125" s="559"/>
      <c r="J125" s="560"/>
      <c r="K125" s="560"/>
      <c r="L125" s="760"/>
      <c r="M125" s="559"/>
      <c r="N125" s="558"/>
      <c r="O125" s="773"/>
      <c r="P125" s="559"/>
      <c r="Q125" s="773"/>
      <c r="R125" s="773"/>
      <c r="S125" s="558"/>
      <c r="T125" s="625"/>
      <c r="U125" s="625"/>
      <c r="V125" s="720"/>
      <c r="W125" s="792"/>
      <c r="X125" s="746"/>
      <c r="Y125" s="746"/>
      <c r="Z125" s="746"/>
      <c r="AA125" s="745"/>
      <c r="AB125" s="770"/>
      <c r="AC125" s="792"/>
      <c r="AD125" s="558"/>
      <c r="AE125" s="560"/>
      <c r="AF125" s="564"/>
      <c r="AH125" s="534" t="e">
        <f ca="1">_xll.BDP(A124 &amp; " Isin","ID_BB_ULTIMATE_PARENT_CO_NAME")</f>
        <v>#NAME?</v>
      </c>
      <c r="AI125" s="534">
        <f t="shared" si="75"/>
        <v>0</v>
      </c>
      <c r="AJ125" s="512">
        <f t="shared" si="76"/>
        <v>0</v>
      </c>
      <c r="AQ125" s="720"/>
    </row>
    <row r="126" spans="1:43" hidden="1">
      <c r="A126" s="564"/>
      <c r="B126" s="558"/>
      <c r="C126" s="558"/>
      <c r="D126" s="558"/>
      <c r="E126" s="741"/>
      <c r="F126" s="558"/>
      <c r="G126" s="625"/>
      <c r="H126" s="559"/>
      <c r="I126" s="559"/>
      <c r="J126" s="560"/>
      <c r="K126" s="560"/>
      <c r="L126" s="760"/>
      <c r="M126" s="559"/>
      <c r="N126" s="558"/>
      <c r="O126" s="773"/>
      <c r="P126" s="559"/>
      <c r="Q126" s="773"/>
      <c r="R126" s="773"/>
      <c r="S126" s="558"/>
      <c r="T126" s="625"/>
      <c r="U126" s="625"/>
      <c r="V126" s="720"/>
      <c r="W126" s="792"/>
      <c r="X126" s="746"/>
      <c r="Y126" s="746"/>
      <c r="Z126" s="746"/>
      <c r="AA126" s="745"/>
      <c r="AB126" s="770"/>
      <c r="AC126" s="792"/>
      <c r="AD126" s="558"/>
      <c r="AE126" s="560"/>
      <c r="AF126" s="564"/>
      <c r="AH126" s="534" t="e">
        <f ca="1">_xll.BDP(A125 &amp; " Isin","ID_BB_ULTIMATE_PARENT_CO_NAME")</f>
        <v>#NAME?</v>
      </c>
      <c r="AI126" s="534">
        <f t="shared" si="75"/>
        <v>0</v>
      </c>
      <c r="AJ126" s="512">
        <f t="shared" si="76"/>
        <v>0</v>
      </c>
      <c r="AQ126" s="720"/>
    </row>
    <row r="127" spans="1:43" hidden="1">
      <c r="A127" s="564"/>
      <c r="B127" s="558"/>
      <c r="C127" s="558"/>
      <c r="D127" s="558"/>
      <c r="E127" s="741"/>
      <c r="F127" s="558"/>
      <c r="G127" s="625"/>
      <c r="H127" s="559"/>
      <c r="I127" s="559"/>
      <c r="J127" s="560"/>
      <c r="K127" s="560"/>
      <c r="L127" s="760"/>
      <c r="M127" s="559"/>
      <c r="N127" s="558"/>
      <c r="O127" s="773"/>
      <c r="P127" s="559"/>
      <c r="Q127" s="773"/>
      <c r="R127" s="773"/>
      <c r="S127" s="558"/>
      <c r="T127" s="625"/>
      <c r="U127" s="625"/>
      <c r="V127" s="720"/>
      <c r="W127" s="792"/>
      <c r="X127" s="746"/>
      <c r="Y127" s="746"/>
      <c r="Z127" s="746"/>
      <c r="AA127" s="745"/>
      <c r="AB127" s="770"/>
      <c r="AC127" s="792"/>
      <c r="AD127" s="558"/>
      <c r="AE127" s="560"/>
      <c r="AF127" s="564"/>
      <c r="AH127" s="534" t="e">
        <f ca="1">_xll.BDP(A126 &amp; " Isin","ID_BB_ULTIMATE_PARENT_CO_NAME")</f>
        <v>#NAME?</v>
      </c>
      <c r="AI127" s="534">
        <f t="shared" si="75"/>
        <v>0</v>
      </c>
      <c r="AJ127" s="512">
        <f t="shared" si="76"/>
        <v>0</v>
      </c>
      <c r="AQ127" s="720"/>
    </row>
    <row r="128" spans="1:43" hidden="1">
      <c r="A128" s="564"/>
      <c r="B128" s="558"/>
      <c r="C128" s="558"/>
      <c r="D128" s="558"/>
      <c r="E128" s="741"/>
      <c r="F128" s="558"/>
      <c r="G128" s="625"/>
      <c r="H128" s="559"/>
      <c r="I128" s="559"/>
      <c r="J128" s="560"/>
      <c r="K128" s="560"/>
      <c r="L128" s="760"/>
      <c r="M128" s="559"/>
      <c r="N128" s="558"/>
      <c r="O128" s="773"/>
      <c r="P128" s="559"/>
      <c r="Q128" s="773"/>
      <c r="R128" s="773"/>
      <c r="S128" s="558"/>
      <c r="T128" s="625"/>
      <c r="U128" s="625"/>
      <c r="V128" s="720"/>
      <c r="W128" s="792"/>
      <c r="X128" s="746"/>
      <c r="Y128" s="746"/>
      <c r="Z128" s="746"/>
      <c r="AA128" s="745"/>
      <c r="AB128" s="770"/>
      <c r="AC128" s="792"/>
      <c r="AD128" s="558"/>
      <c r="AE128" s="560"/>
      <c r="AF128" s="564"/>
      <c r="AH128" s="534" t="e">
        <f ca="1">_xll.BDP(A127 &amp; " Isin","ID_BB_ULTIMATE_PARENT_CO_NAME")</f>
        <v>#NAME?</v>
      </c>
      <c r="AI128" s="534">
        <f t="shared" si="75"/>
        <v>0</v>
      </c>
      <c r="AJ128" s="512">
        <f t="shared" si="76"/>
        <v>0</v>
      </c>
      <c r="AQ128" s="720"/>
    </row>
    <row r="129" spans="1:43" hidden="1">
      <c r="A129" s="564"/>
      <c r="B129" s="558"/>
      <c r="C129" s="558"/>
      <c r="D129" s="558"/>
      <c r="E129" s="741"/>
      <c r="F129" s="558"/>
      <c r="G129" s="625"/>
      <c r="H129" s="559"/>
      <c r="I129" s="559"/>
      <c r="J129" s="560"/>
      <c r="K129" s="560"/>
      <c r="L129" s="760"/>
      <c r="M129" s="559"/>
      <c r="N129" s="558"/>
      <c r="O129" s="773"/>
      <c r="P129" s="559"/>
      <c r="Q129" s="773"/>
      <c r="R129" s="773"/>
      <c r="S129" s="558"/>
      <c r="T129" s="625"/>
      <c r="U129" s="625"/>
      <c r="V129" s="720"/>
      <c r="W129" s="792"/>
      <c r="X129" s="746"/>
      <c r="Y129" s="746"/>
      <c r="Z129" s="746"/>
      <c r="AA129" s="745"/>
      <c r="AB129" s="770"/>
      <c r="AC129" s="792"/>
      <c r="AD129" s="558"/>
      <c r="AE129" s="560"/>
      <c r="AF129" s="564"/>
      <c r="AH129" s="534" t="e">
        <f ca="1">_xll.BDP(A128 &amp; " Isin","ID_BB_ULTIMATE_PARENT_CO_NAME")</f>
        <v>#NAME?</v>
      </c>
      <c r="AI129" s="534">
        <f t="shared" si="75"/>
        <v>0</v>
      </c>
      <c r="AJ129" s="512">
        <f t="shared" si="76"/>
        <v>0</v>
      </c>
      <c r="AQ129" s="720"/>
    </row>
    <row r="130" spans="1:43" hidden="1">
      <c r="A130" s="564"/>
      <c r="B130" s="558"/>
      <c r="C130" s="558"/>
      <c r="D130" s="558"/>
      <c r="E130" s="741"/>
      <c r="F130" s="558"/>
      <c r="G130" s="625"/>
      <c r="H130" s="559"/>
      <c r="I130" s="559"/>
      <c r="J130" s="560"/>
      <c r="K130" s="560"/>
      <c r="L130" s="760"/>
      <c r="M130" s="559"/>
      <c r="N130" s="558"/>
      <c r="O130" s="773"/>
      <c r="P130" s="559"/>
      <c r="Q130" s="773"/>
      <c r="R130" s="773"/>
      <c r="S130" s="558"/>
      <c r="T130" s="625"/>
      <c r="U130" s="625"/>
      <c r="V130" s="720"/>
      <c r="W130" s="792"/>
      <c r="X130" s="746"/>
      <c r="Y130" s="746"/>
      <c r="Z130" s="746"/>
      <c r="AA130" s="745"/>
      <c r="AB130" s="770"/>
      <c r="AC130" s="792"/>
      <c r="AD130" s="558"/>
      <c r="AE130" s="560"/>
      <c r="AF130" s="564"/>
      <c r="AH130" s="534" t="e">
        <f ca="1">_xll.BDP(A129 &amp; " Isin","ID_BB_ULTIMATE_PARENT_CO_NAME")</f>
        <v>#NAME?</v>
      </c>
      <c r="AI130" s="534">
        <f t="shared" si="75"/>
        <v>0</v>
      </c>
      <c r="AJ130" s="512">
        <f t="shared" si="76"/>
        <v>0</v>
      </c>
      <c r="AQ130" s="720"/>
    </row>
    <row r="131" spans="1:43" hidden="1">
      <c r="A131" s="564"/>
      <c r="B131" s="558"/>
      <c r="C131" s="558"/>
      <c r="D131" s="558"/>
      <c r="E131" s="741"/>
      <c r="F131" s="558"/>
      <c r="G131" s="625"/>
      <c r="H131" s="559"/>
      <c r="I131" s="559"/>
      <c r="J131" s="560"/>
      <c r="K131" s="560"/>
      <c r="L131" s="760"/>
      <c r="M131" s="559"/>
      <c r="N131" s="558"/>
      <c r="O131" s="773"/>
      <c r="P131" s="559"/>
      <c r="Q131" s="773"/>
      <c r="R131" s="773"/>
      <c r="S131" s="558"/>
      <c r="T131" s="625"/>
      <c r="U131" s="625"/>
      <c r="V131" s="720"/>
      <c r="W131" s="792"/>
      <c r="X131" s="746"/>
      <c r="Y131" s="746"/>
      <c r="Z131" s="746"/>
      <c r="AA131" s="745"/>
      <c r="AB131" s="770"/>
      <c r="AC131" s="792"/>
      <c r="AD131" s="558"/>
      <c r="AE131" s="560"/>
      <c r="AF131" s="564"/>
      <c r="AH131" s="534" t="e">
        <f ca="1">_xll.BDP(A130 &amp; " Isin","ID_BB_ULTIMATE_PARENT_CO_NAME")</f>
        <v>#NAME?</v>
      </c>
      <c r="AI131" s="534">
        <f t="shared" si="75"/>
        <v>0</v>
      </c>
      <c r="AJ131" s="512">
        <f t="shared" si="76"/>
        <v>0</v>
      </c>
      <c r="AQ131" s="720"/>
    </row>
    <row r="132" spans="1:43" ht="27" hidden="1" customHeight="1">
      <c r="A132" s="564"/>
      <c r="B132" s="558"/>
      <c r="C132" s="558"/>
      <c r="D132" s="558"/>
      <c r="E132" s="741"/>
      <c r="F132" s="558"/>
      <c r="G132" s="625"/>
      <c r="H132" s="559"/>
      <c r="I132" s="559"/>
      <c r="J132" s="560"/>
      <c r="K132" s="560"/>
      <c r="L132" s="760"/>
      <c r="M132" s="559"/>
      <c r="N132" s="558"/>
      <c r="O132" s="773"/>
      <c r="P132" s="559"/>
      <c r="Q132" s="773"/>
      <c r="R132" s="773"/>
      <c r="S132" s="558"/>
      <c r="T132" s="625"/>
      <c r="U132" s="625"/>
      <c r="V132" s="720"/>
      <c r="W132" s="792"/>
      <c r="X132" s="746"/>
      <c r="Y132" s="746"/>
      <c r="Z132" s="746"/>
      <c r="AA132" s="745"/>
      <c r="AB132" s="770"/>
      <c r="AC132" s="792"/>
      <c r="AD132" s="558"/>
      <c r="AE132" s="560"/>
      <c r="AF132" s="564"/>
      <c r="AH132" s="534" t="e">
        <f ca="1">_xll.BDP(A131 &amp; " Isin","ID_BB_ULTIMATE_PARENT_CO_NAME")</f>
        <v>#NAME?</v>
      </c>
      <c r="AI132" s="534">
        <f t="shared" si="75"/>
        <v>0</v>
      </c>
      <c r="AJ132" s="512">
        <f t="shared" si="76"/>
        <v>0</v>
      </c>
      <c r="AQ132" s="720"/>
    </row>
    <row r="133" spans="1:43" ht="27" hidden="1" customHeight="1">
      <c r="A133" s="564"/>
      <c r="B133" s="558"/>
      <c r="C133" s="558"/>
      <c r="D133" s="558"/>
      <c r="E133" s="741"/>
      <c r="F133" s="558"/>
      <c r="G133" s="625"/>
      <c r="H133" s="559"/>
      <c r="I133" s="559"/>
      <c r="J133" s="560"/>
      <c r="K133" s="560"/>
      <c r="L133" s="760"/>
      <c r="M133" s="559"/>
      <c r="N133" s="558"/>
      <c r="O133" s="773"/>
      <c r="P133" s="559"/>
      <c r="Q133" s="773"/>
      <c r="R133" s="773"/>
      <c r="S133" s="558"/>
      <c r="T133" s="625"/>
      <c r="U133" s="625"/>
      <c r="V133" s="720"/>
      <c r="W133" s="792"/>
      <c r="X133" s="746"/>
      <c r="Y133" s="746"/>
      <c r="Z133" s="746"/>
      <c r="AA133" s="745"/>
      <c r="AB133" s="770"/>
      <c r="AC133" s="792"/>
      <c r="AD133" s="558"/>
      <c r="AE133" s="560"/>
      <c r="AF133" s="564"/>
      <c r="AJ133" s="742"/>
      <c r="AQ133" s="720"/>
    </row>
    <row r="134" spans="1:43" ht="27" hidden="1" customHeight="1">
      <c r="A134" s="564"/>
      <c r="B134" s="558"/>
      <c r="C134" s="558"/>
      <c r="D134" s="558"/>
      <c r="E134" s="741"/>
      <c r="F134" s="558"/>
      <c r="G134" s="625"/>
      <c r="H134" s="559"/>
      <c r="I134" s="559"/>
      <c r="J134" s="560"/>
      <c r="K134" s="560"/>
      <c r="L134" s="760"/>
      <c r="M134" s="559"/>
      <c r="N134" s="558"/>
      <c r="O134" s="773"/>
      <c r="P134" s="559"/>
      <c r="Q134" s="773"/>
      <c r="R134" s="773"/>
      <c r="S134" s="558"/>
      <c r="T134" s="625"/>
      <c r="U134" s="625"/>
      <c r="V134" s="720"/>
      <c r="W134" s="792"/>
      <c r="X134" s="746"/>
      <c r="Y134" s="746"/>
      <c r="Z134" s="746"/>
      <c r="AA134" s="745"/>
      <c r="AB134" s="770"/>
      <c r="AC134" s="792"/>
      <c r="AD134" s="558"/>
      <c r="AE134" s="560"/>
      <c r="AF134" s="564"/>
      <c r="AJ134" s="742"/>
      <c r="AQ134" s="720"/>
    </row>
    <row r="135" spans="1:43" hidden="1">
      <c r="A135" s="564"/>
      <c r="B135" s="558"/>
      <c r="C135" s="558"/>
      <c r="D135" s="558"/>
      <c r="E135" s="741"/>
      <c r="F135" s="558"/>
      <c r="G135" s="625"/>
      <c r="H135" s="559"/>
      <c r="I135" s="559"/>
      <c r="J135" s="560"/>
      <c r="K135" s="560"/>
      <c r="L135" s="760"/>
      <c r="M135" s="559"/>
      <c r="N135" s="558"/>
      <c r="O135" s="773"/>
      <c r="P135" s="559"/>
      <c r="Q135" s="773"/>
      <c r="R135" s="773"/>
      <c r="S135" s="558"/>
      <c r="T135" s="625"/>
      <c r="U135" s="625"/>
      <c r="V135" s="720"/>
      <c r="W135" s="792"/>
      <c r="X135" s="746"/>
      <c r="Y135" s="746"/>
      <c r="Z135" s="746"/>
      <c r="AA135" s="745"/>
      <c r="AB135" s="770"/>
      <c r="AC135" s="792"/>
      <c r="AD135" s="558"/>
      <c r="AE135" s="560"/>
      <c r="AF135" s="564"/>
      <c r="AH135" s="534" t="e">
        <f ca="1">_xll.BDP(A134 &amp; " Isin","ID_BB_ULTIMATE_PARENT_CO_NAME")</f>
        <v>#NAME?</v>
      </c>
      <c r="AI135" s="534">
        <f t="shared" si="75"/>
        <v>0</v>
      </c>
      <c r="AJ135" s="512">
        <f t="shared" si="76"/>
        <v>0</v>
      </c>
      <c r="AL135" s="534" t="str">
        <f>+A138</f>
        <v>IE00B4613386</v>
      </c>
      <c r="AM135" s="534" t="e">
        <f ca="1">+E138</f>
        <v>#NAME?</v>
      </c>
      <c r="AN135" s="506" t="e">
        <f ca="1">_xll.TR(B138,"TR.CoRPrimaryCountry")</f>
        <v>#NAME?</v>
      </c>
      <c r="AO135" s="506" t="e">
        <f ca="1">_xll.TR(B138,"TR.HeadquartersCountry")</f>
        <v>#NAME?</v>
      </c>
      <c r="AP135" s="506" t="e">
        <f ca="1">_xll.TR(B138,"CF_CURR")</f>
        <v>#NAME?</v>
      </c>
      <c r="AQ135" s="720"/>
    </row>
    <row r="136" spans="1:43" hidden="1">
      <c r="A136" s="564"/>
      <c r="B136" s="558"/>
      <c r="C136" s="558"/>
      <c r="D136" s="558"/>
      <c r="E136" s="741"/>
      <c r="F136" s="558"/>
      <c r="G136" s="625"/>
      <c r="H136" s="559"/>
      <c r="I136" s="559"/>
      <c r="J136" s="560"/>
      <c r="K136" s="560"/>
      <c r="L136" s="760"/>
      <c r="M136" s="559"/>
      <c r="N136" s="558"/>
      <c r="O136" s="773"/>
      <c r="P136" s="559"/>
      <c r="Q136" s="773"/>
      <c r="R136" s="773"/>
      <c r="S136" s="558"/>
      <c r="T136" s="625"/>
      <c r="U136" s="625"/>
      <c r="V136" s="720"/>
      <c r="W136" s="792"/>
      <c r="X136" s="746"/>
      <c r="Y136" s="746"/>
      <c r="Z136" s="746"/>
      <c r="AA136" s="745"/>
      <c r="AB136" s="770"/>
      <c r="AC136" s="792"/>
      <c r="AD136" s="558"/>
      <c r="AE136" s="560"/>
      <c r="AF136" s="564"/>
      <c r="AH136" s="534" t="e">
        <f ca="1">_xll.BDP(A135 &amp; " Isin","ID_BB_ULTIMATE_PARENT_CO_NAME")</f>
        <v>#NAME?</v>
      </c>
      <c r="AI136" s="534">
        <f t="shared" si="75"/>
        <v>0</v>
      </c>
      <c r="AJ136" s="512">
        <f t="shared" si="76"/>
        <v>0</v>
      </c>
      <c r="AQ136" s="720"/>
    </row>
    <row r="137" spans="1:43" hidden="1">
      <c r="A137" s="564"/>
      <c r="B137" s="558"/>
      <c r="C137" s="558"/>
      <c r="D137" s="558"/>
      <c r="E137" s="741"/>
      <c r="F137" s="558"/>
      <c r="G137" s="625"/>
      <c r="H137" s="559"/>
      <c r="I137" s="559"/>
      <c r="J137" s="560"/>
      <c r="K137" s="560"/>
      <c r="L137" s="760"/>
      <c r="M137" s="559"/>
      <c r="N137" s="558"/>
      <c r="O137" s="773"/>
      <c r="P137" s="559"/>
      <c r="Q137" s="773"/>
      <c r="R137" s="773"/>
      <c r="S137" s="558"/>
      <c r="T137" s="625"/>
      <c r="U137" s="625"/>
      <c r="V137" s="720"/>
      <c r="W137" s="792"/>
      <c r="X137" s="746"/>
      <c r="Y137" s="746"/>
      <c r="Z137" s="746"/>
      <c r="AA137" s="745"/>
      <c r="AB137" s="770"/>
      <c r="AC137" s="792"/>
      <c r="AD137" s="558"/>
      <c r="AE137" s="560"/>
      <c r="AF137" s="564"/>
      <c r="AH137" s="534" t="e">
        <f ca="1">_xll.BDP(A136 &amp; " Isin","ID_BB_ULTIMATE_PARENT_CO_NAME")</f>
        <v>#NAME?</v>
      </c>
      <c r="AI137" s="534">
        <f t="shared" si="75"/>
        <v>0</v>
      </c>
      <c r="AJ137" s="512">
        <f t="shared" si="76"/>
        <v>0</v>
      </c>
      <c r="AQ137" s="720"/>
    </row>
    <row r="138" spans="1:43" hidden="1">
      <c r="A138" s="564" t="s">
        <v>1076</v>
      </c>
      <c r="B138" s="558"/>
      <c r="C138" s="558"/>
      <c r="D138" s="625"/>
      <c r="E138" s="508" t="e">
        <f ca="1">_xll.TR(A138,"TR.InstrumentDescription")</f>
        <v>#NAME?</v>
      </c>
      <c r="F138" s="558" t="s">
        <v>2</v>
      </c>
      <c r="G138" s="509">
        <f>IF(N138="EUR",1,IFERROR(_xll.TR($A138,"TR.MidPrice(curn=#1)","Code=Multi",,$N138)/_xll.TR($A138,"TR.MidPrice(curn=#1)","Code=Multi",,$F138),"-"))</f>
        <v>1</v>
      </c>
      <c r="H138" s="510" t="e">
        <f ca="1">+M138/G138</f>
        <v>#NAME?</v>
      </c>
      <c r="I138" s="510" t="e">
        <f ca="1">+H138</f>
        <v>#NAME?</v>
      </c>
      <c r="J138" s="511" t="e">
        <f ca="1">+K138</f>
        <v>#NAME?</v>
      </c>
      <c r="K138" s="511" t="e">
        <f ca="1">+V138/$V$11</f>
        <v>#NAME?</v>
      </c>
      <c r="L138" s="525">
        <f>SUMIF(TradesFundETF!$D$11:$D$91,A138,TradesFundETF!$I$11:$I$91)</f>
        <v>0</v>
      </c>
      <c r="M138" s="510" t="e">
        <f ca="1">_xll.TR(A138,"MID_PRICE1","CODE=ISIN")</f>
        <v>#NAME?</v>
      </c>
      <c r="N138" s="594" t="s">
        <v>2</v>
      </c>
      <c r="O138" s="559"/>
      <c r="P138" s="559"/>
      <c r="Q138" s="559"/>
      <c r="R138" s="559"/>
      <c r="S138" s="506" t="e">
        <f ca="1">_xll.TR(A138,"TR.AssetCategory")</f>
        <v>#NAME?</v>
      </c>
      <c r="T138" s="625"/>
      <c r="U138" s="525" t="e">
        <f ca="1">+M138*L138</f>
        <v>#NAME?</v>
      </c>
      <c r="V138" s="793"/>
      <c r="W138" s="792"/>
      <c r="X138" s="527" t="e">
        <f ca="1">+M138/W138-1</f>
        <v>#NAME?</v>
      </c>
      <c r="Y138" s="527"/>
      <c r="Z138" s="527"/>
      <c r="AA138" s="528" t="e">
        <f ca="1">_xll.TR(A138,"TR.PriceClose","Sdate=#1 Code=Multi Null=-",,$AA$11)</f>
        <v>#NAME?</v>
      </c>
      <c r="AB138" s="545">
        <f>IF(N138="EUR",1,_xll.TR($A138,"TR.MidPrice","Sdate=#1 Code=Multi Null=-",,$AB$11))</f>
        <v>1</v>
      </c>
      <c r="AC138" s="527" t="e">
        <f ca="1">+M138/AA138-1</f>
        <v>#NAME?</v>
      </c>
      <c r="AD138" s="546" t="e">
        <f ca="1">+V138-(AA138/AB138*L138)</f>
        <v>#NAME?</v>
      </c>
      <c r="AE138" s="560"/>
      <c r="AF138" s="564"/>
      <c r="AH138" s="534" t="e">
        <f ca="1">_xll.BDP(A137 &amp; " Isin","ID_BB_ULTIMATE_PARENT_CO_NAME")</f>
        <v>#NAME?</v>
      </c>
      <c r="AI138" s="534">
        <f t="shared" si="75"/>
        <v>0</v>
      </c>
      <c r="AJ138" s="512">
        <f t="shared" si="76"/>
        <v>0</v>
      </c>
      <c r="AQ138" s="523" t="e">
        <f ca="1">+AA138/AB138*L138</f>
        <v>#NAME?</v>
      </c>
    </row>
    <row r="139" spans="1:43" hidden="1">
      <c r="A139" s="564"/>
      <c r="B139" s="558"/>
      <c r="C139" s="558"/>
      <c r="D139" s="625"/>
      <c r="E139" s="741"/>
      <c r="F139" s="558"/>
      <c r="G139" s="625"/>
      <c r="H139" s="559"/>
      <c r="I139" s="559"/>
      <c r="J139" s="560"/>
      <c r="K139" s="560"/>
      <c r="L139" s="760"/>
      <c r="M139" s="559"/>
      <c r="N139" s="558"/>
      <c r="O139" s="559"/>
      <c r="P139" s="559"/>
      <c r="Q139" s="559"/>
      <c r="R139" s="559"/>
      <c r="S139" s="558"/>
      <c r="T139" s="625"/>
      <c r="U139" s="760"/>
      <c r="V139" s="775"/>
      <c r="W139" s="792"/>
      <c r="X139" s="746"/>
      <c r="Y139" s="746"/>
      <c r="Z139" s="746"/>
      <c r="AA139" s="745"/>
      <c r="AB139" s="770"/>
      <c r="AC139" s="746"/>
      <c r="AD139" s="794"/>
      <c r="AE139" s="560"/>
      <c r="AF139" s="564"/>
      <c r="AQ139" s="720"/>
    </row>
    <row r="140" spans="1:43" ht="11.25" hidden="1" customHeight="1">
      <c r="A140" s="564"/>
      <c r="B140" s="558"/>
      <c r="C140" s="558"/>
      <c r="D140" s="625"/>
      <c r="E140" s="741"/>
      <c r="F140" s="558"/>
      <c r="G140" s="625"/>
      <c r="H140" s="559"/>
      <c r="I140" s="559"/>
      <c r="J140" s="560"/>
      <c r="K140" s="560"/>
      <c r="L140" s="760"/>
      <c r="M140" s="559"/>
      <c r="N140" s="558"/>
      <c r="O140" s="559"/>
      <c r="P140" s="559"/>
      <c r="Q140" s="559"/>
      <c r="R140" s="559"/>
      <c r="S140" s="558"/>
      <c r="T140" s="625"/>
      <c r="U140" s="760"/>
      <c r="V140" s="775"/>
      <c r="W140" s="792"/>
      <c r="X140" s="746"/>
      <c r="Y140" s="746"/>
      <c r="Z140" s="746"/>
      <c r="AA140" s="745"/>
      <c r="AB140" s="770"/>
      <c r="AC140" s="746"/>
      <c r="AD140" s="747"/>
      <c r="AE140" s="560"/>
      <c r="AF140" s="564"/>
      <c r="AQ140" s="720"/>
    </row>
    <row r="141" spans="1:43" hidden="1">
      <c r="A141" s="564"/>
      <c r="B141" s="558"/>
      <c r="C141" s="558"/>
      <c r="D141" s="625"/>
      <c r="E141" s="741"/>
      <c r="F141" s="558"/>
      <c r="G141" s="625"/>
      <c r="H141" s="559"/>
      <c r="I141" s="559"/>
      <c r="J141" s="560"/>
      <c r="K141" s="560"/>
      <c r="L141" s="760"/>
      <c r="M141" s="559"/>
      <c r="N141" s="558"/>
      <c r="O141" s="559"/>
      <c r="P141" s="559"/>
      <c r="Q141" s="559"/>
      <c r="R141" s="559"/>
      <c r="S141" s="558"/>
      <c r="T141" s="625"/>
      <c r="U141" s="760"/>
      <c r="V141" s="775"/>
      <c r="W141" s="792"/>
      <c r="X141" s="746"/>
      <c r="Y141" s="746"/>
      <c r="Z141" s="746"/>
      <c r="AA141" s="745"/>
      <c r="AB141" s="770"/>
      <c r="AC141" s="746"/>
      <c r="AD141" s="747"/>
      <c r="AE141" s="560"/>
      <c r="AF141" s="564"/>
      <c r="AQ141" s="720"/>
    </row>
    <row r="142" spans="1:43" hidden="1">
      <c r="A142" s="564"/>
      <c r="B142" s="558"/>
      <c r="C142" s="558"/>
      <c r="D142" s="625"/>
      <c r="E142" s="741"/>
      <c r="F142" s="558"/>
      <c r="G142" s="625"/>
      <c r="H142" s="559"/>
      <c r="I142" s="559"/>
      <c r="J142" s="560"/>
      <c r="K142" s="560"/>
      <c r="L142" s="760"/>
      <c r="M142" s="559"/>
      <c r="N142" s="558"/>
      <c r="O142" s="559"/>
      <c r="P142" s="559"/>
      <c r="Q142" s="559"/>
      <c r="R142" s="559"/>
      <c r="S142" s="558"/>
      <c r="T142" s="625"/>
      <c r="U142" s="760"/>
      <c r="V142" s="775"/>
      <c r="W142" s="792"/>
      <c r="X142" s="746"/>
      <c r="Y142" s="746"/>
      <c r="Z142" s="746"/>
      <c r="AA142" s="745"/>
      <c r="AB142" s="770"/>
      <c r="AC142" s="746"/>
      <c r="AD142" s="747"/>
      <c r="AE142" s="560"/>
      <c r="AF142" s="564"/>
      <c r="AQ142" s="720"/>
    </row>
    <row r="143" spans="1:43" hidden="1">
      <c r="A143" s="564"/>
      <c r="B143" s="558"/>
      <c r="C143" s="558"/>
      <c r="D143" s="625"/>
      <c r="E143" s="741"/>
      <c r="F143" s="558"/>
      <c r="G143" s="625"/>
      <c r="H143" s="559"/>
      <c r="I143" s="559"/>
      <c r="J143" s="560"/>
      <c r="K143" s="560"/>
      <c r="L143" s="760"/>
      <c r="M143" s="559"/>
      <c r="N143" s="558"/>
      <c r="O143" s="559"/>
      <c r="P143" s="559"/>
      <c r="Q143" s="559"/>
      <c r="R143" s="559"/>
      <c r="S143" s="558"/>
      <c r="T143" s="625"/>
      <c r="U143" s="625"/>
      <c r="V143" s="775"/>
      <c r="W143" s="792"/>
      <c r="X143" s="746"/>
      <c r="Y143" s="746"/>
      <c r="Z143" s="746"/>
      <c r="AA143" s="745"/>
      <c r="AB143" s="770"/>
      <c r="AC143" s="746"/>
      <c r="AD143" s="747"/>
      <c r="AE143" s="558"/>
      <c r="AF143" s="564"/>
      <c r="AQ143" s="720"/>
    </row>
    <row r="144" spans="1:43" hidden="1">
      <c r="A144" s="564"/>
      <c r="B144" s="558"/>
      <c r="C144" s="558"/>
      <c r="D144" s="625"/>
      <c r="E144" s="741"/>
      <c r="F144" s="558"/>
      <c r="G144" s="625"/>
      <c r="H144" s="559"/>
      <c r="I144" s="559"/>
      <c r="J144" s="560"/>
      <c r="K144" s="560"/>
      <c r="L144" s="760"/>
      <c r="M144" s="559"/>
      <c r="N144" s="558"/>
      <c r="O144" s="559"/>
      <c r="P144" s="559"/>
      <c r="Q144" s="559"/>
      <c r="R144" s="559"/>
      <c r="S144" s="558"/>
      <c r="T144" s="625"/>
      <c r="U144" s="625"/>
      <c r="V144" s="775"/>
      <c r="W144" s="792"/>
      <c r="X144" s="746"/>
      <c r="Y144" s="746"/>
      <c r="Z144" s="746"/>
      <c r="AA144" s="745"/>
      <c r="AB144" s="770"/>
      <c r="AC144" s="746"/>
      <c r="AD144" s="747"/>
      <c r="AE144" s="558"/>
      <c r="AF144" s="564"/>
      <c r="AQ144" s="720"/>
    </row>
    <row r="145" spans="1:95" hidden="1">
      <c r="A145" s="564"/>
      <c r="B145" s="558"/>
      <c r="C145" s="558"/>
      <c r="D145" s="558"/>
      <c r="E145" s="741"/>
      <c r="F145" s="558"/>
      <c r="G145" s="625"/>
      <c r="H145" s="559"/>
      <c r="I145" s="559"/>
      <c r="J145" s="560"/>
      <c r="K145" s="560"/>
      <c r="L145" s="760"/>
      <c r="M145" s="559" t="s">
        <v>214</v>
      </c>
      <c r="N145" s="558"/>
      <c r="O145" s="559"/>
      <c r="P145" s="559"/>
      <c r="Q145" s="559"/>
      <c r="R145" s="559"/>
      <c r="S145" s="558"/>
      <c r="T145" s="625"/>
      <c r="U145" s="625"/>
      <c r="V145" s="775"/>
      <c r="W145" s="792"/>
      <c r="X145" s="746"/>
      <c r="Y145" s="746"/>
      <c r="Z145" s="746"/>
      <c r="AA145" s="745"/>
      <c r="AB145" s="770"/>
      <c r="AC145" s="746"/>
      <c r="AD145" s="747"/>
      <c r="AE145" s="558"/>
      <c r="AF145" s="564"/>
      <c r="AQ145" s="720"/>
    </row>
    <row r="146" spans="1:95">
      <c r="A146" s="564"/>
      <c r="B146" s="558"/>
      <c r="C146" s="558"/>
      <c r="D146" s="558"/>
      <c r="E146" s="741"/>
      <c r="F146" s="558"/>
      <c r="G146" s="625"/>
      <c r="H146" s="559"/>
      <c r="I146" s="559"/>
      <c r="J146" s="560"/>
      <c r="K146" s="558"/>
      <c r="L146" s="741"/>
      <c r="M146" s="559"/>
      <c r="N146" s="558"/>
      <c r="O146" s="559"/>
      <c r="P146" s="559"/>
      <c r="Q146" s="559"/>
      <c r="R146" s="559"/>
      <c r="S146" s="558"/>
      <c r="T146" s="625"/>
      <c r="U146" s="625"/>
      <c r="V146" s="720"/>
      <c r="W146" s="558"/>
      <c r="X146" s="558"/>
      <c r="Y146" s="558"/>
      <c r="Z146" s="558"/>
      <c r="AA146" s="558"/>
      <c r="AB146" s="558"/>
      <c r="AC146" s="558"/>
      <c r="AD146" s="558"/>
      <c r="AE146" s="558"/>
      <c r="AF146" s="564"/>
      <c r="AQ146" s="720"/>
    </row>
    <row r="147" spans="1:95">
      <c r="A147" s="564"/>
      <c r="B147" s="558"/>
      <c r="C147" s="558"/>
      <c r="D147" s="558"/>
      <c r="E147" s="741"/>
      <c r="F147" s="558"/>
      <c r="G147" s="625"/>
      <c r="H147" s="559"/>
      <c r="I147" s="559"/>
      <c r="J147" s="560"/>
      <c r="K147" s="558"/>
      <c r="L147" s="741"/>
      <c r="M147" s="559"/>
      <c r="N147" s="558"/>
      <c r="O147" s="559"/>
      <c r="P147" s="559"/>
      <c r="Q147" s="559"/>
      <c r="R147" s="559"/>
      <c r="S147" s="558"/>
      <c r="T147" s="625"/>
      <c r="U147" s="625"/>
      <c r="V147" s="720"/>
      <c r="W147" s="558"/>
      <c r="X147" s="558"/>
      <c r="Y147" s="558"/>
      <c r="Z147" s="558"/>
      <c r="AA147" s="558"/>
      <c r="AB147" s="558"/>
      <c r="AC147" s="558"/>
      <c r="AD147" s="558"/>
      <c r="AE147" s="558"/>
      <c r="AF147" s="564"/>
      <c r="AQ147" s="720"/>
    </row>
    <row r="148" spans="1:95">
      <c r="A148" s="564"/>
      <c r="B148" s="558"/>
      <c r="C148" s="558"/>
      <c r="D148" s="558"/>
      <c r="E148" s="741"/>
      <c r="F148" s="558"/>
      <c r="G148" s="625"/>
      <c r="H148" s="559"/>
      <c r="I148" s="559"/>
      <c r="J148" s="560"/>
      <c r="K148" s="558"/>
      <c r="L148" s="741"/>
      <c r="M148" s="559"/>
      <c r="N148" s="558"/>
      <c r="O148" s="559"/>
      <c r="P148" s="559"/>
      <c r="Q148" s="559"/>
      <c r="R148" s="559"/>
      <c r="S148" s="558"/>
      <c r="T148" s="625"/>
      <c r="U148" s="625"/>
      <c r="V148" s="720"/>
      <c r="W148" s="558"/>
      <c r="X148" s="558"/>
      <c r="Y148" s="558"/>
      <c r="Z148" s="558"/>
      <c r="AA148" s="558"/>
      <c r="AB148" s="558"/>
      <c r="AC148" s="558"/>
      <c r="AD148" s="558"/>
      <c r="AE148" s="558"/>
      <c r="AF148" s="564"/>
      <c r="AQ148" s="720"/>
    </row>
    <row r="149" spans="1:95">
      <c r="A149" s="564"/>
      <c r="B149" s="558"/>
      <c r="C149" s="558"/>
      <c r="D149" s="558"/>
      <c r="E149" s="741"/>
      <c r="F149" s="558"/>
      <c r="G149" s="625"/>
      <c r="H149" s="559"/>
      <c r="I149" s="559"/>
      <c r="J149" s="560"/>
      <c r="K149" s="558"/>
      <c r="L149" s="741"/>
      <c r="M149" s="559"/>
      <c r="N149" s="558"/>
      <c r="O149" s="559"/>
      <c r="P149" s="559"/>
      <c r="Q149" s="559"/>
      <c r="R149" s="559"/>
      <c r="S149" s="558"/>
      <c r="T149" s="625"/>
      <c r="U149" s="625"/>
      <c r="V149" s="720"/>
      <c r="W149" s="558"/>
      <c r="X149" s="558"/>
      <c r="Y149" s="558"/>
      <c r="Z149" s="558"/>
      <c r="AA149" s="558"/>
      <c r="AB149" s="558"/>
      <c r="AC149" s="558"/>
      <c r="AD149" s="558"/>
      <c r="AE149" s="558"/>
      <c r="AF149" s="564"/>
      <c r="AQ149" s="720"/>
    </row>
    <row r="150" spans="1:95" ht="15" thickBot="1">
      <c r="A150" s="564"/>
      <c r="B150" s="558"/>
      <c r="C150" s="558"/>
      <c r="D150" s="558"/>
      <c r="E150" s="741"/>
      <c r="F150" s="558"/>
      <c r="G150" s="625"/>
      <c r="H150" s="559"/>
      <c r="I150" s="559"/>
      <c r="J150" s="559"/>
      <c r="K150" s="558"/>
      <c r="L150" s="741"/>
      <c r="M150" s="559"/>
      <c r="N150" s="558"/>
      <c r="O150" s="559"/>
      <c r="P150" s="559"/>
      <c r="Q150" s="559"/>
      <c r="R150" s="559"/>
      <c r="S150" s="558"/>
      <c r="T150" s="625"/>
      <c r="U150" s="625"/>
      <c r="V150" s="720"/>
      <c r="W150" s="558"/>
      <c r="X150" s="558"/>
      <c r="Y150" s="558"/>
      <c r="Z150" s="558"/>
      <c r="AA150" s="558"/>
      <c r="AB150" s="558"/>
      <c r="AC150" s="558"/>
      <c r="AD150" s="558"/>
      <c r="AE150" s="558"/>
      <c r="AF150" s="564"/>
      <c r="AN150" s="773"/>
      <c r="AO150" s="773"/>
      <c r="AP150" s="773"/>
      <c r="AQ150" s="720"/>
    </row>
    <row r="151" spans="1:95" ht="15" thickBot="1">
      <c r="A151" s="595" t="s">
        <v>206</v>
      </c>
      <c r="B151" s="795"/>
      <c r="C151" s="796"/>
      <c r="D151" s="796"/>
      <c r="E151" s="796"/>
      <c r="F151" s="795"/>
      <c r="G151" s="797"/>
      <c r="H151" s="795"/>
      <c r="I151" s="795"/>
      <c r="J151" s="795"/>
      <c r="K151" s="547" t="e">
        <f ca="1">+V151/$V$11</f>
        <v>#NAME?</v>
      </c>
      <c r="L151" s="796"/>
      <c r="M151" s="795"/>
      <c r="N151" s="795"/>
      <c r="O151" s="795"/>
      <c r="P151" s="795"/>
      <c r="Q151" s="795"/>
      <c r="R151" s="795"/>
      <c r="S151" s="795"/>
      <c r="T151" s="797"/>
      <c r="U151" s="797"/>
      <c r="V151" s="548" t="e">
        <f ca="1">+CashFlow!B52</f>
        <v>#NAME?</v>
      </c>
      <c r="W151" s="795"/>
      <c r="X151" s="795"/>
      <c r="Y151" s="795"/>
      <c r="Z151" s="795"/>
      <c r="AA151" s="795"/>
      <c r="AB151" s="795"/>
      <c r="AC151" s="795"/>
      <c r="AD151" s="795"/>
      <c r="AE151" s="558"/>
      <c r="AF151" s="564"/>
    </row>
    <row r="152" spans="1:95">
      <c r="A152" s="741"/>
      <c r="B152" s="558"/>
      <c r="C152" s="558"/>
      <c r="D152" s="558"/>
      <c r="E152" s="741"/>
      <c r="F152" s="558"/>
      <c r="G152" s="625"/>
      <c r="H152" s="559"/>
      <c r="I152" s="559"/>
      <c r="J152" s="559"/>
      <c r="K152" s="560"/>
      <c r="L152" s="741"/>
      <c r="M152" s="734"/>
      <c r="N152" s="558"/>
      <c r="O152" s="558"/>
      <c r="P152" s="558"/>
      <c r="Q152" s="558"/>
      <c r="R152" s="558"/>
      <c r="S152" s="558"/>
      <c r="T152" s="625"/>
      <c r="U152" s="625"/>
      <c r="V152" s="720"/>
      <c r="W152" s="560"/>
      <c r="X152" s="560"/>
      <c r="Y152" s="560"/>
      <c r="Z152" s="560"/>
      <c r="AA152" s="560"/>
      <c r="AB152" s="798"/>
      <c r="AC152" s="742"/>
      <c r="AD152" s="560"/>
      <c r="AE152" s="799"/>
      <c r="AF152" s="564"/>
    </row>
    <row r="153" spans="1:95">
      <c r="A153" s="741"/>
      <c r="B153" s="558"/>
      <c r="C153" s="558"/>
      <c r="D153" s="558"/>
      <c r="E153" s="741"/>
      <c r="F153" s="558"/>
      <c r="G153" s="625"/>
      <c r="H153" s="559"/>
      <c r="I153" s="559"/>
      <c r="J153" s="559"/>
      <c r="K153" s="560"/>
      <c r="L153" s="741"/>
      <c r="M153" s="734"/>
      <c r="N153" s="558"/>
      <c r="O153" s="558"/>
      <c r="P153" s="558"/>
      <c r="Q153" s="558"/>
      <c r="R153" s="558"/>
      <c r="S153" s="558"/>
      <c r="T153" s="625"/>
      <c r="U153" s="625"/>
      <c r="V153" s="720"/>
      <c r="W153" s="560"/>
      <c r="X153" s="560"/>
      <c r="Y153" s="560"/>
      <c r="Z153" s="560"/>
      <c r="AA153" s="560"/>
      <c r="AB153" s="798"/>
      <c r="AC153" s="800"/>
      <c r="AD153" s="564"/>
      <c r="AE153" s="560"/>
      <c r="AF153" s="564"/>
      <c r="AL153" s="801"/>
      <c r="AM153" s="801"/>
      <c r="AQ153" s="773"/>
    </row>
    <row r="154" spans="1:95">
      <c r="A154" s="564"/>
      <c r="B154" s="558"/>
      <c r="C154" s="558"/>
      <c r="D154" s="558"/>
      <c r="E154" s="558"/>
      <c r="F154" s="558"/>
      <c r="G154" s="558"/>
      <c r="H154" s="558"/>
      <c r="I154" s="558"/>
      <c r="J154" s="558"/>
      <c r="K154" s="558"/>
      <c r="L154" s="558"/>
      <c r="M154" s="558"/>
      <c r="N154" s="558"/>
      <c r="O154" s="558"/>
      <c r="P154" s="558"/>
      <c r="Q154" s="558"/>
      <c r="R154" s="558"/>
      <c r="S154" s="558"/>
      <c r="T154" s="625"/>
      <c r="U154" s="625"/>
      <c r="V154" s="558"/>
      <c r="W154" s="558"/>
      <c r="X154" s="558"/>
      <c r="Y154" s="558"/>
      <c r="Z154" s="558"/>
      <c r="AA154" s="558"/>
      <c r="AB154" s="558"/>
      <c r="AC154" s="558"/>
      <c r="AD154" s="558"/>
      <c r="AE154" s="800"/>
      <c r="AF154" s="564"/>
      <c r="AN154" s="625"/>
      <c r="AO154" s="625"/>
      <c r="AP154" s="625"/>
      <c r="AR154" s="773"/>
      <c r="AS154" s="773"/>
      <c r="AT154" s="773"/>
      <c r="AU154" s="773"/>
      <c r="AV154" s="773"/>
      <c r="AW154" s="773"/>
      <c r="AX154" s="773"/>
      <c r="AY154" s="773"/>
      <c r="AZ154" s="773"/>
      <c r="BA154" s="773"/>
      <c r="BC154" s="801"/>
      <c r="BE154" s="801"/>
    </row>
    <row r="155" spans="1:95">
      <c r="A155" s="564"/>
      <c r="B155" s="558"/>
      <c r="C155" s="558"/>
      <c r="D155" s="558"/>
      <c r="E155" s="558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625"/>
      <c r="U155" s="625"/>
      <c r="V155" s="558"/>
      <c r="W155" s="558"/>
      <c r="X155" s="558"/>
      <c r="Y155" s="558"/>
      <c r="Z155" s="558"/>
      <c r="AA155" s="558"/>
      <c r="AB155" s="558"/>
      <c r="AC155" s="558"/>
      <c r="AD155" s="558"/>
      <c r="AE155" s="558"/>
      <c r="AF155" s="564"/>
      <c r="AN155" s="625"/>
      <c r="AO155" s="625"/>
      <c r="AP155" s="625"/>
    </row>
    <row r="156" spans="1:95">
      <c r="A156" s="600" t="s">
        <v>128</v>
      </c>
      <c r="B156" s="802"/>
      <c r="C156" s="802"/>
      <c r="D156" s="802"/>
      <c r="E156" s="802"/>
      <c r="F156" s="802"/>
      <c r="G156" s="802"/>
      <c r="H156" s="802"/>
      <c r="I156" s="802"/>
      <c r="J156" s="802"/>
      <c r="K156" s="802"/>
      <c r="L156" s="773"/>
      <c r="M156" s="596" t="s">
        <v>137</v>
      </c>
      <c r="N156" s="597" t="s">
        <v>109</v>
      </c>
      <c r="O156" s="773"/>
      <c r="P156" s="773"/>
      <c r="Q156" s="773"/>
      <c r="R156" s="773"/>
      <c r="S156" s="773"/>
      <c r="T156" s="625"/>
      <c r="U156" s="625"/>
      <c r="V156" s="773"/>
      <c r="W156" s="773"/>
      <c r="X156" s="773"/>
      <c r="Y156" s="773"/>
      <c r="Z156" s="773"/>
      <c r="AA156" s="773"/>
      <c r="AB156" s="773"/>
      <c r="AC156" s="773"/>
      <c r="AD156" s="773"/>
      <c r="AE156" s="558"/>
      <c r="AF156" s="564"/>
      <c r="AI156" s="801"/>
      <c r="AN156" s="625"/>
      <c r="AO156" s="625"/>
      <c r="AP156" s="625"/>
    </row>
    <row r="157" spans="1:95" s="804" customFormat="1" ht="13">
      <c r="A157" s="578" t="s">
        <v>79</v>
      </c>
      <c r="B157" s="579"/>
      <c r="C157" s="579"/>
      <c r="D157" s="579"/>
      <c r="E157" s="550" t="e">
        <f ca="1">+SUM(V13:V85)</f>
        <v>#NAME?</v>
      </c>
      <c r="F157" s="579"/>
      <c r="G157" s="579"/>
      <c r="H157" s="579"/>
      <c r="I157" s="579"/>
      <c r="J157" s="579"/>
      <c r="K157" s="552" t="e">
        <f t="shared" ref="K157:K162" ca="1" si="77">+E157/$E$162</f>
        <v>#NAME?</v>
      </c>
      <c r="L157" s="558"/>
      <c r="M157" s="598" t="s">
        <v>1232</v>
      </c>
      <c r="N157" s="599">
        <v>0.9</v>
      </c>
      <c r="O157" s="558"/>
      <c r="P157" s="558"/>
      <c r="Q157" s="558"/>
      <c r="R157" s="558"/>
      <c r="S157" s="558"/>
      <c r="T157" s="625"/>
      <c r="U157" s="625"/>
      <c r="V157" s="549" t="str">
        <f ca="1">IFERROR(IF(K157&gt;55%,_xludf.Alert(),""),"")</f>
        <v/>
      </c>
      <c r="W157" s="558"/>
      <c r="X157" s="558"/>
      <c r="Y157" s="558"/>
      <c r="Z157" s="558"/>
      <c r="AA157" s="558"/>
      <c r="AB157" s="558"/>
      <c r="AC157" s="558"/>
      <c r="AD157" s="558"/>
      <c r="AE157" s="773"/>
      <c r="AF157" s="801"/>
      <c r="AG157" s="801"/>
      <c r="AH157" s="801"/>
      <c r="AI157" s="564"/>
      <c r="AJ157" s="623"/>
      <c r="AK157" s="801"/>
      <c r="AL157" s="564"/>
      <c r="AM157" s="564"/>
      <c r="AN157" s="625"/>
      <c r="AO157" s="625"/>
      <c r="AP157" s="625"/>
      <c r="AQ157" s="625"/>
      <c r="AR157" s="558"/>
      <c r="AS157" s="558"/>
      <c r="AT157" s="558"/>
      <c r="AU157" s="558"/>
      <c r="AV157" s="558"/>
      <c r="AW157" s="558"/>
      <c r="AX157" s="558"/>
      <c r="AY157" s="558"/>
      <c r="AZ157" s="558"/>
      <c r="BA157" s="558"/>
      <c r="BB157" s="695"/>
      <c r="BC157" s="564"/>
      <c r="BD157" s="801"/>
      <c r="BE157" s="564"/>
      <c r="BF157" s="801"/>
      <c r="BG157" s="801"/>
      <c r="BH157" s="801"/>
      <c r="BI157" s="801"/>
      <c r="BJ157" s="801"/>
      <c r="BK157" s="801"/>
      <c r="BL157" s="801"/>
      <c r="BM157" s="801"/>
      <c r="BN157" s="801"/>
      <c r="BO157" s="801"/>
      <c r="BP157" s="801"/>
      <c r="BQ157" s="801"/>
      <c r="BR157" s="801"/>
      <c r="BS157" s="801"/>
      <c r="BT157" s="801"/>
      <c r="BU157" s="801"/>
      <c r="BV157" s="801"/>
      <c r="BW157" s="801"/>
      <c r="BX157" s="801"/>
      <c r="BY157" s="801"/>
      <c r="BZ157" s="801"/>
      <c r="CA157" s="801"/>
      <c r="CB157" s="801"/>
      <c r="CC157" s="801"/>
      <c r="CD157" s="801"/>
      <c r="CE157" s="801"/>
      <c r="CF157" s="801"/>
      <c r="CG157" s="801"/>
      <c r="CH157" s="801"/>
      <c r="CI157" s="801"/>
      <c r="CJ157" s="801"/>
      <c r="CK157" s="801"/>
      <c r="CL157" s="801"/>
      <c r="CM157" s="801"/>
      <c r="CN157" s="801"/>
      <c r="CO157" s="801"/>
      <c r="CP157" s="801"/>
      <c r="CQ157" s="801"/>
    </row>
    <row r="158" spans="1:95">
      <c r="A158" s="578" t="s">
        <v>80</v>
      </c>
      <c r="B158" s="579"/>
      <c r="C158" s="579"/>
      <c r="D158" s="579"/>
      <c r="E158" s="550">
        <f>SUM(V86:V90)</f>
        <v>0</v>
      </c>
      <c r="F158" s="579"/>
      <c r="G158" s="579"/>
      <c r="H158" s="579"/>
      <c r="I158" s="579"/>
      <c r="J158" s="579"/>
      <c r="K158" s="552" t="e">
        <f t="shared" ca="1" si="77"/>
        <v>#NAME?</v>
      </c>
      <c r="L158" s="558"/>
      <c r="M158" s="598">
        <v>0</v>
      </c>
      <c r="N158" s="599">
        <v>0</v>
      </c>
      <c r="O158" s="558"/>
      <c r="P158" s="558"/>
      <c r="Q158" s="558"/>
      <c r="R158" s="558"/>
      <c r="S158" s="558"/>
      <c r="T158" s="625"/>
      <c r="U158" s="625"/>
      <c r="V158" s="803"/>
      <c r="W158" s="558"/>
      <c r="X158" s="558"/>
      <c r="Y158" s="558"/>
      <c r="Z158" s="558"/>
      <c r="AA158" s="805"/>
      <c r="AB158" s="558"/>
      <c r="AC158" s="558"/>
      <c r="AD158" s="558"/>
      <c r="AE158" s="558"/>
      <c r="AF158" s="564"/>
      <c r="AN158" s="625"/>
      <c r="AO158" s="625"/>
      <c r="AP158" s="625"/>
      <c r="AQ158" s="625"/>
      <c r="AR158" s="625"/>
      <c r="AS158" s="625"/>
      <c r="AT158" s="625"/>
      <c r="AU158" s="625"/>
      <c r="AV158" s="625"/>
      <c r="AW158" s="625"/>
      <c r="AX158" s="625"/>
      <c r="AY158" s="625"/>
      <c r="AZ158" s="625"/>
      <c r="BA158" s="625"/>
      <c r="BC158" s="623"/>
      <c r="BE158" s="623"/>
    </row>
    <row r="159" spans="1:95" ht="15" customHeight="1">
      <c r="A159" s="578" t="s">
        <v>81</v>
      </c>
      <c r="B159" s="579"/>
      <c r="C159" s="579"/>
      <c r="D159" s="579"/>
      <c r="E159" s="550">
        <f>+SUM(V138:V147)</f>
        <v>0</v>
      </c>
      <c r="F159" s="579"/>
      <c r="G159" s="579"/>
      <c r="H159" s="579"/>
      <c r="I159" s="579"/>
      <c r="J159" s="579"/>
      <c r="K159" s="553" t="e">
        <f t="shared" ca="1" si="77"/>
        <v>#NAME?</v>
      </c>
      <c r="L159" s="558"/>
      <c r="M159" s="598">
        <v>0.1</v>
      </c>
      <c r="N159" s="599">
        <v>0.08</v>
      </c>
      <c r="O159" s="558"/>
      <c r="P159" s="558"/>
      <c r="Q159" s="558"/>
      <c r="R159" s="558"/>
      <c r="S159" s="558"/>
      <c r="T159" s="625"/>
      <c r="U159" s="625"/>
      <c r="V159" s="549" t="str">
        <f ca="1">IFERROR(IF(K159&gt;10%,_xludf.Alert(),""),"")</f>
        <v/>
      </c>
      <c r="W159" s="558"/>
      <c r="X159" s="558"/>
      <c r="Y159" s="558"/>
      <c r="Z159" s="558"/>
      <c r="AA159" s="558"/>
      <c r="AB159" s="558"/>
      <c r="AC159" s="558"/>
      <c r="AD159" s="558"/>
      <c r="AE159" s="558"/>
      <c r="AF159" s="564"/>
      <c r="AN159" s="625"/>
      <c r="AO159" s="625"/>
      <c r="AP159" s="625"/>
      <c r="AQ159" s="625"/>
      <c r="AR159" s="625"/>
      <c r="AS159" s="625"/>
      <c r="AT159" s="625"/>
      <c r="AU159" s="625"/>
      <c r="AV159" s="625"/>
      <c r="AW159" s="625"/>
      <c r="AX159" s="625"/>
      <c r="AY159" s="625"/>
      <c r="AZ159" s="625"/>
      <c r="BA159" s="625"/>
      <c r="BC159" s="623"/>
      <c r="BE159" s="623"/>
    </row>
    <row r="160" spans="1:95" ht="15" thickBot="1">
      <c r="A160" s="578" t="s">
        <v>1659</v>
      </c>
      <c r="B160" s="579"/>
      <c r="C160" s="579"/>
      <c r="D160" s="579"/>
      <c r="E160" s="568">
        <v>0</v>
      </c>
      <c r="F160" s="579"/>
      <c r="G160" s="579"/>
      <c r="H160" s="579"/>
      <c r="I160" s="579"/>
      <c r="J160" s="579"/>
      <c r="K160" s="552" t="e">
        <f t="shared" ca="1" si="77"/>
        <v>#NAME?</v>
      </c>
      <c r="L160" s="806"/>
      <c r="M160" s="1102">
        <v>0.2</v>
      </c>
      <c r="N160" s="1101">
        <v>0.18</v>
      </c>
      <c r="O160" s="558"/>
      <c r="P160" s="558"/>
      <c r="Q160" s="558"/>
      <c r="R160" s="558"/>
      <c r="S160" s="558"/>
      <c r="T160" s="625"/>
      <c r="U160" s="625"/>
      <c r="V160" s="549" t="str">
        <f ca="1">IFERROR(IF(K161&gt;15%,_xludf.Alert(),""),"")</f>
        <v/>
      </c>
      <c r="W160" s="558"/>
      <c r="X160" s="558"/>
      <c r="Y160" s="558"/>
      <c r="Z160" s="558"/>
      <c r="AA160" s="558"/>
      <c r="AB160" s="558"/>
      <c r="AC160" s="558"/>
      <c r="AD160" s="558"/>
      <c r="AE160" s="558"/>
      <c r="AF160" s="564"/>
      <c r="AN160" s="625"/>
      <c r="AO160" s="625"/>
      <c r="AP160" s="625"/>
      <c r="AQ160" s="625"/>
      <c r="AR160" s="625"/>
      <c r="AS160" s="625"/>
      <c r="AT160" s="625"/>
      <c r="AU160" s="625"/>
      <c r="AV160" s="625"/>
      <c r="AW160" s="625"/>
      <c r="AX160" s="625"/>
      <c r="AY160" s="625"/>
      <c r="AZ160" s="625"/>
      <c r="BA160" s="625"/>
      <c r="BC160" s="623"/>
      <c r="BE160" s="623"/>
    </row>
    <row r="161" spans="1:57" ht="15" thickBot="1">
      <c r="A161" s="601" t="s">
        <v>26</v>
      </c>
      <c r="B161" s="807"/>
      <c r="C161" s="807"/>
      <c r="D161" s="807"/>
      <c r="E161" s="551" t="e">
        <f ca="1">+V151-E160</f>
        <v>#NAME?</v>
      </c>
      <c r="F161" s="807"/>
      <c r="G161" s="807"/>
      <c r="H161" s="807"/>
      <c r="I161" s="807"/>
      <c r="J161" s="807"/>
      <c r="K161" s="554" t="e">
        <f t="shared" ca="1" si="77"/>
        <v>#NAME?</v>
      </c>
      <c r="L161" s="558"/>
      <c r="M161" s="1103" t="s">
        <v>12889</v>
      </c>
      <c r="N161" s="1104">
        <f ca="1">SUMIF(K13:K87,"&gt;5%",K13:K87)</f>
        <v>0</v>
      </c>
      <c r="O161" s="558"/>
      <c r="P161" s="558"/>
      <c r="Q161" s="558"/>
      <c r="R161" s="558"/>
      <c r="S161" s="558"/>
      <c r="T161" s="625"/>
      <c r="U161" s="625"/>
      <c r="V161" s="558"/>
      <c r="W161" s="558"/>
      <c r="X161" s="558"/>
      <c r="Y161" s="558"/>
      <c r="Z161" s="558"/>
      <c r="AA161" s="558"/>
      <c r="AB161" s="558"/>
      <c r="AC161" s="558"/>
      <c r="AD161" s="558"/>
      <c r="AE161" s="558"/>
      <c r="AF161" s="564"/>
      <c r="AN161" s="625"/>
      <c r="AO161" s="625"/>
      <c r="AP161" s="625"/>
      <c r="AQ161" s="625"/>
      <c r="AR161" s="625"/>
      <c r="AS161" s="625"/>
      <c r="AT161" s="625"/>
      <c r="AU161" s="625"/>
      <c r="AV161" s="625"/>
      <c r="AW161" s="625"/>
      <c r="AX161" s="625"/>
      <c r="AY161" s="625"/>
      <c r="AZ161" s="625"/>
      <c r="BA161" s="625"/>
      <c r="BC161" s="623"/>
      <c r="BE161" s="623"/>
    </row>
    <row r="162" spans="1:57" ht="15" thickBot="1">
      <c r="A162" s="578"/>
      <c r="B162" s="579"/>
      <c r="C162" s="579"/>
      <c r="D162" s="579"/>
      <c r="E162" s="550" t="e">
        <f ca="1">SUM(E157:E161)</f>
        <v>#NAME?</v>
      </c>
      <c r="F162" s="579"/>
      <c r="G162" s="579"/>
      <c r="H162" s="579"/>
      <c r="I162" s="579"/>
      <c r="J162" s="579"/>
      <c r="K162" s="553" t="e">
        <f t="shared" ca="1" si="77"/>
        <v>#NAME?</v>
      </c>
      <c r="L162" s="558"/>
      <c r="M162" s="1103" t="s">
        <v>12891</v>
      </c>
      <c r="N162" s="1112">
        <f ca="1">COUNTIF(K13:K64,"&gt;9.8%")</f>
        <v>0</v>
      </c>
      <c r="O162" s="558"/>
      <c r="P162" s="558"/>
      <c r="Q162" s="558"/>
      <c r="R162" s="558"/>
      <c r="S162" s="558"/>
      <c r="T162" s="625"/>
      <c r="U162" s="625"/>
      <c r="V162" s="558"/>
      <c r="W162" s="558"/>
      <c r="X162" s="558"/>
      <c r="Y162" s="558"/>
      <c r="Z162" s="558"/>
      <c r="AA162" s="558"/>
      <c r="AB162" s="558"/>
      <c r="AC162" s="558"/>
      <c r="AD162" s="558"/>
      <c r="AE162" s="558"/>
      <c r="AF162" s="564"/>
      <c r="AN162" s="625"/>
      <c r="AO162" s="625"/>
      <c r="AP162" s="625"/>
      <c r="AQ162" s="625"/>
      <c r="AR162" s="625"/>
      <c r="AS162" s="625"/>
      <c r="AT162" s="625"/>
      <c r="AU162" s="625"/>
      <c r="AV162" s="625"/>
      <c r="AW162" s="625"/>
      <c r="AX162" s="625"/>
      <c r="AY162" s="625"/>
      <c r="AZ162" s="625"/>
      <c r="BA162" s="625"/>
      <c r="BC162" s="623"/>
      <c r="BE162" s="623"/>
    </row>
    <row r="163" spans="1:57" ht="16.75" customHeight="1">
      <c r="A163" s="564"/>
      <c r="B163" s="558"/>
      <c r="C163" s="558"/>
      <c r="D163"/>
      <c r="E163"/>
      <c r="F163" s="558"/>
      <c r="G163" s="558"/>
      <c r="H163" s="558"/>
      <c r="I163" s="558"/>
      <c r="J163" s="558"/>
      <c r="K163" s="558"/>
      <c r="L163" s="558"/>
      <c r="M163" s="1118" t="s">
        <v>12895</v>
      </c>
      <c r="N163" s="1119">
        <f ca="1">COUNTIF(Z13:Z77,0)</f>
        <v>0</v>
      </c>
      <c r="O163" s="558"/>
      <c r="P163" s="558"/>
      <c r="Q163" s="558"/>
      <c r="R163" s="558"/>
      <c r="S163" s="558"/>
      <c r="T163" s="625"/>
      <c r="U163" s="625"/>
      <c r="V163" s="558"/>
      <c r="W163" s="558"/>
      <c r="X163" s="558"/>
      <c r="Y163" s="558"/>
      <c r="Z163" s="558"/>
      <c r="AA163" s="558"/>
      <c r="AB163" s="558"/>
      <c r="AC163" s="558"/>
      <c r="AD163" s="558"/>
      <c r="AE163" s="558"/>
      <c r="AF163" s="564"/>
      <c r="AI163" s="623"/>
      <c r="AN163" s="625"/>
      <c r="AO163" s="625"/>
      <c r="AP163" s="625"/>
      <c r="AQ163" s="625"/>
      <c r="AR163" s="625"/>
      <c r="AS163" s="625"/>
      <c r="AT163" s="625"/>
      <c r="AU163" s="625"/>
      <c r="AV163" s="625"/>
      <c r="AW163" s="625"/>
      <c r="AX163" s="625"/>
      <c r="AY163" s="625"/>
      <c r="AZ163" s="625"/>
      <c r="BA163" s="625"/>
      <c r="BC163" s="623"/>
      <c r="BE163" s="623"/>
    </row>
    <row r="164" spans="1:57">
      <c r="A164" s="564"/>
      <c r="B164" s="558"/>
      <c r="C164" s="558"/>
      <c r="D164"/>
      <c r="E164" s="410"/>
      <c r="F164" s="558"/>
      <c r="G164" s="558"/>
      <c r="H164" s="558"/>
      <c r="I164" s="558"/>
      <c r="J164" s="558"/>
      <c r="K164" s="558"/>
      <c r="L164" s="558"/>
      <c r="M164" s="1118" t="s">
        <v>12948</v>
      </c>
      <c r="N164" s="1119">
        <f ca="1">COUNTIF(Z13:Z77,#VALUE!)</f>
        <v>0</v>
      </c>
      <c r="O164" s="558"/>
      <c r="P164" s="558"/>
      <c r="Q164" s="558"/>
      <c r="R164" s="558"/>
      <c r="S164" s="558"/>
      <c r="T164" s="625"/>
      <c r="U164" s="625"/>
      <c r="V164" s="558"/>
      <c r="W164" s="558"/>
      <c r="X164" s="558"/>
      <c r="Y164" s="558"/>
      <c r="Z164" s="558"/>
      <c r="AA164" s="558"/>
      <c r="AB164" s="558"/>
      <c r="AC164" s="558"/>
      <c r="AD164" s="558"/>
      <c r="AE164" s="558"/>
      <c r="AF164" s="564"/>
      <c r="AI164" s="623"/>
      <c r="AN164" s="625"/>
      <c r="AO164" s="625"/>
      <c r="AP164" s="625"/>
      <c r="AQ164" s="625"/>
      <c r="AR164" s="625"/>
      <c r="AS164" s="625"/>
      <c r="AT164" s="625"/>
      <c r="AU164" s="625"/>
      <c r="AV164" s="625"/>
      <c r="AW164" s="625"/>
      <c r="AX164" s="625"/>
      <c r="AY164" s="625"/>
      <c r="AZ164" s="625"/>
      <c r="BA164" s="625"/>
      <c r="BC164" s="623"/>
      <c r="BE164" s="623"/>
    </row>
    <row r="165" spans="1:57">
      <c r="A165" s="564"/>
      <c r="B165" s="558"/>
      <c r="C165" s="558"/>
      <c r="D165" s="558"/>
      <c r="E165" s="742"/>
      <c r="F165" s="558"/>
      <c r="G165" s="558"/>
      <c r="H165" s="558"/>
      <c r="I165" s="558"/>
      <c r="J165" s="742"/>
      <c r="K165" s="558"/>
      <c r="L165" s="558"/>
      <c r="M165" s="558"/>
      <c r="N165" s="558"/>
      <c r="O165" s="558"/>
      <c r="P165" s="558"/>
      <c r="Q165" s="558"/>
      <c r="R165" s="558"/>
      <c r="S165" s="558"/>
      <c r="T165" s="625"/>
      <c r="U165" s="625"/>
      <c r="V165" s="558"/>
      <c r="W165" s="558"/>
      <c r="X165" s="558"/>
      <c r="Y165" s="558"/>
      <c r="Z165" s="558"/>
      <c r="AA165" s="558"/>
      <c r="AB165" s="558"/>
      <c r="AC165" s="558"/>
      <c r="AD165" s="568"/>
      <c r="AE165" s="558"/>
      <c r="AF165" s="564"/>
      <c r="AI165" s="623"/>
      <c r="AN165" s="625"/>
      <c r="AO165" s="625"/>
      <c r="AP165" s="625"/>
      <c r="AQ165" s="625"/>
      <c r="AR165" s="625"/>
      <c r="AS165" s="625"/>
      <c r="AT165" s="625"/>
      <c r="AU165" s="625"/>
      <c r="AV165" s="625"/>
      <c r="AW165" s="625"/>
      <c r="AX165" s="625"/>
      <c r="AY165" s="625"/>
      <c r="AZ165" s="625"/>
      <c r="BA165" s="625"/>
      <c r="BC165" s="623"/>
      <c r="BE165" s="623"/>
    </row>
    <row r="166" spans="1:57">
      <c r="A166" s="564"/>
      <c r="B166" s="558"/>
      <c r="C166" s="558"/>
      <c r="D166" s="558"/>
      <c r="E166" s="720"/>
      <c r="F166" s="558"/>
      <c r="G166" s="558"/>
      <c r="H166" s="558"/>
      <c r="I166" s="558"/>
      <c r="J166" s="742"/>
      <c r="K166" s="558"/>
      <c r="L166" s="558"/>
      <c r="M166" s="558"/>
      <c r="N166" s="558"/>
      <c r="O166" s="558"/>
      <c r="P166" s="558"/>
      <c r="Q166" s="558"/>
      <c r="R166" s="558"/>
      <c r="S166" s="558"/>
      <c r="T166" s="625"/>
      <c r="U166" s="625"/>
      <c r="V166" s="558"/>
      <c r="W166" s="558"/>
      <c r="X166" s="558"/>
      <c r="Y166" s="558"/>
      <c r="Z166" s="558"/>
      <c r="AA166" s="558"/>
      <c r="AB166" s="558"/>
      <c r="AC166" s="558"/>
      <c r="AD166" s="558"/>
      <c r="AE166" s="558"/>
      <c r="AF166" s="564"/>
      <c r="AI166" s="623"/>
      <c r="AN166" s="625"/>
      <c r="AO166" s="625"/>
      <c r="AP166" s="625"/>
      <c r="AQ166" s="625"/>
      <c r="AR166" s="625"/>
      <c r="AS166" s="625"/>
      <c r="AT166" s="625"/>
      <c r="AU166" s="625"/>
      <c r="AV166" s="625"/>
      <c r="AW166" s="625"/>
      <c r="AX166" s="625"/>
      <c r="AY166" s="625"/>
      <c r="AZ166" s="625"/>
      <c r="BA166" s="625"/>
      <c r="BC166" s="623"/>
      <c r="BE166" s="623"/>
    </row>
    <row r="167" spans="1:57">
      <c r="A167" s="564"/>
      <c r="B167" s="558"/>
      <c r="C167" s="558"/>
      <c r="D167" s="558"/>
      <c r="E167" s="556" t="str">
        <f t="shared" ref="E167:E220" si="78">IF(B167&gt;7%,"Alert()","")</f>
        <v/>
      </c>
      <c r="F167" s="558"/>
      <c r="G167" s="558"/>
      <c r="H167" s="558"/>
      <c r="I167" s="558"/>
      <c r="J167" s="558"/>
      <c r="K167" s="558"/>
      <c r="L167" s="558"/>
      <c r="M167" s="558"/>
      <c r="N167" s="742"/>
      <c r="O167" s="558"/>
      <c r="P167" s="558"/>
      <c r="Q167" s="558"/>
      <c r="R167" s="558"/>
      <c r="S167" s="558"/>
      <c r="T167" s="625"/>
      <c r="U167" s="625"/>
      <c r="V167" s="558"/>
      <c r="W167" s="558"/>
      <c r="X167" s="558"/>
      <c r="Y167" s="558"/>
      <c r="Z167" s="558"/>
      <c r="AA167" s="558"/>
      <c r="AB167" s="558"/>
      <c r="AC167" s="558"/>
      <c r="AD167" s="558"/>
      <c r="AE167" s="558"/>
      <c r="AF167" s="564"/>
      <c r="AI167" s="623"/>
      <c r="AK167" s="555">
        <f ca="1">SUMIF(AA:AA,"&gt;" &amp;5%,AA:AA)</f>
        <v>44893</v>
      </c>
      <c r="AN167" s="625"/>
      <c r="AO167" s="625"/>
      <c r="AP167" s="625"/>
      <c r="AQ167" s="625"/>
      <c r="AR167" s="625"/>
      <c r="AS167" s="625"/>
      <c r="AT167" s="625"/>
      <c r="AU167" s="625"/>
      <c r="AV167" s="625"/>
      <c r="AW167" s="625"/>
      <c r="AX167" s="625"/>
      <c r="AY167" s="625"/>
      <c r="AZ167" s="625"/>
      <c r="BA167" s="625"/>
      <c r="BC167" s="623"/>
      <c r="BE167" s="623"/>
    </row>
    <row r="168" spans="1:57">
      <c r="A168" s="602" t="s">
        <v>131</v>
      </c>
      <c r="B168" s="558"/>
      <c r="C168" s="558"/>
      <c r="D168" s="558"/>
      <c r="E168" s="556" t="str">
        <f t="shared" si="78"/>
        <v/>
      </c>
      <c r="F168" s="558"/>
      <c r="G168" s="558"/>
      <c r="H168" s="558"/>
      <c r="I168" s="558"/>
      <c r="J168" s="558"/>
      <c r="K168" s="558"/>
      <c r="L168" s="558"/>
      <c r="M168" s="558"/>
      <c r="N168" s="558"/>
      <c r="O168" s="558"/>
      <c r="P168" s="558"/>
      <c r="Q168" s="558"/>
      <c r="R168" s="558"/>
      <c r="S168" s="558"/>
      <c r="T168" s="625"/>
      <c r="U168" s="625"/>
      <c r="V168" s="558"/>
      <c r="W168" s="558"/>
      <c r="X168" s="558"/>
      <c r="Y168" s="558"/>
      <c r="Z168" s="558"/>
      <c r="AA168" s="558"/>
      <c r="AB168" s="558"/>
      <c r="AC168" s="558"/>
      <c r="AD168" s="558"/>
      <c r="AE168" s="558"/>
      <c r="AF168" s="564"/>
      <c r="AI168" s="623"/>
      <c r="AN168" s="625"/>
      <c r="AO168" s="625"/>
      <c r="AP168" s="625"/>
      <c r="AQ168" s="625"/>
      <c r="AR168" s="625"/>
      <c r="AS168" s="625"/>
      <c r="AT168" s="625"/>
      <c r="AU168" s="625"/>
      <c r="AV168" s="625"/>
      <c r="AW168" s="625"/>
      <c r="AX168" s="625"/>
      <c r="AY168" s="625"/>
      <c r="AZ168" s="625"/>
      <c r="BA168" s="625"/>
      <c r="BC168" s="623"/>
      <c r="BE168" s="623"/>
    </row>
    <row r="169" spans="1:57">
      <c r="A169" s="564"/>
      <c r="B169" s="558"/>
      <c r="C169" s="558"/>
      <c r="D169" s="558"/>
      <c r="E169" s="556" t="str">
        <f t="shared" si="78"/>
        <v/>
      </c>
      <c r="F169" s="558"/>
      <c r="G169" s="558"/>
      <c r="H169" s="558"/>
      <c r="I169" s="558"/>
      <c r="J169" s="558"/>
      <c r="K169" s="558"/>
      <c r="L169" s="558"/>
      <c r="M169" s="558"/>
      <c r="N169" s="558"/>
      <c r="O169" s="558"/>
      <c r="P169" s="558"/>
      <c r="Q169" s="558"/>
      <c r="R169" s="558"/>
      <c r="S169" s="558"/>
      <c r="T169" s="625"/>
      <c r="U169" s="625"/>
      <c r="V169" s="558"/>
      <c r="W169" s="558"/>
      <c r="X169" s="558"/>
      <c r="Y169" s="558"/>
      <c r="Z169" s="558"/>
      <c r="AA169" s="558"/>
      <c r="AB169" s="558"/>
      <c r="AC169" s="558"/>
      <c r="AD169" s="558"/>
      <c r="AE169" s="558"/>
      <c r="AF169" s="564"/>
      <c r="AI169" s="623"/>
      <c r="AN169" s="625"/>
      <c r="AO169" s="625"/>
      <c r="AP169" s="625"/>
      <c r="AQ169" s="625"/>
      <c r="AR169" s="625"/>
      <c r="AS169" s="625"/>
      <c r="AT169" s="625"/>
      <c r="AU169" s="625"/>
      <c r="AV169" s="625"/>
      <c r="AW169" s="625"/>
      <c r="AX169" s="625"/>
      <c r="AY169" s="625"/>
      <c r="AZ169" s="625"/>
      <c r="BA169" s="625"/>
      <c r="BC169" s="623"/>
      <c r="BE169" s="623"/>
    </row>
    <row r="170" spans="1:57">
      <c r="A170" s="605" t="s">
        <v>1433</v>
      </c>
      <c r="B170" s="567" t="s">
        <v>140</v>
      </c>
      <c r="C170" s="193"/>
      <c r="D170" s="558"/>
      <c r="E170" s="556"/>
      <c r="F170" s="558"/>
      <c r="G170" s="558"/>
      <c r="H170" s="558"/>
      <c r="I170" s="558"/>
      <c r="J170" s="558"/>
      <c r="K170" s="558"/>
      <c r="L170" s="558"/>
      <c r="M170" s="558"/>
      <c r="N170" s="558"/>
      <c r="O170" s="558"/>
      <c r="P170" s="558"/>
      <c r="Q170" s="558"/>
      <c r="R170" s="558"/>
      <c r="S170" s="558"/>
      <c r="T170" s="625"/>
      <c r="U170" s="625"/>
      <c r="V170" s="558"/>
      <c r="W170" s="558"/>
      <c r="X170" s="558"/>
      <c r="Y170" s="558"/>
      <c r="Z170" s="558"/>
      <c r="AA170" s="558"/>
      <c r="AB170" s="558"/>
      <c r="AC170" s="558"/>
      <c r="AD170" s="558"/>
      <c r="AE170" s="558"/>
      <c r="AF170" s="564"/>
      <c r="AI170" s="623"/>
      <c r="AN170" s="625"/>
      <c r="AO170" s="625"/>
      <c r="AP170" s="625"/>
      <c r="AQ170" s="625"/>
      <c r="AR170" s="625"/>
      <c r="AS170" s="625"/>
      <c r="AT170" s="625"/>
      <c r="AU170" s="625"/>
      <c r="AV170" s="625"/>
      <c r="AW170" s="625"/>
      <c r="AX170" s="625"/>
      <c r="AY170" s="625"/>
      <c r="AZ170" s="625"/>
      <c r="BA170" s="625"/>
      <c r="BC170" s="623"/>
      <c r="BE170" s="623"/>
    </row>
    <row r="171" spans="1:57">
      <c r="A171" s="606" t="s">
        <v>1080</v>
      </c>
      <c r="B171" s="603">
        <v>7.4014284164528821E-2</v>
      </c>
      <c r="C171" s="193"/>
      <c r="D171" s="558"/>
      <c r="E171" s="556" t="str">
        <f t="shared" si="78"/>
        <v>Alert()</v>
      </c>
      <c r="F171" s="558"/>
      <c r="G171" s="558"/>
      <c r="H171" s="558"/>
      <c r="I171" s="558"/>
      <c r="J171" s="558"/>
      <c r="K171" s="558"/>
      <c r="L171" s="558"/>
      <c r="M171" s="558"/>
      <c r="N171" s="558"/>
      <c r="O171" s="558"/>
      <c r="P171" s="558"/>
      <c r="Q171" s="558"/>
      <c r="R171" s="558"/>
      <c r="S171" s="558"/>
      <c r="T171" s="625"/>
      <c r="U171" s="625"/>
      <c r="V171" s="558"/>
      <c r="W171" s="558"/>
      <c r="X171" s="558"/>
      <c r="Y171" s="558"/>
      <c r="Z171" s="558"/>
      <c r="AA171" s="558"/>
      <c r="AB171" s="558"/>
      <c r="AC171" s="558"/>
      <c r="AD171" s="558"/>
      <c r="AE171" s="558"/>
      <c r="AF171" s="564"/>
      <c r="AI171" s="623"/>
      <c r="AN171" s="625"/>
      <c r="AO171" s="625"/>
      <c r="AP171" s="625"/>
      <c r="AQ171" s="625"/>
      <c r="AR171" s="625"/>
      <c r="AS171" s="625"/>
      <c r="AT171" s="625"/>
      <c r="AU171" s="625"/>
      <c r="AV171" s="625"/>
      <c r="AW171" s="625"/>
      <c r="AX171" s="625"/>
      <c r="AY171" s="625"/>
      <c r="AZ171" s="625"/>
      <c r="BA171" s="625"/>
      <c r="BC171" s="623"/>
      <c r="BE171" s="623"/>
    </row>
    <row r="172" spans="1:57">
      <c r="A172" s="607" t="s">
        <v>130</v>
      </c>
      <c r="B172" s="604">
        <v>2.250308622612638E-2</v>
      </c>
      <c r="C172" s="193"/>
      <c r="D172" s="558"/>
      <c r="E172" s="556" t="str">
        <f t="shared" si="78"/>
        <v/>
      </c>
      <c r="F172" s="558"/>
      <c r="G172" s="558"/>
      <c r="H172" s="558"/>
      <c r="I172" s="558"/>
      <c r="J172" s="558"/>
      <c r="K172" s="558"/>
      <c r="L172" s="558"/>
      <c r="M172" s="558"/>
      <c r="N172" s="558"/>
      <c r="O172" s="558"/>
      <c r="P172" s="558"/>
      <c r="Q172" s="558"/>
      <c r="R172" s="558"/>
      <c r="S172" s="558"/>
      <c r="T172" s="625"/>
      <c r="U172" s="625"/>
      <c r="V172" s="558"/>
      <c r="W172" s="558"/>
      <c r="X172" s="558"/>
      <c r="Y172" s="558"/>
      <c r="Z172" s="558"/>
      <c r="AA172" s="558"/>
      <c r="AB172" s="558"/>
      <c r="AC172" s="558"/>
      <c r="AD172" s="558"/>
      <c r="AE172" s="558"/>
      <c r="AF172" s="564"/>
      <c r="AI172" s="623"/>
      <c r="AN172" s="625"/>
      <c r="AO172" s="625"/>
      <c r="AP172" s="625"/>
      <c r="AQ172" s="625"/>
      <c r="AR172" s="625"/>
      <c r="AS172" s="625"/>
      <c r="AT172" s="625"/>
      <c r="AU172" s="625"/>
      <c r="AV172" s="625"/>
      <c r="AW172" s="625"/>
      <c r="AX172" s="625"/>
      <c r="AY172" s="625"/>
      <c r="AZ172" s="625"/>
      <c r="BA172" s="625"/>
      <c r="BC172" s="623"/>
      <c r="BE172" s="623"/>
    </row>
    <row r="173" spans="1:57">
      <c r="A173" s="607" t="s">
        <v>1082</v>
      </c>
      <c r="B173" s="604">
        <v>7.7398345562257869E-3</v>
      </c>
      <c r="C173" s="193"/>
      <c r="D173" s="558"/>
      <c r="E173" s="556" t="str">
        <f t="shared" si="78"/>
        <v/>
      </c>
      <c r="F173" s="558"/>
      <c r="G173" s="558"/>
      <c r="H173" s="558"/>
      <c r="I173" s="558"/>
      <c r="J173" s="558"/>
      <c r="K173" s="558"/>
      <c r="L173" s="558"/>
      <c r="M173" s="558"/>
      <c r="N173" s="558"/>
      <c r="O173" s="558"/>
      <c r="P173" s="558"/>
      <c r="Q173" s="558"/>
      <c r="R173" s="558"/>
      <c r="S173" s="558"/>
      <c r="T173" s="625"/>
      <c r="U173" s="625"/>
      <c r="V173" s="558"/>
      <c r="W173" s="558"/>
      <c r="X173" s="558"/>
      <c r="Y173" s="558"/>
      <c r="Z173" s="558"/>
      <c r="AA173" s="558"/>
      <c r="AB173" s="558"/>
      <c r="AC173" s="558"/>
      <c r="AD173" s="558"/>
      <c r="AE173" s="558"/>
      <c r="AF173" s="564"/>
      <c r="AI173" s="623"/>
      <c r="AN173" s="625"/>
      <c r="AO173" s="625"/>
      <c r="AP173" s="625"/>
      <c r="AQ173" s="625"/>
      <c r="AR173" s="625"/>
      <c r="AS173" s="625"/>
      <c r="AT173" s="625"/>
      <c r="AU173" s="625"/>
      <c r="AV173" s="625"/>
      <c r="AW173" s="625"/>
      <c r="AX173" s="625"/>
      <c r="AY173" s="625"/>
      <c r="AZ173" s="625"/>
      <c r="BA173" s="625"/>
      <c r="BC173" s="623"/>
      <c r="BE173" s="623"/>
    </row>
    <row r="174" spans="1:57">
      <c r="A174" s="608">
        <v>0</v>
      </c>
      <c r="B174" s="604">
        <v>0</v>
      </c>
      <c r="C174" s="193"/>
      <c r="D174" s="558"/>
      <c r="E174" s="556" t="str">
        <f t="shared" si="78"/>
        <v/>
      </c>
      <c r="F174" s="558"/>
      <c r="G174" s="558"/>
      <c r="H174" s="558"/>
      <c r="I174" s="558"/>
      <c r="J174" s="558"/>
      <c r="K174" s="558"/>
      <c r="L174" s="558"/>
      <c r="M174" s="558"/>
      <c r="N174" s="558"/>
      <c r="O174" s="558"/>
      <c r="P174" s="558"/>
      <c r="Q174" s="558"/>
      <c r="R174" s="558"/>
      <c r="S174" s="558"/>
      <c r="T174" s="625"/>
      <c r="U174" s="625"/>
      <c r="V174" s="558"/>
      <c r="W174" s="558"/>
      <c r="X174" s="558"/>
      <c r="Y174" s="558"/>
      <c r="Z174" s="558"/>
      <c r="AA174" s="558"/>
      <c r="AB174" s="558"/>
      <c r="AC174" s="558"/>
      <c r="AD174" s="558"/>
      <c r="AE174" s="558"/>
      <c r="AF174" s="564"/>
      <c r="AI174" s="623"/>
      <c r="AN174" s="625"/>
      <c r="AO174" s="625"/>
      <c r="AP174" s="625"/>
      <c r="AQ174" s="625"/>
      <c r="AR174" s="625"/>
      <c r="AS174" s="625"/>
      <c r="AT174" s="625"/>
      <c r="AU174" s="625"/>
      <c r="AV174" s="625"/>
      <c r="AW174" s="625"/>
      <c r="AX174" s="625"/>
      <c r="AY174" s="625"/>
      <c r="AZ174" s="625"/>
      <c r="BA174" s="625"/>
      <c r="BC174" s="623"/>
      <c r="BE174" s="623"/>
    </row>
    <row r="175" spans="1:57">
      <c r="A175" s="607" t="s">
        <v>12669</v>
      </c>
      <c r="B175" s="604"/>
      <c r="C175" s="193"/>
      <c r="D175" s="558"/>
      <c r="E175" s="556" t="str">
        <f t="shared" si="78"/>
        <v/>
      </c>
      <c r="F175" s="558"/>
      <c r="G175" s="558"/>
      <c r="H175" s="558"/>
      <c r="I175" s="558"/>
      <c r="J175" s="558"/>
      <c r="K175" s="558"/>
      <c r="L175" s="558"/>
      <c r="M175" s="558"/>
      <c r="N175" s="558"/>
      <c r="O175" s="558"/>
      <c r="P175" s="558"/>
      <c r="Q175" s="558"/>
      <c r="R175" s="558"/>
      <c r="S175" s="558"/>
      <c r="T175" s="625"/>
      <c r="U175" s="625"/>
      <c r="V175" s="558"/>
      <c r="W175" s="558"/>
      <c r="X175" s="558"/>
      <c r="Y175" s="558"/>
      <c r="Z175" s="558"/>
      <c r="AA175" s="558"/>
      <c r="AB175" s="558"/>
      <c r="AC175" s="558"/>
      <c r="AD175" s="558"/>
      <c r="AE175" s="558"/>
      <c r="AF175" s="564"/>
      <c r="AI175" s="623"/>
      <c r="AN175" s="625"/>
      <c r="AO175" s="625"/>
      <c r="AP175" s="625"/>
      <c r="AQ175" s="625"/>
      <c r="AR175" s="625"/>
      <c r="AS175" s="625"/>
      <c r="AT175" s="625"/>
      <c r="AU175" s="625"/>
      <c r="AV175" s="625"/>
      <c r="AW175" s="625"/>
      <c r="AX175" s="625"/>
      <c r="AY175" s="625"/>
      <c r="AZ175" s="625"/>
      <c r="BA175" s="625"/>
      <c r="BC175" s="623"/>
      <c r="BE175" s="623"/>
    </row>
    <row r="176" spans="1:57">
      <c r="A176" s="607" t="s">
        <v>1060</v>
      </c>
      <c r="B176" s="604">
        <v>1.8125900860822674E-2</v>
      </c>
      <c r="C176" s="193"/>
      <c r="D176" s="558"/>
      <c r="E176" s="556" t="str">
        <f t="shared" si="78"/>
        <v/>
      </c>
      <c r="F176" s="558"/>
      <c r="G176" s="558"/>
      <c r="H176" s="558"/>
      <c r="I176" s="558"/>
      <c r="J176" s="558"/>
      <c r="K176" s="558"/>
      <c r="L176" s="558"/>
      <c r="M176" s="558"/>
      <c r="N176" s="558"/>
      <c r="O176" s="558"/>
      <c r="P176" s="558"/>
      <c r="Q176" s="558"/>
      <c r="R176" s="558"/>
      <c r="S176" s="558"/>
      <c r="T176" s="625"/>
      <c r="U176" s="625"/>
      <c r="V176" s="558"/>
      <c r="W176" s="558"/>
      <c r="X176" s="558"/>
      <c r="Y176" s="558"/>
      <c r="Z176" s="558"/>
      <c r="AA176" s="558"/>
      <c r="AB176" s="558"/>
      <c r="AC176" s="558"/>
      <c r="AD176" s="558"/>
      <c r="AE176" s="558"/>
      <c r="AF176" s="564"/>
      <c r="AI176" s="623"/>
      <c r="AN176" s="625"/>
      <c r="AO176" s="625"/>
      <c r="AP176" s="625"/>
      <c r="AQ176" s="625"/>
      <c r="AR176" s="625"/>
      <c r="AS176" s="625"/>
      <c r="AT176" s="625"/>
      <c r="AU176" s="625"/>
      <c r="AV176" s="625"/>
      <c r="AW176" s="625"/>
      <c r="AX176" s="625"/>
      <c r="AY176" s="625"/>
      <c r="AZ176" s="625"/>
      <c r="BA176" s="625"/>
      <c r="BC176" s="623"/>
      <c r="BE176" s="623"/>
    </row>
    <row r="177" spans="1:57">
      <c r="A177" s="607" t="s">
        <v>1064</v>
      </c>
      <c r="B177" s="604">
        <v>7.6998463227668564E-3</v>
      </c>
      <c r="C177" s="193"/>
      <c r="D177" s="558"/>
      <c r="E177" s="556" t="str">
        <f t="shared" si="78"/>
        <v/>
      </c>
      <c r="F177" s="558"/>
      <c r="G177" s="558"/>
      <c r="H177" s="558"/>
      <c r="I177" s="558"/>
      <c r="J177" s="558"/>
      <c r="K177" s="558"/>
      <c r="L177" s="558"/>
      <c r="M177" s="558"/>
      <c r="N177" s="558"/>
      <c r="O177" s="558"/>
      <c r="P177" s="558"/>
      <c r="Q177" s="558"/>
      <c r="R177" s="558"/>
      <c r="S177" s="558"/>
      <c r="T177" s="625"/>
      <c r="U177" s="625"/>
      <c r="V177" s="558"/>
      <c r="W177" s="558"/>
      <c r="X177" s="558"/>
      <c r="Y177" s="558"/>
      <c r="Z177" s="558"/>
      <c r="AA177" s="558"/>
      <c r="AB177" s="558"/>
      <c r="AC177" s="558"/>
      <c r="AD177" s="558"/>
      <c r="AE177" s="558"/>
      <c r="AF177" s="564"/>
      <c r="AI177" s="623"/>
      <c r="AN177" s="625"/>
      <c r="AO177" s="625"/>
      <c r="AP177" s="625"/>
      <c r="AQ177" s="625"/>
      <c r="AR177" s="625"/>
      <c r="AS177" s="625"/>
      <c r="AT177" s="625"/>
      <c r="AU177" s="625"/>
      <c r="AV177" s="625"/>
      <c r="AW177" s="625"/>
      <c r="AX177" s="625"/>
      <c r="AY177" s="625"/>
      <c r="AZ177" s="625"/>
      <c r="BA177" s="625"/>
      <c r="BC177" s="623"/>
      <c r="BE177" s="623"/>
    </row>
    <row r="178" spans="1:57">
      <c r="A178" s="607" t="s">
        <v>1083</v>
      </c>
      <c r="B178" s="604">
        <v>0</v>
      </c>
      <c r="C178" s="193"/>
      <c r="D178" s="558"/>
      <c r="E178" s="556" t="str">
        <f t="shared" si="78"/>
        <v/>
      </c>
      <c r="F178" s="558"/>
      <c r="G178" s="558"/>
      <c r="H178" s="558"/>
      <c r="I178" s="558"/>
      <c r="J178" s="558"/>
      <c r="K178" s="558"/>
      <c r="L178" s="558"/>
      <c r="M178" s="558"/>
      <c r="N178" s="558"/>
      <c r="O178" s="558"/>
      <c r="P178" s="558"/>
      <c r="Q178" s="558"/>
      <c r="R178" s="558"/>
      <c r="S178" s="558"/>
      <c r="T178" s="625"/>
      <c r="U178" s="625"/>
      <c r="V178" s="558"/>
      <c r="W178" s="558"/>
      <c r="X178" s="558"/>
      <c r="Y178" s="558"/>
      <c r="Z178" s="558"/>
      <c r="AA178" s="558"/>
      <c r="AB178" s="558"/>
      <c r="AC178" s="558"/>
      <c r="AD178" s="558"/>
      <c r="AE178" s="558"/>
      <c r="AF178" s="564"/>
      <c r="AI178" s="623"/>
      <c r="AN178" s="625"/>
      <c r="AO178" s="625"/>
      <c r="AP178" s="625"/>
      <c r="AQ178" s="625"/>
      <c r="AR178" s="625"/>
      <c r="AS178" s="625"/>
      <c r="AT178" s="625"/>
      <c r="AU178" s="625"/>
      <c r="AV178" s="625"/>
      <c r="AW178" s="625"/>
      <c r="AX178" s="625"/>
      <c r="AY178" s="625"/>
      <c r="AZ178" s="625"/>
      <c r="BA178" s="625"/>
      <c r="BC178" s="623"/>
      <c r="BE178" s="623"/>
    </row>
    <row r="179" spans="1:57">
      <c r="A179" s="607" t="s">
        <v>1085</v>
      </c>
      <c r="B179" s="604">
        <v>5.8505237398894488E-2</v>
      </c>
      <c r="C179" s="193"/>
      <c r="D179" s="558"/>
      <c r="E179" s="556" t="str">
        <f t="shared" si="78"/>
        <v/>
      </c>
      <c r="F179" s="558"/>
      <c r="G179" s="558"/>
      <c r="H179" s="558"/>
      <c r="I179" s="558"/>
      <c r="J179" s="558"/>
      <c r="K179" s="558"/>
      <c r="L179" s="558"/>
      <c r="M179" s="558"/>
      <c r="N179" s="558"/>
      <c r="O179" s="558"/>
      <c r="P179" s="558"/>
      <c r="Q179" s="558"/>
      <c r="R179" s="558"/>
      <c r="S179" s="558"/>
      <c r="T179" s="625"/>
      <c r="U179" s="625"/>
      <c r="V179" s="558"/>
      <c r="W179" s="558"/>
      <c r="X179" s="558"/>
      <c r="Y179" s="558"/>
      <c r="Z179" s="558"/>
      <c r="AA179" s="558"/>
      <c r="AB179" s="558"/>
      <c r="AC179" s="558"/>
      <c r="AD179" s="558"/>
      <c r="AE179" s="558"/>
      <c r="AF179" s="564"/>
      <c r="AI179" s="623"/>
      <c r="AN179" s="625"/>
      <c r="AO179" s="625"/>
      <c r="AP179" s="625"/>
      <c r="AQ179" s="625"/>
      <c r="AR179" s="625"/>
      <c r="AS179" s="625"/>
      <c r="AT179" s="625"/>
      <c r="AU179" s="625"/>
      <c r="AV179" s="625"/>
      <c r="AW179" s="625"/>
      <c r="AX179" s="625"/>
      <c r="AY179" s="625"/>
      <c r="AZ179" s="625"/>
      <c r="BA179" s="625"/>
      <c r="BC179" s="623"/>
      <c r="BE179" s="623"/>
    </row>
    <row r="180" spans="1:57">
      <c r="A180" s="607" t="s">
        <v>1087</v>
      </c>
      <c r="B180" s="604">
        <v>5.9497913107048935E-3</v>
      </c>
      <c r="C180" s="193"/>
      <c r="D180" s="558"/>
      <c r="E180" s="556" t="str">
        <f t="shared" si="78"/>
        <v/>
      </c>
      <c r="F180" s="558"/>
      <c r="G180" s="558"/>
      <c r="H180" s="558"/>
      <c r="I180" s="558"/>
      <c r="J180" s="558"/>
      <c r="K180" s="558"/>
      <c r="L180" s="558"/>
      <c r="M180" s="558"/>
      <c r="N180" s="558"/>
      <c r="O180" s="558"/>
      <c r="P180" s="558"/>
      <c r="Q180" s="558"/>
      <c r="R180" s="558"/>
      <c r="S180" s="558"/>
      <c r="T180" s="625"/>
      <c r="U180" s="625"/>
      <c r="V180" s="558"/>
      <c r="W180" s="558"/>
      <c r="X180" s="558"/>
      <c r="Y180" s="558"/>
      <c r="Z180" s="558"/>
      <c r="AA180" s="558"/>
      <c r="AB180" s="558"/>
      <c r="AC180" s="558"/>
      <c r="AD180" s="558"/>
      <c r="AE180" s="558"/>
      <c r="AF180" s="564"/>
      <c r="AI180" s="623"/>
      <c r="AN180" s="625"/>
      <c r="AO180" s="625"/>
      <c r="AP180" s="625"/>
      <c r="AQ180" s="625"/>
      <c r="AR180" s="625"/>
      <c r="AS180" s="625"/>
      <c r="AT180" s="625"/>
      <c r="AU180" s="625"/>
      <c r="AV180" s="625"/>
      <c r="AW180" s="625"/>
      <c r="AX180" s="625"/>
      <c r="AY180" s="625"/>
      <c r="AZ180" s="625"/>
      <c r="BA180" s="625"/>
      <c r="BC180" s="623"/>
      <c r="BE180" s="623"/>
    </row>
    <row r="181" spans="1:57">
      <c r="A181" s="607" t="s">
        <v>12607</v>
      </c>
      <c r="B181" s="604">
        <v>6.7900386996284576E-3</v>
      </c>
      <c r="C181" s="193"/>
      <c r="D181" s="558"/>
      <c r="E181" s="556" t="str">
        <f t="shared" si="78"/>
        <v/>
      </c>
      <c r="F181" s="558"/>
      <c r="G181" s="558"/>
      <c r="H181" s="558"/>
      <c r="I181" s="558"/>
      <c r="J181" s="558"/>
      <c r="K181" s="558"/>
      <c r="L181" s="558"/>
      <c r="M181" s="558"/>
      <c r="N181" s="558"/>
      <c r="O181" s="558"/>
      <c r="P181" s="558"/>
      <c r="Q181" s="558"/>
      <c r="R181" s="558"/>
      <c r="S181" s="558"/>
      <c r="T181" s="625"/>
      <c r="U181" s="625"/>
      <c r="V181" s="558"/>
      <c r="W181" s="558"/>
      <c r="X181" s="558"/>
      <c r="Y181" s="558"/>
      <c r="Z181" s="558"/>
      <c r="AA181" s="558"/>
      <c r="AB181" s="558"/>
      <c r="AC181" s="558"/>
      <c r="AD181" s="558"/>
      <c r="AE181" s="558"/>
      <c r="AF181" s="564"/>
      <c r="AI181" s="623"/>
      <c r="AN181" s="625"/>
      <c r="AO181" s="625"/>
      <c r="AP181" s="625"/>
      <c r="AQ181" s="625"/>
      <c r="AR181" s="625"/>
      <c r="AS181" s="625"/>
      <c r="AT181" s="625"/>
      <c r="AU181" s="625"/>
      <c r="AV181" s="625"/>
      <c r="AW181" s="625"/>
      <c r="AX181" s="625"/>
      <c r="AY181" s="625"/>
      <c r="AZ181" s="625"/>
      <c r="BA181" s="625"/>
      <c r="BC181" s="623"/>
      <c r="BE181" s="623"/>
    </row>
    <row r="182" spans="1:57">
      <c r="A182" s="606" t="s">
        <v>1088</v>
      </c>
      <c r="B182" s="603">
        <v>1.3956812177543233E-2</v>
      </c>
      <c r="C182" s="193"/>
      <c r="D182" s="558"/>
      <c r="E182" s="556" t="str">
        <f t="shared" si="78"/>
        <v/>
      </c>
      <c r="F182" s="558"/>
      <c r="G182" s="558"/>
      <c r="H182" s="558"/>
      <c r="I182" s="558"/>
      <c r="J182" s="558"/>
      <c r="K182" s="558"/>
      <c r="L182" s="558"/>
      <c r="M182" s="558"/>
      <c r="N182" s="558"/>
      <c r="O182" s="558"/>
      <c r="P182" s="558"/>
      <c r="Q182" s="558"/>
      <c r="R182" s="558"/>
      <c r="S182" s="558"/>
      <c r="T182" s="625"/>
      <c r="U182" s="625"/>
      <c r="V182" s="558"/>
      <c r="W182" s="558"/>
      <c r="X182" s="558"/>
      <c r="Y182" s="558"/>
      <c r="Z182" s="558"/>
      <c r="AA182" s="558"/>
      <c r="AB182" s="558"/>
      <c r="AC182" s="558"/>
      <c r="AD182" s="558"/>
      <c r="AE182" s="558"/>
      <c r="AF182" s="564"/>
      <c r="AI182" s="623"/>
      <c r="AN182" s="625"/>
      <c r="AO182" s="625"/>
      <c r="AP182" s="625"/>
      <c r="AQ182" s="625"/>
      <c r="AR182" s="625"/>
      <c r="AS182" s="625"/>
      <c r="AT182" s="625"/>
      <c r="AU182" s="625"/>
      <c r="AV182" s="625"/>
      <c r="AW182" s="625"/>
      <c r="AX182" s="625"/>
      <c r="AY182" s="625"/>
      <c r="AZ182" s="625"/>
      <c r="BA182" s="625"/>
      <c r="BC182" s="623"/>
      <c r="BE182" s="623"/>
    </row>
    <row r="183" spans="1:57">
      <c r="A183" s="607" t="s">
        <v>1090</v>
      </c>
      <c r="B183" s="604">
        <v>6.4971065689130025E-2</v>
      </c>
      <c r="C183" s="193"/>
      <c r="D183" s="558"/>
      <c r="E183" s="556" t="str">
        <f t="shared" si="78"/>
        <v/>
      </c>
      <c r="F183" s="558"/>
      <c r="G183" s="558"/>
      <c r="H183" s="558"/>
      <c r="I183" s="558"/>
      <c r="J183" s="558"/>
      <c r="K183" s="558"/>
      <c r="L183" s="558"/>
      <c r="M183" s="558"/>
      <c r="N183" s="558"/>
      <c r="O183" s="558"/>
      <c r="P183" s="558"/>
      <c r="Q183" s="558"/>
      <c r="R183" s="558"/>
      <c r="S183" s="558"/>
      <c r="T183" s="625"/>
      <c r="U183" s="625"/>
      <c r="V183" s="558"/>
      <c r="W183" s="558"/>
      <c r="X183" s="558"/>
      <c r="Y183" s="558"/>
      <c r="Z183" s="558"/>
      <c r="AA183" s="558"/>
      <c r="AB183" s="558"/>
      <c r="AC183" s="558"/>
      <c r="AD183" s="558"/>
      <c r="AE183" s="558"/>
      <c r="AF183" s="564"/>
      <c r="AI183" s="623"/>
      <c r="AN183" s="625"/>
      <c r="AO183" s="625"/>
      <c r="AP183" s="625"/>
      <c r="AQ183" s="625"/>
      <c r="AR183" s="625"/>
      <c r="AS183" s="625"/>
      <c r="AT183" s="625"/>
      <c r="AU183" s="625"/>
      <c r="AV183" s="625"/>
      <c r="AW183" s="625"/>
      <c r="AX183" s="625"/>
      <c r="AY183" s="625"/>
      <c r="AZ183" s="625"/>
      <c r="BA183" s="625"/>
      <c r="BC183" s="623"/>
      <c r="BE183" s="623"/>
    </row>
    <row r="184" spans="1:57">
      <c r="A184" s="607" t="s">
        <v>1091</v>
      </c>
      <c r="B184" s="604">
        <v>4.2796550315961815E-2</v>
      </c>
      <c r="C184" s="193"/>
      <c r="D184" s="558"/>
      <c r="E184" s="556" t="str">
        <f t="shared" si="78"/>
        <v/>
      </c>
      <c r="F184" s="558"/>
      <c r="G184" s="558"/>
      <c r="H184" s="558"/>
      <c r="I184" s="558"/>
      <c r="J184" s="558"/>
      <c r="K184" s="558"/>
      <c r="L184" s="558"/>
      <c r="M184" s="558"/>
      <c r="N184" s="558"/>
      <c r="O184" s="558"/>
      <c r="P184" s="558"/>
      <c r="Q184" s="558"/>
      <c r="R184" s="558"/>
      <c r="S184" s="558"/>
      <c r="T184" s="625"/>
      <c r="U184" s="625"/>
      <c r="V184" s="558"/>
      <c r="W184" s="558"/>
      <c r="X184" s="558"/>
      <c r="Y184" s="558"/>
      <c r="Z184" s="558"/>
      <c r="AA184" s="558"/>
      <c r="AB184" s="558"/>
      <c r="AC184" s="558"/>
      <c r="AD184" s="558"/>
      <c r="AE184" s="558"/>
      <c r="AF184" s="564"/>
      <c r="AI184" s="623"/>
      <c r="AN184" s="625"/>
      <c r="AO184" s="625"/>
      <c r="AP184" s="625"/>
      <c r="AQ184" s="625"/>
      <c r="AR184" s="625"/>
      <c r="AS184" s="625"/>
      <c r="AT184" s="625"/>
      <c r="AU184" s="625"/>
      <c r="AV184" s="625"/>
      <c r="AW184" s="625"/>
      <c r="AX184" s="625"/>
      <c r="AY184" s="625"/>
      <c r="AZ184" s="625"/>
      <c r="BA184" s="625"/>
      <c r="BC184" s="623"/>
      <c r="BE184" s="623"/>
    </row>
    <row r="185" spans="1:57">
      <c r="A185" s="607" t="s">
        <v>1092</v>
      </c>
      <c r="B185" s="604">
        <v>3.3343382675309861E-2</v>
      </c>
      <c r="C185" s="193"/>
      <c r="D185" s="558"/>
      <c r="E185" s="556" t="str">
        <f t="shared" si="78"/>
        <v/>
      </c>
      <c r="F185" s="558"/>
      <c r="G185" s="558"/>
      <c r="H185" s="558"/>
      <c r="I185" s="558"/>
      <c r="J185" s="558"/>
      <c r="K185" s="558"/>
      <c r="L185" s="558"/>
      <c r="M185" s="558"/>
      <c r="N185" s="558"/>
      <c r="O185" s="558"/>
      <c r="P185" s="558"/>
      <c r="Q185" s="558"/>
      <c r="R185" s="558"/>
      <c r="S185" s="558"/>
      <c r="T185" s="625"/>
      <c r="U185" s="625"/>
      <c r="V185" s="558"/>
      <c r="W185" s="558"/>
      <c r="X185" s="558"/>
      <c r="Y185" s="558"/>
      <c r="Z185" s="558"/>
      <c r="AA185" s="558"/>
      <c r="AB185" s="558"/>
      <c r="AC185" s="558"/>
      <c r="AD185" s="558"/>
      <c r="AE185" s="558"/>
      <c r="AF185" s="564"/>
      <c r="AI185" s="623"/>
      <c r="AN185" s="625"/>
      <c r="AO185" s="625"/>
      <c r="AP185" s="625"/>
      <c r="AQ185" s="625"/>
      <c r="AR185" s="625"/>
      <c r="AS185" s="625"/>
      <c r="AT185" s="625"/>
      <c r="AU185" s="625"/>
      <c r="AV185" s="625"/>
      <c r="AW185" s="625"/>
      <c r="AX185" s="625"/>
      <c r="AY185" s="625"/>
      <c r="AZ185" s="625"/>
      <c r="BA185" s="625"/>
      <c r="BC185" s="623"/>
      <c r="BE185" s="623"/>
    </row>
    <row r="186" spans="1:57">
      <c r="A186" s="607" t="s">
        <v>1624</v>
      </c>
      <c r="B186" s="604">
        <v>1.3159088627757904E-2</v>
      </c>
      <c r="C186" s="193"/>
      <c r="D186" s="558"/>
      <c r="E186" s="556" t="str">
        <f t="shared" si="78"/>
        <v/>
      </c>
      <c r="F186" s="558"/>
      <c r="G186" s="558"/>
      <c r="H186" s="558"/>
      <c r="I186" s="558"/>
      <c r="J186" s="558"/>
      <c r="K186" s="558"/>
      <c r="L186" s="558"/>
      <c r="M186" s="558"/>
      <c r="N186" s="558"/>
      <c r="O186" s="558"/>
      <c r="P186" s="558"/>
      <c r="Q186" s="558"/>
      <c r="R186" s="558"/>
      <c r="S186" s="558"/>
      <c r="T186" s="625"/>
      <c r="U186" s="625"/>
      <c r="V186" s="558"/>
      <c r="W186" s="558"/>
      <c r="X186" s="558"/>
      <c r="Y186" s="558"/>
      <c r="Z186" s="558"/>
      <c r="AA186" s="558"/>
      <c r="AB186" s="558"/>
      <c r="AC186" s="558"/>
      <c r="AD186" s="558"/>
      <c r="AE186" s="558"/>
      <c r="AF186" s="564"/>
      <c r="AI186" s="623"/>
      <c r="AN186" s="625"/>
      <c r="AO186" s="625"/>
      <c r="AP186" s="625"/>
      <c r="AQ186" s="625"/>
      <c r="AR186" s="625"/>
      <c r="AS186" s="625"/>
      <c r="AT186" s="625"/>
      <c r="AU186" s="625"/>
      <c r="AV186" s="625"/>
      <c r="AW186" s="625"/>
      <c r="AX186" s="625"/>
      <c r="AY186" s="625"/>
      <c r="AZ186" s="625"/>
      <c r="BA186" s="625"/>
      <c r="BC186" s="623"/>
      <c r="BE186" s="623"/>
    </row>
    <row r="187" spans="1:57">
      <c r="A187" s="607" t="s">
        <v>1231</v>
      </c>
      <c r="B187" s="604">
        <v>1.3993155711742812E-3</v>
      </c>
      <c r="C187" s="193"/>
      <c r="D187" s="558"/>
      <c r="E187" s="556" t="str">
        <f t="shared" si="78"/>
        <v/>
      </c>
      <c r="F187" s="558"/>
      <c r="G187" s="558"/>
      <c r="H187" s="558"/>
      <c r="I187" s="558"/>
      <c r="J187" s="558"/>
      <c r="K187" s="558"/>
      <c r="L187" s="558"/>
      <c r="M187" s="558"/>
      <c r="N187" s="558"/>
      <c r="O187" s="558"/>
      <c r="P187" s="558"/>
      <c r="Q187" s="558"/>
      <c r="R187" s="558"/>
      <c r="S187" s="558"/>
      <c r="T187" s="625"/>
      <c r="U187" s="625"/>
      <c r="V187" s="558"/>
      <c r="W187" s="558"/>
      <c r="X187" s="558"/>
      <c r="Y187" s="558"/>
      <c r="Z187" s="558"/>
      <c r="AA187" s="558"/>
      <c r="AB187" s="558"/>
      <c r="AC187" s="558"/>
      <c r="AD187" s="558"/>
      <c r="AE187" s="558"/>
      <c r="AF187" s="564"/>
      <c r="AI187" s="623"/>
      <c r="AN187" s="625"/>
      <c r="AO187" s="625"/>
      <c r="AP187" s="625"/>
      <c r="AQ187" s="625"/>
      <c r="AR187" s="625"/>
      <c r="AS187" s="625"/>
      <c r="AT187" s="625"/>
      <c r="AU187" s="625"/>
      <c r="AV187" s="625"/>
      <c r="AW187" s="625"/>
      <c r="AX187" s="625"/>
      <c r="AY187" s="625"/>
      <c r="AZ187" s="625"/>
      <c r="BA187" s="625"/>
      <c r="BC187" s="623"/>
      <c r="BE187" s="623"/>
    </row>
    <row r="188" spans="1:57">
      <c r="A188" s="607" t="s">
        <v>1103</v>
      </c>
      <c r="B188" s="604">
        <v>4.4008792986194298E-2</v>
      </c>
      <c r="C188" s="558"/>
      <c r="D188" s="558"/>
      <c r="E188" s="556" t="str">
        <f t="shared" si="78"/>
        <v/>
      </c>
      <c r="F188" s="558"/>
      <c r="G188" s="558"/>
      <c r="H188" s="558"/>
      <c r="I188" s="558"/>
      <c r="J188" s="558"/>
      <c r="K188" s="558"/>
      <c r="L188" s="558"/>
      <c r="M188" s="558"/>
      <c r="N188" s="558"/>
      <c r="O188" s="558"/>
      <c r="P188" s="558"/>
      <c r="Q188" s="558"/>
      <c r="R188" s="558"/>
      <c r="S188" s="558"/>
      <c r="T188" s="625"/>
      <c r="U188" s="625"/>
      <c r="V188" s="558"/>
      <c r="W188" s="558"/>
      <c r="X188" s="558"/>
      <c r="Y188" s="558"/>
      <c r="Z188" s="558"/>
      <c r="AA188" s="558"/>
      <c r="AB188" s="558"/>
      <c r="AC188" s="558"/>
      <c r="AD188" s="558"/>
      <c r="AE188" s="558"/>
      <c r="AF188" s="564"/>
      <c r="AI188" s="623"/>
      <c r="AN188" s="625"/>
      <c r="AO188" s="625"/>
      <c r="AP188" s="625"/>
      <c r="AQ188" s="625"/>
      <c r="AR188" s="625"/>
      <c r="AS188" s="625"/>
      <c r="AT188" s="625"/>
      <c r="AU188" s="625"/>
      <c r="AV188" s="625"/>
      <c r="AW188" s="625"/>
      <c r="AX188" s="625"/>
      <c r="AY188" s="625"/>
      <c r="AZ188" s="625"/>
      <c r="BA188" s="625"/>
      <c r="BC188" s="623"/>
      <c r="BE188" s="623"/>
    </row>
    <row r="189" spans="1:57">
      <c r="A189" s="607" t="s">
        <v>1102</v>
      </c>
      <c r="B189" s="604">
        <v>4.5943031429873132E-2</v>
      </c>
      <c r="C189" s="558"/>
      <c r="D189" s="558"/>
      <c r="E189" s="556" t="str">
        <f t="shared" si="78"/>
        <v/>
      </c>
      <c r="F189" s="558"/>
      <c r="G189" s="558"/>
      <c r="H189" s="558"/>
      <c r="I189" s="558"/>
      <c r="J189" s="558"/>
      <c r="K189" s="558"/>
      <c r="L189" s="558"/>
      <c r="M189" s="558"/>
      <c r="N189" s="558"/>
      <c r="O189" s="558"/>
      <c r="P189" s="558"/>
      <c r="Q189" s="558"/>
      <c r="R189" s="558"/>
      <c r="S189" s="558"/>
      <c r="T189" s="625"/>
      <c r="U189" s="625"/>
      <c r="V189" s="558"/>
      <c r="W189" s="558"/>
      <c r="X189" s="558"/>
      <c r="Y189" s="558"/>
      <c r="Z189" s="558"/>
      <c r="AA189" s="558"/>
      <c r="AB189" s="558"/>
      <c r="AC189" s="558"/>
      <c r="AD189" s="558"/>
      <c r="AE189" s="558"/>
      <c r="AF189" s="564"/>
      <c r="AI189" s="623"/>
      <c r="AN189" s="625"/>
      <c r="AO189" s="625"/>
      <c r="AP189" s="625"/>
      <c r="AQ189" s="625"/>
      <c r="AR189" s="625"/>
      <c r="AS189" s="625"/>
      <c r="AT189" s="625"/>
      <c r="AU189" s="625"/>
      <c r="AV189" s="625"/>
      <c r="AW189" s="625"/>
      <c r="AX189" s="625"/>
      <c r="AY189" s="625"/>
      <c r="AZ189" s="625"/>
      <c r="BA189" s="625"/>
      <c r="BC189" s="623"/>
      <c r="BE189" s="623"/>
    </row>
    <row r="190" spans="1:57">
      <c r="A190" s="607" t="s">
        <v>1619</v>
      </c>
      <c r="B190" s="604">
        <v>6.5243794801230284E-3</v>
      </c>
      <c r="C190" s="558"/>
      <c r="D190" s="558"/>
      <c r="E190" s="556" t="str">
        <f t="shared" si="78"/>
        <v/>
      </c>
      <c r="F190" s="558"/>
      <c r="G190" s="558"/>
      <c r="H190" s="558"/>
      <c r="I190" s="558"/>
      <c r="J190" s="558"/>
      <c r="K190" s="558"/>
      <c r="L190" s="558"/>
      <c r="M190" s="558"/>
      <c r="N190" s="558"/>
      <c r="O190" s="558"/>
      <c r="P190" s="558"/>
      <c r="Q190" s="558"/>
      <c r="R190" s="558"/>
      <c r="S190" s="558"/>
      <c r="T190" s="625"/>
      <c r="U190" s="625"/>
      <c r="V190" s="558"/>
      <c r="W190" s="558"/>
      <c r="X190" s="558"/>
      <c r="Y190" s="558"/>
      <c r="Z190" s="558"/>
      <c r="AA190" s="558"/>
      <c r="AB190" s="558"/>
      <c r="AC190" s="558"/>
      <c r="AD190" s="558"/>
      <c r="AE190" s="558"/>
      <c r="AF190" s="564"/>
      <c r="AI190" s="623"/>
      <c r="AN190" s="625"/>
      <c r="AO190" s="625"/>
      <c r="AP190" s="625"/>
      <c r="AQ190" s="625"/>
      <c r="AR190" s="625"/>
      <c r="AS190" s="625"/>
      <c r="AT190" s="625"/>
      <c r="AU190" s="625"/>
      <c r="AV190" s="625"/>
      <c r="AW190" s="625"/>
      <c r="AX190" s="625"/>
      <c r="AY190" s="625"/>
      <c r="AZ190" s="625"/>
      <c r="BA190" s="625"/>
      <c r="BC190" s="623"/>
      <c r="BE190" s="623"/>
    </row>
    <row r="191" spans="1:57">
      <c r="A191" s="607" t="s">
        <v>12608</v>
      </c>
      <c r="B191" s="604">
        <v>1.5411193415079974E-2</v>
      </c>
      <c r="C191" s="558"/>
      <c r="D191" s="558"/>
      <c r="E191" s="556" t="str">
        <f t="shared" si="78"/>
        <v/>
      </c>
      <c r="F191" s="558"/>
      <c r="G191" s="558"/>
      <c r="H191" s="558"/>
      <c r="I191" s="558"/>
      <c r="J191" s="558"/>
      <c r="K191" s="558"/>
      <c r="L191" s="558"/>
      <c r="M191" s="558"/>
      <c r="N191" s="558"/>
      <c r="O191" s="558"/>
      <c r="P191" s="558"/>
      <c r="Q191" s="558"/>
      <c r="R191" s="558"/>
      <c r="S191" s="558"/>
      <c r="T191" s="625"/>
      <c r="U191" s="625"/>
      <c r="V191" s="558"/>
      <c r="W191" s="558"/>
      <c r="X191" s="558"/>
      <c r="Y191" s="558"/>
      <c r="Z191" s="558"/>
      <c r="AA191" s="558"/>
      <c r="AB191" s="558"/>
      <c r="AC191" s="558"/>
      <c r="AD191" s="558"/>
      <c r="AE191" s="558"/>
      <c r="AF191" s="564"/>
      <c r="AI191" s="623"/>
      <c r="AN191" s="625"/>
      <c r="AO191" s="625"/>
      <c r="AP191" s="625"/>
      <c r="AQ191" s="625"/>
      <c r="AR191" s="625"/>
      <c r="AS191" s="625"/>
      <c r="AT191" s="625"/>
      <c r="AU191" s="625"/>
      <c r="AV191" s="625"/>
      <c r="AW191" s="625"/>
      <c r="AX191" s="625"/>
      <c r="AY191" s="625"/>
      <c r="AZ191" s="625"/>
      <c r="BA191" s="625"/>
      <c r="BC191" s="623"/>
      <c r="BE191" s="623"/>
    </row>
    <row r="192" spans="1:57">
      <c r="A192" s="607" t="s">
        <v>12610</v>
      </c>
      <c r="B192" s="604">
        <v>2.678913042309574E-2</v>
      </c>
      <c r="C192" s="558"/>
      <c r="D192" s="558"/>
      <c r="E192" s="556" t="str">
        <f t="shared" si="78"/>
        <v/>
      </c>
      <c r="F192" s="558"/>
      <c r="G192" s="558"/>
      <c r="H192" s="558"/>
      <c r="I192" s="558"/>
      <c r="J192" s="558"/>
      <c r="K192" s="558"/>
      <c r="L192" s="558"/>
      <c r="M192" s="558"/>
      <c r="N192" s="558"/>
      <c r="O192" s="558"/>
      <c r="P192" s="558"/>
      <c r="Q192" s="558"/>
      <c r="R192" s="558"/>
      <c r="S192" s="558"/>
      <c r="T192" s="625"/>
      <c r="U192" s="625"/>
      <c r="V192" s="558"/>
      <c r="W192" s="558"/>
      <c r="X192" s="558"/>
      <c r="Y192" s="558"/>
      <c r="Z192" s="558"/>
      <c r="AA192" s="558"/>
      <c r="AB192" s="558"/>
      <c r="AC192" s="558"/>
      <c r="AD192" s="558"/>
      <c r="AE192" s="558"/>
      <c r="AF192" s="564"/>
      <c r="AI192" s="623"/>
      <c r="AN192" s="625"/>
      <c r="AO192" s="625"/>
      <c r="AP192" s="625"/>
      <c r="AQ192" s="625"/>
      <c r="AR192" s="625"/>
      <c r="AS192" s="625"/>
      <c r="AT192" s="625"/>
      <c r="AU192" s="625"/>
      <c r="AV192" s="625"/>
      <c r="AW192" s="625"/>
      <c r="AX192" s="625"/>
      <c r="AY192" s="625"/>
      <c r="AZ192" s="625"/>
      <c r="BA192" s="625"/>
      <c r="BC192" s="623"/>
      <c r="BE192" s="623"/>
    </row>
    <row r="193" spans="1:57">
      <c r="A193" s="607" t="s">
        <v>12611</v>
      </c>
      <c r="B193" s="604">
        <v>6.1720892051470803E-3</v>
      </c>
      <c r="C193" s="558"/>
      <c r="D193" s="558"/>
      <c r="E193" s="556" t="str">
        <f t="shared" si="78"/>
        <v/>
      </c>
      <c r="F193" s="558"/>
      <c r="G193" s="558"/>
      <c r="H193" s="558"/>
      <c r="I193" s="558"/>
      <c r="J193" s="558"/>
      <c r="K193" s="558"/>
      <c r="L193" s="558"/>
      <c r="M193" s="558"/>
      <c r="N193" s="558"/>
      <c r="O193" s="558"/>
      <c r="P193" s="558"/>
      <c r="Q193" s="558"/>
      <c r="R193" s="558"/>
      <c r="S193" s="558"/>
      <c r="T193" s="625"/>
      <c r="U193" s="625"/>
      <c r="V193" s="558"/>
      <c r="W193" s="558"/>
      <c r="X193" s="558"/>
      <c r="Y193" s="558"/>
      <c r="Z193" s="558"/>
      <c r="AA193" s="558"/>
      <c r="AB193" s="558"/>
      <c r="AC193" s="558"/>
      <c r="AD193" s="558"/>
      <c r="AE193" s="558"/>
      <c r="AF193" s="564"/>
      <c r="AI193" s="623"/>
      <c r="AN193" s="625"/>
      <c r="AO193" s="625"/>
      <c r="AP193" s="625"/>
      <c r="AQ193" s="625"/>
      <c r="AR193" s="625"/>
      <c r="AS193" s="625"/>
      <c r="AT193" s="625"/>
      <c r="AU193" s="625"/>
      <c r="AV193" s="625"/>
      <c r="AW193" s="625"/>
      <c r="AX193" s="625"/>
      <c r="AY193" s="625"/>
      <c r="AZ193" s="625"/>
      <c r="BA193" s="625"/>
      <c r="BC193" s="623"/>
      <c r="BE193" s="623"/>
    </row>
    <row r="194" spans="1:57">
      <c r="A194" s="607" t="s">
        <v>12612</v>
      </c>
      <c r="B194" s="604">
        <v>8.5671168885106935E-3</v>
      </c>
      <c r="C194" s="558"/>
      <c r="D194" s="558"/>
      <c r="E194" s="556" t="str">
        <f t="shared" si="78"/>
        <v/>
      </c>
      <c r="F194" s="558"/>
      <c r="G194" s="558"/>
      <c r="H194" s="558"/>
      <c r="I194" s="558"/>
      <c r="J194" s="558"/>
      <c r="K194" s="558"/>
      <c r="L194" s="558"/>
      <c r="M194" s="558"/>
      <c r="N194" s="558"/>
      <c r="O194" s="558"/>
      <c r="P194" s="558"/>
      <c r="Q194" s="558"/>
      <c r="R194" s="558"/>
      <c r="S194" s="558"/>
      <c r="T194" s="625"/>
      <c r="U194" s="625"/>
      <c r="V194" s="558"/>
      <c r="W194" s="558"/>
      <c r="X194" s="558"/>
      <c r="Y194" s="558"/>
      <c r="Z194" s="558"/>
      <c r="AA194" s="558"/>
      <c r="AB194" s="558"/>
      <c r="AC194" s="558"/>
      <c r="AD194" s="558"/>
      <c r="AE194" s="558"/>
      <c r="AF194" s="564"/>
      <c r="AI194" s="623"/>
      <c r="AN194" s="625"/>
      <c r="AO194" s="625"/>
      <c r="AP194" s="625"/>
      <c r="AQ194" s="625"/>
      <c r="AR194" s="625"/>
      <c r="AS194" s="625"/>
      <c r="AT194" s="625"/>
      <c r="AU194" s="625"/>
      <c r="AV194" s="625"/>
      <c r="AW194" s="625"/>
      <c r="AX194" s="625"/>
      <c r="AY194" s="625"/>
      <c r="AZ194" s="625"/>
      <c r="BA194" s="625"/>
      <c r="BC194" s="623"/>
      <c r="BE194" s="623"/>
    </row>
    <row r="195" spans="1:57">
      <c r="A195" s="607" t="s">
        <v>12613</v>
      </c>
      <c r="B195" s="604">
        <v>8.8945374727570723E-3</v>
      </c>
      <c r="C195" s="558"/>
      <c r="D195" s="558"/>
      <c r="E195" s="556" t="str">
        <f t="shared" si="78"/>
        <v/>
      </c>
      <c r="F195" s="558"/>
      <c r="G195" s="558"/>
      <c r="H195" s="558"/>
      <c r="I195" s="558"/>
      <c r="J195" s="558"/>
      <c r="K195" s="558"/>
      <c r="L195" s="558"/>
      <c r="M195" s="558"/>
      <c r="N195" s="558"/>
      <c r="O195" s="558"/>
      <c r="P195" s="558"/>
      <c r="Q195" s="558"/>
      <c r="R195" s="558"/>
      <c r="S195" s="558"/>
      <c r="T195" s="625"/>
      <c r="U195" s="625"/>
      <c r="V195" s="558"/>
      <c r="W195" s="558"/>
      <c r="X195" s="558"/>
      <c r="Y195" s="558"/>
      <c r="Z195" s="558"/>
      <c r="AA195" s="558"/>
      <c r="AB195" s="558"/>
      <c r="AC195" s="558"/>
      <c r="AD195" s="558"/>
      <c r="AE195" s="558"/>
      <c r="AF195" s="564"/>
      <c r="AI195" s="623"/>
      <c r="AN195" s="625"/>
      <c r="AO195" s="625"/>
      <c r="AP195" s="625"/>
      <c r="AQ195" s="625"/>
      <c r="AR195" s="625"/>
      <c r="AS195" s="625"/>
      <c r="AT195" s="625"/>
      <c r="AU195" s="625"/>
      <c r="AV195" s="625"/>
      <c r="AW195" s="625"/>
      <c r="AX195" s="625"/>
      <c r="AY195" s="625"/>
      <c r="AZ195" s="625"/>
      <c r="BA195" s="625"/>
      <c r="BC195" s="623"/>
      <c r="BE195" s="623"/>
    </row>
    <row r="196" spans="1:57">
      <c r="A196" s="607" t="s">
        <v>12615</v>
      </c>
      <c r="B196" s="604">
        <v>2.2676180411362727E-3</v>
      </c>
      <c r="C196" s="558"/>
      <c r="D196" s="558"/>
      <c r="E196" s="556" t="str">
        <f t="shared" si="78"/>
        <v/>
      </c>
      <c r="F196" s="558"/>
      <c r="G196" s="558"/>
      <c r="H196" s="558"/>
      <c r="I196" s="558"/>
      <c r="J196" s="558"/>
      <c r="K196" s="558"/>
      <c r="L196" s="558"/>
      <c r="M196" s="558"/>
      <c r="N196" s="558"/>
      <c r="O196" s="558"/>
      <c r="P196" s="558"/>
      <c r="Q196" s="558"/>
      <c r="R196" s="558"/>
      <c r="S196" s="558"/>
      <c r="T196" s="625"/>
      <c r="U196" s="625"/>
      <c r="V196" s="558"/>
      <c r="W196" s="558"/>
      <c r="X196" s="558"/>
      <c r="Y196" s="558"/>
      <c r="Z196" s="558"/>
      <c r="AA196" s="558"/>
      <c r="AB196" s="558"/>
      <c r="AC196" s="558"/>
      <c r="AD196" s="558"/>
      <c r="AE196" s="558"/>
      <c r="AF196" s="564"/>
      <c r="AI196" s="623"/>
      <c r="AN196" s="625"/>
      <c r="AO196" s="625"/>
      <c r="AP196" s="625"/>
      <c r="AQ196" s="625"/>
      <c r="AR196" s="625"/>
      <c r="AS196" s="625"/>
      <c r="AT196" s="625"/>
      <c r="AU196" s="625"/>
      <c r="AV196" s="625"/>
      <c r="AW196" s="625"/>
      <c r="AX196" s="625"/>
      <c r="AY196" s="625"/>
      <c r="AZ196" s="625"/>
      <c r="BA196" s="625"/>
      <c r="BC196" s="623"/>
      <c r="BE196" s="623"/>
    </row>
    <row r="197" spans="1:57">
      <c r="A197" s="607" t="s">
        <v>12616</v>
      </c>
      <c r="B197" s="604">
        <v>9.1202217233308132E-3</v>
      </c>
      <c r="C197" s="558"/>
      <c r="D197" s="558"/>
      <c r="E197" s="556" t="str">
        <f t="shared" si="78"/>
        <v/>
      </c>
      <c r="F197" s="558"/>
      <c r="G197" s="558"/>
      <c r="H197" s="558"/>
      <c r="I197" s="558"/>
      <c r="J197" s="558"/>
      <c r="K197" s="558"/>
      <c r="L197" s="558"/>
      <c r="M197" s="558"/>
      <c r="N197" s="558"/>
      <c r="O197" s="558"/>
      <c r="P197" s="558"/>
      <c r="Q197" s="558"/>
      <c r="R197" s="558"/>
      <c r="S197" s="558"/>
      <c r="T197" s="625"/>
      <c r="U197" s="625"/>
      <c r="V197" s="558"/>
      <c r="W197" s="558"/>
      <c r="X197" s="558"/>
      <c r="Y197" s="558"/>
      <c r="Z197" s="558"/>
      <c r="AA197" s="558"/>
      <c r="AB197" s="558"/>
      <c r="AC197" s="558"/>
      <c r="AD197" s="558"/>
      <c r="AE197" s="558"/>
      <c r="AF197" s="564"/>
      <c r="AI197" s="623"/>
      <c r="AN197" s="625"/>
      <c r="AO197" s="625"/>
      <c r="AP197" s="625"/>
      <c r="AQ197" s="625"/>
      <c r="AR197" s="625"/>
      <c r="AS197" s="625"/>
      <c r="AT197" s="625"/>
      <c r="AU197" s="625"/>
      <c r="AV197" s="625"/>
      <c r="AW197" s="625"/>
      <c r="AX197" s="625"/>
      <c r="AY197" s="625"/>
      <c r="AZ197" s="625"/>
      <c r="BA197" s="625"/>
      <c r="BC197" s="623"/>
      <c r="BE197" s="623"/>
    </row>
    <row r="198" spans="1:57">
      <c r="A198" s="607" t="s">
        <v>12617</v>
      </c>
      <c r="B198" s="604">
        <v>5.9239384843242293E-3</v>
      </c>
      <c r="C198" s="558"/>
      <c r="D198" s="558"/>
      <c r="E198" s="556" t="str">
        <f t="shared" si="78"/>
        <v/>
      </c>
      <c r="F198" s="558"/>
      <c r="G198" s="558"/>
      <c r="H198" s="558"/>
      <c r="I198" s="558"/>
      <c r="J198" s="558"/>
      <c r="K198" s="558"/>
      <c r="L198" s="558"/>
      <c r="M198" s="558"/>
      <c r="N198" s="558"/>
      <c r="O198" s="558"/>
      <c r="P198" s="558"/>
      <c r="Q198" s="558"/>
      <c r="R198" s="558"/>
      <c r="S198" s="558"/>
      <c r="T198" s="625"/>
      <c r="U198" s="625"/>
      <c r="V198" s="558"/>
      <c r="W198" s="558"/>
      <c r="X198" s="558"/>
      <c r="Y198" s="558"/>
      <c r="Z198" s="558"/>
      <c r="AA198" s="558"/>
      <c r="AB198" s="558"/>
      <c r="AC198" s="558"/>
      <c r="AD198" s="558"/>
      <c r="AE198" s="558"/>
      <c r="AF198" s="564"/>
      <c r="AI198" s="623"/>
      <c r="AN198" s="625"/>
      <c r="AO198" s="625"/>
      <c r="AP198" s="625"/>
      <c r="AQ198" s="625"/>
      <c r="AR198" s="625"/>
      <c r="AS198" s="625"/>
      <c r="AT198" s="625"/>
      <c r="AU198" s="625"/>
      <c r="AV198" s="625"/>
      <c r="AW198" s="625"/>
      <c r="AX198" s="625"/>
      <c r="AY198" s="625"/>
      <c r="AZ198" s="625"/>
      <c r="BA198" s="625"/>
      <c r="BC198" s="623"/>
      <c r="BE198" s="623"/>
    </row>
    <row r="199" spans="1:57">
      <c r="A199" s="607" t="s">
        <v>12618</v>
      </c>
      <c r="B199" s="604">
        <v>1.1094867884772222E-2</v>
      </c>
      <c r="C199" s="558"/>
      <c r="D199" s="558"/>
      <c r="E199" s="556" t="str">
        <f t="shared" si="78"/>
        <v/>
      </c>
      <c r="F199" s="558"/>
      <c r="G199" s="558"/>
      <c r="H199" s="558"/>
      <c r="I199" s="558"/>
      <c r="J199" s="558"/>
      <c r="K199" s="558"/>
      <c r="L199" s="558"/>
      <c r="M199" s="558"/>
      <c r="N199" s="558"/>
      <c r="O199" s="558"/>
      <c r="P199" s="558"/>
      <c r="Q199" s="558"/>
      <c r="R199" s="558"/>
      <c r="S199" s="558"/>
      <c r="T199" s="625"/>
      <c r="U199" s="625"/>
      <c r="V199" s="558"/>
      <c r="W199" s="558"/>
      <c r="X199" s="558"/>
      <c r="Y199" s="558"/>
      <c r="Z199" s="558"/>
      <c r="AA199" s="558"/>
      <c r="AB199" s="558"/>
      <c r="AC199" s="558"/>
      <c r="AD199" s="558"/>
      <c r="AE199" s="558"/>
      <c r="AF199" s="564"/>
      <c r="AI199" s="623"/>
      <c r="AN199" s="625"/>
      <c r="AO199" s="625"/>
      <c r="AP199" s="625"/>
      <c r="AQ199" s="625"/>
      <c r="AR199" s="625"/>
      <c r="AS199" s="625"/>
      <c r="AT199" s="625"/>
      <c r="AU199" s="625"/>
      <c r="AV199" s="625"/>
      <c r="AW199" s="625"/>
      <c r="AX199" s="625"/>
      <c r="AY199" s="625"/>
      <c r="AZ199" s="625"/>
      <c r="BA199" s="625"/>
      <c r="BC199" s="623"/>
      <c r="BE199" s="623"/>
    </row>
    <row r="200" spans="1:57">
      <c r="A200" s="607" t="s">
        <v>12620</v>
      </c>
      <c r="B200" s="604">
        <v>1.2111903509614929E-2</v>
      </c>
      <c r="C200" s="558"/>
      <c r="D200" s="558"/>
      <c r="E200" s="556" t="str">
        <f t="shared" si="78"/>
        <v/>
      </c>
      <c r="F200" s="558"/>
      <c r="G200" s="558"/>
      <c r="H200" s="558"/>
      <c r="I200" s="558"/>
      <c r="J200" s="558"/>
      <c r="K200" s="558"/>
      <c r="L200" s="558"/>
      <c r="M200" s="558"/>
      <c r="N200" s="558"/>
      <c r="O200" s="558"/>
      <c r="P200" s="558"/>
      <c r="Q200" s="558"/>
      <c r="R200" s="558"/>
      <c r="S200" s="558"/>
      <c r="T200" s="625"/>
      <c r="U200" s="625"/>
      <c r="V200" s="558"/>
      <c r="W200" s="558"/>
      <c r="X200" s="558"/>
      <c r="Y200" s="558"/>
      <c r="Z200" s="558"/>
      <c r="AA200" s="558"/>
      <c r="AB200" s="558"/>
      <c r="AC200" s="558"/>
      <c r="AD200" s="558"/>
      <c r="AE200" s="558"/>
      <c r="AF200" s="564"/>
      <c r="AI200" s="623"/>
      <c r="AN200" s="625"/>
      <c r="AO200" s="625"/>
      <c r="AP200" s="625"/>
      <c r="AQ200" s="625"/>
      <c r="AR200" s="625"/>
      <c r="AS200" s="625"/>
      <c r="AT200" s="625"/>
      <c r="AU200" s="625"/>
      <c r="AV200" s="625"/>
      <c r="AW200" s="625"/>
      <c r="AX200" s="625"/>
      <c r="AY200" s="625"/>
      <c r="AZ200" s="625"/>
      <c r="BA200" s="625"/>
      <c r="BC200" s="623"/>
      <c r="BE200" s="623"/>
    </row>
    <row r="201" spans="1:57">
      <c r="A201" s="607" t="s">
        <v>12622</v>
      </c>
      <c r="B201" s="604">
        <v>1.5512805476378918E-2</v>
      </c>
      <c r="C201" s="558"/>
      <c r="D201" s="558"/>
      <c r="E201" s="556" t="str">
        <f t="shared" si="78"/>
        <v/>
      </c>
      <c r="F201" s="558"/>
      <c r="G201" s="558"/>
      <c r="H201" s="558"/>
      <c r="I201" s="558"/>
      <c r="J201" s="558"/>
      <c r="K201" s="558"/>
      <c r="L201" s="558"/>
      <c r="M201" s="558"/>
      <c r="N201" s="558"/>
      <c r="O201" s="558"/>
      <c r="P201" s="558"/>
      <c r="Q201" s="558"/>
      <c r="R201" s="558"/>
      <c r="S201" s="558"/>
      <c r="T201" s="625"/>
      <c r="U201" s="625"/>
      <c r="V201" s="558"/>
      <c r="W201" s="558"/>
      <c r="X201" s="558"/>
      <c r="Y201" s="558"/>
      <c r="Z201" s="558"/>
      <c r="AA201" s="558"/>
      <c r="AB201" s="558"/>
      <c r="AC201" s="558"/>
      <c r="AD201" s="558"/>
      <c r="AE201" s="558"/>
      <c r="AF201" s="564"/>
      <c r="AI201" s="623"/>
      <c r="AN201" s="625"/>
      <c r="AO201" s="625"/>
      <c r="AP201" s="625"/>
      <c r="AQ201" s="625"/>
      <c r="AR201" s="625"/>
      <c r="AS201" s="625"/>
      <c r="AT201" s="625"/>
      <c r="AU201" s="625"/>
      <c r="AV201" s="625"/>
      <c r="AW201" s="625"/>
      <c r="AX201" s="625"/>
      <c r="AY201" s="625"/>
      <c r="AZ201" s="625"/>
      <c r="BA201" s="625"/>
      <c r="BC201" s="623"/>
      <c r="BE201" s="623"/>
    </row>
    <row r="202" spans="1:57">
      <c r="A202" s="607" t="s">
        <v>12623</v>
      </c>
      <c r="B202" s="604">
        <v>1.5725072677117598E-2</v>
      </c>
      <c r="C202" s="558"/>
      <c r="D202" s="558"/>
      <c r="E202" s="556" t="str">
        <f t="shared" si="78"/>
        <v/>
      </c>
      <c r="F202" s="558"/>
      <c r="G202" s="558"/>
      <c r="H202" s="558"/>
      <c r="I202" s="558"/>
      <c r="J202" s="558"/>
      <c r="K202" s="558"/>
      <c r="L202" s="558"/>
      <c r="M202" s="558"/>
      <c r="N202" s="558"/>
      <c r="O202" s="558"/>
      <c r="P202" s="558"/>
      <c r="Q202" s="558"/>
      <c r="R202" s="558"/>
      <c r="S202" s="558"/>
      <c r="T202" s="625"/>
      <c r="U202" s="625"/>
      <c r="V202" s="558"/>
      <c r="W202" s="558"/>
      <c r="X202" s="558"/>
      <c r="Y202" s="558"/>
      <c r="Z202" s="558"/>
      <c r="AA202" s="558"/>
      <c r="AB202" s="558"/>
      <c r="AC202" s="558"/>
      <c r="AD202" s="558"/>
      <c r="AE202" s="558"/>
      <c r="AF202" s="564"/>
      <c r="AI202" s="623"/>
      <c r="AN202" s="625"/>
      <c r="AO202" s="625"/>
      <c r="AP202" s="625"/>
      <c r="AQ202" s="625"/>
      <c r="AR202" s="625"/>
      <c r="AS202" s="625"/>
      <c r="AT202" s="625"/>
      <c r="AU202" s="625"/>
      <c r="AV202" s="625"/>
      <c r="AW202" s="625"/>
      <c r="AX202" s="625"/>
      <c r="AY202" s="625"/>
      <c r="AZ202" s="625"/>
      <c r="BA202" s="625"/>
      <c r="BC202" s="623"/>
      <c r="BE202" s="623"/>
    </row>
    <row r="203" spans="1:57">
      <c r="A203" s="607" t="s">
        <v>12624</v>
      </c>
      <c r="B203" s="604">
        <v>1.261184838917596E-3</v>
      </c>
      <c r="C203" s="558"/>
      <c r="D203" s="558"/>
      <c r="E203" s="556" t="str">
        <f t="shared" si="78"/>
        <v/>
      </c>
      <c r="F203" s="558"/>
      <c r="G203" s="558"/>
      <c r="H203" s="558"/>
      <c r="I203" s="558"/>
      <c r="J203" s="558"/>
      <c r="K203" s="558"/>
      <c r="L203" s="558"/>
      <c r="M203" s="558"/>
      <c r="N203" s="558"/>
      <c r="O203" s="558"/>
      <c r="P203" s="558"/>
      <c r="Q203" s="558"/>
      <c r="R203" s="558"/>
      <c r="S203" s="558"/>
      <c r="T203" s="625"/>
      <c r="U203" s="625"/>
      <c r="V203" s="558"/>
      <c r="W203" s="558"/>
      <c r="X203" s="558"/>
      <c r="Y203" s="558"/>
      <c r="Z203" s="558"/>
      <c r="AA203" s="558"/>
      <c r="AB203" s="558"/>
      <c r="AC203" s="558"/>
      <c r="AD203" s="558"/>
      <c r="AE203" s="558"/>
      <c r="AF203" s="564"/>
      <c r="AI203" s="623"/>
      <c r="AN203" s="625"/>
      <c r="AO203" s="625"/>
      <c r="AP203" s="625"/>
      <c r="AQ203" s="625"/>
      <c r="AR203" s="625"/>
      <c r="AS203" s="625"/>
      <c r="AT203" s="625"/>
      <c r="AU203" s="625"/>
      <c r="AV203" s="625"/>
      <c r="AW203" s="625"/>
      <c r="AX203" s="625"/>
      <c r="AY203" s="625"/>
      <c r="AZ203" s="625"/>
      <c r="BA203" s="625"/>
      <c r="BC203" s="623"/>
      <c r="BE203" s="623"/>
    </row>
    <row r="204" spans="1:57">
      <c r="A204" s="607" t="s">
        <v>12625</v>
      </c>
      <c r="B204" s="604">
        <v>1.6002883971373793E-2</v>
      </c>
      <c r="C204" s="558"/>
      <c r="D204" s="558"/>
      <c r="E204" s="556" t="str">
        <f t="shared" si="78"/>
        <v/>
      </c>
      <c r="F204" s="558"/>
      <c r="G204" s="558"/>
      <c r="H204" s="558"/>
      <c r="I204" s="558"/>
      <c r="J204" s="558"/>
      <c r="K204" s="558"/>
      <c r="L204" s="558"/>
      <c r="M204" s="558"/>
      <c r="N204" s="558"/>
      <c r="O204" s="558"/>
      <c r="P204" s="558"/>
      <c r="Q204" s="558"/>
      <c r="R204" s="558"/>
      <c r="S204" s="558"/>
      <c r="T204" s="625"/>
      <c r="U204" s="625"/>
      <c r="V204" s="558"/>
      <c r="W204" s="558"/>
      <c r="X204" s="558"/>
      <c r="Y204" s="558"/>
      <c r="Z204" s="558"/>
      <c r="AA204" s="558"/>
      <c r="AB204" s="558"/>
      <c r="AC204" s="558"/>
      <c r="AD204" s="558"/>
      <c r="AE204" s="558"/>
      <c r="AF204" s="564"/>
      <c r="AI204" s="623"/>
      <c r="AN204" s="625"/>
      <c r="AO204" s="625"/>
      <c r="AP204" s="625"/>
      <c r="AQ204" s="625"/>
      <c r="AR204" s="625"/>
      <c r="AS204" s="625"/>
      <c r="AT204" s="625"/>
      <c r="AU204" s="625"/>
      <c r="AV204" s="625"/>
      <c r="AW204" s="625"/>
      <c r="AX204" s="625"/>
      <c r="AY204" s="625"/>
      <c r="AZ204" s="625"/>
      <c r="BA204" s="625"/>
      <c r="BC204" s="623"/>
      <c r="BE204" s="623"/>
    </row>
    <row r="205" spans="1:57">
      <c r="A205" s="607" t="s">
        <v>12755</v>
      </c>
      <c r="B205" s="604">
        <v>1.7038833206433585E-2</v>
      </c>
      <c r="C205" s="558"/>
      <c r="D205" s="558"/>
      <c r="E205" s="556" t="str">
        <f t="shared" si="78"/>
        <v/>
      </c>
      <c r="F205" s="558"/>
      <c r="G205" s="558"/>
      <c r="H205" s="558"/>
      <c r="I205" s="558"/>
      <c r="J205" s="558"/>
      <c r="K205" s="558"/>
      <c r="L205" s="558"/>
      <c r="M205" s="558"/>
      <c r="N205" s="558"/>
      <c r="O205" s="558"/>
      <c r="P205" s="558"/>
      <c r="Q205" s="558"/>
      <c r="R205" s="558"/>
      <c r="S205" s="558"/>
      <c r="T205" s="625"/>
      <c r="U205" s="625"/>
      <c r="V205" s="558"/>
      <c r="W205" s="558"/>
      <c r="X205" s="558"/>
      <c r="Y205" s="558"/>
      <c r="Z205" s="558"/>
      <c r="AA205" s="558"/>
      <c r="AB205" s="558"/>
      <c r="AC205" s="558"/>
      <c r="AD205" s="558"/>
      <c r="AE205" s="558"/>
      <c r="AF205" s="564"/>
      <c r="AI205" s="623"/>
      <c r="AN205" s="625"/>
      <c r="AO205" s="625"/>
      <c r="AP205" s="625"/>
      <c r="AQ205" s="625"/>
      <c r="AR205" s="625"/>
      <c r="AS205" s="625"/>
      <c r="AT205" s="625"/>
      <c r="AU205" s="625"/>
      <c r="AV205" s="625"/>
      <c r="AW205" s="625"/>
      <c r="AX205" s="625"/>
      <c r="AY205" s="625"/>
      <c r="AZ205" s="625"/>
      <c r="BA205" s="625"/>
      <c r="BC205" s="623"/>
      <c r="BE205" s="623"/>
    </row>
    <row r="206" spans="1:57">
      <c r="A206" s="607" t="s">
        <v>1585</v>
      </c>
      <c r="B206" s="604">
        <v>5.7271848144494503E-3</v>
      </c>
      <c r="C206" s="558"/>
      <c r="D206" s="558"/>
      <c r="E206" s="556" t="str">
        <f t="shared" si="78"/>
        <v/>
      </c>
      <c r="F206" s="558"/>
      <c r="G206" s="558"/>
      <c r="H206" s="558"/>
      <c r="I206" s="558"/>
      <c r="J206" s="558"/>
      <c r="K206" s="558"/>
      <c r="L206" s="558"/>
      <c r="M206" s="558"/>
      <c r="N206" s="558"/>
      <c r="O206" s="558"/>
      <c r="P206" s="558"/>
      <c r="Q206" s="558"/>
      <c r="R206" s="558"/>
      <c r="S206" s="558"/>
      <c r="T206" s="625"/>
      <c r="U206" s="625"/>
      <c r="V206" s="558"/>
      <c r="W206" s="558"/>
      <c r="X206" s="558"/>
      <c r="Y206" s="558"/>
      <c r="Z206" s="558"/>
      <c r="AA206" s="558"/>
      <c r="AB206" s="558"/>
      <c r="AC206" s="558"/>
      <c r="AD206" s="558"/>
      <c r="AE206" s="558"/>
      <c r="AF206" s="564"/>
      <c r="AI206" s="623"/>
      <c r="AN206" s="625"/>
      <c r="AO206" s="625"/>
      <c r="AP206" s="625"/>
      <c r="AQ206" s="625"/>
      <c r="AR206" s="625"/>
      <c r="AS206" s="625"/>
      <c r="AT206" s="625"/>
      <c r="AU206" s="625"/>
      <c r="AV206" s="625"/>
      <c r="AW206" s="625"/>
      <c r="AX206" s="625"/>
      <c r="AY206" s="625"/>
      <c r="AZ206" s="625"/>
      <c r="BA206" s="625"/>
      <c r="BC206" s="623"/>
      <c r="BE206" s="623"/>
    </row>
    <row r="207" spans="1:57">
      <c r="A207" s="607" t="s">
        <v>12756</v>
      </c>
      <c r="B207" s="604">
        <v>2.1407683695510903E-2</v>
      </c>
      <c r="C207" s="558"/>
      <c r="D207" s="558"/>
      <c r="E207" s="556" t="str">
        <f t="shared" si="78"/>
        <v/>
      </c>
      <c r="F207" s="558"/>
      <c r="G207" s="558"/>
      <c r="H207" s="558"/>
      <c r="I207" s="558"/>
      <c r="J207" s="558"/>
      <c r="K207" s="558"/>
      <c r="L207" s="558"/>
      <c r="M207" s="558"/>
      <c r="N207" s="558"/>
      <c r="O207" s="558"/>
      <c r="P207" s="558"/>
      <c r="Q207" s="558"/>
      <c r="R207" s="558"/>
      <c r="S207" s="558"/>
      <c r="T207" s="625"/>
      <c r="U207" s="625"/>
      <c r="V207" s="558"/>
      <c r="W207" s="558"/>
      <c r="X207" s="558"/>
      <c r="Y207" s="558"/>
      <c r="Z207" s="558"/>
      <c r="AA207" s="558"/>
      <c r="AB207" s="558"/>
      <c r="AC207" s="558"/>
      <c r="AD207" s="558"/>
      <c r="AE207" s="558"/>
      <c r="AF207" s="564"/>
      <c r="AI207" s="623"/>
      <c r="AN207" s="625"/>
      <c r="AO207" s="625"/>
      <c r="AP207" s="625"/>
      <c r="AQ207" s="625"/>
      <c r="AR207" s="625"/>
      <c r="AS207" s="625"/>
      <c r="AT207" s="625"/>
      <c r="AU207" s="625"/>
      <c r="AV207" s="625"/>
      <c r="AW207" s="625"/>
      <c r="AX207" s="625"/>
      <c r="AY207" s="625"/>
      <c r="AZ207" s="625"/>
      <c r="BA207" s="625"/>
      <c r="BC207" s="623"/>
      <c r="BE207" s="623"/>
    </row>
    <row r="208" spans="1:57">
      <c r="A208" s="607" t="s">
        <v>12757</v>
      </c>
      <c r="B208" s="604">
        <v>0</v>
      </c>
      <c r="C208" s="558"/>
      <c r="D208" s="558"/>
      <c r="E208" s="556" t="str">
        <f>IF(B208&gt;7%,"Alert()","")</f>
        <v/>
      </c>
      <c r="F208" s="558"/>
      <c r="G208" s="558"/>
      <c r="H208" s="558"/>
      <c r="I208" s="558"/>
      <c r="J208" s="558"/>
      <c r="K208" s="558"/>
      <c r="L208" s="558"/>
      <c r="M208" s="558"/>
      <c r="N208" s="558"/>
      <c r="O208" s="558"/>
      <c r="P208" s="558"/>
      <c r="Q208" s="558"/>
      <c r="R208" s="558"/>
      <c r="S208" s="558"/>
      <c r="T208" s="625"/>
      <c r="U208" s="625"/>
      <c r="V208" s="558"/>
      <c r="W208" s="558"/>
      <c r="X208" s="558"/>
      <c r="Y208" s="558"/>
      <c r="Z208" s="558"/>
      <c r="AA208" s="558"/>
      <c r="AB208" s="558"/>
      <c r="AC208" s="558"/>
      <c r="AD208" s="558"/>
      <c r="AE208" s="558"/>
      <c r="AF208" s="564"/>
      <c r="AI208" s="623"/>
      <c r="AN208" s="625"/>
      <c r="AO208" s="625"/>
      <c r="AP208" s="625"/>
      <c r="AQ208" s="625"/>
      <c r="AR208" s="625"/>
      <c r="AS208" s="625"/>
      <c r="AT208" s="625"/>
      <c r="AU208" s="625"/>
      <c r="AV208" s="625"/>
      <c r="AW208" s="625"/>
      <c r="AX208" s="625"/>
      <c r="AY208" s="625"/>
      <c r="AZ208" s="625"/>
      <c r="BA208" s="625"/>
      <c r="BC208" s="623"/>
      <c r="BE208" s="623"/>
    </row>
    <row r="209" spans="1:95">
      <c r="A209" s="607" t="s">
        <v>1636</v>
      </c>
      <c r="B209" s="604">
        <v>1.8175687745939972E-2</v>
      </c>
      <c r="C209" s="558"/>
      <c r="D209" s="558"/>
      <c r="E209" s="556" t="str">
        <f t="shared" si="78"/>
        <v/>
      </c>
      <c r="F209" s="558"/>
      <c r="G209" s="558"/>
      <c r="H209" s="558"/>
      <c r="I209" s="558"/>
      <c r="J209" s="558"/>
      <c r="K209" s="558"/>
      <c r="L209" s="558"/>
      <c r="M209" s="558"/>
      <c r="N209" s="558"/>
      <c r="O209" s="558"/>
      <c r="P209" s="558"/>
      <c r="Q209" s="558"/>
      <c r="R209" s="558"/>
      <c r="S209" s="558"/>
      <c r="T209" s="625"/>
      <c r="U209" s="625"/>
      <c r="V209" s="558"/>
      <c r="W209" s="558"/>
      <c r="X209" s="558"/>
      <c r="Y209" s="558"/>
      <c r="Z209" s="558"/>
      <c r="AA209" s="558"/>
      <c r="AB209" s="558"/>
      <c r="AC209" s="558"/>
      <c r="AD209" s="558"/>
      <c r="AE209" s="558"/>
      <c r="AF209" s="564"/>
      <c r="AI209" s="623"/>
      <c r="AN209" s="625"/>
      <c r="AO209" s="625"/>
      <c r="AP209" s="625"/>
      <c r="AQ209" s="625"/>
      <c r="AR209" s="625"/>
      <c r="AS209" s="625"/>
      <c r="AT209" s="625"/>
      <c r="AU209" s="625"/>
      <c r="AV209" s="625"/>
      <c r="AW209" s="625"/>
      <c r="AX209" s="625"/>
      <c r="AY209" s="625"/>
      <c r="AZ209" s="625"/>
      <c r="BA209" s="625"/>
      <c r="BC209" s="623"/>
      <c r="BE209" s="623"/>
    </row>
    <row r="210" spans="1:95">
      <c r="A210" s="607" t="s">
        <v>12758</v>
      </c>
      <c r="B210" s="604">
        <v>1.1331621514528668E-2</v>
      </c>
      <c r="C210" s="558"/>
      <c r="D210" s="558"/>
      <c r="E210" s="556" t="str">
        <f t="shared" si="78"/>
        <v/>
      </c>
      <c r="F210" s="558"/>
      <c r="G210" s="558"/>
      <c r="H210" s="558"/>
      <c r="I210" s="558"/>
      <c r="J210" s="558"/>
      <c r="K210" s="558"/>
      <c r="L210" s="558"/>
      <c r="M210" s="558"/>
      <c r="N210" s="558"/>
      <c r="O210" s="558"/>
      <c r="P210" s="558"/>
      <c r="Q210" s="558"/>
      <c r="R210" s="558"/>
      <c r="S210" s="558"/>
      <c r="T210" s="625"/>
      <c r="U210" s="625"/>
      <c r="V210" s="558"/>
      <c r="W210" s="558"/>
      <c r="X210" s="558"/>
      <c r="Y210" s="558"/>
      <c r="Z210" s="558"/>
      <c r="AA210" s="558"/>
      <c r="AB210" s="558"/>
      <c r="AC210" s="558"/>
      <c r="AD210" s="558"/>
      <c r="AE210" s="558"/>
      <c r="AF210" s="564"/>
      <c r="AI210" s="623"/>
      <c r="AL210" s="623"/>
      <c r="AM210" s="623"/>
      <c r="AN210" s="625"/>
      <c r="AO210" s="625"/>
      <c r="AP210" s="625"/>
      <c r="AQ210" s="625"/>
      <c r="AR210" s="625"/>
      <c r="AS210" s="625"/>
      <c r="AT210" s="625"/>
      <c r="AU210" s="625"/>
      <c r="AV210" s="625"/>
      <c r="AW210" s="625"/>
      <c r="AX210" s="625"/>
      <c r="AY210" s="625"/>
      <c r="AZ210" s="625"/>
      <c r="BA210" s="625"/>
      <c r="BC210" s="623"/>
      <c r="BE210" s="623"/>
    </row>
    <row r="211" spans="1:95">
      <c r="A211" s="607" t="s">
        <v>12762</v>
      </c>
      <c r="B211" s="604">
        <v>4.4056696452856085E-2</v>
      </c>
      <c r="C211" s="558"/>
      <c r="D211" s="558"/>
      <c r="E211" s="556" t="str">
        <f t="shared" si="78"/>
        <v/>
      </c>
      <c r="F211" s="558"/>
      <c r="G211" s="558"/>
      <c r="H211" s="558"/>
      <c r="I211" s="558"/>
      <c r="J211" s="558"/>
      <c r="K211" s="558"/>
      <c r="L211" s="558"/>
      <c r="M211" s="558"/>
      <c r="N211" s="558"/>
      <c r="O211" s="558"/>
      <c r="P211" s="558"/>
      <c r="Q211" s="558"/>
      <c r="R211" s="558"/>
      <c r="S211" s="558"/>
      <c r="T211" s="625"/>
      <c r="U211" s="625"/>
      <c r="V211" s="558"/>
      <c r="W211" s="558"/>
      <c r="X211" s="558"/>
      <c r="Y211" s="558"/>
      <c r="Z211" s="558"/>
      <c r="AA211" s="558"/>
      <c r="AB211" s="558"/>
      <c r="AC211" s="558"/>
      <c r="AD211" s="558"/>
      <c r="AE211" s="558"/>
      <c r="AF211" s="564"/>
      <c r="AI211" s="623"/>
      <c r="AL211" s="623"/>
      <c r="AM211" s="623"/>
      <c r="AN211" s="625"/>
      <c r="AO211" s="625"/>
      <c r="AP211" s="625"/>
      <c r="AQ211" s="625"/>
      <c r="AR211" s="625"/>
      <c r="AS211" s="625"/>
      <c r="AT211" s="625"/>
      <c r="AU211" s="625"/>
      <c r="AV211" s="625"/>
      <c r="AW211" s="625"/>
      <c r="AX211" s="625"/>
      <c r="AY211" s="625"/>
      <c r="AZ211" s="625"/>
      <c r="BA211" s="625"/>
      <c r="BC211" s="623"/>
      <c r="BE211" s="623"/>
    </row>
    <row r="212" spans="1:95">
      <c r="A212" s="607" t="s">
        <v>1105</v>
      </c>
      <c r="B212" s="604">
        <v>1.814431462744338E-2</v>
      </c>
      <c r="C212" s="558"/>
      <c r="D212" s="558"/>
      <c r="E212" s="556" t="str">
        <f t="shared" si="78"/>
        <v/>
      </c>
      <c r="F212" s="558"/>
      <c r="G212" s="558"/>
      <c r="H212" s="558"/>
      <c r="I212" s="558"/>
      <c r="J212" s="558"/>
      <c r="K212" s="558"/>
      <c r="L212" s="558"/>
      <c r="M212" s="558"/>
      <c r="N212" s="558"/>
      <c r="O212" s="558"/>
      <c r="P212" s="558"/>
      <c r="Q212" s="558"/>
      <c r="R212" s="558"/>
      <c r="S212" s="558"/>
      <c r="T212" s="625"/>
      <c r="U212" s="625"/>
      <c r="V212" s="558"/>
      <c r="W212" s="558"/>
      <c r="X212" s="558"/>
      <c r="Y212" s="558"/>
      <c r="Z212" s="558"/>
      <c r="AA212" s="558"/>
      <c r="AB212" s="558"/>
      <c r="AC212" s="558"/>
      <c r="AD212" s="558"/>
      <c r="AE212" s="558"/>
      <c r="AF212" s="564"/>
      <c r="AI212" s="623"/>
      <c r="AL212" s="623"/>
      <c r="AM212" s="623"/>
      <c r="AN212" s="625"/>
      <c r="AO212" s="625"/>
      <c r="AP212" s="625"/>
      <c r="AQ212" s="625"/>
      <c r="AR212" s="625"/>
      <c r="AS212" s="625"/>
      <c r="AT212" s="625"/>
      <c r="AU212" s="625"/>
      <c r="AV212" s="625"/>
      <c r="AW212" s="625"/>
      <c r="AX212" s="625"/>
      <c r="AY212" s="625"/>
      <c r="AZ212" s="625"/>
      <c r="BA212" s="625"/>
      <c r="BC212" s="623"/>
      <c r="BE212" s="623"/>
    </row>
    <row r="213" spans="1:95">
      <c r="A213" s="607" t="s">
        <v>12866</v>
      </c>
      <c r="B213" s="604">
        <v>4.0423435633888179E-2</v>
      </c>
      <c r="C213" s="558"/>
      <c r="D213" s="558"/>
      <c r="E213" s="556" t="str">
        <f t="shared" si="78"/>
        <v/>
      </c>
      <c r="F213" s="558"/>
      <c r="G213" s="558"/>
      <c r="H213" s="558"/>
      <c r="I213" s="558"/>
      <c r="J213" s="558"/>
      <c r="K213" s="558"/>
      <c r="L213" s="625"/>
      <c r="M213" s="625"/>
      <c r="N213" s="625"/>
      <c r="O213" s="625"/>
      <c r="P213" s="625"/>
      <c r="Q213" s="625"/>
      <c r="R213" s="625"/>
      <c r="S213" s="625"/>
      <c r="T213" s="625"/>
      <c r="U213" s="625"/>
      <c r="V213" s="625"/>
      <c r="W213" s="625"/>
      <c r="X213" s="625"/>
      <c r="Y213" s="625"/>
      <c r="Z213" s="625"/>
      <c r="AA213" s="625"/>
      <c r="AB213" s="625"/>
      <c r="AC213" s="625"/>
      <c r="AD213" s="625"/>
      <c r="AE213" s="558"/>
      <c r="AF213" s="564"/>
      <c r="AI213" s="623"/>
      <c r="AL213" s="623"/>
      <c r="AM213" s="623"/>
      <c r="AN213" s="625"/>
      <c r="AO213" s="625"/>
      <c r="AP213" s="625"/>
      <c r="AQ213" s="625"/>
      <c r="AR213" s="625"/>
      <c r="AS213" s="625"/>
      <c r="AT213" s="625"/>
      <c r="AU213" s="625"/>
      <c r="AV213" s="625"/>
      <c r="AW213" s="625"/>
      <c r="AX213" s="625"/>
      <c r="AY213" s="625"/>
      <c r="AZ213" s="625"/>
      <c r="BA213" s="625"/>
      <c r="BC213" s="623"/>
      <c r="BE213" s="623"/>
    </row>
    <row r="214" spans="1:95" s="808" customFormat="1">
      <c r="A214" s="607" t="s">
        <v>12867</v>
      </c>
      <c r="B214" s="604">
        <v>2.407954096553945E-2</v>
      </c>
      <c r="C214" s="558"/>
      <c r="D214" s="558"/>
      <c r="E214" s="556" t="str">
        <f t="shared" si="78"/>
        <v/>
      </c>
      <c r="F214" s="558"/>
      <c r="G214" s="558"/>
      <c r="H214" s="558"/>
      <c r="I214" s="558"/>
      <c r="J214" s="558"/>
      <c r="K214" s="558"/>
      <c r="L214" s="625"/>
      <c r="M214" s="625"/>
      <c r="N214" s="625"/>
      <c r="O214" s="625"/>
      <c r="P214" s="625"/>
      <c r="Q214" s="625"/>
      <c r="R214" s="625"/>
      <c r="S214" s="625"/>
      <c r="T214" s="625"/>
      <c r="U214" s="625"/>
      <c r="V214" s="625"/>
      <c r="W214" s="625"/>
      <c r="X214" s="625"/>
      <c r="Y214" s="625"/>
      <c r="Z214" s="625"/>
      <c r="AA214" s="625"/>
      <c r="AB214" s="625"/>
      <c r="AC214" s="625"/>
      <c r="AD214" s="625"/>
      <c r="AE214" s="625"/>
      <c r="AF214" s="623"/>
      <c r="AG214" s="623"/>
      <c r="AH214" s="623"/>
      <c r="AI214" s="623"/>
      <c r="AJ214" s="623"/>
      <c r="AK214" s="623"/>
      <c r="AL214" s="623"/>
      <c r="AM214" s="623"/>
      <c r="AN214" s="625"/>
      <c r="AO214" s="625"/>
      <c r="AP214" s="625"/>
      <c r="AQ214" s="625"/>
      <c r="AR214" s="625"/>
      <c r="AS214" s="625"/>
      <c r="AT214" s="625"/>
      <c r="AU214" s="625"/>
      <c r="AV214" s="625"/>
      <c r="AW214" s="625"/>
      <c r="AX214" s="625"/>
      <c r="AY214" s="625"/>
      <c r="AZ214" s="625"/>
      <c r="BA214" s="625"/>
      <c r="BB214" s="695"/>
      <c r="BC214" s="623"/>
      <c r="BD214" s="623"/>
      <c r="BE214" s="623"/>
      <c r="BF214" s="623"/>
      <c r="BG214" s="623"/>
      <c r="BH214" s="623"/>
      <c r="BI214" s="623"/>
      <c r="BJ214" s="623"/>
      <c r="BK214" s="623"/>
      <c r="BL214" s="623"/>
      <c r="BM214" s="623"/>
      <c r="BN214" s="623"/>
      <c r="BO214" s="623"/>
      <c r="BP214" s="623"/>
      <c r="BQ214" s="623"/>
      <c r="BR214" s="623"/>
      <c r="BS214" s="623"/>
      <c r="BT214" s="623"/>
      <c r="BU214" s="623"/>
      <c r="BV214" s="623"/>
      <c r="BW214" s="623"/>
      <c r="BX214" s="623"/>
      <c r="BY214" s="623"/>
      <c r="BZ214" s="623"/>
      <c r="CA214" s="623"/>
      <c r="CB214" s="623"/>
      <c r="CC214" s="623"/>
      <c r="CD214" s="623"/>
      <c r="CE214" s="623"/>
      <c r="CF214" s="623"/>
      <c r="CG214" s="623"/>
      <c r="CH214" s="623"/>
      <c r="CI214" s="623"/>
      <c r="CJ214" s="623"/>
      <c r="CK214" s="623"/>
      <c r="CL214" s="623"/>
      <c r="CM214" s="623"/>
      <c r="CN214" s="623"/>
      <c r="CO214" s="623"/>
      <c r="CP214" s="623"/>
      <c r="CQ214" s="623"/>
    </row>
    <row r="215" spans="1:95" s="808" customFormat="1">
      <c r="A215" s="607" t="s">
        <v>1597</v>
      </c>
      <c r="B215" s="604">
        <v>4.2637136690758231E-3</v>
      </c>
      <c r="C215" s="558"/>
      <c r="D215" s="558"/>
      <c r="E215" s="556" t="str">
        <f t="shared" si="78"/>
        <v/>
      </c>
      <c r="F215" s="558"/>
      <c r="G215" s="558"/>
      <c r="H215" s="558"/>
      <c r="I215" s="558"/>
      <c r="J215" s="558"/>
      <c r="K215" s="558"/>
      <c r="L215" s="625"/>
      <c r="M215" s="625"/>
      <c r="N215" s="625"/>
      <c r="O215" s="625"/>
      <c r="P215" s="625"/>
      <c r="Q215" s="625"/>
      <c r="R215" s="625"/>
      <c r="S215" s="625"/>
      <c r="T215" s="625"/>
      <c r="U215" s="625"/>
      <c r="V215" s="625"/>
      <c r="W215" s="625"/>
      <c r="X215" s="625"/>
      <c r="Y215" s="625"/>
      <c r="Z215" s="625"/>
      <c r="AA215" s="625"/>
      <c r="AB215" s="625"/>
      <c r="AC215" s="625"/>
      <c r="AD215" s="625"/>
      <c r="AE215" s="625"/>
      <c r="AF215" s="623"/>
      <c r="AG215" s="623"/>
      <c r="AH215" s="623"/>
      <c r="AI215" s="623"/>
      <c r="AJ215" s="623"/>
      <c r="AK215" s="623"/>
      <c r="AL215" s="623"/>
      <c r="AM215" s="623"/>
      <c r="AN215" s="625"/>
      <c r="AO215" s="625"/>
      <c r="AP215" s="625"/>
      <c r="AQ215" s="625"/>
      <c r="AR215" s="625"/>
      <c r="AS215" s="625"/>
      <c r="AT215" s="625"/>
      <c r="AU215" s="625"/>
      <c r="AV215" s="625"/>
      <c r="AW215" s="625"/>
      <c r="AX215" s="625"/>
      <c r="AY215" s="625"/>
      <c r="AZ215" s="625"/>
      <c r="BA215" s="625"/>
      <c r="BB215" s="695"/>
      <c r="BC215" s="623"/>
      <c r="BD215" s="623"/>
      <c r="BE215" s="623"/>
      <c r="BF215" s="623"/>
      <c r="BG215" s="623"/>
      <c r="BH215" s="623"/>
      <c r="BI215" s="623"/>
      <c r="BJ215" s="623"/>
      <c r="BK215" s="623"/>
      <c r="BL215" s="623"/>
      <c r="BM215" s="623"/>
      <c r="BN215" s="623"/>
      <c r="BO215" s="623"/>
      <c r="BP215" s="623"/>
      <c r="BQ215" s="623"/>
      <c r="BR215" s="623"/>
      <c r="BS215" s="623"/>
      <c r="BT215" s="623"/>
      <c r="BU215" s="623"/>
      <c r="BV215" s="623"/>
      <c r="BW215" s="623"/>
      <c r="BX215" s="623"/>
      <c r="BY215" s="623"/>
      <c r="BZ215" s="623"/>
      <c r="CA215" s="623"/>
      <c r="CB215" s="623"/>
      <c r="CC215" s="623"/>
      <c r="CD215" s="623"/>
      <c r="CE215" s="623"/>
      <c r="CF215" s="623"/>
      <c r="CG215" s="623"/>
      <c r="CH215" s="623"/>
      <c r="CI215" s="623"/>
      <c r="CJ215" s="623"/>
      <c r="CK215" s="623"/>
      <c r="CL215" s="623"/>
      <c r="CM215" s="623"/>
      <c r="CN215" s="623"/>
      <c r="CO215" s="623"/>
      <c r="CP215" s="623"/>
      <c r="CQ215" s="623"/>
    </row>
    <row r="216" spans="1:95" s="808" customFormat="1">
      <c r="A216" s="607" t="s">
        <v>13000</v>
      </c>
      <c r="B216" s="604">
        <v>3.6080261095742756E-2</v>
      </c>
      <c r="C216" s="558"/>
      <c r="D216" s="558"/>
      <c r="E216" s="556" t="str">
        <f t="shared" si="78"/>
        <v/>
      </c>
      <c r="F216" s="558"/>
      <c r="G216" s="558"/>
      <c r="H216" s="558"/>
      <c r="I216" s="558"/>
      <c r="J216" s="558"/>
      <c r="K216" s="558"/>
      <c r="L216" s="625"/>
      <c r="M216" s="625"/>
      <c r="N216" s="625"/>
      <c r="O216" s="625"/>
      <c r="P216" s="625"/>
      <c r="Q216" s="625"/>
      <c r="R216" s="625"/>
      <c r="S216" s="625"/>
      <c r="T216" s="625"/>
      <c r="U216" s="625"/>
      <c r="V216" s="625"/>
      <c r="W216" s="625"/>
      <c r="X216" s="625"/>
      <c r="Y216" s="625"/>
      <c r="Z216" s="625"/>
      <c r="AA216" s="625"/>
      <c r="AB216" s="625"/>
      <c r="AC216" s="625"/>
      <c r="AD216" s="625"/>
      <c r="AE216" s="625"/>
      <c r="AF216" s="623"/>
      <c r="AG216" s="623"/>
      <c r="AH216" s="623"/>
      <c r="AI216" s="623"/>
      <c r="AJ216" s="623"/>
      <c r="AK216" s="623"/>
      <c r="AL216" s="623"/>
      <c r="AM216" s="623"/>
      <c r="AN216" s="625"/>
      <c r="AO216" s="625"/>
      <c r="AP216" s="625"/>
      <c r="AQ216" s="625"/>
      <c r="AR216" s="625"/>
      <c r="AS216" s="625"/>
      <c r="AT216" s="625"/>
      <c r="AU216" s="625"/>
      <c r="AV216" s="625"/>
      <c r="AW216" s="625"/>
      <c r="AX216" s="625"/>
      <c r="AY216" s="625"/>
      <c r="AZ216" s="625"/>
      <c r="BA216" s="625"/>
      <c r="BB216" s="695"/>
      <c r="BC216" s="623"/>
      <c r="BD216" s="623"/>
      <c r="BE216" s="623"/>
      <c r="BF216" s="623"/>
      <c r="BG216" s="623"/>
      <c r="BH216" s="623"/>
      <c r="BI216" s="623"/>
      <c r="BJ216" s="623"/>
      <c r="BK216" s="623"/>
      <c r="BL216" s="623"/>
      <c r="BM216" s="623"/>
      <c r="BN216" s="623"/>
      <c r="BO216" s="623"/>
      <c r="BP216" s="623"/>
      <c r="BQ216" s="623"/>
      <c r="BR216" s="623"/>
      <c r="BS216" s="623"/>
      <c r="BT216" s="623"/>
      <c r="BU216" s="623"/>
      <c r="BV216" s="623"/>
      <c r="BW216" s="623"/>
      <c r="BX216" s="623"/>
      <c r="BY216" s="623"/>
      <c r="BZ216" s="623"/>
      <c r="CA216" s="623"/>
      <c r="CB216" s="623"/>
      <c r="CC216" s="623"/>
      <c r="CD216" s="623"/>
      <c r="CE216" s="623"/>
      <c r="CF216" s="623"/>
      <c r="CG216" s="623"/>
      <c r="CH216" s="623"/>
      <c r="CI216" s="623"/>
      <c r="CJ216" s="623"/>
      <c r="CK216" s="623"/>
      <c r="CL216" s="623"/>
      <c r="CM216" s="623"/>
      <c r="CN216" s="623"/>
      <c r="CO216" s="623"/>
      <c r="CP216" s="623"/>
      <c r="CQ216" s="623"/>
    </row>
    <row r="217" spans="1:95" s="808" customFormat="1">
      <c r="A217" s="607" t="s">
        <v>13024</v>
      </c>
      <c r="B217" s="604">
        <v>7.8192055450475445E-2</v>
      </c>
      <c r="C217" s="558"/>
      <c r="D217" s="558"/>
      <c r="E217" s="556" t="str">
        <f t="shared" si="78"/>
        <v>Alert()</v>
      </c>
      <c r="F217" s="558"/>
      <c r="G217" s="558"/>
      <c r="H217" s="558"/>
      <c r="I217" s="558"/>
      <c r="J217" s="558"/>
      <c r="K217" s="558"/>
      <c r="L217" s="625"/>
      <c r="M217" s="625"/>
      <c r="N217" s="625"/>
      <c r="O217" s="625"/>
      <c r="P217" s="625"/>
      <c r="Q217" s="625"/>
      <c r="R217" s="625"/>
      <c r="S217" s="625"/>
      <c r="T217" s="625"/>
      <c r="U217" s="625"/>
      <c r="V217" s="625"/>
      <c r="W217" s="625"/>
      <c r="X217" s="625"/>
      <c r="Y217" s="625"/>
      <c r="Z217" s="625"/>
      <c r="AA217" s="625"/>
      <c r="AB217" s="625"/>
      <c r="AC217" s="625"/>
      <c r="AD217" s="625"/>
      <c r="AE217" s="625"/>
      <c r="AF217" s="623"/>
      <c r="AG217" s="623"/>
      <c r="AH217" s="623"/>
      <c r="AI217" s="623"/>
      <c r="AJ217" s="623"/>
      <c r="AK217" s="623"/>
      <c r="AL217" s="623"/>
      <c r="AM217" s="623"/>
      <c r="AN217" s="625"/>
      <c r="AO217" s="625"/>
      <c r="AP217" s="625"/>
      <c r="AQ217" s="625"/>
      <c r="AR217" s="625"/>
      <c r="AS217" s="625"/>
      <c r="AT217" s="625"/>
      <c r="AU217" s="625"/>
      <c r="AV217" s="625"/>
      <c r="AW217" s="625"/>
      <c r="AX217" s="625"/>
      <c r="AY217" s="625"/>
      <c r="AZ217" s="625"/>
      <c r="BA217" s="625"/>
      <c r="BB217" s="695"/>
      <c r="BC217" s="623"/>
      <c r="BD217" s="623"/>
      <c r="BE217" s="623"/>
      <c r="BF217" s="623"/>
      <c r="BG217" s="623"/>
      <c r="BH217" s="623"/>
      <c r="BI217" s="623"/>
      <c r="BJ217" s="623"/>
      <c r="BK217" s="623"/>
      <c r="BL217" s="623"/>
      <c r="BM217" s="623"/>
      <c r="BN217" s="623"/>
      <c r="BO217" s="623"/>
      <c r="BP217" s="623"/>
      <c r="BQ217" s="623"/>
      <c r="BR217" s="623"/>
      <c r="BS217" s="623"/>
      <c r="BT217" s="623"/>
      <c r="BU217" s="623"/>
      <c r="BV217" s="623"/>
      <c r="BW217" s="623"/>
      <c r="BX217" s="623"/>
      <c r="BY217" s="623"/>
      <c r="BZ217" s="623"/>
      <c r="CA217" s="623"/>
      <c r="CB217" s="623"/>
      <c r="CC217" s="623"/>
      <c r="CD217" s="623"/>
      <c r="CE217" s="623"/>
      <c r="CF217" s="623"/>
      <c r="CG217" s="623"/>
      <c r="CH217" s="623"/>
      <c r="CI217" s="623"/>
      <c r="CJ217" s="623"/>
      <c r="CK217" s="623"/>
      <c r="CL217" s="623"/>
      <c r="CM217" s="623"/>
      <c r="CN217" s="623"/>
      <c r="CO217" s="623"/>
      <c r="CP217" s="623"/>
      <c r="CQ217" s="623"/>
    </row>
    <row r="218" spans="1:95" s="808" customFormat="1">
      <c r="A218" s="607" t="s">
        <v>13025</v>
      </c>
      <c r="B218" s="604">
        <v>7.2798547051613916E-3</v>
      </c>
      <c r="C218" s="558"/>
      <c r="D218" s="558"/>
      <c r="E218" s="556" t="str">
        <f t="shared" si="78"/>
        <v/>
      </c>
      <c r="F218" s="558"/>
      <c r="G218" s="558"/>
      <c r="H218" s="558"/>
      <c r="I218" s="558"/>
      <c r="J218" s="558"/>
      <c r="K218" s="558"/>
      <c r="L218" s="625"/>
      <c r="M218" s="625"/>
      <c r="N218" s="625"/>
      <c r="O218" s="625"/>
      <c r="P218" s="625"/>
      <c r="Q218" s="625"/>
      <c r="R218" s="625"/>
      <c r="S218" s="625"/>
      <c r="T218" s="625"/>
      <c r="U218" s="625"/>
      <c r="V218" s="625"/>
      <c r="W218" s="625"/>
      <c r="X218" s="625"/>
      <c r="Y218" s="625"/>
      <c r="Z218" s="625"/>
      <c r="AA218" s="625"/>
      <c r="AB218" s="625"/>
      <c r="AC218" s="625"/>
      <c r="AD218" s="625"/>
      <c r="AE218" s="625"/>
      <c r="AF218" s="623"/>
      <c r="AG218" s="623"/>
      <c r="AH218" s="623"/>
      <c r="AI218" s="623"/>
      <c r="AJ218" s="623"/>
      <c r="AK218" s="623"/>
      <c r="AL218" s="623"/>
      <c r="AM218" s="623"/>
      <c r="AN218" s="625"/>
      <c r="AO218" s="625"/>
      <c r="AP218" s="625"/>
      <c r="AQ218" s="625"/>
      <c r="AR218" s="625"/>
      <c r="AS218" s="625"/>
      <c r="AT218" s="625"/>
      <c r="AU218" s="625"/>
      <c r="AV218" s="625"/>
      <c r="AW218" s="625"/>
      <c r="AX218" s="625"/>
      <c r="AY218" s="625"/>
      <c r="AZ218" s="625"/>
      <c r="BA218" s="625"/>
      <c r="BB218" s="695"/>
      <c r="BC218" s="623"/>
      <c r="BD218" s="623"/>
      <c r="BE218" s="623"/>
      <c r="BF218" s="623"/>
      <c r="BG218" s="623"/>
      <c r="BH218" s="623"/>
      <c r="BI218" s="623"/>
      <c r="BJ218" s="623"/>
      <c r="BK218" s="623"/>
      <c r="BL218" s="623"/>
      <c r="BM218" s="623"/>
      <c r="BN218" s="623"/>
      <c r="BO218" s="623"/>
      <c r="BP218" s="623"/>
      <c r="BQ218" s="623"/>
      <c r="BR218" s="623"/>
      <c r="BS218" s="623"/>
      <c r="BT218" s="623"/>
      <c r="BU218" s="623"/>
      <c r="BV218" s="623"/>
      <c r="BW218" s="623"/>
      <c r="BX218" s="623"/>
      <c r="BY218" s="623"/>
      <c r="BZ218" s="623"/>
      <c r="CA218" s="623"/>
      <c r="CB218" s="623"/>
      <c r="CC218" s="623"/>
      <c r="CD218" s="623"/>
      <c r="CE218" s="623"/>
      <c r="CF218" s="623"/>
      <c r="CG218" s="623"/>
      <c r="CH218" s="623"/>
      <c r="CI218" s="623"/>
      <c r="CJ218" s="623"/>
      <c r="CK218" s="623"/>
      <c r="CL218" s="623"/>
      <c r="CM218" s="623"/>
      <c r="CN218" s="623"/>
      <c r="CO218" s="623"/>
      <c r="CP218" s="623"/>
      <c r="CQ218" s="623"/>
    </row>
    <row r="219" spans="1:95" s="808" customFormat="1">
      <c r="A219" s="607" t="s">
        <v>13016</v>
      </c>
      <c r="B219" s="604">
        <v>5.7136566922843229E-3</v>
      </c>
      <c r="C219" s="558"/>
      <c r="D219" s="558"/>
      <c r="E219" s="556" t="str">
        <f t="shared" si="78"/>
        <v/>
      </c>
      <c r="F219" s="558"/>
      <c r="G219" s="558"/>
      <c r="H219" s="558"/>
      <c r="I219" s="558"/>
      <c r="J219" s="558"/>
      <c r="K219" s="558"/>
      <c r="L219" s="625"/>
      <c r="M219" s="625"/>
      <c r="N219" s="625"/>
      <c r="O219" s="625"/>
      <c r="P219" s="625"/>
      <c r="Q219" s="625"/>
      <c r="R219" s="625"/>
      <c r="S219" s="625"/>
      <c r="T219" s="625"/>
      <c r="U219" s="625"/>
      <c r="V219" s="625"/>
      <c r="W219" s="625"/>
      <c r="X219" s="625"/>
      <c r="Y219" s="625"/>
      <c r="Z219" s="625"/>
      <c r="AA219" s="625"/>
      <c r="AB219" s="625"/>
      <c r="AC219" s="625"/>
      <c r="AD219" s="625"/>
      <c r="AE219" s="625"/>
      <c r="AF219" s="623"/>
      <c r="AG219" s="623"/>
      <c r="AH219" s="623"/>
      <c r="AI219" s="623"/>
      <c r="AJ219" s="623"/>
      <c r="AK219" s="623"/>
      <c r="AL219" s="623"/>
      <c r="AM219" s="623"/>
      <c r="AN219" s="625"/>
      <c r="AO219" s="625"/>
      <c r="AP219" s="625"/>
      <c r="AQ219" s="625"/>
      <c r="AR219" s="625"/>
      <c r="AS219" s="625"/>
      <c r="AT219" s="625"/>
      <c r="AU219" s="625"/>
      <c r="AV219" s="625"/>
      <c r="AW219" s="625"/>
      <c r="AX219" s="625"/>
      <c r="AY219" s="625"/>
      <c r="AZ219" s="625"/>
      <c r="BA219" s="625"/>
      <c r="BB219" s="695"/>
      <c r="BC219" s="623"/>
      <c r="BD219" s="623"/>
      <c r="BE219" s="623"/>
      <c r="BF219" s="623"/>
      <c r="BG219" s="623"/>
      <c r="BH219" s="623"/>
      <c r="BI219" s="623"/>
      <c r="BJ219" s="623"/>
      <c r="BK219" s="623"/>
      <c r="BL219" s="623"/>
      <c r="BM219" s="623"/>
      <c r="BN219" s="623"/>
      <c r="BO219" s="623"/>
      <c r="BP219" s="623"/>
      <c r="BQ219" s="623"/>
      <c r="BR219" s="623"/>
      <c r="BS219" s="623"/>
      <c r="BT219" s="623"/>
      <c r="BU219" s="623"/>
      <c r="BV219" s="623"/>
      <c r="BW219" s="623"/>
      <c r="BX219" s="623"/>
      <c r="BY219" s="623"/>
      <c r="BZ219" s="623"/>
      <c r="CA219" s="623"/>
      <c r="CB219" s="623"/>
      <c r="CC219" s="623"/>
      <c r="CD219" s="623"/>
      <c r="CE219" s="623"/>
      <c r="CF219" s="623"/>
      <c r="CG219" s="623"/>
      <c r="CH219" s="623"/>
      <c r="CI219" s="623"/>
      <c r="CJ219" s="623"/>
      <c r="CK219" s="623"/>
      <c r="CL219" s="623"/>
      <c r="CM219" s="623"/>
      <c r="CN219" s="623"/>
      <c r="CO219" s="623"/>
      <c r="CP219" s="623"/>
      <c r="CQ219" s="623"/>
    </row>
    <row r="220" spans="1:95" s="808" customFormat="1">
      <c r="A220" s="607" t="s">
        <v>13019</v>
      </c>
      <c r="B220" s="604">
        <v>6.6722139521025979E-3</v>
      </c>
      <c r="C220" s="558"/>
      <c r="D220" s="558"/>
      <c r="E220" s="556" t="str">
        <f t="shared" si="78"/>
        <v/>
      </c>
      <c r="F220" s="558"/>
      <c r="G220" s="558"/>
      <c r="H220" s="558"/>
      <c r="I220" s="558"/>
      <c r="J220" s="558"/>
      <c r="K220" s="558"/>
      <c r="L220" s="625"/>
      <c r="M220" s="625"/>
      <c r="N220" s="625"/>
      <c r="O220" s="625"/>
      <c r="P220" s="625"/>
      <c r="Q220" s="625"/>
      <c r="R220" s="625"/>
      <c r="S220" s="625"/>
      <c r="T220" s="625"/>
      <c r="U220" s="625"/>
      <c r="V220" s="625"/>
      <c r="W220" s="625"/>
      <c r="X220" s="625"/>
      <c r="Y220" s="625"/>
      <c r="Z220" s="625"/>
      <c r="AA220" s="625"/>
      <c r="AB220" s="625"/>
      <c r="AC220" s="625"/>
      <c r="AD220" s="625"/>
      <c r="AE220" s="625"/>
      <c r="AF220" s="623"/>
      <c r="AG220" s="623"/>
      <c r="AH220" s="623"/>
      <c r="AI220" s="623"/>
      <c r="AJ220" s="623"/>
      <c r="AK220" s="623"/>
      <c r="AL220" s="623"/>
      <c r="AM220" s="623"/>
      <c r="AN220" s="625"/>
      <c r="AO220" s="625"/>
      <c r="AP220" s="625"/>
      <c r="AQ220" s="625"/>
      <c r="AR220" s="625"/>
      <c r="AS220" s="625"/>
      <c r="AT220" s="625"/>
      <c r="AU220" s="625"/>
      <c r="AV220" s="625"/>
      <c r="AW220" s="625"/>
      <c r="AX220" s="625"/>
      <c r="AY220" s="625"/>
      <c r="AZ220" s="625"/>
      <c r="BA220" s="625"/>
      <c r="BB220" s="695"/>
      <c r="BC220" s="623"/>
      <c r="BD220" s="623"/>
      <c r="BE220" s="623"/>
      <c r="BF220" s="623"/>
      <c r="BG220" s="623"/>
      <c r="BH220" s="623"/>
      <c r="BI220" s="623"/>
      <c r="BJ220" s="623"/>
      <c r="BK220" s="623"/>
      <c r="BL220" s="623"/>
      <c r="BM220" s="623"/>
      <c r="BN220" s="623"/>
      <c r="BO220" s="623"/>
      <c r="BP220" s="623"/>
      <c r="BQ220" s="623"/>
      <c r="BR220" s="623"/>
      <c r="BS220" s="623"/>
      <c r="BT220" s="623"/>
      <c r="BU220" s="623"/>
      <c r="BV220" s="623"/>
      <c r="BW220" s="623"/>
      <c r="BX220" s="623"/>
      <c r="BY220" s="623"/>
      <c r="BZ220" s="623"/>
      <c r="CA220" s="623"/>
      <c r="CB220" s="623"/>
      <c r="CC220" s="623"/>
      <c r="CD220" s="623"/>
      <c r="CE220" s="623"/>
      <c r="CF220" s="623"/>
      <c r="CG220" s="623"/>
      <c r="CH220" s="623"/>
      <c r="CI220" s="623"/>
      <c r="CJ220" s="623"/>
      <c r="CK220" s="623"/>
      <c r="CL220" s="623"/>
      <c r="CM220" s="623"/>
      <c r="CN220" s="623"/>
      <c r="CO220" s="623"/>
      <c r="CP220" s="623"/>
      <c r="CQ220" s="623"/>
    </row>
    <row r="221" spans="1:95" s="808" customFormat="1">
      <c r="A221"/>
      <c r="B221"/>
      <c r="C221" s="558"/>
      <c r="D221" s="558"/>
      <c r="E221" s="556" t="str">
        <f t="shared" ref="E221:E277" si="79">IF(B221&gt;7%,"Alert()","")</f>
        <v/>
      </c>
      <c r="F221" s="558"/>
      <c r="G221" s="558"/>
      <c r="H221" s="558"/>
      <c r="I221" s="558"/>
      <c r="J221" s="558"/>
      <c r="K221" s="558"/>
      <c r="L221" s="625"/>
      <c r="M221" s="625"/>
      <c r="N221" s="625"/>
      <c r="O221" s="625"/>
      <c r="P221" s="625"/>
      <c r="Q221" s="625"/>
      <c r="R221" s="625"/>
      <c r="S221" s="625"/>
      <c r="T221" s="625"/>
      <c r="U221" s="625"/>
      <c r="V221" s="625"/>
      <c r="W221" s="625"/>
      <c r="X221" s="625"/>
      <c r="Y221" s="625"/>
      <c r="Z221" s="625"/>
      <c r="AA221" s="625"/>
      <c r="AB221" s="625"/>
      <c r="AC221" s="625"/>
      <c r="AD221" s="625"/>
      <c r="AE221" s="625"/>
      <c r="AF221" s="623"/>
      <c r="AG221" s="623"/>
      <c r="AH221" s="623"/>
      <c r="AI221" s="623"/>
      <c r="AJ221" s="623"/>
      <c r="AK221" s="623"/>
      <c r="AL221" s="623"/>
      <c r="AM221" s="623"/>
      <c r="AN221" s="625"/>
      <c r="AO221" s="625"/>
      <c r="AP221" s="625"/>
      <c r="AQ221" s="625"/>
      <c r="AR221" s="625"/>
      <c r="AS221" s="625"/>
      <c r="AT221" s="625"/>
      <c r="AU221" s="625"/>
      <c r="AV221" s="625"/>
      <c r="AW221" s="625"/>
      <c r="AX221" s="625"/>
      <c r="AY221" s="625"/>
      <c r="AZ221" s="625"/>
      <c r="BA221" s="625"/>
      <c r="BB221" s="695"/>
      <c r="BC221" s="623"/>
      <c r="BD221" s="623"/>
      <c r="BE221" s="623"/>
      <c r="BF221" s="623"/>
      <c r="BG221" s="623"/>
      <c r="BH221" s="623"/>
      <c r="BI221" s="623"/>
      <c r="BJ221" s="623"/>
      <c r="BK221" s="623"/>
      <c r="BL221" s="623"/>
      <c r="BM221" s="623"/>
      <c r="BN221" s="623"/>
      <c r="BO221" s="623"/>
      <c r="BP221" s="623"/>
      <c r="BQ221" s="623"/>
      <c r="BR221" s="623"/>
      <c r="BS221" s="623"/>
      <c r="BT221" s="623"/>
      <c r="BU221" s="623"/>
      <c r="BV221" s="623"/>
      <c r="BW221" s="623"/>
      <c r="BX221" s="623"/>
      <c r="BY221" s="623"/>
      <c r="BZ221" s="623"/>
      <c r="CA221" s="623"/>
      <c r="CB221" s="623"/>
      <c r="CC221" s="623"/>
      <c r="CD221" s="623"/>
      <c r="CE221" s="623"/>
      <c r="CF221" s="623"/>
      <c r="CG221" s="623"/>
      <c r="CH221" s="623"/>
      <c r="CI221" s="623"/>
      <c r="CJ221" s="623"/>
      <c r="CK221" s="623"/>
      <c r="CL221" s="623"/>
      <c r="CM221" s="623"/>
      <c r="CN221" s="623"/>
      <c r="CO221" s="623"/>
      <c r="CP221" s="623"/>
      <c r="CQ221" s="623"/>
    </row>
    <row r="222" spans="1:95" s="808" customFormat="1">
      <c r="A222"/>
      <c r="B222"/>
      <c r="C222" s="558"/>
      <c r="D222" s="558"/>
      <c r="E222" s="556" t="str">
        <f t="shared" si="79"/>
        <v/>
      </c>
      <c r="F222" s="558"/>
      <c r="G222" s="558"/>
      <c r="H222" s="558"/>
      <c r="I222" s="558"/>
      <c r="J222" s="558"/>
      <c r="K222" s="558"/>
      <c r="L222" s="625"/>
      <c r="M222" s="625"/>
      <c r="N222" s="625"/>
      <c r="O222" s="625"/>
      <c r="P222" s="625"/>
      <c r="Q222" s="625"/>
      <c r="R222" s="625"/>
      <c r="S222" s="625"/>
      <c r="T222" s="625"/>
      <c r="U222" s="625"/>
      <c r="V222" s="625"/>
      <c r="W222" s="625"/>
      <c r="X222" s="625"/>
      <c r="Y222" s="625"/>
      <c r="Z222" s="625"/>
      <c r="AA222" s="625"/>
      <c r="AB222" s="625"/>
      <c r="AC222" s="625"/>
      <c r="AD222" s="625"/>
      <c r="AE222" s="625"/>
      <c r="AF222" s="623"/>
      <c r="AG222" s="623"/>
      <c r="AH222" s="623"/>
      <c r="AI222" s="623"/>
      <c r="AJ222" s="623"/>
      <c r="AK222" s="623"/>
      <c r="AL222" s="623"/>
      <c r="AM222" s="623"/>
      <c r="AN222" s="625"/>
      <c r="AO222" s="625"/>
      <c r="AP222" s="625"/>
      <c r="AQ222" s="625"/>
      <c r="AR222" s="625"/>
      <c r="AS222" s="625"/>
      <c r="AT222" s="625"/>
      <c r="AU222" s="625"/>
      <c r="AV222" s="625"/>
      <c r="AW222" s="625"/>
      <c r="AX222" s="625"/>
      <c r="AY222" s="625"/>
      <c r="AZ222" s="625"/>
      <c r="BA222" s="625"/>
      <c r="BB222" s="695"/>
      <c r="BC222" s="623"/>
      <c r="BD222" s="623"/>
      <c r="BE222" s="623"/>
      <c r="BF222" s="623"/>
      <c r="BG222" s="623"/>
      <c r="BH222" s="623"/>
      <c r="BI222" s="623"/>
      <c r="BJ222" s="623"/>
      <c r="BK222" s="623"/>
      <c r="BL222" s="623"/>
      <c r="BM222" s="623"/>
      <c r="BN222" s="623"/>
      <c r="BO222" s="623"/>
      <c r="BP222" s="623"/>
      <c r="BQ222" s="623"/>
      <c r="BR222" s="623"/>
      <c r="BS222" s="623"/>
      <c r="BT222" s="623"/>
      <c r="BU222" s="623"/>
      <c r="BV222" s="623"/>
      <c r="BW222" s="623"/>
      <c r="BX222" s="623"/>
      <c r="BY222" s="623"/>
      <c r="BZ222" s="623"/>
      <c r="CA222" s="623"/>
      <c r="CB222" s="623"/>
      <c r="CC222" s="623"/>
      <c r="CD222" s="623"/>
      <c r="CE222" s="623"/>
      <c r="CF222" s="623"/>
      <c r="CG222" s="623"/>
      <c r="CH222" s="623"/>
      <c r="CI222" s="623"/>
      <c r="CJ222" s="623"/>
      <c r="CK222" s="623"/>
      <c r="CL222" s="623"/>
      <c r="CM222" s="623"/>
      <c r="CN222" s="623"/>
      <c r="CO222" s="623"/>
      <c r="CP222" s="623"/>
      <c r="CQ222" s="623"/>
    </row>
    <row r="223" spans="1:95" s="808" customFormat="1">
      <c r="A223"/>
      <c r="B223"/>
      <c r="C223" s="558"/>
      <c r="D223" s="558"/>
      <c r="E223" s="556" t="str">
        <f t="shared" si="79"/>
        <v/>
      </c>
      <c r="F223" s="558"/>
      <c r="G223" s="558"/>
      <c r="H223" s="558"/>
      <c r="I223" s="558"/>
      <c r="J223" s="558"/>
      <c r="K223" s="558"/>
      <c r="L223" s="625"/>
      <c r="M223" s="625"/>
      <c r="N223" s="625"/>
      <c r="O223" s="625"/>
      <c r="P223" s="625"/>
      <c r="Q223" s="625"/>
      <c r="R223" s="625"/>
      <c r="S223" s="625"/>
      <c r="T223" s="625"/>
      <c r="U223" s="625"/>
      <c r="V223" s="625"/>
      <c r="W223" s="625"/>
      <c r="X223" s="625"/>
      <c r="Y223" s="625"/>
      <c r="Z223" s="625"/>
      <c r="AA223" s="625"/>
      <c r="AB223" s="625"/>
      <c r="AC223" s="625"/>
      <c r="AD223" s="625"/>
      <c r="AE223" s="625"/>
      <c r="AF223" s="623"/>
      <c r="AG223" s="623"/>
      <c r="AH223" s="623"/>
      <c r="AI223" s="623"/>
      <c r="AJ223" s="623"/>
      <c r="AK223" s="623"/>
      <c r="AL223" s="623"/>
      <c r="AM223" s="623"/>
      <c r="AN223" s="625"/>
      <c r="AO223" s="625"/>
      <c r="AP223" s="625"/>
      <c r="AQ223" s="625"/>
      <c r="AR223" s="625"/>
      <c r="AS223" s="625"/>
      <c r="AT223" s="625"/>
      <c r="AU223" s="625"/>
      <c r="AV223" s="625"/>
      <c r="AW223" s="625"/>
      <c r="AX223" s="625"/>
      <c r="AY223" s="625"/>
      <c r="AZ223" s="625"/>
      <c r="BA223" s="625"/>
      <c r="BB223" s="695"/>
      <c r="BC223" s="623"/>
      <c r="BD223" s="623"/>
      <c r="BE223" s="623"/>
      <c r="BF223" s="623"/>
      <c r="BG223" s="623"/>
      <c r="BH223" s="623"/>
      <c r="BI223" s="623"/>
      <c r="BJ223" s="623"/>
      <c r="BK223" s="623"/>
      <c r="BL223" s="623"/>
      <c r="BM223" s="623"/>
      <c r="BN223" s="623"/>
      <c r="BO223" s="623"/>
      <c r="BP223" s="623"/>
      <c r="BQ223" s="623"/>
      <c r="BR223" s="623"/>
      <c r="BS223" s="623"/>
      <c r="BT223" s="623"/>
      <c r="BU223" s="623"/>
      <c r="BV223" s="623"/>
      <c r="BW223" s="623"/>
      <c r="BX223" s="623"/>
      <c r="BY223" s="623"/>
      <c r="BZ223" s="623"/>
      <c r="CA223" s="623"/>
      <c r="CB223" s="623"/>
      <c r="CC223" s="623"/>
      <c r="CD223" s="623"/>
      <c r="CE223" s="623"/>
      <c r="CF223" s="623"/>
      <c r="CG223" s="623"/>
      <c r="CH223" s="623"/>
      <c r="CI223" s="623"/>
      <c r="CJ223" s="623"/>
      <c r="CK223" s="623"/>
      <c r="CL223" s="623"/>
      <c r="CM223" s="623"/>
      <c r="CN223" s="623"/>
      <c r="CO223" s="623"/>
      <c r="CP223" s="623"/>
      <c r="CQ223" s="623"/>
    </row>
    <row r="224" spans="1:95" s="808" customFormat="1">
      <c r="A224" s="567"/>
      <c r="B224" s="567"/>
      <c r="C224" s="558"/>
      <c r="D224" s="558"/>
      <c r="E224" s="556" t="str">
        <f t="shared" si="79"/>
        <v/>
      </c>
      <c r="F224" s="558"/>
      <c r="G224" s="558"/>
      <c r="H224" s="558"/>
      <c r="I224" s="558"/>
      <c r="J224" s="558"/>
      <c r="K224" s="558"/>
      <c r="L224" s="625"/>
      <c r="M224" s="625"/>
      <c r="N224" s="625"/>
      <c r="O224" s="625"/>
      <c r="P224" s="625"/>
      <c r="Q224" s="625"/>
      <c r="R224" s="625"/>
      <c r="S224" s="625"/>
      <c r="T224" s="625"/>
      <c r="U224" s="625"/>
      <c r="V224" s="625"/>
      <c r="W224" s="625"/>
      <c r="X224" s="625"/>
      <c r="Y224" s="625"/>
      <c r="Z224" s="625"/>
      <c r="AA224" s="625"/>
      <c r="AB224" s="625"/>
      <c r="AC224" s="625"/>
      <c r="AD224" s="625"/>
      <c r="AE224" s="625"/>
      <c r="AF224" s="623"/>
      <c r="AG224" s="623"/>
      <c r="AH224" s="623"/>
      <c r="AI224" s="623"/>
      <c r="AJ224" s="623"/>
      <c r="AK224" s="623"/>
      <c r="AL224" s="623"/>
      <c r="AM224" s="623"/>
      <c r="AN224" s="625"/>
      <c r="AO224" s="625"/>
      <c r="AP224" s="625"/>
      <c r="AQ224" s="625"/>
      <c r="AR224" s="625"/>
      <c r="AS224" s="625"/>
      <c r="AT224" s="625"/>
      <c r="AU224" s="625"/>
      <c r="AV224" s="625"/>
      <c r="AW224" s="625"/>
      <c r="AX224" s="625"/>
      <c r="AY224" s="625"/>
      <c r="AZ224" s="625"/>
      <c r="BA224" s="625"/>
      <c r="BB224" s="695"/>
      <c r="BC224" s="623"/>
      <c r="BD224" s="623"/>
      <c r="BE224" s="623"/>
      <c r="BF224" s="623"/>
      <c r="BG224" s="623"/>
      <c r="BH224" s="623"/>
      <c r="BI224" s="623"/>
      <c r="BJ224" s="623"/>
      <c r="BK224" s="623"/>
      <c r="BL224" s="623"/>
      <c r="BM224" s="623"/>
      <c r="BN224" s="623"/>
      <c r="BO224" s="623"/>
      <c r="BP224" s="623"/>
      <c r="BQ224" s="623"/>
      <c r="BR224" s="623"/>
      <c r="BS224" s="623"/>
      <c r="BT224" s="623"/>
      <c r="BU224" s="623"/>
      <c r="BV224" s="623"/>
      <c r="BW224" s="623"/>
      <c r="BX224" s="623"/>
      <c r="BY224" s="623"/>
      <c r="BZ224" s="623"/>
      <c r="CA224" s="623"/>
      <c r="CB224" s="623"/>
      <c r="CC224" s="623"/>
      <c r="CD224" s="623"/>
      <c r="CE224" s="623"/>
      <c r="CF224" s="623"/>
      <c r="CG224" s="623"/>
      <c r="CH224" s="623"/>
      <c r="CI224" s="623"/>
      <c r="CJ224" s="623"/>
      <c r="CK224" s="623"/>
      <c r="CL224" s="623"/>
      <c r="CM224" s="623"/>
      <c r="CN224" s="623"/>
      <c r="CO224" s="623"/>
      <c r="CP224" s="623"/>
      <c r="CQ224" s="623"/>
    </row>
    <row r="225" spans="1:95" s="808" customFormat="1">
      <c r="A225" s="567"/>
      <c r="B225" s="567"/>
      <c r="C225" s="558"/>
      <c r="D225" s="558"/>
      <c r="E225" s="556" t="str">
        <f t="shared" si="79"/>
        <v/>
      </c>
      <c r="F225" s="558"/>
      <c r="G225" s="558"/>
      <c r="H225" s="558"/>
      <c r="I225" s="558"/>
      <c r="J225" s="558"/>
      <c r="K225" s="558"/>
      <c r="L225" s="625"/>
      <c r="M225" s="625"/>
      <c r="N225" s="625"/>
      <c r="O225" s="625"/>
      <c r="P225" s="625"/>
      <c r="Q225" s="625"/>
      <c r="R225" s="625"/>
      <c r="S225" s="625"/>
      <c r="T225" s="625"/>
      <c r="U225" s="625"/>
      <c r="V225" s="625"/>
      <c r="W225" s="625"/>
      <c r="X225" s="625"/>
      <c r="Y225" s="625"/>
      <c r="Z225" s="625"/>
      <c r="AA225" s="625"/>
      <c r="AB225" s="625"/>
      <c r="AC225" s="625"/>
      <c r="AD225" s="625"/>
      <c r="AE225" s="625"/>
      <c r="AF225" s="623"/>
      <c r="AG225" s="623"/>
      <c r="AH225" s="623"/>
      <c r="AI225" s="623"/>
      <c r="AJ225" s="623"/>
      <c r="AK225" s="623"/>
      <c r="AL225" s="623"/>
      <c r="AM225" s="623"/>
      <c r="AN225" s="625"/>
      <c r="AO225" s="625"/>
      <c r="AP225" s="625"/>
      <c r="AQ225" s="625"/>
      <c r="AR225" s="625"/>
      <c r="AS225" s="625"/>
      <c r="AT225" s="625"/>
      <c r="AU225" s="625"/>
      <c r="AV225" s="625"/>
      <c r="AW225" s="625"/>
      <c r="AX225" s="625"/>
      <c r="AY225" s="625"/>
      <c r="AZ225" s="625"/>
      <c r="BA225" s="625"/>
      <c r="BB225" s="695"/>
      <c r="BC225" s="623"/>
      <c r="BD225" s="623"/>
      <c r="BE225" s="623"/>
      <c r="BF225" s="623"/>
      <c r="BG225" s="623"/>
      <c r="BH225" s="623"/>
      <c r="BI225" s="623"/>
      <c r="BJ225" s="623"/>
      <c r="BK225" s="623"/>
      <c r="BL225" s="623"/>
      <c r="BM225" s="623"/>
      <c r="BN225" s="623"/>
      <c r="BO225" s="623"/>
      <c r="BP225" s="623"/>
      <c r="BQ225" s="623"/>
      <c r="BR225" s="623"/>
      <c r="BS225" s="623"/>
      <c r="BT225" s="623"/>
      <c r="BU225" s="623"/>
      <c r="BV225" s="623"/>
      <c r="BW225" s="623"/>
      <c r="BX225" s="623"/>
      <c r="BY225" s="623"/>
      <c r="BZ225" s="623"/>
      <c r="CA225" s="623"/>
      <c r="CB225" s="623"/>
      <c r="CC225" s="623"/>
      <c r="CD225" s="623"/>
      <c r="CE225" s="623"/>
      <c r="CF225" s="623"/>
      <c r="CG225" s="623"/>
      <c r="CH225" s="623"/>
      <c r="CI225" s="623"/>
      <c r="CJ225" s="623"/>
      <c r="CK225" s="623"/>
      <c r="CL225" s="623"/>
      <c r="CM225" s="623"/>
      <c r="CN225" s="623"/>
      <c r="CO225" s="623"/>
      <c r="CP225" s="623"/>
      <c r="CQ225" s="623"/>
    </row>
    <row r="226" spans="1:95" s="808" customFormat="1">
      <c r="A226" s="567"/>
      <c r="B226" s="567"/>
      <c r="C226" s="558"/>
      <c r="D226" s="558"/>
      <c r="E226" s="556" t="str">
        <f t="shared" si="79"/>
        <v/>
      </c>
      <c r="F226" s="558"/>
      <c r="G226" s="558"/>
      <c r="H226" s="558"/>
      <c r="I226" s="558"/>
      <c r="J226" s="558"/>
      <c r="K226" s="558"/>
      <c r="L226" s="625"/>
      <c r="M226" s="625"/>
      <c r="N226" s="625"/>
      <c r="O226" s="625"/>
      <c r="P226" s="625"/>
      <c r="Q226" s="625"/>
      <c r="R226" s="625"/>
      <c r="S226" s="625"/>
      <c r="T226" s="625"/>
      <c r="U226" s="625"/>
      <c r="V226" s="625"/>
      <c r="W226" s="625"/>
      <c r="X226" s="625"/>
      <c r="Y226" s="625"/>
      <c r="Z226" s="625"/>
      <c r="AA226" s="625"/>
      <c r="AB226" s="625"/>
      <c r="AC226" s="625"/>
      <c r="AD226" s="625"/>
      <c r="AE226" s="625"/>
      <c r="AF226" s="623"/>
      <c r="AG226" s="623"/>
      <c r="AH226" s="623"/>
      <c r="AI226" s="623"/>
      <c r="AJ226" s="623"/>
      <c r="AK226" s="623"/>
      <c r="AL226" s="623"/>
      <c r="AM226" s="623"/>
      <c r="AN226" s="625"/>
      <c r="AO226" s="625"/>
      <c r="AP226" s="625"/>
      <c r="AQ226" s="625"/>
      <c r="AR226" s="625"/>
      <c r="AS226" s="625"/>
      <c r="AT226" s="625"/>
      <c r="AU226" s="625"/>
      <c r="AV226" s="625"/>
      <c r="AW226" s="625"/>
      <c r="AX226" s="625"/>
      <c r="AY226" s="625"/>
      <c r="AZ226" s="625"/>
      <c r="BA226" s="625"/>
      <c r="BB226" s="695"/>
      <c r="BC226" s="623"/>
      <c r="BD226" s="623"/>
      <c r="BE226" s="623"/>
      <c r="BF226" s="623"/>
      <c r="BG226" s="623"/>
      <c r="BH226" s="623"/>
      <c r="BI226" s="623"/>
      <c r="BJ226" s="623"/>
      <c r="BK226" s="623"/>
      <c r="BL226" s="623"/>
      <c r="BM226" s="623"/>
      <c r="BN226" s="623"/>
      <c r="BO226" s="623"/>
      <c r="BP226" s="623"/>
      <c r="BQ226" s="623"/>
      <c r="BR226" s="623"/>
      <c r="BS226" s="623"/>
      <c r="BT226" s="623"/>
      <c r="BU226" s="623"/>
      <c r="BV226" s="623"/>
      <c r="BW226" s="623"/>
      <c r="BX226" s="623"/>
      <c r="BY226" s="623"/>
      <c r="BZ226" s="623"/>
      <c r="CA226" s="623"/>
      <c r="CB226" s="623"/>
      <c r="CC226" s="623"/>
      <c r="CD226" s="623"/>
      <c r="CE226" s="623"/>
      <c r="CF226" s="623"/>
      <c r="CG226" s="623"/>
      <c r="CH226" s="623"/>
      <c r="CI226" s="623"/>
      <c r="CJ226" s="623"/>
      <c r="CK226" s="623"/>
      <c r="CL226" s="623"/>
      <c r="CM226" s="623"/>
      <c r="CN226" s="623"/>
      <c r="CO226" s="623"/>
      <c r="CP226" s="623"/>
      <c r="CQ226" s="623"/>
    </row>
    <row r="227" spans="1:95" s="808" customFormat="1">
      <c r="A227" s="567"/>
      <c r="B227" s="567"/>
      <c r="C227" s="558"/>
      <c r="D227" s="558"/>
      <c r="E227" s="556" t="str">
        <f t="shared" si="79"/>
        <v/>
      </c>
      <c r="F227" s="558"/>
      <c r="G227" s="558"/>
      <c r="H227" s="558"/>
      <c r="I227" s="558"/>
      <c r="J227" s="558"/>
      <c r="K227" s="558"/>
      <c r="L227" s="625"/>
      <c r="M227" s="625"/>
      <c r="N227" s="625"/>
      <c r="O227" s="625"/>
      <c r="P227" s="625"/>
      <c r="Q227" s="625"/>
      <c r="R227" s="625"/>
      <c r="S227" s="625"/>
      <c r="T227" s="625"/>
      <c r="U227" s="625"/>
      <c r="V227" s="625"/>
      <c r="W227" s="625"/>
      <c r="X227" s="625"/>
      <c r="Y227" s="625"/>
      <c r="Z227" s="625"/>
      <c r="AA227" s="625"/>
      <c r="AB227" s="625"/>
      <c r="AC227" s="625"/>
      <c r="AD227" s="625"/>
      <c r="AE227" s="625"/>
      <c r="AF227" s="623"/>
      <c r="AG227" s="623"/>
      <c r="AH227" s="623"/>
      <c r="AI227" s="623"/>
      <c r="AJ227" s="623"/>
      <c r="AK227" s="623"/>
      <c r="AL227" s="623"/>
      <c r="AM227" s="623"/>
      <c r="AN227" s="625"/>
      <c r="AO227" s="625"/>
      <c r="AP227" s="625"/>
      <c r="AQ227" s="625"/>
      <c r="AR227" s="625"/>
      <c r="AS227" s="625"/>
      <c r="AT227" s="625"/>
      <c r="AU227" s="625"/>
      <c r="AV227" s="625"/>
      <c r="AW227" s="625"/>
      <c r="AX227" s="625"/>
      <c r="AY227" s="625"/>
      <c r="AZ227" s="625"/>
      <c r="BA227" s="625"/>
      <c r="BB227" s="695"/>
      <c r="BC227" s="623"/>
      <c r="BD227" s="623"/>
      <c r="BE227" s="623"/>
      <c r="BF227" s="623"/>
      <c r="BG227" s="623"/>
      <c r="BH227" s="623"/>
      <c r="BI227" s="623"/>
      <c r="BJ227" s="623"/>
      <c r="BK227" s="623"/>
      <c r="BL227" s="623"/>
      <c r="BM227" s="623"/>
      <c r="BN227" s="623"/>
      <c r="BO227" s="623"/>
      <c r="BP227" s="623"/>
      <c r="BQ227" s="623"/>
      <c r="BR227" s="623"/>
      <c r="BS227" s="623"/>
      <c r="BT227" s="623"/>
      <c r="BU227" s="623"/>
      <c r="BV227" s="623"/>
      <c r="BW227" s="623"/>
      <c r="BX227" s="623"/>
      <c r="BY227" s="623"/>
      <c r="BZ227" s="623"/>
      <c r="CA227" s="623"/>
      <c r="CB227" s="623"/>
      <c r="CC227" s="623"/>
      <c r="CD227" s="623"/>
      <c r="CE227" s="623"/>
      <c r="CF227" s="623"/>
      <c r="CG227" s="623"/>
      <c r="CH227" s="623"/>
      <c r="CI227" s="623"/>
      <c r="CJ227" s="623"/>
      <c r="CK227" s="623"/>
      <c r="CL227" s="623"/>
      <c r="CM227" s="623"/>
      <c r="CN227" s="623"/>
      <c r="CO227" s="623"/>
      <c r="CP227" s="623"/>
      <c r="CQ227" s="623"/>
    </row>
    <row r="228" spans="1:95" s="808" customFormat="1">
      <c r="A228" s="567"/>
      <c r="B228" s="567"/>
      <c r="C228" s="558"/>
      <c r="D228" s="558"/>
      <c r="E228" s="556" t="str">
        <f t="shared" si="79"/>
        <v/>
      </c>
      <c r="F228" s="558"/>
      <c r="G228" s="558"/>
      <c r="H228" s="558"/>
      <c r="I228" s="558"/>
      <c r="J228" s="558"/>
      <c r="K228" s="558"/>
      <c r="L228" s="625"/>
      <c r="M228" s="625"/>
      <c r="N228" s="625"/>
      <c r="O228" s="625"/>
      <c r="P228" s="625"/>
      <c r="Q228" s="625"/>
      <c r="R228" s="625"/>
      <c r="S228" s="625"/>
      <c r="T228" s="625"/>
      <c r="U228" s="625"/>
      <c r="V228" s="625"/>
      <c r="W228" s="625"/>
      <c r="X228" s="625"/>
      <c r="Y228" s="625"/>
      <c r="Z228" s="625"/>
      <c r="AA228" s="625"/>
      <c r="AB228" s="625"/>
      <c r="AC228" s="625"/>
      <c r="AD228" s="625"/>
      <c r="AE228" s="625"/>
      <c r="AF228" s="623"/>
      <c r="AG228" s="623"/>
      <c r="AH228" s="623"/>
      <c r="AI228" s="623"/>
      <c r="AJ228" s="623"/>
      <c r="AK228" s="623"/>
      <c r="AL228" s="623"/>
      <c r="AM228" s="623"/>
      <c r="AN228" s="625"/>
      <c r="AO228" s="625"/>
      <c r="AP228" s="625"/>
      <c r="AQ228" s="625"/>
      <c r="AR228" s="625"/>
      <c r="AS228" s="625"/>
      <c r="AT228" s="625"/>
      <c r="AU228" s="625"/>
      <c r="AV228" s="625"/>
      <c r="AW228" s="625"/>
      <c r="AX228" s="625"/>
      <c r="AY228" s="625"/>
      <c r="AZ228" s="625"/>
      <c r="BA228" s="625"/>
      <c r="BB228" s="695"/>
      <c r="BC228" s="623"/>
      <c r="BD228" s="623"/>
      <c r="BE228" s="623"/>
      <c r="BF228" s="623"/>
      <c r="BG228" s="623"/>
      <c r="BH228" s="623"/>
      <c r="BI228" s="623"/>
      <c r="BJ228" s="623"/>
      <c r="BK228" s="623"/>
      <c r="BL228" s="623"/>
      <c r="BM228" s="623"/>
      <c r="BN228" s="623"/>
      <c r="BO228" s="623"/>
      <c r="BP228" s="623"/>
      <c r="BQ228" s="623"/>
      <c r="BR228" s="623"/>
      <c r="BS228" s="623"/>
      <c r="BT228" s="623"/>
      <c r="BU228" s="623"/>
      <c r="BV228" s="623"/>
      <c r="BW228" s="623"/>
      <c r="BX228" s="623"/>
      <c r="BY228" s="623"/>
      <c r="BZ228" s="623"/>
      <c r="CA228" s="623"/>
      <c r="CB228" s="623"/>
      <c r="CC228" s="623"/>
      <c r="CD228" s="623"/>
      <c r="CE228" s="623"/>
      <c r="CF228" s="623"/>
      <c r="CG228" s="623"/>
      <c r="CH228" s="623"/>
      <c r="CI228" s="623"/>
      <c r="CJ228" s="623"/>
      <c r="CK228" s="623"/>
      <c r="CL228" s="623"/>
      <c r="CM228" s="623"/>
      <c r="CN228" s="623"/>
      <c r="CO228" s="623"/>
      <c r="CP228" s="623"/>
      <c r="CQ228" s="623"/>
    </row>
    <row r="229" spans="1:95" s="808" customFormat="1">
      <c r="A229" s="567"/>
      <c r="B229" s="567"/>
      <c r="C229" s="558"/>
      <c r="D229" s="558"/>
      <c r="E229" s="556" t="str">
        <f t="shared" si="79"/>
        <v/>
      </c>
      <c r="F229" s="558"/>
      <c r="G229" s="558"/>
      <c r="H229" s="558"/>
      <c r="I229" s="558"/>
      <c r="J229" s="558"/>
      <c r="K229" s="558"/>
      <c r="L229" s="625"/>
      <c r="M229" s="625"/>
      <c r="N229" s="625"/>
      <c r="O229" s="625"/>
      <c r="P229" s="625"/>
      <c r="Q229" s="625"/>
      <c r="R229" s="625"/>
      <c r="S229" s="625"/>
      <c r="T229" s="625"/>
      <c r="U229" s="625"/>
      <c r="V229" s="625"/>
      <c r="W229" s="625"/>
      <c r="X229" s="625"/>
      <c r="Y229" s="625"/>
      <c r="Z229" s="625"/>
      <c r="AA229" s="625"/>
      <c r="AB229" s="625"/>
      <c r="AC229" s="625"/>
      <c r="AD229" s="625"/>
      <c r="AE229" s="625"/>
      <c r="AF229" s="623"/>
      <c r="AG229" s="623"/>
      <c r="AH229" s="623"/>
      <c r="AI229" s="623"/>
      <c r="AJ229" s="623"/>
      <c r="AK229" s="623"/>
      <c r="AL229" s="623"/>
      <c r="AM229" s="623"/>
      <c r="AN229" s="625"/>
      <c r="AO229" s="625"/>
      <c r="AP229" s="625"/>
      <c r="AQ229" s="625"/>
      <c r="AR229" s="625"/>
      <c r="AS229" s="625"/>
      <c r="AT229" s="625"/>
      <c r="AU229" s="625"/>
      <c r="AV229" s="625"/>
      <c r="AW229" s="625"/>
      <c r="AX229" s="625"/>
      <c r="AY229" s="625"/>
      <c r="AZ229" s="625"/>
      <c r="BA229" s="625"/>
      <c r="BB229" s="695"/>
      <c r="BC229" s="623"/>
      <c r="BD229" s="623"/>
      <c r="BE229" s="623"/>
      <c r="BF229" s="623"/>
      <c r="BG229" s="623"/>
      <c r="BH229" s="623"/>
      <c r="BI229" s="623"/>
      <c r="BJ229" s="623"/>
      <c r="BK229" s="623"/>
      <c r="BL229" s="623"/>
      <c r="BM229" s="623"/>
      <c r="BN229" s="623"/>
      <c r="BO229" s="623"/>
      <c r="BP229" s="623"/>
      <c r="BQ229" s="623"/>
      <c r="BR229" s="623"/>
      <c r="BS229" s="623"/>
      <c r="BT229" s="623"/>
      <c r="BU229" s="623"/>
      <c r="BV229" s="623"/>
      <c r="BW229" s="623"/>
      <c r="BX229" s="623"/>
      <c r="BY229" s="623"/>
      <c r="BZ229" s="623"/>
      <c r="CA229" s="623"/>
      <c r="CB229" s="623"/>
      <c r="CC229" s="623"/>
      <c r="CD229" s="623"/>
      <c r="CE229" s="623"/>
      <c r="CF229" s="623"/>
      <c r="CG229" s="623"/>
      <c r="CH229" s="623"/>
      <c r="CI229" s="623"/>
      <c r="CJ229" s="623"/>
      <c r="CK229" s="623"/>
      <c r="CL229" s="623"/>
      <c r="CM229" s="623"/>
      <c r="CN229" s="623"/>
      <c r="CO229" s="623"/>
      <c r="CP229" s="623"/>
      <c r="CQ229" s="623"/>
    </row>
    <row r="230" spans="1:95" s="808" customFormat="1">
      <c r="A230" s="567"/>
      <c r="B230" s="567"/>
      <c r="C230" s="558"/>
      <c r="D230" s="558"/>
      <c r="E230" s="556" t="str">
        <f t="shared" si="79"/>
        <v/>
      </c>
      <c r="F230" s="558"/>
      <c r="G230" s="558"/>
      <c r="H230" s="558"/>
      <c r="I230" s="558"/>
      <c r="J230" s="558"/>
      <c r="K230" s="558"/>
      <c r="L230" s="625"/>
      <c r="M230" s="625"/>
      <c r="N230" s="625"/>
      <c r="O230" s="625"/>
      <c r="P230" s="625"/>
      <c r="Q230" s="625"/>
      <c r="R230" s="625"/>
      <c r="S230" s="625"/>
      <c r="T230" s="625"/>
      <c r="U230" s="625"/>
      <c r="V230" s="625"/>
      <c r="W230" s="625"/>
      <c r="X230" s="625"/>
      <c r="Y230" s="625"/>
      <c r="Z230" s="625"/>
      <c r="AA230" s="625"/>
      <c r="AB230" s="625"/>
      <c r="AC230" s="625"/>
      <c r="AD230" s="625"/>
      <c r="AE230" s="625"/>
      <c r="AF230" s="623"/>
      <c r="AG230" s="623"/>
      <c r="AH230" s="623"/>
      <c r="AI230" s="623"/>
      <c r="AJ230" s="623"/>
      <c r="AK230" s="623"/>
      <c r="AL230" s="623"/>
      <c r="AM230" s="623"/>
      <c r="AN230" s="625"/>
      <c r="AO230" s="625"/>
      <c r="AP230" s="625"/>
      <c r="AQ230" s="625"/>
      <c r="AR230" s="625"/>
      <c r="AS230" s="625"/>
      <c r="AT230" s="625"/>
      <c r="AU230" s="625"/>
      <c r="AV230" s="625"/>
      <c r="AW230" s="625"/>
      <c r="AX230" s="625"/>
      <c r="AY230" s="625"/>
      <c r="AZ230" s="625"/>
      <c r="BA230" s="625"/>
      <c r="BB230" s="695"/>
      <c r="BC230" s="623"/>
      <c r="BD230" s="623"/>
      <c r="BE230" s="623"/>
      <c r="BF230" s="623"/>
      <c r="BG230" s="623"/>
      <c r="BH230" s="623"/>
      <c r="BI230" s="623"/>
      <c r="BJ230" s="623"/>
      <c r="BK230" s="623"/>
      <c r="BL230" s="623"/>
      <c r="BM230" s="623"/>
      <c r="BN230" s="623"/>
      <c r="BO230" s="623"/>
      <c r="BP230" s="623"/>
      <c r="BQ230" s="623"/>
      <c r="BR230" s="623"/>
      <c r="BS230" s="623"/>
      <c r="BT230" s="623"/>
      <c r="BU230" s="623"/>
      <c r="BV230" s="623"/>
      <c r="BW230" s="623"/>
      <c r="BX230" s="623"/>
      <c r="BY230" s="623"/>
      <c r="BZ230" s="623"/>
      <c r="CA230" s="623"/>
      <c r="CB230" s="623"/>
      <c r="CC230" s="623"/>
      <c r="CD230" s="623"/>
      <c r="CE230" s="623"/>
      <c r="CF230" s="623"/>
      <c r="CG230" s="623"/>
      <c r="CH230" s="623"/>
      <c r="CI230" s="623"/>
      <c r="CJ230" s="623"/>
      <c r="CK230" s="623"/>
      <c r="CL230" s="623"/>
      <c r="CM230" s="623"/>
      <c r="CN230" s="623"/>
      <c r="CO230" s="623"/>
      <c r="CP230" s="623"/>
      <c r="CQ230" s="623"/>
    </row>
    <row r="231" spans="1:95" s="808" customFormat="1">
      <c r="A231" s="567"/>
      <c r="B231" s="567"/>
      <c r="C231" s="558"/>
      <c r="D231" s="558"/>
      <c r="E231" s="556" t="str">
        <f t="shared" si="79"/>
        <v/>
      </c>
      <c r="F231" s="558"/>
      <c r="G231" s="558"/>
      <c r="H231" s="558"/>
      <c r="I231" s="558"/>
      <c r="J231" s="558"/>
      <c r="K231" s="558"/>
      <c r="L231" s="625"/>
      <c r="M231" s="625"/>
      <c r="N231" s="625"/>
      <c r="O231" s="625"/>
      <c r="P231" s="625"/>
      <c r="Q231" s="625"/>
      <c r="R231" s="625"/>
      <c r="S231" s="625"/>
      <c r="T231" s="625"/>
      <c r="U231" s="625"/>
      <c r="V231" s="625"/>
      <c r="W231" s="625"/>
      <c r="X231" s="625"/>
      <c r="Y231" s="625"/>
      <c r="Z231" s="625"/>
      <c r="AA231" s="625"/>
      <c r="AB231" s="625"/>
      <c r="AC231" s="625"/>
      <c r="AD231" s="625"/>
      <c r="AE231" s="625"/>
      <c r="AF231" s="623"/>
      <c r="AG231" s="623"/>
      <c r="AH231" s="623"/>
      <c r="AI231" s="623"/>
      <c r="AJ231" s="623"/>
      <c r="AK231" s="623"/>
      <c r="AL231" s="623"/>
      <c r="AM231" s="623"/>
      <c r="AN231" s="625"/>
      <c r="AO231" s="625"/>
      <c r="AP231" s="625"/>
      <c r="AQ231" s="625"/>
      <c r="AR231" s="625"/>
      <c r="AS231" s="625"/>
      <c r="AT231" s="625"/>
      <c r="AU231" s="625"/>
      <c r="AV231" s="625"/>
      <c r="AW231" s="625"/>
      <c r="AX231" s="625"/>
      <c r="AY231" s="625"/>
      <c r="AZ231" s="625"/>
      <c r="BA231" s="625"/>
      <c r="BB231" s="695"/>
      <c r="BC231" s="623"/>
      <c r="BD231" s="623"/>
      <c r="BE231" s="623"/>
      <c r="BF231" s="623"/>
      <c r="BG231" s="623"/>
      <c r="BH231" s="623"/>
      <c r="BI231" s="623"/>
      <c r="BJ231" s="623"/>
      <c r="BK231" s="623"/>
      <c r="BL231" s="623"/>
      <c r="BM231" s="623"/>
      <c r="BN231" s="623"/>
      <c r="BO231" s="623"/>
      <c r="BP231" s="623"/>
      <c r="BQ231" s="623"/>
      <c r="BR231" s="623"/>
      <c r="BS231" s="623"/>
      <c r="BT231" s="623"/>
      <c r="BU231" s="623"/>
      <c r="BV231" s="623"/>
      <c r="BW231" s="623"/>
      <c r="BX231" s="623"/>
      <c r="BY231" s="623"/>
      <c r="BZ231" s="623"/>
      <c r="CA231" s="623"/>
      <c r="CB231" s="623"/>
      <c r="CC231" s="623"/>
      <c r="CD231" s="623"/>
      <c r="CE231" s="623"/>
      <c r="CF231" s="623"/>
      <c r="CG231" s="623"/>
      <c r="CH231" s="623"/>
      <c r="CI231" s="623"/>
      <c r="CJ231" s="623"/>
      <c r="CK231" s="623"/>
      <c r="CL231" s="623"/>
      <c r="CM231" s="623"/>
      <c r="CN231" s="623"/>
      <c r="CO231" s="623"/>
      <c r="CP231" s="623"/>
      <c r="CQ231" s="623"/>
    </row>
    <row r="232" spans="1:95" s="808" customFormat="1">
      <c r="A232" s="567"/>
      <c r="B232" s="567"/>
      <c r="C232" s="558"/>
      <c r="D232" s="558"/>
      <c r="E232" s="556" t="str">
        <f t="shared" si="79"/>
        <v/>
      </c>
      <c r="F232" s="558"/>
      <c r="G232" s="558"/>
      <c r="H232" s="558"/>
      <c r="I232" s="558"/>
      <c r="J232" s="558"/>
      <c r="K232" s="558"/>
      <c r="L232" s="625"/>
      <c r="M232" s="625"/>
      <c r="N232" s="625"/>
      <c r="O232" s="625"/>
      <c r="P232" s="625"/>
      <c r="Q232" s="625"/>
      <c r="R232" s="625"/>
      <c r="S232" s="625"/>
      <c r="T232" s="625"/>
      <c r="U232" s="625"/>
      <c r="V232" s="625"/>
      <c r="W232" s="625"/>
      <c r="X232" s="625"/>
      <c r="Y232" s="625"/>
      <c r="Z232" s="625"/>
      <c r="AA232" s="625"/>
      <c r="AB232" s="625"/>
      <c r="AC232" s="625"/>
      <c r="AD232" s="625"/>
      <c r="AE232" s="625"/>
      <c r="AF232" s="623"/>
      <c r="AG232" s="623"/>
      <c r="AH232" s="623"/>
      <c r="AI232" s="623"/>
      <c r="AJ232" s="623"/>
      <c r="AK232" s="623"/>
      <c r="AL232" s="623"/>
      <c r="AM232" s="623"/>
      <c r="AN232" s="625"/>
      <c r="AO232" s="625"/>
      <c r="AP232" s="625"/>
      <c r="AQ232" s="625"/>
      <c r="AR232" s="625"/>
      <c r="AS232" s="625"/>
      <c r="AT232" s="625"/>
      <c r="AU232" s="625"/>
      <c r="AV232" s="625"/>
      <c r="AW232" s="625"/>
      <c r="AX232" s="625"/>
      <c r="AY232" s="625"/>
      <c r="AZ232" s="625"/>
      <c r="BA232" s="625"/>
      <c r="BB232" s="695"/>
      <c r="BC232" s="623"/>
      <c r="BD232" s="623"/>
      <c r="BE232" s="623"/>
      <c r="BF232" s="623"/>
      <c r="BG232" s="623"/>
      <c r="BH232" s="623"/>
      <c r="BI232" s="623"/>
      <c r="BJ232" s="623"/>
      <c r="BK232" s="623"/>
      <c r="BL232" s="623"/>
      <c r="BM232" s="623"/>
      <c r="BN232" s="623"/>
      <c r="BO232" s="623"/>
      <c r="BP232" s="623"/>
      <c r="BQ232" s="623"/>
      <c r="BR232" s="623"/>
      <c r="BS232" s="623"/>
      <c r="BT232" s="623"/>
      <c r="BU232" s="623"/>
      <c r="BV232" s="623"/>
      <c r="BW232" s="623"/>
      <c r="BX232" s="623"/>
      <c r="BY232" s="623"/>
      <c r="BZ232" s="623"/>
      <c r="CA232" s="623"/>
      <c r="CB232" s="623"/>
      <c r="CC232" s="623"/>
      <c r="CD232" s="623"/>
      <c r="CE232" s="623"/>
      <c r="CF232" s="623"/>
      <c r="CG232" s="623"/>
      <c r="CH232" s="623"/>
      <c r="CI232" s="623"/>
      <c r="CJ232" s="623"/>
      <c r="CK232" s="623"/>
      <c r="CL232" s="623"/>
      <c r="CM232" s="623"/>
      <c r="CN232" s="623"/>
      <c r="CO232" s="623"/>
      <c r="CP232" s="623"/>
      <c r="CQ232" s="623"/>
    </row>
    <row r="233" spans="1:95" s="808" customFormat="1">
      <c r="A233" s="567"/>
      <c r="B233" s="567"/>
      <c r="C233" s="558"/>
      <c r="D233" s="558"/>
      <c r="E233" s="556" t="str">
        <f t="shared" si="79"/>
        <v/>
      </c>
      <c r="F233" s="558"/>
      <c r="G233" s="558"/>
      <c r="H233" s="558"/>
      <c r="I233" s="558"/>
      <c r="J233" s="558"/>
      <c r="K233" s="558"/>
      <c r="L233" s="625"/>
      <c r="M233" s="625"/>
      <c r="N233" s="625"/>
      <c r="O233" s="625"/>
      <c r="P233" s="625"/>
      <c r="Q233" s="625"/>
      <c r="R233" s="625"/>
      <c r="S233" s="625"/>
      <c r="T233" s="625"/>
      <c r="U233" s="625"/>
      <c r="V233" s="625"/>
      <c r="W233" s="625"/>
      <c r="X233" s="625"/>
      <c r="Y233" s="625"/>
      <c r="Z233" s="625"/>
      <c r="AA233" s="625"/>
      <c r="AB233" s="625"/>
      <c r="AC233" s="625"/>
      <c r="AD233" s="625"/>
      <c r="AE233" s="625"/>
      <c r="AF233" s="623"/>
      <c r="AG233" s="623"/>
      <c r="AH233" s="623"/>
      <c r="AI233" s="623"/>
      <c r="AJ233" s="623"/>
      <c r="AK233" s="623"/>
      <c r="AL233" s="623"/>
      <c r="AM233" s="623"/>
      <c r="AN233" s="625"/>
      <c r="AO233" s="625"/>
      <c r="AP233" s="625"/>
      <c r="AQ233" s="625"/>
      <c r="AR233" s="625"/>
      <c r="AS233" s="625"/>
      <c r="AT233" s="625"/>
      <c r="AU233" s="625"/>
      <c r="AV233" s="625"/>
      <c r="AW233" s="625"/>
      <c r="AX233" s="625"/>
      <c r="AY233" s="625"/>
      <c r="AZ233" s="625"/>
      <c r="BA233" s="625"/>
      <c r="BB233" s="695"/>
      <c r="BC233" s="623"/>
      <c r="BD233" s="623"/>
      <c r="BE233" s="623"/>
      <c r="BF233" s="623"/>
      <c r="BG233" s="623"/>
      <c r="BH233" s="623"/>
      <c r="BI233" s="623"/>
      <c r="BJ233" s="623"/>
      <c r="BK233" s="623"/>
      <c r="BL233" s="623"/>
      <c r="BM233" s="623"/>
      <c r="BN233" s="623"/>
      <c r="BO233" s="623"/>
      <c r="BP233" s="623"/>
      <c r="BQ233" s="623"/>
      <c r="BR233" s="623"/>
      <c r="BS233" s="623"/>
      <c r="BT233" s="623"/>
      <c r="BU233" s="623"/>
      <c r="BV233" s="623"/>
      <c r="BW233" s="623"/>
      <c r="BX233" s="623"/>
      <c r="BY233" s="623"/>
      <c r="BZ233" s="623"/>
      <c r="CA233" s="623"/>
      <c r="CB233" s="623"/>
      <c r="CC233" s="623"/>
      <c r="CD233" s="623"/>
      <c r="CE233" s="623"/>
      <c r="CF233" s="623"/>
      <c r="CG233" s="623"/>
      <c r="CH233" s="623"/>
      <c r="CI233" s="623"/>
      <c r="CJ233" s="623"/>
      <c r="CK233" s="623"/>
      <c r="CL233" s="623"/>
      <c r="CM233" s="623"/>
      <c r="CN233" s="623"/>
      <c r="CO233" s="623"/>
      <c r="CP233" s="623"/>
      <c r="CQ233" s="623"/>
    </row>
    <row r="234" spans="1:95" s="808" customFormat="1">
      <c r="A234" s="567"/>
      <c r="B234" s="567"/>
      <c r="C234" s="558"/>
      <c r="D234" s="558"/>
      <c r="E234" s="556" t="str">
        <f t="shared" si="79"/>
        <v/>
      </c>
      <c r="F234" s="558"/>
      <c r="G234" s="558"/>
      <c r="H234" s="558"/>
      <c r="I234" s="558"/>
      <c r="J234" s="558"/>
      <c r="K234" s="558"/>
      <c r="L234" s="625"/>
      <c r="M234" s="625"/>
      <c r="N234" s="625"/>
      <c r="O234" s="625"/>
      <c r="P234" s="625"/>
      <c r="Q234" s="625"/>
      <c r="R234" s="625"/>
      <c r="S234" s="625"/>
      <c r="T234" s="625"/>
      <c r="U234" s="625"/>
      <c r="V234" s="625"/>
      <c r="W234" s="625"/>
      <c r="X234" s="625"/>
      <c r="Y234" s="625"/>
      <c r="Z234" s="625"/>
      <c r="AA234" s="625"/>
      <c r="AB234" s="625"/>
      <c r="AC234" s="625"/>
      <c r="AD234" s="625"/>
      <c r="AE234" s="625"/>
      <c r="AF234" s="623"/>
      <c r="AG234" s="623"/>
      <c r="AH234" s="623"/>
      <c r="AI234" s="623"/>
      <c r="AJ234" s="623"/>
      <c r="AK234" s="623"/>
      <c r="AL234" s="623"/>
      <c r="AM234" s="623"/>
      <c r="AN234" s="625"/>
      <c r="AO234" s="625"/>
      <c r="AP234" s="625"/>
      <c r="AQ234" s="625"/>
      <c r="AR234" s="625"/>
      <c r="AS234" s="625"/>
      <c r="AT234" s="625"/>
      <c r="AU234" s="625"/>
      <c r="AV234" s="625"/>
      <c r="AW234" s="625"/>
      <c r="AX234" s="625"/>
      <c r="AY234" s="625"/>
      <c r="AZ234" s="625"/>
      <c r="BA234" s="625"/>
      <c r="BB234" s="695"/>
      <c r="BC234" s="623"/>
      <c r="BD234" s="623"/>
      <c r="BE234" s="623"/>
      <c r="BF234" s="623"/>
      <c r="BG234" s="623"/>
      <c r="BH234" s="623"/>
      <c r="BI234" s="623"/>
      <c r="BJ234" s="623"/>
      <c r="BK234" s="623"/>
      <c r="BL234" s="623"/>
      <c r="BM234" s="623"/>
      <c r="BN234" s="623"/>
      <c r="BO234" s="623"/>
      <c r="BP234" s="623"/>
      <c r="BQ234" s="623"/>
      <c r="BR234" s="623"/>
      <c r="BS234" s="623"/>
      <c r="BT234" s="623"/>
      <c r="BU234" s="623"/>
      <c r="BV234" s="623"/>
      <c r="BW234" s="623"/>
      <c r="BX234" s="623"/>
      <c r="BY234" s="623"/>
      <c r="BZ234" s="623"/>
      <c r="CA234" s="623"/>
      <c r="CB234" s="623"/>
      <c r="CC234" s="623"/>
      <c r="CD234" s="623"/>
      <c r="CE234" s="623"/>
      <c r="CF234" s="623"/>
      <c r="CG234" s="623"/>
      <c r="CH234" s="623"/>
      <c r="CI234" s="623"/>
      <c r="CJ234" s="623"/>
      <c r="CK234" s="623"/>
      <c r="CL234" s="623"/>
      <c r="CM234" s="623"/>
      <c r="CN234" s="623"/>
      <c r="CO234" s="623"/>
      <c r="CP234" s="623"/>
      <c r="CQ234" s="623"/>
    </row>
    <row r="235" spans="1:95" s="808" customFormat="1">
      <c r="A235" s="567"/>
      <c r="B235" s="567"/>
      <c r="C235" s="558"/>
      <c r="D235" s="558"/>
      <c r="E235" s="556" t="str">
        <f t="shared" si="79"/>
        <v/>
      </c>
      <c r="F235" s="558"/>
      <c r="G235" s="558"/>
      <c r="H235" s="558"/>
      <c r="I235" s="558"/>
      <c r="J235" s="558"/>
      <c r="K235" s="558"/>
      <c r="L235" s="625"/>
      <c r="M235" s="625"/>
      <c r="N235" s="625"/>
      <c r="O235" s="625"/>
      <c r="P235" s="625"/>
      <c r="Q235" s="625"/>
      <c r="R235" s="625"/>
      <c r="S235" s="625"/>
      <c r="T235" s="625"/>
      <c r="U235" s="625"/>
      <c r="V235" s="625"/>
      <c r="W235" s="625"/>
      <c r="X235" s="625"/>
      <c r="Y235" s="625"/>
      <c r="Z235" s="625"/>
      <c r="AA235" s="625"/>
      <c r="AB235" s="625"/>
      <c r="AC235" s="625"/>
      <c r="AD235" s="625"/>
      <c r="AE235" s="625"/>
      <c r="AF235" s="623"/>
      <c r="AG235" s="623"/>
      <c r="AH235" s="623"/>
      <c r="AI235" s="623"/>
      <c r="AJ235" s="623"/>
      <c r="AK235" s="623"/>
      <c r="AL235" s="623"/>
      <c r="AM235" s="623"/>
      <c r="AN235" s="625"/>
      <c r="AO235" s="625"/>
      <c r="AP235" s="625"/>
      <c r="AQ235" s="625"/>
      <c r="AR235" s="625"/>
      <c r="AS235" s="625"/>
      <c r="AT235" s="625"/>
      <c r="AU235" s="625"/>
      <c r="AV235" s="625"/>
      <c r="AW235" s="625"/>
      <c r="AX235" s="625"/>
      <c r="AY235" s="625"/>
      <c r="AZ235" s="625"/>
      <c r="BA235" s="625"/>
      <c r="BB235" s="695"/>
      <c r="BC235" s="623"/>
      <c r="BD235" s="623"/>
      <c r="BE235" s="623"/>
      <c r="BF235" s="623"/>
      <c r="BG235" s="623"/>
      <c r="BH235" s="623"/>
      <c r="BI235" s="623"/>
      <c r="BJ235" s="623"/>
      <c r="BK235" s="623"/>
      <c r="BL235" s="623"/>
      <c r="BM235" s="623"/>
      <c r="BN235" s="623"/>
      <c r="BO235" s="623"/>
      <c r="BP235" s="623"/>
      <c r="BQ235" s="623"/>
      <c r="BR235" s="623"/>
      <c r="BS235" s="623"/>
      <c r="BT235" s="623"/>
      <c r="BU235" s="623"/>
      <c r="BV235" s="623"/>
      <c r="BW235" s="623"/>
      <c r="BX235" s="623"/>
      <c r="BY235" s="623"/>
      <c r="BZ235" s="623"/>
      <c r="CA235" s="623"/>
      <c r="CB235" s="623"/>
      <c r="CC235" s="623"/>
      <c r="CD235" s="623"/>
      <c r="CE235" s="623"/>
      <c r="CF235" s="623"/>
      <c r="CG235" s="623"/>
      <c r="CH235" s="623"/>
      <c r="CI235" s="623"/>
      <c r="CJ235" s="623"/>
      <c r="CK235" s="623"/>
      <c r="CL235" s="623"/>
      <c r="CM235" s="623"/>
      <c r="CN235" s="623"/>
      <c r="CO235" s="623"/>
      <c r="CP235" s="623"/>
      <c r="CQ235" s="623"/>
    </row>
    <row r="236" spans="1:95" s="808" customFormat="1">
      <c r="A236" s="567"/>
      <c r="B236" s="567"/>
      <c r="C236" s="558"/>
      <c r="D236" s="558"/>
      <c r="E236" s="556" t="str">
        <f t="shared" si="79"/>
        <v/>
      </c>
      <c r="F236" s="558"/>
      <c r="G236" s="558"/>
      <c r="H236" s="558"/>
      <c r="I236" s="558"/>
      <c r="J236" s="558"/>
      <c r="K236" s="558"/>
      <c r="L236" s="625"/>
      <c r="M236" s="625"/>
      <c r="N236" s="625"/>
      <c r="O236" s="625"/>
      <c r="P236" s="625"/>
      <c r="Q236" s="625"/>
      <c r="R236" s="625"/>
      <c r="S236" s="625"/>
      <c r="T236" s="625"/>
      <c r="U236" s="625"/>
      <c r="V236" s="625"/>
      <c r="W236" s="625"/>
      <c r="X236" s="625"/>
      <c r="Y236" s="625"/>
      <c r="Z236" s="625"/>
      <c r="AA236" s="625"/>
      <c r="AB236" s="625"/>
      <c r="AC236" s="625"/>
      <c r="AD236" s="625"/>
      <c r="AE236" s="625"/>
      <c r="AF236" s="623"/>
      <c r="AG236" s="623"/>
      <c r="AH236" s="623"/>
      <c r="AI236" s="623"/>
      <c r="AJ236" s="623"/>
      <c r="AK236" s="623"/>
      <c r="AL236" s="623"/>
      <c r="AM236" s="623"/>
      <c r="AN236" s="625"/>
      <c r="AO236" s="625"/>
      <c r="AP236" s="625"/>
      <c r="AQ236" s="625"/>
      <c r="AR236" s="625"/>
      <c r="AS236" s="625"/>
      <c r="AT236" s="625"/>
      <c r="AU236" s="625"/>
      <c r="AV236" s="625"/>
      <c r="AW236" s="625"/>
      <c r="AX236" s="625"/>
      <c r="AY236" s="625"/>
      <c r="AZ236" s="625"/>
      <c r="BA236" s="625"/>
      <c r="BB236" s="695"/>
      <c r="BC236" s="623"/>
      <c r="BD236" s="623"/>
      <c r="BE236" s="623"/>
      <c r="BF236" s="623"/>
      <c r="BG236" s="623"/>
      <c r="BH236" s="623"/>
      <c r="BI236" s="623"/>
      <c r="BJ236" s="623"/>
      <c r="BK236" s="623"/>
      <c r="BL236" s="623"/>
      <c r="BM236" s="623"/>
      <c r="BN236" s="623"/>
      <c r="BO236" s="623"/>
      <c r="BP236" s="623"/>
      <c r="BQ236" s="623"/>
      <c r="BR236" s="623"/>
      <c r="BS236" s="623"/>
      <c r="BT236" s="623"/>
      <c r="BU236" s="623"/>
      <c r="BV236" s="623"/>
      <c r="BW236" s="623"/>
      <c r="BX236" s="623"/>
      <c r="BY236" s="623"/>
      <c r="BZ236" s="623"/>
      <c r="CA236" s="623"/>
      <c r="CB236" s="623"/>
      <c r="CC236" s="623"/>
      <c r="CD236" s="623"/>
      <c r="CE236" s="623"/>
      <c r="CF236" s="623"/>
      <c r="CG236" s="623"/>
      <c r="CH236" s="623"/>
      <c r="CI236" s="623"/>
      <c r="CJ236" s="623"/>
      <c r="CK236" s="623"/>
      <c r="CL236" s="623"/>
      <c r="CM236" s="623"/>
      <c r="CN236" s="623"/>
      <c r="CO236" s="623"/>
      <c r="CP236" s="623"/>
      <c r="CQ236" s="623"/>
    </row>
    <row r="237" spans="1:95" s="808" customFormat="1">
      <c r="A237" s="567"/>
      <c r="B237" s="567"/>
      <c r="C237" s="558"/>
      <c r="D237" s="558"/>
      <c r="E237" s="556" t="str">
        <f t="shared" si="79"/>
        <v/>
      </c>
      <c r="F237" s="558"/>
      <c r="G237" s="558"/>
      <c r="H237" s="558"/>
      <c r="I237" s="558"/>
      <c r="J237" s="558"/>
      <c r="K237" s="558"/>
      <c r="L237" s="625"/>
      <c r="M237" s="625"/>
      <c r="N237" s="625"/>
      <c r="O237" s="625"/>
      <c r="P237" s="625"/>
      <c r="Q237" s="625"/>
      <c r="R237" s="625"/>
      <c r="S237" s="625"/>
      <c r="T237" s="625"/>
      <c r="U237" s="625"/>
      <c r="V237" s="625"/>
      <c r="W237" s="625"/>
      <c r="X237" s="625"/>
      <c r="Y237" s="625"/>
      <c r="Z237" s="625"/>
      <c r="AA237" s="625"/>
      <c r="AB237" s="625"/>
      <c r="AC237" s="625"/>
      <c r="AD237" s="625"/>
      <c r="AE237" s="625"/>
      <c r="AF237" s="623"/>
      <c r="AG237" s="623"/>
      <c r="AH237" s="623"/>
      <c r="AI237" s="623"/>
      <c r="AJ237" s="623"/>
      <c r="AK237" s="623"/>
      <c r="AL237" s="623"/>
      <c r="AM237" s="623"/>
      <c r="AN237" s="625"/>
      <c r="AO237" s="625"/>
      <c r="AP237" s="625"/>
      <c r="AQ237" s="625"/>
      <c r="AR237" s="625"/>
      <c r="AS237" s="625"/>
      <c r="AT237" s="625"/>
      <c r="AU237" s="625"/>
      <c r="AV237" s="625"/>
      <c r="AW237" s="625"/>
      <c r="AX237" s="625"/>
      <c r="AY237" s="625"/>
      <c r="AZ237" s="625"/>
      <c r="BA237" s="625"/>
      <c r="BB237" s="695"/>
      <c r="BC237" s="623"/>
      <c r="BD237" s="623"/>
      <c r="BE237" s="623"/>
      <c r="BF237" s="623"/>
      <c r="BG237" s="623"/>
      <c r="BH237" s="623"/>
      <c r="BI237" s="623"/>
      <c r="BJ237" s="623"/>
      <c r="BK237" s="623"/>
      <c r="BL237" s="623"/>
      <c r="BM237" s="623"/>
      <c r="BN237" s="623"/>
      <c r="BO237" s="623"/>
      <c r="BP237" s="623"/>
      <c r="BQ237" s="623"/>
      <c r="BR237" s="623"/>
      <c r="BS237" s="623"/>
      <c r="BT237" s="623"/>
      <c r="BU237" s="623"/>
      <c r="BV237" s="623"/>
      <c r="BW237" s="623"/>
      <c r="BX237" s="623"/>
      <c r="BY237" s="623"/>
      <c r="BZ237" s="623"/>
      <c r="CA237" s="623"/>
      <c r="CB237" s="623"/>
      <c r="CC237" s="623"/>
      <c r="CD237" s="623"/>
      <c r="CE237" s="623"/>
      <c r="CF237" s="623"/>
      <c r="CG237" s="623"/>
      <c r="CH237" s="623"/>
      <c r="CI237" s="623"/>
      <c r="CJ237" s="623"/>
      <c r="CK237" s="623"/>
      <c r="CL237" s="623"/>
      <c r="CM237" s="623"/>
      <c r="CN237" s="623"/>
      <c r="CO237" s="623"/>
      <c r="CP237" s="623"/>
      <c r="CQ237" s="623"/>
    </row>
    <row r="238" spans="1:95" s="808" customFormat="1">
      <c r="A238" s="567"/>
      <c r="B238" s="567"/>
      <c r="C238" s="558"/>
      <c r="D238" s="558"/>
      <c r="E238" s="556" t="str">
        <f t="shared" si="79"/>
        <v/>
      </c>
      <c r="F238" s="558"/>
      <c r="G238" s="558"/>
      <c r="H238" s="558"/>
      <c r="I238" s="558"/>
      <c r="J238" s="558"/>
      <c r="K238" s="558"/>
      <c r="L238" s="625"/>
      <c r="M238" s="625"/>
      <c r="N238" s="625"/>
      <c r="O238" s="625"/>
      <c r="P238" s="625"/>
      <c r="Q238" s="625"/>
      <c r="R238" s="625"/>
      <c r="S238" s="625"/>
      <c r="T238" s="625"/>
      <c r="U238" s="625"/>
      <c r="V238" s="625"/>
      <c r="W238" s="625"/>
      <c r="X238" s="625"/>
      <c r="Y238" s="625"/>
      <c r="Z238" s="625"/>
      <c r="AA238" s="625"/>
      <c r="AB238" s="625"/>
      <c r="AC238" s="625"/>
      <c r="AD238" s="625"/>
      <c r="AE238" s="625"/>
      <c r="AF238" s="623"/>
      <c r="AG238" s="623"/>
      <c r="AH238" s="623"/>
      <c r="AI238" s="623"/>
      <c r="AJ238" s="623"/>
      <c r="AK238" s="623"/>
      <c r="AL238" s="623"/>
      <c r="AM238" s="623"/>
      <c r="AN238" s="625"/>
      <c r="AO238" s="625"/>
      <c r="AP238" s="625"/>
      <c r="AQ238" s="625"/>
      <c r="AR238" s="625"/>
      <c r="AS238" s="625"/>
      <c r="AT238" s="625"/>
      <c r="AU238" s="625"/>
      <c r="AV238" s="625"/>
      <c r="AW238" s="625"/>
      <c r="AX238" s="625"/>
      <c r="AY238" s="625"/>
      <c r="AZ238" s="625"/>
      <c r="BA238" s="625"/>
      <c r="BB238" s="695"/>
      <c r="BC238" s="623"/>
      <c r="BD238" s="623"/>
      <c r="BE238" s="623"/>
      <c r="BF238" s="623"/>
      <c r="BG238" s="623"/>
      <c r="BH238" s="623"/>
      <c r="BI238" s="623"/>
      <c r="BJ238" s="623"/>
      <c r="BK238" s="623"/>
      <c r="BL238" s="623"/>
      <c r="BM238" s="623"/>
      <c r="BN238" s="623"/>
      <c r="BO238" s="623"/>
      <c r="BP238" s="623"/>
      <c r="BQ238" s="623"/>
      <c r="BR238" s="623"/>
      <c r="BS238" s="623"/>
      <c r="BT238" s="623"/>
      <c r="BU238" s="623"/>
      <c r="BV238" s="623"/>
      <c r="BW238" s="623"/>
      <c r="BX238" s="623"/>
      <c r="BY238" s="623"/>
      <c r="BZ238" s="623"/>
      <c r="CA238" s="623"/>
      <c r="CB238" s="623"/>
      <c r="CC238" s="623"/>
      <c r="CD238" s="623"/>
      <c r="CE238" s="623"/>
      <c r="CF238" s="623"/>
      <c r="CG238" s="623"/>
      <c r="CH238" s="623"/>
      <c r="CI238" s="623"/>
      <c r="CJ238" s="623"/>
      <c r="CK238" s="623"/>
      <c r="CL238" s="623"/>
      <c r="CM238" s="623"/>
      <c r="CN238" s="623"/>
      <c r="CO238" s="623"/>
      <c r="CP238" s="623"/>
      <c r="CQ238" s="623"/>
    </row>
    <row r="239" spans="1:95" s="808" customFormat="1">
      <c r="A239" s="567"/>
      <c r="B239" s="567"/>
      <c r="C239" s="558"/>
      <c r="D239" s="558"/>
      <c r="E239" s="556" t="str">
        <f t="shared" si="79"/>
        <v/>
      </c>
      <c r="F239" s="558"/>
      <c r="G239" s="558"/>
      <c r="H239" s="558"/>
      <c r="I239" s="558"/>
      <c r="J239" s="558"/>
      <c r="K239" s="558"/>
      <c r="L239" s="625"/>
      <c r="M239" s="625"/>
      <c r="N239" s="625"/>
      <c r="O239" s="625"/>
      <c r="P239" s="625"/>
      <c r="Q239" s="625"/>
      <c r="R239" s="625"/>
      <c r="S239" s="625"/>
      <c r="T239" s="625"/>
      <c r="U239" s="625"/>
      <c r="V239" s="625"/>
      <c r="W239" s="625"/>
      <c r="X239" s="625"/>
      <c r="Y239" s="625"/>
      <c r="Z239" s="625"/>
      <c r="AA239" s="625"/>
      <c r="AB239" s="625"/>
      <c r="AC239" s="625"/>
      <c r="AD239" s="625"/>
      <c r="AE239" s="625"/>
      <c r="AF239" s="623"/>
      <c r="AG239" s="623"/>
      <c r="AH239" s="623"/>
      <c r="AI239" s="623"/>
      <c r="AJ239" s="623"/>
      <c r="AK239" s="623"/>
      <c r="AL239" s="623"/>
      <c r="AM239" s="623"/>
      <c r="AN239" s="625"/>
      <c r="AO239" s="625"/>
      <c r="AP239" s="625"/>
      <c r="AQ239" s="625"/>
      <c r="AR239" s="625"/>
      <c r="AS239" s="625"/>
      <c r="AT239" s="625"/>
      <c r="AU239" s="625"/>
      <c r="AV239" s="625"/>
      <c r="AW239" s="625"/>
      <c r="AX239" s="625"/>
      <c r="AY239" s="625"/>
      <c r="AZ239" s="625"/>
      <c r="BA239" s="625"/>
      <c r="BB239" s="695"/>
      <c r="BC239" s="623"/>
      <c r="BD239" s="623"/>
      <c r="BE239" s="623"/>
      <c r="BF239" s="623"/>
      <c r="BG239" s="623"/>
      <c r="BH239" s="623"/>
      <c r="BI239" s="623"/>
      <c r="BJ239" s="623"/>
      <c r="BK239" s="623"/>
      <c r="BL239" s="623"/>
      <c r="BM239" s="623"/>
      <c r="BN239" s="623"/>
      <c r="BO239" s="623"/>
      <c r="BP239" s="623"/>
      <c r="BQ239" s="623"/>
      <c r="BR239" s="623"/>
      <c r="BS239" s="623"/>
      <c r="BT239" s="623"/>
      <c r="BU239" s="623"/>
      <c r="BV239" s="623"/>
      <c r="BW239" s="623"/>
      <c r="BX239" s="623"/>
      <c r="BY239" s="623"/>
      <c r="BZ239" s="623"/>
      <c r="CA239" s="623"/>
      <c r="CB239" s="623"/>
      <c r="CC239" s="623"/>
      <c r="CD239" s="623"/>
      <c r="CE239" s="623"/>
      <c r="CF239" s="623"/>
      <c r="CG239" s="623"/>
      <c r="CH239" s="623"/>
      <c r="CI239" s="623"/>
      <c r="CJ239" s="623"/>
      <c r="CK239" s="623"/>
      <c r="CL239" s="623"/>
      <c r="CM239" s="623"/>
      <c r="CN239" s="623"/>
      <c r="CO239" s="623"/>
      <c r="CP239" s="623"/>
      <c r="CQ239" s="623"/>
    </row>
    <row r="240" spans="1:95" s="808" customFormat="1">
      <c r="A240" s="567"/>
      <c r="B240" s="567"/>
      <c r="C240" s="558"/>
      <c r="D240" s="558"/>
      <c r="E240" s="556" t="str">
        <f t="shared" si="79"/>
        <v/>
      </c>
      <c r="F240" s="558"/>
      <c r="G240" s="558"/>
      <c r="H240" s="558"/>
      <c r="I240" s="558"/>
      <c r="J240" s="558"/>
      <c r="K240" s="558"/>
      <c r="L240" s="625"/>
      <c r="M240" s="625"/>
      <c r="N240" s="625"/>
      <c r="O240" s="625"/>
      <c r="P240" s="625"/>
      <c r="Q240" s="625"/>
      <c r="R240" s="625"/>
      <c r="S240" s="625"/>
      <c r="T240" s="625"/>
      <c r="U240" s="625"/>
      <c r="V240" s="625"/>
      <c r="W240" s="625"/>
      <c r="X240" s="625"/>
      <c r="Y240" s="625"/>
      <c r="Z240" s="625"/>
      <c r="AA240" s="625"/>
      <c r="AB240" s="625"/>
      <c r="AC240" s="625"/>
      <c r="AD240" s="625"/>
      <c r="AE240" s="625"/>
      <c r="AF240" s="623"/>
      <c r="AG240" s="623"/>
      <c r="AH240" s="623"/>
      <c r="AI240" s="623"/>
      <c r="AJ240" s="623"/>
      <c r="AK240" s="623"/>
      <c r="AL240" s="623"/>
      <c r="AM240" s="623"/>
      <c r="AN240" s="625"/>
      <c r="AO240" s="625"/>
      <c r="AP240" s="625"/>
      <c r="AQ240" s="625"/>
      <c r="AR240" s="625"/>
      <c r="AS240" s="625"/>
      <c r="AT240" s="625"/>
      <c r="AU240" s="625"/>
      <c r="AV240" s="625"/>
      <c r="AW240" s="625"/>
      <c r="AX240" s="625"/>
      <c r="AY240" s="625"/>
      <c r="AZ240" s="625"/>
      <c r="BA240" s="625"/>
      <c r="BB240" s="695"/>
      <c r="BC240" s="623"/>
      <c r="BD240" s="623"/>
      <c r="BE240" s="623"/>
      <c r="BF240" s="623"/>
      <c r="BG240" s="623"/>
      <c r="BH240" s="623"/>
      <c r="BI240" s="623"/>
      <c r="BJ240" s="623"/>
      <c r="BK240" s="623"/>
      <c r="BL240" s="623"/>
      <c r="BM240" s="623"/>
      <c r="BN240" s="623"/>
      <c r="BO240" s="623"/>
      <c r="BP240" s="623"/>
      <c r="BQ240" s="623"/>
      <c r="BR240" s="623"/>
      <c r="BS240" s="623"/>
      <c r="BT240" s="623"/>
      <c r="BU240" s="623"/>
      <c r="BV240" s="623"/>
      <c r="BW240" s="623"/>
      <c r="BX240" s="623"/>
      <c r="BY240" s="623"/>
      <c r="BZ240" s="623"/>
      <c r="CA240" s="623"/>
      <c r="CB240" s="623"/>
      <c r="CC240" s="623"/>
      <c r="CD240" s="623"/>
      <c r="CE240" s="623"/>
      <c r="CF240" s="623"/>
      <c r="CG240" s="623"/>
      <c r="CH240" s="623"/>
      <c r="CI240" s="623"/>
      <c r="CJ240" s="623"/>
      <c r="CK240" s="623"/>
      <c r="CL240" s="623"/>
      <c r="CM240" s="623"/>
      <c r="CN240" s="623"/>
      <c r="CO240" s="623"/>
      <c r="CP240" s="623"/>
      <c r="CQ240" s="623"/>
    </row>
    <row r="241" spans="1:95" s="808" customFormat="1">
      <c r="A241" s="567"/>
      <c r="B241" s="567"/>
      <c r="C241" s="558"/>
      <c r="D241" s="558"/>
      <c r="E241" s="556" t="str">
        <f t="shared" si="79"/>
        <v/>
      </c>
      <c r="F241" s="558"/>
      <c r="G241" s="558"/>
      <c r="H241" s="558"/>
      <c r="I241" s="558"/>
      <c r="J241" s="558"/>
      <c r="K241" s="558"/>
      <c r="L241" s="625"/>
      <c r="M241" s="625"/>
      <c r="N241" s="625"/>
      <c r="O241" s="625"/>
      <c r="P241" s="625"/>
      <c r="Q241" s="625"/>
      <c r="R241" s="625"/>
      <c r="S241" s="625"/>
      <c r="T241" s="625"/>
      <c r="U241" s="625"/>
      <c r="V241" s="625"/>
      <c r="W241" s="625"/>
      <c r="X241" s="625"/>
      <c r="Y241" s="625"/>
      <c r="Z241" s="625"/>
      <c r="AA241" s="625"/>
      <c r="AB241" s="625"/>
      <c r="AC241" s="625"/>
      <c r="AD241" s="625"/>
      <c r="AE241" s="625"/>
      <c r="AF241" s="623"/>
      <c r="AG241" s="623"/>
      <c r="AH241" s="623"/>
      <c r="AI241" s="623"/>
      <c r="AJ241" s="623"/>
      <c r="AK241" s="623"/>
      <c r="AL241" s="623"/>
      <c r="AM241" s="623"/>
      <c r="AN241" s="625"/>
      <c r="AO241" s="625"/>
      <c r="AP241" s="625"/>
      <c r="AQ241" s="625"/>
      <c r="AR241" s="625"/>
      <c r="AS241" s="625"/>
      <c r="AT241" s="625"/>
      <c r="AU241" s="625"/>
      <c r="AV241" s="625"/>
      <c r="AW241" s="625"/>
      <c r="AX241" s="625"/>
      <c r="AY241" s="625"/>
      <c r="AZ241" s="625"/>
      <c r="BA241" s="625"/>
      <c r="BB241" s="695"/>
      <c r="BC241" s="623"/>
      <c r="BD241" s="623"/>
      <c r="BE241" s="623"/>
      <c r="BF241" s="623"/>
      <c r="BG241" s="623"/>
      <c r="BH241" s="623"/>
      <c r="BI241" s="623"/>
      <c r="BJ241" s="623"/>
      <c r="BK241" s="623"/>
      <c r="BL241" s="623"/>
      <c r="BM241" s="623"/>
      <c r="BN241" s="623"/>
      <c r="BO241" s="623"/>
      <c r="BP241" s="623"/>
      <c r="BQ241" s="623"/>
      <c r="BR241" s="623"/>
      <c r="BS241" s="623"/>
      <c r="BT241" s="623"/>
      <c r="BU241" s="623"/>
      <c r="BV241" s="623"/>
      <c r="BW241" s="623"/>
      <c r="BX241" s="623"/>
      <c r="BY241" s="623"/>
      <c r="BZ241" s="623"/>
      <c r="CA241" s="623"/>
      <c r="CB241" s="623"/>
      <c r="CC241" s="623"/>
      <c r="CD241" s="623"/>
      <c r="CE241" s="623"/>
      <c r="CF241" s="623"/>
      <c r="CG241" s="623"/>
      <c r="CH241" s="623"/>
      <c r="CI241" s="623"/>
      <c r="CJ241" s="623"/>
      <c r="CK241" s="623"/>
      <c r="CL241" s="623"/>
      <c r="CM241" s="623"/>
      <c r="CN241" s="623"/>
      <c r="CO241" s="623"/>
      <c r="CP241" s="623"/>
      <c r="CQ241" s="623"/>
    </row>
    <row r="242" spans="1:95" s="808" customFormat="1">
      <c r="A242" s="567"/>
      <c r="B242" s="567"/>
      <c r="C242" s="558"/>
      <c r="D242" s="558"/>
      <c r="E242" s="556" t="str">
        <f t="shared" si="79"/>
        <v/>
      </c>
      <c r="F242" s="558"/>
      <c r="G242" s="558"/>
      <c r="H242" s="558"/>
      <c r="I242" s="558"/>
      <c r="J242" s="558"/>
      <c r="K242" s="558"/>
      <c r="L242" s="625"/>
      <c r="M242" s="625"/>
      <c r="N242" s="625"/>
      <c r="O242" s="625"/>
      <c r="P242" s="625"/>
      <c r="Q242" s="625"/>
      <c r="R242" s="625"/>
      <c r="S242" s="625"/>
      <c r="T242" s="625"/>
      <c r="U242" s="625"/>
      <c r="V242" s="625"/>
      <c r="W242" s="625"/>
      <c r="X242" s="625"/>
      <c r="Y242" s="625"/>
      <c r="Z242" s="625"/>
      <c r="AA242" s="625"/>
      <c r="AB242" s="625"/>
      <c r="AC242" s="625"/>
      <c r="AD242" s="625"/>
      <c r="AE242" s="625"/>
      <c r="AF242" s="623"/>
      <c r="AG242" s="623"/>
      <c r="AH242" s="623"/>
      <c r="AI242" s="623"/>
      <c r="AJ242" s="623"/>
      <c r="AK242" s="623"/>
      <c r="AL242" s="623"/>
      <c r="AM242" s="623"/>
      <c r="AN242" s="625"/>
      <c r="AO242" s="625"/>
      <c r="AP242" s="625"/>
      <c r="AQ242" s="625"/>
      <c r="AR242" s="625"/>
      <c r="AS242" s="625"/>
      <c r="AT242" s="625"/>
      <c r="AU242" s="625"/>
      <c r="AV242" s="625"/>
      <c r="AW242" s="625"/>
      <c r="AX242" s="625"/>
      <c r="AY242" s="625"/>
      <c r="AZ242" s="625"/>
      <c r="BA242" s="625"/>
      <c r="BB242" s="695"/>
      <c r="BC242" s="623"/>
      <c r="BD242" s="623"/>
      <c r="BE242" s="623"/>
      <c r="BF242" s="623"/>
      <c r="BG242" s="623"/>
      <c r="BH242" s="623"/>
      <c r="BI242" s="623"/>
      <c r="BJ242" s="623"/>
      <c r="BK242" s="623"/>
      <c r="BL242" s="623"/>
      <c r="BM242" s="623"/>
      <c r="BN242" s="623"/>
      <c r="BO242" s="623"/>
      <c r="BP242" s="623"/>
      <c r="BQ242" s="623"/>
      <c r="BR242" s="623"/>
      <c r="BS242" s="623"/>
      <c r="BT242" s="623"/>
      <c r="BU242" s="623"/>
      <c r="BV242" s="623"/>
      <c r="BW242" s="623"/>
      <c r="BX242" s="623"/>
      <c r="BY242" s="623"/>
      <c r="BZ242" s="623"/>
      <c r="CA242" s="623"/>
      <c r="CB242" s="623"/>
      <c r="CC242" s="623"/>
      <c r="CD242" s="623"/>
      <c r="CE242" s="623"/>
      <c r="CF242" s="623"/>
      <c r="CG242" s="623"/>
      <c r="CH242" s="623"/>
      <c r="CI242" s="623"/>
      <c r="CJ242" s="623"/>
      <c r="CK242" s="623"/>
      <c r="CL242" s="623"/>
      <c r="CM242" s="623"/>
      <c r="CN242" s="623"/>
      <c r="CO242" s="623"/>
      <c r="CP242" s="623"/>
      <c r="CQ242" s="623"/>
    </row>
    <row r="243" spans="1:95" s="808" customFormat="1">
      <c r="A243" s="567"/>
      <c r="B243" s="567"/>
      <c r="C243" s="558"/>
      <c r="D243" s="558"/>
      <c r="E243" s="556" t="str">
        <f t="shared" si="79"/>
        <v/>
      </c>
      <c r="F243" s="558"/>
      <c r="G243" s="558"/>
      <c r="H243" s="558"/>
      <c r="I243" s="558"/>
      <c r="J243" s="558"/>
      <c r="K243" s="558"/>
      <c r="L243" s="625"/>
      <c r="M243" s="625"/>
      <c r="N243" s="625"/>
      <c r="O243" s="625"/>
      <c r="P243" s="625"/>
      <c r="Q243" s="625"/>
      <c r="R243" s="625"/>
      <c r="S243" s="625"/>
      <c r="T243" s="625"/>
      <c r="U243" s="625"/>
      <c r="V243" s="625"/>
      <c r="W243" s="625"/>
      <c r="X243" s="625"/>
      <c r="Y243" s="625"/>
      <c r="Z243" s="625"/>
      <c r="AA243" s="625"/>
      <c r="AB243" s="625"/>
      <c r="AC243" s="625"/>
      <c r="AD243" s="625"/>
      <c r="AE243" s="625"/>
      <c r="AF243" s="623"/>
      <c r="AG243" s="623"/>
      <c r="AH243" s="623"/>
      <c r="AI243" s="623"/>
      <c r="AJ243" s="623"/>
      <c r="AK243" s="623"/>
      <c r="AL243" s="623"/>
      <c r="AM243" s="623"/>
      <c r="AN243" s="625"/>
      <c r="AO243" s="625"/>
      <c r="AP243" s="625"/>
      <c r="AQ243" s="625"/>
      <c r="AR243" s="625"/>
      <c r="AS243" s="625"/>
      <c r="AT243" s="625"/>
      <c r="AU243" s="625"/>
      <c r="AV243" s="625"/>
      <c r="AW243" s="625"/>
      <c r="AX243" s="625"/>
      <c r="AY243" s="625"/>
      <c r="AZ243" s="625"/>
      <c r="BA243" s="625"/>
      <c r="BB243" s="695"/>
      <c r="BC243" s="623"/>
      <c r="BD243" s="623"/>
      <c r="BE243" s="623"/>
      <c r="BF243" s="623"/>
      <c r="BG243" s="623"/>
      <c r="BH243" s="623"/>
      <c r="BI243" s="623"/>
      <c r="BJ243" s="623"/>
      <c r="BK243" s="623"/>
      <c r="BL243" s="623"/>
      <c r="BM243" s="623"/>
      <c r="BN243" s="623"/>
      <c r="BO243" s="623"/>
      <c r="BP243" s="623"/>
      <c r="BQ243" s="623"/>
      <c r="BR243" s="623"/>
      <c r="BS243" s="623"/>
      <c r="BT243" s="623"/>
      <c r="BU243" s="623"/>
      <c r="BV243" s="623"/>
      <c r="BW243" s="623"/>
      <c r="BX243" s="623"/>
      <c r="BY243" s="623"/>
      <c r="BZ243" s="623"/>
      <c r="CA243" s="623"/>
      <c r="CB243" s="623"/>
      <c r="CC243" s="623"/>
      <c r="CD243" s="623"/>
      <c r="CE243" s="623"/>
      <c r="CF243" s="623"/>
      <c r="CG243" s="623"/>
      <c r="CH243" s="623"/>
      <c r="CI243" s="623"/>
      <c r="CJ243" s="623"/>
      <c r="CK243" s="623"/>
      <c r="CL243" s="623"/>
      <c r="CM243" s="623"/>
      <c r="CN243" s="623"/>
      <c r="CO243" s="623"/>
      <c r="CP243" s="623"/>
      <c r="CQ243" s="623"/>
    </row>
    <row r="244" spans="1:95" s="808" customFormat="1">
      <c r="A244" s="567"/>
      <c r="B244" s="567"/>
      <c r="C244" s="558"/>
      <c r="D244" s="558"/>
      <c r="E244" s="556" t="str">
        <f t="shared" si="79"/>
        <v/>
      </c>
      <c r="F244" s="558"/>
      <c r="G244" s="558"/>
      <c r="H244" s="558"/>
      <c r="I244" s="558"/>
      <c r="J244" s="558"/>
      <c r="K244" s="558"/>
      <c r="L244" s="625"/>
      <c r="M244" s="625"/>
      <c r="N244" s="625"/>
      <c r="O244" s="625"/>
      <c r="P244" s="625"/>
      <c r="Q244" s="625"/>
      <c r="R244" s="625"/>
      <c r="S244" s="625"/>
      <c r="T244" s="625"/>
      <c r="U244" s="625"/>
      <c r="V244" s="625"/>
      <c r="W244" s="625"/>
      <c r="X244" s="625"/>
      <c r="Y244" s="625"/>
      <c r="Z244" s="625"/>
      <c r="AA244" s="625"/>
      <c r="AB244" s="625"/>
      <c r="AC244" s="625"/>
      <c r="AD244" s="625"/>
      <c r="AE244" s="625"/>
      <c r="AF244" s="623"/>
      <c r="AG244" s="623"/>
      <c r="AH244" s="623"/>
      <c r="AI244" s="623"/>
      <c r="AJ244" s="623"/>
      <c r="AK244" s="623"/>
      <c r="AL244" s="623"/>
      <c r="AM244" s="623"/>
      <c r="AN244" s="625"/>
      <c r="AO244" s="625"/>
      <c r="AP244" s="625"/>
      <c r="AQ244" s="625"/>
      <c r="AR244" s="625"/>
      <c r="AS244" s="625"/>
      <c r="AT244" s="625"/>
      <c r="AU244" s="625"/>
      <c r="AV244" s="625"/>
      <c r="AW244" s="625"/>
      <c r="AX244" s="625"/>
      <c r="AY244" s="625"/>
      <c r="AZ244" s="625"/>
      <c r="BA244" s="625"/>
      <c r="BB244" s="695"/>
      <c r="BC244" s="623"/>
      <c r="BD244" s="623"/>
      <c r="BE244" s="623"/>
      <c r="BF244" s="623"/>
      <c r="BG244" s="623"/>
      <c r="BH244" s="623"/>
      <c r="BI244" s="623"/>
      <c r="BJ244" s="623"/>
      <c r="BK244" s="623"/>
      <c r="BL244" s="623"/>
      <c r="BM244" s="623"/>
      <c r="BN244" s="623"/>
      <c r="BO244" s="623"/>
      <c r="BP244" s="623"/>
      <c r="BQ244" s="623"/>
      <c r="BR244" s="623"/>
      <c r="BS244" s="623"/>
      <c r="BT244" s="623"/>
      <c r="BU244" s="623"/>
      <c r="BV244" s="623"/>
      <c r="BW244" s="623"/>
      <c r="BX244" s="623"/>
      <c r="BY244" s="623"/>
      <c r="BZ244" s="623"/>
      <c r="CA244" s="623"/>
      <c r="CB244" s="623"/>
      <c r="CC244" s="623"/>
      <c r="CD244" s="623"/>
      <c r="CE244" s="623"/>
      <c r="CF244" s="623"/>
      <c r="CG244" s="623"/>
      <c r="CH244" s="623"/>
      <c r="CI244" s="623"/>
      <c r="CJ244" s="623"/>
      <c r="CK244" s="623"/>
      <c r="CL244" s="623"/>
      <c r="CM244" s="623"/>
      <c r="CN244" s="623"/>
      <c r="CO244" s="623"/>
      <c r="CP244" s="623"/>
      <c r="CQ244" s="623"/>
    </row>
    <row r="245" spans="1:95" s="808" customFormat="1">
      <c r="A245" s="567"/>
      <c r="B245" s="567"/>
      <c r="C245" s="558"/>
      <c r="D245" s="558"/>
      <c r="E245" s="556" t="str">
        <f t="shared" si="79"/>
        <v/>
      </c>
      <c r="F245" s="558"/>
      <c r="G245" s="558"/>
      <c r="H245" s="558"/>
      <c r="I245" s="558"/>
      <c r="J245" s="558"/>
      <c r="K245" s="558"/>
      <c r="L245" s="625"/>
      <c r="M245" s="625"/>
      <c r="N245" s="625"/>
      <c r="O245" s="625"/>
      <c r="P245" s="625"/>
      <c r="Q245" s="625"/>
      <c r="R245" s="625"/>
      <c r="S245" s="625"/>
      <c r="T245" s="625"/>
      <c r="U245" s="625"/>
      <c r="V245" s="625"/>
      <c r="W245" s="625"/>
      <c r="X245" s="625"/>
      <c r="Y245" s="625"/>
      <c r="Z245" s="625"/>
      <c r="AA245" s="625"/>
      <c r="AB245" s="625"/>
      <c r="AC245" s="625"/>
      <c r="AD245" s="625"/>
      <c r="AE245" s="625"/>
      <c r="AF245" s="623"/>
      <c r="AG245" s="623"/>
      <c r="AH245" s="623"/>
      <c r="AI245" s="623"/>
      <c r="AJ245" s="623"/>
      <c r="AK245" s="623"/>
      <c r="AL245" s="623"/>
      <c r="AM245" s="623"/>
      <c r="AN245" s="625"/>
      <c r="AO245" s="625"/>
      <c r="AP245" s="625"/>
      <c r="AQ245" s="625"/>
      <c r="AR245" s="625"/>
      <c r="AS245" s="625"/>
      <c r="AT245" s="625"/>
      <c r="AU245" s="625"/>
      <c r="AV245" s="625"/>
      <c r="AW245" s="625"/>
      <c r="AX245" s="625"/>
      <c r="AY245" s="625"/>
      <c r="AZ245" s="625"/>
      <c r="BA245" s="625"/>
      <c r="BB245" s="695"/>
      <c r="BC245" s="623"/>
      <c r="BD245" s="623"/>
      <c r="BE245" s="623"/>
      <c r="BF245" s="623"/>
      <c r="BG245" s="623"/>
      <c r="BH245" s="623"/>
      <c r="BI245" s="623"/>
      <c r="BJ245" s="623"/>
      <c r="BK245" s="623"/>
      <c r="BL245" s="623"/>
      <c r="BM245" s="623"/>
      <c r="BN245" s="623"/>
      <c r="BO245" s="623"/>
      <c r="BP245" s="623"/>
      <c r="BQ245" s="623"/>
      <c r="BR245" s="623"/>
      <c r="BS245" s="623"/>
      <c r="BT245" s="623"/>
      <c r="BU245" s="623"/>
      <c r="BV245" s="623"/>
      <c r="BW245" s="623"/>
      <c r="BX245" s="623"/>
      <c r="BY245" s="623"/>
      <c r="BZ245" s="623"/>
      <c r="CA245" s="623"/>
      <c r="CB245" s="623"/>
      <c r="CC245" s="623"/>
      <c r="CD245" s="623"/>
      <c r="CE245" s="623"/>
      <c r="CF245" s="623"/>
      <c r="CG245" s="623"/>
      <c r="CH245" s="623"/>
      <c r="CI245" s="623"/>
      <c r="CJ245" s="623"/>
      <c r="CK245" s="623"/>
      <c r="CL245" s="623"/>
      <c r="CM245" s="623"/>
      <c r="CN245" s="623"/>
      <c r="CO245" s="623"/>
      <c r="CP245" s="623"/>
      <c r="CQ245" s="623"/>
    </row>
    <row r="246" spans="1:95" s="808" customFormat="1">
      <c r="A246" s="567"/>
      <c r="B246" s="567"/>
      <c r="C246" s="558"/>
      <c r="D246" s="558"/>
      <c r="E246" s="556" t="str">
        <f t="shared" si="79"/>
        <v/>
      </c>
      <c r="F246" s="558"/>
      <c r="G246" s="558"/>
      <c r="H246" s="558"/>
      <c r="I246" s="558"/>
      <c r="J246" s="558"/>
      <c r="K246" s="558"/>
      <c r="L246" s="625"/>
      <c r="M246" s="625"/>
      <c r="N246" s="625"/>
      <c r="O246" s="625"/>
      <c r="P246" s="625"/>
      <c r="Q246" s="625"/>
      <c r="R246" s="625"/>
      <c r="S246" s="625"/>
      <c r="T246" s="625"/>
      <c r="U246" s="625"/>
      <c r="V246" s="625"/>
      <c r="W246" s="625"/>
      <c r="X246" s="625"/>
      <c r="Y246" s="625"/>
      <c r="Z246" s="625"/>
      <c r="AA246" s="625"/>
      <c r="AB246" s="625"/>
      <c r="AC246" s="625"/>
      <c r="AD246" s="625"/>
      <c r="AE246" s="625"/>
      <c r="AF246" s="623"/>
      <c r="AG246" s="623"/>
      <c r="AH246" s="623"/>
      <c r="AI246" s="623"/>
      <c r="AJ246" s="623"/>
      <c r="AK246" s="623"/>
      <c r="AL246" s="623"/>
      <c r="AM246" s="623"/>
      <c r="AN246" s="625"/>
      <c r="AO246" s="625"/>
      <c r="AP246" s="625"/>
      <c r="AQ246" s="625"/>
      <c r="AR246" s="625"/>
      <c r="AS246" s="625"/>
      <c r="AT246" s="625"/>
      <c r="AU246" s="625"/>
      <c r="AV246" s="625"/>
      <c r="AW246" s="625"/>
      <c r="AX246" s="625"/>
      <c r="AY246" s="625"/>
      <c r="AZ246" s="625"/>
      <c r="BA246" s="625"/>
      <c r="BB246" s="695"/>
      <c r="BC246" s="623"/>
      <c r="BD246" s="623"/>
      <c r="BE246" s="623"/>
      <c r="BF246" s="623"/>
      <c r="BG246" s="623"/>
      <c r="BH246" s="623"/>
      <c r="BI246" s="623"/>
      <c r="BJ246" s="623"/>
      <c r="BK246" s="623"/>
      <c r="BL246" s="623"/>
      <c r="BM246" s="623"/>
      <c r="BN246" s="623"/>
      <c r="BO246" s="623"/>
      <c r="BP246" s="623"/>
      <c r="BQ246" s="623"/>
      <c r="BR246" s="623"/>
      <c r="BS246" s="623"/>
      <c r="BT246" s="623"/>
      <c r="BU246" s="623"/>
      <c r="BV246" s="623"/>
      <c r="BW246" s="623"/>
      <c r="BX246" s="623"/>
      <c r="BY246" s="623"/>
      <c r="BZ246" s="623"/>
      <c r="CA246" s="623"/>
      <c r="CB246" s="623"/>
      <c r="CC246" s="623"/>
      <c r="CD246" s="623"/>
      <c r="CE246" s="623"/>
      <c r="CF246" s="623"/>
      <c r="CG246" s="623"/>
      <c r="CH246" s="623"/>
      <c r="CI246" s="623"/>
      <c r="CJ246" s="623"/>
      <c r="CK246" s="623"/>
      <c r="CL246" s="623"/>
      <c r="CM246" s="623"/>
      <c r="CN246" s="623"/>
      <c r="CO246" s="623"/>
      <c r="CP246" s="623"/>
      <c r="CQ246" s="623"/>
    </row>
    <row r="247" spans="1:95" s="808" customFormat="1">
      <c r="A247" s="567"/>
      <c r="B247" s="567"/>
      <c r="C247" s="558"/>
      <c r="D247" s="558"/>
      <c r="E247" s="556" t="str">
        <f t="shared" si="79"/>
        <v/>
      </c>
      <c r="F247" s="558"/>
      <c r="G247" s="558"/>
      <c r="H247" s="558"/>
      <c r="I247" s="558"/>
      <c r="J247" s="558"/>
      <c r="K247" s="558"/>
      <c r="L247" s="625"/>
      <c r="M247" s="625"/>
      <c r="N247" s="625"/>
      <c r="O247" s="625"/>
      <c r="P247" s="625"/>
      <c r="Q247" s="625"/>
      <c r="R247" s="625"/>
      <c r="S247" s="625"/>
      <c r="T247" s="625"/>
      <c r="U247" s="625"/>
      <c r="V247" s="625"/>
      <c r="W247" s="625"/>
      <c r="X247" s="625"/>
      <c r="Y247" s="625"/>
      <c r="Z247" s="625"/>
      <c r="AA247" s="625"/>
      <c r="AB247" s="625"/>
      <c r="AC247" s="625"/>
      <c r="AD247" s="625"/>
      <c r="AE247" s="625"/>
      <c r="AF247" s="623"/>
      <c r="AG247" s="623"/>
      <c r="AH247" s="623"/>
      <c r="AI247" s="623"/>
      <c r="AJ247" s="623"/>
      <c r="AK247" s="623"/>
      <c r="AL247" s="623"/>
      <c r="AM247" s="623"/>
      <c r="AN247" s="625"/>
      <c r="AO247" s="625"/>
      <c r="AP247" s="625"/>
      <c r="AQ247" s="625"/>
      <c r="AR247" s="625"/>
      <c r="AS247" s="625"/>
      <c r="AT247" s="625"/>
      <c r="AU247" s="625"/>
      <c r="AV247" s="625"/>
      <c r="AW247" s="625"/>
      <c r="AX247" s="625"/>
      <c r="AY247" s="625"/>
      <c r="AZ247" s="625"/>
      <c r="BA247" s="625"/>
      <c r="BB247" s="695"/>
      <c r="BC247" s="623"/>
      <c r="BD247" s="623"/>
      <c r="BE247" s="623"/>
      <c r="BF247" s="623"/>
      <c r="BG247" s="623"/>
      <c r="BH247" s="623"/>
      <c r="BI247" s="623"/>
      <c r="BJ247" s="623"/>
      <c r="BK247" s="623"/>
      <c r="BL247" s="623"/>
      <c r="BM247" s="623"/>
      <c r="BN247" s="623"/>
      <c r="BO247" s="623"/>
      <c r="BP247" s="623"/>
      <c r="BQ247" s="623"/>
      <c r="BR247" s="623"/>
      <c r="BS247" s="623"/>
      <c r="BT247" s="623"/>
      <c r="BU247" s="623"/>
      <c r="BV247" s="623"/>
      <c r="BW247" s="623"/>
      <c r="BX247" s="623"/>
      <c r="BY247" s="623"/>
      <c r="BZ247" s="623"/>
      <c r="CA247" s="623"/>
      <c r="CB247" s="623"/>
      <c r="CC247" s="623"/>
      <c r="CD247" s="623"/>
      <c r="CE247" s="623"/>
      <c r="CF247" s="623"/>
      <c r="CG247" s="623"/>
      <c r="CH247" s="623"/>
      <c r="CI247" s="623"/>
      <c r="CJ247" s="623"/>
      <c r="CK247" s="623"/>
      <c r="CL247" s="623"/>
      <c r="CM247" s="623"/>
      <c r="CN247" s="623"/>
      <c r="CO247" s="623"/>
      <c r="CP247" s="623"/>
      <c r="CQ247" s="623"/>
    </row>
    <row r="248" spans="1:95" s="808" customFormat="1">
      <c r="A248" s="567"/>
      <c r="B248" s="567"/>
      <c r="C248" s="558"/>
      <c r="D248" s="558"/>
      <c r="E248" s="556" t="str">
        <f t="shared" si="79"/>
        <v/>
      </c>
      <c r="F248" s="558"/>
      <c r="G248" s="558"/>
      <c r="H248" s="558"/>
      <c r="I248" s="558"/>
      <c r="J248" s="558"/>
      <c r="K248" s="558"/>
      <c r="L248" s="625"/>
      <c r="M248" s="625"/>
      <c r="N248" s="625"/>
      <c r="O248" s="625"/>
      <c r="P248" s="625"/>
      <c r="Q248" s="625"/>
      <c r="R248" s="625"/>
      <c r="S248" s="625"/>
      <c r="T248" s="625"/>
      <c r="U248" s="625"/>
      <c r="V248" s="625"/>
      <c r="W248" s="625"/>
      <c r="X248" s="625"/>
      <c r="Y248" s="625"/>
      <c r="Z248" s="625"/>
      <c r="AA248" s="625"/>
      <c r="AB248" s="625"/>
      <c r="AC248" s="625"/>
      <c r="AD248" s="625"/>
      <c r="AE248" s="625"/>
      <c r="AF248" s="623"/>
      <c r="AG248" s="623"/>
      <c r="AH248" s="623"/>
      <c r="AI248" s="623"/>
      <c r="AJ248" s="623"/>
      <c r="AK248" s="623"/>
      <c r="AL248" s="623"/>
      <c r="AM248" s="623"/>
      <c r="AN248" s="625"/>
      <c r="AO248" s="625"/>
      <c r="AP248" s="625"/>
      <c r="AQ248" s="625"/>
      <c r="AR248" s="625"/>
      <c r="AS248" s="625"/>
      <c r="AT248" s="625"/>
      <c r="AU248" s="625"/>
      <c r="AV248" s="625"/>
      <c r="AW248" s="625"/>
      <c r="AX248" s="625"/>
      <c r="AY248" s="625"/>
      <c r="AZ248" s="625"/>
      <c r="BA248" s="625"/>
      <c r="BB248" s="695"/>
      <c r="BC248" s="623"/>
      <c r="BD248" s="623"/>
      <c r="BE248" s="623"/>
      <c r="BF248" s="623"/>
      <c r="BG248" s="623"/>
      <c r="BH248" s="623"/>
      <c r="BI248" s="623"/>
      <c r="BJ248" s="623"/>
      <c r="BK248" s="623"/>
      <c r="BL248" s="623"/>
      <c r="BM248" s="623"/>
      <c r="BN248" s="623"/>
      <c r="BO248" s="623"/>
      <c r="BP248" s="623"/>
      <c r="BQ248" s="623"/>
      <c r="BR248" s="623"/>
      <c r="BS248" s="623"/>
      <c r="BT248" s="623"/>
      <c r="BU248" s="623"/>
      <c r="BV248" s="623"/>
      <c r="BW248" s="623"/>
      <c r="BX248" s="623"/>
      <c r="BY248" s="623"/>
      <c r="BZ248" s="623"/>
      <c r="CA248" s="623"/>
      <c r="CB248" s="623"/>
      <c r="CC248" s="623"/>
      <c r="CD248" s="623"/>
      <c r="CE248" s="623"/>
      <c r="CF248" s="623"/>
      <c r="CG248" s="623"/>
      <c r="CH248" s="623"/>
      <c r="CI248" s="623"/>
      <c r="CJ248" s="623"/>
      <c r="CK248" s="623"/>
      <c r="CL248" s="623"/>
      <c r="CM248" s="623"/>
      <c r="CN248" s="623"/>
      <c r="CO248" s="623"/>
      <c r="CP248" s="623"/>
      <c r="CQ248" s="623"/>
    </row>
    <row r="249" spans="1:95" s="808" customFormat="1">
      <c r="A249" s="567"/>
      <c r="B249" s="567"/>
      <c r="C249" s="558"/>
      <c r="D249" s="558"/>
      <c r="E249" s="556" t="str">
        <f t="shared" si="79"/>
        <v/>
      </c>
      <c r="F249" s="558"/>
      <c r="G249" s="558"/>
      <c r="H249" s="558"/>
      <c r="I249" s="558"/>
      <c r="J249" s="558"/>
      <c r="K249" s="558"/>
      <c r="L249" s="625"/>
      <c r="M249" s="625"/>
      <c r="N249" s="625"/>
      <c r="O249" s="625"/>
      <c r="P249" s="625"/>
      <c r="Q249" s="625"/>
      <c r="R249" s="625"/>
      <c r="S249" s="625"/>
      <c r="T249" s="625"/>
      <c r="U249" s="625"/>
      <c r="V249" s="625"/>
      <c r="W249" s="625"/>
      <c r="X249" s="625"/>
      <c r="Y249" s="625"/>
      <c r="Z249" s="625"/>
      <c r="AA249" s="625"/>
      <c r="AB249" s="625"/>
      <c r="AC249" s="625"/>
      <c r="AD249" s="625"/>
      <c r="AE249" s="625"/>
      <c r="AF249" s="623"/>
      <c r="AG249" s="623"/>
      <c r="AH249" s="623"/>
      <c r="AI249" s="623"/>
      <c r="AJ249" s="623"/>
      <c r="AK249" s="623"/>
      <c r="AL249" s="623"/>
      <c r="AM249" s="623"/>
      <c r="AN249" s="625"/>
      <c r="AO249" s="625"/>
      <c r="AP249" s="625"/>
      <c r="AQ249" s="625"/>
      <c r="AR249" s="625"/>
      <c r="AS249" s="625"/>
      <c r="AT249" s="625"/>
      <c r="AU249" s="625"/>
      <c r="AV249" s="625"/>
      <c r="AW249" s="625"/>
      <c r="AX249" s="625"/>
      <c r="AY249" s="625"/>
      <c r="AZ249" s="625"/>
      <c r="BA249" s="625"/>
      <c r="BB249" s="695"/>
      <c r="BC249" s="623"/>
      <c r="BD249" s="623"/>
      <c r="BE249" s="623"/>
      <c r="BF249" s="623"/>
      <c r="BG249" s="623"/>
      <c r="BH249" s="623"/>
      <c r="BI249" s="623"/>
      <c r="BJ249" s="623"/>
      <c r="BK249" s="623"/>
      <c r="BL249" s="623"/>
      <c r="BM249" s="623"/>
      <c r="BN249" s="623"/>
      <c r="BO249" s="623"/>
      <c r="BP249" s="623"/>
      <c r="BQ249" s="623"/>
      <c r="BR249" s="623"/>
      <c r="BS249" s="623"/>
      <c r="BT249" s="623"/>
      <c r="BU249" s="623"/>
      <c r="BV249" s="623"/>
      <c r="BW249" s="623"/>
      <c r="BX249" s="623"/>
      <c r="BY249" s="623"/>
      <c r="BZ249" s="623"/>
      <c r="CA249" s="623"/>
      <c r="CB249" s="623"/>
      <c r="CC249" s="623"/>
      <c r="CD249" s="623"/>
      <c r="CE249" s="623"/>
      <c r="CF249" s="623"/>
      <c r="CG249" s="623"/>
      <c r="CH249" s="623"/>
      <c r="CI249" s="623"/>
      <c r="CJ249" s="623"/>
      <c r="CK249" s="623"/>
      <c r="CL249" s="623"/>
      <c r="CM249" s="623"/>
      <c r="CN249" s="623"/>
      <c r="CO249" s="623"/>
      <c r="CP249" s="623"/>
      <c r="CQ249" s="623"/>
    </row>
    <row r="250" spans="1:95" s="808" customFormat="1">
      <c r="A250" s="567"/>
      <c r="B250" s="567"/>
      <c r="C250" s="558"/>
      <c r="D250" s="558"/>
      <c r="E250" s="556" t="str">
        <f t="shared" si="79"/>
        <v/>
      </c>
      <c r="F250" s="558"/>
      <c r="G250" s="558"/>
      <c r="H250" s="558"/>
      <c r="I250" s="558"/>
      <c r="J250" s="558"/>
      <c r="K250" s="558"/>
      <c r="L250" s="625"/>
      <c r="M250" s="625"/>
      <c r="N250" s="625"/>
      <c r="O250" s="625"/>
      <c r="P250" s="625"/>
      <c r="Q250" s="625"/>
      <c r="R250" s="625"/>
      <c r="S250" s="625"/>
      <c r="T250" s="625"/>
      <c r="U250" s="625"/>
      <c r="V250" s="625"/>
      <c r="W250" s="625"/>
      <c r="X250" s="625"/>
      <c r="Y250" s="625"/>
      <c r="Z250" s="625"/>
      <c r="AA250" s="625"/>
      <c r="AB250" s="625"/>
      <c r="AC250" s="625"/>
      <c r="AD250" s="625"/>
      <c r="AE250" s="625"/>
      <c r="AF250" s="623"/>
      <c r="AG250" s="623"/>
      <c r="AH250" s="623"/>
      <c r="AI250" s="623"/>
      <c r="AJ250" s="623"/>
      <c r="AK250" s="623"/>
      <c r="AL250" s="623"/>
      <c r="AM250" s="623"/>
      <c r="AN250" s="625"/>
      <c r="AO250" s="625"/>
      <c r="AP250" s="625"/>
      <c r="AQ250" s="625"/>
      <c r="AR250" s="625"/>
      <c r="AS250" s="625"/>
      <c r="AT250" s="625"/>
      <c r="AU250" s="625"/>
      <c r="AV250" s="625"/>
      <c r="AW250" s="625"/>
      <c r="AX250" s="625"/>
      <c r="AY250" s="625"/>
      <c r="AZ250" s="625"/>
      <c r="BA250" s="625"/>
      <c r="BB250" s="695"/>
      <c r="BC250" s="623"/>
      <c r="BD250" s="623"/>
      <c r="BE250" s="623"/>
      <c r="BF250" s="623"/>
      <c r="BG250" s="623"/>
      <c r="BH250" s="623"/>
      <c r="BI250" s="623"/>
      <c r="BJ250" s="623"/>
      <c r="BK250" s="623"/>
      <c r="BL250" s="623"/>
      <c r="BM250" s="623"/>
      <c r="BN250" s="623"/>
      <c r="BO250" s="623"/>
      <c r="BP250" s="623"/>
      <c r="BQ250" s="623"/>
      <c r="BR250" s="623"/>
      <c r="BS250" s="623"/>
      <c r="BT250" s="623"/>
      <c r="BU250" s="623"/>
      <c r="BV250" s="623"/>
      <c r="BW250" s="623"/>
      <c r="BX250" s="623"/>
      <c r="BY250" s="623"/>
      <c r="BZ250" s="623"/>
      <c r="CA250" s="623"/>
      <c r="CB250" s="623"/>
      <c r="CC250" s="623"/>
      <c r="CD250" s="623"/>
      <c r="CE250" s="623"/>
      <c r="CF250" s="623"/>
      <c r="CG250" s="623"/>
      <c r="CH250" s="623"/>
      <c r="CI250" s="623"/>
      <c r="CJ250" s="623"/>
      <c r="CK250" s="623"/>
      <c r="CL250" s="623"/>
      <c r="CM250" s="623"/>
      <c r="CN250" s="623"/>
      <c r="CO250" s="623"/>
      <c r="CP250" s="623"/>
      <c r="CQ250" s="623"/>
    </row>
    <row r="251" spans="1:95" s="808" customFormat="1">
      <c r="A251" s="567"/>
      <c r="B251" s="567"/>
      <c r="C251" s="558"/>
      <c r="D251" s="558"/>
      <c r="E251" s="556" t="str">
        <f t="shared" si="79"/>
        <v/>
      </c>
      <c r="F251" s="558"/>
      <c r="G251" s="558"/>
      <c r="H251" s="558"/>
      <c r="I251" s="558"/>
      <c r="J251" s="558"/>
      <c r="K251" s="558"/>
      <c r="L251" s="625"/>
      <c r="M251" s="625"/>
      <c r="N251" s="625"/>
      <c r="O251" s="625"/>
      <c r="P251" s="625"/>
      <c r="Q251" s="625"/>
      <c r="R251" s="625"/>
      <c r="S251" s="625"/>
      <c r="T251" s="625"/>
      <c r="U251" s="625"/>
      <c r="V251" s="625"/>
      <c r="W251" s="625"/>
      <c r="X251" s="625"/>
      <c r="Y251" s="625"/>
      <c r="Z251" s="625"/>
      <c r="AA251" s="625"/>
      <c r="AB251" s="625"/>
      <c r="AC251" s="625"/>
      <c r="AD251" s="625"/>
      <c r="AE251" s="625"/>
      <c r="AF251" s="623"/>
      <c r="AG251" s="623"/>
      <c r="AH251" s="623"/>
      <c r="AI251" s="623"/>
      <c r="AJ251" s="623"/>
      <c r="AK251" s="623"/>
      <c r="AL251" s="623"/>
      <c r="AM251" s="623"/>
      <c r="AN251" s="625"/>
      <c r="AO251" s="625"/>
      <c r="AP251" s="625"/>
      <c r="AQ251" s="625"/>
      <c r="AR251" s="625"/>
      <c r="AS251" s="625"/>
      <c r="AT251" s="625"/>
      <c r="AU251" s="625"/>
      <c r="AV251" s="625"/>
      <c r="AW251" s="625"/>
      <c r="AX251" s="625"/>
      <c r="AY251" s="625"/>
      <c r="AZ251" s="625"/>
      <c r="BA251" s="625"/>
      <c r="BB251" s="695"/>
      <c r="BC251" s="623"/>
      <c r="BD251" s="623"/>
      <c r="BE251" s="623"/>
      <c r="BF251" s="623"/>
      <c r="BG251" s="623"/>
      <c r="BH251" s="623"/>
      <c r="BI251" s="623"/>
      <c r="BJ251" s="623"/>
      <c r="BK251" s="623"/>
      <c r="BL251" s="623"/>
      <c r="BM251" s="623"/>
      <c r="BN251" s="623"/>
      <c r="BO251" s="623"/>
      <c r="BP251" s="623"/>
      <c r="BQ251" s="623"/>
      <c r="BR251" s="623"/>
      <c r="BS251" s="623"/>
      <c r="BT251" s="623"/>
      <c r="BU251" s="623"/>
      <c r="BV251" s="623"/>
      <c r="BW251" s="623"/>
      <c r="BX251" s="623"/>
      <c r="BY251" s="623"/>
      <c r="BZ251" s="623"/>
      <c r="CA251" s="623"/>
      <c r="CB251" s="623"/>
      <c r="CC251" s="623"/>
      <c r="CD251" s="623"/>
      <c r="CE251" s="623"/>
      <c r="CF251" s="623"/>
      <c r="CG251" s="623"/>
      <c r="CH251" s="623"/>
      <c r="CI251" s="623"/>
      <c r="CJ251" s="623"/>
      <c r="CK251" s="623"/>
      <c r="CL251" s="623"/>
      <c r="CM251" s="623"/>
      <c r="CN251" s="623"/>
      <c r="CO251" s="623"/>
      <c r="CP251" s="623"/>
      <c r="CQ251" s="623"/>
    </row>
    <row r="252" spans="1:95" s="808" customFormat="1">
      <c r="A252" s="567"/>
      <c r="B252" s="567"/>
      <c r="C252" s="558"/>
      <c r="D252" s="558"/>
      <c r="E252" s="556" t="str">
        <f t="shared" si="79"/>
        <v/>
      </c>
      <c r="F252" s="558"/>
      <c r="G252" s="558"/>
      <c r="H252" s="558"/>
      <c r="I252" s="558"/>
      <c r="J252" s="558"/>
      <c r="K252" s="558"/>
      <c r="L252" s="625"/>
      <c r="M252" s="625"/>
      <c r="N252" s="625"/>
      <c r="O252" s="625"/>
      <c r="P252" s="625"/>
      <c r="Q252" s="625"/>
      <c r="R252" s="625"/>
      <c r="S252" s="625"/>
      <c r="T252" s="625"/>
      <c r="U252" s="625"/>
      <c r="V252" s="625"/>
      <c r="W252" s="625"/>
      <c r="X252" s="625"/>
      <c r="Y252" s="625"/>
      <c r="Z252" s="625"/>
      <c r="AA252" s="625"/>
      <c r="AB252" s="625"/>
      <c r="AC252" s="625"/>
      <c r="AD252" s="625"/>
      <c r="AE252" s="625"/>
      <c r="AF252" s="623"/>
      <c r="AG252" s="623"/>
      <c r="AH252" s="623"/>
      <c r="AI252" s="623"/>
      <c r="AJ252" s="623"/>
      <c r="AK252" s="623"/>
      <c r="AL252" s="623"/>
      <c r="AM252" s="623"/>
      <c r="AN252" s="625"/>
      <c r="AO252" s="625"/>
      <c r="AP252" s="625"/>
      <c r="AQ252" s="625"/>
      <c r="AR252" s="625"/>
      <c r="AS252" s="625"/>
      <c r="AT252" s="625"/>
      <c r="AU252" s="625"/>
      <c r="AV252" s="625"/>
      <c r="AW252" s="625"/>
      <c r="AX252" s="625"/>
      <c r="AY252" s="625"/>
      <c r="AZ252" s="625"/>
      <c r="BA252" s="625"/>
      <c r="BB252" s="695"/>
      <c r="BC252" s="623"/>
      <c r="BD252" s="623"/>
      <c r="BE252" s="623"/>
      <c r="BF252" s="623"/>
      <c r="BG252" s="623"/>
      <c r="BH252" s="623"/>
      <c r="BI252" s="623"/>
      <c r="BJ252" s="623"/>
      <c r="BK252" s="623"/>
      <c r="BL252" s="623"/>
      <c r="BM252" s="623"/>
      <c r="BN252" s="623"/>
      <c r="BO252" s="623"/>
      <c r="BP252" s="623"/>
      <c r="BQ252" s="623"/>
      <c r="BR252" s="623"/>
      <c r="BS252" s="623"/>
      <c r="BT252" s="623"/>
      <c r="BU252" s="623"/>
      <c r="BV252" s="623"/>
      <c r="BW252" s="623"/>
      <c r="BX252" s="623"/>
      <c r="BY252" s="623"/>
      <c r="BZ252" s="623"/>
      <c r="CA252" s="623"/>
      <c r="CB252" s="623"/>
      <c r="CC252" s="623"/>
      <c r="CD252" s="623"/>
      <c r="CE252" s="623"/>
      <c r="CF252" s="623"/>
      <c r="CG252" s="623"/>
      <c r="CH252" s="623"/>
      <c r="CI252" s="623"/>
      <c r="CJ252" s="623"/>
      <c r="CK252" s="623"/>
      <c r="CL252" s="623"/>
      <c r="CM252" s="623"/>
      <c r="CN252" s="623"/>
      <c r="CO252" s="623"/>
      <c r="CP252" s="623"/>
      <c r="CQ252" s="623"/>
    </row>
    <row r="253" spans="1:95" s="808" customFormat="1">
      <c r="A253" s="567"/>
      <c r="B253" s="567"/>
      <c r="C253" s="558"/>
      <c r="D253" s="558"/>
      <c r="E253" s="556" t="str">
        <f t="shared" si="79"/>
        <v/>
      </c>
      <c r="F253" s="558"/>
      <c r="G253" s="558"/>
      <c r="H253" s="558"/>
      <c r="I253" s="558"/>
      <c r="J253" s="558"/>
      <c r="K253" s="558"/>
      <c r="L253" s="625"/>
      <c r="M253" s="625"/>
      <c r="N253" s="625"/>
      <c r="O253" s="625"/>
      <c r="P253" s="625"/>
      <c r="Q253" s="625"/>
      <c r="R253" s="625"/>
      <c r="S253" s="625"/>
      <c r="T253" s="625"/>
      <c r="U253" s="625"/>
      <c r="V253" s="625"/>
      <c r="W253" s="625"/>
      <c r="X253" s="625"/>
      <c r="Y253" s="625"/>
      <c r="Z253" s="625"/>
      <c r="AA253" s="625"/>
      <c r="AB253" s="625"/>
      <c r="AC253" s="625"/>
      <c r="AD253" s="625"/>
      <c r="AE253" s="625"/>
      <c r="AF253" s="623"/>
      <c r="AG253" s="623"/>
      <c r="AH253" s="623"/>
      <c r="AI253" s="623"/>
      <c r="AJ253" s="623"/>
      <c r="AK253" s="623"/>
      <c r="AL253" s="623"/>
      <c r="AM253" s="623"/>
      <c r="AN253" s="625"/>
      <c r="AO253" s="625"/>
      <c r="AP253" s="625"/>
      <c r="AQ253" s="625"/>
      <c r="AR253" s="625"/>
      <c r="AS253" s="625"/>
      <c r="AT253" s="625"/>
      <c r="AU253" s="625"/>
      <c r="AV253" s="625"/>
      <c r="AW253" s="625"/>
      <c r="AX253" s="625"/>
      <c r="AY253" s="625"/>
      <c r="AZ253" s="625"/>
      <c r="BA253" s="625"/>
      <c r="BB253" s="695"/>
      <c r="BC253" s="623"/>
      <c r="BD253" s="623"/>
      <c r="BE253" s="623"/>
      <c r="BF253" s="623"/>
      <c r="BG253" s="623"/>
      <c r="BH253" s="623"/>
      <c r="BI253" s="623"/>
      <c r="BJ253" s="623"/>
      <c r="BK253" s="623"/>
      <c r="BL253" s="623"/>
      <c r="BM253" s="623"/>
      <c r="BN253" s="623"/>
      <c r="BO253" s="623"/>
      <c r="BP253" s="623"/>
      <c r="BQ253" s="623"/>
      <c r="BR253" s="623"/>
      <c r="BS253" s="623"/>
      <c r="BT253" s="623"/>
      <c r="BU253" s="623"/>
      <c r="BV253" s="623"/>
      <c r="BW253" s="623"/>
      <c r="BX253" s="623"/>
      <c r="BY253" s="623"/>
      <c r="BZ253" s="623"/>
      <c r="CA253" s="623"/>
      <c r="CB253" s="623"/>
      <c r="CC253" s="623"/>
      <c r="CD253" s="623"/>
      <c r="CE253" s="623"/>
      <c r="CF253" s="623"/>
      <c r="CG253" s="623"/>
      <c r="CH253" s="623"/>
      <c r="CI253" s="623"/>
      <c r="CJ253" s="623"/>
      <c r="CK253" s="623"/>
      <c r="CL253" s="623"/>
      <c r="CM253" s="623"/>
      <c r="CN253" s="623"/>
      <c r="CO253" s="623"/>
      <c r="CP253" s="623"/>
      <c r="CQ253" s="623"/>
    </row>
    <row r="254" spans="1:95" s="808" customFormat="1">
      <c r="A254" s="567"/>
      <c r="B254" s="567"/>
      <c r="C254" s="558"/>
      <c r="D254" s="558"/>
      <c r="E254" s="556" t="str">
        <f t="shared" si="79"/>
        <v/>
      </c>
      <c r="F254" s="558"/>
      <c r="G254" s="558"/>
      <c r="H254" s="558"/>
      <c r="I254" s="558"/>
      <c r="J254" s="558"/>
      <c r="K254" s="558"/>
      <c r="L254" s="625"/>
      <c r="M254" s="625"/>
      <c r="N254" s="625"/>
      <c r="O254" s="625"/>
      <c r="P254" s="625"/>
      <c r="Q254" s="625"/>
      <c r="R254" s="625"/>
      <c r="S254" s="625"/>
      <c r="T254" s="625"/>
      <c r="U254" s="625"/>
      <c r="V254" s="625"/>
      <c r="W254" s="625"/>
      <c r="X254" s="625"/>
      <c r="Y254" s="625"/>
      <c r="Z254" s="625"/>
      <c r="AA254" s="625"/>
      <c r="AB254" s="625"/>
      <c r="AC254" s="625"/>
      <c r="AD254" s="625"/>
      <c r="AE254" s="625"/>
      <c r="AF254" s="623"/>
      <c r="AG254" s="623"/>
      <c r="AH254" s="623"/>
      <c r="AI254" s="623"/>
      <c r="AJ254" s="623"/>
      <c r="AK254" s="623"/>
      <c r="AL254" s="623"/>
      <c r="AM254" s="623"/>
      <c r="AN254" s="625"/>
      <c r="AO254" s="625"/>
      <c r="AP254" s="625"/>
      <c r="AQ254" s="625"/>
      <c r="AR254" s="625"/>
      <c r="AS254" s="625"/>
      <c r="AT254" s="625"/>
      <c r="AU254" s="625"/>
      <c r="AV254" s="625"/>
      <c r="AW254" s="625"/>
      <c r="AX254" s="625"/>
      <c r="AY254" s="625"/>
      <c r="AZ254" s="625"/>
      <c r="BA254" s="625"/>
      <c r="BB254" s="695"/>
      <c r="BC254" s="623"/>
      <c r="BD254" s="623"/>
      <c r="BE254" s="623"/>
      <c r="BF254" s="623"/>
      <c r="BG254" s="623"/>
      <c r="BH254" s="623"/>
      <c r="BI254" s="623"/>
      <c r="BJ254" s="623"/>
      <c r="BK254" s="623"/>
      <c r="BL254" s="623"/>
      <c r="BM254" s="623"/>
      <c r="BN254" s="623"/>
      <c r="BO254" s="623"/>
      <c r="BP254" s="623"/>
      <c r="BQ254" s="623"/>
      <c r="BR254" s="623"/>
      <c r="BS254" s="623"/>
      <c r="BT254" s="623"/>
      <c r="BU254" s="623"/>
      <c r="BV254" s="623"/>
      <c r="BW254" s="623"/>
      <c r="BX254" s="623"/>
      <c r="BY254" s="623"/>
      <c r="BZ254" s="623"/>
      <c r="CA254" s="623"/>
      <c r="CB254" s="623"/>
      <c r="CC254" s="623"/>
      <c r="CD254" s="623"/>
      <c r="CE254" s="623"/>
      <c r="CF254" s="623"/>
      <c r="CG254" s="623"/>
      <c r="CH254" s="623"/>
      <c r="CI254" s="623"/>
      <c r="CJ254" s="623"/>
      <c r="CK254" s="623"/>
      <c r="CL254" s="623"/>
      <c r="CM254" s="623"/>
      <c r="CN254" s="623"/>
      <c r="CO254" s="623"/>
      <c r="CP254" s="623"/>
      <c r="CQ254" s="623"/>
    </row>
    <row r="255" spans="1:95" s="808" customFormat="1">
      <c r="A255" s="567"/>
      <c r="B255" s="567"/>
      <c r="C255" s="558"/>
      <c r="D255" s="558"/>
      <c r="E255" s="556" t="str">
        <f t="shared" si="79"/>
        <v/>
      </c>
      <c r="F255" s="558"/>
      <c r="G255" s="558"/>
      <c r="H255" s="558"/>
      <c r="I255" s="558"/>
      <c r="J255" s="558"/>
      <c r="K255" s="558"/>
      <c r="L255" s="625"/>
      <c r="M255" s="625"/>
      <c r="N255" s="625"/>
      <c r="O255" s="625"/>
      <c r="P255" s="625"/>
      <c r="Q255" s="625"/>
      <c r="R255" s="625"/>
      <c r="S255" s="625"/>
      <c r="T255" s="625"/>
      <c r="U255" s="625"/>
      <c r="V255" s="625"/>
      <c r="W255" s="625"/>
      <c r="X255" s="625"/>
      <c r="Y255" s="625"/>
      <c r="Z255" s="625"/>
      <c r="AA255" s="625"/>
      <c r="AB255" s="625"/>
      <c r="AC255" s="625"/>
      <c r="AD255" s="625"/>
      <c r="AE255" s="625"/>
      <c r="AF255" s="623"/>
      <c r="AG255" s="623"/>
      <c r="AH255" s="623"/>
      <c r="AI255" s="623"/>
      <c r="AJ255" s="623"/>
      <c r="AK255" s="623"/>
      <c r="AL255" s="623"/>
      <c r="AM255" s="623"/>
      <c r="AN255" s="625"/>
      <c r="AO255" s="625"/>
      <c r="AP255" s="625"/>
      <c r="AQ255" s="625"/>
      <c r="AR255" s="625"/>
      <c r="AS255" s="625"/>
      <c r="AT255" s="625"/>
      <c r="AU255" s="625"/>
      <c r="AV255" s="625"/>
      <c r="AW255" s="625"/>
      <c r="AX255" s="625"/>
      <c r="AY255" s="625"/>
      <c r="AZ255" s="625"/>
      <c r="BA255" s="625"/>
      <c r="BB255" s="695"/>
      <c r="BC255" s="623"/>
      <c r="BD255" s="623"/>
      <c r="BE255" s="623"/>
      <c r="BF255" s="623"/>
      <c r="BG255" s="623"/>
      <c r="BH255" s="623"/>
      <c r="BI255" s="623"/>
      <c r="BJ255" s="623"/>
      <c r="BK255" s="623"/>
      <c r="BL255" s="623"/>
      <c r="BM255" s="623"/>
      <c r="BN255" s="623"/>
      <c r="BO255" s="623"/>
      <c r="BP255" s="623"/>
      <c r="BQ255" s="623"/>
      <c r="BR255" s="623"/>
      <c r="BS255" s="623"/>
      <c r="BT255" s="623"/>
      <c r="BU255" s="623"/>
      <c r="BV255" s="623"/>
      <c r="BW255" s="623"/>
      <c r="BX255" s="623"/>
      <c r="BY255" s="623"/>
      <c r="BZ255" s="623"/>
      <c r="CA255" s="623"/>
      <c r="CB255" s="623"/>
      <c r="CC255" s="623"/>
      <c r="CD255" s="623"/>
      <c r="CE255" s="623"/>
      <c r="CF255" s="623"/>
      <c r="CG255" s="623"/>
      <c r="CH255" s="623"/>
      <c r="CI255" s="623"/>
      <c r="CJ255" s="623"/>
      <c r="CK255" s="623"/>
      <c r="CL255" s="623"/>
      <c r="CM255" s="623"/>
      <c r="CN255" s="623"/>
      <c r="CO255" s="623"/>
      <c r="CP255" s="623"/>
      <c r="CQ255" s="623"/>
    </row>
    <row r="256" spans="1:95" s="808" customFormat="1">
      <c r="A256" s="567"/>
      <c r="B256" s="567"/>
      <c r="C256" s="558"/>
      <c r="D256" s="558"/>
      <c r="E256" s="556" t="str">
        <f t="shared" si="79"/>
        <v/>
      </c>
      <c r="F256" s="558"/>
      <c r="G256" s="558"/>
      <c r="H256" s="558"/>
      <c r="I256" s="558"/>
      <c r="J256" s="558"/>
      <c r="K256" s="558"/>
      <c r="L256" s="625"/>
      <c r="M256" s="625"/>
      <c r="N256" s="625"/>
      <c r="O256" s="625"/>
      <c r="P256" s="625"/>
      <c r="Q256" s="625"/>
      <c r="R256" s="625"/>
      <c r="S256" s="625"/>
      <c r="T256" s="625"/>
      <c r="U256" s="625"/>
      <c r="V256" s="625"/>
      <c r="W256" s="625"/>
      <c r="X256" s="625"/>
      <c r="Y256" s="625"/>
      <c r="Z256" s="625"/>
      <c r="AA256" s="625"/>
      <c r="AB256" s="625"/>
      <c r="AC256" s="625"/>
      <c r="AD256" s="625"/>
      <c r="AE256" s="625"/>
      <c r="AF256" s="623"/>
      <c r="AG256" s="623"/>
      <c r="AH256" s="623"/>
      <c r="AI256" s="623"/>
      <c r="AJ256" s="623"/>
      <c r="AK256" s="623"/>
      <c r="AL256" s="623"/>
      <c r="AM256" s="623"/>
      <c r="AN256" s="625"/>
      <c r="AO256" s="625"/>
      <c r="AP256" s="625"/>
      <c r="AQ256" s="625"/>
      <c r="AR256" s="625"/>
      <c r="AS256" s="625"/>
      <c r="AT256" s="625"/>
      <c r="AU256" s="625"/>
      <c r="AV256" s="625"/>
      <c r="AW256" s="625"/>
      <c r="AX256" s="625"/>
      <c r="AY256" s="625"/>
      <c r="AZ256" s="625"/>
      <c r="BA256" s="625"/>
      <c r="BB256" s="695"/>
      <c r="BC256" s="623"/>
      <c r="BD256" s="623"/>
      <c r="BE256" s="623"/>
      <c r="BF256" s="623"/>
      <c r="BG256" s="623"/>
      <c r="BH256" s="623"/>
      <c r="BI256" s="623"/>
      <c r="BJ256" s="623"/>
      <c r="BK256" s="623"/>
      <c r="BL256" s="623"/>
      <c r="BM256" s="623"/>
      <c r="BN256" s="623"/>
      <c r="BO256" s="623"/>
      <c r="BP256" s="623"/>
      <c r="BQ256" s="623"/>
      <c r="BR256" s="623"/>
      <c r="BS256" s="623"/>
      <c r="BT256" s="623"/>
      <c r="BU256" s="623"/>
      <c r="BV256" s="623"/>
      <c r="BW256" s="623"/>
      <c r="BX256" s="623"/>
      <c r="BY256" s="623"/>
      <c r="BZ256" s="623"/>
      <c r="CA256" s="623"/>
      <c r="CB256" s="623"/>
      <c r="CC256" s="623"/>
      <c r="CD256" s="623"/>
      <c r="CE256" s="623"/>
      <c r="CF256" s="623"/>
      <c r="CG256" s="623"/>
      <c r="CH256" s="623"/>
      <c r="CI256" s="623"/>
      <c r="CJ256" s="623"/>
      <c r="CK256" s="623"/>
      <c r="CL256" s="623"/>
      <c r="CM256" s="623"/>
      <c r="CN256" s="623"/>
      <c r="CO256" s="623"/>
      <c r="CP256" s="623"/>
      <c r="CQ256" s="623"/>
    </row>
    <row r="257" spans="1:95" s="808" customFormat="1">
      <c r="A257" s="567"/>
      <c r="B257" s="567"/>
      <c r="C257" s="558"/>
      <c r="D257" s="558"/>
      <c r="E257" s="556" t="str">
        <f t="shared" si="79"/>
        <v/>
      </c>
      <c r="F257" s="558"/>
      <c r="G257" s="558"/>
      <c r="H257" s="558"/>
      <c r="I257" s="558"/>
      <c r="J257" s="558"/>
      <c r="K257" s="558"/>
      <c r="L257" s="625"/>
      <c r="M257" s="625"/>
      <c r="N257" s="625"/>
      <c r="O257" s="625"/>
      <c r="P257" s="625"/>
      <c r="Q257" s="625"/>
      <c r="R257" s="625"/>
      <c r="S257" s="625"/>
      <c r="T257" s="625"/>
      <c r="U257" s="625"/>
      <c r="V257" s="625"/>
      <c r="W257" s="625"/>
      <c r="X257" s="625"/>
      <c r="Y257" s="625"/>
      <c r="Z257" s="625"/>
      <c r="AA257" s="625"/>
      <c r="AB257" s="625"/>
      <c r="AC257" s="625"/>
      <c r="AD257" s="625"/>
      <c r="AE257" s="625"/>
      <c r="AF257" s="623"/>
      <c r="AG257" s="623"/>
      <c r="AH257" s="623"/>
      <c r="AI257" s="623"/>
      <c r="AJ257" s="623"/>
      <c r="AK257" s="623"/>
      <c r="AL257" s="623"/>
      <c r="AM257" s="623"/>
      <c r="AN257" s="625"/>
      <c r="AO257" s="625"/>
      <c r="AP257" s="625"/>
      <c r="AQ257" s="625"/>
      <c r="AR257" s="625"/>
      <c r="AS257" s="625"/>
      <c r="AT257" s="625"/>
      <c r="AU257" s="625"/>
      <c r="AV257" s="625"/>
      <c r="AW257" s="625"/>
      <c r="AX257" s="625"/>
      <c r="AY257" s="625"/>
      <c r="AZ257" s="625"/>
      <c r="BA257" s="625"/>
      <c r="BB257" s="695"/>
      <c r="BC257" s="623"/>
      <c r="BD257" s="623"/>
      <c r="BE257" s="623"/>
      <c r="BF257" s="623"/>
      <c r="BG257" s="623"/>
      <c r="BH257" s="623"/>
      <c r="BI257" s="623"/>
      <c r="BJ257" s="623"/>
      <c r="BK257" s="623"/>
      <c r="BL257" s="623"/>
      <c r="BM257" s="623"/>
      <c r="BN257" s="623"/>
      <c r="BO257" s="623"/>
      <c r="BP257" s="623"/>
      <c r="BQ257" s="623"/>
      <c r="BR257" s="623"/>
      <c r="BS257" s="623"/>
      <c r="BT257" s="623"/>
      <c r="BU257" s="623"/>
      <c r="BV257" s="623"/>
      <c r="BW257" s="623"/>
      <c r="BX257" s="623"/>
      <c r="BY257" s="623"/>
      <c r="BZ257" s="623"/>
      <c r="CA257" s="623"/>
      <c r="CB257" s="623"/>
      <c r="CC257" s="623"/>
      <c r="CD257" s="623"/>
      <c r="CE257" s="623"/>
      <c r="CF257" s="623"/>
      <c r="CG257" s="623"/>
      <c r="CH257" s="623"/>
      <c r="CI257" s="623"/>
      <c r="CJ257" s="623"/>
      <c r="CK257" s="623"/>
      <c r="CL257" s="623"/>
      <c r="CM257" s="623"/>
      <c r="CN257" s="623"/>
      <c r="CO257" s="623"/>
      <c r="CP257" s="623"/>
      <c r="CQ257" s="623"/>
    </row>
    <row r="258" spans="1:95" s="808" customFormat="1">
      <c r="A258" s="567"/>
      <c r="B258" s="567"/>
      <c r="C258" s="558"/>
      <c r="D258" s="558"/>
      <c r="E258" s="556" t="str">
        <f t="shared" si="79"/>
        <v/>
      </c>
      <c r="F258" s="558"/>
      <c r="G258" s="558"/>
      <c r="H258" s="558"/>
      <c r="I258" s="558"/>
      <c r="J258" s="558"/>
      <c r="K258" s="558"/>
      <c r="L258" s="625"/>
      <c r="M258" s="625"/>
      <c r="N258" s="625"/>
      <c r="O258" s="625"/>
      <c r="P258" s="625"/>
      <c r="Q258" s="625"/>
      <c r="R258" s="625"/>
      <c r="S258" s="625"/>
      <c r="T258" s="625"/>
      <c r="U258" s="625"/>
      <c r="V258" s="625"/>
      <c r="W258" s="625"/>
      <c r="X258" s="625"/>
      <c r="Y258" s="625"/>
      <c r="Z258" s="625"/>
      <c r="AA258" s="625"/>
      <c r="AB258" s="625"/>
      <c r="AC258" s="625"/>
      <c r="AD258" s="625"/>
      <c r="AE258" s="625"/>
      <c r="AF258" s="623"/>
      <c r="AG258" s="623"/>
      <c r="AH258" s="623"/>
      <c r="AI258" s="623"/>
      <c r="AJ258" s="623"/>
      <c r="AK258" s="623"/>
      <c r="AL258" s="623"/>
      <c r="AM258" s="623"/>
      <c r="AN258" s="625"/>
      <c r="AO258" s="625"/>
      <c r="AP258" s="625"/>
      <c r="AQ258" s="625"/>
      <c r="AR258" s="625"/>
      <c r="AS258" s="625"/>
      <c r="AT258" s="625"/>
      <c r="AU258" s="625"/>
      <c r="AV258" s="625"/>
      <c r="AW258" s="625"/>
      <c r="AX258" s="625"/>
      <c r="AY258" s="625"/>
      <c r="AZ258" s="625"/>
      <c r="BA258" s="625"/>
      <c r="BB258" s="695"/>
      <c r="BC258" s="623"/>
      <c r="BD258" s="623"/>
      <c r="BE258" s="623"/>
      <c r="BF258" s="623"/>
      <c r="BG258" s="623"/>
      <c r="BH258" s="623"/>
      <c r="BI258" s="623"/>
      <c r="BJ258" s="623"/>
      <c r="BK258" s="623"/>
      <c r="BL258" s="623"/>
      <c r="BM258" s="623"/>
      <c r="BN258" s="623"/>
      <c r="BO258" s="623"/>
      <c r="BP258" s="623"/>
      <c r="BQ258" s="623"/>
      <c r="BR258" s="623"/>
      <c r="BS258" s="623"/>
      <c r="BT258" s="623"/>
      <c r="BU258" s="623"/>
      <c r="BV258" s="623"/>
      <c r="BW258" s="623"/>
      <c r="BX258" s="623"/>
      <c r="BY258" s="623"/>
      <c r="BZ258" s="623"/>
      <c r="CA258" s="623"/>
      <c r="CB258" s="623"/>
      <c r="CC258" s="623"/>
      <c r="CD258" s="623"/>
      <c r="CE258" s="623"/>
      <c r="CF258" s="623"/>
      <c r="CG258" s="623"/>
      <c r="CH258" s="623"/>
      <c r="CI258" s="623"/>
      <c r="CJ258" s="623"/>
      <c r="CK258" s="623"/>
      <c r="CL258" s="623"/>
      <c r="CM258" s="623"/>
      <c r="CN258" s="623"/>
      <c r="CO258" s="623"/>
      <c r="CP258" s="623"/>
      <c r="CQ258" s="623"/>
    </row>
    <row r="259" spans="1:95" s="808" customFormat="1">
      <c r="A259" s="567"/>
      <c r="B259" s="567"/>
      <c r="C259" s="558"/>
      <c r="D259" s="558"/>
      <c r="E259" s="556" t="str">
        <f t="shared" si="79"/>
        <v/>
      </c>
      <c r="F259" s="558"/>
      <c r="G259" s="558"/>
      <c r="H259" s="558"/>
      <c r="I259" s="558"/>
      <c r="J259" s="558"/>
      <c r="K259" s="558"/>
      <c r="L259" s="625"/>
      <c r="M259" s="625"/>
      <c r="N259" s="625"/>
      <c r="O259" s="625"/>
      <c r="P259" s="625"/>
      <c r="Q259" s="625"/>
      <c r="R259" s="625"/>
      <c r="S259" s="625"/>
      <c r="T259" s="625"/>
      <c r="U259" s="625"/>
      <c r="V259" s="625"/>
      <c r="W259" s="625"/>
      <c r="X259" s="625"/>
      <c r="Y259" s="625"/>
      <c r="Z259" s="625"/>
      <c r="AA259" s="625"/>
      <c r="AB259" s="625"/>
      <c r="AC259" s="625"/>
      <c r="AD259" s="625"/>
      <c r="AE259" s="625"/>
      <c r="AF259" s="623"/>
      <c r="AG259" s="623"/>
      <c r="AH259" s="623"/>
      <c r="AI259" s="623"/>
      <c r="AJ259" s="623"/>
      <c r="AK259" s="623"/>
      <c r="AL259" s="623"/>
      <c r="AM259" s="623"/>
      <c r="AN259" s="625"/>
      <c r="AO259" s="625"/>
      <c r="AP259" s="625"/>
      <c r="AQ259" s="625"/>
      <c r="AR259" s="625"/>
      <c r="AS259" s="625"/>
      <c r="AT259" s="625"/>
      <c r="AU259" s="625"/>
      <c r="AV259" s="625"/>
      <c r="AW259" s="625"/>
      <c r="AX259" s="625"/>
      <c r="AY259" s="625"/>
      <c r="AZ259" s="625"/>
      <c r="BA259" s="625"/>
      <c r="BB259" s="695"/>
      <c r="BC259" s="623"/>
      <c r="BD259" s="623"/>
      <c r="BE259" s="623"/>
      <c r="BF259" s="623"/>
      <c r="BG259" s="623"/>
      <c r="BH259" s="623"/>
      <c r="BI259" s="623"/>
      <c r="BJ259" s="623"/>
      <c r="BK259" s="623"/>
      <c r="BL259" s="623"/>
      <c r="BM259" s="623"/>
      <c r="BN259" s="623"/>
      <c r="BO259" s="623"/>
      <c r="BP259" s="623"/>
      <c r="BQ259" s="623"/>
      <c r="BR259" s="623"/>
      <c r="BS259" s="623"/>
      <c r="BT259" s="623"/>
      <c r="BU259" s="623"/>
      <c r="BV259" s="623"/>
      <c r="BW259" s="623"/>
      <c r="BX259" s="623"/>
      <c r="BY259" s="623"/>
      <c r="BZ259" s="623"/>
      <c r="CA259" s="623"/>
      <c r="CB259" s="623"/>
      <c r="CC259" s="623"/>
      <c r="CD259" s="623"/>
      <c r="CE259" s="623"/>
      <c r="CF259" s="623"/>
      <c r="CG259" s="623"/>
      <c r="CH259" s="623"/>
      <c r="CI259" s="623"/>
      <c r="CJ259" s="623"/>
      <c r="CK259" s="623"/>
      <c r="CL259" s="623"/>
      <c r="CM259" s="623"/>
      <c r="CN259" s="623"/>
      <c r="CO259" s="623"/>
      <c r="CP259" s="623"/>
      <c r="CQ259" s="623"/>
    </row>
    <row r="260" spans="1:95" s="808" customFormat="1">
      <c r="A260" s="567"/>
      <c r="B260" s="567"/>
      <c r="C260" s="558"/>
      <c r="D260" s="558"/>
      <c r="E260" s="556" t="str">
        <f t="shared" si="79"/>
        <v/>
      </c>
      <c r="F260" s="558"/>
      <c r="G260" s="558"/>
      <c r="H260" s="558"/>
      <c r="I260" s="558"/>
      <c r="J260" s="558"/>
      <c r="K260" s="558"/>
      <c r="L260" s="625"/>
      <c r="M260" s="625"/>
      <c r="N260" s="625"/>
      <c r="O260" s="625"/>
      <c r="P260" s="625"/>
      <c r="Q260" s="625"/>
      <c r="R260" s="625"/>
      <c r="S260" s="625"/>
      <c r="T260" s="625"/>
      <c r="U260" s="625"/>
      <c r="V260" s="625"/>
      <c r="W260" s="625"/>
      <c r="X260" s="625"/>
      <c r="Y260" s="625"/>
      <c r="Z260" s="625"/>
      <c r="AA260" s="625"/>
      <c r="AB260" s="625"/>
      <c r="AC260" s="625"/>
      <c r="AD260" s="625"/>
      <c r="AE260" s="625"/>
      <c r="AF260" s="623"/>
      <c r="AG260" s="623"/>
      <c r="AH260" s="623"/>
      <c r="AI260" s="623"/>
      <c r="AJ260" s="623"/>
      <c r="AK260" s="623"/>
      <c r="AL260" s="623"/>
      <c r="AM260" s="623"/>
      <c r="AN260" s="625"/>
      <c r="AO260" s="625"/>
      <c r="AP260" s="625"/>
      <c r="AQ260" s="625"/>
      <c r="AR260" s="625"/>
      <c r="AS260" s="625"/>
      <c r="AT260" s="625"/>
      <c r="AU260" s="625"/>
      <c r="AV260" s="625"/>
      <c r="AW260" s="625"/>
      <c r="AX260" s="625"/>
      <c r="AY260" s="625"/>
      <c r="AZ260" s="625"/>
      <c r="BA260" s="625"/>
      <c r="BB260" s="695"/>
      <c r="BC260" s="623"/>
      <c r="BD260" s="623"/>
      <c r="BE260" s="623"/>
      <c r="BF260" s="623"/>
      <c r="BG260" s="623"/>
      <c r="BH260" s="623"/>
      <c r="BI260" s="623"/>
      <c r="BJ260" s="623"/>
      <c r="BK260" s="623"/>
      <c r="BL260" s="623"/>
      <c r="BM260" s="623"/>
      <c r="BN260" s="623"/>
      <c r="BO260" s="623"/>
      <c r="BP260" s="623"/>
      <c r="BQ260" s="623"/>
      <c r="BR260" s="623"/>
      <c r="BS260" s="623"/>
      <c r="BT260" s="623"/>
      <c r="BU260" s="623"/>
      <c r="BV260" s="623"/>
      <c r="BW260" s="623"/>
      <c r="BX260" s="623"/>
      <c r="BY260" s="623"/>
      <c r="BZ260" s="623"/>
      <c r="CA260" s="623"/>
      <c r="CB260" s="623"/>
      <c r="CC260" s="623"/>
      <c r="CD260" s="623"/>
      <c r="CE260" s="623"/>
      <c r="CF260" s="623"/>
      <c r="CG260" s="623"/>
      <c r="CH260" s="623"/>
      <c r="CI260" s="623"/>
      <c r="CJ260" s="623"/>
      <c r="CK260" s="623"/>
      <c r="CL260" s="623"/>
      <c r="CM260" s="623"/>
      <c r="CN260" s="623"/>
      <c r="CO260" s="623"/>
      <c r="CP260" s="623"/>
      <c r="CQ260" s="623"/>
    </row>
    <row r="261" spans="1:95" s="808" customFormat="1">
      <c r="A261" s="567"/>
      <c r="B261" s="567"/>
      <c r="C261" s="558"/>
      <c r="D261" s="558"/>
      <c r="E261" s="556" t="str">
        <f t="shared" si="79"/>
        <v/>
      </c>
      <c r="F261" s="558"/>
      <c r="G261" s="558"/>
      <c r="H261" s="558"/>
      <c r="I261" s="558"/>
      <c r="J261" s="558"/>
      <c r="K261" s="558"/>
      <c r="L261" s="625"/>
      <c r="M261" s="625"/>
      <c r="N261" s="625"/>
      <c r="O261" s="625"/>
      <c r="P261" s="625"/>
      <c r="Q261" s="625"/>
      <c r="R261" s="625"/>
      <c r="S261" s="625"/>
      <c r="T261" s="625"/>
      <c r="U261" s="625"/>
      <c r="V261" s="625"/>
      <c r="W261" s="625"/>
      <c r="X261" s="625"/>
      <c r="Y261" s="625"/>
      <c r="Z261" s="625"/>
      <c r="AA261" s="625"/>
      <c r="AB261" s="625"/>
      <c r="AC261" s="625"/>
      <c r="AD261" s="625"/>
      <c r="AE261" s="625"/>
      <c r="AF261" s="623"/>
      <c r="AG261" s="623"/>
      <c r="AH261" s="623"/>
      <c r="AI261" s="623"/>
      <c r="AJ261" s="623"/>
      <c r="AK261" s="623"/>
      <c r="AL261" s="623"/>
      <c r="AM261" s="623"/>
      <c r="AN261" s="625"/>
      <c r="AO261" s="625"/>
      <c r="AP261" s="625"/>
      <c r="AQ261" s="625"/>
      <c r="AR261" s="625"/>
      <c r="AS261" s="625"/>
      <c r="AT261" s="625"/>
      <c r="AU261" s="625"/>
      <c r="AV261" s="625"/>
      <c r="AW261" s="625"/>
      <c r="AX261" s="625"/>
      <c r="AY261" s="625"/>
      <c r="AZ261" s="625"/>
      <c r="BA261" s="625"/>
      <c r="BB261" s="695"/>
      <c r="BC261" s="623"/>
      <c r="BD261" s="623"/>
      <c r="BE261" s="623"/>
      <c r="BF261" s="623"/>
      <c r="BG261" s="623"/>
      <c r="BH261" s="623"/>
      <c r="BI261" s="623"/>
      <c r="BJ261" s="623"/>
      <c r="BK261" s="623"/>
      <c r="BL261" s="623"/>
      <c r="BM261" s="623"/>
      <c r="BN261" s="623"/>
      <c r="BO261" s="623"/>
      <c r="BP261" s="623"/>
      <c r="BQ261" s="623"/>
      <c r="BR261" s="623"/>
      <c r="BS261" s="623"/>
      <c r="BT261" s="623"/>
      <c r="BU261" s="623"/>
      <c r="BV261" s="623"/>
      <c r="BW261" s="623"/>
      <c r="BX261" s="623"/>
      <c r="BY261" s="623"/>
      <c r="BZ261" s="623"/>
      <c r="CA261" s="623"/>
      <c r="CB261" s="623"/>
      <c r="CC261" s="623"/>
      <c r="CD261" s="623"/>
      <c r="CE261" s="623"/>
      <c r="CF261" s="623"/>
      <c r="CG261" s="623"/>
      <c r="CH261" s="623"/>
      <c r="CI261" s="623"/>
      <c r="CJ261" s="623"/>
      <c r="CK261" s="623"/>
      <c r="CL261" s="623"/>
      <c r="CM261" s="623"/>
      <c r="CN261" s="623"/>
      <c r="CO261" s="623"/>
      <c r="CP261" s="623"/>
      <c r="CQ261" s="623"/>
    </row>
    <row r="262" spans="1:95" s="808" customFormat="1">
      <c r="A262" s="567"/>
      <c r="B262" s="567"/>
      <c r="C262" s="558"/>
      <c r="D262" s="558"/>
      <c r="E262" s="556" t="str">
        <f t="shared" si="79"/>
        <v/>
      </c>
      <c r="F262" s="558"/>
      <c r="G262" s="558"/>
      <c r="H262" s="558"/>
      <c r="I262" s="558"/>
      <c r="J262" s="558"/>
      <c r="K262" s="558"/>
      <c r="L262" s="625"/>
      <c r="M262" s="625"/>
      <c r="N262" s="625"/>
      <c r="O262" s="625"/>
      <c r="P262" s="625"/>
      <c r="Q262" s="625"/>
      <c r="R262" s="625"/>
      <c r="S262" s="625"/>
      <c r="T262" s="625"/>
      <c r="U262" s="625"/>
      <c r="V262" s="625"/>
      <c r="W262" s="625"/>
      <c r="X262" s="625"/>
      <c r="Y262" s="625"/>
      <c r="Z262" s="625"/>
      <c r="AA262" s="625"/>
      <c r="AB262" s="625"/>
      <c r="AC262" s="625"/>
      <c r="AD262" s="625"/>
      <c r="AE262" s="625"/>
      <c r="AF262" s="623"/>
      <c r="AG262" s="623"/>
      <c r="AH262" s="623"/>
      <c r="AI262" s="623"/>
      <c r="AJ262" s="623"/>
      <c r="AK262" s="623"/>
      <c r="AL262" s="623"/>
      <c r="AM262" s="623"/>
      <c r="AN262" s="625"/>
      <c r="AO262" s="625"/>
      <c r="AP262" s="625"/>
      <c r="AQ262" s="625"/>
      <c r="AR262" s="625"/>
      <c r="AS262" s="625"/>
      <c r="AT262" s="625"/>
      <c r="AU262" s="625"/>
      <c r="AV262" s="625"/>
      <c r="AW262" s="625"/>
      <c r="AX262" s="625"/>
      <c r="AY262" s="625"/>
      <c r="AZ262" s="625"/>
      <c r="BA262" s="625"/>
      <c r="BB262" s="695"/>
      <c r="BC262" s="623"/>
      <c r="BD262" s="623"/>
      <c r="BE262" s="623"/>
      <c r="BF262" s="623"/>
      <c r="BG262" s="623"/>
      <c r="BH262" s="623"/>
      <c r="BI262" s="623"/>
      <c r="BJ262" s="623"/>
      <c r="BK262" s="623"/>
      <c r="BL262" s="623"/>
      <c r="BM262" s="623"/>
      <c r="BN262" s="623"/>
      <c r="BO262" s="623"/>
      <c r="BP262" s="623"/>
      <c r="BQ262" s="623"/>
      <c r="BR262" s="623"/>
      <c r="BS262" s="623"/>
      <c r="BT262" s="623"/>
      <c r="BU262" s="623"/>
      <c r="BV262" s="623"/>
      <c r="BW262" s="623"/>
      <c r="BX262" s="623"/>
      <c r="BY262" s="623"/>
      <c r="BZ262" s="623"/>
      <c r="CA262" s="623"/>
      <c r="CB262" s="623"/>
      <c r="CC262" s="623"/>
      <c r="CD262" s="623"/>
      <c r="CE262" s="623"/>
      <c r="CF262" s="623"/>
      <c r="CG262" s="623"/>
      <c r="CH262" s="623"/>
      <c r="CI262" s="623"/>
      <c r="CJ262" s="623"/>
      <c r="CK262" s="623"/>
      <c r="CL262" s="623"/>
      <c r="CM262" s="623"/>
      <c r="CN262" s="623"/>
      <c r="CO262" s="623"/>
      <c r="CP262" s="623"/>
      <c r="CQ262" s="623"/>
    </row>
    <row r="263" spans="1:95" s="808" customFormat="1">
      <c r="A263" s="567"/>
      <c r="B263" s="567"/>
      <c r="C263" s="558"/>
      <c r="D263" s="558"/>
      <c r="E263" s="556" t="str">
        <f t="shared" si="79"/>
        <v/>
      </c>
      <c r="F263" s="558"/>
      <c r="G263" s="558"/>
      <c r="H263" s="558"/>
      <c r="I263" s="558"/>
      <c r="J263" s="558"/>
      <c r="K263" s="558"/>
      <c r="L263" s="625"/>
      <c r="M263" s="625"/>
      <c r="N263" s="625"/>
      <c r="O263" s="625"/>
      <c r="P263" s="625"/>
      <c r="Q263" s="625"/>
      <c r="R263" s="625"/>
      <c r="S263" s="625"/>
      <c r="T263" s="625"/>
      <c r="U263" s="625"/>
      <c r="V263" s="625"/>
      <c r="W263" s="625"/>
      <c r="X263" s="625"/>
      <c r="Y263" s="625"/>
      <c r="Z263" s="625"/>
      <c r="AA263" s="625"/>
      <c r="AB263" s="625"/>
      <c r="AC263" s="625"/>
      <c r="AD263" s="625"/>
      <c r="AE263" s="625"/>
      <c r="AF263" s="623"/>
      <c r="AG263" s="623"/>
      <c r="AH263" s="623"/>
      <c r="AI263" s="623"/>
      <c r="AJ263" s="623"/>
      <c r="AK263" s="623"/>
      <c r="AL263" s="623"/>
      <c r="AM263" s="623"/>
      <c r="AN263" s="625"/>
      <c r="AO263" s="625"/>
      <c r="AP263" s="625"/>
      <c r="AQ263" s="625"/>
      <c r="AR263" s="625"/>
      <c r="AS263" s="625"/>
      <c r="AT263" s="625"/>
      <c r="AU263" s="625"/>
      <c r="AV263" s="625"/>
      <c r="AW263" s="625"/>
      <c r="AX263" s="625"/>
      <c r="AY263" s="625"/>
      <c r="AZ263" s="625"/>
      <c r="BA263" s="625"/>
      <c r="BB263" s="695"/>
      <c r="BC263" s="623"/>
      <c r="BD263" s="623"/>
      <c r="BE263" s="623"/>
      <c r="BF263" s="623"/>
      <c r="BG263" s="623"/>
      <c r="BH263" s="623"/>
      <c r="BI263" s="623"/>
      <c r="BJ263" s="623"/>
      <c r="BK263" s="623"/>
      <c r="BL263" s="623"/>
      <c r="BM263" s="623"/>
      <c r="BN263" s="623"/>
      <c r="BO263" s="623"/>
      <c r="BP263" s="623"/>
      <c r="BQ263" s="623"/>
      <c r="BR263" s="623"/>
      <c r="BS263" s="623"/>
      <c r="BT263" s="623"/>
      <c r="BU263" s="623"/>
      <c r="BV263" s="623"/>
      <c r="BW263" s="623"/>
      <c r="BX263" s="623"/>
      <c r="BY263" s="623"/>
      <c r="BZ263" s="623"/>
      <c r="CA263" s="623"/>
      <c r="CB263" s="623"/>
      <c r="CC263" s="623"/>
      <c r="CD263" s="623"/>
      <c r="CE263" s="623"/>
      <c r="CF263" s="623"/>
      <c r="CG263" s="623"/>
      <c r="CH263" s="623"/>
      <c r="CI263" s="623"/>
      <c r="CJ263" s="623"/>
      <c r="CK263" s="623"/>
      <c r="CL263" s="623"/>
      <c r="CM263" s="623"/>
      <c r="CN263" s="623"/>
      <c r="CO263" s="623"/>
      <c r="CP263" s="623"/>
      <c r="CQ263" s="623"/>
    </row>
    <row r="264" spans="1:95" s="808" customFormat="1">
      <c r="A264" s="567"/>
      <c r="B264" s="567"/>
      <c r="C264" s="558"/>
      <c r="D264" s="558"/>
      <c r="E264" s="556" t="str">
        <f t="shared" si="79"/>
        <v/>
      </c>
      <c r="F264" s="558"/>
      <c r="G264" s="558"/>
      <c r="H264" s="558"/>
      <c r="I264" s="558"/>
      <c r="J264" s="558"/>
      <c r="K264" s="558"/>
      <c r="L264" s="625"/>
      <c r="M264" s="625"/>
      <c r="N264" s="625"/>
      <c r="O264" s="625"/>
      <c r="P264" s="625"/>
      <c r="Q264" s="625"/>
      <c r="R264" s="625"/>
      <c r="S264" s="625"/>
      <c r="T264" s="625"/>
      <c r="U264" s="625"/>
      <c r="V264" s="625"/>
      <c r="W264" s="625"/>
      <c r="X264" s="625"/>
      <c r="Y264" s="625"/>
      <c r="Z264" s="625"/>
      <c r="AA264" s="625"/>
      <c r="AB264" s="625"/>
      <c r="AC264" s="625"/>
      <c r="AD264" s="625"/>
      <c r="AE264" s="625"/>
      <c r="AF264" s="623"/>
      <c r="AG264" s="623"/>
      <c r="AH264" s="623"/>
      <c r="AI264" s="623"/>
      <c r="AJ264" s="623"/>
      <c r="AK264" s="623"/>
      <c r="AL264" s="623"/>
      <c r="AM264" s="623"/>
      <c r="AN264" s="625"/>
      <c r="AO264" s="625"/>
      <c r="AP264" s="625"/>
      <c r="AQ264" s="625"/>
      <c r="AR264" s="625"/>
      <c r="AS264" s="625"/>
      <c r="AT264" s="625"/>
      <c r="AU264" s="625"/>
      <c r="AV264" s="625"/>
      <c r="AW264" s="625"/>
      <c r="AX264" s="625"/>
      <c r="AY264" s="625"/>
      <c r="AZ264" s="625"/>
      <c r="BA264" s="625"/>
      <c r="BB264" s="695"/>
      <c r="BC264" s="623"/>
      <c r="BD264" s="623"/>
      <c r="BE264" s="623"/>
      <c r="BF264" s="623"/>
      <c r="BG264" s="623"/>
      <c r="BH264" s="623"/>
      <c r="BI264" s="623"/>
      <c r="BJ264" s="623"/>
      <c r="BK264" s="623"/>
      <c r="BL264" s="623"/>
      <c r="BM264" s="623"/>
      <c r="BN264" s="623"/>
      <c r="BO264" s="623"/>
      <c r="BP264" s="623"/>
      <c r="BQ264" s="623"/>
      <c r="BR264" s="623"/>
      <c r="BS264" s="623"/>
      <c r="BT264" s="623"/>
      <c r="BU264" s="623"/>
      <c r="BV264" s="623"/>
      <c r="BW264" s="623"/>
      <c r="BX264" s="623"/>
      <c r="BY264" s="623"/>
      <c r="BZ264" s="623"/>
      <c r="CA264" s="623"/>
      <c r="CB264" s="623"/>
      <c r="CC264" s="623"/>
      <c r="CD264" s="623"/>
      <c r="CE264" s="623"/>
      <c r="CF264" s="623"/>
      <c r="CG264" s="623"/>
      <c r="CH264" s="623"/>
      <c r="CI264" s="623"/>
      <c r="CJ264" s="623"/>
      <c r="CK264" s="623"/>
      <c r="CL264" s="623"/>
      <c r="CM264" s="623"/>
      <c r="CN264" s="623"/>
      <c r="CO264" s="623"/>
      <c r="CP264" s="623"/>
      <c r="CQ264" s="623"/>
    </row>
    <row r="265" spans="1:95" s="808" customFormat="1">
      <c r="A265" s="567"/>
      <c r="B265" s="567"/>
      <c r="C265" s="558"/>
      <c r="D265" s="558"/>
      <c r="E265" s="556" t="str">
        <f t="shared" si="79"/>
        <v/>
      </c>
      <c r="F265" s="558"/>
      <c r="G265" s="558"/>
      <c r="H265" s="558"/>
      <c r="I265" s="558"/>
      <c r="J265" s="558"/>
      <c r="K265" s="558"/>
      <c r="L265" s="625"/>
      <c r="M265" s="625"/>
      <c r="N265" s="625"/>
      <c r="O265" s="625"/>
      <c r="P265" s="625"/>
      <c r="Q265" s="625"/>
      <c r="R265" s="625"/>
      <c r="S265" s="625"/>
      <c r="T265" s="625"/>
      <c r="U265" s="625"/>
      <c r="V265" s="625"/>
      <c r="W265" s="625"/>
      <c r="X265" s="625"/>
      <c r="Y265" s="625"/>
      <c r="Z265" s="625"/>
      <c r="AA265" s="625"/>
      <c r="AB265" s="625"/>
      <c r="AC265" s="625"/>
      <c r="AD265" s="625"/>
      <c r="AE265" s="625"/>
      <c r="AF265" s="623"/>
      <c r="AG265" s="623"/>
      <c r="AH265" s="623"/>
      <c r="AI265" s="623"/>
      <c r="AJ265" s="623"/>
      <c r="AK265" s="623"/>
      <c r="AL265" s="623"/>
      <c r="AM265" s="623"/>
      <c r="AN265" s="625"/>
      <c r="AO265" s="625"/>
      <c r="AP265" s="625"/>
      <c r="AQ265" s="625"/>
      <c r="AR265" s="625"/>
      <c r="AS265" s="625"/>
      <c r="AT265" s="625"/>
      <c r="AU265" s="625"/>
      <c r="AV265" s="625"/>
      <c r="AW265" s="625"/>
      <c r="AX265" s="625"/>
      <c r="AY265" s="625"/>
      <c r="AZ265" s="625"/>
      <c r="BA265" s="625"/>
      <c r="BB265" s="695"/>
      <c r="BC265" s="623"/>
      <c r="BD265" s="623"/>
      <c r="BE265" s="623"/>
      <c r="BF265" s="623"/>
      <c r="BG265" s="623"/>
      <c r="BH265" s="623"/>
      <c r="BI265" s="623"/>
      <c r="BJ265" s="623"/>
      <c r="BK265" s="623"/>
      <c r="BL265" s="623"/>
      <c r="BM265" s="623"/>
      <c r="BN265" s="623"/>
      <c r="BO265" s="623"/>
      <c r="BP265" s="623"/>
      <c r="BQ265" s="623"/>
      <c r="BR265" s="623"/>
      <c r="BS265" s="623"/>
      <c r="BT265" s="623"/>
      <c r="BU265" s="623"/>
      <c r="BV265" s="623"/>
      <c r="BW265" s="623"/>
      <c r="BX265" s="623"/>
      <c r="BY265" s="623"/>
      <c r="BZ265" s="623"/>
      <c r="CA265" s="623"/>
      <c r="CB265" s="623"/>
      <c r="CC265" s="623"/>
      <c r="CD265" s="623"/>
      <c r="CE265" s="623"/>
      <c r="CF265" s="623"/>
      <c r="CG265" s="623"/>
      <c r="CH265" s="623"/>
      <c r="CI265" s="623"/>
      <c r="CJ265" s="623"/>
      <c r="CK265" s="623"/>
      <c r="CL265" s="623"/>
      <c r="CM265" s="623"/>
      <c r="CN265" s="623"/>
      <c r="CO265" s="623"/>
      <c r="CP265" s="623"/>
      <c r="CQ265" s="623"/>
    </row>
    <row r="266" spans="1:95" s="808" customFormat="1">
      <c r="A266" s="567"/>
      <c r="B266" s="567"/>
      <c r="C266" s="558"/>
      <c r="D266" s="558"/>
      <c r="E266" s="556" t="str">
        <f t="shared" si="79"/>
        <v/>
      </c>
      <c r="F266" s="558"/>
      <c r="G266" s="558"/>
      <c r="H266" s="558"/>
      <c r="I266" s="558"/>
      <c r="J266" s="558"/>
      <c r="K266" s="558"/>
      <c r="L266" s="625"/>
      <c r="M266" s="625"/>
      <c r="N266" s="625"/>
      <c r="O266" s="625"/>
      <c r="P266" s="625"/>
      <c r="Q266" s="625"/>
      <c r="R266" s="625"/>
      <c r="S266" s="625"/>
      <c r="T266" s="625"/>
      <c r="U266" s="625"/>
      <c r="V266" s="625"/>
      <c r="W266" s="625"/>
      <c r="X266" s="625"/>
      <c r="Y266" s="625"/>
      <c r="Z266" s="625"/>
      <c r="AA266" s="625"/>
      <c r="AB266" s="625"/>
      <c r="AC266" s="625"/>
      <c r="AD266" s="625"/>
      <c r="AE266" s="625"/>
      <c r="AF266" s="623"/>
      <c r="AG266" s="623"/>
      <c r="AH266" s="623"/>
      <c r="AI266" s="623"/>
      <c r="AJ266" s="623"/>
      <c r="AK266" s="623"/>
      <c r="AL266" s="623"/>
      <c r="AM266" s="623"/>
      <c r="AN266" s="625"/>
      <c r="AO266" s="625"/>
      <c r="AP266" s="625"/>
      <c r="AQ266" s="625"/>
      <c r="AR266" s="625"/>
      <c r="AS266" s="625"/>
      <c r="AT266" s="625"/>
      <c r="AU266" s="625"/>
      <c r="AV266" s="625"/>
      <c r="AW266" s="625"/>
      <c r="AX266" s="625"/>
      <c r="AY266" s="625"/>
      <c r="AZ266" s="625"/>
      <c r="BA266" s="625"/>
      <c r="BB266" s="695"/>
      <c r="BC266" s="623"/>
      <c r="BD266" s="623"/>
      <c r="BE266" s="623"/>
      <c r="BF266" s="623"/>
      <c r="BG266" s="623"/>
      <c r="BH266" s="623"/>
      <c r="BI266" s="623"/>
      <c r="BJ266" s="623"/>
      <c r="BK266" s="623"/>
      <c r="BL266" s="623"/>
      <c r="BM266" s="623"/>
      <c r="BN266" s="623"/>
      <c r="BO266" s="623"/>
      <c r="BP266" s="623"/>
      <c r="BQ266" s="623"/>
      <c r="BR266" s="623"/>
      <c r="BS266" s="623"/>
      <c r="BT266" s="623"/>
      <c r="BU266" s="623"/>
      <c r="BV266" s="623"/>
      <c r="BW266" s="623"/>
      <c r="BX266" s="623"/>
      <c r="BY266" s="623"/>
      <c r="BZ266" s="623"/>
      <c r="CA266" s="623"/>
      <c r="CB266" s="623"/>
      <c r="CC266" s="623"/>
      <c r="CD266" s="623"/>
      <c r="CE266" s="623"/>
      <c r="CF266" s="623"/>
      <c r="CG266" s="623"/>
      <c r="CH266" s="623"/>
      <c r="CI266" s="623"/>
      <c r="CJ266" s="623"/>
      <c r="CK266" s="623"/>
      <c r="CL266" s="623"/>
      <c r="CM266" s="623"/>
      <c r="CN266" s="623"/>
      <c r="CO266" s="623"/>
      <c r="CP266" s="623"/>
      <c r="CQ266" s="623"/>
    </row>
    <row r="267" spans="1:95" s="808" customFormat="1">
      <c r="A267" s="567"/>
      <c r="B267" s="567"/>
      <c r="C267" s="558"/>
      <c r="D267" s="558"/>
      <c r="E267" s="556" t="str">
        <f t="shared" si="79"/>
        <v/>
      </c>
      <c r="F267" s="558"/>
      <c r="G267" s="558"/>
      <c r="H267" s="558"/>
      <c r="I267" s="558"/>
      <c r="J267" s="558"/>
      <c r="K267" s="558"/>
      <c r="L267" s="625"/>
      <c r="M267" s="625"/>
      <c r="N267" s="625"/>
      <c r="O267" s="625"/>
      <c r="P267" s="625"/>
      <c r="Q267" s="625"/>
      <c r="R267" s="625"/>
      <c r="S267" s="625"/>
      <c r="T267" s="625"/>
      <c r="U267" s="625"/>
      <c r="V267" s="625"/>
      <c r="W267" s="625"/>
      <c r="X267" s="625"/>
      <c r="Y267" s="625"/>
      <c r="Z267" s="625"/>
      <c r="AA267" s="625"/>
      <c r="AB267" s="625"/>
      <c r="AC267" s="625"/>
      <c r="AD267" s="625"/>
      <c r="AE267" s="625"/>
      <c r="AF267" s="623"/>
      <c r="AG267" s="623"/>
      <c r="AH267" s="623"/>
      <c r="AI267" s="623"/>
      <c r="AJ267" s="623"/>
      <c r="AK267" s="623"/>
      <c r="AL267" s="623"/>
      <c r="AM267" s="623"/>
      <c r="AN267" s="625"/>
      <c r="AO267" s="625"/>
      <c r="AP267" s="625"/>
      <c r="AQ267" s="625"/>
      <c r="AR267" s="625"/>
      <c r="AS267" s="625"/>
      <c r="AT267" s="625"/>
      <c r="AU267" s="625"/>
      <c r="AV267" s="625"/>
      <c r="AW267" s="625"/>
      <c r="AX267" s="625"/>
      <c r="AY267" s="625"/>
      <c r="AZ267" s="625"/>
      <c r="BA267" s="625"/>
      <c r="BB267" s="695"/>
      <c r="BC267" s="623"/>
      <c r="BD267" s="623"/>
      <c r="BE267" s="623"/>
      <c r="BF267" s="623"/>
      <c r="BG267" s="623"/>
      <c r="BH267" s="623"/>
      <c r="BI267" s="623"/>
      <c r="BJ267" s="623"/>
      <c r="BK267" s="623"/>
      <c r="BL267" s="623"/>
      <c r="BM267" s="623"/>
      <c r="BN267" s="623"/>
      <c r="BO267" s="623"/>
      <c r="BP267" s="623"/>
      <c r="BQ267" s="623"/>
      <c r="BR267" s="623"/>
      <c r="BS267" s="623"/>
      <c r="BT267" s="623"/>
      <c r="BU267" s="623"/>
      <c r="BV267" s="623"/>
      <c r="BW267" s="623"/>
      <c r="BX267" s="623"/>
      <c r="BY267" s="623"/>
      <c r="BZ267" s="623"/>
      <c r="CA267" s="623"/>
      <c r="CB267" s="623"/>
      <c r="CC267" s="623"/>
      <c r="CD267" s="623"/>
      <c r="CE267" s="623"/>
      <c r="CF267" s="623"/>
      <c r="CG267" s="623"/>
      <c r="CH267" s="623"/>
      <c r="CI267" s="623"/>
      <c r="CJ267" s="623"/>
      <c r="CK267" s="623"/>
      <c r="CL267" s="623"/>
      <c r="CM267" s="623"/>
      <c r="CN267" s="623"/>
      <c r="CO267" s="623"/>
      <c r="CP267" s="623"/>
      <c r="CQ267" s="623"/>
    </row>
    <row r="268" spans="1:95" s="808" customFormat="1">
      <c r="A268" s="567"/>
      <c r="B268" s="567"/>
      <c r="C268" s="558"/>
      <c r="D268" s="558"/>
      <c r="E268" s="556" t="str">
        <f t="shared" si="79"/>
        <v/>
      </c>
      <c r="F268" s="558"/>
      <c r="G268" s="558"/>
      <c r="H268" s="558"/>
      <c r="I268" s="558"/>
      <c r="J268" s="558"/>
      <c r="K268" s="558"/>
      <c r="L268" s="625"/>
      <c r="M268" s="625"/>
      <c r="N268" s="625"/>
      <c r="O268" s="625"/>
      <c r="P268" s="625"/>
      <c r="Q268" s="625"/>
      <c r="R268" s="625"/>
      <c r="S268" s="625"/>
      <c r="T268" s="625"/>
      <c r="U268" s="625"/>
      <c r="V268" s="625"/>
      <c r="W268" s="625"/>
      <c r="X268" s="625"/>
      <c r="Y268" s="625"/>
      <c r="Z268" s="625"/>
      <c r="AA268" s="625"/>
      <c r="AB268" s="625"/>
      <c r="AC268" s="625"/>
      <c r="AD268" s="625"/>
      <c r="AE268" s="625"/>
      <c r="AF268" s="623"/>
      <c r="AG268" s="623"/>
      <c r="AH268" s="623"/>
      <c r="AI268" s="623"/>
      <c r="AJ268" s="623"/>
      <c r="AK268" s="623"/>
      <c r="AL268" s="623"/>
      <c r="AM268" s="623"/>
      <c r="AN268" s="625"/>
      <c r="AO268" s="625"/>
      <c r="AP268" s="625"/>
      <c r="AQ268" s="625"/>
      <c r="AR268" s="625"/>
      <c r="AS268" s="625"/>
      <c r="AT268" s="625"/>
      <c r="AU268" s="625"/>
      <c r="AV268" s="625"/>
      <c r="AW268" s="625"/>
      <c r="AX268" s="625"/>
      <c r="AY268" s="625"/>
      <c r="AZ268" s="625"/>
      <c r="BA268" s="625"/>
      <c r="BB268" s="695"/>
      <c r="BC268" s="623"/>
      <c r="BD268" s="623"/>
      <c r="BE268" s="623"/>
      <c r="BF268" s="623"/>
      <c r="BG268" s="623"/>
      <c r="BH268" s="623"/>
      <c r="BI268" s="623"/>
      <c r="BJ268" s="623"/>
      <c r="BK268" s="623"/>
      <c r="BL268" s="623"/>
      <c r="BM268" s="623"/>
      <c r="BN268" s="623"/>
      <c r="BO268" s="623"/>
      <c r="BP268" s="623"/>
      <c r="BQ268" s="623"/>
      <c r="BR268" s="623"/>
      <c r="BS268" s="623"/>
      <c r="BT268" s="623"/>
      <c r="BU268" s="623"/>
      <c r="BV268" s="623"/>
      <c r="BW268" s="623"/>
      <c r="BX268" s="623"/>
      <c r="BY268" s="623"/>
      <c r="BZ268" s="623"/>
      <c r="CA268" s="623"/>
      <c r="CB268" s="623"/>
      <c r="CC268" s="623"/>
      <c r="CD268" s="623"/>
      <c r="CE268" s="623"/>
      <c r="CF268" s="623"/>
      <c r="CG268" s="623"/>
      <c r="CH268" s="623"/>
      <c r="CI268" s="623"/>
      <c r="CJ268" s="623"/>
      <c r="CK268" s="623"/>
      <c r="CL268" s="623"/>
      <c r="CM268" s="623"/>
      <c r="CN268" s="623"/>
      <c r="CO268" s="623"/>
      <c r="CP268" s="623"/>
      <c r="CQ268" s="623"/>
    </row>
    <row r="269" spans="1:95" s="808" customFormat="1">
      <c r="A269" s="567"/>
      <c r="B269" s="567"/>
      <c r="C269" s="558"/>
      <c r="D269" s="558"/>
      <c r="E269" s="556" t="str">
        <f t="shared" si="79"/>
        <v/>
      </c>
      <c r="F269" s="558"/>
      <c r="G269" s="558"/>
      <c r="H269" s="558"/>
      <c r="I269" s="558"/>
      <c r="J269" s="558"/>
      <c r="K269" s="558"/>
      <c r="L269" s="625"/>
      <c r="M269" s="625"/>
      <c r="N269" s="625"/>
      <c r="O269" s="625"/>
      <c r="P269" s="625"/>
      <c r="Q269" s="625"/>
      <c r="R269" s="625"/>
      <c r="S269" s="625"/>
      <c r="T269" s="625"/>
      <c r="U269" s="625"/>
      <c r="V269" s="625"/>
      <c r="W269" s="625"/>
      <c r="X269" s="625"/>
      <c r="Y269" s="625"/>
      <c r="Z269" s="625"/>
      <c r="AA269" s="625"/>
      <c r="AB269" s="625"/>
      <c r="AC269" s="625"/>
      <c r="AD269" s="625"/>
      <c r="AE269" s="625"/>
      <c r="AF269" s="623"/>
      <c r="AG269" s="623"/>
      <c r="AH269" s="623"/>
      <c r="AI269" s="623"/>
      <c r="AJ269" s="623"/>
      <c r="AK269" s="623"/>
      <c r="AL269" s="623"/>
      <c r="AM269" s="623"/>
      <c r="AN269" s="625"/>
      <c r="AO269" s="625"/>
      <c r="AP269" s="625"/>
      <c r="AQ269" s="625"/>
      <c r="AR269" s="625"/>
      <c r="AS269" s="625"/>
      <c r="AT269" s="625"/>
      <c r="AU269" s="625"/>
      <c r="AV269" s="625"/>
      <c r="AW269" s="625"/>
      <c r="AX269" s="625"/>
      <c r="AY269" s="625"/>
      <c r="AZ269" s="625"/>
      <c r="BA269" s="625"/>
      <c r="BB269" s="695"/>
      <c r="BC269" s="623"/>
      <c r="BD269" s="623"/>
      <c r="BE269" s="623"/>
      <c r="BF269" s="623"/>
      <c r="BG269" s="623"/>
      <c r="BH269" s="623"/>
      <c r="BI269" s="623"/>
      <c r="BJ269" s="623"/>
      <c r="BK269" s="623"/>
      <c r="BL269" s="623"/>
      <c r="BM269" s="623"/>
      <c r="BN269" s="623"/>
      <c r="BO269" s="623"/>
      <c r="BP269" s="623"/>
      <c r="BQ269" s="623"/>
      <c r="BR269" s="623"/>
      <c r="BS269" s="623"/>
      <c r="BT269" s="623"/>
      <c r="BU269" s="623"/>
      <c r="BV269" s="623"/>
      <c r="BW269" s="623"/>
      <c r="BX269" s="623"/>
      <c r="BY269" s="623"/>
      <c r="BZ269" s="623"/>
      <c r="CA269" s="623"/>
      <c r="CB269" s="623"/>
      <c r="CC269" s="623"/>
      <c r="CD269" s="623"/>
      <c r="CE269" s="623"/>
      <c r="CF269" s="623"/>
      <c r="CG269" s="623"/>
      <c r="CH269" s="623"/>
      <c r="CI269" s="623"/>
      <c r="CJ269" s="623"/>
      <c r="CK269" s="623"/>
      <c r="CL269" s="623"/>
      <c r="CM269" s="623"/>
      <c r="CN269" s="623"/>
      <c r="CO269" s="623"/>
      <c r="CP269" s="623"/>
      <c r="CQ269" s="623"/>
    </row>
    <row r="270" spans="1:95" s="808" customFormat="1">
      <c r="A270" s="567"/>
      <c r="B270" s="567"/>
      <c r="C270" s="558"/>
      <c r="D270" s="558"/>
      <c r="E270" s="556" t="str">
        <f t="shared" si="79"/>
        <v/>
      </c>
      <c r="F270" s="558"/>
      <c r="G270" s="558"/>
      <c r="H270" s="558"/>
      <c r="I270" s="558"/>
      <c r="J270" s="558"/>
      <c r="K270" s="558"/>
      <c r="L270" s="625"/>
      <c r="M270" s="625"/>
      <c r="N270" s="625"/>
      <c r="O270" s="625"/>
      <c r="P270" s="625"/>
      <c r="Q270" s="625"/>
      <c r="R270" s="625"/>
      <c r="S270" s="625"/>
      <c r="T270" s="625"/>
      <c r="U270" s="625"/>
      <c r="V270" s="625"/>
      <c r="W270" s="625"/>
      <c r="X270" s="625"/>
      <c r="Y270" s="625"/>
      <c r="Z270" s="625"/>
      <c r="AA270" s="625"/>
      <c r="AB270" s="625"/>
      <c r="AC270" s="625"/>
      <c r="AD270" s="625"/>
      <c r="AE270" s="625"/>
      <c r="AF270" s="623"/>
      <c r="AG270" s="623"/>
      <c r="AH270" s="623"/>
      <c r="AI270" s="623"/>
      <c r="AJ270" s="623"/>
      <c r="AK270" s="623"/>
      <c r="AL270" s="623"/>
      <c r="AM270" s="623"/>
      <c r="AN270" s="625"/>
      <c r="AO270" s="625"/>
      <c r="AP270" s="625"/>
      <c r="AQ270" s="625"/>
      <c r="AR270" s="625"/>
      <c r="AS270" s="625"/>
      <c r="AT270" s="625"/>
      <c r="AU270" s="625"/>
      <c r="AV270" s="625"/>
      <c r="AW270" s="625"/>
      <c r="AX270" s="625"/>
      <c r="AY270" s="625"/>
      <c r="AZ270" s="625"/>
      <c r="BA270" s="625"/>
      <c r="BB270" s="695"/>
      <c r="BC270" s="623"/>
      <c r="BD270" s="623"/>
      <c r="BE270" s="623"/>
      <c r="BF270" s="623"/>
      <c r="BG270" s="623"/>
      <c r="BH270" s="623"/>
      <c r="BI270" s="623"/>
      <c r="BJ270" s="623"/>
      <c r="BK270" s="623"/>
      <c r="BL270" s="623"/>
      <c r="BM270" s="623"/>
      <c r="BN270" s="623"/>
      <c r="BO270" s="623"/>
      <c r="BP270" s="623"/>
      <c r="BQ270" s="623"/>
      <c r="BR270" s="623"/>
      <c r="BS270" s="623"/>
      <c r="BT270" s="623"/>
      <c r="BU270" s="623"/>
      <c r="BV270" s="623"/>
      <c r="BW270" s="623"/>
      <c r="BX270" s="623"/>
      <c r="BY270" s="623"/>
      <c r="BZ270" s="623"/>
      <c r="CA270" s="623"/>
      <c r="CB270" s="623"/>
      <c r="CC270" s="623"/>
      <c r="CD270" s="623"/>
      <c r="CE270" s="623"/>
      <c r="CF270" s="623"/>
      <c r="CG270" s="623"/>
      <c r="CH270" s="623"/>
      <c r="CI270" s="623"/>
      <c r="CJ270" s="623"/>
      <c r="CK270" s="623"/>
      <c r="CL270" s="623"/>
      <c r="CM270" s="623"/>
      <c r="CN270" s="623"/>
      <c r="CO270" s="623"/>
      <c r="CP270" s="623"/>
      <c r="CQ270" s="623"/>
    </row>
    <row r="271" spans="1:95" s="808" customFormat="1">
      <c r="A271" s="567"/>
      <c r="B271" s="567"/>
      <c r="C271" s="558"/>
      <c r="D271" s="558"/>
      <c r="E271" s="556" t="str">
        <f t="shared" si="79"/>
        <v/>
      </c>
      <c r="F271" s="558"/>
      <c r="G271" s="558"/>
      <c r="H271" s="558"/>
      <c r="I271" s="558"/>
      <c r="J271" s="558"/>
      <c r="K271" s="558"/>
      <c r="L271" s="625"/>
      <c r="M271" s="625"/>
      <c r="N271" s="625"/>
      <c r="O271" s="625"/>
      <c r="P271" s="625"/>
      <c r="Q271" s="625"/>
      <c r="R271" s="625"/>
      <c r="S271" s="625"/>
      <c r="T271" s="625"/>
      <c r="U271" s="625"/>
      <c r="V271" s="625"/>
      <c r="W271" s="625"/>
      <c r="X271" s="625"/>
      <c r="Y271" s="625"/>
      <c r="Z271" s="625"/>
      <c r="AA271" s="625"/>
      <c r="AB271" s="625"/>
      <c r="AC271" s="625"/>
      <c r="AD271" s="625"/>
      <c r="AE271" s="625"/>
      <c r="AF271" s="623"/>
      <c r="AG271" s="623"/>
      <c r="AH271" s="623"/>
      <c r="AI271" s="623"/>
      <c r="AJ271" s="623"/>
      <c r="AK271" s="623"/>
      <c r="AL271" s="623"/>
      <c r="AM271" s="623"/>
      <c r="AN271" s="625"/>
      <c r="AO271" s="625"/>
      <c r="AP271" s="625"/>
      <c r="AQ271" s="625"/>
      <c r="AR271" s="625"/>
      <c r="AS271" s="625"/>
      <c r="AT271" s="625"/>
      <c r="AU271" s="625"/>
      <c r="AV271" s="625"/>
      <c r="AW271" s="625"/>
      <c r="AX271" s="625"/>
      <c r="AY271" s="625"/>
      <c r="AZ271" s="625"/>
      <c r="BA271" s="625"/>
      <c r="BB271" s="695"/>
      <c r="BC271" s="623"/>
      <c r="BD271" s="623"/>
      <c r="BE271" s="623"/>
      <c r="BF271" s="623"/>
      <c r="BG271" s="623"/>
      <c r="BH271" s="623"/>
      <c r="BI271" s="623"/>
      <c r="BJ271" s="623"/>
      <c r="BK271" s="623"/>
      <c r="BL271" s="623"/>
      <c r="BM271" s="623"/>
      <c r="BN271" s="623"/>
      <c r="BO271" s="623"/>
      <c r="BP271" s="623"/>
      <c r="BQ271" s="623"/>
      <c r="BR271" s="623"/>
      <c r="BS271" s="623"/>
      <c r="BT271" s="623"/>
      <c r="BU271" s="623"/>
      <c r="BV271" s="623"/>
      <c r="BW271" s="623"/>
      <c r="BX271" s="623"/>
      <c r="BY271" s="623"/>
      <c r="BZ271" s="623"/>
      <c r="CA271" s="623"/>
      <c r="CB271" s="623"/>
      <c r="CC271" s="623"/>
      <c r="CD271" s="623"/>
      <c r="CE271" s="623"/>
      <c r="CF271" s="623"/>
      <c r="CG271" s="623"/>
      <c r="CH271" s="623"/>
      <c r="CI271" s="623"/>
      <c r="CJ271" s="623"/>
      <c r="CK271" s="623"/>
      <c r="CL271" s="623"/>
      <c r="CM271" s="623"/>
      <c r="CN271" s="623"/>
      <c r="CO271" s="623"/>
      <c r="CP271" s="623"/>
      <c r="CQ271" s="623"/>
    </row>
    <row r="272" spans="1:95" s="808" customFormat="1">
      <c r="A272" s="567"/>
      <c r="B272" s="567"/>
      <c r="C272" s="558"/>
      <c r="D272" s="558"/>
      <c r="E272" s="556" t="str">
        <f t="shared" si="79"/>
        <v/>
      </c>
      <c r="F272" s="558"/>
      <c r="G272" s="558"/>
      <c r="H272" s="558"/>
      <c r="I272" s="558"/>
      <c r="J272" s="558"/>
      <c r="K272" s="558"/>
      <c r="L272" s="625"/>
      <c r="M272" s="625"/>
      <c r="N272" s="625"/>
      <c r="O272" s="625"/>
      <c r="P272" s="625"/>
      <c r="Q272" s="625"/>
      <c r="R272" s="625"/>
      <c r="S272" s="625"/>
      <c r="T272" s="625"/>
      <c r="U272" s="625"/>
      <c r="V272" s="625"/>
      <c r="W272" s="625"/>
      <c r="X272" s="625"/>
      <c r="Y272" s="625"/>
      <c r="Z272" s="625"/>
      <c r="AA272" s="625"/>
      <c r="AB272" s="625"/>
      <c r="AC272" s="625"/>
      <c r="AD272" s="625"/>
      <c r="AE272" s="625"/>
      <c r="AF272" s="623"/>
      <c r="AG272" s="623"/>
      <c r="AH272" s="623"/>
      <c r="AI272" s="623"/>
      <c r="AJ272" s="623"/>
      <c r="AK272" s="623"/>
      <c r="AL272" s="623"/>
      <c r="AM272" s="623"/>
      <c r="AN272" s="625"/>
      <c r="AO272" s="625"/>
      <c r="AP272" s="625"/>
      <c r="AQ272" s="625"/>
      <c r="AR272" s="625"/>
      <c r="AS272" s="625"/>
      <c r="AT272" s="625"/>
      <c r="AU272" s="625"/>
      <c r="AV272" s="625"/>
      <c r="AW272" s="625"/>
      <c r="AX272" s="625"/>
      <c r="AY272" s="625"/>
      <c r="AZ272" s="625"/>
      <c r="BA272" s="625"/>
      <c r="BB272" s="695"/>
      <c r="BC272" s="623"/>
      <c r="BD272" s="623"/>
      <c r="BE272" s="623"/>
      <c r="BF272" s="623"/>
      <c r="BG272" s="623"/>
      <c r="BH272" s="623"/>
      <c r="BI272" s="623"/>
      <c r="BJ272" s="623"/>
      <c r="BK272" s="623"/>
      <c r="BL272" s="623"/>
      <c r="BM272" s="623"/>
      <c r="BN272" s="623"/>
      <c r="BO272" s="623"/>
      <c r="BP272" s="623"/>
      <c r="BQ272" s="623"/>
      <c r="BR272" s="623"/>
      <c r="BS272" s="623"/>
      <c r="BT272" s="623"/>
      <c r="BU272" s="623"/>
      <c r="BV272" s="623"/>
      <c r="BW272" s="623"/>
      <c r="BX272" s="623"/>
      <c r="BY272" s="623"/>
      <c r="BZ272" s="623"/>
      <c r="CA272" s="623"/>
      <c r="CB272" s="623"/>
      <c r="CC272" s="623"/>
      <c r="CD272" s="623"/>
      <c r="CE272" s="623"/>
      <c r="CF272" s="623"/>
      <c r="CG272" s="623"/>
      <c r="CH272" s="623"/>
      <c r="CI272" s="623"/>
      <c r="CJ272" s="623"/>
      <c r="CK272" s="623"/>
      <c r="CL272" s="623"/>
      <c r="CM272" s="623"/>
      <c r="CN272" s="623"/>
      <c r="CO272" s="623"/>
      <c r="CP272" s="623"/>
      <c r="CQ272" s="623"/>
    </row>
    <row r="273" spans="1:95" s="808" customFormat="1">
      <c r="A273" s="567"/>
      <c r="B273" s="567"/>
      <c r="C273" s="558"/>
      <c r="D273" s="558"/>
      <c r="E273" s="556" t="str">
        <f t="shared" si="79"/>
        <v/>
      </c>
      <c r="F273" s="558"/>
      <c r="G273" s="558"/>
      <c r="H273" s="558"/>
      <c r="I273" s="558"/>
      <c r="J273" s="558"/>
      <c r="K273" s="558"/>
      <c r="L273" s="625"/>
      <c r="M273" s="625"/>
      <c r="N273" s="625"/>
      <c r="O273" s="625"/>
      <c r="P273" s="625"/>
      <c r="Q273" s="625"/>
      <c r="R273" s="625"/>
      <c r="S273" s="625"/>
      <c r="T273" s="625"/>
      <c r="U273" s="625"/>
      <c r="V273" s="625"/>
      <c r="W273" s="625"/>
      <c r="X273" s="625"/>
      <c r="Y273" s="625"/>
      <c r="Z273" s="625"/>
      <c r="AA273" s="625"/>
      <c r="AB273" s="625"/>
      <c r="AC273" s="625"/>
      <c r="AD273" s="625"/>
      <c r="AE273" s="625"/>
      <c r="AF273" s="623"/>
      <c r="AG273" s="623"/>
      <c r="AH273" s="623"/>
      <c r="AI273" s="623"/>
      <c r="AJ273" s="623"/>
      <c r="AK273" s="623"/>
      <c r="AL273" s="623"/>
      <c r="AM273" s="623"/>
      <c r="AN273" s="625"/>
      <c r="AO273" s="625"/>
      <c r="AP273" s="625"/>
      <c r="AQ273" s="625"/>
      <c r="AR273" s="625"/>
      <c r="AS273" s="625"/>
      <c r="AT273" s="625"/>
      <c r="AU273" s="625"/>
      <c r="AV273" s="625"/>
      <c r="AW273" s="625"/>
      <c r="AX273" s="625"/>
      <c r="AY273" s="625"/>
      <c r="AZ273" s="625"/>
      <c r="BA273" s="625"/>
      <c r="BB273" s="695"/>
      <c r="BC273" s="623"/>
      <c r="BD273" s="623"/>
      <c r="BE273" s="623"/>
      <c r="BF273" s="623"/>
      <c r="BG273" s="623"/>
      <c r="BH273" s="623"/>
      <c r="BI273" s="623"/>
      <c r="BJ273" s="623"/>
      <c r="BK273" s="623"/>
      <c r="BL273" s="623"/>
      <c r="BM273" s="623"/>
      <c r="BN273" s="623"/>
      <c r="BO273" s="623"/>
      <c r="BP273" s="623"/>
      <c r="BQ273" s="623"/>
      <c r="BR273" s="623"/>
      <c r="BS273" s="623"/>
      <c r="BT273" s="623"/>
      <c r="BU273" s="623"/>
      <c r="BV273" s="623"/>
      <c r="BW273" s="623"/>
      <c r="BX273" s="623"/>
      <c r="BY273" s="623"/>
      <c r="BZ273" s="623"/>
      <c r="CA273" s="623"/>
      <c r="CB273" s="623"/>
      <c r="CC273" s="623"/>
      <c r="CD273" s="623"/>
      <c r="CE273" s="623"/>
      <c r="CF273" s="623"/>
      <c r="CG273" s="623"/>
      <c r="CH273" s="623"/>
      <c r="CI273" s="623"/>
      <c r="CJ273" s="623"/>
      <c r="CK273" s="623"/>
      <c r="CL273" s="623"/>
      <c r="CM273" s="623"/>
      <c r="CN273" s="623"/>
      <c r="CO273" s="623"/>
      <c r="CP273" s="623"/>
      <c r="CQ273" s="623"/>
    </row>
    <row r="274" spans="1:95" s="808" customFormat="1">
      <c r="A274" s="567"/>
      <c r="B274" s="567"/>
      <c r="C274" s="558"/>
      <c r="D274" s="558"/>
      <c r="E274" s="556" t="str">
        <f t="shared" si="79"/>
        <v/>
      </c>
      <c r="F274" s="558"/>
      <c r="G274" s="558"/>
      <c r="H274" s="558"/>
      <c r="I274" s="558"/>
      <c r="J274" s="558"/>
      <c r="K274" s="558"/>
      <c r="L274" s="625"/>
      <c r="M274" s="625"/>
      <c r="N274" s="625"/>
      <c r="O274" s="625"/>
      <c r="P274" s="625"/>
      <c r="Q274" s="625"/>
      <c r="R274" s="625"/>
      <c r="S274" s="625"/>
      <c r="T274" s="625"/>
      <c r="U274" s="625"/>
      <c r="V274" s="625"/>
      <c r="W274" s="625"/>
      <c r="X274" s="625"/>
      <c r="Y274" s="625"/>
      <c r="Z274" s="625"/>
      <c r="AA274" s="625"/>
      <c r="AB274" s="625"/>
      <c r="AC274" s="625"/>
      <c r="AD274" s="625"/>
      <c r="AE274" s="625"/>
      <c r="AF274" s="623"/>
      <c r="AG274" s="623"/>
      <c r="AH274" s="623"/>
      <c r="AI274" s="623"/>
      <c r="AJ274" s="623"/>
      <c r="AK274" s="623"/>
      <c r="AL274" s="623"/>
      <c r="AM274" s="623"/>
      <c r="AN274" s="625"/>
      <c r="AO274" s="625"/>
      <c r="AP274" s="625"/>
      <c r="AQ274" s="625"/>
      <c r="AR274" s="625"/>
      <c r="AS274" s="625"/>
      <c r="AT274" s="625"/>
      <c r="AU274" s="625"/>
      <c r="AV274" s="625"/>
      <c r="AW274" s="625"/>
      <c r="AX274" s="625"/>
      <c r="AY274" s="625"/>
      <c r="AZ274" s="625"/>
      <c r="BA274" s="625"/>
      <c r="BB274" s="695"/>
      <c r="BC274" s="623"/>
      <c r="BD274" s="623"/>
      <c r="BE274" s="623"/>
      <c r="BF274" s="623"/>
      <c r="BG274" s="623"/>
      <c r="BH274" s="623"/>
      <c r="BI274" s="623"/>
      <c r="BJ274" s="623"/>
      <c r="BK274" s="623"/>
      <c r="BL274" s="623"/>
      <c r="BM274" s="623"/>
      <c r="BN274" s="623"/>
      <c r="BO274" s="623"/>
      <c r="BP274" s="623"/>
      <c r="BQ274" s="623"/>
      <c r="BR274" s="623"/>
      <c r="BS274" s="623"/>
      <c r="BT274" s="623"/>
      <c r="BU274" s="623"/>
      <c r="BV274" s="623"/>
      <c r="BW274" s="623"/>
      <c r="BX274" s="623"/>
      <c r="BY274" s="623"/>
      <c r="BZ274" s="623"/>
      <c r="CA274" s="623"/>
      <c r="CB274" s="623"/>
      <c r="CC274" s="623"/>
      <c r="CD274" s="623"/>
      <c r="CE274" s="623"/>
      <c r="CF274" s="623"/>
      <c r="CG274" s="623"/>
      <c r="CH274" s="623"/>
      <c r="CI274" s="623"/>
      <c r="CJ274" s="623"/>
      <c r="CK274" s="623"/>
      <c r="CL274" s="623"/>
      <c r="CM274" s="623"/>
      <c r="CN274" s="623"/>
      <c r="CO274" s="623"/>
      <c r="CP274" s="623"/>
      <c r="CQ274" s="623"/>
    </row>
    <row r="275" spans="1:95" s="808" customFormat="1">
      <c r="A275" s="567"/>
      <c r="B275" s="567"/>
      <c r="C275" s="558"/>
      <c r="D275" s="558"/>
      <c r="E275" s="556" t="str">
        <f t="shared" si="79"/>
        <v/>
      </c>
      <c r="F275" s="558"/>
      <c r="G275" s="558"/>
      <c r="H275" s="558"/>
      <c r="I275" s="558"/>
      <c r="J275" s="558"/>
      <c r="K275" s="558"/>
      <c r="L275" s="625"/>
      <c r="M275" s="625"/>
      <c r="N275" s="625"/>
      <c r="O275" s="625"/>
      <c r="P275" s="625"/>
      <c r="Q275" s="625"/>
      <c r="R275" s="625"/>
      <c r="S275" s="625"/>
      <c r="T275" s="625"/>
      <c r="U275" s="625"/>
      <c r="V275" s="625"/>
      <c r="W275" s="625"/>
      <c r="X275" s="625"/>
      <c r="Y275" s="625"/>
      <c r="Z275" s="625"/>
      <c r="AA275" s="625"/>
      <c r="AB275" s="625"/>
      <c r="AC275" s="625"/>
      <c r="AD275" s="625"/>
      <c r="AE275" s="625"/>
      <c r="AF275" s="623"/>
      <c r="AG275" s="623"/>
      <c r="AH275" s="623"/>
      <c r="AI275" s="623"/>
      <c r="AJ275" s="623"/>
      <c r="AK275" s="623"/>
      <c r="AL275" s="623"/>
      <c r="AM275" s="623"/>
      <c r="AN275" s="625"/>
      <c r="AO275" s="625"/>
      <c r="AP275" s="625"/>
      <c r="AQ275" s="625"/>
      <c r="AR275" s="625"/>
      <c r="AS275" s="625"/>
      <c r="AT275" s="625"/>
      <c r="AU275" s="625"/>
      <c r="AV275" s="625"/>
      <c r="AW275" s="625"/>
      <c r="AX275" s="625"/>
      <c r="AY275" s="625"/>
      <c r="AZ275" s="625"/>
      <c r="BA275" s="625"/>
      <c r="BB275" s="695"/>
      <c r="BC275" s="623"/>
      <c r="BD275" s="623"/>
      <c r="BE275" s="623"/>
      <c r="BF275" s="623"/>
      <c r="BG275" s="623"/>
      <c r="BH275" s="623"/>
      <c r="BI275" s="623"/>
      <c r="BJ275" s="623"/>
      <c r="BK275" s="623"/>
      <c r="BL275" s="623"/>
      <c r="BM275" s="623"/>
      <c r="BN275" s="623"/>
      <c r="BO275" s="623"/>
      <c r="BP275" s="623"/>
      <c r="BQ275" s="623"/>
      <c r="BR275" s="623"/>
      <c r="BS275" s="623"/>
      <c r="BT275" s="623"/>
      <c r="BU275" s="623"/>
      <c r="BV275" s="623"/>
      <c r="BW275" s="623"/>
      <c r="BX275" s="623"/>
      <c r="BY275" s="623"/>
      <c r="BZ275" s="623"/>
      <c r="CA275" s="623"/>
      <c r="CB275" s="623"/>
      <c r="CC275" s="623"/>
      <c r="CD275" s="623"/>
      <c r="CE275" s="623"/>
      <c r="CF275" s="623"/>
      <c r="CG275" s="623"/>
      <c r="CH275" s="623"/>
      <c r="CI275" s="623"/>
      <c r="CJ275" s="623"/>
      <c r="CK275" s="623"/>
      <c r="CL275" s="623"/>
      <c r="CM275" s="623"/>
      <c r="CN275" s="623"/>
      <c r="CO275" s="623"/>
      <c r="CP275" s="623"/>
      <c r="CQ275" s="623"/>
    </row>
    <row r="276" spans="1:95" s="808" customFormat="1">
      <c r="A276" s="567"/>
      <c r="B276" s="567"/>
      <c r="C276" s="558"/>
      <c r="D276" s="558"/>
      <c r="E276" s="556" t="str">
        <f t="shared" si="79"/>
        <v/>
      </c>
      <c r="F276" s="558"/>
      <c r="G276" s="558"/>
      <c r="H276" s="558"/>
      <c r="I276" s="558"/>
      <c r="J276" s="558"/>
      <c r="K276" s="558"/>
      <c r="L276" s="625"/>
      <c r="M276" s="625"/>
      <c r="N276" s="625"/>
      <c r="O276" s="625"/>
      <c r="P276" s="625"/>
      <c r="Q276" s="625"/>
      <c r="R276" s="625"/>
      <c r="S276" s="625"/>
      <c r="T276" s="625"/>
      <c r="U276" s="625"/>
      <c r="V276" s="625"/>
      <c r="W276" s="625"/>
      <c r="X276" s="625"/>
      <c r="Y276" s="625"/>
      <c r="Z276" s="625"/>
      <c r="AA276" s="625"/>
      <c r="AB276" s="625"/>
      <c r="AC276" s="625"/>
      <c r="AD276" s="625"/>
      <c r="AE276" s="625"/>
      <c r="AF276" s="623"/>
      <c r="AG276" s="623"/>
      <c r="AH276" s="623"/>
      <c r="AI276" s="623"/>
      <c r="AJ276" s="623"/>
      <c r="AK276" s="623"/>
      <c r="AL276" s="623"/>
      <c r="AM276" s="623"/>
      <c r="AN276" s="625"/>
      <c r="AO276" s="625"/>
      <c r="AP276" s="625"/>
      <c r="AQ276" s="625"/>
      <c r="AR276" s="625"/>
      <c r="AS276" s="625"/>
      <c r="AT276" s="625"/>
      <c r="AU276" s="625"/>
      <c r="AV276" s="625"/>
      <c r="AW276" s="625"/>
      <c r="AX276" s="625"/>
      <c r="AY276" s="625"/>
      <c r="AZ276" s="625"/>
      <c r="BA276" s="625"/>
      <c r="BB276" s="695"/>
      <c r="BC276" s="623"/>
      <c r="BD276" s="623"/>
      <c r="BE276" s="623"/>
      <c r="BF276" s="623"/>
      <c r="BG276" s="623"/>
      <c r="BH276" s="623"/>
      <c r="BI276" s="623"/>
      <c r="BJ276" s="623"/>
      <c r="BK276" s="623"/>
      <c r="BL276" s="623"/>
      <c r="BM276" s="623"/>
      <c r="BN276" s="623"/>
      <c r="BO276" s="623"/>
      <c r="BP276" s="623"/>
      <c r="BQ276" s="623"/>
      <c r="BR276" s="623"/>
      <c r="BS276" s="623"/>
      <c r="BT276" s="623"/>
      <c r="BU276" s="623"/>
      <c r="BV276" s="623"/>
      <c r="BW276" s="623"/>
      <c r="BX276" s="623"/>
      <c r="BY276" s="623"/>
      <c r="BZ276" s="623"/>
      <c r="CA276" s="623"/>
      <c r="CB276" s="623"/>
      <c r="CC276" s="623"/>
      <c r="CD276" s="623"/>
      <c r="CE276" s="623"/>
      <c r="CF276" s="623"/>
      <c r="CG276" s="623"/>
      <c r="CH276" s="623"/>
      <c r="CI276" s="623"/>
      <c r="CJ276" s="623"/>
      <c r="CK276" s="623"/>
      <c r="CL276" s="623"/>
      <c r="CM276" s="623"/>
      <c r="CN276" s="623"/>
      <c r="CO276" s="623"/>
      <c r="CP276" s="623"/>
      <c r="CQ276" s="623"/>
    </row>
    <row r="277" spans="1:95" s="808" customFormat="1">
      <c r="A277" s="567"/>
      <c r="B277" s="567"/>
      <c r="C277" s="558"/>
      <c r="D277" s="558"/>
      <c r="E277" s="556" t="str">
        <f t="shared" si="79"/>
        <v/>
      </c>
      <c r="F277" s="558"/>
      <c r="G277" s="558"/>
      <c r="H277" s="558"/>
      <c r="I277" s="558"/>
      <c r="J277" s="558"/>
      <c r="K277" s="558"/>
      <c r="L277" s="625"/>
      <c r="M277" s="625"/>
      <c r="N277" s="625"/>
      <c r="O277" s="625"/>
      <c r="P277" s="625"/>
      <c r="Q277" s="625"/>
      <c r="R277" s="625"/>
      <c r="S277" s="625"/>
      <c r="T277" s="625"/>
      <c r="U277" s="625"/>
      <c r="V277" s="625"/>
      <c r="W277" s="625"/>
      <c r="X277" s="625"/>
      <c r="Y277" s="625"/>
      <c r="Z277" s="625"/>
      <c r="AA277" s="625"/>
      <c r="AB277" s="625"/>
      <c r="AC277" s="625"/>
      <c r="AD277" s="625"/>
      <c r="AE277" s="625"/>
      <c r="AF277" s="623"/>
      <c r="AG277" s="623"/>
      <c r="AH277" s="623"/>
      <c r="AI277" s="623"/>
      <c r="AJ277" s="623"/>
      <c r="AK277" s="623"/>
      <c r="AL277" s="623"/>
      <c r="AM277" s="623"/>
      <c r="AN277" s="625"/>
      <c r="AO277" s="625"/>
      <c r="AP277" s="625"/>
      <c r="AQ277" s="625"/>
      <c r="AR277" s="625"/>
      <c r="AS277" s="625"/>
      <c r="AT277" s="625"/>
      <c r="AU277" s="625"/>
      <c r="AV277" s="625"/>
      <c r="AW277" s="625"/>
      <c r="AX277" s="625"/>
      <c r="AY277" s="625"/>
      <c r="AZ277" s="625"/>
      <c r="BA277" s="625"/>
      <c r="BB277" s="695"/>
      <c r="BC277" s="623"/>
      <c r="BD277" s="623"/>
      <c r="BE277" s="623"/>
      <c r="BF277" s="623"/>
      <c r="BG277" s="623"/>
      <c r="BH277" s="623"/>
      <c r="BI277" s="623"/>
      <c r="BJ277" s="623"/>
      <c r="BK277" s="623"/>
      <c r="BL277" s="623"/>
      <c r="BM277" s="623"/>
      <c r="BN277" s="623"/>
      <c r="BO277" s="623"/>
      <c r="BP277" s="623"/>
      <c r="BQ277" s="623"/>
      <c r="BR277" s="623"/>
      <c r="BS277" s="623"/>
      <c r="BT277" s="623"/>
      <c r="BU277" s="623"/>
      <c r="BV277" s="623"/>
      <c r="BW277" s="623"/>
      <c r="BX277" s="623"/>
      <c r="BY277" s="623"/>
      <c r="BZ277" s="623"/>
      <c r="CA277" s="623"/>
      <c r="CB277" s="623"/>
      <c r="CC277" s="623"/>
      <c r="CD277" s="623"/>
      <c r="CE277" s="623"/>
      <c r="CF277" s="623"/>
      <c r="CG277" s="623"/>
      <c r="CH277" s="623"/>
      <c r="CI277" s="623"/>
      <c r="CJ277" s="623"/>
      <c r="CK277" s="623"/>
      <c r="CL277" s="623"/>
      <c r="CM277" s="623"/>
      <c r="CN277" s="623"/>
      <c r="CO277" s="623"/>
      <c r="CP277" s="623"/>
      <c r="CQ277" s="623"/>
    </row>
    <row r="278" spans="1:95" s="808" customFormat="1">
      <c r="A278" s="567"/>
      <c r="B278" s="567"/>
      <c r="C278" s="558"/>
      <c r="D278" s="558"/>
      <c r="E278" s="556" t="str">
        <f t="shared" ref="E278:E341" si="80">IF(B278&gt;7%,"Alert()","")</f>
        <v/>
      </c>
      <c r="F278" s="558"/>
      <c r="G278" s="558"/>
      <c r="H278" s="558"/>
      <c r="I278" s="558"/>
      <c r="J278" s="558"/>
      <c r="K278" s="558"/>
      <c r="L278" s="625"/>
      <c r="M278" s="625"/>
      <c r="N278" s="625"/>
      <c r="O278" s="625"/>
      <c r="P278" s="625"/>
      <c r="Q278" s="625"/>
      <c r="R278" s="625"/>
      <c r="S278" s="625"/>
      <c r="T278" s="625"/>
      <c r="U278" s="625"/>
      <c r="V278" s="625"/>
      <c r="W278" s="625"/>
      <c r="X278" s="625"/>
      <c r="Y278" s="625"/>
      <c r="Z278" s="625"/>
      <c r="AA278" s="625"/>
      <c r="AB278" s="625"/>
      <c r="AC278" s="625"/>
      <c r="AD278" s="625"/>
      <c r="AE278" s="625"/>
      <c r="AF278" s="623"/>
      <c r="AG278" s="623"/>
      <c r="AH278" s="623"/>
      <c r="AI278" s="623"/>
      <c r="AJ278" s="623"/>
      <c r="AK278" s="623"/>
      <c r="AL278" s="623"/>
      <c r="AM278" s="623"/>
      <c r="AN278" s="625"/>
      <c r="AO278" s="625"/>
      <c r="AP278" s="625"/>
      <c r="AQ278" s="625"/>
      <c r="AR278" s="625"/>
      <c r="AS278" s="625"/>
      <c r="AT278" s="625"/>
      <c r="AU278" s="625"/>
      <c r="AV278" s="625"/>
      <c r="AW278" s="625"/>
      <c r="AX278" s="625"/>
      <c r="AY278" s="625"/>
      <c r="AZ278" s="625"/>
      <c r="BA278" s="625"/>
      <c r="BB278" s="695"/>
      <c r="BC278" s="623"/>
      <c r="BD278" s="623"/>
      <c r="BE278" s="623"/>
      <c r="BF278" s="623"/>
      <c r="BG278" s="623"/>
      <c r="BH278" s="623"/>
      <c r="BI278" s="623"/>
      <c r="BJ278" s="623"/>
      <c r="BK278" s="623"/>
      <c r="BL278" s="623"/>
      <c r="BM278" s="623"/>
      <c r="BN278" s="623"/>
      <c r="BO278" s="623"/>
      <c r="BP278" s="623"/>
      <c r="BQ278" s="623"/>
      <c r="BR278" s="623"/>
      <c r="BS278" s="623"/>
      <c r="BT278" s="623"/>
      <c r="BU278" s="623"/>
      <c r="BV278" s="623"/>
      <c r="BW278" s="623"/>
      <c r="BX278" s="623"/>
      <c r="BY278" s="623"/>
      <c r="BZ278" s="623"/>
      <c r="CA278" s="623"/>
      <c r="CB278" s="623"/>
      <c r="CC278" s="623"/>
      <c r="CD278" s="623"/>
      <c r="CE278" s="623"/>
      <c r="CF278" s="623"/>
      <c r="CG278" s="623"/>
      <c r="CH278" s="623"/>
      <c r="CI278" s="623"/>
      <c r="CJ278" s="623"/>
      <c r="CK278" s="623"/>
      <c r="CL278" s="623"/>
      <c r="CM278" s="623"/>
      <c r="CN278" s="623"/>
      <c r="CO278" s="623"/>
      <c r="CP278" s="623"/>
      <c r="CQ278" s="623"/>
    </row>
    <row r="279" spans="1:95" s="808" customFormat="1">
      <c r="A279" s="567"/>
      <c r="B279" s="567"/>
      <c r="C279" s="558"/>
      <c r="D279" s="558"/>
      <c r="E279" s="556" t="str">
        <f t="shared" si="80"/>
        <v/>
      </c>
      <c r="F279" s="558"/>
      <c r="G279" s="558"/>
      <c r="H279" s="558"/>
      <c r="I279" s="558"/>
      <c r="J279" s="558"/>
      <c r="K279" s="558"/>
      <c r="L279" s="625"/>
      <c r="M279" s="625"/>
      <c r="N279" s="625"/>
      <c r="O279" s="625"/>
      <c r="P279" s="625"/>
      <c r="Q279" s="625"/>
      <c r="R279" s="625"/>
      <c r="S279" s="625"/>
      <c r="T279" s="625"/>
      <c r="U279" s="625"/>
      <c r="V279" s="625"/>
      <c r="W279" s="625"/>
      <c r="X279" s="625"/>
      <c r="Y279" s="625"/>
      <c r="Z279" s="625"/>
      <c r="AA279" s="625"/>
      <c r="AB279" s="625"/>
      <c r="AC279" s="625"/>
      <c r="AD279" s="625"/>
      <c r="AE279" s="625"/>
      <c r="AF279" s="623"/>
      <c r="AG279" s="623"/>
      <c r="AH279" s="623"/>
      <c r="AI279" s="623"/>
      <c r="AJ279" s="623"/>
      <c r="AK279" s="623"/>
      <c r="AL279" s="623"/>
      <c r="AM279" s="623"/>
      <c r="AN279" s="625"/>
      <c r="AO279" s="625"/>
      <c r="AP279" s="625"/>
      <c r="AQ279" s="625"/>
      <c r="AR279" s="625"/>
      <c r="AS279" s="625"/>
      <c r="AT279" s="625"/>
      <c r="AU279" s="625"/>
      <c r="AV279" s="625"/>
      <c r="AW279" s="625"/>
      <c r="AX279" s="625"/>
      <c r="AY279" s="625"/>
      <c r="AZ279" s="625"/>
      <c r="BA279" s="625"/>
      <c r="BB279" s="695"/>
      <c r="BC279" s="623"/>
      <c r="BD279" s="623"/>
      <c r="BE279" s="623"/>
      <c r="BF279" s="623"/>
      <c r="BG279" s="623"/>
      <c r="BH279" s="623"/>
      <c r="BI279" s="623"/>
      <c r="BJ279" s="623"/>
      <c r="BK279" s="623"/>
      <c r="BL279" s="623"/>
      <c r="BM279" s="623"/>
      <c r="BN279" s="623"/>
      <c r="BO279" s="623"/>
      <c r="BP279" s="623"/>
      <c r="BQ279" s="623"/>
      <c r="BR279" s="623"/>
      <c r="BS279" s="623"/>
      <c r="BT279" s="623"/>
      <c r="BU279" s="623"/>
      <c r="BV279" s="623"/>
      <c r="BW279" s="623"/>
      <c r="BX279" s="623"/>
      <c r="BY279" s="623"/>
      <c r="BZ279" s="623"/>
      <c r="CA279" s="623"/>
      <c r="CB279" s="623"/>
      <c r="CC279" s="623"/>
      <c r="CD279" s="623"/>
      <c r="CE279" s="623"/>
      <c r="CF279" s="623"/>
      <c r="CG279" s="623"/>
      <c r="CH279" s="623"/>
      <c r="CI279" s="623"/>
      <c r="CJ279" s="623"/>
      <c r="CK279" s="623"/>
      <c r="CL279" s="623"/>
      <c r="CM279" s="623"/>
      <c r="CN279" s="623"/>
      <c r="CO279" s="623"/>
      <c r="CP279" s="623"/>
      <c r="CQ279" s="623"/>
    </row>
    <row r="280" spans="1:95" s="808" customFormat="1">
      <c r="A280" s="567"/>
      <c r="B280" s="567"/>
      <c r="C280" s="558"/>
      <c r="D280" s="558"/>
      <c r="E280" s="556" t="str">
        <f t="shared" si="80"/>
        <v/>
      </c>
      <c r="F280" s="558"/>
      <c r="G280" s="558"/>
      <c r="H280" s="558"/>
      <c r="I280" s="558"/>
      <c r="J280" s="558"/>
      <c r="K280" s="558"/>
      <c r="L280" s="625"/>
      <c r="M280" s="625"/>
      <c r="N280" s="625"/>
      <c r="O280" s="625"/>
      <c r="P280" s="625"/>
      <c r="Q280" s="625"/>
      <c r="R280" s="625"/>
      <c r="S280" s="625"/>
      <c r="T280" s="625"/>
      <c r="U280" s="625"/>
      <c r="V280" s="625"/>
      <c r="W280" s="625"/>
      <c r="X280" s="625"/>
      <c r="Y280" s="625"/>
      <c r="Z280" s="625"/>
      <c r="AA280" s="625"/>
      <c r="AB280" s="625"/>
      <c r="AC280" s="625"/>
      <c r="AD280" s="625"/>
      <c r="AE280" s="625"/>
      <c r="AF280" s="623"/>
      <c r="AG280" s="623"/>
      <c r="AH280" s="623"/>
      <c r="AI280" s="623"/>
      <c r="AJ280" s="623"/>
      <c r="AK280" s="623"/>
      <c r="AL280" s="623"/>
      <c r="AM280" s="623"/>
      <c r="AN280" s="625"/>
      <c r="AO280" s="625"/>
      <c r="AP280" s="625"/>
      <c r="AQ280" s="625"/>
      <c r="AR280" s="625"/>
      <c r="AS280" s="625"/>
      <c r="AT280" s="625"/>
      <c r="AU280" s="625"/>
      <c r="AV280" s="625"/>
      <c r="AW280" s="625"/>
      <c r="AX280" s="625"/>
      <c r="AY280" s="625"/>
      <c r="AZ280" s="625"/>
      <c r="BA280" s="625"/>
      <c r="BB280" s="695"/>
      <c r="BC280" s="623"/>
      <c r="BD280" s="623"/>
      <c r="BE280" s="623"/>
      <c r="BF280" s="623"/>
      <c r="BG280" s="623"/>
      <c r="BH280" s="623"/>
      <c r="BI280" s="623"/>
      <c r="BJ280" s="623"/>
      <c r="BK280" s="623"/>
      <c r="BL280" s="623"/>
      <c r="BM280" s="623"/>
      <c r="BN280" s="623"/>
      <c r="BO280" s="623"/>
      <c r="BP280" s="623"/>
      <c r="BQ280" s="623"/>
      <c r="BR280" s="623"/>
      <c r="BS280" s="623"/>
      <c r="BT280" s="623"/>
      <c r="BU280" s="623"/>
      <c r="BV280" s="623"/>
      <c r="BW280" s="623"/>
      <c r="BX280" s="623"/>
      <c r="BY280" s="623"/>
      <c r="BZ280" s="623"/>
      <c r="CA280" s="623"/>
      <c r="CB280" s="623"/>
      <c r="CC280" s="623"/>
      <c r="CD280" s="623"/>
      <c r="CE280" s="623"/>
      <c r="CF280" s="623"/>
      <c r="CG280" s="623"/>
      <c r="CH280" s="623"/>
      <c r="CI280" s="623"/>
      <c r="CJ280" s="623"/>
      <c r="CK280" s="623"/>
      <c r="CL280" s="623"/>
      <c r="CM280" s="623"/>
      <c r="CN280" s="623"/>
      <c r="CO280" s="623"/>
      <c r="CP280" s="623"/>
      <c r="CQ280" s="623"/>
    </row>
    <row r="281" spans="1:95" s="808" customFormat="1">
      <c r="A281" s="567"/>
      <c r="B281" s="567"/>
      <c r="C281" s="558"/>
      <c r="D281" s="558"/>
      <c r="E281" s="556" t="str">
        <f t="shared" si="80"/>
        <v/>
      </c>
      <c r="F281" s="558"/>
      <c r="G281" s="558"/>
      <c r="H281" s="558"/>
      <c r="I281" s="558"/>
      <c r="J281" s="558"/>
      <c r="K281" s="558"/>
      <c r="L281" s="625"/>
      <c r="M281" s="625"/>
      <c r="N281" s="625"/>
      <c r="O281" s="625"/>
      <c r="P281" s="625"/>
      <c r="Q281" s="625"/>
      <c r="R281" s="625"/>
      <c r="S281" s="625"/>
      <c r="T281" s="625"/>
      <c r="U281" s="625"/>
      <c r="V281" s="625"/>
      <c r="W281" s="625"/>
      <c r="X281" s="625"/>
      <c r="Y281" s="625"/>
      <c r="Z281" s="625"/>
      <c r="AA281" s="625"/>
      <c r="AB281" s="625"/>
      <c r="AC281" s="625"/>
      <c r="AD281" s="625"/>
      <c r="AE281" s="625"/>
      <c r="AF281" s="623"/>
      <c r="AG281" s="623"/>
      <c r="AH281" s="623"/>
      <c r="AI281" s="623"/>
      <c r="AJ281" s="623"/>
      <c r="AK281" s="623"/>
      <c r="AL281" s="623"/>
      <c r="AM281" s="623"/>
      <c r="AN281" s="625"/>
      <c r="AO281" s="625"/>
      <c r="AP281" s="625"/>
      <c r="AQ281" s="625"/>
      <c r="AR281" s="625"/>
      <c r="AS281" s="625"/>
      <c r="AT281" s="625"/>
      <c r="AU281" s="625"/>
      <c r="AV281" s="625"/>
      <c r="AW281" s="625"/>
      <c r="AX281" s="625"/>
      <c r="AY281" s="625"/>
      <c r="AZ281" s="625"/>
      <c r="BA281" s="625"/>
      <c r="BB281" s="695"/>
      <c r="BC281" s="623"/>
      <c r="BD281" s="623"/>
      <c r="BE281" s="623"/>
      <c r="BF281" s="623"/>
      <c r="BG281" s="623"/>
      <c r="BH281" s="623"/>
      <c r="BI281" s="623"/>
      <c r="BJ281" s="623"/>
      <c r="BK281" s="623"/>
      <c r="BL281" s="623"/>
      <c r="BM281" s="623"/>
      <c r="BN281" s="623"/>
      <c r="BO281" s="623"/>
      <c r="BP281" s="623"/>
      <c r="BQ281" s="623"/>
      <c r="BR281" s="623"/>
      <c r="BS281" s="623"/>
      <c r="BT281" s="623"/>
      <c r="BU281" s="623"/>
      <c r="BV281" s="623"/>
      <c r="BW281" s="623"/>
      <c r="BX281" s="623"/>
      <c r="BY281" s="623"/>
      <c r="BZ281" s="623"/>
      <c r="CA281" s="623"/>
      <c r="CB281" s="623"/>
      <c r="CC281" s="623"/>
      <c r="CD281" s="623"/>
      <c r="CE281" s="623"/>
      <c r="CF281" s="623"/>
      <c r="CG281" s="623"/>
      <c r="CH281" s="623"/>
      <c r="CI281" s="623"/>
      <c r="CJ281" s="623"/>
      <c r="CK281" s="623"/>
      <c r="CL281" s="623"/>
      <c r="CM281" s="623"/>
      <c r="CN281" s="623"/>
      <c r="CO281" s="623"/>
      <c r="CP281" s="623"/>
      <c r="CQ281" s="623"/>
    </row>
    <row r="282" spans="1:95" s="808" customFormat="1">
      <c r="A282" s="567"/>
      <c r="B282" s="567"/>
      <c r="C282" s="558"/>
      <c r="D282" s="558"/>
      <c r="E282" s="556" t="str">
        <f t="shared" si="80"/>
        <v/>
      </c>
      <c r="F282" s="558"/>
      <c r="G282" s="558"/>
      <c r="H282" s="558"/>
      <c r="I282" s="558"/>
      <c r="J282" s="558"/>
      <c r="K282" s="558"/>
      <c r="L282" s="625"/>
      <c r="M282" s="625"/>
      <c r="N282" s="625"/>
      <c r="O282" s="625"/>
      <c r="P282" s="625"/>
      <c r="Q282" s="625"/>
      <c r="R282" s="625"/>
      <c r="S282" s="625"/>
      <c r="T282" s="625"/>
      <c r="U282" s="625"/>
      <c r="V282" s="625"/>
      <c r="W282" s="625"/>
      <c r="X282" s="625"/>
      <c r="Y282" s="625"/>
      <c r="Z282" s="625"/>
      <c r="AA282" s="625"/>
      <c r="AB282" s="625"/>
      <c r="AC282" s="625"/>
      <c r="AD282" s="625"/>
      <c r="AE282" s="625"/>
      <c r="AF282" s="623"/>
      <c r="AG282" s="623"/>
      <c r="AH282" s="623"/>
      <c r="AI282" s="623"/>
      <c r="AJ282" s="623"/>
      <c r="AK282" s="623"/>
      <c r="AL282" s="623"/>
      <c r="AM282" s="623"/>
      <c r="AN282" s="625"/>
      <c r="AO282" s="625"/>
      <c r="AP282" s="625"/>
      <c r="AQ282" s="625"/>
      <c r="AR282" s="625"/>
      <c r="AS282" s="625"/>
      <c r="AT282" s="625"/>
      <c r="AU282" s="625"/>
      <c r="AV282" s="625"/>
      <c r="AW282" s="625"/>
      <c r="AX282" s="625"/>
      <c r="AY282" s="625"/>
      <c r="AZ282" s="625"/>
      <c r="BA282" s="625"/>
      <c r="BB282" s="695"/>
      <c r="BC282" s="623"/>
      <c r="BD282" s="623"/>
      <c r="BE282" s="623"/>
      <c r="BF282" s="623"/>
      <c r="BG282" s="623"/>
      <c r="BH282" s="623"/>
      <c r="BI282" s="623"/>
      <c r="BJ282" s="623"/>
      <c r="BK282" s="623"/>
      <c r="BL282" s="623"/>
      <c r="BM282" s="623"/>
      <c r="BN282" s="623"/>
      <c r="BO282" s="623"/>
      <c r="BP282" s="623"/>
      <c r="BQ282" s="623"/>
      <c r="BR282" s="623"/>
      <c r="BS282" s="623"/>
      <c r="BT282" s="623"/>
      <c r="BU282" s="623"/>
      <c r="BV282" s="623"/>
      <c r="BW282" s="623"/>
      <c r="BX282" s="623"/>
      <c r="BY282" s="623"/>
      <c r="BZ282" s="623"/>
      <c r="CA282" s="623"/>
      <c r="CB282" s="623"/>
      <c r="CC282" s="623"/>
      <c r="CD282" s="623"/>
      <c r="CE282" s="623"/>
      <c r="CF282" s="623"/>
      <c r="CG282" s="623"/>
      <c r="CH282" s="623"/>
      <c r="CI282" s="623"/>
      <c r="CJ282" s="623"/>
      <c r="CK282" s="623"/>
      <c r="CL282" s="623"/>
      <c r="CM282" s="623"/>
      <c r="CN282" s="623"/>
      <c r="CO282" s="623"/>
      <c r="CP282" s="623"/>
      <c r="CQ282" s="623"/>
    </row>
    <row r="283" spans="1:95" s="808" customFormat="1">
      <c r="A283" s="567"/>
      <c r="B283" s="567"/>
      <c r="C283" s="558"/>
      <c r="D283" s="558"/>
      <c r="E283" s="556" t="str">
        <f t="shared" si="80"/>
        <v/>
      </c>
      <c r="F283" s="558"/>
      <c r="G283" s="558"/>
      <c r="H283" s="558"/>
      <c r="I283" s="558"/>
      <c r="J283" s="558"/>
      <c r="K283" s="558"/>
      <c r="L283" s="625"/>
      <c r="M283" s="625"/>
      <c r="N283" s="625"/>
      <c r="O283" s="625"/>
      <c r="P283" s="625"/>
      <c r="Q283" s="625"/>
      <c r="R283" s="625"/>
      <c r="S283" s="625"/>
      <c r="T283" s="625"/>
      <c r="U283" s="625"/>
      <c r="V283" s="625"/>
      <c r="W283" s="625"/>
      <c r="X283" s="625"/>
      <c r="Y283" s="625"/>
      <c r="Z283" s="625"/>
      <c r="AA283" s="625"/>
      <c r="AB283" s="625"/>
      <c r="AC283" s="625"/>
      <c r="AD283" s="625"/>
      <c r="AE283" s="625"/>
      <c r="AF283" s="623"/>
      <c r="AG283" s="623"/>
      <c r="AH283" s="623"/>
      <c r="AI283" s="623"/>
      <c r="AJ283" s="623"/>
      <c r="AK283" s="623"/>
      <c r="AL283" s="623"/>
      <c r="AM283" s="623"/>
      <c r="AN283" s="625"/>
      <c r="AO283" s="625"/>
      <c r="AP283" s="625"/>
      <c r="AQ283" s="625"/>
      <c r="AR283" s="625"/>
      <c r="AS283" s="625"/>
      <c r="AT283" s="625"/>
      <c r="AU283" s="625"/>
      <c r="AV283" s="625"/>
      <c r="AW283" s="625"/>
      <c r="AX283" s="625"/>
      <c r="AY283" s="625"/>
      <c r="AZ283" s="625"/>
      <c r="BA283" s="625"/>
      <c r="BB283" s="695"/>
      <c r="BC283" s="623"/>
      <c r="BD283" s="623"/>
      <c r="BE283" s="623"/>
      <c r="BF283" s="623"/>
      <c r="BG283" s="623"/>
      <c r="BH283" s="623"/>
      <c r="BI283" s="623"/>
      <c r="BJ283" s="623"/>
      <c r="BK283" s="623"/>
      <c r="BL283" s="623"/>
      <c r="BM283" s="623"/>
      <c r="BN283" s="623"/>
      <c r="BO283" s="623"/>
      <c r="BP283" s="623"/>
      <c r="BQ283" s="623"/>
      <c r="BR283" s="623"/>
      <c r="BS283" s="623"/>
      <c r="BT283" s="623"/>
      <c r="BU283" s="623"/>
      <c r="BV283" s="623"/>
      <c r="BW283" s="623"/>
      <c r="BX283" s="623"/>
      <c r="BY283" s="623"/>
      <c r="BZ283" s="623"/>
      <c r="CA283" s="623"/>
      <c r="CB283" s="623"/>
      <c r="CC283" s="623"/>
      <c r="CD283" s="623"/>
      <c r="CE283" s="623"/>
      <c r="CF283" s="623"/>
      <c r="CG283" s="623"/>
      <c r="CH283" s="623"/>
      <c r="CI283" s="623"/>
      <c r="CJ283" s="623"/>
      <c r="CK283" s="623"/>
      <c r="CL283" s="623"/>
      <c r="CM283" s="623"/>
      <c r="CN283" s="623"/>
      <c r="CO283" s="623"/>
      <c r="CP283" s="623"/>
      <c r="CQ283" s="623"/>
    </row>
    <row r="284" spans="1:95" s="808" customFormat="1">
      <c r="A284" s="567"/>
      <c r="B284" s="567"/>
      <c r="C284" s="558"/>
      <c r="D284" s="558"/>
      <c r="E284" s="556" t="str">
        <f t="shared" si="80"/>
        <v/>
      </c>
      <c r="F284" s="558"/>
      <c r="G284" s="558"/>
      <c r="H284" s="558"/>
      <c r="I284" s="558"/>
      <c r="J284" s="558"/>
      <c r="K284" s="558"/>
      <c r="L284" s="625"/>
      <c r="M284" s="625"/>
      <c r="N284" s="625"/>
      <c r="O284" s="625"/>
      <c r="P284" s="625"/>
      <c r="Q284" s="625"/>
      <c r="R284" s="625"/>
      <c r="S284" s="625"/>
      <c r="T284" s="625"/>
      <c r="U284" s="625"/>
      <c r="V284" s="625"/>
      <c r="W284" s="625"/>
      <c r="X284" s="625"/>
      <c r="Y284" s="625"/>
      <c r="Z284" s="625"/>
      <c r="AA284" s="625"/>
      <c r="AB284" s="625"/>
      <c r="AC284" s="625"/>
      <c r="AD284" s="625"/>
      <c r="AE284" s="625"/>
      <c r="AF284" s="623"/>
      <c r="AG284" s="623"/>
      <c r="AH284" s="623"/>
      <c r="AI284" s="623"/>
      <c r="AJ284" s="623"/>
      <c r="AK284" s="623"/>
      <c r="AL284" s="623"/>
      <c r="AM284" s="623"/>
      <c r="AN284" s="625"/>
      <c r="AO284" s="625"/>
      <c r="AP284" s="625"/>
      <c r="AQ284" s="625"/>
      <c r="AR284" s="625"/>
      <c r="AS284" s="625"/>
      <c r="AT284" s="625"/>
      <c r="AU284" s="625"/>
      <c r="AV284" s="625"/>
      <c r="AW284" s="625"/>
      <c r="AX284" s="625"/>
      <c r="AY284" s="625"/>
      <c r="AZ284" s="625"/>
      <c r="BA284" s="625"/>
      <c r="BB284" s="695"/>
      <c r="BC284" s="623"/>
      <c r="BD284" s="623"/>
      <c r="BE284" s="623"/>
      <c r="BF284" s="623"/>
      <c r="BG284" s="623"/>
      <c r="BH284" s="623"/>
      <c r="BI284" s="623"/>
      <c r="BJ284" s="623"/>
      <c r="BK284" s="623"/>
      <c r="BL284" s="623"/>
      <c r="BM284" s="623"/>
      <c r="BN284" s="623"/>
      <c r="BO284" s="623"/>
      <c r="BP284" s="623"/>
      <c r="BQ284" s="623"/>
      <c r="BR284" s="623"/>
      <c r="BS284" s="623"/>
      <c r="BT284" s="623"/>
      <c r="BU284" s="623"/>
      <c r="BV284" s="623"/>
      <c r="BW284" s="623"/>
      <c r="BX284" s="623"/>
      <c r="BY284" s="623"/>
      <c r="BZ284" s="623"/>
      <c r="CA284" s="623"/>
      <c r="CB284" s="623"/>
      <c r="CC284" s="623"/>
      <c r="CD284" s="623"/>
      <c r="CE284" s="623"/>
      <c r="CF284" s="623"/>
      <c r="CG284" s="623"/>
      <c r="CH284" s="623"/>
      <c r="CI284" s="623"/>
      <c r="CJ284" s="623"/>
      <c r="CK284" s="623"/>
      <c r="CL284" s="623"/>
      <c r="CM284" s="623"/>
      <c r="CN284" s="623"/>
      <c r="CO284" s="623"/>
      <c r="CP284" s="623"/>
      <c r="CQ284" s="623"/>
    </row>
    <row r="285" spans="1:95" s="808" customFormat="1">
      <c r="A285" s="567"/>
      <c r="B285" s="567"/>
      <c r="C285" s="558"/>
      <c r="D285" s="558"/>
      <c r="E285" s="556" t="str">
        <f t="shared" si="80"/>
        <v/>
      </c>
      <c r="F285" s="558"/>
      <c r="G285" s="558"/>
      <c r="H285" s="558"/>
      <c r="I285" s="558"/>
      <c r="J285" s="558"/>
      <c r="K285" s="558"/>
      <c r="L285" s="625"/>
      <c r="M285" s="625"/>
      <c r="N285" s="625"/>
      <c r="O285" s="625"/>
      <c r="P285" s="625"/>
      <c r="Q285" s="625"/>
      <c r="R285" s="625"/>
      <c r="S285" s="625"/>
      <c r="T285" s="625"/>
      <c r="U285" s="625"/>
      <c r="V285" s="625"/>
      <c r="W285" s="625"/>
      <c r="X285" s="625"/>
      <c r="Y285" s="625"/>
      <c r="Z285" s="625"/>
      <c r="AA285" s="625"/>
      <c r="AB285" s="625"/>
      <c r="AC285" s="625"/>
      <c r="AD285" s="625"/>
      <c r="AE285" s="625"/>
      <c r="AF285" s="623"/>
      <c r="AG285" s="623"/>
      <c r="AH285" s="623"/>
      <c r="AI285" s="623"/>
      <c r="AJ285" s="623"/>
      <c r="AK285" s="623"/>
      <c r="AL285" s="623"/>
      <c r="AM285" s="623"/>
      <c r="AN285" s="625"/>
      <c r="AO285" s="625"/>
      <c r="AP285" s="625"/>
      <c r="AQ285" s="625"/>
      <c r="AR285" s="625"/>
      <c r="AS285" s="625"/>
      <c r="AT285" s="625"/>
      <c r="AU285" s="625"/>
      <c r="AV285" s="625"/>
      <c r="AW285" s="625"/>
      <c r="AX285" s="625"/>
      <c r="AY285" s="625"/>
      <c r="AZ285" s="625"/>
      <c r="BA285" s="625"/>
      <c r="BB285" s="695"/>
      <c r="BC285" s="623"/>
      <c r="BD285" s="623"/>
      <c r="BE285" s="623"/>
      <c r="BF285" s="623"/>
      <c r="BG285" s="623"/>
      <c r="BH285" s="623"/>
      <c r="BI285" s="623"/>
      <c r="BJ285" s="623"/>
      <c r="BK285" s="623"/>
      <c r="BL285" s="623"/>
      <c r="BM285" s="623"/>
      <c r="BN285" s="623"/>
      <c r="BO285" s="623"/>
      <c r="BP285" s="623"/>
      <c r="BQ285" s="623"/>
      <c r="BR285" s="623"/>
      <c r="BS285" s="623"/>
      <c r="BT285" s="623"/>
      <c r="BU285" s="623"/>
      <c r="BV285" s="623"/>
      <c r="BW285" s="623"/>
      <c r="BX285" s="623"/>
      <c r="BY285" s="623"/>
      <c r="BZ285" s="623"/>
      <c r="CA285" s="623"/>
      <c r="CB285" s="623"/>
      <c r="CC285" s="623"/>
      <c r="CD285" s="623"/>
      <c r="CE285" s="623"/>
      <c r="CF285" s="623"/>
      <c r="CG285" s="623"/>
      <c r="CH285" s="623"/>
      <c r="CI285" s="623"/>
      <c r="CJ285" s="623"/>
      <c r="CK285" s="623"/>
      <c r="CL285" s="623"/>
      <c r="CM285" s="623"/>
      <c r="CN285" s="623"/>
      <c r="CO285" s="623"/>
      <c r="CP285" s="623"/>
      <c r="CQ285" s="623"/>
    </row>
    <row r="286" spans="1:95" s="808" customFormat="1">
      <c r="A286" s="567"/>
      <c r="B286" s="567"/>
      <c r="C286" s="558"/>
      <c r="D286" s="558"/>
      <c r="E286" s="556" t="str">
        <f t="shared" si="80"/>
        <v/>
      </c>
      <c r="F286" s="558"/>
      <c r="G286" s="558"/>
      <c r="H286" s="558"/>
      <c r="I286" s="558"/>
      <c r="J286" s="558"/>
      <c r="K286" s="558"/>
      <c r="L286" s="625"/>
      <c r="M286" s="625"/>
      <c r="N286" s="625"/>
      <c r="O286" s="625"/>
      <c r="P286" s="625"/>
      <c r="Q286" s="625"/>
      <c r="R286" s="625"/>
      <c r="S286" s="625"/>
      <c r="T286" s="625"/>
      <c r="U286" s="625"/>
      <c r="V286" s="625"/>
      <c r="W286" s="625"/>
      <c r="X286" s="625"/>
      <c r="Y286" s="625"/>
      <c r="Z286" s="625"/>
      <c r="AA286" s="625"/>
      <c r="AB286" s="625"/>
      <c r="AC286" s="625"/>
      <c r="AD286" s="625"/>
      <c r="AE286" s="625"/>
      <c r="AF286" s="623"/>
      <c r="AG286" s="623"/>
      <c r="AH286" s="623"/>
      <c r="AI286" s="623"/>
      <c r="AJ286" s="623"/>
      <c r="AK286" s="623"/>
      <c r="AL286" s="623"/>
      <c r="AM286" s="623"/>
      <c r="AN286" s="625"/>
      <c r="AO286" s="625"/>
      <c r="AP286" s="625"/>
      <c r="AQ286" s="625"/>
      <c r="AR286" s="625"/>
      <c r="AS286" s="625"/>
      <c r="AT286" s="625"/>
      <c r="AU286" s="625"/>
      <c r="AV286" s="625"/>
      <c r="AW286" s="625"/>
      <c r="AX286" s="625"/>
      <c r="AY286" s="625"/>
      <c r="AZ286" s="625"/>
      <c r="BA286" s="625"/>
      <c r="BB286" s="695"/>
      <c r="BC286" s="623"/>
      <c r="BD286" s="623"/>
      <c r="BE286" s="623"/>
      <c r="BF286" s="623"/>
      <c r="BG286" s="623"/>
      <c r="BH286" s="623"/>
      <c r="BI286" s="623"/>
      <c r="BJ286" s="623"/>
      <c r="BK286" s="623"/>
      <c r="BL286" s="623"/>
      <c r="BM286" s="623"/>
      <c r="BN286" s="623"/>
      <c r="BO286" s="623"/>
      <c r="BP286" s="623"/>
      <c r="BQ286" s="623"/>
      <c r="BR286" s="623"/>
      <c r="BS286" s="623"/>
      <c r="BT286" s="623"/>
      <c r="BU286" s="623"/>
      <c r="BV286" s="623"/>
      <c r="BW286" s="623"/>
      <c r="BX286" s="623"/>
      <c r="BY286" s="623"/>
      <c r="BZ286" s="623"/>
      <c r="CA286" s="623"/>
      <c r="CB286" s="623"/>
      <c r="CC286" s="623"/>
      <c r="CD286" s="623"/>
      <c r="CE286" s="623"/>
      <c r="CF286" s="623"/>
      <c r="CG286" s="623"/>
      <c r="CH286" s="623"/>
      <c r="CI286" s="623"/>
      <c r="CJ286" s="623"/>
      <c r="CK286" s="623"/>
      <c r="CL286" s="623"/>
      <c r="CM286" s="623"/>
      <c r="CN286" s="623"/>
      <c r="CO286" s="623"/>
      <c r="CP286" s="623"/>
      <c r="CQ286" s="623"/>
    </row>
    <row r="287" spans="1:95" s="808" customFormat="1">
      <c r="A287" s="567"/>
      <c r="B287" s="567"/>
      <c r="C287" s="558"/>
      <c r="D287" s="558"/>
      <c r="E287" s="556" t="str">
        <f t="shared" si="80"/>
        <v/>
      </c>
      <c r="F287" s="558"/>
      <c r="G287" s="558"/>
      <c r="H287" s="558"/>
      <c r="I287" s="558"/>
      <c r="J287" s="558"/>
      <c r="K287" s="558"/>
      <c r="L287" s="625"/>
      <c r="M287" s="625"/>
      <c r="N287" s="625"/>
      <c r="O287" s="625"/>
      <c r="P287" s="625"/>
      <c r="Q287" s="625"/>
      <c r="R287" s="625"/>
      <c r="S287" s="625"/>
      <c r="T287" s="625"/>
      <c r="U287" s="625"/>
      <c r="V287" s="625"/>
      <c r="W287" s="625"/>
      <c r="X287" s="625"/>
      <c r="Y287" s="625"/>
      <c r="Z287" s="625"/>
      <c r="AA287" s="625"/>
      <c r="AB287" s="625"/>
      <c r="AC287" s="625"/>
      <c r="AD287" s="625"/>
      <c r="AE287" s="625"/>
      <c r="AF287" s="623"/>
      <c r="AG287" s="623"/>
      <c r="AH287" s="623"/>
      <c r="AI287" s="623"/>
      <c r="AJ287" s="623"/>
      <c r="AK287" s="623"/>
      <c r="AL287" s="623"/>
      <c r="AM287" s="623"/>
      <c r="AN287" s="625"/>
      <c r="AO287" s="625"/>
      <c r="AP287" s="625"/>
      <c r="AQ287" s="625"/>
      <c r="AR287" s="625"/>
      <c r="AS287" s="625"/>
      <c r="AT287" s="625"/>
      <c r="AU287" s="625"/>
      <c r="AV287" s="625"/>
      <c r="AW287" s="625"/>
      <c r="AX287" s="625"/>
      <c r="AY287" s="625"/>
      <c r="AZ287" s="625"/>
      <c r="BA287" s="625"/>
      <c r="BB287" s="695"/>
      <c r="BC287" s="623"/>
      <c r="BD287" s="623"/>
      <c r="BE287" s="623"/>
      <c r="BF287" s="623"/>
      <c r="BG287" s="623"/>
      <c r="BH287" s="623"/>
      <c r="BI287" s="623"/>
      <c r="BJ287" s="623"/>
      <c r="BK287" s="623"/>
      <c r="BL287" s="623"/>
      <c r="BM287" s="623"/>
      <c r="BN287" s="623"/>
      <c r="BO287" s="623"/>
      <c r="BP287" s="623"/>
      <c r="BQ287" s="623"/>
      <c r="BR287" s="623"/>
      <c r="BS287" s="623"/>
      <c r="BT287" s="623"/>
      <c r="BU287" s="623"/>
      <c r="BV287" s="623"/>
      <c r="BW287" s="623"/>
      <c r="BX287" s="623"/>
      <c r="BY287" s="623"/>
      <c r="BZ287" s="623"/>
      <c r="CA287" s="623"/>
      <c r="CB287" s="623"/>
      <c r="CC287" s="623"/>
      <c r="CD287" s="623"/>
      <c r="CE287" s="623"/>
      <c r="CF287" s="623"/>
      <c r="CG287" s="623"/>
      <c r="CH287" s="623"/>
      <c r="CI287" s="623"/>
      <c r="CJ287" s="623"/>
      <c r="CK287" s="623"/>
      <c r="CL287" s="623"/>
      <c r="CM287" s="623"/>
      <c r="CN287" s="623"/>
      <c r="CO287" s="623"/>
      <c r="CP287" s="623"/>
      <c r="CQ287" s="623"/>
    </row>
    <row r="288" spans="1:95" s="808" customFormat="1">
      <c r="A288" s="567"/>
      <c r="B288" s="567"/>
      <c r="C288" s="558"/>
      <c r="D288" s="558"/>
      <c r="E288" s="556" t="str">
        <f t="shared" si="80"/>
        <v/>
      </c>
      <c r="F288" s="558"/>
      <c r="G288" s="558"/>
      <c r="H288" s="558"/>
      <c r="I288" s="558"/>
      <c r="J288" s="558"/>
      <c r="K288" s="558"/>
      <c r="L288" s="625"/>
      <c r="M288" s="625"/>
      <c r="N288" s="625"/>
      <c r="O288" s="625"/>
      <c r="P288" s="625"/>
      <c r="Q288" s="625"/>
      <c r="R288" s="625"/>
      <c r="S288" s="625"/>
      <c r="T288" s="625"/>
      <c r="U288" s="625"/>
      <c r="V288" s="625"/>
      <c r="W288" s="625"/>
      <c r="X288" s="625"/>
      <c r="Y288" s="625"/>
      <c r="Z288" s="625"/>
      <c r="AA288" s="625"/>
      <c r="AB288" s="625"/>
      <c r="AC288" s="625"/>
      <c r="AD288" s="625"/>
      <c r="AE288" s="625"/>
      <c r="AF288" s="623"/>
      <c r="AG288" s="623"/>
      <c r="AH288" s="623"/>
      <c r="AI288" s="623"/>
      <c r="AJ288" s="623"/>
      <c r="AK288" s="623"/>
      <c r="AL288" s="623"/>
      <c r="AM288" s="623"/>
      <c r="AN288" s="625"/>
      <c r="AO288" s="625"/>
      <c r="AP288" s="625"/>
      <c r="AQ288" s="625"/>
      <c r="AR288" s="625"/>
      <c r="AS288" s="625"/>
      <c r="AT288" s="625"/>
      <c r="AU288" s="625"/>
      <c r="AV288" s="625"/>
      <c r="AW288" s="625"/>
      <c r="AX288" s="625"/>
      <c r="AY288" s="625"/>
      <c r="AZ288" s="625"/>
      <c r="BA288" s="625"/>
      <c r="BB288" s="695"/>
      <c r="BC288" s="623"/>
      <c r="BD288" s="623"/>
      <c r="BE288" s="623"/>
      <c r="BF288" s="623"/>
      <c r="BG288" s="623"/>
      <c r="BH288" s="623"/>
      <c r="BI288" s="623"/>
      <c r="BJ288" s="623"/>
      <c r="BK288" s="623"/>
      <c r="BL288" s="623"/>
      <c r="BM288" s="623"/>
      <c r="BN288" s="623"/>
      <c r="BO288" s="623"/>
      <c r="BP288" s="623"/>
      <c r="BQ288" s="623"/>
      <c r="BR288" s="623"/>
      <c r="BS288" s="623"/>
      <c r="BT288" s="623"/>
      <c r="BU288" s="623"/>
      <c r="BV288" s="623"/>
      <c r="BW288" s="623"/>
      <c r="BX288" s="623"/>
      <c r="BY288" s="623"/>
      <c r="BZ288" s="623"/>
      <c r="CA288" s="623"/>
      <c r="CB288" s="623"/>
      <c r="CC288" s="623"/>
      <c r="CD288" s="623"/>
      <c r="CE288" s="623"/>
      <c r="CF288" s="623"/>
      <c r="CG288" s="623"/>
      <c r="CH288" s="623"/>
      <c r="CI288" s="623"/>
      <c r="CJ288" s="623"/>
      <c r="CK288" s="623"/>
      <c r="CL288" s="623"/>
      <c r="CM288" s="623"/>
      <c r="CN288" s="623"/>
      <c r="CO288" s="623"/>
      <c r="CP288" s="623"/>
      <c r="CQ288" s="623"/>
    </row>
    <row r="289" spans="1:95" s="808" customFormat="1">
      <c r="A289" s="567"/>
      <c r="B289" s="567"/>
      <c r="C289" s="558"/>
      <c r="D289" s="558"/>
      <c r="E289" s="556" t="str">
        <f t="shared" si="80"/>
        <v/>
      </c>
      <c r="F289" s="558"/>
      <c r="G289" s="558"/>
      <c r="H289" s="558"/>
      <c r="I289" s="558"/>
      <c r="J289" s="558"/>
      <c r="K289" s="558"/>
      <c r="L289" s="625"/>
      <c r="M289" s="625"/>
      <c r="N289" s="625"/>
      <c r="O289" s="625"/>
      <c r="P289" s="625"/>
      <c r="Q289" s="625"/>
      <c r="R289" s="625"/>
      <c r="S289" s="625"/>
      <c r="T289" s="625"/>
      <c r="U289" s="625"/>
      <c r="V289" s="625"/>
      <c r="W289" s="625"/>
      <c r="X289" s="625"/>
      <c r="Y289" s="625"/>
      <c r="Z289" s="625"/>
      <c r="AA289" s="625"/>
      <c r="AB289" s="625"/>
      <c r="AC289" s="625"/>
      <c r="AD289" s="625"/>
      <c r="AE289" s="625"/>
      <c r="AF289" s="623"/>
      <c r="AG289" s="623"/>
      <c r="AH289" s="623"/>
      <c r="AI289" s="623"/>
      <c r="AJ289" s="623"/>
      <c r="AK289" s="623"/>
      <c r="AL289" s="623"/>
      <c r="AM289" s="623"/>
      <c r="AN289" s="625"/>
      <c r="AO289" s="625"/>
      <c r="AP289" s="625"/>
      <c r="AQ289" s="625"/>
      <c r="AR289" s="625"/>
      <c r="AS289" s="625"/>
      <c r="AT289" s="625"/>
      <c r="AU289" s="625"/>
      <c r="AV289" s="625"/>
      <c r="AW289" s="625"/>
      <c r="AX289" s="625"/>
      <c r="AY289" s="625"/>
      <c r="AZ289" s="625"/>
      <c r="BA289" s="625"/>
      <c r="BB289" s="695"/>
      <c r="BC289" s="623"/>
      <c r="BD289" s="623"/>
      <c r="BE289" s="623"/>
      <c r="BF289" s="623"/>
      <c r="BG289" s="623"/>
      <c r="BH289" s="623"/>
      <c r="BI289" s="623"/>
      <c r="BJ289" s="623"/>
      <c r="BK289" s="623"/>
      <c r="BL289" s="623"/>
      <c r="BM289" s="623"/>
      <c r="BN289" s="623"/>
      <c r="BO289" s="623"/>
      <c r="BP289" s="623"/>
      <c r="BQ289" s="623"/>
      <c r="BR289" s="623"/>
      <c r="BS289" s="623"/>
      <c r="BT289" s="623"/>
      <c r="BU289" s="623"/>
      <c r="BV289" s="623"/>
      <c r="BW289" s="623"/>
      <c r="BX289" s="623"/>
      <c r="BY289" s="623"/>
      <c r="BZ289" s="623"/>
      <c r="CA289" s="623"/>
      <c r="CB289" s="623"/>
      <c r="CC289" s="623"/>
      <c r="CD289" s="623"/>
      <c r="CE289" s="623"/>
      <c r="CF289" s="623"/>
      <c r="CG289" s="623"/>
      <c r="CH289" s="623"/>
      <c r="CI289" s="623"/>
      <c r="CJ289" s="623"/>
      <c r="CK289" s="623"/>
      <c r="CL289" s="623"/>
      <c r="CM289" s="623"/>
      <c r="CN289" s="623"/>
      <c r="CO289" s="623"/>
      <c r="CP289" s="623"/>
      <c r="CQ289" s="623"/>
    </row>
    <row r="290" spans="1:95" s="808" customFormat="1">
      <c r="A290" s="567"/>
      <c r="B290" s="567"/>
      <c r="C290" s="558"/>
      <c r="D290" s="558"/>
      <c r="E290" s="556" t="str">
        <f t="shared" si="80"/>
        <v/>
      </c>
      <c r="F290" s="558"/>
      <c r="G290" s="558"/>
      <c r="H290" s="558"/>
      <c r="I290" s="558"/>
      <c r="J290" s="558"/>
      <c r="K290" s="558"/>
      <c r="L290" s="625"/>
      <c r="M290" s="625"/>
      <c r="N290" s="625"/>
      <c r="O290" s="625"/>
      <c r="P290" s="625"/>
      <c r="Q290" s="625"/>
      <c r="R290" s="625"/>
      <c r="S290" s="625"/>
      <c r="T290" s="625"/>
      <c r="U290" s="625"/>
      <c r="V290" s="625"/>
      <c r="W290" s="625"/>
      <c r="X290" s="625"/>
      <c r="Y290" s="625"/>
      <c r="Z290" s="625"/>
      <c r="AA290" s="625"/>
      <c r="AB290" s="625"/>
      <c r="AC290" s="625"/>
      <c r="AD290" s="625"/>
      <c r="AE290" s="625"/>
      <c r="AF290" s="623"/>
      <c r="AG290" s="623"/>
      <c r="AH290" s="623"/>
      <c r="AI290" s="623"/>
      <c r="AJ290" s="623"/>
      <c r="AK290" s="623"/>
      <c r="AL290" s="623"/>
      <c r="AM290" s="623"/>
      <c r="AN290" s="625"/>
      <c r="AO290" s="625"/>
      <c r="AP290" s="625"/>
      <c r="AQ290" s="625"/>
      <c r="AR290" s="625"/>
      <c r="AS290" s="625"/>
      <c r="AT290" s="625"/>
      <c r="AU290" s="625"/>
      <c r="AV290" s="625"/>
      <c r="AW290" s="625"/>
      <c r="AX290" s="625"/>
      <c r="AY290" s="625"/>
      <c r="AZ290" s="625"/>
      <c r="BA290" s="625"/>
      <c r="BB290" s="695"/>
      <c r="BC290" s="623"/>
      <c r="BD290" s="623"/>
      <c r="BE290" s="623"/>
      <c r="BF290" s="623"/>
      <c r="BG290" s="623"/>
      <c r="BH290" s="623"/>
      <c r="BI290" s="623"/>
      <c r="BJ290" s="623"/>
      <c r="BK290" s="623"/>
      <c r="BL290" s="623"/>
      <c r="BM290" s="623"/>
      <c r="BN290" s="623"/>
      <c r="BO290" s="623"/>
      <c r="BP290" s="623"/>
      <c r="BQ290" s="623"/>
      <c r="BR290" s="623"/>
      <c r="BS290" s="623"/>
      <c r="BT290" s="623"/>
      <c r="BU290" s="623"/>
      <c r="BV290" s="623"/>
      <c r="BW290" s="623"/>
      <c r="BX290" s="623"/>
      <c r="BY290" s="623"/>
      <c r="BZ290" s="623"/>
      <c r="CA290" s="623"/>
      <c r="CB290" s="623"/>
      <c r="CC290" s="623"/>
      <c r="CD290" s="623"/>
      <c r="CE290" s="623"/>
      <c r="CF290" s="623"/>
      <c r="CG290" s="623"/>
      <c r="CH290" s="623"/>
      <c r="CI290" s="623"/>
      <c r="CJ290" s="623"/>
      <c r="CK290" s="623"/>
      <c r="CL290" s="623"/>
      <c r="CM290" s="623"/>
      <c r="CN290" s="623"/>
      <c r="CO290" s="623"/>
      <c r="CP290" s="623"/>
      <c r="CQ290" s="623"/>
    </row>
    <row r="291" spans="1:95" s="808" customFormat="1">
      <c r="A291" s="567"/>
      <c r="B291" s="567"/>
      <c r="C291" s="558"/>
      <c r="D291" s="558"/>
      <c r="E291" s="556" t="str">
        <f t="shared" si="80"/>
        <v/>
      </c>
      <c r="F291" s="558"/>
      <c r="G291" s="558"/>
      <c r="H291" s="558"/>
      <c r="I291" s="558"/>
      <c r="J291" s="558"/>
      <c r="K291" s="558"/>
      <c r="L291" s="625"/>
      <c r="M291" s="625"/>
      <c r="N291" s="625"/>
      <c r="O291" s="625"/>
      <c r="P291" s="625"/>
      <c r="Q291" s="625"/>
      <c r="R291" s="625"/>
      <c r="S291" s="625"/>
      <c r="T291" s="625"/>
      <c r="U291" s="625"/>
      <c r="V291" s="625"/>
      <c r="W291" s="625"/>
      <c r="X291" s="625"/>
      <c r="Y291" s="625"/>
      <c r="Z291" s="625"/>
      <c r="AA291" s="625"/>
      <c r="AB291" s="625"/>
      <c r="AC291" s="625"/>
      <c r="AD291" s="625"/>
      <c r="AE291" s="625"/>
      <c r="AF291" s="623"/>
      <c r="AG291" s="623"/>
      <c r="AH291" s="623"/>
      <c r="AI291" s="623"/>
      <c r="AJ291" s="623"/>
      <c r="AK291" s="623"/>
      <c r="AL291" s="623"/>
      <c r="AM291" s="623"/>
      <c r="AN291" s="625"/>
      <c r="AO291" s="625"/>
      <c r="AP291" s="625"/>
      <c r="AQ291" s="625"/>
      <c r="AR291" s="625"/>
      <c r="AS291" s="625"/>
      <c r="AT291" s="625"/>
      <c r="AU291" s="625"/>
      <c r="AV291" s="625"/>
      <c r="AW291" s="625"/>
      <c r="AX291" s="625"/>
      <c r="AY291" s="625"/>
      <c r="AZ291" s="625"/>
      <c r="BA291" s="625"/>
      <c r="BB291" s="695"/>
      <c r="BC291" s="623"/>
      <c r="BD291" s="623"/>
      <c r="BE291" s="623"/>
      <c r="BF291" s="623"/>
      <c r="BG291" s="623"/>
      <c r="BH291" s="623"/>
      <c r="BI291" s="623"/>
      <c r="BJ291" s="623"/>
      <c r="BK291" s="623"/>
      <c r="BL291" s="623"/>
      <c r="BM291" s="623"/>
      <c r="BN291" s="623"/>
      <c r="BO291" s="623"/>
      <c r="BP291" s="623"/>
      <c r="BQ291" s="623"/>
      <c r="BR291" s="623"/>
      <c r="BS291" s="623"/>
      <c r="BT291" s="623"/>
      <c r="BU291" s="623"/>
      <c r="BV291" s="623"/>
      <c r="BW291" s="623"/>
      <c r="BX291" s="623"/>
      <c r="BY291" s="623"/>
      <c r="BZ291" s="623"/>
      <c r="CA291" s="623"/>
      <c r="CB291" s="623"/>
      <c r="CC291" s="623"/>
      <c r="CD291" s="623"/>
      <c r="CE291" s="623"/>
      <c r="CF291" s="623"/>
      <c r="CG291" s="623"/>
      <c r="CH291" s="623"/>
      <c r="CI291" s="623"/>
      <c r="CJ291" s="623"/>
      <c r="CK291" s="623"/>
      <c r="CL291" s="623"/>
      <c r="CM291" s="623"/>
      <c r="CN291" s="623"/>
      <c r="CO291" s="623"/>
      <c r="CP291" s="623"/>
      <c r="CQ291" s="623"/>
    </row>
    <row r="292" spans="1:95" s="808" customFormat="1">
      <c r="A292" s="567"/>
      <c r="B292" s="567"/>
      <c r="C292" s="558"/>
      <c r="D292" s="558"/>
      <c r="E292" s="556" t="str">
        <f t="shared" si="80"/>
        <v/>
      </c>
      <c r="F292" s="558"/>
      <c r="G292" s="558"/>
      <c r="H292" s="558"/>
      <c r="I292" s="558"/>
      <c r="J292" s="558"/>
      <c r="K292" s="558"/>
      <c r="L292" s="625"/>
      <c r="M292" s="625"/>
      <c r="N292" s="625"/>
      <c r="O292" s="625"/>
      <c r="P292" s="625"/>
      <c r="Q292" s="625"/>
      <c r="R292" s="625"/>
      <c r="S292" s="625"/>
      <c r="T292" s="625"/>
      <c r="U292" s="625"/>
      <c r="V292" s="625"/>
      <c r="W292" s="625"/>
      <c r="X292" s="625"/>
      <c r="Y292" s="625"/>
      <c r="Z292" s="625"/>
      <c r="AA292" s="625"/>
      <c r="AB292" s="625"/>
      <c r="AC292" s="625"/>
      <c r="AD292" s="625"/>
      <c r="AE292" s="625"/>
      <c r="AF292" s="623"/>
      <c r="AG292" s="623"/>
      <c r="AH292" s="623"/>
      <c r="AI292" s="623"/>
      <c r="AJ292" s="623"/>
      <c r="AK292" s="623"/>
      <c r="AL292" s="623"/>
      <c r="AM292" s="623"/>
      <c r="AN292" s="625"/>
      <c r="AO292" s="625"/>
      <c r="AP292" s="625"/>
      <c r="AQ292" s="625"/>
      <c r="AR292" s="625"/>
      <c r="AS292" s="625"/>
      <c r="AT292" s="625"/>
      <c r="AU292" s="625"/>
      <c r="AV292" s="625"/>
      <c r="AW292" s="625"/>
      <c r="AX292" s="625"/>
      <c r="AY292" s="625"/>
      <c r="AZ292" s="625"/>
      <c r="BA292" s="625"/>
      <c r="BB292" s="695"/>
      <c r="BC292" s="623"/>
      <c r="BD292" s="623"/>
      <c r="BE292" s="623"/>
      <c r="BF292" s="623"/>
      <c r="BG292" s="623"/>
      <c r="BH292" s="623"/>
      <c r="BI292" s="623"/>
      <c r="BJ292" s="623"/>
      <c r="BK292" s="623"/>
      <c r="BL292" s="623"/>
      <c r="BM292" s="623"/>
      <c r="BN292" s="623"/>
      <c r="BO292" s="623"/>
      <c r="BP292" s="623"/>
      <c r="BQ292" s="623"/>
      <c r="BR292" s="623"/>
      <c r="BS292" s="623"/>
      <c r="BT292" s="623"/>
      <c r="BU292" s="623"/>
      <c r="BV292" s="623"/>
      <c r="BW292" s="623"/>
      <c r="BX292" s="623"/>
      <c r="BY292" s="623"/>
      <c r="BZ292" s="623"/>
      <c r="CA292" s="623"/>
      <c r="CB292" s="623"/>
      <c r="CC292" s="623"/>
      <c r="CD292" s="623"/>
      <c r="CE292" s="623"/>
      <c r="CF292" s="623"/>
      <c r="CG292" s="623"/>
      <c r="CH292" s="623"/>
      <c r="CI292" s="623"/>
      <c r="CJ292" s="623"/>
      <c r="CK292" s="623"/>
      <c r="CL292" s="623"/>
      <c r="CM292" s="623"/>
      <c r="CN292" s="623"/>
      <c r="CO292" s="623"/>
      <c r="CP292" s="623"/>
      <c r="CQ292" s="623"/>
    </row>
    <row r="293" spans="1:95" s="808" customFormat="1">
      <c r="A293" s="567"/>
      <c r="B293" s="567"/>
      <c r="C293" s="558"/>
      <c r="D293" s="558"/>
      <c r="E293" s="556" t="str">
        <f t="shared" si="80"/>
        <v/>
      </c>
      <c r="F293" s="558"/>
      <c r="G293" s="558"/>
      <c r="H293" s="558"/>
      <c r="I293" s="558"/>
      <c r="J293" s="558"/>
      <c r="K293" s="558"/>
      <c r="L293" s="625"/>
      <c r="M293" s="625"/>
      <c r="N293" s="625"/>
      <c r="O293" s="625"/>
      <c r="P293" s="625"/>
      <c r="Q293" s="625"/>
      <c r="R293" s="625"/>
      <c r="S293" s="625"/>
      <c r="T293" s="625"/>
      <c r="U293" s="625"/>
      <c r="V293" s="625"/>
      <c r="W293" s="625"/>
      <c r="X293" s="625"/>
      <c r="Y293" s="625"/>
      <c r="Z293" s="625"/>
      <c r="AA293" s="625"/>
      <c r="AB293" s="625"/>
      <c r="AC293" s="625"/>
      <c r="AD293" s="625"/>
      <c r="AE293" s="625"/>
      <c r="AF293" s="623"/>
      <c r="AG293" s="623"/>
      <c r="AH293" s="623"/>
      <c r="AI293" s="623"/>
      <c r="AJ293" s="623"/>
      <c r="AK293" s="623"/>
      <c r="AL293" s="623"/>
      <c r="AM293" s="623"/>
      <c r="AN293" s="625"/>
      <c r="AO293" s="625"/>
      <c r="AP293" s="625"/>
      <c r="AQ293" s="625"/>
      <c r="AR293" s="625"/>
      <c r="AS293" s="625"/>
      <c r="AT293" s="625"/>
      <c r="AU293" s="625"/>
      <c r="AV293" s="625"/>
      <c r="AW293" s="625"/>
      <c r="AX293" s="625"/>
      <c r="AY293" s="625"/>
      <c r="AZ293" s="625"/>
      <c r="BA293" s="625"/>
      <c r="BB293" s="695"/>
      <c r="BC293" s="623"/>
      <c r="BD293" s="623"/>
      <c r="BE293" s="623"/>
      <c r="BF293" s="623"/>
      <c r="BG293" s="623"/>
      <c r="BH293" s="623"/>
      <c r="BI293" s="623"/>
      <c r="BJ293" s="623"/>
      <c r="BK293" s="623"/>
      <c r="BL293" s="623"/>
      <c r="BM293" s="623"/>
      <c r="BN293" s="623"/>
      <c r="BO293" s="623"/>
      <c r="BP293" s="623"/>
      <c r="BQ293" s="623"/>
      <c r="BR293" s="623"/>
      <c r="BS293" s="623"/>
      <c r="BT293" s="623"/>
      <c r="BU293" s="623"/>
      <c r="BV293" s="623"/>
      <c r="BW293" s="623"/>
      <c r="BX293" s="623"/>
      <c r="BY293" s="623"/>
      <c r="BZ293" s="623"/>
      <c r="CA293" s="623"/>
      <c r="CB293" s="623"/>
      <c r="CC293" s="623"/>
      <c r="CD293" s="623"/>
      <c r="CE293" s="623"/>
      <c r="CF293" s="623"/>
      <c r="CG293" s="623"/>
      <c r="CH293" s="623"/>
      <c r="CI293" s="623"/>
      <c r="CJ293" s="623"/>
      <c r="CK293" s="623"/>
      <c r="CL293" s="623"/>
      <c r="CM293" s="623"/>
      <c r="CN293" s="623"/>
      <c r="CO293" s="623"/>
      <c r="CP293" s="623"/>
      <c r="CQ293" s="623"/>
    </row>
    <row r="294" spans="1:95" s="808" customFormat="1">
      <c r="A294" s="567"/>
      <c r="B294" s="567"/>
      <c r="C294" s="558"/>
      <c r="D294" s="558"/>
      <c r="E294" s="556" t="str">
        <f t="shared" si="80"/>
        <v/>
      </c>
      <c r="F294" s="558"/>
      <c r="G294" s="558"/>
      <c r="H294" s="558"/>
      <c r="I294" s="558"/>
      <c r="J294" s="558"/>
      <c r="K294" s="558"/>
      <c r="L294" s="625"/>
      <c r="M294" s="625"/>
      <c r="N294" s="625"/>
      <c r="O294" s="625"/>
      <c r="P294" s="625"/>
      <c r="Q294" s="625"/>
      <c r="R294" s="625"/>
      <c r="S294" s="625"/>
      <c r="T294" s="625"/>
      <c r="U294" s="625"/>
      <c r="V294" s="625"/>
      <c r="W294" s="625"/>
      <c r="X294" s="625"/>
      <c r="Y294" s="625"/>
      <c r="Z294" s="625"/>
      <c r="AA294" s="625"/>
      <c r="AB294" s="625"/>
      <c r="AC294" s="625"/>
      <c r="AD294" s="625"/>
      <c r="AE294" s="625"/>
      <c r="AF294" s="623"/>
      <c r="AG294" s="623"/>
      <c r="AH294" s="623"/>
      <c r="AI294" s="623"/>
      <c r="AJ294" s="623"/>
      <c r="AK294" s="623"/>
      <c r="AL294" s="623"/>
      <c r="AM294" s="623"/>
      <c r="AN294" s="625"/>
      <c r="AO294" s="625"/>
      <c r="AP294" s="625"/>
      <c r="AQ294" s="625"/>
      <c r="AR294" s="625"/>
      <c r="AS294" s="625"/>
      <c r="AT294" s="625"/>
      <c r="AU294" s="625"/>
      <c r="AV294" s="625"/>
      <c r="AW294" s="625"/>
      <c r="AX294" s="625"/>
      <c r="AY294" s="625"/>
      <c r="AZ294" s="625"/>
      <c r="BA294" s="625"/>
      <c r="BB294" s="695"/>
      <c r="BC294" s="623"/>
      <c r="BD294" s="623"/>
      <c r="BE294" s="623"/>
      <c r="BF294" s="623"/>
      <c r="BG294" s="623"/>
      <c r="BH294" s="623"/>
      <c r="BI294" s="623"/>
      <c r="BJ294" s="623"/>
      <c r="BK294" s="623"/>
      <c r="BL294" s="623"/>
      <c r="BM294" s="623"/>
      <c r="BN294" s="623"/>
      <c r="BO294" s="623"/>
      <c r="BP294" s="623"/>
      <c r="BQ294" s="623"/>
      <c r="BR294" s="623"/>
      <c r="BS294" s="623"/>
      <c r="BT294" s="623"/>
      <c r="BU294" s="623"/>
      <c r="BV294" s="623"/>
      <c r="BW294" s="623"/>
      <c r="BX294" s="623"/>
      <c r="BY294" s="623"/>
      <c r="BZ294" s="623"/>
      <c r="CA294" s="623"/>
      <c r="CB294" s="623"/>
      <c r="CC294" s="623"/>
      <c r="CD294" s="623"/>
      <c r="CE294" s="623"/>
      <c r="CF294" s="623"/>
      <c r="CG294" s="623"/>
      <c r="CH294" s="623"/>
      <c r="CI294" s="623"/>
      <c r="CJ294" s="623"/>
      <c r="CK294" s="623"/>
      <c r="CL294" s="623"/>
      <c r="CM294" s="623"/>
      <c r="CN294" s="623"/>
      <c r="CO294" s="623"/>
      <c r="CP294" s="623"/>
      <c r="CQ294" s="623"/>
    </row>
    <row r="295" spans="1:95" s="808" customFormat="1">
      <c r="A295" s="567"/>
      <c r="B295" s="567"/>
      <c r="C295" s="558"/>
      <c r="D295" s="558"/>
      <c r="E295" s="556" t="str">
        <f t="shared" si="80"/>
        <v/>
      </c>
      <c r="F295" s="558"/>
      <c r="G295" s="558"/>
      <c r="H295" s="558"/>
      <c r="I295" s="558"/>
      <c r="J295" s="558"/>
      <c r="K295" s="558"/>
      <c r="L295" s="625"/>
      <c r="M295" s="625"/>
      <c r="N295" s="625"/>
      <c r="O295" s="625"/>
      <c r="P295" s="625"/>
      <c r="Q295" s="625"/>
      <c r="R295" s="625"/>
      <c r="S295" s="625"/>
      <c r="T295" s="625"/>
      <c r="U295" s="625"/>
      <c r="V295" s="625"/>
      <c r="W295" s="625"/>
      <c r="X295" s="625"/>
      <c r="Y295" s="625"/>
      <c r="Z295" s="625"/>
      <c r="AA295" s="625"/>
      <c r="AB295" s="625"/>
      <c r="AC295" s="625"/>
      <c r="AD295" s="625"/>
      <c r="AE295" s="625"/>
      <c r="AF295" s="623"/>
      <c r="AG295" s="623"/>
      <c r="AH295" s="623"/>
      <c r="AI295" s="623"/>
      <c r="AJ295" s="623"/>
      <c r="AK295" s="623"/>
      <c r="AL295" s="623"/>
      <c r="AM295" s="623"/>
      <c r="AN295" s="625"/>
      <c r="AO295" s="625"/>
      <c r="AP295" s="625"/>
      <c r="AQ295" s="625"/>
      <c r="AR295" s="625"/>
      <c r="AS295" s="625"/>
      <c r="AT295" s="625"/>
      <c r="AU295" s="625"/>
      <c r="AV295" s="625"/>
      <c r="AW295" s="625"/>
      <c r="AX295" s="625"/>
      <c r="AY295" s="625"/>
      <c r="AZ295" s="625"/>
      <c r="BA295" s="625"/>
      <c r="BB295" s="695"/>
      <c r="BC295" s="623"/>
      <c r="BD295" s="623"/>
      <c r="BE295" s="623"/>
      <c r="BF295" s="623"/>
      <c r="BG295" s="623"/>
      <c r="BH295" s="623"/>
      <c r="BI295" s="623"/>
      <c r="BJ295" s="623"/>
      <c r="BK295" s="623"/>
      <c r="BL295" s="623"/>
      <c r="BM295" s="623"/>
      <c r="BN295" s="623"/>
      <c r="BO295" s="623"/>
      <c r="BP295" s="623"/>
      <c r="BQ295" s="623"/>
      <c r="BR295" s="623"/>
      <c r="BS295" s="623"/>
      <c r="BT295" s="623"/>
      <c r="BU295" s="623"/>
      <c r="BV295" s="623"/>
      <c r="BW295" s="623"/>
      <c r="BX295" s="623"/>
      <c r="BY295" s="623"/>
      <c r="BZ295" s="623"/>
      <c r="CA295" s="623"/>
      <c r="CB295" s="623"/>
      <c r="CC295" s="623"/>
      <c r="CD295" s="623"/>
      <c r="CE295" s="623"/>
      <c r="CF295" s="623"/>
      <c r="CG295" s="623"/>
      <c r="CH295" s="623"/>
      <c r="CI295" s="623"/>
      <c r="CJ295" s="623"/>
      <c r="CK295" s="623"/>
      <c r="CL295" s="623"/>
      <c r="CM295" s="623"/>
      <c r="CN295" s="623"/>
      <c r="CO295" s="623"/>
      <c r="CP295" s="623"/>
      <c r="CQ295" s="623"/>
    </row>
    <row r="296" spans="1:95" s="808" customFormat="1">
      <c r="A296" s="567"/>
      <c r="B296" s="567"/>
      <c r="C296" s="558"/>
      <c r="D296" s="558"/>
      <c r="E296" s="556" t="str">
        <f t="shared" si="80"/>
        <v/>
      </c>
      <c r="F296" s="558"/>
      <c r="G296" s="558"/>
      <c r="H296" s="558"/>
      <c r="I296" s="558"/>
      <c r="J296" s="558"/>
      <c r="K296" s="558"/>
      <c r="L296" s="625"/>
      <c r="M296" s="625"/>
      <c r="N296" s="625"/>
      <c r="O296" s="625"/>
      <c r="P296" s="625"/>
      <c r="Q296" s="625"/>
      <c r="R296" s="625"/>
      <c r="S296" s="625"/>
      <c r="T296" s="625"/>
      <c r="U296" s="625"/>
      <c r="V296" s="625"/>
      <c r="W296" s="625"/>
      <c r="X296" s="625"/>
      <c r="Y296" s="625"/>
      <c r="Z296" s="625"/>
      <c r="AA296" s="625"/>
      <c r="AB296" s="625"/>
      <c r="AC296" s="625"/>
      <c r="AD296" s="625"/>
      <c r="AE296" s="625"/>
      <c r="AF296" s="623"/>
      <c r="AG296" s="623"/>
      <c r="AH296" s="623"/>
      <c r="AI296" s="623"/>
      <c r="AJ296" s="623"/>
      <c r="AK296" s="623"/>
      <c r="AL296" s="623"/>
      <c r="AM296" s="623"/>
      <c r="AN296" s="625"/>
      <c r="AO296" s="625"/>
      <c r="AP296" s="625"/>
      <c r="AQ296" s="625"/>
      <c r="AR296" s="625"/>
      <c r="AS296" s="625"/>
      <c r="AT296" s="625"/>
      <c r="AU296" s="625"/>
      <c r="AV296" s="625"/>
      <c r="AW296" s="625"/>
      <c r="AX296" s="625"/>
      <c r="AY296" s="625"/>
      <c r="AZ296" s="625"/>
      <c r="BA296" s="625"/>
      <c r="BB296" s="695"/>
      <c r="BC296" s="623"/>
      <c r="BD296" s="623"/>
      <c r="BE296" s="623"/>
      <c r="BF296" s="623"/>
      <c r="BG296" s="623"/>
      <c r="BH296" s="623"/>
      <c r="BI296" s="623"/>
      <c r="BJ296" s="623"/>
      <c r="BK296" s="623"/>
      <c r="BL296" s="623"/>
      <c r="BM296" s="623"/>
      <c r="BN296" s="623"/>
      <c r="BO296" s="623"/>
      <c r="BP296" s="623"/>
      <c r="BQ296" s="623"/>
      <c r="BR296" s="623"/>
      <c r="BS296" s="623"/>
      <c r="BT296" s="623"/>
      <c r="BU296" s="623"/>
      <c r="BV296" s="623"/>
      <c r="BW296" s="623"/>
      <c r="BX296" s="623"/>
      <c r="BY296" s="623"/>
      <c r="BZ296" s="623"/>
      <c r="CA296" s="623"/>
      <c r="CB296" s="623"/>
      <c r="CC296" s="623"/>
      <c r="CD296" s="623"/>
      <c r="CE296" s="623"/>
      <c r="CF296" s="623"/>
      <c r="CG296" s="623"/>
      <c r="CH296" s="623"/>
      <c r="CI296" s="623"/>
      <c r="CJ296" s="623"/>
      <c r="CK296" s="623"/>
      <c r="CL296" s="623"/>
      <c r="CM296" s="623"/>
      <c r="CN296" s="623"/>
      <c r="CO296" s="623"/>
      <c r="CP296" s="623"/>
      <c r="CQ296" s="623"/>
    </row>
    <row r="297" spans="1:95" s="808" customFormat="1">
      <c r="A297" s="567"/>
      <c r="B297" s="567"/>
      <c r="C297" s="558"/>
      <c r="D297" s="558"/>
      <c r="E297" s="556" t="str">
        <f t="shared" si="80"/>
        <v/>
      </c>
      <c r="F297" s="558"/>
      <c r="G297" s="558"/>
      <c r="H297" s="558"/>
      <c r="I297" s="558"/>
      <c r="J297" s="558"/>
      <c r="K297" s="558"/>
      <c r="L297" s="625"/>
      <c r="M297" s="625"/>
      <c r="N297" s="625"/>
      <c r="O297" s="625"/>
      <c r="P297" s="625"/>
      <c r="Q297" s="625"/>
      <c r="R297" s="625"/>
      <c r="S297" s="625"/>
      <c r="T297" s="625"/>
      <c r="U297" s="625"/>
      <c r="V297" s="625"/>
      <c r="W297" s="625"/>
      <c r="X297" s="625"/>
      <c r="Y297" s="625"/>
      <c r="Z297" s="625"/>
      <c r="AA297" s="625"/>
      <c r="AB297" s="625"/>
      <c r="AC297" s="625"/>
      <c r="AD297" s="625"/>
      <c r="AE297" s="625"/>
      <c r="AF297" s="623"/>
      <c r="AG297" s="623"/>
      <c r="AH297" s="623"/>
      <c r="AI297" s="623"/>
      <c r="AJ297" s="623"/>
      <c r="AK297" s="623"/>
      <c r="AL297" s="623"/>
      <c r="AM297" s="623"/>
      <c r="AN297" s="625"/>
      <c r="AO297" s="625"/>
      <c r="AP297" s="625"/>
      <c r="AQ297" s="625"/>
      <c r="AR297" s="625"/>
      <c r="AS297" s="625"/>
      <c r="AT297" s="625"/>
      <c r="AU297" s="625"/>
      <c r="AV297" s="625"/>
      <c r="AW297" s="625"/>
      <c r="AX297" s="625"/>
      <c r="AY297" s="625"/>
      <c r="AZ297" s="625"/>
      <c r="BA297" s="625"/>
      <c r="BB297" s="695"/>
      <c r="BC297" s="623"/>
      <c r="BD297" s="623"/>
      <c r="BE297" s="623"/>
      <c r="BF297" s="623"/>
      <c r="BG297" s="623"/>
      <c r="BH297" s="623"/>
      <c r="BI297" s="623"/>
      <c r="BJ297" s="623"/>
      <c r="BK297" s="623"/>
      <c r="BL297" s="623"/>
      <c r="BM297" s="623"/>
      <c r="BN297" s="623"/>
      <c r="BO297" s="623"/>
      <c r="BP297" s="623"/>
      <c r="BQ297" s="623"/>
      <c r="BR297" s="623"/>
      <c r="BS297" s="623"/>
      <c r="BT297" s="623"/>
      <c r="BU297" s="623"/>
      <c r="BV297" s="623"/>
      <c r="BW297" s="623"/>
      <c r="BX297" s="623"/>
      <c r="BY297" s="623"/>
      <c r="BZ297" s="623"/>
      <c r="CA297" s="623"/>
      <c r="CB297" s="623"/>
      <c r="CC297" s="623"/>
      <c r="CD297" s="623"/>
      <c r="CE297" s="623"/>
      <c r="CF297" s="623"/>
      <c r="CG297" s="623"/>
      <c r="CH297" s="623"/>
      <c r="CI297" s="623"/>
      <c r="CJ297" s="623"/>
      <c r="CK297" s="623"/>
      <c r="CL297" s="623"/>
      <c r="CM297" s="623"/>
      <c r="CN297" s="623"/>
      <c r="CO297" s="623"/>
      <c r="CP297" s="623"/>
      <c r="CQ297" s="623"/>
    </row>
    <row r="298" spans="1:95" s="808" customFormat="1">
      <c r="A298" s="567"/>
      <c r="B298" s="567"/>
      <c r="C298" s="558"/>
      <c r="D298" s="558"/>
      <c r="E298" s="556" t="str">
        <f t="shared" si="80"/>
        <v/>
      </c>
      <c r="F298" s="558"/>
      <c r="G298" s="558"/>
      <c r="H298" s="558"/>
      <c r="I298" s="558"/>
      <c r="J298" s="558"/>
      <c r="K298" s="558"/>
      <c r="L298" s="625"/>
      <c r="M298" s="625"/>
      <c r="N298" s="625"/>
      <c r="O298" s="625"/>
      <c r="P298" s="625"/>
      <c r="Q298" s="625"/>
      <c r="R298" s="625"/>
      <c r="S298" s="625"/>
      <c r="T298" s="625"/>
      <c r="U298" s="625"/>
      <c r="V298" s="625"/>
      <c r="W298" s="625"/>
      <c r="X298" s="625"/>
      <c r="Y298" s="625"/>
      <c r="Z298" s="625"/>
      <c r="AA298" s="625"/>
      <c r="AB298" s="625"/>
      <c r="AC298" s="625"/>
      <c r="AD298" s="625"/>
      <c r="AE298" s="625"/>
      <c r="AF298" s="623"/>
      <c r="AG298" s="623"/>
      <c r="AH298" s="623"/>
      <c r="AI298" s="623"/>
      <c r="AJ298" s="623"/>
      <c r="AK298" s="623"/>
      <c r="AL298" s="623"/>
      <c r="AM298" s="623"/>
      <c r="AN298" s="625"/>
      <c r="AO298" s="625"/>
      <c r="AP298" s="625"/>
      <c r="AQ298" s="625"/>
      <c r="AR298" s="625"/>
      <c r="AS298" s="625"/>
      <c r="AT298" s="625"/>
      <c r="AU298" s="625"/>
      <c r="AV298" s="625"/>
      <c r="AW298" s="625"/>
      <c r="AX298" s="625"/>
      <c r="AY298" s="625"/>
      <c r="AZ298" s="625"/>
      <c r="BA298" s="625"/>
      <c r="BB298" s="695"/>
      <c r="BC298" s="623"/>
      <c r="BD298" s="623"/>
      <c r="BE298" s="623"/>
      <c r="BF298" s="623"/>
      <c r="BG298" s="623"/>
      <c r="BH298" s="623"/>
      <c r="BI298" s="623"/>
      <c r="BJ298" s="623"/>
      <c r="BK298" s="623"/>
      <c r="BL298" s="623"/>
      <c r="BM298" s="623"/>
      <c r="BN298" s="623"/>
      <c r="BO298" s="623"/>
      <c r="BP298" s="623"/>
      <c r="BQ298" s="623"/>
      <c r="BR298" s="623"/>
      <c r="BS298" s="623"/>
      <c r="BT298" s="623"/>
      <c r="BU298" s="623"/>
      <c r="BV298" s="623"/>
      <c r="BW298" s="623"/>
      <c r="BX298" s="623"/>
      <c r="BY298" s="623"/>
      <c r="BZ298" s="623"/>
      <c r="CA298" s="623"/>
      <c r="CB298" s="623"/>
      <c r="CC298" s="623"/>
      <c r="CD298" s="623"/>
      <c r="CE298" s="623"/>
      <c r="CF298" s="623"/>
      <c r="CG298" s="623"/>
      <c r="CH298" s="623"/>
      <c r="CI298" s="623"/>
      <c r="CJ298" s="623"/>
      <c r="CK298" s="623"/>
      <c r="CL298" s="623"/>
      <c r="CM298" s="623"/>
      <c r="CN298" s="623"/>
      <c r="CO298" s="623"/>
      <c r="CP298" s="623"/>
      <c r="CQ298" s="623"/>
    </row>
    <row r="299" spans="1:95" s="808" customFormat="1">
      <c r="A299" s="567"/>
      <c r="B299" s="567"/>
      <c r="C299" s="558"/>
      <c r="D299" s="558"/>
      <c r="E299" s="556" t="str">
        <f t="shared" si="80"/>
        <v/>
      </c>
      <c r="F299" s="558"/>
      <c r="G299" s="558"/>
      <c r="H299" s="558"/>
      <c r="I299" s="558"/>
      <c r="J299" s="558"/>
      <c r="K299" s="558"/>
      <c r="L299" s="625"/>
      <c r="M299" s="625"/>
      <c r="N299" s="625"/>
      <c r="O299" s="625"/>
      <c r="P299" s="625"/>
      <c r="Q299" s="625"/>
      <c r="R299" s="625"/>
      <c r="S299" s="625"/>
      <c r="T299" s="625"/>
      <c r="U299" s="625"/>
      <c r="V299" s="625"/>
      <c r="W299" s="625"/>
      <c r="X299" s="625"/>
      <c r="Y299" s="625"/>
      <c r="Z299" s="625"/>
      <c r="AA299" s="625"/>
      <c r="AB299" s="625"/>
      <c r="AC299" s="625"/>
      <c r="AD299" s="625"/>
      <c r="AE299" s="625"/>
      <c r="AF299" s="623"/>
      <c r="AG299" s="623"/>
      <c r="AH299" s="623"/>
      <c r="AI299" s="623"/>
      <c r="AJ299" s="623"/>
      <c r="AK299" s="623"/>
      <c r="AL299" s="623"/>
      <c r="AM299" s="623"/>
      <c r="AN299" s="625"/>
      <c r="AO299" s="625"/>
      <c r="AP299" s="625"/>
      <c r="AQ299" s="625"/>
      <c r="AR299" s="625"/>
      <c r="AS299" s="625"/>
      <c r="AT299" s="625"/>
      <c r="AU299" s="625"/>
      <c r="AV299" s="625"/>
      <c r="AW299" s="625"/>
      <c r="AX299" s="625"/>
      <c r="AY299" s="625"/>
      <c r="AZ299" s="625"/>
      <c r="BA299" s="625"/>
      <c r="BB299" s="695"/>
      <c r="BC299" s="623"/>
      <c r="BD299" s="623"/>
      <c r="BE299" s="623"/>
      <c r="BF299" s="623"/>
      <c r="BG299" s="623"/>
      <c r="BH299" s="623"/>
      <c r="BI299" s="623"/>
      <c r="BJ299" s="623"/>
      <c r="BK299" s="623"/>
      <c r="BL299" s="623"/>
      <c r="BM299" s="623"/>
      <c r="BN299" s="623"/>
      <c r="BO299" s="623"/>
      <c r="BP299" s="623"/>
      <c r="BQ299" s="623"/>
      <c r="BR299" s="623"/>
      <c r="BS299" s="623"/>
      <c r="BT299" s="623"/>
      <c r="BU299" s="623"/>
      <c r="BV299" s="623"/>
      <c r="BW299" s="623"/>
      <c r="BX299" s="623"/>
      <c r="BY299" s="623"/>
      <c r="BZ299" s="623"/>
      <c r="CA299" s="623"/>
      <c r="CB299" s="623"/>
      <c r="CC299" s="623"/>
      <c r="CD299" s="623"/>
      <c r="CE299" s="623"/>
      <c r="CF299" s="623"/>
      <c r="CG299" s="623"/>
      <c r="CH299" s="623"/>
      <c r="CI299" s="623"/>
      <c r="CJ299" s="623"/>
      <c r="CK299" s="623"/>
      <c r="CL299" s="623"/>
      <c r="CM299" s="623"/>
      <c r="CN299" s="623"/>
      <c r="CO299" s="623"/>
      <c r="CP299" s="623"/>
      <c r="CQ299" s="623"/>
    </row>
    <row r="300" spans="1:95" s="808" customFormat="1">
      <c r="A300" s="567"/>
      <c r="B300" s="567"/>
      <c r="C300" s="558"/>
      <c r="D300" s="558"/>
      <c r="E300" s="556" t="str">
        <f t="shared" si="80"/>
        <v/>
      </c>
      <c r="F300" s="558"/>
      <c r="G300" s="558"/>
      <c r="H300" s="558"/>
      <c r="I300" s="558"/>
      <c r="J300" s="558"/>
      <c r="K300" s="558"/>
      <c r="L300" s="625"/>
      <c r="M300" s="625"/>
      <c r="N300" s="625"/>
      <c r="O300" s="625"/>
      <c r="P300" s="625"/>
      <c r="Q300" s="625"/>
      <c r="R300" s="625"/>
      <c r="S300" s="625"/>
      <c r="T300" s="625"/>
      <c r="U300" s="625"/>
      <c r="V300" s="625"/>
      <c r="W300" s="625"/>
      <c r="X300" s="625"/>
      <c r="Y300" s="625"/>
      <c r="Z300" s="625"/>
      <c r="AA300" s="625"/>
      <c r="AB300" s="625"/>
      <c r="AC300" s="625"/>
      <c r="AD300" s="625"/>
      <c r="AE300" s="625"/>
      <c r="AF300" s="623"/>
      <c r="AG300" s="623"/>
      <c r="AH300" s="623"/>
      <c r="AI300" s="623"/>
      <c r="AJ300" s="623"/>
      <c r="AK300" s="623"/>
      <c r="AL300" s="623"/>
      <c r="AM300" s="623"/>
      <c r="AN300" s="625"/>
      <c r="AO300" s="625"/>
      <c r="AP300" s="625"/>
      <c r="AQ300" s="625"/>
      <c r="AR300" s="625"/>
      <c r="AS300" s="625"/>
      <c r="AT300" s="625"/>
      <c r="AU300" s="625"/>
      <c r="AV300" s="625"/>
      <c r="AW300" s="625"/>
      <c r="AX300" s="625"/>
      <c r="AY300" s="625"/>
      <c r="AZ300" s="625"/>
      <c r="BA300" s="625"/>
      <c r="BB300" s="695"/>
      <c r="BC300" s="623"/>
      <c r="BD300" s="623"/>
      <c r="BE300" s="623"/>
      <c r="BF300" s="623"/>
      <c r="BG300" s="623"/>
      <c r="BH300" s="623"/>
      <c r="BI300" s="623"/>
      <c r="BJ300" s="623"/>
      <c r="BK300" s="623"/>
      <c r="BL300" s="623"/>
      <c r="BM300" s="623"/>
      <c r="BN300" s="623"/>
      <c r="BO300" s="623"/>
      <c r="BP300" s="623"/>
      <c r="BQ300" s="623"/>
      <c r="BR300" s="623"/>
      <c r="BS300" s="623"/>
      <c r="BT300" s="623"/>
      <c r="BU300" s="623"/>
      <c r="BV300" s="623"/>
      <c r="BW300" s="623"/>
      <c r="BX300" s="623"/>
      <c r="BY300" s="623"/>
      <c r="BZ300" s="623"/>
      <c r="CA300" s="623"/>
      <c r="CB300" s="623"/>
      <c r="CC300" s="623"/>
      <c r="CD300" s="623"/>
      <c r="CE300" s="623"/>
      <c r="CF300" s="623"/>
      <c r="CG300" s="623"/>
      <c r="CH300" s="623"/>
      <c r="CI300" s="623"/>
      <c r="CJ300" s="623"/>
      <c r="CK300" s="623"/>
      <c r="CL300" s="623"/>
      <c r="CM300" s="623"/>
      <c r="CN300" s="623"/>
      <c r="CO300" s="623"/>
      <c r="CP300" s="623"/>
      <c r="CQ300" s="623"/>
    </row>
    <row r="301" spans="1:95" s="808" customFormat="1">
      <c r="A301" s="567"/>
      <c r="B301" s="567"/>
      <c r="C301" s="558"/>
      <c r="D301" s="558"/>
      <c r="E301" s="556" t="str">
        <f t="shared" si="80"/>
        <v/>
      </c>
      <c r="F301" s="558"/>
      <c r="G301" s="558"/>
      <c r="H301" s="558"/>
      <c r="I301" s="558"/>
      <c r="J301" s="558"/>
      <c r="K301" s="558"/>
      <c r="L301" s="625"/>
      <c r="M301" s="625"/>
      <c r="N301" s="625"/>
      <c r="O301" s="625"/>
      <c r="P301" s="625"/>
      <c r="Q301" s="625"/>
      <c r="R301" s="625"/>
      <c r="S301" s="625"/>
      <c r="T301" s="625"/>
      <c r="U301" s="625"/>
      <c r="V301" s="625"/>
      <c r="W301" s="625"/>
      <c r="X301" s="625"/>
      <c r="Y301" s="625"/>
      <c r="Z301" s="625"/>
      <c r="AA301" s="625"/>
      <c r="AB301" s="625"/>
      <c r="AC301" s="625"/>
      <c r="AD301" s="625"/>
      <c r="AE301" s="625"/>
      <c r="AF301" s="623"/>
      <c r="AG301" s="623"/>
      <c r="AH301" s="623"/>
      <c r="AI301" s="623"/>
      <c r="AJ301" s="623"/>
      <c r="AK301" s="623"/>
      <c r="AL301" s="623"/>
      <c r="AM301" s="623"/>
      <c r="AN301" s="625"/>
      <c r="AO301" s="625"/>
      <c r="AP301" s="625"/>
      <c r="AQ301" s="625"/>
      <c r="AR301" s="625"/>
      <c r="AS301" s="625"/>
      <c r="AT301" s="625"/>
      <c r="AU301" s="625"/>
      <c r="AV301" s="625"/>
      <c r="AW301" s="625"/>
      <c r="AX301" s="625"/>
      <c r="AY301" s="625"/>
      <c r="AZ301" s="625"/>
      <c r="BA301" s="625"/>
      <c r="BB301" s="695"/>
      <c r="BC301" s="623"/>
      <c r="BD301" s="623"/>
      <c r="BE301" s="623"/>
      <c r="BF301" s="623"/>
      <c r="BG301" s="623"/>
      <c r="BH301" s="623"/>
      <c r="BI301" s="623"/>
      <c r="BJ301" s="623"/>
      <c r="BK301" s="623"/>
      <c r="BL301" s="623"/>
      <c r="BM301" s="623"/>
      <c r="BN301" s="623"/>
      <c r="BO301" s="623"/>
      <c r="BP301" s="623"/>
      <c r="BQ301" s="623"/>
      <c r="BR301" s="623"/>
      <c r="BS301" s="623"/>
      <c r="BT301" s="623"/>
      <c r="BU301" s="623"/>
      <c r="BV301" s="623"/>
      <c r="BW301" s="623"/>
      <c r="BX301" s="623"/>
      <c r="BY301" s="623"/>
      <c r="BZ301" s="623"/>
      <c r="CA301" s="623"/>
      <c r="CB301" s="623"/>
      <c r="CC301" s="623"/>
      <c r="CD301" s="623"/>
      <c r="CE301" s="623"/>
      <c r="CF301" s="623"/>
      <c r="CG301" s="623"/>
      <c r="CH301" s="623"/>
      <c r="CI301" s="623"/>
      <c r="CJ301" s="623"/>
      <c r="CK301" s="623"/>
      <c r="CL301" s="623"/>
      <c r="CM301" s="623"/>
      <c r="CN301" s="623"/>
      <c r="CO301" s="623"/>
      <c r="CP301" s="623"/>
      <c r="CQ301" s="623"/>
    </row>
    <row r="302" spans="1:95" s="808" customFormat="1">
      <c r="A302" s="567"/>
      <c r="B302" s="567"/>
      <c r="C302" s="558"/>
      <c r="D302" s="558"/>
      <c r="E302" s="556" t="str">
        <f t="shared" si="80"/>
        <v/>
      </c>
      <c r="F302" s="558"/>
      <c r="G302" s="558"/>
      <c r="H302" s="558"/>
      <c r="I302" s="558"/>
      <c r="J302" s="558"/>
      <c r="K302" s="558"/>
      <c r="L302" s="625"/>
      <c r="M302" s="625"/>
      <c r="N302" s="625"/>
      <c r="O302" s="625"/>
      <c r="P302" s="625"/>
      <c r="Q302" s="625"/>
      <c r="R302" s="625"/>
      <c r="S302" s="625"/>
      <c r="T302" s="625"/>
      <c r="U302" s="625"/>
      <c r="V302" s="625"/>
      <c r="W302" s="625"/>
      <c r="X302" s="625"/>
      <c r="Y302" s="625"/>
      <c r="Z302" s="625"/>
      <c r="AA302" s="625"/>
      <c r="AB302" s="625"/>
      <c r="AC302" s="625"/>
      <c r="AD302" s="625"/>
      <c r="AE302" s="625"/>
      <c r="AF302" s="623"/>
      <c r="AG302" s="623"/>
      <c r="AH302" s="623"/>
      <c r="AI302" s="623"/>
      <c r="AJ302" s="623"/>
      <c r="AK302" s="623"/>
      <c r="AL302" s="623"/>
      <c r="AM302" s="623"/>
      <c r="AN302" s="625"/>
      <c r="AO302" s="625"/>
      <c r="AP302" s="625"/>
      <c r="AQ302" s="625"/>
      <c r="AR302" s="625"/>
      <c r="AS302" s="625"/>
      <c r="AT302" s="625"/>
      <c r="AU302" s="625"/>
      <c r="AV302" s="625"/>
      <c r="AW302" s="625"/>
      <c r="AX302" s="625"/>
      <c r="AY302" s="625"/>
      <c r="AZ302" s="625"/>
      <c r="BA302" s="625"/>
      <c r="BB302" s="695"/>
      <c r="BC302" s="623"/>
      <c r="BD302" s="623"/>
      <c r="BE302" s="623"/>
      <c r="BF302" s="623"/>
      <c r="BG302" s="623"/>
      <c r="BH302" s="623"/>
      <c r="BI302" s="623"/>
      <c r="BJ302" s="623"/>
      <c r="BK302" s="623"/>
      <c r="BL302" s="623"/>
      <c r="BM302" s="623"/>
      <c r="BN302" s="623"/>
      <c r="BO302" s="623"/>
      <c r="BP302" s="623"/>
      <c r="BQ302" s="623"/>
      <c r="BR302" s="623"/>
      <c r="BS302" s="623"/>
      <c r="BT302" s="623"/>
      <c r="BU302" s="623"/>
      <c r="BV302" s="623"/>
      <c r="BW302" s="623"/>
      <c r="BX302" s="623"/>
      <c r="BY302" s="623"/>
      <c r="BZ302" s="623"/>
      <c r="CA302" s="623"/>
      <c r="CB302" s="623"/>
      <c r="CC302" s="623"/>
      <c r="CD302" s="623"/>
      <c r="CE302" s="623"/>
      <c r="CF302" s="623"/>
      <c r="CG302" s="623"/>
      <c r="CH302" s="623"/>
      <c r="CI302" s="623"/>
      <c r="CJ302" s="623"/>
      <c r="CK302" s="623"/>
      <c r="CL302" s="623"/>
      <c r="CM302" s="623"/>
      <c r="CN302" s="623"/>
      <c r="CO302" s="623"/>
      <c r="CP302" s="623"/>
      <c r="CQ302" s="623"/>
    </row>
    <row r="303" spans="1:95" s="808" customFormat="1">
      <c r="A303" s="567"/>
      <c r="B303" s="567"/>
      <c r="C303" s="558"/>
      <c r="D303" s="558"/>
      <c r="E303" s="556" t="str">
        <f t="shared" si="80"/>
        <v/>
      </c>
      <c r="F303" s="558"/>
      <c r="G303" s="558"/>
      <c r="H303" s="558"/>
      <c r="I303" s="558"/>
      <c r="J303" s="558"/>
      <c r="K303" s="558"/>
      <c r="L303" s="625"/>
      <c r="M303" s="625"/>
      <c r="N303" s="625"/>
      <c r="O303" s="625"/>
      <c r="P303" s="625"/>
      <c r="Q303" s="625"/>
      <c r="R303" s="625"/>
      <c r="S303" s="625"/>
      <c r="T303" s="625"/>
      <c r="U303" s="625"/>
      <c r="V303" s="625"/>
      <c r="W303" s="625"/>
      <c r="X303" s="625"/>
      <c r="Y303" s="625"/>
      <c r="Z303" s="625"/>
      <c r="AA303" s="625"/>
      <c r="AB303" s="625"/>
      <c r="AC303" s="625"/>
      <c r="AD303" s="625"/>
      <c r="AE303" s="625"/>
      <c r="AF303" s="623"/>
      <c r="AG303" s="623"/>
      <c r="AH303" s="623"/>
      <c r="AI303" s="623"/>
      <c r="AJ303" s="623"/>
      <c r="AK303" s="623"/>
      <c r="AL303" s="623"/>
      <c r="AM303" s="623"/>
      <c r="AN303" s="625"/>
      <c r="AO303" s="625"/>
      <c r="AP303" s="625"/>
      <c r="AQ303" s="625"/>
      <c r="AR303" s="625"/>
      <c r="AS303" s="625"/>
      <c r="AT303" s="625"/>
      <c r="AU303" s="625"/>
      <c r="AV303" s="625"/>
      <c r="AW303" s="625"/>
      <c r="AX303" s="625"/>
      <c r="AY303" s="625"/>
      <c r="AZ303" s="625"/>
      <c r="BA303" s="625"/>
      <c r="BB303" s="695"/>
      <c r="BC303" s="623"/>
      <c r="BD303" s="623"/>
      <c r="BE303" s="623"/>
      <c r="BF303" s="623"/>
      <c r="BG303" s="623"/>
      <c r="BH303" s="623"/>
      <c r="BI303" s="623"/>
      <c r="BJ303" s="623"/>
      <c r="BK303" s="623"/>
      <c r="BL303" s="623"/>
      <c r="BM303" s="623"/>
      <c r="BN303" s="623"/>
      <c r="BO303" s="623"/>
      <c r="BP303" s="623"/>
      <c r="BQ303" s="623"/>
      <c r="BR303" s="623"/>
      <c r="BS303" s="623"/>
      <c r="BT303" s="623"/>
      <c r="BU303" s="623"/>
      <c r="BV303" s="623"/>
      <c r="BW303" s="623"/>
      <c r="BX303" s="623"/>
      <c r="BY303" s="623"/>
      <c r="BZ303" s="623"/>
      <c r="CA303" s="623"/>
      <c r="CB303" s="623"/>
      <c r="CC303" s="623"/>
      <c r="CD303" s="623"/>
      <c r="CE303" s="623"/>
      <c r="CF303" s="623"/>
      <c r="CG303" s="623"/>
      <c r="CH303" s="623"/>
      <c r="CI303" s="623"/>
      <c r="CJ303" s="623"/>
      <c r="CK303" s="623"/>
      <c r="CL303" s="623"/>
      <c r="CM303" s="623"/>
      <c r="CN303" s="623"/>
      <c r="CO303" s="623"/>
      <c r="CP303" s="623"/>
      <c r="CQ303" s="623"/>
    </row>
    <row r="304" spans="1:95" s="808" customFormat="1">
      <c r="A304" s="567"/>
      <c r="B304" s="567"/>
      <c r="C304" s="558"/>
      <c r="D304" s="558"/>
      <c r="E304" s="556" t="str">
        <f t="shared" si="80"/>
        <v/>
      </c>
      <c r="F304" s="558"/>
      <c r="G304" s="558"/>
      <c r="H304" s="558"/>
      <c r="I304" s="558"/>
      <c r="J304" s="558"/>
      <c r="K304" s="558"/>
      <c r="L304" s="625"/>
      <c r="M304" s="625"/>
      <c r="N304" s="625"/>
      <c r="O304" s="625"/>
      <c r="P304" s="625"/>
      <c r="Q304" s="625"/>
      <c r="R304" s="625"/>
      <c r="S304" s="625"/>
      <c r="T304" s="625"/>
      <c r="U304" s="625"/>
      <c r="V304" s="625"/>
      <c r="W304" s="625"/>
      <c r="X304" s="625"/>
      <c r="Y304" s="625"/>
      <c r="Z304" s="625"/>
      <c r="AA304" s="625"/>
      <c r="AB304" s="625"/>
      <c r="AC304" s="625"/>
      <c r="AD304" s="625"/>
      <c r="AE304" s="625"/>
      <c r="AF304" s="623"/>
      <c r="AG304" s="623"/>
      <c r="AH304" s="623"/>
      <c r="AI304" s="623"/>
      <c r="AJ304" s="623"/>
      <c r="AK304" s="623"/>
      <c r="AL304" s="623"/>
      <c r="AM304" s="623"/>
      <c r="AN304" s="625"/>
      <c r="AO304" s="625"/>
      <c r="AP304" s="625"/>
      <c r="AQ304" s="625"/>
      <c r="AR304" s="625"/>
      <c r="AS304" s="625"/>
      <c r="AT304" s="625"/>
      <c r="AU304" s="625"/>
      <c r="AV304" s="625"/>
      <c r="AW304" s="625"/>
      <c r="AX304" s="625"/>
      <c r="AY304" s="625"/>
      <c r="AZ304" s="625"/>
      <c r="BA304" s="625"/>
      <c r="BB304" s="695"/>
      <c r="BC304" s="623"/>
      <c r="BD304" s="623"/>
      <c r="BE304" s="623"/>
      <c r="BF304" s="623"/>
      <c r="BG304" s="623"/>
      <c r="BH304" s="623"/>
      <c r="BI304" s="623"/>
      <c r="BJ304" s="623"/>
      <c r="BK304" s="623"/>
      <c r="BL304" s="623"/>
      <c r="BM304" s="623"/>
      <c r="BN304" s="623"/>
      <c r="BO304" s="623"/>
      <c r="BP304" s="623"/>
      <c r="BQ304" s="623"/>
      <c r="BR304" s="623"/>
      <c r="BS304" s="623"/>
      <c r="BT304" s="623"/>
      <c r="BU304" s="623"/>
      <c r="BV304" s="623"/>
      <c r="BW304" s="623"/>
      <c r="BX304" s="623"/>
      <c r="BY304" s="623"/>
      <c r="BZ304" s="623"/>
      <c r="CA304" s="623"/>
      <c r="CB304" s="623"/>
      <c r="CC304" s="623"/>
      <c r="CD304" s="623"/>
      <c r="CE304" s="623"/>
      <c r="CF304" s="623"/>
      <c r="CG304" s="623"/>
      <c r="CH304" s="623"/>
      <c r="CI304" s="623"/>
      <c r="CJ304" s="623"/>
      <c r="CK304" s="623"/>
      <c r="CL304" s="623"/>
      <c r="CM304" s="623"/>
      <c r="CN304" s="623"/>
      <c r="CO304" s="623"/>
      <c r="CP304" s="623"/>
      <c r="CQ304" s="623"/>
    </row>
    <row r="305" spans="1:95" s="808" customFormat="1">
      <c r="A305" s="567"/>
      <c r="B305" s="567"/>
      <c r="C305" s="558"/>
      <c r="D305" s="558"/>
      <c r="E305" s="556" t="str">
        <f t="shared" si="80"/>
        <v/>
      </c>
      <c r="F305" s="558"/>
      <c r="G305" s="558"/>
      <c r="H305" s="558"/>
      <c r="I305" s="558"/>
      <c r="J305" s="558"/>
      <c r="K305" s="558"/>
      <c r="L305" s="625"/>
      <c r="M305" s="625"/>
      <c r="N305" s="625"/>
      <c r="O305" s="625"/>
      <c r="P305" s="625"/>
      <c r="Q305" s="625"/>
      <c r="R305" s="625"/>
      <c r="S305" s="625"/>
      <c r="T305" s="625"/>
      <c r="U305" s="625"/>
      <c r="V305" s="625"/>
      <c r="W305" s="625"/>
      <c r="X305" s="625"/>
      <c r="Y305" s="625"/>
      <c r="Z305" s="625"/>
      <c r="AA305" s="625"/>
      <c r="AB305" s="625"/>
      <c r="AC305" s="625"/>
      <c r="AD305" s="625"/>
      <c r="AE305" s="625"/>
      <c r="AF305" s="623"/>
      <c r="AG305" s="623"/>
      <c r="AH305" s="623"/>
      <c r="AI305" s="623"/>
      <c r="AJ305" s="623"/>
      <c r="AK305" s="623"/>
      <c r="AL305" s="623"/>
      <c r="AM305" s="623"/>
      <c r="AN305" s="625"/>
      <c r="AO305" s="625"/>
      <c r="AP305" s="625"/>
      <c r="AQ305" s="625"/>
      <c r="AR305" s="625"/>
      <c r="AS305" s="625"/>
      <c r="AT305" s="625"/>
      <c r="AU305" s="625"/>
      <c r="AV305" s="625"/>
      <c r="AW305" s="625"/>
      <c r="AX305" s="625"/>
      <c r="AY305" s="625"/>
      <c r="AZ305" s="625"/>
      <c r="BA305" s="625"/>
      <c r="BB305" s="695"/>
      <c r="BC305" s="623"/>
      <c r="BD305" s="623"/>
      <c r="BE305" s="623"/>
      <c r="BF305" s="623"/>
      <c r="BG305" s="623"/>
      <c r="BH305" s="623"/>
      <c r="BI305" s="623"/>
      <c r="BJ305" s="623"/>
      <c r="BK305" s="623"/>
      <c r="BL305" s="623"/>
      <c r="BM305" s="623"/>
      <c r="BN305" s="623"/>
      <c r="BO305" s="623"/>
      <c r="BP305" s="623"/>
      <c r="BQ305" s="623"/>
      <c r="BR305" s="623"/>
      <c r="BS305" s="623"/>
      <c r="BT305" s="623"/>
      <c r="BU305" s="623"/>
      <c r="BV305" s="623"/>
      <c r="BW305" s="623"/>
      <c r="BX305" s="623"/>
      <c r="BY305" s="623"/>
      <c r="BZ305" s="623"/>
      <c r="CA305" s="623"/>
      <c r="CB305" s="623"/>
      <c r="CC305" s="623"/>
      <c r="CD305" s="623"/>
      <c r="CE305" s="623"/>
      <c r="CF305" s="623"/>
      <c r="CG305" s="623"/>
      <c r="CH305" s="623"/>
      <c r="CI305" s="623"/>
      <c r="CJ305" s="623"/>
      <c r="CK305" s="623"/>
      <c r="CL305" s="623"/>
      <c r="CM305" s="623"/>
      <c r="CN305" s="623"/>
      <c r="CO305" s="623"/>
      <c r="CP305" s="623"/>
      <c r="CQ305" s="623"/>
    </row>
    <row r="306" spans="1:95" s="808" customFormat="1">
      <c r="A306" s="567"/>
      <c r="B306" s="567"/>
      <c r="C306" s="558"/>
      <c r="D306" s="558"/>
      <c r="E306" s="556" t="str">
        <f t="shared" si="80"/>
        <v/>
      </c>
      <c r="F306" s="558"/>
      <c r="G306" s="558"/>
      <c r="H306" s="558"/>
      <c r="I306" s="558"/>
      <c r="J306" s="558"/>
      <c r="K306" s="558"/>
      <c r="L306" s="625"/>
      <c r="M306" s="625"/>
      <c r="N306" s="625"/>
      <c r="O306" s="625"/>
      <c r="P306" s="625"/>
      <c r="Q306" s="625"/>
      <c r="R306" s="625"/>
      <c r="S306" s="625"/>
      <c r="T306" s="625"/>
      <c r="U306" s="625"/>
      <c r="V306" s="625"/>
      <c r="W306" s="625"/>
      <c r="X306" s="625"/>
      <c r="Y306" s="625"/>
      <c r="Z306" s="625"/>
      <c r="AA306" s="625"/>
      <c r="AB306" s="625"/>
      <c r="AC306" s="625"/>
      <c r="AD306" s="625"/>
      <c r="AE306" s="625"/>
      <c r="AF306" s="623"/>
      <c r="AG306" s="623"/>
      <c r="AH306" s="623"/>
      <c r="AI306" s="623"/>
      <c r="AJ306" s="623"/>
      <c r="AK306" s="623"/>
      <c r="AL306" s="623"/>
      <c r="AM306" s="623"/>
      <c r="AN306" s="625"/>
      <c r="AO306" s="625"/>
      <c r="AP306" s="625"/>
      <c r="AQ306" s="625"/>
      <c r="AR306" s="625"/>
      <c r="AS306" s="625"/>
      <c r="AT306" s="625"/>
      <c r="AU306" s="625"/>
      <c r="AV306" s="625"/>
      <c r="AW306" s="625"/>
      <c r="AX306" s="625"/>
      <c r="AY306" s="625"/>
      <c r="AZ306" s="625"/>
      <c r="BA306" s="625"/>
      <c r="BB306" s="695"/>
      <c r="BC306" s="623"/>
      <c r="BD306" s="623"/>
      <c r="BE306" s="623"/>
      <c r="BF306" s="623"/>
      <c r="BG306" s="623"/>
      <c r="BH306" s="623"/>
      <c r="BI306" s="623"/>
      <c r="BJ306" s="623"/>
      <c r="BK306" s="623"/>
      <c r="BL306" s="623"/>
      <c r="BM306" s="623"/>
      <c r="BN306" s="623"/>
      <c r="BO306" s="623"/>
      <c r="BP306" s="623"/>
      <c r="BQ306" s="623"/>
      <c r="BR306" s="623"/>
      <c r="BS306" s="623"/>
      <c r="BT306" s="623"/>
      <c r="BU306" s="623"/>
      <c r="BV306" s="623"/>
      <c r="BW306" s="623"/>
      <c r="BX306" s="623"/>
      <c r="BY306" s="623"/>
      <c r="BZ306" s="623"/>
      <c r="CA306" s="623"/>
      <c r="CB306" s="623"/>
      <c r="CC306" s="623"/>
      <c r="CD306" s="623"/>
      <c r="CE306" s="623"/>
      <c r="CF306" s="623"/>
      <c r="CG306" s="623"/>
      <c r="CH306" s="623"/>
      <c r="CI306" s="623"/>
      <c r="CJ306" s="623"/>
      <c r="CK306" s="623"/>
      <c r="CL306" s="623"/>
      <c r="CM306" s="623"/>
      <c r="CN306" s="623"/>
      <c r="CO306" s="623"/>
      <c r="CP306" s="623"/>
      <c r="CQ306" s="623"/>
    </row>
    <row r="307" spans="1:95" s="808" customFormat="1">
      <c r="A307" s="567"/>
      <c r="B307" s="567"/>
      <c r="C307" s="558"/>
      <c r="D307" s="558"/>
      <c r="E307" s="556" t="str">
        <f t="shared" si="80"/>
        <v/>
      </c>
      <c r="F307" s="558"/>
      <c r="G307" s="558"/>
      <c r="H307" s="558"/>
      <c r="I307" s="558"/>
      <c r="J307" s="558"/>
      <c r="K307" s="558"/>
      <c r="L307" s="625"/>
      <c r="M307" s="625"/>
      <c r="N307" s="625"/>
      <c r="O307" s="625"/>
      <c r="P307" s="625"/>
      <c r="Q307" s="625"/>
      <c r="R307" s="625"/>
      <c r="S307" s="625"/>
      <c r="T307" s="625"/>
      <c r="U307" s="625"/>
      <c r="V307" s="625"/>
      <c r="W307" s="625"/>
      <c r="X307" s="625"/>
      <c r="Y307" s="625"/>
      <c r="Z307" s="625"/>
      <c r="AA307" s="625"/>
      <c r="AB307" s="625"/>
      <c r="AC307" s="625"/>
      <c r="AD307" s="625"/>
      <c r="AE307" s="625"/>
      <c r="AF307" s="623"/>
      <c r="AG307" s="623"/>
      <c r="AH307" s="623"/>
      <c r="AI307" s="623"/>
      <c r="AJ307" s="623"/>
      <c r="AK307" s="623"/>
      <c r="AL307" s="623"/>
      <c r="AM307" s="623"/>
      <c r="AN307" s="625"/>
      <c r="AO307" s="625"/>
      <c r="AP307" s="625"/>
      <c r="AQ307" s="625"/>
      <c r="AR307" s="625"/>
      <c r="AS307" s="625"/>
      <c r="AT307" s="625"/>
      <c r="AU307" s="625"/>
      <c r="AV307" s="625"/>
      <c r="AW307" s="625"/>
      <c r="AX307" s="625"/>
      <c r="AY307" s="625"/>
      <c r="AZ307" s="625"/>
      <c r="BA307" s="625"/>
      <c r="BB307" s="695"/>
      <c r="BC307" s="623"/>
      <c r="BD307" s="623"/>
      <c r="BE307" s="623"/>
      <c r="BF307" s="623"/>
      <c r="BG307" s="623"/>
      <c r="BH307" s="623"/>
      <c r="BI307" s="623"/>
      <c r="BJ307" s="623"/>
      <c r="BK307" s="623"/>
      <c r="BL307" s="623"/>
      <c r="BM307" s="623"/>
      <c r="BN307" s="623"/>
      <c r="BO307" s="623"/>
      <c r="BP307" s="623"/>
      <c r="BQ307" s="623"/>
      <c r="BR307" s="623"/>
      <c r="BS307" s="623"/>
      <c r="BT307" s="623"/>
      <c r="BU307" s="623"/>
      <c r="BV307" s="623"/>
      <c r="BW307" s="623"/>
      <c r="BX307" s="623"/>
      <c r="BY307" s="623"/>
      <c r="BZ307" s="623"/>
      <c r="CA307" s="623"/>
      <c r="CB307" s="623"/>
      <c r="CC307" s="623"/>
      <c r="CD307" s="623"/>
      <c r="CE307" s="623"/>
      <c r="CF307" s="623"/>
      <c r="CG307" s="623"/>
      <c r="CH307" s="623"/>
      <c r="CI307" s="623"/>
      <c r="CJ307" s="623"/>
      <c r="CK307" s="623"/>
      <c r="CL307" s="623"/>
      <c r="CM307" s="623"/>
      <c r="CN307" s="623"/>
      <c r="CO307" s="623"/>
      <c r="CP307" s="623"/>
      <c r="CQ307" s="623"/>
    </row>
    <row r="308" spans="1:95" s="808" customFormat="1">
      <c r="A308" s="567"/>
      <c r="B308" s="567"/>
      <c r="C308" s="558"/>
      <c r="D308" s="558"/>
      <c r="E308" s="556" t="str">
        <f t="shared" si="80"/>
        <v/>
      </c>
      <c r="F308" s="558"/>
      <c r="G308" s="558"/>
      <c r="H308" s="558"/>
      <c r="I308" s="558"/>
      <c r="J308" s="558"/>
      <c r="K308" s="558"/>
      <c r="L308" s="625"/>
      <c r="M308" s="625"/>
      <c r="N308" s="625"/>
      <c r="O308" s="625"/>
      <c r="P308" s="625"/>
      <c r="Q308" s="625"/>
      <c r="R308" s="625"/>
      <c r="S308" s="625"/>
      <c r="T308" s="625"/>
      <c r="U308" s="625"/>
      <c r="V308" s="625"/>
      <c r="W308" s="625"/>
      <c r="X308" s="625"/>
      <c r="Y308" s="625"/>
      <c r="Z308" s="625"/>
      <c r="AA308" s="625"/>
      <c r="AB308" s="625"/>
      <c r="AC308" s="625"/>
      <c r="AD308" s="625"/>
      <c r="AE308" s="625"/>
      <c r="AF308" s="623"/>
      <c r="AG308" s="623"/>
      <c r="AH308" s="623"/>
      <c r="AI308" s="623"/>
      <c r="AJ308" s="623"/>
      <c r="AK308" s="623"/>
      <c r="AL308" s="623"/>
      <c r="AM308" s="623"/>
      <c r="AN308" s="625"/>
      <c r="AO308" s="625"/>
      <c r="AP308" s="625"/>
      <c r="AQ308" s="625"/>
      <c r="AR308" s="625"/>
      <c r="AS308" s="625"/>
      <c r="AT308" s="625"/>
      <c r="AU308" s="625"/>
      <c r="AV308" s="625"/>
      <c r="AW308" s="625"/>
      <c r="AX308" s="625"/>
      <c r="AY308" s="625"/>
      <c r="AZ308" s="625"/>
      <c r="BA308" s="625"/>
      <c r="BB308" s="695"/>
      <c r="BC308" s="623"/>
      <c r="BD308" s="623"/>
      <c r="BE308" s="623"/>
      <c r="BF308" s="623"/>
      <c r="BG308" s="623"/>
      <c r="BH308" s="623"/>
      <c r="BI308" s="623"/>
      <c r="BJ308" s="623"/>
      <c r="BK308" s="623"/>
      <c r="BL308" s="623"/>
      <c r="BM308" s="623"/>
      <c r="BN308" s="623"/>
      <c r="BO308" s="623"/>
      <c r="BP308" s="623"/>
      <c r="BQ308" s="623"/>
      <c r="BR308" s="623"/>
      <c r="BS308" s="623"/>
      <c r="BT308" s="623"/>
      <c r="BU308" s="623"/>
      <c r="BV308" s="623"/>
      <c r="BW308" s="623"/>
      <c r="BX308" s="623"/>
      <c r="BY308" s="623"/>
      <c r="BZ308" s="623"/>
      <c r="CA308" s="623"/>
      <c r="CB308" s="623"/>
      <c r="CC308" s="623"/>
      <c r="CD308" s="623"/>
      <c r="CE308" s="623"/>
      <c r="CF308" s="623"/>
      <c r="CG308" s="623"/>
      <c r="CH308" s="623"/>
      <c r="CI308" s="623"/>
      <c r="CJ308" s="623"/>
      <c r="CK308" s="623"/>
      <c r="CL308" s="623"/>
      <c r="CM308" s="623"/>
      <c r="CN308" s="623"/>
      <c r="CO308" s="623"/>
      <c r="CP308" s="623"/>
      <c r="CQ308" s="623"/>
    </row>
    <row r="309" spans="1:95" s="808" customFormat="1">
      <c r="A309" s="567"/>
      <c r="B309" s="567"/>
      <c r="C309" s="558"/>
      <c r="D309" s="558"/>
      <c r="E309" s="556" t="str">
        <f t="shared" si="80"/>
        <v/>
      </c>
      <c r="F309" s="558"/>
      <c r="G309" s="558"/>
      <c r="H309" s="558"/>
      <c r="I309" s="558"/>
      <c r="J309" s="558"/>
      <c r="K309" s="558"/>
      <c r="L309" s="625"/>
      <c r="M309" s="625"/>
      <c r="N309" s="625"/>
      <c r="O309" s="625"/>
      <c r="P309" s="625"/>
      <c r="Q309" s="625"/>
      <c r="R309" s="625"/>
      <c r="S309" s="625"/>
      <c r="T309" s="625"/>
      <c r="U309" s="625"/>
      <c r="V309" s="625"/>
      <c r="W309" s="625"/>
      <c r="X309" s="625"/>
      <c r="Y309" s="625"/>
      <c r="Z309" s="625"/>
      <c r="AA309" s="625"/>
      <c r="AB309" s="625"/>
      <c r="AC309" s="625"/>
      <c r="AD309" s="625"/>
      <c r="AE309" s="625"/>
      <c r="AF309" s="623"/>
      <c r="AG309" s="623"/>
      <c r="AH309" s="623"/>
      <c r="AI309" s="623"/>
      <c r="AJ309" s="623"/>
      <c r="AK309" s="623"/>
      <c r="AL309" s="623"/>
      <c r="AM309" s="623"/>
      <c r="AN309" s="625"/>
      <c r="AO309" s="625"/>
      <c r="AP309" s="625"/>
      <c r="AQ309" s="625"/>
      <c r="AR309" s="625"/>
      <c r="AS309" s="625"/>
      <c r="AT309" s="625"/>
      <c r="AU309" s="625"/>
      <c r="AV309" s="625"/>
      <c r="AW309" s="625"/>
      <c r="AX309" s="625"/>
      <c r="AY309" s="625"/>
      <c r="AZ309" s="625"/>
      <c r="BA309" s="625"/>
      <c r="BB309" s="695"/>
      <c r="BC309" s="623"/>
      <c r="BD309" s="623"/>
      <c r="BE309" s="623"/>
      <c r="BF309" s="623"/>
      <c r="BG309" s="623"/>
      <c r="BH309" s="623"/>
      <c r="BI309" s="623"/>
      <c r="BJ309" s="623"/>
      <c r="BK309" s="623"/>
      <c r="BL309" s="623"/>
      <c r="BM309" s="623"/>
      <c r="BN309" s="623"/>
      <c r="BO309" s="623"/>
      <c r="BP309" s="623"/>
      <c r="BQ309" s="623"/>
      <c r="BR309" s="623"/>
      <c r="BS309" s="623"/>
      <c r="BT309" s="623"/>
      <c r="BU309" s="623"/>
      <c r="BV309" s="623"/>
      <c r="BW309" s="623"/>
      <c r="BX309" s="623"/>
      <c r="BY309" s="623"/>
      <c r="BZ309" s="623"/>
      <c r="CA309" s="623"/>
      <c r="CB309" s="623"/>
      <c r="CC309" s="623"/>
      <c r="CD309" s="623"/>
      <c r="CE309" s="623"/>
      <c r="CF309" s="623"/>
      <c r="CG309" s="623"/>
      <c r="CH309" s="623"/>
      <c r="CI309" s="623"/>
      <c r="CJ309" s="623"/>
      <c r="CK309" s="623"/>
      <c r="CL309" s="623"/>
      <c r="CM309" s="623"/>
      <c r="CN309" s="623"/>
      <c r="CO309" s="623"/>
      <c r="CP309" s="623"/>
      <c r="CQ309" s="623"/>
    </row>
    <row r="310" spans="1:95" s="808" customFormat="1">
      <c r="A310" s="567"/>
      <c r="B310" s="567"/>
      <c r="C310" s="558"/>
      <c r="D310" s="558"/>
      <c r="E310" s="556" t="str">
        <f t="shared" si="80"/>
        <v/>
      </c>
      <c r="F310" s="558"/>
      <c r="G310" s="558"/>
      <c r="H310" s="558"/>
      <c r="I310" s="558"/>
      <c r="J310" s="558"/>
      <c r="K310" s="558"/>
      <c r="L310" s="625"/>
      <c r="M310" s="625"/>
      <c r="N310" s="625"/>
      <c r="O310" s="625"/>
      <c r="P310" s="625"/>
      <c r="Q310" s="625"/>
      <c r="R310" s="625"/>
      <c r="S310" s="625"/>
      <c r="T310" s="625"/>
      <c r="U310" s="625"/>
      <c r="V310" s="625"/>
      <c r="W310" s="625"/>
      <c r="X310" s="625"/>
      <c r="Y310" s="625"/>
      <c r="Z310" s="625"/>
      <c r="AA310" s="625"/>
      <c r="AB310" s="625"/>
      <c r="AC310" s="625"/>
      <c r="AD310" s="625"/>
      <c r="AE310" s="625"/>
      <c r="AF310" s="623"/>
      <c r="AG310" s="623"/>
      <c r="AH310" s="623"/>
      <c r="AI310" s="623"/>
      <c r="AJ310" s="623"/>
      <c r="AK310" s="623"/>
      <c r="AL310" s="623"/>
      <c r="AM310" s="623"/>
      <c r="AN310" s="625"/>
      <c r="AO310" s="625"/>
      <c r="AP310" s="625"/>
      <c r="AQ310" s="625"/>
      <c r="AR310" s="625"/>
      <c r="AS310" s="625"/>
      <c r="AT310" s="625"/>
      <c r="AU310" s="625"/>
      <c r="AV310" s="625"/>
      <c r="AW310" s="625"/>
      <c r="AX310" s="625"/>
      <c r="AY310" s="625"/>
      <c r="AZ310" s="625"/>
      <c r="BA310" s="625"/>
      <c r="BB310" s="695"/>
      <c r="BC310" s="623"/>
      <c r="BD310" s="623"/>
      <c r="BE310" s="623"/>
      <c r="BF310" s="623"/>
      <c r="BG310" s="623"/>
      <c r="BH310" s="623"/>
      <c r="BI310" s="623"/>
      <c r="BJ310" s="623"/>
      <c r="BK310" s="623"/>
      <c r="BL310" s="623"/>
      <c r="BM310" s="623"/>
      <c r="BN310" s="623"/>
      <c r="BO310" s="623"/>
      <c r="BP310" s="623"/>
      <c r="BQ310" s="623"/>
      <c r="BR310" s="623"/>
      <c r="BS310" s="623"/>
      <c r="BT310" s="623"/>
      <c r="BU310" s="623"/>
      <c r="BV310" s="623"/>
      <c r="BW310" s="623"/>
      <c r="BX310" s="623"/>
      <c r="BY310" s="623"/>
      <c r="BZ310" s="623"/>
      <c r="CA310" s="623"/>
      <c r="CB310" s="623"/>
      <c r="CC310" s="623"/>
      <c r="CD310" s="623"/>
      <c r="CE310" s="623"/>
      <c r="CF310" s="623"/>
      <c r="CG310" s="623"/>
      <c r="CH310" s="623"/>
      <c r="CI310" s="623"/>
      <c r="CJ310" s="623"/>
      <c r="CK310" s="623"/>
      <c r="CL310" s="623"/>
      <c r="CM310" s="623"/>
      <c r="CN310" s="623"/>
      <c r="CO310" s="623"/>
      <c r="CP310" s="623"/>
      <c r="CQ310" s="623"/>
    </row>
    <row r="311" spans="1:95" s="808" customFormat="1">
      <c r="A311" s="567"/>
      <c r="B311" s="567"/>
      <c r="C311" s="558"/>
      <c r="D311" s="558"/>
      <c r="E311" s="556" t="str">
        <f t="shared" si="80"/>
        <v/>
      </c>
      <c r="F311" s="558"/>
      <c r="G311" s="558"/>
      <c r="H311" s="558"/>
      <c r="I311" s="558"/>
      <c r="J311" s="558"/>
      <c r="K311" s="558"/>
      <c r="L311" s="625"/>
      <c r="M311" s="625"/>
      <c r="N311" s="625"/>
      <c r="O311" s="625"/>
      <c r="P311" s="625"/>
      <c r="Q311" s="625"/>
      <c r="R311" s="625"/>
      <c r="S311" s="625"/>
      <c r="T311" s="625"/>
      <c r="U311" s="625"/>
      <c r="V311" s="625"/>
      <c r="W311" s="625"/>
      <c r="X311" s="625"/>
      <c r="Y311" s="625"/>
      <c r="Z311" s="625"/>
      <c r="AA311" s="625"/>
      <c r="AB311" s="625"/>
      <c r="AC311" s="625"/>
      <c r="AD311" s="625"/>
      <c r="AE311" s="625"/>
      <c r="AF311" s="623"/>
      <c r="AG311" s="623"/>
      <c r="AH311" s="623"/>
      <c r="AI311" s="623"/>
      <c r="AJ311" s="623"/>
      <c r="AK311" s="623"/>
      <c r="AL311" s="623"/>
      <c r="AM311" s="623"/>
      <c r="AN311" s="625"/>
      <c r="AO311" s="625"/>
      <c r="AP311" s="625"/>
      <c r="AQ311" s="625"/>
      <c r="AR311" s="625"/>
      <c r="AS311" s="625"/>
      <c r="AT311" s="625"/>
      <c r="AU311" s="625"/>
      <c r="AV311" s="625"/>
      <c r="AW311" s="625"/>
      <c r="AX311" s="625"/>
      <c r="AY311" s="625"/>
      <c r="AZ311" s="625"/>
      <c r="BA311" s="625"/>
      <c r="BB311" s="695"/>
      <c r="BC311" s="623"/>
      <c r="BD311" s="623"/>
      <c r="BE311" s="623"/>
      <c r="BF311" s="623"/>
      <c r="BG311" s="623"/>
      <c r="BH311" s="623"/>
      <c r="BI311" s="623"/>
      <c r="BJ311" s="623"/>
      <c r="BK311" s="623"/>
      <c r="BL311" s="623"/>
      <c r="BM311" s="623"/>
      <c r="BN311" s="623"/>
      <c r="BO311" s="623"/>
      <c r="BP311" s="623"/>
      <c r="BQ311" s="623"/>
      <c r="BR311" s="623"/>
      <c r="BS311" s="623"/>
      <c r="BT311" s="623"/>
      <c r="BU311" s="623"/>
      <c r="BV311" s="623"/>
      <c r="BW311" s="623"/>
      <c r="BX311" s="623"/>
      <c r="BY311" s="623"/>
      <c r="BZ311" s="623"/>
      <c r="CA311" s="623"/>
      <c r="CB311" s="623"/>
      <c r="CC311" s="623"/>
      <c r="CD311" s="623"/>
      <c r="CE311" s="623"/>
      <c r="CF311" s="623"/>
      <c r="CG311" s="623"/>
      <c r="CH311" s="623"/>
      <c r="CI311" s="623"/>
      <c r="CJ311" s="623"/>
      <c r="CK311" s="623"/>
      <c r="CL311" s="623"/>
      <c r="CM311" s="623"/>
      <c r="CN311" s="623"/>
      <c r="CO311" s="623"/>
      <c r="CP311" s="623"/>
      <c r="CQ311" s="623"/>
    </row>
    <row r="312" spans="1:95" s="808" customFormat="1">
      <c r="A312" s="567"/>
      <c r="B312" s="567"/>
      <c r="C312" s="558"/>
      <c r="D312" s="558"/>
      <c r="E312" s="556" t="str">
        <f t="shared" si="80"/>
        <v/>
      </c>
      <c r="F312" s="558"/>
      <c r="G312" s="558"/>
      <c r="H312" s="558"/>
      <c r="I312" s="558"/>
      <c r="J312" s="558"/>
      <c r="K312" s="558"/>
      <c r="L312" s="625"/>
      <c r="M312" s="625"/>
      <c r="N312" s="625"/>
      <c r="O312" s="625"/>
      <c r="P312" s="625"/>
      <c r="Q312" s="625"/>
      <c r="R312" s="625"/>
      <c r="S312" s="625"/>
      <c r="T312" s="625"/>
      <c r="U312" s="625"/>
      <c r="V312" s="625"/>
      <c r="W312" s="625"/>
      <c r="X312" s="625"/>
      <c r="Y312" s="625"/>
      <c r="Z312" s="625"/>
      <c r="AA312" s="625"/>
      <c r="AB312" s="625"/>
      <c r="AC312" s="625"/>
      <c r="AD312" s="625"/>
      <c r="AE312" s="625"/>
      <c r="AF312" s="623"/>
      <c r="AG312" s="623"/>
      <c r="AH312" s="623"/>
      <c r="AI312" s="623"/>
      <c r="AJ312" s="623"/>
      <c r="AK312" s="623"/>
      <c r="AL312" s="623"/>
      <c r="AM312" s="623"/>
      <c r="AN312" s="625"/>
      <c r="AO312" s="625"/>
      <c r="AP312" s="625"/>
      <c r="AQ312" s="625"/>
      <c r="AR312" s="625"/>
      <c r="AS312" s="625"/>
      <c r="AT312" s="625"/>
      <c r="AU312" s="625"/>
      <c r="AV312" s="625"/>
      <c r="AW312" s="625"/>
      <c r="AX312" s="625"/>
      <c r="AY312" s="625"/>
      <c r="AZ312" s="625"/>
      <c r="BA312" s="625"/>
      <c r="BB312" s="695"/>
      <c r="BC312" s="623"/>
      <c r="BD312" s="623"/>
      <c r="BE312" s="623"/>
      <c r="BF312" s="623"/>
      <c r="BG312" s="623"/>
      <c r="BH312" s="623"/>
      <c r="BI312" s="623"/>
      <c r="BJ312" s="623"/>
      <c r="BK312" s="623"/>
      <c r="BL312" s="623"/>
      <c r="BM312" s="623"/>
      <c r="BN312" s="623"/>
      <c r="BO312" s="623"/>
      <c r="BP312" s="623"/>
      <c r="BQ312" s="623"/>
      <c r="BR312" s="623"/>
      <c r="BS312" s="623"/>
      <c r="BT312" s="623"/>
      <c r="BU312" s="623"/>
      <c r="BV312" s="623"/>
      <c r="BW312" s="623"/>
      <c r="BX312" s="623"/>
      <c r="BY312" s="623"/>
      <c r="BZ312" s="623"/>
      <c r="CA312" s="623"/>
      <c r="CB312" s="623"/>
      <c r="CC312" s="623"/>
      <c r="CD312" s="623"/>
      <c r="CE312" s="623"/>
      <c r="CF312" s="623"/>
      <c r="CG312" s="623"/>
      <c r="CH312" s="623"/>
      <c r="CI312" s="623"/>
      <c r="CJ312" s="623"/>
      <c r="CK312" s="623"/>
      <c r="CL312" s="623"/>
      <c r="CM312" s="623"/>
      <c r="CN312" s="623"/>
      <c r="CO312" s="623"/>
      <c r="CP312" s="623"/>
      <c r="CQ312" s="623"/>
    </row>
    <row r="313" spans="1:95" s="808" customFormat="1">
      <c r="A313" s="567"/>
      <c r="B313" s="567"/>
      <c r="C313" s="558"/>
      <c r="D313" s="558"/>
      <c r="E313" s="556" t="str">
        <f t="shared" si="80"/>
        <v/>
      </c>
      <c r="F313" s="558"/>
      <c r="G313" s="558"/>
      <c r="H313" s="558"/>
      <c r="I313" s="558"/>
      <c r="J313" s="558"/>
      <c r="K313" s="558"/>
      <c r="L313" s="625"/>
      <c r="M313" s="625"/>
      <c r="N313" s="625"/>
      <c r="O313" s="625"/>
      <c r="P313" s="625"/>
      <c r="Q313" s="625"/>
      <c r="R313" s="625"/>
      <c r="S313" s="625"/>
      <c r="T313" s="625"/>
      <c r="U313" s="625"/>
      <c r="V313" s="625"/>
      <c r="W313" s="625"/>
      <c r="X313" s="625"/>
      <c r="Y313" s="625"/>
      <c r="Z313" s="625"/>
      <c r="AA313" s="625"/>
      <c r="AB313" s="625"/>
      <c r="AC313" s="625"/>
      <c r="AD313" s="625"/>
      <c r="AE313" s="625"/>
      <c r="AF313" s="623"/>
      <c r="AG313" s="623"/>
      <c r="AH313" s="623"/>
      <c r="AI313" s="623"/>
      <c r="AJ313" s="623"/>
      <c r="AK313" s="623"/>
      <c r="AL313" s="623"/>
      <c r="AM313" s="623"/>
      <c r="AN313" s="625"/>
      <c r="AO313" s="625"/>
      <c r="AP313" s="625"/>
      <c r="AQ313" s="625"/>
      <c r="AR313" s="625"/>
      <c r="AS313" s="625"/>
      <c r="AT313" s="625"/>
      <c r="AU313" s="625"/>
      <c r="AV313" s="625"/>
      <c r="AW313" s="625"/>
      <c r="AX313" s="625"/>
      <c r="AY313" s="625"/>
      <c r="AZ313" s="625"/>
      <c r="BA313" s="625"/>
      <c r="BB313" s="695"/>
      <c r="BC313" s="623"/>
      <c r="BD313" s="623"/>
      <c r="BE313" s="623"/>
      <c r="BF313" s="623"/>
      <c r="BG313" s="623"/>
      <c r="BH313" s="623"/>
      <c r="BI313" s="623"/>
      <c r="BJ313" s="623"/>
      <c r="BK313" s="623"/>
      <c r="BL313" s="623"/>
      <c r="BM313" s="623"/>
      <c r="BN313" s="623"/>
      <c r="BO313" s="623"/>
      <c r="BP313" s="623"/>
      <c r="BQ313" s="623"/>
      <c r="BR313" s="623"/>
      <c r="BS313" s="623"/>
      <c r="BT313" s="623"/>
      <c r="BU313" s="623"/>
      <c r="BV313" s="623"/>
      <c r="BW313" s="623"/>
      <c r="BX313" s="623"/>
      <c r="BY313" s="623"/>
      <c r="BZ313" s="623"/>
      <c r="CA313" s="623"/>
      <c r="CB313" s="623"/>
      <c r="CC313" s="623"/>
      <c r="CD313" s="623"/>
      <c r="CE313" s="623"/>
      <c r="CF313" s="623"/>
      <c r="CG313" s="623"/>
      <c r="CH313" s="623"/>
      <c r="CI313" s="623"/>
      <c r="CJ313" s="623"/>
      <c r="CK313" s="623"/>
      <c r="CL313" s="623"/>
      <c r="CM313" s="623"/>
      <c r="CN313" s="623"/>
      <c r="CO313" s="623"/>
      <c r="CP313" s="623"/>
      <c r="CQ313" s="623"/>
    </row>
    <row r="314" spans="1:95" s="808" customFormat="1">
      <c r="A314" s="567"/>
      <c r="B314" s="567"/>
      <c r="C314" s="558"/>
      <c r="D314" s="558"/>
      <c r="E314" s="556" t="str">
        <f t="shared" si="80"/>
        <v/>
      </c>
      <c r="F314" s="558"/>
      <c r="G314" s="558"/>
      <c r="H314" s="558"/>
      <c r="I314" s="558"/>
      <c r="J314" s="558"/>
      <c r="K314" s="558"/>
      <c r="L314" s="625"/>
      <c r="M314" s="625"/>
      <c r="N314" s="625"/>
      <c r="O314" s="625"/>
      <c r="P314" s="625"/>
      <c r="Q314" s="625"/>
      <c r="R314" s="625"/>
      <c r="S314" s="625"/>
      <c r="T314" s="625"/>
      <c r="U314" s="625"/>
      <c r="V314" s="625"/>
      <c r="W314" s="625"/>
      <c r="X314" s="625"/>
      <c r="Y314" s="625"/>
      <c r="Z314" s="625"/>
      <c r="AA314" s="625"/>
      <c r="AB314" s="625"/>
      <c r="AC314" s="625"/>
      <c r="AD314" s="625"/>
      <c r="AE314" s="625"/>
      <c r="AF314" s="623"/>
      <c r="AG314" s="623"/>
      <c r="AH314" s="623"/>
      <c r="AI314" s="623"/>
      <c r="AJ314" s="623"/>
      <c r="AK314" s="623"/>
      <c r="AL314" s="623"/>
      <c r="AM314" s="623"/>
      <c r="AN314" s="625"/>
      <c r="AO314" s="625"/>
      <c r="AP314" s="625"/>
      <c r="AQ314" s="625"/>
      <c r="AR314" s="625"/>
      <c r="AS314" s="625"/>
      <c r="AT314" s="625"/>
      <c r="AU314" s="625"/>
      <c r="AV314" s="625"/>
      <c r="AW314" s="625"/>
      <c r="AX314" s="625"/>
      <c r="AY314" s="625"/>
      <c r="AZ314" s="625"/>
      <c r="BA314" s="625"/>
      <c r="BB314" s="695"/>
      <c r="BC314" s="623"/>
      <c r="BD314" s="623"/>
      <c r="BE314" s="623"/>
      <c r="BF314" s="623"/>
      <c r="BG314" s="623"/>
      <c r="BH314" s="623"/>
      <c r="BI314" s="623"/>
      <c r="BJ314" s="623"/>
      <c r="BK314" s="623"/>
      <c r="BL314" s="623"/>
      <c r="BM314" s="623"/>
      <c r="BN314" s="623"/>
      <c r="BO314" s="623"/>
      <c r="BP314" s="623"/>
      <c r="BQ314" s="623"/>
      <c r="BR314" s="623"/>
      <c r="BS314" s="623"/>
      <c r="BT314" s="623"/>
      <c r="BU314" s="623"/>
      <c r="BV314" s="623"/>
      <c r="BW314" s="623"/>
      <c r="BX314" s="623"/>
      <c r="BY314" s="623"/>
      <c r="BZ314" s="623"/>
      <c r="CA314" s="623"/>
      <c r="CB314" s="623"/>
      <c r="CC314" s="623"/>
      <c r="CD314" s="623"/>
      <c r="CE314" s="623"/>
      <c r="CF314" s="623"/>
      <c r="CG314" s="623"/>
      <c r="CH314" s="623"/>
      <c r="CI314" s="623"/>
      <c r="CJ314" s="623"/>
      <c r="CK314" s="623"/>
      <c r="CL314" s="623"/>
      <c r="CM314" s="623"/>
      <c r="CN314" s="623"/>
      <c r="CO314" s="623"/>
      <c r="CP314" s="623"/>
      <c r="CQ314" s="623"/>
    </row>
    <row r="315" spans="1:95" s="808" customFormat="1">
      <c r="A315" s="567"/>
      <c r="B315" s="567"/>
      <c r="C315" s="558"/>
      <c r="D315" s="558"/>
      <c r="E315" s="556" t="str">
        <f t="shared" si="80"/>
        <v/>
      </c>
      <c r="F315" s="558"/>
      <c r="G315" s="558"/>
      <c r="H315" s="558"/>
      <c r="I315" s="558"/>
      <c r="J315" s="558"/>
      <c r="K315" s="558"/>
      <c r="L315" s="625"/>
      <c r="M315" s="625"/>
      <c r="N315" s="625"/>
      <c r="O315" s="625"/>
      <c r="P315" s="625"/>
      <c r="Q315" s="625"/>
      <c r="R315" s="625"/>
      <c r="S315" s="625"/>
      <c r="T315" s="625"/>
      <c r="U315" s="625"/>
      <c r="V315" s="625"/>
      <c r="W315" s="625"/>
      <c r="X315" s="625"/>
      <c r="Y315" s="625"/>
      <c r="Z315" s="625"/>
      <c r="AA315" s="625"/>
      <c r="AB315" s="625"/>
      <c r="AC315" s="625"/>
      <c r="AD315" s="625"/>
      <c r="AE315" s="625"/>
      <c r="AF315" s="623"/>
      <c r="AG315" s="623"/>
      <c r="AH315" s="623"/>
      <c r="AI315" s="623"/>
      <c r="AJ315" s="623"/>
      <c r="AK315" s="623"/>
      <c r="AL315" s="623"/>
      <c r="AM315" s="623"/>
      <c r="AN315" s="625"/>
      <c r="AO315" s="625"/>
      <c r="AP315" s="625"/>
      <c r="AQ315" s="625"/>
      <c r="AR315" s="625"/>
      <c r="AS315" s="625"/>
      <c r="AT315" s="625"/>
      <c r="AU315" s="625"/>
      <c r="AV315" s="625"/>
      <c r="AW315" s="625"/>
      <c r="AX315" s="625"/>
      <c r="AY315" s="625"/>
      <c r="AZ315" s="625"/>
      <c r="BA315" s="625"/>
      <c r="BB315" s="695"/>
      <c r="BC315" s="623"/>
      <c r="BD315" s="623"/>
      <c r="BE315" s="623"/>
      <c r="BF315" s="623"/>
      <c r="BG315" s="623"/>
      <c r="BH315" s="623"/>
      <c r="BI315" s="623"/>
      <c r="BJ315" s="623"/>
      <c r="BK315" s="623"/>
      <c r="BL315" s="623"/>
      <c r="BM315" s="623"/>
      <c r="BN315" s="623"/>
      <c r="BO315" s="623"/>
      <c r="BP315" s="623"/>
      <c r="BQ315" s="623"/>
      <c r="BR315" s="623"/>
      <c r="BS315" s="623"/>
      <c r="BT315" s="623"/>
      <c r="BU315" s="623"/>
      <c r="BV315" s="623"/>
      <c r="BW315" s="623"/>
      <c r="BX315" s="623"/>
      <c r="BY315" s="623"/>
      <c r="BZ315" s="623"/>
      <c r="CA315" s="623"/>
      <c r="CB315" s="623"/>
      <c r="CC315" s="623"/>
      <c r="CD315" s="623"/>
      <c r="CE315" s="623"/>
      <c r="CF315" s="623"/>
      <c r="CG315" s="623"/>
      <c r="CH315" s="623"/>
      <c r="CI315" s="623"/>
      <c r="CJ315" s="623"/>
      <c r="CK315" s="623"/>
      <c r="CL315" s="623"/>
      <c r="CM315" s="623"/>
      <c r="CN315" s="623"/>
      <c r="CO315" s="623"/>
      <c r="CP315" s="623"/>
      <c r="CQ315" s="623"/>
    </row>
    <row r="316" spans="1:95" s="808" customFormat="1">
      <c r="A316" s="567"/>
      <c r="B316" s="567"/>
      <c r="C316" s="558"/>
      <c r="D316" s="558"/>
      <c r="E316" s="556" t="str">
        <f t="shared" si="80"/>
        <v/>
      </c>
      <c r="F316" s="558"/>
      <c r="G316" s="558"/>
      <c r="H316" s="558"/>
      <c r="I316" s="558"/>
      <c r="J316" s="558"/>
      <c r="K316" s="558"/>
      <c r="L316" s="625"/>
      <c r="M316" s="625"/>
      <c r="N316" s="625"/>
      <c r="O316" s="625"/>
      <c r="P316" s="625"/>
      <c r="Q316" s="625"/>
      <c r="R316" s="625"/>
      <c r="S316" s="625"/>
      <c r="T316" s="625"/>
      <c r="U316" s="625"/>
      <c r="V316" s="625"/>
      <c r="W316" s="625"/>
      <c r="X316" s="625"/>
      <c r="Y316" s="625"/>
      <c r="Z316" s="625"/>
      <c r="AA316" s="625"/>
      <c r="AB316" s="625"/>
      <c r="AC316" s="625"/>
      <c r="AD316" s="625"/>
      <c r="AE316" s="625"/>
      <c r="AF316" s="623"/>
      <c r="AG316" s="623"/>
      <c r="AH316" s="623"/>
      <c r="AI316" s="623"/>
      <c r="AJ316" s="623"/>
      <c r="AK316" s="623"/>
      <c r="AL316" s="623"/>
      <c r="AM316" s="623"/>
      <c r="AN316" s="625"/>
      <c r="AO316" s="625"/>
      <c r="AP316" s="625"/>
      <c r="AQ316" s="625"/>
      <c r="AR316" s="625"/>
      <c r="AS316" s="625"/>
      <c r="AT316" s="625"/>
      <c r="AU316" s="625"/>
      <c r="AV316" s="625"/>
      <c r="AW316" s="625"/>
      <c r="AX316" s="625"/>
      <c r="AY316" s="625"/>
      <c r="AZ316" s="625"/>
      <c r="BA316" s="625"/>
      <c r="BB316" s="695"/>
      <c r="BC316" s="623"/>
      <c r="BD316" s="623"/>
      <c r="BE316" s="623"/>
      <c r="BF316" s="623"/>
      <c r="BG316" s="623"/>
      <c r="BH316" s="623"/>
      <c r="BI316" s="623"/>
      <c r="BJ316" s="623"/>
      <c r="BK316" s="623"/>
      <c r="BL316" s="623"/>
      <c r="BM316" s="623"/>
      <c r="BN316" s="623"/>
      <c r="BO316" s="623"/>
      <c r="BP316" s="623"/>
      <c r="BQ316" s="623"/>
      <c r="BR316" s="623"/>
      <c r="BS316" s="623"/>
      <c r="BT316" s="623"/>
      <c r="BU316" s="623"/>
      <c r="BV316" s="623"/>
      <c r="BW316" s="623"/>
      <c r="BX316" s="623"/>
      <c r="BY316" s="623"/>
      <c r="BZ316" s="623"/>
      <c r="CA316" s="623"/>
      <c r="CB316" s="623"/>
      <c r="CC316" s="623"/>
      <c r="CD316" s="623"/>
      <c r="CE316" s="623"/>
      <c r="CF316" s="623"/>
      <c r="CG316" s="623"/>
      <c r="CH316" s="623"/>
      <c r="CI316" s="623"/>
      <c r="CJ316" s="623"/>
      <c r="CK316" s="623"/>
      <c r="CL316" s="623"/>
      <c r="CM316" s="623"/>
      <c r="CN316" s="623"/>
      <c r="CO316" s="623"/>
      <c r="CP316" s="623"/>
      <c r="CQ316" s="623"/>
    </row>
    <row r="317" spans="1:95" s="808" customFormat="1">
      <c r="A317" s="567"/>
      <c r="B317" s="567"/>
      <c r="C317" s="558"/>
      <c r="D317" s="558"/>
      <c r="E317" s="556" t="str">
        <f t="shared" si="80"/>
        <v/>
      </c>
      <c r="F317" s="558"/>
      <c r="G317" s="558"/>
      <c r="H317" s="558"/>
      <c r="I317" s="558"/>
      <c r="J317" s="558"/>
      <c r="K317" s="558"/>
      <c r="L317" s="625"/>
      <c r="M317" s="625"/>
      <c r="N317" s="625"/>
      <c r="O317" s="625"/>
      <c r="P317" s="625"/>
      <c r="Q317" s="625"/>
      <c r="R317" s="625"/>
      <c r="S317" s="625"/>
      <c r="T317" s="625"/>
      <c r="U317" s="625"/>
      <c r="V317" s="625"/>
      <c r="W317" s="625"/>
      <c r="X317" s="625"/>
      <c r="Y317" s="625"/>
      <c r="Z317" s="625"/>
      <c r="AA317" s="625"/>
      <c r="AB317" s="625"/>
      <c r="AC317" s="625"/>
      <c r="AD317" s="625"/>
      <c r="AE317" s="625"/>
      <c r="AF317" s="623"/>
      <c r="AG317" s="623"/>
      <c r="AH317" s="623"/>
      <c r="AI317" s="623"/>
      <c r="AJ317" s="623"/>
      <c r="AK317" s="623"/>
      <c r="AL317" s="623"/>
      <c r="AM317" s="623"/>
      <c r="AN317" s="625"/>
      <c r="AO317" s="625"/>
      <c r="AP317" s="625"/>
      <c r="AQ317" s="625"/>
      <c r="AR317" s="625"/>
      <c r="AS317" s="625"/>
      <c r="AT317" s="625"/>
      <c r="AU317" s="625"/>
      <c r="AV317" s="625"/>
      <c r="AW317" s="625"/>
      <c r="AX317" s="625"/>
      <c r="AY317" s="625"/>
      <c r="AZ317" s="625"/>
      <c r="BA317" s="625"/>
      <c r="BB317" s="695"/>
      <c r="BC317" s="623"/>
      <c r="BD317" s="623"/>
      <c r="BE317" s="623"/>
      <c r="BF317" s="623"/>
      <c r="BG317" s="623"/>
      <c r="BH317" s="623"/>
      <c r="BI317" s="623"/>
      <c r="BJ317" s="623"/>
      <c r="BK317" s="623"/>
      <c r="BL317" s="623"/>
      <c r="BM317" s="623"/>
      <c r="BN317" s="623"/>
      <c r="BO317" s="623"/>
      <c r="BP317" s="623"/>
      <c r="BQ317" s="623"/>
      <c r="BR317" s="623"/>
      <c r="BS317" s="623"/>
      <c r="BT317" s="623"/>
      <c r="BU317" s="623"/>
      <c r="BV317" s="623"/>
      <c r="BW317" s="623"/>
      <c r="BX317" s="623"/>
      <c r="BY317" s="623"/>
      <c r="BZ317" s="623"/>
      <c r="CA317" s="623"/>
      <c r="CB317" s="623"/>
      <c r="CC317" s="623"/>
      <c r="CD317" s="623"/>
      <c r="CE317" s="623"/>
      <c r="CF317" s="623"/>
      <c r="CG317" s="623"/>
      <c r="CH317" s="623"/>
      <c r="CI317" s="623"/>
      <c r="CJ317" s="623"/>
      <c r="CK317" s="623"/>
      <c r="CL317" s="623"/>
      <c r="CM317" s="623"/>
      <c r="CN317" s="623"/>
      <c r="CO317" s="623"/>
      <c r="CP317" s="623"/>
      <c r="CQ317" s="623"/>
    </row>
    <row r="318" spans="1:95" s="808" customFormat="1">
      <c r="A318" s="567"/>
      <c r="B318" s="567"/>
      <c r="C318" s="558"/>
      <c r="D318" s="558"/>
      <c r="E318" s="556" t="str">
        <f t="shared" si="80"/>
        <v/>
      </c>
      <c r="F318" s="558"/>
      <c r="G318" s="558"/>
      <c r="H318" s="558"/>
      <c r="I318" s="558"/>
      <c r="J318" s="558"/>
      <c r="K318" s="558"/>
      <c r="L318" s="625"/>
      <c r="M318" s="625"/>
      <c r="N318" s="625"/>
      <c r="O318" s="625"/>
      <c r="P318" s="625"/>
      <c r="Q318" s="625"/>
      <c r="R318" s="625"/>
      <c r="S318" s="625"/>
      <c r="T318" s="625"/>
      <c r="U318" s="625"/>
      <c r="V318" s="625"/>
      <c r="W318" s="625"/>
      <c r="X318" s="625"/>
      <c r="Y318" s="625"/>
      <c r="Z318" s="625"/>
      <c r="AA318" s="625"/>
      <c r="AB318" s="625"/>
      <c r="AC318" s="625"/>
      <c r="AD318" s="625"/>
      <c r="AE318" s="625"/>
      <c r="AF318" s="623"/>
      <c r="AG318" s="623"/>
      <c r="AH318" s="623"/>
      <c r="AI318" s="623"/>
      <c r="AJ318" s="623"/>
      <c r="AK318" s="623"/>
      <c r="AL318" s="623"/>
      <c r="AM318" s="623"/>
      <c r="AN318" s="625"/>
      <c r="AO318" s="625"/>
      <c r="AP318" s="625"/>
      <c r="AQ318" s="625"/>
      <c r="AR318" s="625"/>
      <c r="AS318" s="625"/>
      <c r="AT318" s="625"/>
      <c r="AU318" s="625"/>
      <c r="AV318" s="625"/>
      <c r="AW318" s="625"/>
      <c r="AX318" s="625"/>
      <c r="AY318" s="625"/>
      <c r="AZ318" s="625"/>
      <c r="BA318" s="625"/>
      <c r="BB318" s="695"/>
      <c r="BC318" s="623"/>
      <c r="BD318" s="623"/>
      <c r="BE318" s="623"/>
      <c r="BF318" s="623"/>
      <c r="BG318" s="623"/>
      <c r="BH318" s="623"/>
      <c r="BI318" s="623"/>
      <c r="BJ318" s="623"/>
      <c r="BK318" s="623"/>
      <c r="BL318" s="623"/>
      <c r="BM318" s="623"/>
      <c r="BN318" s="623"/>
      <c r="BO318" s="623"/>
      <c r="BP318" s="623"/>
      <c r="BQ318" s="623"/>
      <c r="BR318" s="623"/>
      <c r="BS318" s="623"/>
      <c r="BT318" s="623"/>
      <c r="BU318" s="623"/>
      <c r="BV318" s="623"/>
      <c r="BW318" s="623"/>
      <c r="BX318" s="623"/>
      <c r="BY318" s="623"/>
      <c r="BZ318" s="623"/>
      <c r="CA318" s="623"/>
      <c r="CB318" s="623"/>
      <c r="CC318" s="623"/>
      <c r="CD318" s="623"/>
      <c r="CE318" s="623"/>
      <c r="CF318" s="623"/>
      <c r="CG318" s="623"/>
      <c r="CH318" s="623"/>
      <c r="CI318" s="623"/>
      <c r="CJ318" s="623"/>
      <c r="CK318" s="623"/>
      <c r="CL318" s="623"/>
      <c r="CM318" s="623"/>
      <c r="CN318" s="623"/>
      <c r="CO318" s="623"/>
      <c r="CP318" s="623"/>
      <c r="CQ318" s="623"/>
    </row>
    <row r="319" spans="1:95" s="808" customFormat="1">
      <c r="A319" s="567"/>
      <c r="B319" s="567"/>
      <c r="C319" s="558"/>
      <c r="D319" s="558"/>
      <c r="E319" s="556" t="str">
        <f t="shared" si="80"/>
        <v/>
      </c>
      <c r="F319" s="558"/>
      <c r="G319" s="558"/>
      <c r="H319" s="558"/>
      <c r="I319" s="558"/>
      <c r="J319" s="558"/>
      <c r="K319" s="558"/>
      <c r="L319" s="625"/>
      <c r="M319" s="625"/>
      <c r="N319" s="625"/>
      <c r="O319" s="625"/>
      <c r="P319" s="625"/>
      <c r="Q319" s="625"/>
      <c r="R319" s="625"/>
      <c r="S319" s="625"/>
      <c r="T319" s="625"/>
      <c r="U319" s="625"/>
      <c r="V319" s="625"/>
      <c r="W319" s="625"/>
      <c r="X319" s="625"/>
      <c r="Y319" s="625"/>
      <c r="Z319" s="625"/>
      <c r="AA319" s="625"/>
      <c r="AB319" s="625"/>
      <c r="AC319" s="625"/>
      <c r="AD319" s="625"/>
      <c r="AE319" s="625"/>
      <c r="AF319" s="623"/>
      <c r="AG319" s="623"/>
      <c r="AH319" s="623"/>
      <c r="AI319" s="623"/>
      <c r="AJ319" s="623"/>
      <c r="AK319" s="623"/>
      <c r="AL319" s="623"/>
      <c r="AM319" s="623"/>
      <c r="AN319" s="625"/>
      <c r="AO319" s="625"/>
      <c r="AP319" s="625"/>
      <c r="AQ319" s="625"/>
      <c r="AR319" s="625"/>
      <c r="AS319" s="625"/>
      <c r="AT319" s="625"/>
      <c r="AU319" s="625"/>
      <c r="AV319" s="625"/>
      <c r="AW319" s="625"/>
      <c r="AX319" s="625"/>
      <c r="AY319" s="625"/>
      <c r="AZ319" s="625"/>
      <c r="BA319" s="625"/>
      <c r="BB319" s="695"/>
      <c r="BC319" s="623"/>
      <c r="BD319" s="623"/>
      <c r="BE319" s="623"/>
      <c r="BF319" s="623"/>
      <c r="BG319" s="623"/>
      <c r="BH319" s="623"/>
      <c r="BI319" s="623"/>
      <c r="BJ319" s="623"/>
      <c r="BK319" s="623"/>
      <c r="BL319" s="623"/>
      <c r="BM319" s="623"/>
      <c r="BN319" s="623"/>
      <c r="BO319" s="623"/>
      <c r="BP319" s="623"/>
      <c r="BQ319" s="623"/>
      <c r="BR319" s="623"/>
      <c r="BS319" s="623"/>
      <c r="BT319" s="623"/>
      <c r="BU319" s="623"/>
      <c r="BV319" s="623"/>
      <c r="BW319" s="623"/>
      <c r="BX319" s="623"/>
      <c r="BY319" s="623"/>
      <c r="BZ319" s="623"/>
      <c r="CA319" s="623"/>
      <c r="CB319" s="623"/>
      <c r="CC319" s="623"/>
      <c r="CD319" s="623"/>
      <c r="CE319" s="623"/>
      <c r="CF319" s="623"/>
      <c r="CG319" s="623"/>
      <c r="CH319" s="623"/>
      <c r="CI319" s="623"/>
      <c r="CJ319" s="623"/>
      <c r="CK319" s="623"/>
      <c r="CL319" s="623"/>
      <c r="CM319" s="623"/>
      <c r="CN319" s="623"/>
      <c r="CO319" s="623"/>
      <c r="CP319" s="623"/>
      <c r="CQ319" s="623"/>
    </row>
    <row r="320" spans="1:95" s="808" customFormat="1">
      <c r="A320" s="567"/>
      <c r="B320" s="567"/>
      <c r="C320" s="558"/>
      <c r="D320" s="558"/>
      <c r="E320" s="556" t="str">
        <f t="shared" si="80"/>
        <v/>
      </c>
      <c r="F320" s="558"/>
      <c r="G320" s="558"/>
      <c r="H320" s="558"/>
      <c r="I320" s="558"/>
      <c r="J320" s="558"/>
      <c r="K320" s="558"/>
      <c r="L320" s="625"/>
      <c r="M320" s="625"/>
      <c r="N320" s="625"/>
      <c r="O320" s="625"/>
      <c r="P320" s="625"/>
      <c r="Q320" s="625"/>
      <c r="R320" s="625"/>
      <c r="S320" s="625"/>
      <c r="T320" s="625"/>
      <c r="U320" s="625"/>
      <c r="V320" s="625"/>
      <c r="W320" s="625"/>
      <c r="X320" s="625"/>
      <c r="Y320" s="625"/>
      <c r="Z320" s="625"/>
      <c r="AA320" s="625"/>
      <c r="AB320" s="625"/>
      <c r="AC320" s="625"/>
      <c r="AD320" s="625"/>
      <c r="AE320" s="625"/>
      <c r="AF320" s="623"/>
      <c r="AG320" s="623"/>
      <c r="AH320" s="623"/>
      <c r="AI320" s="623"/>
      <c r="AJ320" s="623"/>
      <c r="AK320" s="623"/>
      <c r="AL320" s="623"/>
      <c r="AM320" s="623"/>
      <c r="AN320" s="625"/>
      <c r="AO320" s="625"/>
      <c r="AP320" s="625"/>
      <c r="AQ320" s="625"/>
      <c r="AR320" s="625"/>
      <c r="AS320" s="625"/>
      <c r="AT320" s="625"/>
      <c r="AU320" s="625"/>
      <c r="AV320" s="625"/>
      <c r="AW320" s="625"/>
      <c r="AX320" s="625"/>
      <c r="AY320" s="625"/>
      <c r="AZ320" s="625"/>
      <c r="BA320" s="625"/>
      <c r="BB320" s="695"/>
      <c r="BC320" s="623"/>
      <c r="BD320" s="623"/>
      <c r="BE320" s="623"/>
      <c r="BF320" s="623"/>
      <c r="BG320" s="623"/>
      <c r="BH320" s="623"/>
      <c r="BI320" s="623"/>
      <c r="BJ320" s="623"/>
      <c r="BK320" s="623"/>
      <c r="BL320" s="623"/>
      <c r="BM320" s="623"/>
      <c r="BN320" s="623"/>
      <c r="BO320" s="623"/>
      <c r="BP320" s="623"/>
      <c r="BQ320" s="623"/>
      <c r="BR320" s="623"/>
      <c r="BS320" s="623"/>
      <c r="BT320" s="623"/>
      <c r="BU320" s="623"/>
      <c r="BV320" s="623"/>
      <c r="BW320" s="623"/>
      <c r="BX320" s="623"/>
      <c r="BY320" s="623"/>
      <c r="BZ320" s="623"/>
      <c r="CA320" s="623"/>
      <c r="CB320" s="623"/>
      <c r="CC320" s="623"/>
      <c r="CD320" s="623"/>
      <c r="CE320" s="623"/>
      <c r="CF320" s="623"/>
      <c r="CG320" s="623"/>
      <c r="CH320" s="623"/>
      <c r="CI320" s="623"/>
      <c r="CJ320" s="623"/>
      <c r="CK320" s="623"/>
      <c r="CL320" s="623"/>
      <c r="CM320" s="623"/>
      <c r="CN320" s="623"/>
      <c r="CO320" s="623"/>
      <c r="CP320" s="623"/>
      <c r="CQ320" s="623"/>
    </row>
    <row r="321" spans="1:95" s="808" customFormat="1">
      <c r="A321" s="567"/>
      <c r="B321" s="567"/>
      <c r="C321" s="558"/>
      <c r="D321" s="558"/>
      <c r="E321" s="556" t="str">
        <f t="shared" si="80"/>
        <v/>
      </c>
      <c r="F321" s="558"/>
      <c r="G321" s="558"/>
      <c r="H321" s="558"/>
      <c r="I321" s="558"/>
      <c r="J321" s="558"/>
      <c r="K321" s="558"/>
      <c r="L321" s="625"/>
      <c r="M321" s="625"/>
      <c r="N321" s="625"/>
      <c r="O321" s="625"/>
      <c r="P321" s="625"/>
      <c r="Q321" s="625"/>
      <c r="R321" s="625"/>
      <c r="S321" s="625"/>
      <c r="T321" s="625"/>
      <c r="U321" s="625"/>
      <c r="V321" s="625"/>
      <c r="W321" s="625"/>
      <c r="X321" s="625"/>
      <c r="Y321" s="625"/>
      <c r="Z321" s="625"/>
      <c r="AA321" s="625"/>
      <c r="AB321" s="625"/>
      <c r="AC321" s="625"/>
      <c r="AD321" s="625"/>
      <c r="AE321" s="625"/>
      <c r="AF321" s="623"/>
      <c r="AG321" s="623"/>
      <c r="AH321" s="623"/>
      <c r="AI321" s="623"/>
      <c r="AJ321" s="623"/>
      <c r="AK321" s="623"/>
      <c r="AL321" s="623"/>
      <c r="AM321" s="623"/>
      <c r="AN321" s="625"/>
      <c r="AO321" s="625"/>
      <c r="AP321" s="625"/>
      <c r="AQ321" s="625"/>
      <c r="AR321" s="625"/>
      <c r="AS321" s="625"/>
      <c r="AT321" s="625"/>
      <c r="AU321" s="625"/>
      <c r="AV321" s="625"/>
      <c r="AW321" s="625"/>
      <c r="AX321" s="625"/>
      <c r="AY321" s="625"/>
      <c r="AZ321" s="625"/>
      <c r="BA321" s="625"/>
      <c r="BB321" s="695"/>
      <c r="BC321" s="623"/>
      <c r="BD321" s="623"/>
      <c r="BE321" s="623"/>
      <c r="BF321" s="623"/>
      <c r="BG321" s="623"/>
      <c r="BH321" s="623"/>
      <c r="BI321" s="623"/>
      <c r="BJ321" s="623"/>
      <c r="BK321" s="623"/>
      <c r="BL321" s="623"/>
      <c r="BM321" s="623"/>
      <c r="BN321" s="623"/>
      <c r="BO321" s="623"/>
      <c r="BP321" s="623"/>
      <c r="BQ321" s="623"/>
      <c r="BR321" s="623"/>
      <c r="BS321" s="623"/>
      <c r="BT321" s="623"/>
      <c r="BU321" s="623"/>
      <c r="BV321" s="623"/>
      <c r="BW321" s="623"/>
      <c r="BX321" s="623"/>
      <c r="BY321" s="623"/>
      <c r="BZ321" s="623"/>
      <c r="CA321" s="623"/>
      <c r="CB321" s="623"/>
      <c r="CC321" s="623"/>
      <c r="CD321" s="623"/>
      <c r="CE321" s="623"/>
      <c r="CF321" s="623"/>
      <c r="CG321" s="623"/>
      <c r="CH321" s="623"/>
      <c r="CI321" s="623"/>
      <c r="CJ321" s="623"/>
      <c r="CK321" s="623"/>
      <c r="CL321" s="623"/>
      <c r="CM321" s="623"/>
      <c r="CN321" s="623"/>
      <c r="CO321" s="623"/>
      <c r="CP321" s="623"/>
      <c r="CQ321" s="623"/>
    </row>
    <row r="322" spans="1:95" s="808" customFormat="1">
      <c r="A322" s="567"/>
      <c r="B322" s="567"/>
      <c r="C322" s="558"/>
      <c r="D322" s="558"/>
      <c r="E322" s="556" t="str">
        <f t="shared" si="80"/>
        <v/>
      </c>
      <c r="F322" s="558"/>
      <c r="G322" s="558"/>
      <c r="H322" s="558"/>
      <c r="I322" s="558"/>
      <c r="J322" s="558"/>
      <c r="K322" s="558"/>
      <c r="L322" s="625"/>
      <c r="M322" s="625"/>
      <c r="N322" s="625"/>
      <c r="O322" s="625"/>
      <c r="P322" s="625"/>
      <c r="Q322" s="625"/>
      <c r="R322" s="625"/>
      <c r="S322" s="625"/>
      <c r="T322" s="625"/>
      <c r="U322" s="625"/>
      <c r="V322" s="625"/>
      <c r="W322" s="625"/>
      <c r="X322" s="625"/>
      <c r="Y322" s="625"/>
      <c r="Z322" s="625"/>
      <c r="AA322" s="625"/>
      <c r="AB322" s="625"/>
      <c r="AC322" s="625"/>
      <c r="AD322" s="625"/>
      <c r="AE322" s="625"/>
      <c r="AF322" s="623"/>
      <c r="AG322" s="623"/>
      <c r="AH322" s="623"/>
      <c r="AI322" s="623"/>
      <c r="AJ322" s="623"/>
      <c r="AK322" s="623"/>
      <c r="AL322" s="623"/>
      <c r="AM322" s="623"/>
      <c r="AN322" s="625"/>
      <c r="AO322" s="625"/>
      <c r="AP322" s="625"/>
      <c r="AQ322" s="625"/>
      <c r="AR322" s="625"/>
      <c r="AS322" s="625"/>
      <c r="AT322" s="625"/>
      <c r="AU322" s="625"/>
      <c r="AV322" s="625"/>
      <c r="AW322" s="625"/>
      <c r="AX322" s="625"/>
      <c r="AY322" s="625"/>
      <c r="AZ322" s="625"/>
      <c r="BA322" s="625"/>
      <c r="BB322" s="695"/>
      <c r="BC322" s="623"/>
      <c r="BD322" s="623"/>
      <c r="BE322" s="623"/>
      <c r="BF322" s="623"/>
      <c r="BG322" s="623"/>
      <c r="BH322" s="623"/>
      <c r="BI322" s="623"/>
      <c r="BJ322" s="623"/>
      <c r="BK322" s="623"/>
      <c r="BL322" s="623"/>
      <c r="BM322" s="623"/>
      <c r="BN322" s="623"/>
      <c r="BO322" s="623"/>
      <c r="BP322" s="623"/>
      <c r="BQ322" s="623"/>
      <c r="BR322" s="623"/>
      <c r="BS322" s="623"/>
      <c r="BT322" s="623"/>
      <c r="BU322" s="623"/>
      <c r="BV322" s="623"/>
      <c r="BW322" s="623"/>
      <c r="BX322" s="623"/>
      <c r="BY322" s="623"/>
      <c r="BZ322" s="623"/>
      <c r="CA322" s="623"/>
      <c r="CB322" s="623"/>
      <c r="CC322" s="623"/>
      <c r="CD322" s="623"/>
      <c r="CE322" s="623"/>
      <c r="CF322" s="623"/>
      <c r="CG322" s="623"/>
      <c r="CH322" s="623"/>
      <c r="CI322" s="623"/>
      <c r="CJ322" s="623"/>
      <c r="CK322" s="623"/>
      <c r="CL322" s="623"/>
      <c r="CM322" s="623"/>
      <c r="CN322" s="623"/>
      <c r="CO322" s="623"/>
      <c r="CP322" s="623"/>
      <c r="CQ322" s="623"/>
    </row>
    <row r="323" spans="1:95" s="808" customFormat="1">
      <c r="A323" s="567"/>
      <c r="B323" s="567"/>
      <c r="C323" s="558"/>
      <c r="D323" s="558"/>
      <c r="E323" s="556" t="str">
        <f t="shared" si="80"/>
        <v/>
      </c>
      <c r="F323" s="558"/>
      <c r="G323" s="558"/>
      <c r="H323" s="558"/>
      <c r="I323" s="558"/>
      <c r="J323" s="558"/>
      <c r="K323" s="558"/>
      <c r="L323" s="625"/>
      <c r="M323" s="625"/>
      <c r="N323" s="625"/>
      <c r="O323" s="625"/>
      <c r="P323" s="625"/>
      <c r="Q323" s="625"/>
      <c r="R323" s="625"/>
      <c r="S323" s="625"/>
      <c r="T323" s="625"/>
      <c r="U323" s="625"/>
      <c r="V323" s="625"/>
      <c r="W323" s="625"/>
      <c r="X323" s="625"/>
      <c r="Y323" s="625"/>
      <c r="Z323" s="625"/>
      <c r="AA323" s="625"/>
      <c r="AB323" s="625"/>
      <c r="AC323" s="625"/>
      <c r="AD323" s="625"/>
      <c r="AE323" s="625"/>
      <c r="AF323" s="623"/>
      <c r="AG323" s="623"/>
      <c r="AH323" s="623"/>
      <c r="AI323" s="623"/>
      <c r="AJ323" s="623"/>
      <c r="AK323" s="623"/>
      <c r="AL323" s="623"/>
      <c r="AM323" s="623"/>
      <c r="AN323" s="625"/>
      <c r="AO323" s="625"/>
      <c r="AP323" s="625"/>
      <c r="AQ323" s="625"/>
      <c r="AR323" s="625"/>
      <c r="AS323" s="625"/>
      <c r="AT323" s="625"/>
      <c r="AU323" s="625"/>
      <c r="AV323" s="625"/>
      <c r="AW323" s="625"/>
      <c r="AX323" s="625"/>
      <c r="AY323" s="625"/>
      <c r="AZ323" s="625"/>
      <c r="BA323" s="625"/>
      <c r="BB323" s="695"/>
      <c r="BC323" s="623"/>
      <c r="BD323" s="623"/>
      <c r="BE323" s="623"/>
      <c r="BF323" s="623"/>
      <c r="BG323" s="623"/>
      <c r="BH323" s="623"/>
      <c r="BI323" s="623"/>
      <c r="BJ323" s="623"/>
      <c r="BK323" s="623"/>
      <c r="BL323" s="623"/>
      <c r="BM323" s="623"/>
      <c r="BN323" s="623"/>
      <c r="BO323" s="623"/>
      <c r="BP323" s="623"/>
      <c r="BQ323" s="623"/>
      <c r="BR323" s="623"/>
      <c r="BS323" s="623"/>
      <c r="BT323" s="623"/>
      <c r="BU323" s="623"/>
      <c r="BV323" s="623"/>
      <c r="BW323" s="623"/>
      <c r="BX323" s="623"/>
      <c r="BY323" s="623"/>
      <c r="BZ323" s="623"/>
      <c r="CA323" s="623"/>
      <c r="CB323" s="623"/>
      <c r="CC323" s="623"/>
      <c r="CD323" s="623"/>
      <c r="CE323" s="623"/>
      <c r="CF323" s="623"/>
      <c r="CG323" s="623"/>
      <c r="CH323" s="623"/>
      <c r="CI323" s="623"/>
      <c r="CJ323" s="623"/>
      <c r="CK323" s="623"/>
      <c r="CL323" s="623"/>
      <c r="CM323" s="623"/>
      <c r="CN323" s="623"/>
      <c r="CO323" s="623"/>
      <c r="CP323" s="623"/>
      <c r="CQ323" s="623"/>
    </row>
    <row r="324" spans="1:95" s="808" customFormat="1">
      <c r="A324" s="567"/>
      <c r="B324" s="567"/>
      <c r="C324" s="558"/>
      <c r="D324" s="558"/>
      <c r="E324" s="556" t="str">
        <f t="shared" si="80"/>
        <v/>
      </c>
      <c r="F324" s="558"/>
      <c r="G324" s="558"/>
      <c r="H324" s="558"/>
      <c r="I324" s="558"/>
      <c r="J324" s="558"/>
      <c r="K324" s="558"/>
      <c r="L324" s="625"/>
      <c r="M324" s="625"/>
      <c r="N324" s="625"/>
      <c r="O324" s="625"/>
      <c r="P324" s="625"/>
      <c r="Q324" s="625"/>
      <c r="R324" s="625"/>
      <c r="S324" s="625"/>
      <c r="T324" s="625"/>
      <c r="U324" s="625"/>
      <c r="V324" s="625"/>
      <c r="W324" s="625"/>
      <c r="X324" s="625"/>
      <c r="Y324" s="625"/>
      <c r="Z324" s="625"/>
      <c r="AA324" s="625"/>
      <c r="AB324" s="625"/>
      <c r="AC324" s="625"/>
      <c r="AD324" s="625"/>
      <c r="AE324" s="625"/>
      <c r="AF324" s="623"/>
      <c r="AG324" s="623"/>
      <c r="AH324" s="623"/>
      <c r="AI324" s="623"/>
      <c r="AJ324" s="623"/>
      <c r="AK324" s="623"/>
      <c r="AL324" s="623"/>
      <c r="AM324" s="623"/>
      <c r="AN324" s="625"/>
      <c r="AO324" s="625"/>
      <c r="AP324" s="625"/>
      <c r="AQ324" s="625"/>
      <c r="AR324" s="625"/>
      <c r="AS324" s="625"/>
      <c r="AT324" s="625"/>
      <c r="AU324" s="625"/>
      <c r="AV324" s="625"/>
      <c r="AW324" s="625"/>
      <c r="AX324" s="625"/>
      <c r="AY324" s="625"/>
      <c r="AZ324" s="625"/>
      <c r="BA324" s="625"/>
      <c r="BB324" s="695"/>
      <c r="BC324" s="623"/>
      <c r="BD324" s="623"/>
      <c r="BE324" s="623"/>
      <c r="BF324" s="623"/>
      <c r="BG324" s="623"/>
      <c r="BH324" s="623"/>
      <c r="BI324" s="623"/>
      <c r="BJ324" s="623"/>
      <c r="BK324" s="623"/>
      <c r="BL324" s="623"/>
      <c r="BM324" s="623"/>
      <c r="BN324" s="623"/>
      <c r="BO324" s="623"/>
      <c r="BP324" s="623"/>
      <c r="BQ324" s="623"/>
      <c r="BR324" s="623"/>
      <c r="BS324" s="623"/>
      <c r="BT324" s="623"/>
      <c r="BU324" s="623"/>
      <c r="BV324" s="623"/>
      <c r="BW324" s="623"/>
      <c r="BX324" s="623"/>
      <c r="BY324" s="623"/>
      <c r="BZ324" s="623"/>
      <c r="CA324" s="623"/>
      <c r="CB324" s="623"/>
      <c r="CC324" s="623"/>
      <c r="CD324" s="623"/>
      <c r="CE324" s="623"/>
      <c r="CF324" s="623"/>
      <c r="CG324" s="623"/>
      <c r="CH324" s="623"/>
      <c r="CI324" s="623"/>
      <c r="CJ324" s="623"/>
      <c r="CK324" s="623"/>
      <c r="CL324" s="623"/>
      <c r="CM324" s="623"/>
      <c r="CN324" s="623"/>
      <c r="CO324" s="623"/>
      <c r="CP324" s="623"/>
      <c r="CQ324" s="623"/>
    </row>
    <row r="325" spans="1:95" s="808" customFormat="1">
      <c r="A325" s="567"/>
      <c r="B325" s="567"/>
      <c r="C325" s="558"/>
      <c r="D325" s="558"/>
      <c r="E325" s="556" t="str">
        <f t="shared" si="80"/>
        <v/>
      </c>
      <c r="F325" s="558"/>
      <c r="G325" s="558"/>
      <c r="H325" s="558"/>
      <c r="I325" s="558"/>
      <c r="J325" s="558"/>
      <c r="K325" s="558"/>
      <c r="L325" s="625"/>
      <c r="M325" s="625"/>
      <c r="N325" s="625"/>
      <c r="O325" s="625"/>
      <c r="P325" s="625"/>
      <c r="Q325" s="625"/>
      <c r="R325" s="625"/>
      <c r="S325" s="625"/>
      <c r="T325" s="625"/>
      <c r="U325" s="625"/>
      <c r="V325" s="625"/>
      <c r="W325" s="625"/>
      <c r="X325" s="625"/>
      <c r="Y325" s="625"/>
      <c r="Z325" s="625"/>
      <c r="AA325" s="625"/>
      <c r="AB325" s="625"/>
      <c r="AC325" s="625"/>
      <c r="AD325" s="625"/>
      <c r="AE325" s="625"/>
      <c r="AF325" s="623"/>
      <c r="AG325" s="623"/>
      <c r="AH325" s="623"/>
      <c r="AI325" s="623"/>
      <c r="AJ325" s="623"/>
      <c r="AK325" s="623"/>
      <c r="AL325" s="623"/>
      <c r="AM325" s="623"/>
      <c r="AN325" s="625"/>
      <c r="AO325" s="625"/>
      <c r="AP325" s="625"/>
      <c r="AQ325" s="625"/>
      <c r="AR325" s="625"/>
      <c r="AS325" s="625"/>
      <c r="AT325" s="625"/>
      <c r="AU325" s="625"/>
      <c r="AV325" s="625"/>
      <c r="AW325" s="625"/>
      <c r="AX325" s="625"/>
      <c r="AY325" s="625"/>
      <c r="AZ325" s="625"/>
      <c r="BA325" s="625"/>
      <c r="BB325" s="695"/>
      <c r="BC325" s="623"/>
      <c r="BD325" s="623"/>
      <c r="BE325" s="623"/>
      <c r="BF325" s="623"/>
      <c r="BG325" s="623"/>
      <c r="BH325" s="623"/>
      <c r="BI325" s="623"/>
      <c r="BJ325" s="623"/>
      <c r="BK325" s="623"/>
      <c r="BL325" s="623"/>
      <c r="BM325" s="623"/>
      <c r="BN325" s="623"/>
      <c r="BO325" s="623"/>
      <c r="BP325" s="623"/>
      <c r="BQ325" s="623"/>
      <c r="BR325" s="623"/>
      <c r="BS325" s="623"/>
      <c r="BT325" s="623"/>
      <c r="BU325" s="623"/>
      <c r="BV325" s="623"/>
      <c r="BW325" s="623"/>
      <c r="BX325" s="623"/>
      <c r="BY325" s="623"/>
      <c r="BZ325" s="623"/>
      <c r="CA325" s="623"/>
      <c r="CB325" s="623"/>
      <c r="CC325" s="623"/>
      <c r="CD325" s="623"/>
      <c r="CE325" s="623"/>
      <c r="CF325" s="623"/>
      <c r="CG325" s="623"/>
      <c r="CH325" s="623"/>
      <c r="CI325" s="623"/>
      <c r="CJ325" s="623"/>
      <c r="CK325" s="623"/>
      <c r="CL325" s="623"/>
      <c r="CM325" s="623"/>
      <c r="CN325" s="623"/>
      <c r="CO325" s="623"/>
      <c r="CP325" s="623"/>
      <c r="CQ325" s="623"/>
    </row>
    <row r="326" spans="1:95" s="808" customFormat="1">
      <c r="A326" s="567"/>
      <c r="B326" s="567"/>
      <c r="C326" s="558"/>
      <c r="D326" s="558"/>
      <c r="E326" s="556" t="str">
        <f t="shared" si="80"/>
        <v/>
      </c>
      <c r="F326" s="558"/>
      <c r="G326" s="558"/>
      <c r="H326" s="558"/>
      <c r="I326" s="558"/>
      <c r="J326" s="558"/>
      <c r="K326" s="558"/>
      <c r="L326" s="625"/>
      <c r="M326" s="625"/>
      <c r="N326" s="625"/>
      <c r="O326" s="625"/>
      <c r="P326" s="625"/>
      <c r="Q326" s="625"/>
      <c r="R326" s="625"/>
      <c r="S326" s="625"/>
      <c r="T326" s="625"/>
      <c r="U326" s="625"/>
      <c r="V326" s="625"/>
      <c r="W326" s="625"/>
      <c r="X326" s="625"/>
      <c r="Y326" s="625"/>
      <c r="Z326" s="625"/>
      <c r="AA326" s="625"/>
      <c r="AB326" s="625"/>
      <c r="AC326" s="625"/>
      <c r="AD326" s="625"/>
      <c r="AE326" s="625"/>
      <c r="AF326" s="623"/>
      <c r="AG326" s="623"/>
      <c r="AH326" s="623"/>
      <c r="AI326" s="623"/>
      <c r="AJ326" s="623"/>
      <c r="AK326" s="623"/>
      <c r="AL326" s="623"/>
      <c r="AM326" s="623"/>
      <c r="AN326" s="625"/>
      <c r="AO326" s="625"/>
      <c r="AP326" s="625"/>
      <c r="AQ326" s="625"/>
      <c r="AR326" s="625"/>
      <c r="AS326" s="625"/>
      <c r="AT326" s="625"/>
      <c r="AU326" s="625"/>
      <c r="AV326" s="625"/>
      <c r="AW326" s="625"/>
      <c r="AX326" s="625"/>
      <c r="AY326" s="625"/>
      <c r="AZ326" s="625"/>
      <c r="BA326" s="625"/>
      <c r="BB326" s="695"/>
      <c r="BC326" s="623"/>
      <c r="BD326" s="623"/>
      <c r="BE326" s="623"/>
      <c r="BF326" s="623"/>
      <c r="BG326" s="623"/>
      <c r="BH326" s="623"/>
      <c r="BI326" s="623"/>
      <c r="BJ326" s="623"/>
      <c r="BK326" s="623"/>
      <c r="BL326" s="623"/>
      <c r="BM326" s="623"/>
      <c r="BN326" s="623"/>
      <c r="BO326" s="623"/>
      <c r="BP326" s="623"/>
      <c r="BQ326" s="623"/>
      <c r="BR326" s="623"/>
      <c r="BS326" s="623"/>
      <c r="BT326" s="623"/>
      <c r="BU326" s="623"/>
      <c r="BV326" s="623"/>
      <c r="BW326" s="623"/>
      <c r="BX326" s="623"/>
      <c r="BY326" s="623"/>
      <c r="BZ326" s="623"/>
      <c r="CA326" s="623"/>
      <c r="CB326" s="623"/>
      <c r="CC326" s="623"/>
      <c r="CD326" s="623"/>
      <c r="CE326" s="623"/>
      <c r="CF326" s="623"/>
      <c r="CG326" s="623"/>
      <c r="CH326" s="623"/>
      <c r="CI326" s="623"/>
      <c r="CJ326" s="623"/>
      <c r="CK326" s="623"/>
      <c r="CL326" s="623"/>
      <c r="CM326" s="623"/>
      <c r="CN326" s="623"/>
      <c r="CO326" s="623"/>
      <c r="CP326" s="623"/>
      <c r="CQ326" s="623"/>
    </row>
    <row r="327" spans="1:95" s="808" customFormat="1">
      <c r="A327" s="567"/>
      <c r="B327" s="567"/>
      <c r="C327" s="558"/>
      <c r="D327" s="558"/>
      <c r="E327" s="556" t="str">
        <f t="shared" si="80"/>
        <v/>
      </c>
      <c r="F327" s="558"/>
      <c r="G327" s="558"/>
      <c r="H327" s="558"/>
      <c r="I327" s="558"/>
      <c r="J327" s="558"/>
      <c r="K327" s="558"/>
      <c r="L327" s="625"/>
      <c r="M327" s="625"/>
      <c r="N327" s="625"/>
      <c r="O327" s="625"/>
      <c r="P327" s="625"/>
      <c r="Q327" s="625"/>
      <c r="R327" s="625"/>
      <c r="S327" s="625"/>
      <c r="T327" s="625"/>
      <c r="U327" s="625"/>
      <c r="V327" s="625"/>
      <c r="W327" s="625"/>
      <c r="X327" s="625"/>
      <c r="Y327" s="625"/>
      <c r="Z327" s="625"/>
      <c r="AA327" s="625"/>
      <c r="AB327" s="625"/>
      <c r="AC327" s="625"/>
      <c r="AD327" s="625"/>
      <c r="AE327" s="625"/>
      <c r="AF327" s="623"/>
      <c r="AG327" s="623"/>
      <c r="AH327" s="623"/>
      <c r="AI327" s="623"/>
      <c r="AJ327" s="623"/>
      <c r="AK327" s="623"/>
      <c r="AL327" s="623"/>
      <c r="AM327" s="623"/>
      <c r="AN327" s="625"/>
      <c r="AO327" s="625"/>
      <c r="AP327" s="625"/>
      <c r="AQ327" s="625"/>
      <c r="AR327" s="625"/>
      <c r="AS327" s="625"/>
      <c r="AT327" s="625"/>
      <c r="AU327" s="625"/>
      <c r="AV327" s="625"/>
      <c r="AW327" s="625"/>
      <c r="AX327" s="625"/>
      <c r="AY327" s="625"/>
      <c r="AZ327" s="625"/>
      <c r="BA327" s="625"/>
      <c r="BB327" s="695"/>
      <c r="BC327" s="623"/>
      <c r="BD327" s="623"/>
      <c r="BE327" s="623"/>
      <c r="BF327" s="623"/>
      <c r="BG327" s="623"/>
      <c r="BH327" s="623"/>
      <c r="BI327" s="623"/>
      <c r="BJ327" s="623"/>
      <c r="BK327" s="623"/>
      <c r="BL327" s="623"/>
      <c r="BM327" s="623"/>
      <c r="BN327" s="623"/>
      <c r="BO327" s="623"/>
      <c r="BP327" s="623"/>
      <c r="BQ327" s="623"/>
      <c r="BR327" s="623"/>
      <c r="BS327" s="623"/>
      <c r="BT327" s="623"/>
      <c r="BU327" s="623"/>
      <c r="BV327" s="623"/>
      <c r="BW327" s="623"/>
      <c r="BX327" s="623"/>
      <c r="BY327" s="623"/>
      <c r="BZ327" s="623"/>
      <c r="CA327" s="623"/>
      <c r="CB327" s="623"/>
      <c r="CC327" s="623"/>
      <c r="CD327" s="623"/>
      <c r="CE327" s="623"/>
      <c r="CF327" s="623"/>
      <c r="CG327" s="623"/>
      <c r="CH327" s="623"/>
      <c r="CI327" s="623"/>
      <c r="CJ327" s="623"/>
      <c r="CK327" s="623"/>
      <c r="CL327" s="623"/>
      <c r="CM327" s="623"/>
      <c r="CN327" s="623"/>
      <c r="CO327" s="623"/>
      <c r="CP327" s="623"/>
      <c r="CQ327" s="623"/>
    </row>
    <row r="328" spans="1:95" s="808" customFormat="1">
      <c r="A328" s="567"/>
      <c r="B328" s="567"/>
      <c r="C328" s="558"/>
      <c r="D328" s="558"/>
      <c r="E328" s="556" t="str">
        <f t="shared" si="80"/>
        <v/>
      </c>
      <c r="F328" s="558"/>
      <c r="G328" s="558"/>
      <c r="H328" s="558"/>
      <c r="I328" s="558"/>
      <c r="J328" s="558"/>
      <c r="K328" s="558"/>
      <c r="L328" s="625"/>
      <c r="M328" s="625"/>
      <c r="N328" s="625"/>
      <c r="O328" s="625"/>
      <c r="P328" s="625"/>
      <c r="Q328" s="625"/>
      <c r="R328" s="625"/>
      <c r="S328" s="625"/>
      <c r="T328" s="625"/>
      <c r="U328" s="625"/>
      <c r="V328" s="625"/>
      <c r="W328" s="625"/>
      <c r="X328" s="625"/>
      <c r="Y328" s="625"/>
      <c r="Z328" s="625"/>
      <c r="AA328" s="625"/>
      <c r="AB328" s="625"/>
      <c r="AC328" s="625"/>
      <c r="AD328" s="625"/>
      <c r="AE328" s="625"/>
      <c r="AF328" s="623"/>
      <c r="AG328" s="623"/>
      <c r="AH328" s="623"/>
      <c r="AI328" s="623"/>
      <c r="AJ328" s="623"/>
      <c r="AK328" s="623"/>
      <c r="AL328" s="623"/>
      <c r="AM328" s="623"/>
      <c r="AN328" s="625"/>
      <c r="AO328" s="625"/>
      <c r="AP328" s="625"/>
      <c r="AQ328" s="625"/>
      <c r="AR328" s="625"/>
      <c r="AS328" s="625"/>
      <c r="AT328" s="625"/>
      <c r="AU328" s="625"/>
      <c r="AV328" s="625"/>
      <c r="AW328" s="625"/>
      <c r="AX328" s="625"/>
      <c r="AY328" s="625"/>
      <c r="AZ328" s="625"/>
      <c r="BA328" s="625"/>
      <c r="BB328" s="695"/>
      <c r="BC328" s="623"/>
      <c r="BD328" s="623"/>
      <c r="BE328" s="623"/>
      <c r="BF328" s="623"/>
      <c r="BG328" s="623"/>
      <c r="BH328" s="623"/>
      <c r="BI328" s="623"/>
      <c r="BJ328" s="623"/>
      <c r="BK328" s="623"/>
      <c r="BL328" s="623"/>
      <c r="BM328" s="623"/>
      <c r="BN328" s="623"/>
      <c r="BO328" s="623"/>
      <c r="BP328" s="623"/>
      <c r="BQ328" s="623"/>
      <c r="BR328" s="623"/>
      <c r="BS328" s="623"/>
      <c r="BT328" s="623"/>
      <c r="BU328" s="623"/>
      <c r="BV328" s="623"/>
      <c r="BW328" s="623"/>
      <c r="BX328" s="623"/>
      <c r="BY328" s="623"/>
      <c r="BZ328" s="623"/>
      <c r="CA328" s="623"/>
      <c r="CB328" s="623"/>
      <c r="CC328" s="623"/>
      <c r="CD328" s="623"/>
      <c r="CE328" s="623"/>
      <c r="CF328" s="623"/>
      <c r="CG328" s="623"/>
      <c r="CH328" s="623"/>
      <c r="CI328" s="623"/>
      <c r="CJ328" s="623"/>
      <c r="CK328" s="623"/>
      <c r="CL328" s="623"/>
      <c r="CM328" s="623"/>
      <c r="CN328" s="623"/>
      <c r="CO328" s="623"/>
      <c r="CP328" s="623"/>
      <c r="CQ328" s="623"/>
    </row>
    <row r="329" spans="1:95" s="808" customFormat="1">
      <c r="A329" s="567"/>
      <c r="B329" s="567"/>
      <c r="C329" s="558"/>
      <c r="D329" s="558"/>
      <c r="E329" s="556" t="str">
        <f t="shared" si="80"/>
        <v/>
      </c>
      <c r="F329" s="558"/>
      <c r="G329" s="558"/>
      <c r="H329" s="558"/>
      <c r="I329" s="558"/>
      <c r="J329" s="558"/>
      <c r="K329" s="558"/>
      <c r="L329" s="625"/>
      <c r="M329" s="625"/>
      <c r="N329" s="625"/>
      <c r="O329" s="625"/>
      <c r="P329" s="625"/>
      <c r="Q329" s="625"/>
      <c r="R329" s="625"/>
      <c r="S329" s="625"/>
      <c r="T329" s="625"/>
      <c r="U329" s="625"/>
      <c r="V329" s="625"/>
      <c r="W329" s="625"/>
      <c r="X329" s="625"/>
      <c r="Y329" s="625"/>
      <c r="Z329" s="625"/>
      <c r="AA329" s="625"/>
      <c r="AB329" s="625"/>
      <c r="AC329" s="625"/>
      <c r="AD329" s="625"/>
      <c r="AE329" s="625"/>
      <c r="AF329" s="623"/>
      <c r="AG329" s="623"/>
      <c r="AH329" s="623"/>
      <c r="AI329" s="623"/>
      <c r="AJ329" s="623"/>
      <c r="AK329" s="623"/>
      <c r="AL329" s="623"/>
      <c r="AM329" s="623"/>
      <c r="AN329" s="625"/>
      <c r="AO329" s="625"/>
      <c r="AP329" s="625"/>
      <c r="AQ329" s="625"/>
      <c r="AR329" s="625"/>
      <c r="AS329" s="625"/>
      <c r="AT329" s="625"/>
      <c r="AU329" s="625"/>
      <c r="AV329" s="625"/>
      <c r="AW329" s="625"/>
      <c r="AX329" s="625"/>
      <c r="AY329" s="625"/>
      <c r="AZ329" s="625"/>
      <c r="BA329" s="625"/>
      <c r="BB329" s="695"/>
      <c r="BC329" s="623"/>
      <c r="BD329" s="623"/>
      <c r="BE329" s="623"/>
      <c r="BF329" s="623"/>
      <c r="BG329" s="623"/>
      <c r="BH329" s="623"/>
      <c r="BI329" s="623"/>
      <c r="BJ329" s="623"/>
      <c r="BK329" s="623"/>
      <c r="BL329" s="623"/>
      <c r="BM329" s="623"/>
      <c r="BN329" s="623"/>
      <c r="BO329" s="623"/>
      <c r="BP329" s="623"/>
      <c r="BQ329" s="623"/>
      <c r="BR329" s="623"/>
      <c r="BS329" s="623"/>
      <c r="BT329" s="623"/>
      <c r="BU329" s="623"/>
      <c r="BV329" s="623"/>
      <c r="BW329" s="623"/>
      <c r="BX329" s="623"/>
      <c r="BY329" s="623"/>
      <c r="BZ329" s="623"/>
      <c r="CA329" s="623"/>
      <c r="CB329" s="623"/>
      <c r="CC329" s="623"/>
      <c r="CD329" s="623"/>
      <c r="CE329" s="623"/>
      <c r="CF329" s="623"/>
      <c r="CG329" s="623"/>
      <c r="CH329" s="623"/>
      <c r="CI329" s="623"/>
      <c r="CJ329" s="623"/>
      <c r="CK329" s="623"/>
      <c r="CL329" s="623"/>
      <c r="CM329" s="623"/>
      <c r="CN329" s="623"/>
      <c r="CO329" s="623"/>
      <c r="CP329" s="623"/>
      <c r="CQ329" s="623"/>
    </row>
    <row r="330" spans="1:95" s="808" customFormat="1">
      <c r="A330" s="567"/>
      <c r="B330" s="567"/>
      <c r="C330" s="558"/>
      <c r="D330" s="558"/>
      <c r="E330" s="556" t="str">
        <f t="shared" si="80"/>
        <v/>
      </c>
      <c r="F330" s="558"/>
      <c r="G330" s="558"/>
      <c r="H330" s="558"/>
      <c r="I330" s="558"/>
      <c r="J330" s="558"/>
      <c r="K330" s="558"/>
      <c r="L330" s="625"/>
      <c r="M330" s="625"/>
      <c r="N330" s="625"/>
      <c r="O330" s="625"/>
      <c r="P330" s="625"/>
      <c r="Q330" s="625"/>
      <c r="R330" s="625"/>
      <c r="S330" s="625"/>
      <c r="T330" s="625"/>
      <c r="U330" s="625"/>
      <c r="V330" s="625"/>
      <c r="W330" s="625"/>
      <c r="X330" s="625"/>
      <c r="Y330" s="625"/>
      <c r="Z330" s="625"/>
      <c r="AA330" s="625"/>
      <c r="AB330" s="625"/>
      <c r="AC330" s="625"/>
      <c r="AD330" s="625"/>
      <c r="AE330" s="625"/>
      <c r="AF330" s="623"/>
      <c r="AG330" s="623"/>
      <c r="AH330" s="623"/>
      <c r="AI330" s="623"/>
      <c r="AJ330" s="623"/>
      <c r="AK330" s="623"/>
      <c r="AL330" s="623"/>
      <c r="AM330" s="623"/>
      <c r="AN330" s="625"/>
      <c r="AO330" s="625"/>
      <c r="AP330" s="625"/>
      <c r="AQ330" s="625"/>
      <c r="AR330" s="625"/>
      <c r="AS330" s="625"/>
      <c r="AT330" s="625"/>
      <c r="AU330" s="625"/>
      <c r="AV330" s="625"/>
      <c r="AW330" s="625"/>
      <c r="AX330" s="625"/>
      <c r="AY330" s="625"/>
      <c r="AZ330" s="625"/>
      <c r="BA330" s="625"/>
      <c r="BB330" s="695"/>
      <c r="BC330" s="623"/>
      <c r="BD330" s="623"/>
      <c r="BE330" s="623"/>
      <c r="BF330" s="623"/>
      <c r="BG330" s="623"/>
      <c r="BH330" s="623"/>
      <c r="BI330" s="623"/>
      <c r="BJ330" s="623"/>
      <c r="BK330" s="623"/>
      <c r="BL330" s="623"/>
      <c r="BM330" s="623"/>
      <c r="BN330" s="623"/>
      <c r="BO330" s="623"/>
      <c r="BP330" s="623"/>
      <c r="BQ330" s="623"/>
      <c r="BR330" s="623"/>
      <c r="BS330" s="623"/>
      <c r="BT330" s="623"/>
      <c r="BU330" s="623"/>
      <c r="BV330" s="623"/>
      <c r="BW330" s="623"/>
      <c r="BX330" s="623"/>
      <c r="BY330" s="623"/>
      <c r="BZ330" s="623"/>
      <c r="CA330" s="623"/>
      <c r="CB330" s="623"/>
      <c r="CC330" s="623"/>
      <c r="CD330" s="623"/>
      <c r="CE330" s="623"/>
      <c r="CF330" s="623"/>
      <c r="CG330" s="623"/>
      <c r="CH330" s="623"/>
      <c r="CI330" s="623"/>
      <c r="CJ330" s="623"/>
      <c r="CK330" s="623"/>
      <c r="CL330" s="623"/>
      <c r="CM330" s="623"/>
      <c r="CN330" s="623"/>
      <c r="CO330" s="623"/>
      <c r="CP330" s="623"/>
      <c r="CQ330" s="623"/>
    </row>
    <row r="331" spans="1:95" s="808" customFormat="1">
      <c r="A331" s="567"/>
      <c r="B331" s="567"/>
      <c r="C331" s="558"/>
      <c r="D331" s="558"/>
      <c r="E331" s="556" t="str">
        <f t="shared" si="80"/>
        <v/>
      </c>
      <c r="F331" s="558"/>
      <c r="G331" s="558"/>
      <c r="H331" s="558"/>
      <c r="I331" s="558"/>
      <c r="J331" s="558"/>
      <c r="K331" s="558"/>
      <c r="L331" s="625"/>
      <c r="M331" s="625"/>
      <c r="N331" s="625"/>
      <c r="O331" s="625"/>
      <c r="P331" s="625"/>
      <c r="Q331" s="625"/>
      <c r="R331" s="625"/>
      <c r="S331" s="625"/>
      <c r="T331" s="625"/>
      <c r="U331" s="625"/>
      <c r="V331" s="625"/>
      <c r="W331" s="625"/>
      <c r="X331" s="625"/>
      <c r="Y331" s="625"/>
      <c r="Z331" s="625"/>
      <c r="AA331" s="625"/>
      <c r="AB331" s="625"/>
      <c r="AC331" s="625"/>
      <c r="AD331" s="625"/>
      <c r="AE331" s="625"/>
      <c r="AF331" s="623"/>
      <c r="AG331" s="623"/>
      <c r="AH331" s="623"/>
      <c r="AI331" s="623"/>
      <c r="AJ331" s="623"/>
      <c r="AK331" s="623"/>
      <c r="AL331" s="623"/>
      <c r="AM331" s="623"/>
      <c r="AN331" s="625"/>
      <c r="AO331" s="625"/>
      <c r="AP331" s="625"/>
      <c r="AQ331" s="625"/>
      <c r="AR331" s="625"/>
      <c r="AS331" s="625"/>
      <c r="AT331" s="625"/>
      <c r="AU331" s="625"/>
      <c r="AV331" s="625"/>
      <c r="AW331" s="625"/>
      <c r="AX331" s="625"/>
      <c r="AY331" s="625"/>
      <c r="AZ331" s="625"/>
      <c r="BA331" s="625"/>
      <c r="BB331" s="695"/>
      <c r="BC331" s="623"/>
      <c r="BD331" s="623"/>
      <c r="BE331" s="623"/>
      <c r="BF331" s="623"/>
      <c r="BG331" s="623"/>
      <c r="BH331" s="623"/>
      <c r="BI331" s="623"/>
      <c r="BJ331" s="623"/>
      <c r="BK331" s="623"/>
      <c r="BL331" s="623"/>
      <c r="BM331" s="623"/>
      <c r="BN331" s="623"/>
      <c r="BO331" s="623"/>
      <c r="BP331" s="623"/>
      <c r="BQ331" s="623"/>
      <c r="BR331" s="623"/>
      <c r="BS331" s="623"/>
      <c r="BT331" s="623"/>
      <c r="BU331" s="623"/>
      <c r="BV331" s="623"/>
      <c r="BW331" s="623"/>
      <c r="BX331" s="623"/>
      <c r="BY331" s="623"/>
      <c r="BZ331" s="623"/>
      <c r="CA331" s="623"/>
      <c r="CB331" s="623"/>
      <c r="CC331" s="623"/>
      <c r="CD331" s="623"/>
      <c r="CE331" s="623"/>
      <c r="CF331" s="623"/>
      <c r="CG331" s="623"/>
      <c r="CH331" s="623"/>
      <c r="CI331" s="623"/>
      <c r="CJ331" s="623"/>
      <c r="CK331" s="623"/>
      <c r="CL331" s="623"/>
      <c r="CM331" s="623"/>
      <c r="CN331" s="623"/>
      <c r="CO331" s="623"/>
      <c r="CP331" s="623"/>
      <c r="CQ331" s="623"/>
    </row>
    <row r="332" spans="1:95" s="808" customFormat="1">
      <c r="A332" s="567"/>
      <c r="B332" s="567"/>
      <c r="C332" s="558"/>
      <c r="D332" s="558"/>
      <c r="E332" s="556" t="str">
        <f t="shared" si="80"/>
        <v/>
      </c>
      <c r="F332" s="558"/>
      <c r="G332" s="558"/>
      <c r="H332" s="558"/>
      <c r="I332" s="558"/>
      <c r="J332" s="558"/>
      <c r="K332" s="558"/>
      <c r="L332" s="625"/>
      <c r="M332" s="625"/>
      <c r="N332" s="625"/>
      <c r="O332" s="625"/>
      <c r="P332" s="625"/>
      <c r="Q332" s="625"/>
      <c r="R332" s="625"/>
      <c r="S332" s="625"/>
      <c r="T332" s="625"/>
      <c r="U332" s="625"/>
      <c r="V332" s="625"/>
      <c r="W332" s="625"/>
      <c r="X332" s="625"/>
      <c r="Y332" s="625"/>
      <c r="Z332" s="625"/>
      <c r="AA332" s="625"/>
      <c r="AB332" s="625"/>
      <c r="AC332" s="625"/>
      <c r="AD332" s="625"/>
      <c r="AE332" s="625"/>
      <c r="AF332" s="623"/>
      <c r="AG332" s="623"/>
      <c r="AH332" s="623"/>
      <c r="AI332" s="623"/>
      <c r="AJ332" s="623"/>
      <c r="AK332" s="623"/>
      <c r="AL332" s="623"/>
      <c r="AM332" s="623"/>
      <c r="AN332" s="625"/>
      <c r="AO332" s="625"/>
      <c r="AP332" s="625"/>
      <c r="AQ332" s="625"/>
      <c r="AR332" s="625"/>
      <c r="AS332" s="625"/>
      <c r="AT332" s="625"/>
      <c r="AU332" s="625"/>
      <c r="AV332" s="625"/>
      <c r="AW332" s="625"/>
      <c r="AX332" s="625"/>
      <c r="AY332" s="625"/>
      <c r="AZ332" s="625"/>
      <c r="BA332" s="625"/>
      <c r="BB332" s="695"/>
      <c r="BC332" s="623"/>
      <c r="BD332" s="623"/>
      <c r="BE332" s="623"/>
      <c r="BF332" s="623"/>
      <c r="BG332" s="623"/>
      <c r="BH332" s="623"/>
      <c r="BI332" s="623"/>
      <c r="BJ332" s="623"/>
      <c r="BK332" s="623"/>
      <c r="BL332" s="623"/>
      <c r="BM332" s="623"/>
      <c r="BN332" s="623"/>
      <c r="BO332" s="623"/>
      <c r="BP332" s="623"/>
      <c r="BQ332" s="623"/>
      <c r="BR332" s="623"/>
      <c r="BS332" s="623"/>
      <c r="BT332" s="623"/>
      <c r="BU332" s="623"/>
      <c r="BV332" s="623"/>
      <c r="BW332" s="623"/>
      <c r="BX332" s="623"/>
      <c r="BY332" s="623"/>
      <c r="BZ332" s="623"/>
      <c r="CA332" s="623"/>
      <c r="CB332" s="623"/>
      <c r="CC332" s="623"/>
      <c r="CD332" s="623"/>
      <c r="CE332" s="623"/>
      <c r="CF332" s="623"/>
      <c r="CG332" s="623"/>
      <c r="CH332" s="623"/>
      <c r="CI332" s="623"/>
      <c r="CJ332" s="623"/>
      <c r="CK332" s="623"/>
      <c r="CL332" s="623"/>
      <c r="CM332" s="623"/>
      <c r="CN332" s="623"/>
      <c r="CO332" s="623"/>
      <c r="CP332" s="623"/>
      <c r="CQ332" s="623"/>
    </row>
    <row r="333" spans="1:95" s="808" customFormat="1">
      <c r="A333" s="567"/>
      <c r="B333" s="567"/>
      <c r="C333" s="558"/>
      <c r="D333" s="558"/>
      <c r="E333" s="556" t="str">
        <f t="shared" si="80"/>
        <v/>
      </c>
      <c r="F333" s="558"/>
      <c r="G333" s="558"/>
      <c r="H333" s="558"/>
      <c r="I333" s="558"/>
      <c r="J333" s="558"/>
      <c r="K333" s="558"/>
      <c r="L333" s="625"/>
      <c r="M333" s="625"/>
      <c r="N333" s="625"/>
      <c r="O333" s="625"/>
      <c r="P333" s="625"/>
      <c r="Q333" s="625"/>
      <c r="R333" s="625"/>
      <c r="S333" s="625"/>
      <c r="T333" s="625"/>
      <c r="U333" s="625"/>
      <c r="V333" s="625"/>
      <c r="W333" s="625"/>
      <c r="X333" s="625"/>
      <c r="Y333" s="625"/>
      <c r="Z333" s="625"/>
      <c r="AA333" s="625"/>
      <c r="AB333" s="625"/>
      <c r="AC333" s="625"/>
      <c r="AD333" s="625"/>
      <c r="AE333" s="625"/>
      <c r="AF333" s="623"/>
      <c r="AG333" s="623"/>
      <c r="AH333" s="623"/>
      <c r="AI333" s="623"/>
      <c r="AJ333" s="623"/>
      <c r="AK333" s="623"/>
      <c r="AL333" s="623"/>
      <c r="AM333" s="623"/>
      <c r="AN333" s="625"/>
      <c r="AO333" s="625"/>
      <c r="AP333" s="625"/>
      <c r="AQ333" s="625"/>
      <c r="AR333" s="625"/>
      <c r="AS333" s="625"/>
      <c r="AT333" s="625"/>
      <c r="AU333" s="625"/>
      <c r="AV333" s="625"/>
      <c r="AW333" s="625"/>
      <c r="AX333" s="625"/>
      <c r="AY333" s="625"/>
      <c r="AZ333" s="625"/>
      <c r="BA333" s="625"/>
      <c r="BB333" s="695"/>
      <c r="BC333" s="623"/>
      <c r="BD333" s="623"/>
      <c r="BE333" s="623"/>
      <c r="BF333" s="623"/>
      <c r="BG333" s="623"/>
      <c r="BH333" s="623"/>
      <c r="BI333" s="623"/>
      <c r="BJ333" s="623"/>
      <c r="BK333" s="623"/>
      <c r="BL333" s="623"/>
      <c r="BM333" s="623"/>
      <c r="BN333" s="623"/>
      <c r="BO333" s="623"/>
      <c r="BP333" s="623"/>
      <c r="BQ333" s="623"/>
      <c r="BR333" s="623"/>
      <c r="BS333" s="623"/>
      <c r="BT333" s="623"/>
      <c r="BU333" s="623"/>
      <c r="BV333" s="623"/>
      <c r="BW333" s="623"/>
      <c r="BX333" s="623"/>
      <c r="BY333" s="623"/>
      <c r="BZ333" s="623"/>
      <c r="CA333" s="623"/>
      <c r="CB333" s="623"/>
      <c r="CC333" s="623"/>
      <c r="CD333" s="623"/>
      <c r="CE333" s="623"/>
      <c r="CF333" s="623"/>
      <c r="CG333" s="623"/>
      <c r="CH333" s="623"/>
      <c r="CI333" s="623"/>
      <c r="CJ333" s="623"/>
      <c r="CK333" s="623"/>
      <c r="CL333" s="623"/>
      <c r="CM333" s="623"/>
      <c r="CN333" s="623"/>
      <c r="CO333" s="623"/>
      <c r="CP333" s="623"/>
      <c r="CQ333" s="623"/>
    </row>
    <row r="334" spans="1:95" s="808" customFormat="1">
      <c r="A334" s="567"/>
      <c r="B334" s="567"/>
      <c r="C334" s="558"/>
      <c r="D334" s="558"/>
      <c r="E334" s="556" t="str">
        <f t="shared" si="80"/>
        <v/>
      </c>
      <c r="F334" s="558"/>
      <c r="G334" s="558"/>
      <c r="H334" s="558"/>
      <c r="I334" s="558"/>
      <c r="J334" s="558"/>
      <c r="K334" s="558"/>
      <c r="L334" s="625"/>
      <c r="M334" s="625"/>
      <c r="N334" s="625"/>
      <c r="O334" s="625"/>
      <c r="P334" s="625"/>
      <c r="Q334" s="625"/>
      <c r="R334" s="625"/>
      <c r="S334" s="625"/>
      <c r="T334" s="625"/>
      <c r="U334" s="625"/>
      <c r="V334" s="625"/>
      <c r="W334" s="625"/>
      <c r="X334" s="625"/>
      <c r="Y334" s="625"/>
      <c r="Z334" s="625"/>
      <c r="AA334" s="625"/>
      <c r="AB334" s="625"/>
      <c r="AC334" s="625"/>
      <c r="AD334" s="625"/>
      <c r="AE334" s="625"/>
      <c r="AF334" s="623"/>
      <c r="AG334" s="623"/>
      <c r="AH334" s="623"/>
      <c r="AI334" s="623"/>
      <c r="AJ334" s="623"/>
      <c r="AK334" s="623"/>
      <c r="AL334" s="623"/>
      <c r="AM334" s="623"/>
      <c r="AN334" s="625"/>
      <c r="AO334" s="625"/>
      <c r="AP334" s="625"/>
      <c r="AQ334" s="625"/>
      <c r="AR334" s="625"/>
      <c r="AS334" s="625"/>
      <c r="AT334" s="625"/>
      <c r="AU334" s="625"/>
      <c r="AV334" s="625"/>
      <c r="AW334" s="625"/>
      <c r="AX334" s="625"/>
      <c r="AY334" s="625"/>
      <c r="AZ334" s="625"/>
      <c r="BA334" s="625"/>
      <c r="BB334" s="695"/>
      <c r="BC334" s="623"/>
      <c r="BD334" s="623"/>
      <c r="BE334" s="623"/>
      <c r="BF334" s="623"/>
      <c r="BG334" s="623"/>
      <c r="BH334" s="623"/>
      <c r="BI334" s="623"/>
      <c r="BJ334" s="623"/>
      <c r="BK334" s="623"/>
      <c r="BL334" s="623"/>
      <c r="BM334" s="623"/>
      <c r="BN334" s="623"/>
      <c r="BO334" s="623"/>
      <c r="BP334" s="623"/>
      <c r="BQ334" s="623"/>
      <c r="BR334" s="623"/>
      <c r="BS334" s="623"/>
      <c r="BT334" s="623"/>
      <c r="BU334" s="623"/>
      <c r="BV334" s="623"/>
      <c r="BW334" s="623"/>
      <c r="BX334" s="623"/>
      <c r="BY334" s="623"/>
      <c r="BZ334" s="623"/>
      <c r="CA334" s="623"/>
      <c r="CB334" s="623"/>
      <c r="CC334" s="623"/>
      <c r="CD334" s="623"/>
      <c r="CE334" s="623"/>
      <c r="CF334" s="623"/>
      <c r="CG334" s="623"/>
      <c r="CH334" s="623"/>
      <c r="CI334" s="623"/>
      <c r="CJ334" s="623"/>
      <c r="CK334" s="623"/>
      <c r="CL334" s="623"/>
      <c r="CM334" s="623"/>
      <c r="CN334" s="623"/>
      <c r="CO334" s="623"/>
      <c r="CP334" s="623"/>
      <c r="CQ334" s="623"/>
    </row>
    <row r="335" spans="1:95" s="808" customFormat="1">
      <c r="A335" s="567"/>
      <c r="B335" s="567"/>
      <c r="C335" s="558"/>
      <c r="D335" s="558"/>
      <c r="E335" s="556" t="str">
        <f t="shared" si="80"/>
        <v/>
      </c>
      <c r="F335" s="558"/>
      <c r="G335" s="558"/>
      <c r="H335" s="558"/>
      <c r="I335" s="558"/>
      <c r="J335" s="558"/>
      <c r="K335" s="558"/>
      <c r="L335" s="625"/>
      <c r="M335" s="625"/>
      <c r="N335" s="625"/>
      <c r="O335" s="625"/>
      <c r="P335" s="625"/>
      <c r="Q335" s="625"/>
      <c r="R335" s="625"/>
      <c r="S335" s="625"/>
      <c r="T335" s="625"/>
      <c r="U335" s="625"/>
      <c r="V335" s="625"/>
      <c r="W335" s="625"/>
      <c r="X335" s="625"/>
      <c r="Y335" s="625"/>
      <c r="Z335" s="625"/>
      <c r="AA335" s="625"/>
      <c r="AB335" s="625"/>
      <c r="AC335" s="625"/>
      <c r="AD335" s="625"/>
      <c r="AE335" s="625"/>
      <c r="AF335" s="623"/>
      <c r="AG335" s="623"/>
      <c r="AH335" s="623"/>
      <c r="AI335" s="623"/>
      <c r="AJ335" s="623"/>
      <c r="AK335" s="623"/>
      <c r="AL335" s="623"/>
      <c r="AM335" s="623"/>
      <c r="AN335" s="625"/>
      <c r="AO335" s="625"/>
      <c r="AP335" s="625"/>
      <c r="AQ335" s="625"/>
      <c r="AR335" s="625"/>
      <c r="AS335" s="625"/>
      <c r="AT335" s="625"/>
      <c r="AU335" s="625"/>
      <c r="AV335" s="625"/>
      <c r="AW335" s="625"/>
      <c r="AX335" s="625"/>
      <c r="AY335" s="625"/>
      <c r="AZ335" s="625"/>
      <c r="BA335" s="625"/>
      <c r="BB335" s="695"/>
      <c r="BC335" s="623"/>
      <c r="BD335" s="623"/>
      <c r="BE335" s="623"/>
      <c r="BF335" s="623"/>
      <c r="BG335" s="623"/>
      <c r="BH335" s="623"/>
      <c r="BI335" s="623"/>
      <c r="BJ335" s="623"/>
      <c r="BK335" s="623"/>
      <c r="BL335" s="623"/>
      <c r="BM335" s="623"/>
      <c r="BN335" s="623"/>
      <c r="BO335" s="623"/>
      <c r="BP335" s="623"/>
      <c r="BQ335" s="623"/>
      <c r="BR335" s="623"/>
      <c r="BS335" s="623"/>
      <c r="BT335" s="623"/>
      <c r="BU335" s="623"/>
      <c r="BV335" s="623"/>
      <c r="BW335" s="623"/>
      <c r="BX335" s="623"/>
      <c r="BY335" s="623"/>
      <c r="BZ335" s="623"/>
      <c r="CA335" s="623"/>
      <c r="CB335" s="623"/>
      <c r="CC335" s="623"/>
      <c r="CD335" s="623"/>
      <c r="CE335" s="623"/>
      <c r="CF335" s="623"/>
      <c r="CG335" s="623"/>
      <c r="CH335" s="623"/>
      <c r="CI335" s="623"/>
      <c r="CJ335" s="623"/>
      <c r="CK335" s="623"/>
      <c r="CL335" s="623"/>
      <c r="CM335" s="623"/>
      <c r="CN335" s="623"/>
      <c r="CO335" s="623"/>
      <c r="CP335" s="623"/>
      <c r="CQ335" s="623"/>
    </row>
    <row r="336" spans="1:95" s="808" customFormat="1">
      <c r="A336" s="567"/>
      <c r="B336" s="567"/>
      <c r="C336" s="558"/>
      <c r="D336" s="558"/>
      <c r="E336" s="556" t="str">
        <f t="shared" si="80"/>
        <v/>
      </c>
      <c r="F336" s="558"/>
      <c r="G336" s="558"/>
      <c r="H336" s="558"/>
      <c r="I336" s="558"/>
      <c r="J336" s="558"/>
      <c r="K336" s="558"/>
      <c r="L336" s="625"/>
      <c r="M336" s="625"/>
      <c r="N336" s="625"/>
      <c r="O336" s="625"/>
      <c r="P336" s="625"/>
      <c r="Q336" s="625"/>
      <c r="R336" s="625"/>
      <c r="S336" s="625"/>
      <c r="T336" s="625"/>
      <c r="U336" s="625"/>
      <c r="V336" s="625"/>
      <c r="W336" s="625"/>
      <c r="X336" s="625"/>
      <c r="Y336" s="625"/>
      <c r="Z336" s="625"/>
      <c r="AA336" s="625"/>
      <c r="AB336" s="625"/>
      <c r="AC336" s="625"/>
      <c r="AD336" s="625"/>
      <c r="AE336" s="625"/>
      <c r="AF336" s="623"/>
      <c r="AG336" s="623"/>
      <c r="AH336" s="623"/>
      <c r="AI336" s="623"/>
      <c r="AJ336" s="623"/>
      <c r="AK336" s="623"/>
      <c r="AL336" s="623"/>
      <c r="AM336" s="623"/>
      <c r="AN336" s="558"/>
      <c r="AO336" s="558"/>
      <c r="AP336" s="558"/>
      <c r="AQ336" s="625"/>
      <c r="AR336" s="625"/>
      <c r="AS336" s="625"/>
      <c r="AT336" s="625"/>
      <c r="AU336" s="625"/>
      <c r="AV336" s="625"/>
      <c r="AW336" s="625"/>
      <c r="AX336" s="625"/>
      <c r="AY336" s="625"/>
      <c r="AZ336" s="625"/>
      <c r="BA336" s="625"/>
      <c r="BB336" s="695"/>
      <c r="BC336" s="623"/>
      <c r="BD336" s="623"/>
      <c r="BE336" s="623"/>
      <c r="BF336" s="623"/>
      <c r="BG336" s="623"/>
      <c r="BH336" s="623"/>
      <c r="BI336" s="623"/>
      <c r="BJ336" s="623"/>
      <c r="BK336" s="623"/>
      <c r="BL336" s="623"/>
      <c r="BM336" s="623"/>
      <c r="BN336" s="623"/>
      <c r="BO336" s="623"/>
      <c r="BP336" s="623"/>
      <c r="BQ336" s="623"/>
      <c r="BR336" s="623"/>
      <c r="BS336" s="623"/>
      <c r="BT336" s="623"/>
      <c r="BU336" s="623"/>
      <c r="BV336" s="623"/>
      <c r="BW336" s="623"/>
      <c r="BX336" s="623"/>
      <c r="BY336" s="623"/>
      <c r="BZ336" s="623"/>
      <c r="CA336" s="623"/>
      <c r="CB336" s="623"/>
      <c r="CC336" s="623"/>
      <c r="CD336" s="623"/>
      <c r="CE336" s="623"/>
      <c r="CF336" s="623"/>
      <c r="CG336" s="623"/>
      <c r="CH336" s="623"/>
      <c r="CI336" s="623"/>
      <c r="CJ336" s="623"/>
      <c r="CK336" s="623"/>
      <c r="CL336" s="623"/>
      <c r="CM336" s="623"/>
      <c r="CN336" s="623"/>
      <c r="CO336" s="623"/>
      <c r="CP336" s="623"/>
      <c r="CQ336" s="623"/>
    </row>
    <row r="337" spans="1:95" s="808" customFormat="1">
      <c r="A337" s="567"/>
      <c r="B337" s="567"/>
      <c r="C337" s="558"/>
      <c r="D337" s="558"/>
      <c r="E337" s="556" t="str">
        <f t="shared" si="80"/>
        <v/>
      </c>
      <c r="F337" s="558"/>
      <c r="G337" s="558"/>
      <c r="H337" s="558"/>
      <c r="I337" s="558"/>
      <c r="J337" s="558"/>
      <c r="K337" s="558"/>
      <c r="L337" s="625"/>
      <c r="M337" s="625"/>
      <c r="N337" s="625"/>
      <c r="O337" s="625"/>
      <c r="P337" s="625"/>
      <c r="Q337" s="625"/>
      <c r="R337" s="625"/>
      <c r="S337" s="625"/>
      <c r="T337" s="625"/>
      <c r="U337" s="625"/>
      <c r="V337" s="625"/>
      <c r="W337" s="625"/>
      <c r="X337" s="625"/>
      <c r="Y337" s="625"/>
      <c r="Z337" s="625"/>
      <c r="AA337" s="625"/>
      <c r="AB337" s="625"/>
      <c r="AC337" s="625"/>
      <c r="AD337" s="625"/>
      <c r="AE337" s="625"/>
      <c r="AF337" s="623"/>
      <c r="AG337" s="623"/>
      <c r="AH337" s="623"/>
      <c r="AI337" s="623"/>
      <c r="AJ337" s="623"/>
      <c r="AK337" s="623"/>
      <c r="AL337" s="623"/>
      <c r="AM337" s="623"/>
      <c r="AN337" s="558"/>
      <c r="AO337" s="558"/>
      <c r="AP337" s="558"/>
      <c r="AQ337" s="625"/>
      <c r="AR337" s="625"/>
      <c r="AS337" s="625"/>
      <c r="AT337" s="625"/>
      <c r="AU337" s="625"/>
      <c r="AV337" s="625"/>
      <c r="AW337" s="625"/>
      <c r="AX337" s="625"/>
      <c r="AY337" s="625"/>
      <c r="AZ337" s="625"/>
      <c r="BA337" s="625"/>
      <c r="BB337" s="695"/>
      <c r="BC337" s="623"/>
      <c r="BD337" s="623"/>
      <c r="BE337" s="623"/>
      <c r="BF337" s="623"/>
      <c r="BG337" s="623"/>
      <c r="BH337" s="623"/>
      <c r="BI337" s="623"/>
      <c r="BJ337" s="623"/>
      <c r="BK337" s="623"/>
      <c r="BL337" s="623"/>
      <c r="BM337" s="623"/>
      <c r="BN337" s="623"/>
      <c r="BO337" s="623"/>
      <c r="BP337" s="623"/>
      <c r="BQ337" s="623"/>
      <c r="BR337" s="623"/>
      <c r="BS337" s="623"/>
      <c r="BT337" s="623"/>
      <c r="BU337" s="623"/>
      <c r="BV337" s="623"/>
      <c r="BW337" s="623"/>
      <c r="BX337" s="623"/>
      <c r="BY337" s="623"/>
      <c r="BZ337" s="623"/>
      <c r="CA337" s="623"/>
      <c r="CB337" s="623"/>
      <c r="CC337" s="623"/>
      <c r="CD337" s="623"/>
      <c r="CE337" s="623"/>
      <c r="CF337" s="623"/>
      <c r="CG337" s="623"/>
      <c r="CH337" s="623"/>
      <c r="CI337" s="623"/>
      <c r="CJ337" s="623"/>
      <c r="CK337" s="623"/>
      <c r="CL337" s="623"/>
      <c r="CM337" s="623"/>
      <c r="CN337" s="623"/>
      <c r="CO337" s="623"/>
      <c r="CP337" s="623"/>
      <c r="CQ337" s="623"/>
    </row>
    <row r="338" spans="1:95" s="808" customFormat="1">
      <c r="A338" s="567"/>
      <c r="B338" s="567"/>
      <c r="C338" s="558"/>
      <c r="D338" s="558"/>
      <c r="E338" s="556" t="str">
        <f t="shared" si="80"/>
        <v/>
      </c>
      <c r="F338" s="558"/>
      <c r="G338" s="558"/>
      <c r="H338" s="558"/>
      <c r="I338" s="558"/>
      <c r="J338" s="558"/>
      <c r="K338" s="558"/>
      <c r="L338" s="625"/>
      <c r="M338" s="625"/>
      <c r="N338" s="625"/>
      <c r="O338" s="625"/>
      <c r="P338" s="625"/>
      <c r="Q338" s="625"/>
      <c r="R338" s="625"/>
      <c r="S338" s="625"/>
      <c r="T338" s="625"/>
      <c r="U338" s="625"/>
      <c r="V338" s="625"/>
      <c r="W338" s="625"/>
      <c r="X338" s="625"/>
      <c r="Y338" s="625"/>
      <c r="Z338" s="625"/>
      <c r="AA338" s="625"/>
      <c r="AB338" s="625"/>
      <c r="AC338" s="625"/>
      <c r="AD338" s="625"/>
      <c r="AE338" s="625"/>
      <c r="AF338" s="623"/>
      <c r="AG338" s="623"/>
      <c r="AH338" s="623"/>
      <c r="AI338" s="623"/>
      <c r="AJ338" s="623"/>
      <c r="AK338" s="623"/>
      <c r="AL338" s="623"/>
      <c r="AM338" s="623"/>
      <c r="AN338" s="558"/>
      <c r="AO338" s="558"/>
      <c r="AP338" s="558"/>
      <c r="AQ338" s="625"/>
      <c r="AR338" s="625"/>
      <c r="AS338" s="625"/>
      <c r="AT338" s="625"/>
      <c r="AU338" s="625"/>
      <c r="AV338" s="625"/>
      <c r="AW338" s="625"/>
      <c r="AX338" s="625"/>
      <c r="AY338" s="625"/>
      <c r="AZ338" s="625"/>
      <c r="BA338" s="625"/>
      <c r="BB338" s="695"/>
      <c r="BC338" s="623"/>
      <c r="BD338" s="623"/>
      <c r="BE338" s="623"/>
      <c r="BF338" s="623"/>
      <c r="BG338" s="623"/>
      <c r="BH338" s="623"/>
      <c r="BI338" s="623"/>
      <c r="BJ338" s="623"/>
      <c r="BK338" s="623"/>
      <c r="BL338" s="623"/>
      <c r="BM338" s="623"/>
      <c r="BN338" s="623"/>
      <c r="BO338" s="623"/>
      <c r="BP338" s="623"/>
      <c r="BQ338" s="623"/>
      <c r="BR338" s="623"/>
      <c r="BS338" s="623"/>
      <c r="BT338" s="623"/>
      <c r="BU338" s="623"/>
      <c r="BV338" s="623"/>
      <c r="BW338" s="623"/>
      <c r="BX338" s="623"/>
      <c r="BY338" s="623"/>
      <c r="BZ338" s="623"/>
      <c r="CA338" s="623"/>
      <c r="CB338" s="623"/>
      <c r="CC338" s="623"/>
      <c r="CD338" s="623"/>
      <c r="CE338" s="623"/>
      <c r="CF338" s="623"/>
      <c r="CG338" s="623"/>
      <c r="CH338" s="623"/>
      <c r="CI338" s="623"/>
      <c r="CJ338" s="623"/>
      <c r="CK338" s="623"/>
      <c r="CL338" s="623"/>
      <c r="CM338" s="623"/>
      <c r="CN338" s="623"/>
      <c r="CO338" s="623"/>
      <c r="CP338" s="623"/>
      <c r="CQ338" s="623"/>
    </row>
    <row r="339" spans="1:95" s="808" customFormat="1">
      <c r="A339" s="567"/>
      <c r="B339" s="567"/>
      <c r="C339" s="558"/>
      <c r="D339" s="558"/>
      <c r="E339" s="556" t="str">
        <f t="shared" si="80"/>
        <v/>
      </c>
      <c r="F339" s="558"/>
      <c r="G339" s="558"/>
      <c r="H339" s="558"/>
      <c r="I339" s="558"/>
      <c r="J339" s="558"/>
      <c r="K339" s="558"/>
      <c r="L339" s="625"/>
      <c r="M339" s="625"/>
      <c r="N339" s="625"/>
      <c r="O339" s="625"/>
      <c r="P339" s="625"/>
      <c r="Q339" s="625"/>
      <c r="R339" s="625"/>
      <c r="S339" s="625"/>
      <c r="T339" s="625"/>
      <c r="U339" s="625"/>
      <c r="V339" s="625"/>
      <c r="W339" s="625"/>
      <c r="X339" s="625"/>
      <c r="Y339" s="625"/>
      <c r="Z339" s="625"/>
      <c r="AA339" s="625"/>
      <c r="AB339" s="625"/>
      <c r="AC339" s="625"/>
      <c r="AD339" s="625"/>
      <c r="AE339" s="625"/>
      <c r="AF339" s="623"/>
      <c r="AG339" s="623"/>
      <c r="AH339" s="623"/>
      <c r="AI339" s="623"/>
      <c r="AJ339" s="623"/>
      <c r="AK339" s="623"/>
      <c r="AL339" s="623"/>
      <c r="AM339" s="623"/>
      <c r="AN339" s="558"/>
      <c r="AO339" s="558"/>
      <c r="AP339" s="558"/>
      <c r="AQ339" s="558"/>
      <c r="AR339" s="625"/>
      <c r="AS339" s="625"/>
      <c r="AT339" s="625"/>
      <c r="AU339" s="625"/>
      <c r="AV339" s="625"/>
      <c r="AW339" s="625"/>
      <c r="AX339" s="625"/>
      <c r="AY339" s="625"/>
      <c r="AZ339" s="625"/>
      <c r="BA339" s="625"/>
      <c r="BB339" s="695"/>
      <c r="BC339" s="623"/>
      <c r="BD339" s="623"/>
      <c r="BE339" s="623"/>
      <c r="BF339" s="623"/>
      <c r="BG339" s="623"/>
      <c r="BH339" s="623"/>
      <c r="BI339" s="623"/>
      <c r="BJ339" s="623"/>
      <c r="BK339" s="623"/>
      <c r="BL339" s="623"/>
      <c r="BM339" s="623"/>
      <c r="BN339" s="623"/>
      <c r="BO339" s="623"/>
      <c r="BP339" s="623"/>
      <c r="BQ339" s="623"/>
      <c r="BR339" s="623"/>
      <c r="BS339" s="623"/>
      <c r="BT339" s="623"/>
      <c r="BU339" s="623"/>
      <c r="BV339" s="623"/>
      <c r="BW339" s="623"/>
      <c r="BX339" s="623"/>
      <c r="BY339" s="623"/>
      <c r="BZ339" s="623"/>
      <c r="CA339" s="623"/>
      <c r="CB339" s="623"/>
      <c r="CC339" s="623"/>
      <c r="CD339" s="623"/>
      <c r="CE339" s="623"/>
      <c r="CF339" s="623"/>
      <c r="CG339" s="623"/>
      <c r="CH339" s="623"/>
      <c r="CI339" s="623"/>
      <c r="CJ339" s="623"/>
      <c r="CK339" s="623"/>
      <c r="CL339" s="623"/>
      <c r="CM339" s="623"/>
      <c r="CN339" s="623"/>
      <c r="CO339" s="623"/>
      <c r="CP339" s="623"/>
      <c r="CQ339" s="623"/>
    </row>
    <row r="340" spans="1:95" s="808" customFormat="1">
      <c r="A340" s="567"/>
      <c r="B340" s="567"/>
      <c r="C340" s="558"/>
      <c r="D340" s="558"/>
      <c r="E340" s="556" t="str">
        <f t="shared" si="80"/>
        <v/>
      </c>
      <c r="F340" s="558"/>
      <c r="G340" s="558"/>
      <c r="H340" s="558"/>
      <c r="I340" s="558"/>
      <c r="J340" s="558"/>
      <c r="K340" s="558"/>
      <c r="L340" s="625"/>
      <c r="M340" s="625"/>
      <c r="N340" s="625"/>
      <c r="O340" s="625"/>
      <c r="P340" s="625"/>
      <c r="Q340" s="625"/>
      <c r="R340" s="625"/>
      <c r="S340" s="625"/>
      <c r="T340" s="625"/>
      <c r="U340" s="625"/>
      <c r="V340" s="625"/>
      <c r="W340" s="625"/>
      <c r="X340" s="625"/>
      <c r="Y340" s="625"/>
      <c r="Z340" s="625"/>
      <c r="AA340" s="625"/>
      <c r="AB340" s="625"/>
      <c r="AC340" s="625"/>
      <c r="AD340" s="625"/>
      <c r="AE340" s="625"/>
      <c r="AF340" s="623"/>
      <c r="AG340" s="623"/>
      <c r="AH340" s="623"/>
      <c r="AI340" s="623"/>
      <c r="AJ340" s="623"/>
      <c r="AK340" s="623"/>
      <c r="AL340" s="623"/>
      <c r="AM340" s="623"/>
      <c r="AN340" s="558"/>
      <c r="AO340" s="558"/>
      <c r="AP340" s="558"/>
      <c r="AQ340" s="558"/>
      <c r="AR340" s="558"/>
      <c r="AS340" s="558"/>
      <c r="AT340" s="558"/>
      <c r="AU340" s="558"/>
      <c r="AV340" s="558"/>
      <c r="AW340" s="558"/>
      <c r="AX340" s="558"/>
      <c r="AY340" s="558"/>
      <c r="AZ340" s="558"/>
      <c r="BA340" s="558"/>
      <c r="BB340" s="695"/>
      <c r="BC340" s="564"/>
      <c r="BD340" s="623"/>
      <c r="BE340" s="564"/>
      <c r="BF340" s="623"/>
      <c r="BG340" s="623"/>
      <c r="BH340" s="623"/>
      <c r="BI340" s="623"/>
      <c r="BJ340" s="623"/>
      <c r="BK340" s="623"/>
      <c r="BL340" s="623"/>
      <c r="BM340" s="623"/>
      <c r="BN340" s="623"/>
      <c r="BO340" s="623"/>
      <c r="BP340" s="623"/>
      <c r="BQ340" s="623"/>
      <c r="BR340" s="623"/>
      <c r="BS340" s="623"/>
      <c r="BT340" s="623"/>
      <c r="BU340" s="623"/>
      <c r="BV340" s="623"/>
      <c r="BW340" s="623"/>
      <c r="BX340" s="623"/>
      <c r="BY340" s="623"/>
      <c r="BZ340" s="623"/>
      <c r="CA340" s="623"/>
      <c r="CB340" s="623"/>
      <c r="CC340" s="623"/>
      <c r="CD340" s="623"/>
      <c r="CE340" s="623"/>
      <c r="CF340" s="623"/>
      <c r="CG340" s="623"/>
      <c r="CH340" s="623"/>
      <c r="CI340" s="623"/>
      <c r="CJ340" s="623"/>
      <c r="CK340" s="623"/>
      <c r="CL340" s="623"/>
      <c r="CM340" s="623"/>
      <c r="CN340" s="623"/>
      <c r="CO340" s="623"/>
      <c r="CP340" s="623"/>
      <c r="CQ340" s="623"/>
    </row>
    <row r="341" spans="1:95" s="808" customFormat="1">
      <c r="A341" s="567"/>
      <c r="B341" s="567"/>
      <c r="C341" s="558"/>
      <c r="D341" s="558"/>
      <c r="E341" s="556" t="str">
        <f t="shared" si="80"/>
        <v/>
      </c>
      <c r="F341" s="558"/>
      <c r="G341" s="558"/>
      <c r="H341" s="558"/>
      <c r="I341" s="558"/>
      <c r="J341" s="558"/>
      <c r="K341" s="558"/>
      <c r="L341" s="625"/>
      <c r="M341" s="625"/>
      <c r="N341" s="625"/>
      <c r="O341" s="625"/>
      <c r="P341" s="625"/>
      <c r="Q341" s="625"/>
      <c r="R341" s="625"/>
      <c r="S341" s="625"/>
      <c r="T341" s="625"/>
      <c r="U341" s="625"/>
      <c r="V341" s="625"/>
      <c r="W341" s="625"/>
      <c r="X341" s="625"/>
      <c r="Y341" s="625"/>
      <c r="Z341" s="625"/>
      <c r="AA341" s="625"/>
      <c r="AB341" s="625"/>
      <c r="AC341" s="625"/>
      <c r="AD341" s="625"/>
      <c r="AE341" s="625"/>
      <c r="AF341" s="623"/>
      <c r="AG341" s="623"/>
      <c r="AH341" s="623"/>
      <c r="AI341" s="623"/>
      <c r="AJ341" s="623"/>
      <c r="AK341" s="623"/>
      <c r="AL341" s="623"/>
      <c r="AM341" s="623"/>
      <c r="AN341" s="558"/>
      <c r="AO341" s="558"/>
      <c r="AP341" s="558"/>
      <c r="AQ341" s="558"/>
      <c r="AR341" s="558"/>
      <c r="AS341" s="558"/>
      <c r="AT341" s="558"/>
      <c r="AU341" s="558"/>
      <c r="AV341" s="558"/>
      <c r="AW341" s="558"/>
      <c r="AX341" s="558"/>
      <c r="AY341" s="558"/>
      <c r="AZ341" s="558"/>
      <c r="BA341" s="558"/>
      <c r="BB341" s="695"/>
      <c r="BC341" s="564"/>
      <c r="BD341" s="623"/>
      <c r="BE341" s="564"/>
      <c r="BF341" s="623"/>
      <c r="BG341" s="623"/>
      <c r="BH341" s="623"/>
      <c r="BI341" s="623"/>
      <c r="BJ341" s="623"/>
      <c r="BK341" s="623"/>
      <c r="BL341" s="623"/>
      <c r="BM341" s="623"/>
      <c r="BN341" s="623"/>
      <c r="BO341" s="623"/>
      <c r="BP341" s="623"/>
      <c r="BQ341" s="623"/>
      <c r="BR341" s="623"/>
      <c r="BS341" s="623"/>
      <c r="BT341" s="623"/>
      <c r="BU341" s="623"/>
      <c r="BV341" s="623"/>
      <c r="BW341" s="623"/>
      <c r="BX341" s="623"/>
      <c r="BY341" s="623"/>
      <c r="BZ341" s="623"/>
      <c r="CA341" s="623"/>
      <c r="CB341" s="623"/>
      <c r="CC341" s="623"/>
      <c r="CD341" s="623"/>
      <c r="CE341" s="623"/>
      <c r="CF341" s="623"/>
      <c r="CG341" s="623"/>
      <c r="CH341" s="623"/>
      <c r="CI341" s="623"/>
      <c r="CJ341" s="623"/>
      <c r="CK341" s="623"/>
      <c r="CL341" s="623"/>
      <c r="CM341" s="623"/>
      <c r="CN341" s="623"/>
      <c r="CO341" s="623"/>
      <c r="CP341" s="623"/>
      <c r="CQ341" s="623"/>
    </row>
    <row r="342" spans="1:95" s="808" customFormat="1">
      <c r="A342" s="567"/>
      <c r="B342" s="567"/>
      <c r="C342" s="558"/>
      <c r="D342" s="558"/>
      <c r="E342" s="556" t="str">
        <f t="shared" ref="E342:E349" si="81">IF(B342&gt;7%,"Alert()","")</f>
        <v/>
      </c>
      <c r="F342" s="558"/>
      <c r="G342" s="558"/>
      <c r="H342" s="558"/>
      <c r="I342" s="558"/>
      <c r="J342" s="558"/>
      <c r="K342" s="558"/>
      <c r="L342" s="625"/>
      <c r="M342" s="625"/>
      <c r="N342" s="625"/>
      <c r="O342" s="625"/>
      <c r="P342" s="625"/>
      <c r="Q342" s="625"/>
      <c r="R342" s="625"/>
      <c r="S342" s="625"/>
      <c r="T342" s="625"/>
      <c r="U342" s="625"/>
      <c r="V342" s="625"/>
      <c r="W342" s="625"/>
      <c r="X342" s="625"/>
      <c r="Y342" s="625"/>
      <c r="Z342" s="625"/>
      <c r="AA342" s="625"/>
      <c r="AB342" s="625"/>
      <c r="AC342" s="625"/>
      <c r="AD342" s="625"/>
      <c r="AE342" s="625"/>
      <c r="AF342" s="623"/>
      <c r="AG342" s="623"/>
      <c r="AH342" s="623"/>
      <c r="AI342" s="623"/>
      <c r="AJ342" s="623"/>
      <c r="AK342" s="623"/>
      <c r="AL342" s="564"/>
      <c r="AM342" s="564"/>
      <c r="AN342" s="558"/>
      <c r="AO342" s="558"/>
      <c r="AP342" s="558"/>
      <c r="AQ342" s="558"/>
      <c r="AR342" s="558"/>
      <c r="AS342" s="558"/>
      <c r="AT342" s="558"/>
      <c r="AU342" s="558"/>
      <c r="AV342" s="558"/>
      <c r="AW342" s="558"/>
      <c r="AX342" s="558"/>
      <c r="AY342" s="558"/>
      <c r="AZ342" s="558"/>
      <c r="BA342" s="558"/>
      <c r="BB342" s="695"/>
      <c r="BC342" s="564"/>
      <c r="BD342" s="623"/>
      <c r="BE342" s="564"/>
      <c r="BF342" s="623"/>
      <c r="BG342" s="623"/>
      <c r="BH342" s="623"/>
      <c r="BI342" s="623"/>
      <c r="BJ342" s="623"/>
      <c r="BK342" s="623"/>
      <c r="BL342" s="623"/>
      <c r="BM342" s="623"/>
      <c r="BN342" s="623"/>
      <c r="BO342" s="623"/>
      <c r="BP342" s="623"/>
      <c r="BQ342" s="623"/>
      <c r="BR342" s="623"/>
      <c r="BS342" s="623"/>
      <c r="BT342" s="623"/>
      <c r="BU342" s="623"/>
      <c r="BV342" s="623"/>
      <c r="BW342" s="623"/>
      <c r="BX342" s="623"/>
      <c r="BY342" s="623"/>
      <c r="BZ342" s="623"/>
      <c r="CA342" s="623"/>
      <c r="CB342" s="623"/>
      <c r="CC342" s="623"/>
      <c r="CD342" s="623"/>
      <c r="CE342" s="623"/>
      <c r="CF342" s="623"/>
      <c r="CG342" s="623"/>
      <c r="CH342" s="623"/>
      <c r="CI342" s="623"/>
      <c r="CJ342" s="623"/>
      <c r="CK342" s="623"/>
      <c r="CL342" s="623"/>
      <c r="CM342" s="623"/>
      <c r="CN342" s="623"/>
      <c r="CO342" s="623"/>
      <c r="CP342" s="623"/>
      <c r="CQ342" s="623"/>
    </row>
    <row r="343" spans="1:95" s="808" customFormat="1">
      <c r="A343" s="567"/>
      <c r="B343" s="567"/>
      <c r="C343" s="558"/>
      <c r="D343" s="558"/>
      <c r="E343" s="556" t="str">
        <f t="shared" si="81"/>
        <v/>
      </c>
      <c r="F343" s="558"/>
      <c r="G343" s="558"/>
      <c r="H343" s="558"/>
      <c r="I343" s="558"/>
      <c r="J343" s="558"/>
      <c r="K343" s="558"/>
      <c r="L343" s="625"/>
      <c r="M343" s="625"/>
      <c r="N343" s="625"/>
      <c r="O343" s="625"/>
      <c r="P343" s="625"/>
      <c r="Q343" s="625"/>
      <c r="R343" s="625"/>
      <c r="S343" s="625"/>
      <c r="T343" s="625"/>
      <c r="U343" s="625"/>
      <c r="V343" s="625"/>
      <c r="W343" s="625"/>
      <c r="X343" s="625"/>
      <c r="Y343" s="625"/>
      <c r="Z343" s="625"/>
      <c r="AA343" s="625"/>
      <c r="AB343" s="625"/>
      <c r="AC343" s="625"/>
      <c r="AD343" s="625"/>
      <c r="AE343" s="625"/>
      <c r="AF343" s="623"/>
      <c r="AG343" s="623"/>
      <c r="AH343" s="623"/>
      <c r="AI343" s="623"/>
      <c r="AJ343" s="623"/>
      <c r="AK343" s="623"/>
      <c r="AL343" s="564"/>
      <c r="AM343" s="564"/>
      <c r="AN343" s="558"/>
      <c r="AO343" s="558"/>
      <c r="AP343" s="558"/>
      <c r="AQ343" s="558"/>
      <c r="AR343" s="558"/>
      <c r="AS343" s="558"/>
      <c r="AT343" s="558"/>
      <c r="AU343" s="558"/>
      <c r="AV343" s="558"/>
      <c r="AW343" s="558"/>
      <c r="AX343" s="558"/>
      <c r="AY343" s="558"/>
      <c r="AZ343" s="558"/>
      <c r="BA343" s="558"/>
      <c r="BB343" s="695"/>
      <c r="BC343" s="564"/>
      <c r="BD343" s="623"/>
      <c r="BE343" s="564"/>
      <c r="BF343" s="623"/>
      <c r="BG343" s="623"/>
      <c r="BH343" s="623"/>
      <c r="BI343" s="623"/>
      <c r="BJ343" s="623"/>
      <c r="BK343" s="623"/>
      <c r="BL343" s="623"/>
      <c r="BM343" s="623"/>
      <c r="BN343" s="623"/>
      <c r="BO343" s="623"/>
      <c r="BP343" s="623"/>
      <c r="BQ343" s="623"/>
      <c r="BR343" s="623"/>
      <c r="BS343" s="623"/>
      <c r="BT343" s="623"/>
      <c r="BU343" s="623"/>
      <c r="BV343" s="623"/>
      <c r="BW343" s="623"/>
      <c r="BX343" s="623"/>
      <c r="BY343" s="623"/>
      <c r="BZ343" s="623"/>
      <c r="CA343" s="623"/>
      <c r="CB343" s="623"/>
      <c r="CC343" s="623"/>
      <c r="CD343" s="623"/>
      <c r="CE343" s="623"/>
      <c r="CF343" s="623"/>
      <c r="CG343" s="623"/>
      <c r="CH343" s="623"/>
      <c r="CI343" s="623"/>
      <c r="CJ343" s="623"/>
      <c r="CK343" s="623"/>
      <c r="CL343" s="623"/>
      <c r="CM343" s="623"/>
      <c r="CN343" s="623"/>
      <c r="CO343" s="623"/>
      <c r="CP343" s="623"/>
      <c r="CQ343" s="623"/>
    </row>
    <row r="344" spans="1:95" s="808" customFormat="1">
      <c r="A344" s="567"/>
      <c r="B344" s="567"/>
      <c r="C344" s="558"/>
      <c r="D344" s="558"/>
      <c r="E344" s="556" t="str">
        <f t="shared" si="81"/>
        <v/>
      </c>
      <c r="F344" s="558"/>
      <c r="G344" s="558"/>
      <c r="H344" s="558"/>
      <c r="I344" s="558"/>
      <c r="J344" s="558"/>
      <c r="K344" s="558"/>
      <c r="L344" s="625"/>
      <c r="M344" s="625"/>
      <c r="N344" s="625"/>
      <c r="O344" s="625"/>
      <c r="P344" s="625"/>
      <c r="Q344" s="625"/>
      <c r="R344" s="625"/>
      <c r="S344" s="625"/>
      <c r="T344" s="625"/>
      <c r="U344" s="625"/>
      <c r="V344" s="625"/>
      <c r="W344" s="625"/>
      <c r="X344" s="625"/>
      <c r="Y344" s="625"/>
      <c r="Z344" s="625"/>
      <c r="AA344" s="625"/>
      <c r="AB344" s="625"/>
      <c r="AC344" s="625"/>
      <c r="AD344" s="625"/>
      <c r="AE344" s="625"/>
      <c r="AF344" s="623"/>
      <c r="AG344" s="623"/>
      <c r="AH344" s="623"/>
      <c r="AI344" s="623"/>
      <c r="AJ344" s="623"/>
      <c r="AK344" s="623"/>
      <c r="AL344" s="564"/>
      <c r="AM344" s="564"/>
      <c r="AN344" s="558"/>
      <c r="AO344" s="558"/>
      <c r="AP344" s="558"/>
      <c r="AQ344" s="558"/>
      <c r="AR344" s="558"/>
      <c r="AS344" s="558"/>
      <c r="AT344" s="558"/>
      <c r="AU344" s="558"/>
      <c r="AV344" s="558"/>
      <c r="AW344" s="558"/>
      <c r="AX344" s="558"/>
      <c r="AY344" s="558"/>
      <c r="AZ344" s="558"/>
      <c r="BA344" s="558"/>
      <c r="BB344" s="695"/>
      <c r="BC344" s="564"/>
      <c r="BD344" s="623"/>
      <c r="BE344" s="564"/>
      <c r="BF344" s="623"/>
      <c r="BG344" s="623"/>
      <c r="BH344" s="623"/>
      <c r="BI344" s="623"/>
      <c r="BJ344" s="623"/>
      <c r="BK344" s="623"/>
      <c r="BL344" s="623"/>
      <c r="BM344" s="623"/>
      <c r="BN344" s="623"/>
      <c r="BO344" s="623"/>
      <c r="BP344" s="623"/>
      <c r="BQ344" s="623"/>
      <c r="BR344" s="623"/>
      <c r="BS344" s="623"/>
      <c r="BT344" s="623"/>
      <c r="BU344" s="623"/>
      <c r="BV344" s="623"/>
      <c r="BW344" s="623"/>
      <c r="BX344" s="623"/>
      <c r="BY344" s="623"/>
      <c r="BZ344" s="623"/>
      <c r="CA344" s="623"/>
      <c r="CB344" s="623"/>
      <c r="CC344" s="623"/>
      <c r="CD344" s="623"/>
      <c r="CE344" s="623"/>
      <c r="CF344" s="623"/>
      <c r="CG344" s="623"/>
      <c r="CH344" s="623"/>
      <c r="CI344" s="623"/>
      <c r="CJ344" s="623"/>
      <c r="CK344" s="623"/>
      <c r="CL344" s="623"/>
      <c r="CM344" s="623"/>
      <c r="CN344" s="623"/>
      <c r="CO344" s="623"/>
      <c r="CP344" s="623"/>
      <c r="CQ344" s="623"/>
    </row>
    <row r="345" spans="1:95" s="808" customFormat="1" ht="13">
      <c r="A345" s="623"/>
      <c r="B345" s="625"/>
      <c r="C345" s="558"/>
      <c r="D345" s="558"/>
      <c r="E345" s="556" t="str">
        <f t="shared" si="81"/>
        <v/>
      </c>
      <c r="F345" s="558"/>
      <c r="G345" s="558"/>
      <c r="H345" s="558"/>
      <c r="I345" s="558"/>
      <c r="J345" s="558"/>
      <c r="K345" s="558"/>
      <c r="L345" s="625"/>
      <c r="M345" s="625"/>
      <c r="N345" s="625"/>
      <c r="O345" s="625"/>
      <c r="P345" s="625"/>
      <c r="Q345" s="625"/>
      <c r="R345" s="625"/>
      <c r="S345" s="625"/>
      <c r="T345" s="625"/>
      <c r="U345" s="625"/>
      <c r="V345" s="625"/>
      <c r="W345" s="625"/>
      <c r="X345" s="625"/>
      <c r="Y345" s="625"/>
      <c r="Z345" s="625"/>
      <c r="AA345" s="625"/>
      <c r="AB345" s="558"/>
      <c r="AC345" s="558"/>
      <c r="AD345" s="558"/>
      <c r="AE345" s="625"/>
      <c r="AF345" s="623"/>
      <c r="AG345" s="623"/>
      <c r="AH345" s="623"/>
      <c r="AI345" s="564"/>
      <c r="AJ345" s="623"/>
      <c r="AK345" s="623"/>
      <c r="AL345" s="564"/>
      <c r="AM345" s="564"/>
      <c r="AN345" s="558"/>
      <c r="AO345" s="558"/>
      <c r="AP345" s="558"/>
      <c r="AQ345" s="558"/>
      <c r="AR345" s="558"/>
      <c r="AS345" s="558"/>
      <c r="AT345" s="558"/>
      <c r="AU345" s="558"/>
      <c r="AV345" s="558"/>
      <c r="AW345" s="558"/>
      <c r="AX345" s="558"/>
      <c r="AY345" s="558"/>
      <c r="AZ345" s="558"/>
      <c r="BA345" s="558"/>
      <c r="BB345" s="695"/>
      <c r="BC345" s="564"/>
      <c r="BD345" s="623"/>
      <c r="BE345" s="564"/>
      <c r="BF345" s="623"/>
      <c r="BG345" s="623"/>
      <c r="BH345" s="623"/>
      <c r="BI345" s="623"/>
      <c r="BJ345" s="623"/>
      <c r="BK345" s="623"/>
      <c r="BL345" s="623"/>
      <c r="BM345" s="623"/>
      <c r="BN345" s="623"/>
      <c r="BO345" s="623"/>
      <c r="BP345" s="623"/>
      <c r="BQ345" s="623"/>
      <c r="BR345" s="623"/>
      <c r="BS345" s="623"/>
      <c r="BT345" s="623"/>
      <c r="BU345" s="623"/>
      <c r="BV345" s="623"/>
      <c r="BW345" s="623"/>
      <c r="BX345" s="623"/>
      <c r="BY345" s="623"/>
      <c r="BZ345" s="623"/>
      <c r="CA345" s="623"/>
      <c r="CB345" s="623"/>
      <c r="CC345" s="623"/>
      <c r="CD345" s="623"/>
      <c r="CE345" s="623"/>
      <c r="CF345" s="623"/>
      <c r="CG345" s="623"/>
      <c r="CH345" s="623"/>
      <c r="CI345" s="623"/>
      <c r="CJ345" s="623"/>
      <c r="CK345" s="623"/>
      <c r="CL345" s="623"/>
      <c r="CM345" s="623"/>
      <c r="CN345" s="623"/>
      <c r="CO345" s="623"/>
      <c r="CP345" s="623"/>
      <c r="CQ345" s="623"/>
    </row>
    <row r="346" spans="1:95">
      <c r="A346" s="564"/>
      <c r="B346" s="558"/>
      <c r="C346" s="558"/>
      <c r="D346" s="558"/>
      <c r="E346" s="556" t="str">
        <f t="shared" si="81"/>
        <v/>
      </c>
      <c r="F346" s="558"/>
      <c r="G346" s="558"/>
      <c r="H346" s="558"/>
      <c r="I346" s="558"/>
      <c r="J346" s="558"/>
      <c r="K346" s="558"/>
      <c r="L346" s="625"/>
      <c r="M346" s="625"/>
      <c r="N346" s="625"/>
      <c r="O346" s="625"/>
      <c r="P346" s="625"/>
      <c r="Q346" s="625"/>
      <c r="R346" s="625"/>
      <c r="S346" s="625"/>
      <c r="T346" s="625"/>
      <c r="U346" s="625"/>
      <c r="V346" s="625"/>
      <c r="W346" s="625"/>
      <c r="X346" s="625"/>
      <c r="Y346" s="625"/>
      <c r="Z346" s="625"/>
      <c r="AA346" s="625"/>
      <c r="AB346" s="558"/>
      <c r="AC346" s="558"/>
      <c r="AD346" s="558"/>
      <c r="AE346" s="558"/>
      <c r="AF346" s="564"/>
    </row>
    <row r="347" spans="1:95">
      <c r="A347" s="564"/>
      <c r="B347" s="558"/>
      <c r="C347" s="558"/>
      <c r="D347" s="558"/>
      <c r="E347" s="556" t="str">
        <f t="shared" si="81"/>
        <v/>
      </c>
      <c r="F347" s="558"/>
      <c r="G347" s="558"/>
      <c r="H347" s="558"/>
      <c r="I347" s="558"/>
      <c r="J347" s="558"/>
      <c r="K347" s="558"/>
      <c r="L347" s="625"/>
      <c r="M347" s="625"/>
      <c r="N347" s="625"/>
      <c r="O347" s="625"/>
      <c r="P347" s="625"/>
      <c r="Q347" s="625"/>
      <c r="R347" s="625"/>
      <c r="S347" s="625"/>
      <c r="T347" s="625"/>
      <c r="U347" s="625"/>
      <c r="V347" s="625"/>
      <c r="W347" s="625"/>
      <c r="X347" s="625"/>
      <c r="Y347" s="625"/>
      <c r="Z347" s="625"/>
      <c r="AA347" s="625"/>
      <c r="AB347" s="558"/>
      <c r="AC347" s="558"/>
      <c r="AD347" s="558"/>
      <c r="AE347" s="558"/>
      <c r="AF347" s="564"/>
    </row>
    <row r="348" spans="1:95">
      <c r="A348" s="564"/>
      <c r="B348" s="558"/>
      <c r="C348" s="558"/>
      <c r="D348" s="558"/>
      <c r="E348" s="556" t="str">
        <f t="shared" si="81"/>
        <v/>
      </c>
      <c r="F348" s="558"/>
      <c r="G348" s="558"/>
      <c r="H348" s="558"/>
      <c r="I348" s="558"/>
      <c r="J348" s="558"/>
      <c r="K348" s="558"/>
      <c r="L348" s="625"/>
      <c r="M348" s="625"/>
      <c r="N348" s="625"/>
      <c r="O348" s="625"/>
      <c r="P348" s="625"/>
      <c r="Q348" s="625"/>
      <c r="R348" s="625"/>
      <c r="S348" s="625"/>
      <c r="T348" s="625"/>
      <c r="U348" s="625"/>
      <c r="V348" s="625"/>
      <c r="W348" s="625"/>
      <c r="X348" s="625"/>
      <c r="Y348" s="625"/>
      <c r="Z348" s="625"/>
      <c r="AA348" s="625"/>
      <c r="AB348" s="558"/>
      <c r="AC348" s="558"/>
      <c r="AD348" s="558"/>
      <c r="AE348" s="558"/>
      <c r="AF348" s="564"/>
    </row>
    <row r="349" spans="1:95">
      <c r="A349" s="564"/>
      <c r="B349" s="558"/>
      <c r="C349" s="558"/>
      <c r="D349" s="558"/>
      <c r="E349" s="556" t="str">
        <f t="shared" si="81"/>
        <v/>
      </c>
      <c r="F349" s="558"/>
      <c r="G349" s="558"/>
      <c r="H349" s="558"/>
      <c r="I349" s="558"/>
      <c r="J349" s="558"/>
      <c r="K349" s="558"/>
      <c r="L349" s="625"/>
      <c r="M349" s="625"/>
      <c r="N349" s="625"/>
      <c r="O349" s="625"/>
      <c r="P349" s="625"/>
      <c r="Q349" s="625"/>
      <c r="R349" s="625"/>
      <c r="S349" s="625"/>
      <c r="T349" s="625"/>
      <c r="U349" s="625"/>
      <c r="V349" s="625"/>
      <c r="W349" s="625"/>
      <c r="X349" s="625"/>
      <c r="Y349" s="625"/>
      <c r="Z349" s="625"/>
      <c r="AA349" s="625"/>
      <c r="AB349" s="558"/>
      <c r="AC349" s="558"/>
      <c r="AD349" s="558"/>
      <c r="AE349" s="558"/>
      <c r="AF349" s="564"/>
    </row>
    <row r="350" spans="1:95">
      <c r="A350" s="564"/>
      <c r="B350" s="558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 s="558"/>
      <c r="AC350" s="558"/>
      <c r="AD350" s="558"/>
      <c r="AE350" s="558"/>
      <c r="AF350" s="564"/>
    </row>
    <row r="351" spans="1:95">
      <c r="A351" s="564"/>
      <c r="B351" s="558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 s="558"/>
      <c r="AC351" s="558"/>
      <c r="AD351" s="558"/>
      <c r="AE351" s="558"/>
      <c r="AF351" s="564"/>
    </row>
    <row r="352" spans="1:95">
      <c r="A352" s="564"/>
      <c r="B352" s="558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 s="558"/>
      <c r="AC352" s="558"/>
      <c r="AD352" s="558"/>
      <c r="AE352" s="558"/>
      <c r="AF352" s="564"/>
    </row>
    <row r="353" spans="1:32">
      <c r="A353" s="564"/>
      <c r="B353" s="558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 s="558"/>
      <c r="AC353" s="558"/>
      <c r="AD353" s="558"/>
      <c r="AE353" s="558"/>
      <c r="AF353" s="564"/>
    </row>
    <row r="354" spans="1:32">
      <c r="A354" s="564"/>
      <c r="B354" s="558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 s="558"/>
      <c r="AC354" s="558"/>
      <c r="AD354" s="558"/>
      <c r="AE354" s="558"/>
      <c r="AF354" s="564"/>
    </row>
    <row r="355" spans="1:32">
      <c r="A355" s="564"/>
      <c r="B355" s="558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 s="558"/>
      <c r="AC355" s="558"/>
      <c r="AD355" s="558"/>
      <c r="AE355" s="558"/>
      <c r="AF355" s="564"/>
    </row>
    <row r="356" spans="1:32">
      <c r="A356" s="564"/>
      <c r="B356" s="558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 s="558"/>
      <c r="AC356" s="558"/>
      <c r="AD356" s="558"/>
      <c r="AE356" s="558"/>
      <c r="AF356" s="564"/>
    </row>
    <row r="357" spans="1:32">
      <c r="A357" s="564"/>
      <c r="B357" s="558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 s="558"/>
      <c r="AC357" s="558"/>
      <c r="AD357" s="558"/>
      <c r="AE357" s="558"/>
      <c r="AF357" s="564"/>
    </row>
    <row r="358" spans="1:32">
      <c r="A358" s="564"/>
      <c r="B358" s="5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 s="558"/>
      <c r="AC358" s="558"/>
      <c r="AD358" s="558"/>
      <c r="AE358" s="558"/>
      <c r="AF358" s="564"/>
    </row>
    <row r="359" spans="1:32">
      <c r="A359" s="564"/>
      <c r="B359" s="558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 s="558"/>
      <c r="AC359" s="558"/>
      <c r="AD359" s="558"/>
      <c r="AE359" s="558"/>
      <c r="AF359" s="564"/>
    </row>
    <row r="360" spans="1:32">
      <c r="A360" s="564"/>
      <c r="B360" s="558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 s="558"/>
      <c r="AC360" s="558"/>
      <c r="AD360" s="558"/>
      <c r="AE360" s="558"/>
      <c r="AF360" s="564"/>
    </row>
    <row r="361" spans="1:32">
      <c r="A361" s="564"/>
      <c r="B361" s="558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 s="558"/>
      <c r="AC361" s="558"/>
      <c r="AD361" s="558"/>
      <c r="AE361" s="558"/>
      <c r="AF361" s="564"/>
    </row>
    <row r="362" spans="1:32">
      <c r="A362" s="564"/>
      <c r="B362" s="558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 s="558"/>
      <c r="AC362" s="558"/>
      <c r="AD362" s="558"/>
      <c r="AE362" s="558"/>
      <c r="AF362" s="564"/>
    </row>
    <row r="363" spans="1:32">
      <c r="A363" s="564"/>
      <c r="B363" s="558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 s="558"/>
      <c r="AC363" s="558"/>
      <c r="AD363" s="558"/>
      <c r="AE363" s="558"/>
      <c r="AF363" s="564"/>
    </row>
    <row r="364" spans="1:32">
      <c r="A364" s="564"/>
      <c r="B364" s="558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 s="558"/>
      <c r="AC364" s="558"/>
      <c r="AD364" s="558"/>
      <c r="AE364" s="558"/>
      <c r="AF364" s="564"/>
    </row>
    <row r="365" spans="1:32">
      <c r="A365" s="564"/>
      <c r="B365" s="558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 s="558"/>
      <c r="AC365" s="558"/>
      <c r="AD365" s="558"/>
      <c r="AE365" s="558"/>
      <c r="AF365" s="564"/>
    </row>
    <row r="366" spans="1:32">
      <c r="A366" s="564"/>
      <c r="B366" s="558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 s="558"/>
      <c r="AC366" s="558"/>
      <c r="AD366" s="558"/>
      <c r="AE366" s="558"/>
      <c r="AF366" s="564"/>
    </row>
    <row r="367" spans="1:32">
      <c r="A367" s="564"/>
      <c r="B367" s="558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 s="558"/>
      <c r="AC367" s="558"/>
      <c r="AD367" s="558"/>
      <c r="AE367" s="558"/>
      <c r="AF367" s="564"/>
    </row>
    <row r="368" spans="1:32">
      <c r="A368" s="564"/>
      <c r="B368" s="55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 s="558"/>
      <c r="AC368" s="558"/>
      <c r="AD368" s="558"/>
      <c r="AE368" s="558"/>
      <c r="AF368" s="564"/>
    </row>
    <row r="369" spans="1:32">
      <c r="A369" s="564"/>
      <c r="B369" s="558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 s="558"/>
      <c r="AC369" s="558"/>
      <c r="AD369" s="558"/>
      <c r="AE369" s="558"/>
      <c r="AF369" s="564"/>
    </row>
    <row r="370" spans="1:32">
      <c r="A370" s="564"/>
      <c r="B370" s="558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 s="558"/>
      <c r="AC370" s="558"/>
      <c r="AD370" s="558"/>
      <c r="AE370" s="558"/>
      <c r="AF370" s="564"/>
    </row>
    <row r="371" spans="1:32">
      <c r="A371" s="564"/>
      <c r="B371" s="558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 s="558"/>
      <c r="AC371" s="558"/>
      <c r="AD371" s="558"/>
      <c r="AE371" s="558"/>
      <c r="AF371" s="564"/>
    </row>
    <row r="372" spans="1:32">
      <c r="A372" s="564"/>
      <c r="B372" s="558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 s="558"/>
      <c r="AC372" s="558"/>
      <c r="AD372" s="558"/>
      <c r="AE372" s="558"/>
      <c r="AF372" s="564"/>
    </row>
    <row r="373" spans="1:32">
      <c r="A373" s="564"/>
      <c r="B373" s="558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 s="558"/>
      <c r="AC373" s="558"/>
      <c r="AD373" s="558"/>
      <c r="AE373" s="558"/>
      <c r="AF373" s="564"/>
    </row>
    <row r="374" spans="1:32">
      <c r="A374" s="564"/>
      <c r="B374" s="558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 s="558"/>
      <c r="AC374" s="558"/>
      <c r="AD374" s="558"/>
      <c r="AE374" s="558"/>
      <c r="AF374" s="564"/>
    </row>
    <row r="375" spans="1:32">
      <c r="A375" s="564"/>
      <c r="B375" s="558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 s="558"/>
      <c r="AC375" s="558"/>
      <c r="AD375" s="558"/>
      <c r="AE375" s="558"/>
      <c r="AF375" s="564"/>
    </row>
    <row r="376" spans="1:32">
      <c r="A376" s="564"/>
      <c r="B376" s="558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 s="558"/>
      <c r="AC376" s="558"/>
      <c r="AD376" s="558"/>
      <c r="AE376" s="558"/>
      <c r="AF376" s="564"/>
    </row>
    <row r="377" spans="1:32">
      <c r="A377" s="564"/>
      <c r="B377" s="558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 s="558"/>
      <c r="AC377" s="558"/>
      <c r="AD377" s="558"/>
      <c r="AE377" s="558"/>
      <c r="AF377" s="564"/>
    </row>
    <row r="378" spans="1:32">
      <c r="A378" s="564"/>
      <c r="B378" s="55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 s="558"/>
      <c r="AC378" s="558"/>
      <c r="AD378" s="558"/>
      <c r="AE378" s="558"/>
      <c r="AF378" s="564"/>
    </row>
    <row r="379" spans="1:32">
      <c r="A379" s="564"/>
      <c r="B379" s="558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 s="558"/>
      <c r="AC379" s="558"/>
      <c r="AD379" s="558"/>
      <c r="AE379" s="558"/>
      <c r="AF379" s="564"/>
    </row>
    <row r="380" spans="1:32">
      <c r="A380" s="564"/>
      <c r="B380" s="558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 s="558"/>
      <c r="AC380" s="558"/>
      <c r="AD380" s="558"/>
      <c r="AE380" s="558"/>
      <c r="AF380" s="564"/>
    </row>
    <row r="381" spans="1:32">
      <c r="A381" s="564"/>
      <c r="B381" s="558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 s="558"/>
      <c r="AC381" s="558"/>
      <c r="AD381" s="558"/>
      <c r="AE381" s="558"/>
      <c r="AF381" s="564"/>
    </row>
    <row r="382" spans="1:32">
      <c r="A382" s="564"/>
      <c r="B382" s="558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 s="558"/>
      <c r="AC382" s="558"/>
      <c r="AD382" s="558"/>
      <c r="AE382" s="558"/>
      <c r="AF382" s="564"/>
    </row>
    <row r="383" spans="1:32">
      <c r="A383" s="564"/>
      <c r="B383" s="558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 s="558"/>
      <c r="AC383" s="558"/>
      <c r="AD383" s="558"/>
      <c r="AE383" s="558"/>
      <c r="AF383" s="564"/>
    </row>
    <row r="384" spans="1:32">
      <c r="A384" s="564"/>
      <c r="B384" s="558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 s="558"/>
      <c r="AC384" s="558"/>
      <c r="AD384" s="558"/>
      <c r="AE384" s="558"/>
      <c r="AF384" s="564"/>
    </row>
    <row r="385" spans="1:32">
      <c r="A385" s="564"/>
      <c r="B385" s="558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 s="558"/>
      <c r="AC385" s="558"/>
      <c r="AD385" s="558"/>
      <c r="AE385" s="558"/>
      <c r="AF385" s="564"/>
    </row>
    <row r="386" spans="1:32">
      <c r="A386" s="564"/>
      <c r="B386" s="558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 s="558"/>
      <c r="AC386" s="558"/>
      <c r="AD386" s="558"/>
      <c r="AE386" s="558"/>
      <c r="AF386" s="564"/>
    </row>
    <row r="387" spans="1:32">
      <c r="A387" s="564"/>
      <c r="B387" s="558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 s="558"/>
      <c r="AC387" s="558"/>
      <c r="AD387" s="558"/>
      <c r="AE387" s="558"/>
      <c r="AF387" s="564"/>
    </row>
    <row r="388" spans="1:32">
      <c r="A388" s="564"/>
      <c r="B388" s="55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 s="558"/>
      <c r="AC388" s="558"/>
      <c r="AD388" s="558"/>
      <c r="AE388" s="558"/>
      <c r="AF388" s="564"/>
    </row>
    <row r="389" spans="1:32">
      <c r="A389" s="564"/>
      <c r="B389" s="558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 s="558"/>
      <c r="AC389" s="558"/>
      <c r="AD389" s="558"/>
      <c r="AE389" s="558"/>
      <c r="AF389" s="564"/>
    </row>
    <row r="390" spans="1:32">
      <c r="A390" s="564"/>
      <c r="B390" s="558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 s="558"/>
      <c r="AC390" s="558"/>
      <c r="AD390" s="558"/>
      <c r="AE390" s="558"/>
      <c r="AF390" s="564"/>
    </row>
    <row r="391" spans="1:32">
      <c r="A391" s="564"/>
      <c r="B391" s="558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 s="558"/>
      <c r="AC391" s="558"/>
      <c r="AD391" s="558"/>
      <c r="AE391" s="558"/>
      <c r="AF391" s="564"/>
    </row>
    <row r="392" spans="1:32">
      <c r="A392" s="564"/>
      <c r="B392" s="558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 s="558"/>
      <c r="AC392" s="558"/>
      <c r="AD392" s="558"/>
      <c r="AE392" s="558"/>
      <c r="AF392" s="564"/>
    </row>
    <row r="393" spans="1:32">
      <c r="A393" s="564"/>
      <c r="B393" s="558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 s="558"/>
      <c r="AC393" s="558"/>
      <c r="AD393" s="558"/>
      <c r="AE393" s="558"/>
      <c r="AF393" s="564"/>
    </row>
    <row r="394" spans="1:32">
      <c r="A394" s="564"/>
      <c r="B394" s="558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 s="558"/>
      <c r="AC394" s="558"/>
      <c r="AD394" s="558"/>
      <c r="AE394" s="558"/>
      <c r="AF394" s="564"/>
    </row>
    <row r="395" spans="1:32">
      <c r="A395" s="564"/>
      <c r="B395" s="558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 s="558"/>
      <c r="AC395" s="558"/>
      <c r="AD395" s="558"/>
      <c r="AE395" s="558"/>
      <c r="AF395" s="564"/>
    </row>
    <row r="396" spans="1:32">
      <c r="A396" s="564"/>
      <c r="B396" s="558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 s="558"/>
      <c r="AC396" s="558"/>
      <c r="AD396" s="558"/>
      <c r="AE396" s="558"/>
      <c r="AF396" s="564"/>
    </row>
    <row r="397" spans="1:32">
      <c r="A397" s="564"/>
      <c r="B397" s="558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 s="558"/>
      <c r="AC397" s="558"/>
      <c r="AD397" s="558"/>
      <c r="AE397" s="558"/>
      <c r="AF397" s="564"/>
    </row>
    <row r="398" spans="1:32">
      <c r="A398" s="564"/>
      <c r="B398" s="55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 s="558"/>
      <c r="AC398" s="558"/>
      <c r="AD398" s="558"/>
      <c r="AE398" s="558"/>
      <c r="AF398" s="564"/>
    </row>
    <row r="399" spans="1:32">
      <c r="A399" s="564"/>
      <c r="B399" s="558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 s="558"/>
      <c r="AC399" s="558"/>
      <c r="AD399" s="558"/>
      <c r="AE399" s="558"/>
      <c r="AF399" s="564"/>
    </row>
    <row r="400" spans="1:32">
      <c r="A400" s="564"/>
      <c r="B400" s="558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 s="558"/>
      <c r="AC400" s="558"/>
      <c r="AD400" s="558"/>
      <c r="AE400" s="558"/>
      <c r="AF400" s="564"/>
    </row>
    <row r="401" spans="1:32">
      <c r="A401" s="564"/>
      <c r="B401" s="558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 s="558"/>
      <c r="AC401" s="558"/>
      <c r="AD401" s="558"/>
      <c r="AE401" s="558"/>
      <c r="AF401" s="564"/>
    </row>
    <row r="402" spans="1:32">
      <c r="A402" s="564"/>
      <c r="B402" s="558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 s="558"/>
      <c r="AC402" s="558"/>
      <c r="AD402" s="558"/>
      <c r="AE402" s="558"/>
      <c r="AF402" s="564"/>
    </row>
    <row r="403" spans="1:32">
      <c r="A403" s="564"/>
      <c r="B403" s="558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 s="558"/>
      <c r="AC403" s="558"/>
      <c r="AD403" s="558"/>
      <c r="AE403" s="558"/>
      <c r="AF403" s="564"/>
    </row>
    <row r="404" spans="1:32">
      <c r="A404" s="564"/>
      <c r="B404" s="558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 s="558"/>
      <c r="AC404" s="558"/>
      <c r="AD404" s="558"/>
      <c r="AE404" s="558"/>
      <c r="AF404" s="564"/>
    </row>
    <row r="405" spans="1:32">
      <c r="A405" s="564"/>
      <c r="B405" s="558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 s="558"/>
      <c r="AC405" s="558"/>
      <c r="AD405" s="558"/>
      <c r="AE405" s="558"/>
      <c r="AF405" s="564"/>
    </row>
    <row r="406" spans="1:32">
      <c r="A406" s="564"/>
      <c r="B406" s="558"/>
      <c r="C406" s="558"/>
      <c r="D406" s="558"/>
      <c r="E406" s="558"/>
      <c r="F406" s="558"/>
      <c r="G406" s="558"/>
      <c r="H406" s="558"/>
      <c r="I406" s="558"/>
      <c r="J406" s="558"/>
      <c r="K406" s="558"/>
      <c r="L406" s="558"/>
      <c r="M406" s="558"/>
      <c r="N406" s="558"/>
      <c r="O406" s="558"/>
      <c r="P406" s="558"/>
      <c r="Q406" s="558"/>
      <c r="R406" s="558"/>
      <c r="S406" s="558"/>
      <c r="T406" s="625"/>
      <c r="U406" s="625"/>
      <c r="V406" s="558"/>
      <c r="W406" s="558"/>
      <c r="X406" s="558"/>
      <c r="Y406" s="558"/>
      <c r="Z406" s="558"/>
      <c r="AA406" s="558"/>
      <c r="AB406" s="558"/>
      <c r="AC406" s="558"/>
      <c r="AD406" s="558"/>
      <c r="AE406" s="558"/>
      <c r="AF406" s="564"/>
    </row>
    <row r="407" spans="1:32">
      <c r="A407" s="564"/>
      <c r="B407" s="558"/>
      <c r="C407" s="558"/>
      <c r="D407" s="558"/>
      <c r="E407" s="558"/>
      <c r="F407" s="558"/>
      <c r="G407" s="558"/>
      <c r="H407" s="558"/>
      <c r="I407" s="558"/>
      <c r="J407" s="558"/>
      <c r="K407" s="558"/>
      <c r="L407" s="558"/>
      <c r="M407" s="558"/>
      <c r="N407" s="558"/>
      <c r="O407" s="558"/>
      <c r="P407" s="558"/>
      <c r="Q407" s="558"/>
      <c r="R407" s="558"/>
      <c r="S407" s="558"/>
      <c r="T407" s="625"/>
      <c r="U407" s="625"/>
      <c r="V407" s="558"/>
      <c r="W407" s="558"/>
      <c r="X407" s="558"/>
      <c r="Y407" s="558"/>
      <c r="Z407" s="558"/>
      <c r="AA407" s="558"/>
      <c r="AB407" s="558"/>
      <c r="AC407" s="558"/>
      <c r="AD407" s="558"/>
      <c r="AE407" s="558"/>
      <c r="AF407" s="564"/>
    </row>
    <row r="408" spans="1:32">
      <c r="A408" s="564"/>
      <c r="B408" s="558"/>
      <c r="C408" s="558"/>
      <c r="D408" s="558"/>
      <c r="E408" s="558"/>
      <c r="F408" s="558"/>
      <c r="G408" s="558"/>
      <c r="H408" s="558"/>
      <c r="I408" s="558"/>
      <c r="J408" s="558"/>
      <c r="K408" s="558"/>
      <c r="L408" s="558"/>
      <c r="M408" s="558"/>
      <c r="N408" s="558"/>
      <c r="O408" s="558"/>
      <c r="P408" s="558"/>
      <c r="Q408" s="558"/>
      <c r="R408" s="558"/>
      <c r="S408" s="558"/>
      <c r="T408" s="625"/>
      <c r="U408" s="625"/>
      <c r="V408" s="558"/>
      <c r="W408" s="558"/>
      <c r="X408" s="558"/>
      <c r="Y408" s="558"/>
      <c r="Z408" s="558"/>
      <c r="AA408" s="558"/>
      <c r="AB408" s="558"/>
      <c r="AC408" s="558"/>
      <c r="AD408" s="558"/>
      <c r="AE408" s="558"/>
      <c r="AF408" s="564"/>
    </row>
    <row r="409" spans="1:32">
      <c r="A409" s="564"/>
      <c r="B409" s="558"/>
      <c r="C409" s="558"/>
      <c r="D409" s="558"/>
      <c r="E409" s="558"/>
      <c r="F409" s="558"/>
      <c r="G409" s="558"/>
      <c r="H409" s="558"/>
      <c r="I409" s="558"/>
      <c r="J409" s="558"/>
      <c r="K409" s="558"/>
      <c r="L409" s="558"/>
      <c r="M409" s="558"/>
      <c r="N409" s="558"/>
      <c r="O409" s="558"/>
      <c r="P409" s="558"/>
      <c r="Q409" s="558"/>
      <c r="R409" s="558"/>
      <c r="S409" s="558"/>
      <c r="T409" s="625"/>
      <c r="U409" s="625"/>
      <c r="V409" s="558"/>
      <c r="W409" s="558"/>
      <c r="X409" s="558"/>
      <c r="Y409" s="558"/>
      <c r="Z409" s="558"/>
      <c r="AA409" s="558"/>
      <c r="AB409" s="558"/>
      <c r="AC409" s="558"/>
      <c r="AD409" s="558"/>
      <c r="AE409" s="558"/>
      <c r="AF409" s="564"/>
    </row>
    <row r="410" spans="1:32">
      <c r="A410" s="564"/>
      <c r="B410" s="558"/>
      <c r="C410" s="558"/>
      <c r="D410" s="558"/>
      <c r="E410" s="558"/>
      <c r="F410" s="558"/>
      <c r="G410" s="558"/>
      <c r="H410" s="558"/>
      <c r="I410" s="558"/>
      <c r="J410" s="558"/>
      <c r="K410" s="558"/>
      <c r="L410" s="558"/>
      <c r="M410" s="558"/>
      <c r="N410" s="558"/>
      <c r="O410" s="558"/>
      <c r="P410" s="558"/>
      <c r="Q410" s="558"/>
      <c r="R410" s="558"/>
      <c r="S410" s="558"/>
      <c r="T410" s="625"/>
      <c r="U410" s="625"/>
      <c r="V410" s="558"/>
      <c r="W410" s="558"/>
      <c r="X410" s="558"/>
      <c r="Y410" s="558"/>
      <c r="Z410" s="558"/>
      <c r="AA410" s="558"/>
      <c r="AB410" s="558"/>
      <c r="AC410" s="558"/>
      <c r="AD410" s="558"/>
      <c r="AE410" s="558"/>
      <c r="AF410" s="564"/>
    </row>
    <row r="411" spans="1:32">
      <c r="A411" s="564"/>
      <c r="B411" s="558"/>
      <c r="C411" s="558"/>
      <c r="D411" s="558"/>
      <c r="E411" s="558"/>
      <c r="F411" s="558"/>
      <c r="G411" s="558"/>
      <c r="H411" s="558"/>
      <c r="I411" s="558"/>
      <c r="J411" s="558"/>
      <c r="K411" s="558"/>
      <c r="L411" s="558"/>
      <c r="M411" s="558"/>
      <c r="N411" s="558"/>
      <c r="O411" s="558"/>
      <c r="P411" s="558"/>
      <c r="Q411" s="558"/>
      <c r="R411" s="558"/>
      <c r="S411" s="558"/>
      <c r="T411" s="625"/>
      <c r="U411" s="625"/>
      <c r="V411" s="558"/>
      <c r="W411" s="558"/>
      <c r="X411" s="558"/>
      <c r="Y411" s="558"/>
      <c r="Z411" s="558"/>
      <c r="AA411" s="558"/>
      <c r="AB411" s="558"/>
      <c r="AC411" s="558"/>
      <c r="AD411" s="558"/>
      <c r="AE411" s="558"/>
      <c r="AF411" s="564"/>
    </row>
    <row r="412" spans="1:32">
      <c r="A412" s="564"/>
      <c r="B412" s="558"/>
      <c r="C412" s="558"/>
      <c r="D412" s="558"/>
      <c r="E412" s="558"/>
      <c r="F412" s="558"/>
      <c r="G412" s="558"/>
      <c r="H412" s="558"/>
      <c r="I412" s="558"/>
      <c r="J412" s="558"/>
      <c r="K412" s="558"/>
      <c r="L412" s="558"/>
      <c r="M412" s="558"/>
      <c r="N412" s="558"/>
      <c r="O412" s="558"/>
      <c r="P412" s="558"/>
      <c r="Q412" s="558"/>
      <c r="R412" s="558"/>
      <c r="S412" s="558"/>
      <c r="T412" s="625"/>
      <c r="U412" s="625"/>
      <c r="V412" s="558"/>
      <c r="W412" s="558"/>
      <c r="X412" s="558"/>
      <c r="Y412" s="558"/>
      <c r="Z412" s="558"/>
      <c r="AA412" s="558"/>
      <c r="AB412" s="558"/>
      <c r="AC412" s="558"/>
      <c r="AD412" s="558"/>
      <c r="AE412" s="558"/>
      <c r="AF412" s="564"/>
    </row>
    <row r="413" spans="1:32">
      <c r="A413" s="564"/>
      <c r="B413" s="558"/>
      <c r="C413" s="558"/>
      <c r="D413" s="558"/>
      <c r="E413" s="558"/>
      <c r="F413" s="558"/>
      <c r="G413" s="558"/>
      <c r="H413" s="558"/>
      <c r="I413" s="558"/>
      <c r="J413" s="558"/>
      <c r="K413" s="558"/>
      <c r="L413" s="558"/>
      <c r="M413" s="558"/>
      <c r="N413" s="558"/>
      <c r="O413" s="558"/>
      <c r="P413" s="558"/>
      <c r="Q413" s="558"/>
      <c r="R413" s="558"/>
      <c r="S413" s="558"/>
      <c r="T413" s="625"/>
      <c r="U413" s="625"/>
      <c r="V413" s="558"/>
      <c r="W413" s="558"/>
      <c r="X413" s="558"/>
      <c r="Y413" s="558"/>
      <c r="Z413" s="558"/>
      <c r="AA413" s="558"/>
      <c r="AB413" s="558"/>
      <c r="AC413" s="558"/>
      <c r="AD413" s="558"/>
      <c r="AE413" s="558"/>
      <c r="AF413" s="564"/>
    </row>
    <row r="414" spans="1:32">
      <c r="A414" s="564"/>
      <c r="B414" s="558"/>
      <c r="C414" s="558"/>
      <c r="D414" s="558"/>
      <c r="E414" s="558"/>
      <c r="F414" s="558"/>
      <c r="G414" s="558"/>
      <c r="H414" s="558"/>
      <c r="I414" s="558"/>
      <c r="J414" s="558"/>
      <c r="K414" s="558"/>
      <c r="L414" s="558"/>
      <c r="M414" s="558"/>
      <c r="N414" s="558"/>
      <c r="O414" s="558"/>
      <c r="P414" s="558"/>
      <c r="Q414" s="558"/>
      <c r="R414" s="558"/>
      <c r="S414" s="558"/>
      <c r="T414" s="625"/>
      <c r="U414" s="625"/>
      <c r="V414" s="558"/>
      <c r="W414" s="558"/>
      <c r="X414" s="558"/>
      <c r="Y414" s="558"/>
      <c r="Z414" s="558"/>
      <c r="AA414" s="558"/>
      <c r="AB414" s="558"/>
      <c r="AC414" s="558"/>
      <c r="AD414" s="558"/>
      <c r="AE414" s="558"/>
      <c r="AF414" s="564"/>
    </row>
    <row r="415" spans="1:32">
      <c r="A415" s="564"/>
      <c r="B415" s="558"/>
      <c r="C415" s="558"/>
      <c r="D415" s="558"/>
      <c r="E415" s="558"/>
      <c r="F415" s="558"/>
      <c r="G415" s="558"/>
      <c r="H415" s="558"/>
      <c r="I415" s="558"/>
      <c r="J415" s="558"/>
      <c r="K415" s="558"/>
      <c r="L415" s="558"/>
      <c r="M415" s="558"/>
      <c r="N415" s="558"/>
      <c r="O415" s="558"/>
      <c r="P415" s="558"/>
      <c r="Q415" s="558"/>
      <c r="R415" s="558"/>
      <c r="S415" s="558"/>
      <c r="T415" s="625"/>
      <c r="U415" s="625"/>
      <c r="V415" s="558"/>
      <c r="W415" s="558"/>
      <c r="X415" s="558"/>
      <c r="Y415" s="558"/>
      <c r="Z415" s="558"/>
      <c r="AA415" s="558"/>
      <c r="AB415" s="558"/>
      <c r="AC415" s="558"/>
      <c r="AD415" s="558"/>
      <c r="AE415" s="558"/>
      <c r="AF415" s="564"/>
    </row>
    <row r="416" spans="1:32">
      <c r="A416" s="564"/>
      <c r="B416" s="558"/>
      <c r="C416" s="558"/>
      <c r="D416" s="558"/>
      <c r="E416" s="558"/>
      <c r="F416" s="558"/>
      <c r="G416" s="558"/>
      <c r="H416" s="558"/>
      <c r="I416" s="558"/>
      <c r="J416" s="558"/>
      <c r="K416" s="558"/>
      <c r="L416" s="558"/>
      <c r="M416" s="558"/>
      <c r="N416" s="558"/>
      <c r="O416" s="558"/>
      <c r="P416" s="558"/>
      <c r="Q416" s="558"/>
      <c r="R416" s="558"/>
      <c r="S416" s="558"/>
      <c r="T416" s="625"/>
      <c r="U416" s="625"/>
      <c r="V416" s="558"/>
      <c r="W416" s="558"/>
      <c r="X416" s="558"/>
      <c r="Y416" s="558"/>
      <c r="Z416" s="558"/>
      <c r="AA416" s="558"/>
      <c r="AB416" s="558"/>
      <c r="AC416" s="558"/>
      <c r="AD416" s="558"/>
      <c r="AE416" s="558"/>
      <c r="AF416" s="564"/>
    </row>
    <row r="417" spans="1:32">
      <c r="A417" s="564"/>
      <c r="B417" s="558"/>
      <c r="C417" s="558"/>
      <c r="D417" s="558"/>
      <c r="E417" s="558"/>
      <c r="F417" s="558"/>
      <c r="G417" s="558"/>
      <c r="H417" s="558"/>
      <c r="I417" s="558"/>
      <c r="J417" s="558"/>
      <c r="K417" s="558"/>
      <c r="L417" s="558"/>
      <c r="M417" s="558"/>
      <c r="N417" s="558"/>
      <c r="O417" s="558"/>
      <c r="P417" s="558"/>
      <c r="Q417" s="558"/>
      <c r="R417" s="558"/>
      <c r="S417" s="558"/>
      <c r="T417" s="625"/>
      <c r="U417" s="625"/>
      <c r="V417" s="558"/>
      <c r="W417" s="558"/>
      <c r="X417" s="558"/>
      <c r="Y417" s="558"/>
      <c r="Z417" s="558"/>
      <c r="AA417" s="558"/>
      <c r="AB417" s="558"/>
      <c r="AC417" s="558"/>
      <c r="AD417" s="558"/>
      <c r="AE417" s="558"/>
      <c r="AF417" s="564"/>
    </row>
    <row r="418" spans="1:32">
      <c r="A418" s="564"/>
      <c r="B418" s="558"/>
      <c r="C418" s="558"/>
      <c r="D418" s="558"/>
      <c r="E418" s="558"/>
      <c r="F418" s="558"/>
      <c r="G418" s="558"/>
      <c r="H418" s="558"/>
      <c r="I418" s="558"/>
      <c r="J418" s="558"/>
      <c r="K418" s="558"/>
      <c r="L418" s="558"/>
      <c r="M418" s="558"/>
      <c r="N418" s="558"/>
      <c r="O418" s="558"/>
      <c r="P418" s="558"/>
      <c r="Q418" s="558"/>
      <c r="R418" s="558"/>
      <c r="S418" s="558"/>
      <c r="T418" s="625"/>
      <c r="U418" s="625"/>
      <c r="V418" s="558"/>
      <c r="W418" s="558"/>
      <c r="X418" s="558"/>
      <c r="Y418" s="558"/>
      <c r="Z418" s="558"/>
      <c r="AA418" s="558"/>
      <c r="AB418" s="558"/>
      <c r="AC418" s="558"/>
      <c r="AD418" s="558"/>
      <c r="AE418" s="558"/>
      <c r="AF418" s="564"/>
    </row>
    <row r="419" spans="1:32">
      <c r="A419" s="564"/>
      <c r="B419" s="558"/>
      <c r="C419" s="558"/>
      <c r="D419" s="558"/>
      <c r="E419" s="558"/>
      <c r="F419" s="558"/>
      <c r="G419" s="558"/>
      <c r="H419" s="558"/>
      <c r="I419" s="558"/>
      <c r="J419" s="558"/>
      <c r="K419" s="558"/>
      <c r="L419" s="558"/>
      <c r="M419" s="558"/>
      <c r="N419" s="558"/>
      <c r="O419" s="558"/>
      <c r="P419" s="558"/>
      <c r="Q419" s="558"/>
      <c r="R419" s="558"/>
      <c r="S419" s="558"/>
      <c r="T419" s="625"/>
      <c r="U419" s="625"/>
      <c r="V419" s="558"/>
      <c r="W419" s="558"/>
      <c r="X419" s="558"/>
      <c r="Y419" s="558"/>
      <c r="Z419" s="558"/>
      <c r="AA419" s="558"/>
      <c r="AB419" s="558"/>
      <c r="AC419" s="558"/>
      <c r="AD419" s="558"/>
      <c r="AE419" s="558"/>
      <c r="AF419" s="564"/>
    </row>
    <row r="420" spans="1:32">
      <c r="A420" s="564"/>
      <c r="B420" s="558"/>
      <c r="C420" s="558"/>
      <c r="D420" s="558"/>
      <c r="E420" s="558"/>
      <c r="F420" s="558"/>
      <c r="G420" s="558"/>
      <c r="H420" s="558"/>
      <c r="I420" s="558"/>
      <c r="J420" s="558"/>
      <c r="K420" s="558"/>
      <c r="L420" s="558"/>
      <c r="M420" s="558"/>
      <c r="N420" s="558"/>
      <c r="O420" s="558"/>
      <c r="P420" s="558"/>
      <c r="Q420" s="558"/>
      <c r="R420" s="558"/>
      <c r="S420" s="558"/>
      <c r="T420" s="625"/>
      <c r="U420" s="625"/>
      <c r="V420" s="558"/>
      <c r="W420" s="558"/>
      <c r="X420" s="558"/>
      <c r="Y420" s="558"/>
      <c r="Z420" s="558"/>
      <c r="AA420" s="558"/>
      <c r="AB420" s="558"/>
      <c r="AC420" s="558"/>
      <c r="AD420" s="558"/>
      <c r="AE420" s="558"/>
      <c r="AF420" s="564"/>
    </row>
    <row r="421" spans="1:32">
      <c r="A421" s="564"/>
      <c r="B421" s="558"/>
      <c r="C421" s="558"/>
      <c r="D421" s="558"/>
      <c r="E421" s="558"/>
      <c r="F421" s="558"/>
      <c r="G421" s="558"/>
      <c r="H421" s="558"/>
      <c r="I421" s="558"/>
      <c r="J421" s="558"/>
      <c r="K421" s="558"/>
      <c r="L421" s="558"/>
      <c r="M421" s="558"/>
      <c r="N421" s="558"/>
      <c r="O421" s="558"/>
      <c r="P421" s="558"/>
      <c r="Q421" s="558"/>
      <c r="R421" s="558"/>
      <c r="S421" s="558"/>
      <c r="T421" s="625"/>
      <c r="U421" s="625"/>
      <c r="V421" s="558"/>
      <c r="W421" s="558"/>
      <c r="X421" s="558"/>
      <c r="Y421" s="558"/>
      <c r="Z421" s="558"/>
      <c r="AA421" s="558"/>
      <c r="AB421" s="558"/>
      <c r="AC421" s="558"/>
      <c r="AD421" s="558"/>
      <c r="AE421" s="558"/>
      <c r="AF421" s="564"/>
    </row>
    <row r="422" spans="1:32">
      <c r="A422" s="564"/>
      <c r="B422" s="558"/>
      <c r="C422" s="558"/>
      <c r="D422" s="558"/>
      <c r="E422" s="558"/>
      <c r="F422" s="558"/>
      <c r="G422" s="558"/>
      <c r="H422" s="558"/>
      <c r="I422" s="558"/>
      <c r="J422" s="558"/>
      <c r="K422" s="558"/>
      <c r="L422" s="558"/>
      <c r="M422" s="558"/>
      <c r="N422" s="558"/>
      <c r="O422" s="558"/>
      <c r="P422" s="558"/>
      <c r="Q422" s="558"/>
      <c r="R422" s="558"/>
      <c r="S422" s="558"/>
      <c r="T422" s="625"/>
      <c r="U422" s="625"/>
      <c r="V422" s="558"/>
      <c r="W422" s="558"/>
      <c r="X422" s="558"/>
      <c r="Y422" s="558"/>
      <c r="Z422" s="558"/>
      <c r="AA422" s="558"/>
      <c r="AB422" s="558"/>
      <c r="AC422" s="558"/>
      <c r="AD422" s="558"/>
      <c r="AE422" s="558"/>
      <c r="AF422" s="564"/>
    </row>
    <row r="423" spans="1:32">
      <c r="A423" s="564"/>
      <c r="B423" s="558"/>
      <c r="C423" s="558"/>
      <c r="D423" s="558"/>
      <c r="E423" s="558"/>
      <c r="F423" s="558"/>
      <c r="G423" s="558"/>
      <c r="H423" s="558"/>
      <c r="I423" s="558"/>
      <c r="J423" s="558"/>
      <c r="K423" s="558"/>
      <c r="L423" s="558"/>
      <c r="M423" s="558"/>
      <c r="N423" s="558"/>
      <c r="O423" s="558"/>
      <c r="P423" s="558"/>
      <c r="Q423" s="558"/>
      <c r="R423" s="558"/>
      <c r="S423" s="558"/>
      <c r="T423" s="625"/>
      <c r="U423" s="625"/>
      <c r="V423" s="558"/>
      <c r="W423" s="558"/>
      <c r="X423" s="558"/>
      <c r="Y423" s="558"/>
      <c r="Z423" s="558"/>
      <c r="AA423" s="558"/>
      <c r="AB423" s="558"/>
      <c r="AC423" s="558"/>
      <c r="AD423" s="558"/>
      <c r="AE423" s="558"/>
      <c r="AF423" s="564"/>
    </row>
    <row r="424" spans="1:32">
      <c r="A424" s="564"/>
      <c r="B424" s="558"/>
      <c r="C424" s="558"/>
      <c r="D424" s="558"/>
      <c r="E424" s="558"/>
      <c r="F424" s="558"/>
      <c r="G424" s="558"/>
      <c r="H424" s="558"/>
      <c r="I424" s="558"/>
      <c r="J424" s="558"/>
      <c r="K424" s="558"/>
      <c r="L424" s="558"/>
      <c r="M424" s="558"/>
      <c r="N424" s="558"/>
      <c r="O424" s="558"/>
      <c r="P424" s="558"/>
      <c r="Q424" s="558"/>
      <c r="R424" s="558"/>
      <c r="S424" s="558"/>
      <c r="T424" s="625"/>
      <c r="U424" s="625"/>
      <c r="V424" s="558"/>
      <c r="W424" s="558"/>
      <c r="X424" s="558"/>
      <c r="Y424" s="558"/>
      <c r="Z424" s="558"/>
      <c r="AA424" s="558"/>
      <c r="AB424" s="558"/>
      <c r="AC424" s="558"/>
      <c r="AD424" s="558"/>
      <c r="AE424" s="558"/>
      <c r="AF424" s="564"/>
    </row>
    <row r="425" spans="1:32">
      <c r="A425" s="564"/>
      <c r="B425" s="558"/>
      <c r="C425" s="558"/>
      <c r="D425" s="558"/>
      <c r="E425" s="558"/>
      <c r="F425" s="558"/>
      <c r="G425" s="558"/>
      <c r="H425" s="558"/>
      <c r="I425" s="558"/>
      <c r="J425" s="558"/>
      <c r="K425" s="558"/>
      <c r="L425" s="558"/>
      <c r="M425" s="558"/>
      <c r="N425" s="558"/>
      <c r="O425" s="558"/>
      <c r="P425" s="558"/>
      <c r="Q425" s="558"/>
      <c r="R425" s="558"/>
      <c r="S425" s="558"/>
      <c r="T425" s="625"/>
      <c r="U425" s="625"/>
      <c r="V425" s="558"/>
      <c r="W425" s="558"/>
      <c r="X425" s="558"/>
      <c r="Y425" s="558"/>
      <c r="Z425" s="558"/>
      <c r="AA425" s="558"/>
      <c r="AB425" s="558"/>
      <c r="AC425" s="558"/>
      <c r="AD425" s="558"/>
      <c r="AE425" s="558"/>
      <c r="AF425" s="564"/>
    </row>
    <row r="426" spans="1:32">
      <c r="A426" s="564"/>
      <c r="B426" s="558"/>
      <c r="C426" s="558"/>
      <c r="D426" s="558"/>
      <c r="E426" s="558"/>
      <c r="F426" s="558"/>
      <c r="G426" s="558"/>
      <c r="H426" s="558"/>
      <c r="I426" s="558"/>
      <c r="J426" s="558"/>
      <c r="K426" s="558"/>
      <c r="L426" s="558"/>
      <c r="M426" s="558"/>
      <c r="N426" s="558"/>
      <c r="O426" s="558"/>
      <c r="P426" s="558"/>
      <c r="Q426" s="558"/>
      <c r="R426" s="558"/>
      <c r="S426" s="558"/>
      <c r="T426" s="625"/>
      <c r="U426" s="625"/>
      <c r="V426" s="558"/>
      <c r="W426" s="558"/>
      <c r="X426" s="558"/>
      <c r="Y426" s="558"/>
      <c r="Z426" s="558"/>
      <c r="AA426" s="558"/>
      <c r="AB426" s="558"/>
      <c r="AC426" s="558"/>
      <c r="AD426" s="558"/>
      <c r="AE426" s="558"/>
      <c r="AF426" s="564"/>
    </row>
    <row r="427" spans="1:32">
      <c r="A427" s="564"/>
      <c r="B427" s="558"/>
      <c r="C427" s="558"/>
      <c r="D427" s="558"/>
      <c r="E427" s="558"/>
      <c r="F427" s="558"/>
      <c r="G427" s="558"/>
      <c r="H427" s="558"/>
      <c r="I427" s="558"/>
      <c r="J427" s="558"/>
      <c r="K427" s="558"/>
      <c r="L427" s="558"/>
      <c r="M427" s="558"/>
      <c r="N427" s="558"/>
      <c r="O427" s="558"/>
      <c r="P427" s="558"/>
      <c r="Q427" s="558"/>
      <c r="R427" s="558"/>
      <c r="S427" s="558"/>
      <c r="T427" s="625"/>
      <c r="U427" s="625"/>
      <c r="V427" s="558"/>
      <c r="W427" s="558"/>
      <c r="X427" s="558"/>
      <c r="Y427" s="558"/>
      <c r="Z427" s="558"/>
      <c r="AA427" s="558"/>
      <c r="AB427" s="558"/>
      <c r="AC427" s="558"/>
      <c r="AD427" s="558"/>
      <c r="AE427" s="558"/>
      <c r="AF427" s="564"/>
    </row>
    <row r="428" spans="1:32">
      <c r="A428" s="564"/>
      <c r="B428" s="558"/>
      <c r="C428" s="558"/>
      <c r="D428" s="558"/>
      <c r="E428" s="558"/>
      <c r="F428" s="558"/>
      <c r="G428" s="558"/>
      <c r="H428" s="558"/>
      <c r="I428" s="558"/>
      <c r="J428" s="558"/>
      <c r="K428" s="558"/>
      <c r="L428" s="558"/>
      <c r="M428" s="558"/>
      <c r="N428" s="558"/>
      <c r="O428" s="558"/>
      <c r="P428" s="558"/>
      <c r="Q428" s="558"/>
      <c r="R428" s="558"/>
      <c r="S428" s="558"/>
      <c r="T428" s="625"/>
      <c r="U428" s="625"/>
      <c r="V428" s="558"/>
      <c r="W428" s="558"/>
      <c r="X428" s="558"/>
      <c r="Y428" s="558"/>
      <c r="Z428" s="558"/>
      <c r="AA428" s="558"/>
      <c r="AB428" s="558"/>
      <c r="AC428" s="558"/>
      <c r="AD428" s="558"/>
      <c r="AE428" s="558"/>
      <c r="AF428" s="564"/>
    </row>
    <row r="429" spans="1:32">
      <c r="A429" s="564"/>
      <c r="B429" s="558"/>
      <c r="C429" s="558"/>
      <c r="D429" s="558"/>
      <c r="E429" s="558"/>
      <c r="F429" s="558"/>
      <c r="G429" s="558"/>
      <c r="H429" s="558"/>
      <c r="I429" s="558"/>
      <c r="J429" s="558"/>
      <c r="K429" s="558"/>
      <c r="L429" s="558"/>
      <c r="M429" s="558"/>
      <c r="N429" s="558"/>
      <c r="O429" s="558"/>
      <c r="P429" s="558"/>
      <c r="Q429" s="558"/>
      <c r="R429" s="558"/>
      <c r="S429" s="558"/>
      <c r="T429" s="625"/>
      <c r="U429" s="625"/>
      <c r="V429" s="558"/>
      <c r="W429" s="558"/>
      <c r="X429" s="558"/>
      <c r="Y429" s="558"/>
      <c r="Z429" s="558"/>
      <c r="AA429" s="558"/>
      <c r="AB429" s="558"/>
      <c r="AC429" s="558"/>
      <c r="AD429" s="558"/>
      <c r="AE429" s="558"/>
      <c r="AF429" s="564"/>
    </row>
    <row r="430" spans="1:32">
      <c r="A430" s="564"/>
      <c r="B430" s="558"/>
      <c r="C430" s="558"/>
      <c r="D430" s="558"/>
      <c r="E430" s="558"/>
      <c r="F430" s="558"/>
      <c r="G430" s="558"/>
      <c r="H430" s="558"/>
      <c r="I430" s="558"/>
      <c r="J430" s="558"/>
      <c r="K430" s="558"/>
      <c r="L430" s="558"/>
      <c r="M430" s="558"/>
      <c r="N430" s="558"/>
      <c r="O430" s="558"/>
      <c r="P430" s="558"/>
      <c r="Q430" s="558"/>
      <c r="R430" s="558"/>
      <c r="S430" s="558"/>
      <c r="T430" s="625"/>
      <c r="U430" s="625"/>
      <c r="V430" s="558"/>
      <c r="W430" s="558"/>
      <c r="X430" s="558"/>
      <c r="Y430" s="558"/>
      <c r="Z430" s="558"/>
      <c r="AA430" s="558"/>
      <c r="AB430" s="558"/>
      <c r="AC430" s="558"/>
      <c r="AD430" s="558"/>
      <c r="AE430" s="558"/>
      <c r="AF430" s="564"/>
    </row>
    <row r="431" spans="1:32">
      <c r="A431" s="564"/>
      <c r="B431" s="558"/>
      <c r="C431" s="558"/>
      <c r="D431" s="558"/>
      <c r="E431" s="558"/>
      <c r="F431" s="558"/>
      <c r="G431" s="558"/>
      <c r="H431" s="558"/>
      <c r="I431" s="558"/>
      <c r="J431" s="558"/>
      <c r="K431" s="558"/>
      <c r="L431" s="558"/>
      <c r="M431" s="558"/>
      <c r="N431" s="558"/>
      <c r="O431" s="558"/>
      <c r="P431" s="558"/>
      <c r="Q431" s="558"/>
      <c r="R431" s="558"/>
      <c r="S431" s="558"/>
      <c r="T431" s="625"/>
      <c r="U431" s="625"/>
      <c r="V431" s="558"/>
      <c r="W431" s="558"/>
      <c r="X431" s="558"/>
      <c r="Y431" s="558"/>
      <c r="Z431" s="558"/>
      <c r="AA431" s="558"/>
      <c r="AB431" s="558"/>
      <c r="AC431" s="558"/>
      <c r="AD431" s="558"/>
      <c r="AE431" s="558"/>
      <c r="AF431" s="564"/>
    </row>
    <row r="432" spans="1:32">
      <c r="A432" s="564"/>
      <c r="B432" s="558"/>
      <c r="C432" s="558"/>
      <c r="D432" s="558"/>
      <c r="E432" s="558"/>
      <c r="F432" s="558"/>
      <c r="G432" s="558"/>
      <c r="H432" s="558"/>
      <c r="I432" s="558"/>
      <c r="J432" s="558"/>
      <c r="K432" s="558"/>
      <c r="L432" s="558"/>
      <c r="M432" s="558"/>
      <c r="N432" s="558"/>
      <c r="O432" s="558"/>
      <c r="P432" s="558"/>
      <c r="Q432" s="558"/>
      <c r="R432" s="558"/>
      <c r="S432" s="558"/>
      <c r="T432" s="625"/>
      <c r="U432" s="625"/>
      <c r="V432" s="558"/>
      <c r="W432" s="558"/>
      <c r="X432" s="558"/>
      <c r="Y432" s="558"/>
      <c r="Z432" s="558"/>
      <c r="AA432" s="558"/>
      <c r="AB432" s="558"/>
      <c r="AC432" s="558"/>
      <c r="AD432" s="558"/>
      <c r="AE432" s="558"/>
      <c r="AF432" s="564"/>
    </row>
    <row r="433" spans="1:32">
      <c r="A433" s="564"/>
      <c r="B433" s="558"/>
      <c r="C433" s="558"/>
      <c r="D433" s="558"/>
      <c r="E433" s="558"/>
      <c r="F433" s="558"/>
      <c r="G433" s="558"/>
      <c r="H433" s="558"/>
      <c r="I433" s="558"/>
      <c r="J433" s="558"/>
      <c r="K433" s="558"/>
      <c r="L433" s="558"/>
      <c r="M433" s="558"/>
      <c r="N433" s="558"/>
      <c r="O433" s="558"/>
      <c r="P433" s="558"/>
      <c r="Q433" s="558"/>
      <c r="R433" s="558"/>
      <c r="S433" s="558"/>
      <c r="T433" s="625"/>
      <c r="U433" s="625"/>
      <c r="V433" s="558"/>
      <c r="W433" s="558"/>
      <c r="X433" s="558"/>
      <c r="Y433" s="558"/>
      <c r="Z433" s="558"/>
      <c r="AA433" s="558"/>
      <c r="AB433" s="558"/>
      <c r="AC433" s="558"/>
      <c r="AD433" s="558"/>
      <c r="AE433" s="558"/>
      <c r="AF433" s="564"/>
    </row>
    <row r="434" spans="1:32">
      <c r="A434" s="564"/>
      <c r="B434" s="558"/>
      <c r="C434" s="558"/>
      <c r="D434" s="558"/>
      <c r="E434" s="558"/>
      <c r="F434" s="558"/>
      <c r="G434" s="558"/>
      <c r="H434" s="558"/>
      <c r="I434" s="558"/>
      <c r="J434" s="558"/>
      <c r="K434" s="558"/>
      <c r="L434" s="558"/>
      <c r="M434" s="558"/>
      <c r="N434" s="558"/>
      <c r="O434" s="558"/>
      <c r="P434" s="558"/>
      <c r="Q434" s="558"/>
      <c r="R434" s="558"/>
      <c r="S434" s="558"/>
      <c r="T434" s="625"/>
      <c r="U434" s="625"/>
      <c r="V434" s="558"/>
      <c r="W434" s="558"/>
      <c r="X434" s="558"/>
      <c r="Y434" s="558"/>
      <c r="Z434" s="558"/>
      <c r="AA434" s="558"/>
      <c r="AB434" s="558"/>
      <c r="AC434" s="558"/>
      <c r="AD434" s="558"/>
      <c r="AE434" s="558"/>
      <c r="AF434" s="564"/>
    </row>
    <row r="435" spans="1:32">
      <c r="A435" s="564"/>
      <c r="B435" s="558"/>
      <c r="C435" s="558"/>
      <c r="D435" s="558"/>
      <c r="E435" s="558"/>
      <c r="F435" s="558"/>
      <c r="G435" s="558"/>
      <c r="H435" s="558"/>
      <c r="I435" s="558"/>
      <c r="J435" s="558"/>
      <c r="K435" s="558"/>
      <c r="L435" s="558"/>
      <c r="M435" s="558"/>
      <c r="N435" s="558"/>
      <c r="O435" s="558"/>
      <c r="P435" s="558"/>
      <c r="Q435" s="558"/>
      <c r="R435" s="558"/>
      <c r="S435" s="558"/>
      <c r="T435" s="625"/>
      <c r="U435" s="625"/>
      <c r="V435" s="558"/>
      <c r="W435" s="558"/>
      <c r="X435" s="558"/>
      <c r="Y435" s="558"/>
      <c r="Z435" s="558"/>
      <c r="AA435" s="558"/>
      <c r="AB435" s="558"/>
      <c r="AC435" s="558"/>
      <c r="AD435" s="558"/>
      <c r="AE435" s="558"/>
      <c r="AF435" s="564"/>
    </row>
    <row r="436" spans="1:32">
      <c r="A436" s="564"/>
      <c r="B436" s="558"/>
      <c r="C436" s="558"/>
      <c r="D436" s="558"/>
      <c r="E436" s="558"/>
      <c r="F436" s="558"/>
      <c r="G436" s="558"/>
      <c r="H436" s="558"/>
      <c r="I436" s="558"/>
      <c r="J436" s="558"/>
      <c r="K436" s="558"/>
      <c r="L436" s="558"/>
      <c r="M436" s="558"/>
      <c r="N436" s="558"/>
      <c r="O436" s="558"/>
      <c r="P436" s="558"/>
      <c r="Q436" s="558"/>
      <c r="R436" s="558"/>
      <c r="S436" s="558"/>
      <c r="T436" s="625"/>
      <c r="U436" s="625"/>
      <c r="V436" s="558"/>
      <c r="W436" s="558"/>
      <c r="X436" s="558"/>
      <c r="Y436" s="558"/>
      <c r="Z436" s="558"/>
      <c r="AA436" s="558"/>
      <c r="AB436" s="558"/>
      <c r="AC436" s="558"/>
      <c r="AD436" s="558"/>
      <c r="AE436" s="558"/>
      <c r="AF436" s="564"/>
    </row>
    <row r="437" spans="1:32">
      <c r="A437" s="564"/>
      <c r="B437" s="558"/>
      <c r="C437" s="558"/>
      <c r="D437" s="558"/>
      <c r="E437" s="558"/>
      <c r="F437" s="558"/>
      <c r="G437" s="558"/>
      <c r="H437" s="558"/>
      <c r="I437" s="558"/>
      <c r="J437" s="558"/>
      <c r="K437" s="558"/>
      <c r="L437" s="558"/>
      <c r="M437" s="558"/>
      <c r="N437" s="558"/>
      <c r="O437" s="558"/>
      <c r="P437" s="558"/>
      <c r="Q437" s="558"/>
      <c r="R437" s="558"/>
      <c r="S437" s="558"/>
      <c r="T437" s="625"/>
      <c r="U437" s="625"/>
      <c r="V437" s="558"/>
      <c r="W437" s="558"/>
      <c r="X437" s="558"/>
      <c r="Y437" s="558"/>
      <c r="Z437" s="558"/>
      <c r="AA437" s="558"/>
      <c r="AB437" s="558"/>
      <c r="AC437" s="558"/>
      <c r="AD437" s="558"/>
      <c r="AE437" s="558"/>
      <c r="AF437" s="564"/>
    </row>
    <row r="438" spans="1:32">
      <c r="A438" s="564"/>
      <c r="B438" s="558"/>
      <c r="C438" s="558"/>
      <c r="D438" s="558"/>
      <c r="E438" s="558"/>
      <c r="F438" s="558"/>
      <c r="G438" s="558"/>
      <c r="H438" s="558"/>
      <c r="I438" s="558"/>
      <c r="J438" s="558"/>
      <c r="K438" s="558"/>
      <c r="L438" s="558"/>
      <c r="M438" s="558"/>
      <c r="N438" s="558"/>
      <c r="O438" s="558"/>
      <c r="P438" s="558"/>
      <c r="Q438" s="558"/>
      <c r="R438" s="558"/>
      <c r="S438" s="558"/>
      <c r="T438" s="625"/>
      <c r="U438" s="625"/>
      <c r="V438" s="558"/>
      <c r="W438" s="558"/>
      <c r="X438" s="558"/>
      <c r="Y438" s="558"/>
      <c r="Z438" s="558"/>
      <c r="AA438" s="558"/>
      <c r="AB438" s="558"/>
      <c r="AC438" s="558"/>
      <c r="AD438" s="558"/>
      <c r="AE438" s="558"/>
      <c r="AF438" s="564"/>
    </row>
    <row r="439" spans="1:32">
      <c r="A439" s="564"/>
      <c r="B439" s="558"/>
      <c r="C439" s="558"/>
      <c r="D439" s="558"/>
      <c r="E439" s="558"/>
      <c r="F439" s="558"/>
      <c r="G439" s="558"/>
      <c r="H439" s="558"/>
      <c r="I439" s="558"/>
      <c r="J439" s="558"/>
      <c r="K439" s="558"/>
      <c r="L439" s="558"/>
      <c r="M439" s="558"/>
      <c r="N439" s="558"/>
      <c r="O439" s="558"/>
      <c r="P439" s="558"/>
      <c r="Q439" s="558"/>
      <c r="R439" s="558"/>
      <c r="S439" s="558"/>
      <c r="T439" s="625"/>
      <c r="U439" s="625"/>
      <c r="V439" s="558"/>
      <c r="W439" s="558"/>
      <c r="X439" s="558"/>
      <c r="Y439" s="558"/>
      <c r="Z439" s="558"/>
      <c r="AA439" s="558"/>
      <c r="AB439" s="558"/>
      <c r="AC439" s="558"/>
      <c r="AD439" s="558"/>
      <c r="AE439" s="558"/>
      <c r="AF439" s="564"/>
    </row>
    <row r="440" spans="1:32">
      <c r="A440" s="564"/>
      <c r="B440" s="558"/>
      <c r="C440" s="558"/>
      <c r="D440" s="558"/>
      <c r="E440" s="558"/>
      <c r="F440" s="558"/>
      <c r="G440" s="558"/>
      <c r="H440" s="558"/>
      <c r="I440" s="558"/>
      <c r="J440" s="558"/>
      <c r="K440" s="558"/>
      <c r="L440" s="558"/>
      <c r="M440" s="558"/>
      <c r="N440" s="558"/>
      <c r="O440" s="558"/>
      <c r="P440" s="558"/>
      <c r="Q440" s="558"/>
      <c r="R440" s="558"/>
      <c r="S440" s="558"/>
      <c r="T440" s="625"/>
      <c r="U440" s="625"/>
      <c r="V440" s="558"/>
      <c r="W440" s="558"/>
      <c r="X440" s="558"/>
      <c r="Y440" s="558"/>
      <c r="Z440" s="558"/>
      <c r="AA440" s="558"/>
      <c r="AB440" s="558"/>
      <c r="AC440" s="558"/>
      <c r="AD440" s="558"/>
      <c r="AE440" s="558"/>
      <c r="AF440" s="564"/>
    </row>
    <row r="441" spans="1:32">
      <c r="A441" s="564"/>
      <c r="B441" s="558"/>
      <c r="C441" s="558"/>
      <c r="D441" s="558"/>
      <c r="E441" s="558"/>
      <c r="F441" s="558"/>
      <c r="G441" s="558"/>
      <c r="H441" s="558"/>
      <c r="I441" s="558"/>
      <c r="J441" s="558"/>
      <c r="K441" s="558"/>
      <c r="L441" s="558"/>
      <c r="M441" s="558"/>
      <c r="N441" s="558"/>
      <c r="O441" s="558"/>
      <c r="P441" s="558"/>
      <c r="Q441" s="558"/>
      <c r="R441" s="558"/>
      <c r="S441" s="558"/>
      <c r="T441" s="625"/>
      <c r="U441" s="625"/>
      <c r="V441" s="558"/>
      <c r="W441" s="558"/>
      <c r="X441" s="558"/>
      <c r="Y441" s="558"/>
      <c r="Z441" s="558"/>
      <c r="AA441" s="558"/>
      <c r="AB441" s="558"/>
      <c r="AC441" s="558"/>
      <c r="AD441" s="558"/>
      <c r="AE441" s="558"/>
      <c r="AF441" s="564"/>
    </row>
    <row r="442" spans="1:32">
      <c r="A442" s="564"/>
      <c r="B442" s="558"/>
      <c r="C442" s="558"/>
      <c r="D442" s="558"/>
      <c r="E442" s="558"/>
      <c r="F442" s="558"/>
      <c r="G442" s="558"/>
      <c r="H442" s="558"/>
      <c r="I442" s="558"/>
      <c r="J442" s="558"/>
      <c r="K442" s="558"/>
      <c r="L442" s="558"/>
      <c r="M442" s="558"/>
      <c r="N442" s="558"/>
      <c r="O442" s="558"/>
      <c r="P442" s="558"/>
      <c r="Q442" s="558"/>
      <c r="R442" s="558"/>
      <c r="S442" s="558"/>
      <c r="T442" s="625"/>
      <c r="U442" s="625"/>
      <c r="V442" s="558"/>
      <c r="W442" s="558"/>
      <c r="X442" s="558"/>
      <c r="Y442" s="558"/>
      <c r="Z442" s="558"/>
      <c r="AA442" s="558"/>
      <c r="AB442" s="558"/>
      <c r="AC442" s="558"/>
      <c r="AD442" s="558"/>
      <c r="AE442" s="558"/>
      <c r="AF442" s="564"/>
    </row>
    <row r="443" spans="1:32">
      <c r="A443" s="564"/>
      <c r="B443" s="558"/>
      <c r="C443" s="558"/>
      <c r="D443" s="558"/>
      <c r="E443" s="558"/>
      <c r="F443" s="558"/>
      <c r="G443" s="558"/>
      <c r="H443" s="558"/>
      <c r="I443" s="558"/>
      <c r="J443" s="558"/>
      <c r="K443" s="558"/>
      <c r="AE443" s="558"/>
      <c r="AF443" s="564"/>
    </row>
  </sheetData>
  <sortState xmlns:xlrd2="http://schemas.microsoft.com/office/spreadsheetml/2017/richdata2" ref="A13:CQ87">
    <sortCondition descending="1" ref="V13:V87"/>
  </sortState>
  <phoneticPr fontId="77" type="noConversion"/>
  <conditionalFormatting sqref="X12:Z12 X88:Z150 X64:Z86 X15:X63">
    <cfRule type="cellIs" dxfId="79" priority="56" operator="lessThan">
      <formula>0.01</formula>
    </cfRule>
    <cfRule type="cellIs" dxfId="78" priority="57" operator="greaterThan">
      <formula>0.01</formula>
    </cfRule>
  </conditionalFormatting>
  <conditionalFormatting sqref="AC88:AC150 AC15:AC86">
    <cfRule type="cellIs" dxfId="77" priority="54" operator="lessThan">
      <formula>-0.01</formula>
    </cfRule>
    <cfRule type="cellIs" dxfId="76" priority="55" operator="greaterThan">
      <formula>0.01</formula>
    </cfRule>
  </conditionalFormatting>
  <conditionalFormatting sqref="BC6">
    <cfRule type="iconSet" priority="45">
      <iconSet iconSet="3Symbols" reverse="1">
        <cfvo type="percent" val="0"/>
        <cfvo type="num" val="0.33"/>
        <cfvo type="num" val="0.35"/>
      </iconSet>
    </cfRule>
  </conditionalFormatting>
  <conditionalFormatting sqref="K157">
    <cfRule type="iconSet" priority="30">
      <iconSet iconSet="3Symbols" reverse="1">
        <cfvo type="percent" val="0"/>
        <cfvo type="num" val="0.93"/>
        <cfvo type="num" val="0.95"/>
      </iconSet>
    </cfRule>
  </conditionalFormatting>
  <conditionalFormatting sqref="X13:X14">
    <cfRule type="cellIs" dxfId="75" priority="28" operator="lessThan">
      <formula>0.01</formula>
    </cfRule>
    <cfRule type="cellIs" dxfId="74" priority="29" operator="greaterThan">
      <formula>0.01</formula>
    </cfRule>
  </conditionalFormatting>
  <conditionalFormatting sqref="AC13:AC14">
    <cfRule type="cellIs" dxfId="73" priority="26" operator="lessThan">
      <formula>-0.01</formula>
    </cfRule>
    <cfRule type="cellIs" dxfId="72" priority="27" operator="greaterThan">
      <formula>0.01</formula>
    </cfRule>
  </conditionalFormatting>
  <conditionalFormatting pivot="1" sqref="B171:B220">
    <cfRule type="cellIs" dxfId="71" priority="24" operator="greaterThan">
      <formula>0.049</formula>
    </cfRule>
  </conditionalFormatting>
  <conditionalFormatting sqref="A104:A138 A88:A102 A13:A86">
    <cfRule type="duplicateValues" dxfId="70" priority="890"/>
  </conditionalFormatting>
  <conditionalFormatting sqref="AE103:AK103">
    <cfRule type="cellIs" dxfId="69" priority="15" operator="lessThan">
      <formula>-0.01</formula>
    </cfRule>
    <cfRule type="cellIs" dxfId="68" priority="16" operator="greaterThan">
      <formula>0.01</formula>
    </cfRule>
  </conditionalFormatting>
  <conditionalFormatting sqref="X87:Z87">
    <cfRule type="cellIs" dxfId="67" priority="19" operator="lessThan">
      <formula>0.01</formula>
    </cfRule>
    <cfRule type="cellIs" dxfId="66" priority="20" operator="greaterThan">
      <formula>0.01</formula>
    </cfRule>
  </conditionalFormatting>
  <conditionalFormatting sqref="AC87">
    <cfRule type="cellIs" dxfId="65" priority="17" operator="lessThan">
      <formula>-0.01</formula>
    </cfRule>
    <cfRule type="cellIs" dxfId="64" priority="18" operator="greaterThan">
      <formula>0.01</formula>
    </cfRule>
  </conditionalFormatting>
  <conditionalFormatting pivot="1" sqref="B171:B220">
    <cfRule type="cellIs" dxfId="63" priority="10" operator="greaterThan">
      <formula>0.046</formula>
    </cfRule>
  </conditionalFormatting>
  <conditionalFormatting pivot="1" sqref="B171:B220">
    <cfRule type="cellIs" dxfId="62" priority="9" operator="greaterThan">
      <formula>0.04</formula>
    </cfRule>
  </conditionalFormatting>
  <conditionalFormatting pivot="1" sqref="B171:B220">
    <cfRule type="cellIs" dxfId="61" priority="8" operator="greaterThan">
      <formula>0.046</formula>
    </cfRule>
  </conditionalFormatting>
  <conditionalFormatting sqref="K13:K63">
    <cfRule type="cellIs" dxfId="60" priority="7" operator="greaterThan">
      <formula>0.098</formula>
    </cfRule>
  </conditionalFormatting>
  <conditionalFormatting sqref="N162">
    <cfRule type="cellIs" dxfId="59" priority="1" operator="greaterThan">
      <formula>0</formula>
    </cfRule>
    <cfRule type="cellIs" dxfId="58" priority="6" operator="greaterThan">
      <formula>0</formula>
    </cfRule>
  </conditionalFormatting>
  <conditionalFormatting sqref="N163:N164">
    <cfRule type="cellIs" dxfId="57" priority="4" operator="greaterThan">
      <formula>0</formula>
    </cfRule>
    <cfRule type="cellIs" dxfId="56" priority="5" operator="greaterThan">
      <formula>0</formula>
    </cfRule>
  </conditionalFormatting>
  <conditionalFormatting sqref="N161">
    <cfRule type="cellIs" dxfId="55" priority="3" operator="greaterThan">
      <formula>0.35</formula>
    </cfRule>
  </conditionalFormatting>
  <conditionalFormatting sqref="Z13:Z63">
    <cfRule type="cellIs" dxfId="54" priority="2" operator="equal">
      <formula>0</formula>
    </cfRule>
  </conditionalFormatting>
  <dataValidations disablePrompts="1" count="1">
    <dataValidation allowBlank="1" showInputMessage="1" showErrorMessage="1" prompt="Last price for Equity_x000a_Mid price for Bond_x000a_Last price for Fund (t-1)_x000a_" sqref="M10" xr:uid="{1689E95D-869C-4811-A909-642C5367A69F}"/>
  </dataValidations>
  <pageMargins left="0.7" right="0.7" top="0.75" bottom="0.75" header="0.3" footer="0.3"/>
  <pageSetup paperSize="9" orientation="portrait" r:id="rId2"/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4344-26F5-4C4C-A7DC-F798D96854E0}">
  <sheetPr codeName="Foglio26">
    <tabColor rgb="FF2FFF8D"/>
  </sheetPr>
  <dimension ref="A12:I395"/>
  <sheetViews>
    <sheetView topLeftCell="A377" zoomScale="81" zoomScaleNormal="81" workbookViewId="0">
      <selection activeCell="D399" sqref="D399"/>
    </sheetView>
  </sheetViews>
  <sheetFormatPr defaultRowHeight="14.5"/>
  <cols>
    <col min="1" max="1" width="55" bestFit="1" customWidth="1"/>
    <col min="2" max="2" width="10.26953125" bestFit="1" customWidth="1"/>
    <col min="3" max="3" width="15.26953125" customWidth="1"/>
    <col min="4" max="4" width="16.54296875" bestFit="1" customWidth="1"/>
    <col min="5" max="5" width="11.54296875" style="276" bestFit="1" customWidth="1"/>
    <col min="7" max="7" width="10.54296875" bestFit="1" customWidth="1"/>
  </cols>
  <sheetData>
    <row r="12" spans="1:5">
      <c r="A12" s="393" t="s">
        <v>19</v>
      </c>
      <c r="B12" s="393" t="s">
        <v>2049</v>
      </c>
      <c r="C12" s="393" t="s">
        <v>2050</v>
      </c>
      <c r="D12" s="393" t="s">
        <v>2051</v>
      </c>
      <c r="E12" s="393" t="s">
        <v>2060</v>
      </c>
    </row>
    <row r="13" spans="1:5">
      <c r="A13" t="s">
        <v>2055</v>
      </c>
      <c r="B13">
        <v>43924</v>
      </c>
      <c r="C13" s="276">
        <v>150000</v>
      </c>
      <c r="D13">
        <v>43929</v>
      </c>
      <c r="E13" s="276">
        <v>2018.5708</v>
      </c>
    </row>
    <row r="14" spans="1:5">
      <c r="A14" t="s">
        <v>2054</v>
      </c>
      <c r="B14">
        <v>43935</v>
      </c>
      <c r="C14" s="276">
        <v>990</v>
      </c>
      <c r="D14">
        <v>43938</v>
      </c>
      <c r="E14" s="276">
        <v>990</v>
      </c>
    </row>
    <row r="15" spans="1:5">
      <c r="A15" t="s">
        <v>2054</v>
      </c>
      <c r="B15">
        <v>43937</v>
      </c>
      <c r="C15" s="276">
        <v>598.75</v>
      </c>
      <c r="D15">
        <v>43942</v>
      </c>
      <c r="E15" s="276">
        <v>7.7739000000000003</v>
      </c>
    </row>
    <row r="16" spans="1:5">
      <c r="A16" t="s">
        <v>2052</v>
      </c>
      <c r="B16">
        <v>43948</v>
      </c>
      <c r="C16" s="276">
        <v>5010.6000000000004</v>
      </c>
      <c r="D16">
        <v>43951</v>
      </c>
      <c r="E16" s="276">
        <v>60</v>
      </c>
    </row>
    <row r="17" spans="1:7">
      <c r="A17" t="s">
        <v>2054</v>
      </c>
      <c r="B17">
        <v>43956</v>
      </c>
      <c r="C17" s="276">
        <v>8979.99</v>
      </c>
      <c r="D17">
        <v>43959</v>
      </c>
      <c r="E17" s="276">
        <v>111.8027</v>
      </c>
    </row>
    <row r="18" spans="1:7">
      <c r="A18" t="s">
        <v>2054</v>
      </c>
      <c r="B18">
        <v>43957</v>
      </c>
      <c r="C18" s="276">
        <v>-19667</v>
      </c>
      <c r="D18">
        <v>43962</v>
      </c>
      <c r="E18" s="276">
        <v>-244.28149999999999</v>
      </c>
    </row>
    <row r="19" spans="1:7">
      <c r="A19" t="s">
        <v>2054</v>
      </c>
      <c r="B19">
        <v>43965</v>
      </c>
      <c r="C19" s="276">
        <v>4990</v>
      </c>
      <c r="D19">
        <v>43970</v>
      </c>
      <c r="E19" s="276">
        <v>62.375</v>
      </c>
    </row>
    <row r="20" spans="1:7">
      <c r="A20" t="s">
        <v>2054</v>
      </c>
      <c r="B20">
        <v>43966</v>
      </c>
      <c r="C20" s="276">
        <v>598.74</v>
      </c>
      <c r="D20">
        <v>43971</v>
      </c>
      <c r="E20" s="276">
        <v>7.3918999999999997</v>
      </c>
    </row>
    <row r="21" spans="1:7">
      <c r="A21" t="s">
        <v>2054</v>
      </c>
      <c r="B21">
        <v>43971</v>
      </c>
      <c r="C21" s="276">
        <v>4989.99</v>
      </c>
      <c r="D21">
        <v>43977</v>
      </c>
      <c r="E21" s="276">
        <v>58.423999999999999</v>
      </c>
    </row>
    <row r="22" spans="1:7">
      <c r="A22" t="s">
        <v>2054</v>
      </c>
      <c r="B22">
        <v>43977</v>
      </c>
      <c r="C22" s="276">
        <v>988</v>
      </c>
      <c r="D22">
        <v>43980</v>
      </c>
      <c r="E22" s="276">
        <v>11.015700000000001</v>
      </c>
    </row>
    <row r="23" spans="1:7">
      <c r="A23" t="s">
        <v>2054</v>
      </c>
      <c r="B23">
        <v>43978</v>
      </c>
      <c r="C23" s="276">
        <v>987.99</v>
      </c>
      <c r="D23">
        <v>43984</v>
      </c>
      <c r="E23" s="276">
        <v>10.837999999999999</v>
      </c>
    </row>
    <row r="24" spans="1:7">
      <c r="A24" t="s">
        <v>2054</v>
      </c>
      <c r="B24">
        <v>43979</v>
      </c>
      <c r="C24" s="276">
        <v>1976</v>
      </c>
      <c r="D24">
        <v>43985</v>
      </c>
      <c r="E24" s="276">
        <v>21.8294</v>
      </c>
    </row>
    <row r="25" spans="1:7">
      <c r="A25" t="s">
        <v>2055</v>
      </c>
      <c r="B25">
        <v>43980</v>
      </c>
      <c r="C25" s="276">
        <v>147626.9</v>
      </c>
      <c r="D25">
        <v>43986</v>
      </c>
      <c r="E25" s="276">
        <v>1585</v>
      </c>
    </row>
    <row r="26" spans="1:7">
      <c r="A26" t="s">
        <v>2055</v>
      </c>
      <c r="B26">
        <v>43984</v>
      </c>
      <c r="C26" s="276">
        <v>300000</v>
      </c>
      <c r="D26">
        <v>43987</v>
      </c>
      <c r="E26" s="276">
        <v>3135.7791999999999</v>
      </c>
    </row>
    <row r="27" spans="1:7">
      <c r="A27" t="s">
        <v>2052</v>
      </c>
      <c r="B27">
        <v>43984</v>
      </c>
      <c r="C27" s="276">
        <v>-5743</v>
      </c>
      <c r="D27">
        <v>43987</v>
      </c>
      <c r="E27" s="276">
        <v>-60</v>
      </c>
    </row>
    <row r="28" spans="1:7">
      <c r="A28" t="s">
        <v>2054</v>
      </c>
      <c r="B28">
        <v>43986</v>
      </c>
      <c r="C28" s="276">
        <v>4990</v>
      </c>
      <c r="D28">
        <v>43991</v>
      </c>
      <c r="E28" s="276">
        <v>53.581000000000003</v>
      </c>
    </row>
    <row r="29" spans="1:7">
      <c r="A29" s="408" t="s">
        <v>2055</v>
      </c>
      <c r="B29" s="408">
        <v>43993</v>
      </c>
      <c r="C29" s="409">
        <v>-68373.5</v>
      </c>
      <c r="D29" s="408">
        <v>43998</v>
      </c>
      <c r="E29" s="276">
        <v>-670</v>
      </c>
    </row>
    <row r="30" spans="1:7">
      <c r="A30" t="s">
        <v>2054</v>
      </c>
      <c r="B30">
        <v>43997</v>
      </c>
      <c r="C30" s="276">
        <v>10588.74</v>
      </c>
      <c r="D30">
        <v>44000</v>
      </c>
      <c r="E30" s="276">
        <v>114.8827</v>
      </c>
    </row>
    <row r="31" spans="1:7">
      <c r="A31" t="s">
        <v>2052</v>
      </c>
      <c r="B31">
        <v>43999</v>
      </c>
      <c r="C31" s="276">
        <v>5616.6</v>
      </c>
      <c r="D31">
        <v>44004</v>
      </c>
      <c r="E31" s="276">
        <v>55</v>
      </c>
    </row>
    <row r="32" spans="1:7">
      <c r="A32" t="s">
        <v>2054</v>
      </c>
      <c r="B32">
        <v>44007</v>
      </c>
      <c r="C32" s="276">
        <v>44377.99</v>
      </c>
      <c r="D32">
        <v>44012</v>
      </c>
      <c r="E32" s="276">
        <v>461.83769999999998</v>
      </c>
      <c r="G32" s="276"/>
    </row>
    <row r="33" spans="1:9">
      <c r="A33" t="s">
        <v>2054</v>
      </c>
      <c r="B33">
        <v>44012</v>
      </c>
      <c r="C33" s="276">
        <v>9987.99</v>
      </c>
      <c r="D33">
        <v>44015</v>
      </c>
      <c r="E33" s="276">
        <v>104.91589999999999</v>
      </c>
    </row>
    <row r="34" spans="1:9">
      <c r="A34" s="429" t="s">
        <v>2054</v>
      </c>
      <c r="B34" s="429">
        <v>44019</v>
      </c>
      <c r="C34" s="430">
        <v>9989.99</v>
      </c>
      <c r="D34" s="429">
        <v>44022</v>
      </c>
      <c r="E34" s="430">
        <v>101.65860000000001</v>
      </c>
    </row>
    <row r="35" spans="1:9">
      <c r="A35" s="429" t="s">
        <v>2052</v>
      </c>
      <c r="B35" s="429">
        <v>44020</v>
      </c>
      <c r="C35" s="430">
        <v>-5620</v>
      </c>
      <c r="D35" s="429">
        <v>44025</v>
      </c>
      <c r="E35" s="430">
        <v>-55</v>
      </c>
    </row>
    <row r="36" spans="1:9">
      <c r="A36" s="429" t="s">
        <v>2054</v>
      </c>
      <c r="B36" s="429">
        <v>44026</v>
      </c>
      <c r="C36" s="430">
        <v>24990</v>
      </c>
      <c r="D36" s="429">
        <v>44029</v>
      </c>
      <c r="E36" s="430">
        <v>256.49180000000001</v>
      </c>
    </row>
    <row r="37" spans="1:9">
      <c r="A37" s="429" t="s">
        <v>2054</v>
      </c>
      <c r="B37" s="429">
        <v>44027</v>
      </c>
      <c r="C37" s="430">
        <v>598.74</v>
      </c>
      <c r="D37" s="429">
        <v>44032</v>
      </c>
      <c r="E37" s="430">
        <v>6.0430000000000001</v>
      </c>
    </row>
    <row r="38" spans="1:9">
      <c r="A38" s="429" t="s">
        <v>2054</v>
      </c>
      <c r="B38" s="429">
        <v>44032</v>
      </c>
      <c r="C38" s="430">
        <v>1990</v>
      </c>
      <c r="D38" s="429">
        <v>44035</v>
      </c>
      <c r="E38" s="430">
        <v>20.2256</v>
      </c>
    </row>
    <row r="39" spans="1:9">
      <c r="A39" s="431" t="s">
        <v>2054</v>
      </c>
      <c r="B39" s="431">
        <v>44036</v>
      </c>
      <c r="C39" s="432">
        <v>4989.99</v>
      </c>
      <c r="D39" s="431">
        <v>44041</v>
      </c>
      <c r="E39" s="432">
        <v>20.2256</v>
      </c>
    </row>
    <row r="40" spans="1:9">
      <c r="A40" s="431" t="s">
        <v>2054</v>
      </c>
      <c r="B40" s="431">
        <v>44036</v>
      </c>
      <c r="C40" s="432">
        <v>-40608</v>
      </c>
      <c r="D40" s="431">
        <v>44041</v>
      </c>
      <c r="E40" s="432">
        <v>20.2256</v>
      </c>
      <c r="G40" s="384"/>
      <c r="H40" s="384"/>
      <c r="I40" s="410"/>
    </row>
    <row r="41" spans="1:9">
      <c r="A41" s="429" t="s">
        <v>2054</v>
      </c>
      <c r="B41" s="429">
        <v>44039</v>
      </c>
      <c r="C41" s="430">
        <v>44980</v>
      </c>
      <c r="D41" s="429">
        <v>44042</v>
      </c>
      <c r="E41" s="433">
        <v>464.28570000000002</v>
      </c>
    </row>
    <row r="42" spans="1:9">
      <c r="A42" s="429" t="s">
        <v>2054</v>
      </c>
      <c r="B42" s="429">
        <v>44046</v>
      </c>
      <c r="C42" s="430">
        <v>49990</v>
      </c>
      <c r="D42" s="429">
        <v>44049</v>
      </c>
      <c r="E42" s="433">
        <v>542.30849999999998</v>
      </c>
    </row>
    <row r="43" spans="1:9">
      <c r="A43" s="429" t="s">
        <v>2054</v>
      </c>
      <c r="B43" s="429">
        <v>44049</v>
      </c>
      <c r="C43" s="430">
        <v>-4250.1499999999996</v>
      </c>
      <c r="D43" s="429">
        <v>44054</v>
      </c>
      <c r="E43" s="433">
        <v>-40.551000000000002</v>
      </c>
    </row>
    <row r="44" spans="1:9">
      <c r="A44" s="429" t="s">
        <v>2055</v>
      </c>
      <c r="B44" s="429">
        <v>44049</v>
      </c>
      <c r="C44" s="430">
        <v>-63637.599999999999</v>
      </c>
      <c r="D44" s="429">
        <v>44054</v>
      </c>
      <c r="E44" s="433">
        <v>-580</v>
      </c>
    </row>
    <row r="45" spans="1:9">
      <c r="A45" s="429" t="s">
        <v>2054</v>
      </c>
      <c r="B45" s="429">
        <v>44050</v>
      </c>
      <c r="C45" s="430">
        <v>-4347.13</v>
      </c>
      <c r="D45" s="429">
        <v>44055</v>
      </c>
      <c r="E45" s="433">
        <v>-40.24</v>
      </c>
    </row>
    <row r="46" spans="1:9">
      <c r="A46" s="429" t="s">
        <v>2054</v>
      </c>
      <c r="B46" s="429">
        <v>44053</v>
      </c>
      <c r="C46" s="430">
        <v>-5417.81</v>
      </c>
      <c r="D46" s="429">
        <v>44056</v>
      </c>
      <c r="E46" s="433">
        <v>-49.850999999999999</v>
      </c>
    </row>
    <row r="47" spans="1:9">
      <c r="A47" s="429" t="s">
        <v>2054</v>
      </c>
      <c r="B47" s="429">
        <v>44056</v>
      </c>
      <c r="C47" s="430">
        <v>-2719</v>
      </c>
      <c r="D47" s="429">
        <v>44061</v>
      </c>
      <c r="E47" s="433">
        <v>-25</v>
      </c>
    </row>
    <row r="48" spans="1:9">
      <c r="A48" s="429" t="s">
        <v>2054</v>
      </c>
      <c r="B48" s="429">
        <v>44057</v>
      </c>
      <c r="C48" s="430">
        <v>-2931.39</v>
      </c>
      <c r="D48" s="429">
        <v>44062</v>
      </c>
      <c r="E48" s="433">
        <v>-27.34</v>
      </c>
    </row>
    <row r="49" spans="1:5">
      <c r="A49" s="429" t="s">
        <v>2054</v>
      </c>
      <c r="B49" s="429">
        <v>44060</v>
      </c>
      <c r="C49" s="430">
        <v>598.74</v>
      </c>
      <c r="D49" s="429">
        <v>44063</v>
      </c>
      <c r="E49" s="433">
        <v>5.6014999999999997</v>
      </c>
    </row>
    <row r="50" spans="1:5">
      <c r="A50" s="429" t="s">
        <v>2054</v>
      </c>
      <c r="B50" s="429">
        <v>44061</v>
      </c>
      <c r="C50" s="430">
        <v>-4237.03</v>
      </c>
      <c r="D50" s="429">
        <v>44064</v>
      </c>
      <c r="E50" s="433">
        <v>-40.421999999999997</v>
      </c>
    </row>
    <row r="51" spans="1:5">
      <c r="A51" s="429" t="s">
        <v>2054</v>
      </c>
      <c r="B51" s="429">
        <v>44062</v>
      </c>
      <c r="C51" s="430">
        <v>-2896.52</v>
      </c>
      <c r="D51" s="429">
        <v>44067</v>
      </c>
      <c r="E51" s="433">
        <v>-27.803000000000001</v>
      </c>
    </row>
    <row r="52" spans="1:5">
      <c r="A52" s="429" t="s">
        <v>2054</v>
      </c>
      <c r="B52" s="429">
        <v>44063</v>
      </c>
      <c r="C52" s="430">
        <v>-3004.92</v>
      </c>
      <c r="D52" s="429">
        <v>44068</v>
      </c>
      <c r="E52" s="433">
        <v>-29.207999999999998</v>
      </c>
    </row>
    <row r="53" spans="1:5">
      <c r="A53" s="429" t="s">
        <v>2054</v>
      </c>
      <c r="B53" s="429">
        <v>44068</v>
      </c>
      <c r="C53" s="430">
        <v>-3157.82</v>
      </c>
      <c r="D53" s="429">
        <v>44071</v>
      </c>
      <c r="E53" s="433">
        <v>-29.949000000000002</v>
      </c>
    </row>
    <row r="54" spans="1:5">
      <c r="A54" s="429" t="s">
        <v>2054</v>
      </c>
      <c r="B54" s="429">
        <v>44069</v>
      </c>
      <c r="C54" s="430">
        <v>-3567.14</v>
      </c>
      <c r="D54" s="429">
        <v>44074</v>
      </c>
      <c r="E54" s="433">
        <v>-33.831000000000003</v>
      </c>
    </row>
    <row r="55" spans="1:5">
      <c r="A55" s="429" t="s">
        <v>2055</v>
      </c>
      <c r="B55" s="429">
        <v>44081</v>
      </c>
      <c r="C55" s="430">
        <v>-66708</v>
      </c>
      <c r="D55" s="429">
        <v>44084</v>
      </c>
      <c r="E55" s="433">
        <v>600</v>
      </c>
    </row>
    <row r="56" spans="1:5">
      <c r="A56" s="429" t="s">
        <v>2054</v>
      </c>
      <c r="B56" s="429">
        <v>44089</v>
      </c>
      <c r="C56" s="430">
        <v>-3287.7</v>
      </c>
      <c r="D56" s="429">
        <v>44092</v>
      </c>
      <c r="E56" s="433">
        <v>-30.178999999999998</v>
      </c>
    </row>
    <row r="57" spans="1:5">
      <c r="A57" s="429" t="s">
        <v>2054</v>
      </c>
      <c r="B57" s="429">
        <v>44089</v>
      </c>
      <c r="C57" s="430">
        <v>598</v>
      </c>
      <c r="D57" s="429">
        <v>44092</v>
      </c>
      <c r="E57" s="433">
        <v>5.4961000000000002</v>
      </c>
    </row>
    <row r="58" spans="1:5">
      <c r="A58" s="429" t="s">
        <v>2054</v>
      </c>
      <c r="B58" s="429">
        <v>44092</v>
      </c>
      <c r="C58" s="430">
        <v>14989.99</v>
      </c>
      <c r="D58" s="429">
        <v>44097</v>
      </c>
      <c r="E58" s="433">
        <v>138.46289999999999</v>
      </c>
    </row>
    <row r="59" spans="1:5">
      <c r="A59" s="429" t="s">
        <v>2052</v>
      </c>
      <c r="B59" s="429">
        <v>44099</v>
      </c>
      <c r="C59" s="430">
        <v>-4575.4799999999996</v>
      </c>
      <c r="D59" s="429">
        <v>44104</v>
      </c>
      <c r="E59" s="433">
        <v>-42</v>
      </c>
    </row>
    <row r="60" spans="1:5">
      <c r="A60" s="429" t="s">
        <v>2054</v>
      </c>
      <c r="B60" s="429">
        <v>44105</v>
      </c>
      <c r="C60" s="430">
        <v>-20876</v>
      </c>
      <c r="D60" s="429">
        <v>44110</v>
      </c>
      <c r="E60" s="433">
        <v>-200</v>
      </c>
    </row>
    <row r="61" spans="1:5">
      <c r="A61" t="s">
        <v>2054</v>
      </c>
      <c r="B61" s="429">
        <v>44113</v>
      </c>
      <c r="C61" s="430">
        <v>54980</v>
      </c>
      <c r="D61" s="429">
        <v>44118</v>
      </c>
      <c r="E61" s="276">
        <v>508.46199999999999</v>
      </c>
    </row>
    <row r="62" spans="1:5">
      <c r="A62" t="s">
        <v>2052</v>
      </c>
      <c r="B62" s="429">
        <v>44113</v>
      </c>
      <c r="C62" s="430">
        <v>22624</v>
      </c>
      <c r="D62" s="429">
        <v>44118</v>
      </c>
      <c r="E62" s="276">
        <v>200</v>
      </c>
    </row>
    <row r="63" spans="1:5">
      <c r="A63" t="s">
        <v>2054</v>
      </c>
      <c r="B63" s="429">
        <v>44118</v>
      </c>
      <c r="C63" s="430">
        <v>14989.99</v>
      </c>
      <c r="D63" s="429">
        <v>44123</v>
      </c>
      <c r="E63" s="276">
        <v>139.96</v>
      </c>
    </row>
    <row r="64" spans="1:5">
      <c r="A64" t="s">
        <v>2054</v>
      </c>
      <c r="B64" s="429">
        <v>44119</v>
      </c>
      <c r="C64" s="430">
        <v>598.74</v>
      </c>
      <c r="D64" s="429">
        <v>44124</v>
      </c>
      <c r="E64" s="276">
        <v>5604</v>
      </c>
    </row>
    <row r="65" spans="1:5">
      <c r="A65" t="s">
        <v>2054</v>
      </c>
      <c r="B65" s="429">
        <v>44126</v>
      </c>
      <c r="C65" s="430">
        <v>1989.99</v>
      </c>
      <c r="D65" s="429">
        <v>44131</v>
      </c>
      <c r="E65" s="276">
        <v>18.575500000000002</v>
      </c>
    </row>
    <row r="66" spans="1:5">
      <c r="A66" t="s">
        <v>2054</v>
      </c>
      <c r="B66" s="429">
        <v>44127</v>
      </c>
      <c r="C66" s="430">
        <v>-1922.77</v>
      </c>
      <c r="D66" s="429">
        <v>44132</v>
      </c>
      <c r="E66" s="276">
        <v>-17.847999999999999</v>
      </c>
    </row>
    <row r="67" spans="1:5">
      <c r="A67" t="s">
        <v>2054</v>
      </c>
      <c r="B67" s="429">
        <v>44132</v>
      </c>
      <c r="C67" s="430">
        <v>14990</v>
      </c>
      <c r="D67" s="429">
        <v>44137</v>
      </c>
      <c r="E67" s="276">
        <v>142.81630000000001</v>
      </c>
    </row>
    <row r="68" spans="1:5">
      <c r="A68" t="s">
        <v>2054</v>
      </c>
      <c r="B68" s="429">
        <v>44134</v>
      </c>
      <c r="C68" s="430">
        <v>4990</v>
      </c>
      <c r="D68" s="429">
        <v>44139</v>
      </c>
      <c r="E68" s="276">
        <v>47.8611</v>
      </c>
    </row>
    <row r="69" spans="1:5">
      <c r="A69" t="s">
        <v>2052</v>
      </c>
      <c r="B69" s="429">
        <v>44141</v>
      </c>
      <c r="C69" s="430">
        <v>-230700</v>
      </c>
      <c r="D69" s="429">
        <v>44146</v>
      </c>
      <c r="E69" s="276">
        <v>-2000</v>
      </c>
    </row>
    <row r="70" spans="1:5">
      <c r="A70" t="s">
        <v>2054</v>
      </c>
      <c r="B70" s="429">
        <v>44146</v>
      </c>
      <c r="C70" s="430">
        <v>4989.99</v>
      </c>
      <c r="D70" s="429">
        <v>44151</v>
      </c>
      <c r="E70" s="276">
        <v>43.357300000000002</v>
      </c>
    </row>
    <row r="71" spans="1:5">
      <c r="A71" t="s">
        <v>2054</v>
      </c>
      <c r="B71" s="429">
        <v>44151</v>
      </c>
      <c r="C71" s="430">
        <v>598.74</v>
      </c>
      <c r="D71" s="429">
        <v>44154</v>
      </c>
      <c r="E71" s="276">
        <v>5.1363000000000003</v>
      </c>
    </row>
    <row r="72" spans="1:5">
      <c r="A72" t="s">
        <v>2052</v>
      </c>
      <c r="B72" s="429">
        <v>44151</v>
      </c>
      <c r="C72" s="430">
        <v>22024</v>
      </c>
      <c r="D72" s="429">
        <v>44154</v>
      </c>
      <c r="E72" s="276">
        <v>180</v>
      </c>
    </row>
    <row r="73" spans="1:5">
      <c r="A73" t="s">
        <v>2054</v>
      </c>
      <c r="B73" s="429">
        <v>44152</v>
      </c>
      <c r="C73" s="430">
        <v>65950</v>
      </c>
      <c r="D73" s="429">
        <v>44155</v>
      </c>
      <c r="E73" s="276">
        <v>575.32929999999999</v>
      </c>
    </row>
    <row r="74" spans="1:5">
      <c r="A74" t="s">
        <v>2052</v>
      </c>
      <c r="B74" s="429">
        <v>44153</v>
      </c>
      <c r="C74" s="430">
        <v>2716.12</v>
      </c>
      <c r="D74" s="429">
        <v>44158</v>
      </c>
      <c r="E74" s="276">
        <v>22</v>
      </c>
    </row>
    <row r="75" spans="1:5">
      <c r="A75" t="s">
        <v>2052</v>
      </c>
      <c r="B75" s="429">
        <v>44154</v>
      </c>
      <c r="C75" s="430">
        <v>1481.52</v>
      </c>
      <c r="D75" s="429">
        <v>44159</v>
      </c>
      <c r="E75" s="276">
        <v>12</v>
      </c>
    </row>
    <row r="76" spans="1:5">
      <c r="A76" t="s">
        <v>2054</v>
      </c>
      <c r="B76" s="429">
        <v>44155</v>
      </c>
      <c r="C76" s="430">
        <v>4990</v>
      </c>
      <c r="D76" s="429">
        <v>44160</v>
      </c>
      <c r="E76" s="276">
        <v>42.252299999999998</v>
      </c>
    </row>
    <row r="77" spans="1:5">
      <c r="A77" t="s">
        <v>2052</v>
      </c>
      <c r="B77" s="429">
        <v>44155</v>
      </c>
      <c r="C77" s="430">
        <v>40189</v>
      </c>
      <c r="D77" s="429">
        <v>44160</v>
      </c>
      <c r="E77" s="276">
        <v>325</v>
      </c>
    </row>
    <row r="78" spans="1:5">
      <c r="A78" t="s">
        <v>2052</v>
      </c>
      <c r="B78" s="429">
        <v>44158</v>
      </c>
      <c r="C78" s="430">
        <v>18101</v>
      </c>
      <c r="D78" s="429">
        <v>44161</v>
      </c>
      <c r="E78" s="276">
        <v>146</v>
      </c>
    </row>
    <row r="79" spans="1:5">
      <c r="A79" t="s">
        <v>2054</v>
      </c>
      <c r="B79" s="429">
        <v>44161</v>
      </c>
      <c r="C79" s="430">
        <v>4990</v>
      </c>
      <c r="D79" s="429">
        <v>44166</v>
      </c>
      <c r="E79" s="276">
        <v>40.761299999999999</v>
      </c>
    </row>
    <row r="80" spans="1:5">
      <c r="A80" t="s">
        <v>2054</v>
      </c>
      <c r="B80" s="429">
        <v>44162</v>
      </c>
      <c r="C80" s="430">
        <v>989.99</v>
      </c>
      <c r="D80" s="429">
        <v>44167</v>
      </c>
      <c r="E80" s="276">
        <v>8.0154999999999994</v>
      </c>
    </row>
    <row r="81" spans="1:5">
      <c r="A81" t="s">
        <v>2054</v>
      </c>
      <c r="B81" s="429">
        <v>44165</v>
      </c>
      <c r="C81" s="430">
        <v>9988</v>
      </c>
      <c r="D81" s="429">
        <v>44168</v>
      </c>
      <c r="E81" s="276">
        <v>79.725399999999993</v>
      </c>
    </row>
    <row r="82" spans="1:5">
      <c r="A82" t="s">
        <v>2052</v>
      </c>
      <c r="B82" s="429">
        <v>44165</v>
      </c>
      <c r="C82" s="430">
        <v>-1578.6</v>
      </c>
      <c r="D82" s="429">
        <v>44168</v>
      </c>
      <c r="E82" s="276">
        <v>-12</v>
      </c>
    </row>
    <row r="83" spans="1:5">
      <c r="A83" t="s">
        <v>2052</v>
      </c>
      <c r="B83" s="429">
        <v>44167</v>
      </c>
      <c r="C83" s="430">
        <v>-65677</v>
      </c>
      <c r="D83" s="429">
        <v>44172</v>
      </c>
      <c r="E83" s="276">
        <v>-493</v>
      </c>
    </row>
    <row r="84" spans="1:5">
      <c r="A84" t="s">
        <v>2052</v>
      </c>
      <c r="B84" s="429">
        <v>44168</v>
      </c>
      <c r="C84" s="430">
        <v>348636</v>
      </c>
      <c r="D84" s="429">
        <v>44173</v>
      </c>
      <c r="E84" s="276">
        <v>2617</v>
      </c>
    </row>
    <row r="85" spans="1:5">
      <c r="A85" t="s">
        <v>2054</v>
      </c>
      <c r="B85" s="429">
        <v>44169</v>
      </c>
      <c r="C85" s="430">
        <v>4990</v>
      </c>
      <c r="D85" s="429">
        <v>44174</v>
      </c>
      <c r="E85" s="276">
        <v>38.613300000000002</v>
      </c>
    </row>
    <row r="86" spans="1:5">
      <c r="A86" t="s">
        <v>2054</v>
      </c>
      <c r="B86" s="429">
        <v>44172</v>
      </c>
      <c r="C86" s="430">
        <v>6990</v>
      </c>
      <c r="D86" s="429">
        <v>44175</v>
      </c>
      <c r="E86" s="276">
        <v>54.089599999999997</v>
      </c>
    </row>
    <row r="87" spans="1:5">
      <c r="A87" t="s">
        <v>2054</v>
      </c>
      <c r="B87" s="429">
        <v>44175</v>
      </c>
      <c r="C87" s="430">
        <v>4897.99</v>
      </c>
      <c r="D87" s="429">
        <v>44180</v>
      </c>
      <c r="E87" s="276">
        <v>38.771799999999999</v>
      </c>
    </row>
    <row r="88" spans="1:5">
      <c r="A88" t="s">
        <v>2054</v>
      </c>
      <c r="B88" s="429">
        <v>44179</v>
      </c>
      <c r="C88" s="430">
        <v>29989.99</v>
      </c>
      <c r="D88" s="429">
        <v>44182</v>
      </c>
      <c r="E88" s="276">
        <v>230.74549999999999</v>
      </c>
    </row>
    <row r="89" spans="1:5">
      <c r="A89" t="s">
        <v>2054</v>
      </c>
      <c r="B89" s="429">
        <v>44180</v>
      </c>
      <c r="C89" s="430">
        <v>598.74</v>
      </c>
      <c r="D89" s="429">
        <v>44183</v>
      </c>
      <c r="E89" s="276">
        <v>4.6135000000000002</v>
      </c>
    </row>
    <row r="90" spans="1:5">
      <c r="A90" t="s">
        <v>2054</v>
      </c>
      <c r="B90" s="429">
        <v>44183</v>
      </c>
      <c r="C90" s="430">
        <v>9990</v>
      </c>
      <c r="D90" s="429">
        <v>44188</v>
      </c>
      <c r="E90" s="276">
        <v>75.980999999999995</v>
      </c>
    </row>
    <row r="91" spans="1:5">
      <c r="A91" t="s">
        <v>2054</v>
      </c>
      <c r="B91" s="429">
        <v>44181</v>
      </c>
      <c r="C91" s="430">
        <v>2318</v>
      </c>
      <c r="D91" s="429">
        <v>44186</v>
      </c>
      <c r="E91" s="276">
        <v>17.647500000000001</v>
      </c>
    </row>
    <row r="92" spans="1:5">
      <c r="A92" t="s">
        <v>2054</v>
      </c>
      <c r="B92" s="429">
        <v>44186</v>
      </c>
      <c r="C92" s="430">
        <v>4989.99</v>
      </c>
      <c r="D92" s="429">
        <v>44189</v>
      </c>
      <c r="E92" s="276">
        <v>37.874699999999997</v>
      </c>
    </row>
    <row r="93" spans="1:5">
      <c r="A93" t="s">
        <v>2052</v>
      </c>
      <c r="B93" s="429">
        <v>44186</v>
      </c>
      <c r="C93" s="430">
        <v>-25834.05</v>
      </c>
      <c r="D93" s="429">
        <v>44189</v>
      </c>
      <c r="E93" s="276">
        <v>187</v>
      </c>
    </row>
    <row r="94" spans="1:5">
      <c r="A94" t="s">
        <v>2054</v>
      </c>
      <c r="B94" s="429">
        <v>44187</v>
      </c>
      <c r="C94" s="430">
        <v>55365.99</v>
      </c>
      <c r="D94" s="429">
        <v>44193</v>
      </c>
      <c r="E94" s="276">
        <v>420.42669999999998</v>
      </c>
    </row>
    <row r="95" spans="1:5">
      <c r="A95" t="s">
        <v>2054</v>
      </c>
      <c r="B95" s="429">
        <v>44188</v>
      </c>
      <c r="C95" s="430">
        <v>22980</v>
      </c>
      <c r="D95" s="429">
        <v>44194</v>
      </c>
      <c r="E95" s="276">
        <v>174.50069999999999</v>
      </c>
    </row>
    <row r="96" spans="1:5">
      <c r="A96" t="s">
        <v>2054</v>
      </c>
      <c r="B96" s="429">
        <v>44193</v>
      </c>
      <c r="C96" s="430">
        <v>1489.99</v>
      </c>
      <c r="D96" s="429">
        <v>44196</v>
      </c>
      <c r="E96" s="276">
        <v>11.3307</v>
      </c>
    </row>
    <row r="97" spans="1:5">
      <c r="A97" t="s">
        <v>2054</v>
      </c>
      <c r="B97" s="429">
        <v>44195</v>
      </c>
      <c r="C97" s="430">
        <v>199990</v>
      </c>
      <c r="D97" s="429">
        <v>44201</v>
      </c>
      <c r="E97" s="276">
        <v>1520.8364999999999</v>
      </c>
    </row>
    <row r="98" spans="1:5">
      <c r="A98" t="s">
        <v>2054</v>
      </c>
      <c r="B98" s="429">
        <v>43838</v>
      </c>
      <c r="C98" s="430">
        <v>39674.85</v>
      </c>
      <c r="D98" s="429">
        <v>44209</v>
      </c>
      <c r="E98" s="276">
        <v>285</v>
      </c>
    </row>
    <row r="99" spans="1:5">
      <c r="A99" t="s">
        <v>2052</v>
      </c>
      <c r="B99" s="429">
        <v>43838</v>
      </c>
      <c r="C99" s="430">
        <v>171217.8</v>
      </c>
      <c r="D99" s="429">
        <v>44209</v>
      </c>
      <c r="E99" s="276">
        <v>1170</v>
      </c>
    </row>
    <row r="100" spans="1:5">
      <c r="A100" t="s">
        <v>2054</v>
      </c>
      <c r="B100" s="429">
        <v>44207</v>
      </c>
      <c r="C100" s="430">
        <v>1159453.8400000001</v>
      </c>
      <c r="D100" s="429">
        <v>44210</v>
      </c>
      <c r="E100" s="276">
        <v>8054</v>
      </c>
    </row>
    <row r="101" spans="1:5">
      <c r="A101" t="s">
        <v>2055</v>
      </c>
      <c r="B101" s="429">
        <v>44207</v>
      </c>
      <c r="C101" s="430">
        <v>48561.99</v>
      </c>
      <c r="D101" s="429">
        <v>44210</v>
      </c>
      <c r="E101" s="276">
        <v>335.63150000000002</v>
      </c>
    </row>
    <row r="102" spans="1:5">
      <c r="A102" t="s">
        <v>2054</v>
      </c>
      <c r="B102" s="429">
        <v>44208</v>
      </c>
      <c r="C102" s="430">
        <v>107892.96</v>
      </c>
      <c r="D102" s="429">
        <v>44211</v>
      </c>
      <c r="E102" s="276">
        <v>750.40679999999998</v>
      </c>
    </row>
    <row r="103" spans="1:5">
      <c r="A103" t="s">
        <v>2054</v>
      </c>
      <c r="B103" s="429">
        <v>44209</v>
      </c>
      <c r="C103" s="430">
        <v>72913.350000000006</v>
      </c>
      <c r="D103" s="429">
        <v>44214</v>
      </c>
      <c r="E103" s="276">
        <v>555.62649999999996</v>
      </c>
    </row>
    <row r="104" spans="1:5">
      <c r="A104" t="s">
        <v>2052</v>
      </c>
      <c r="B104" s="429">
        <v>44209</v>
      </c>
      <c r="C104" s="430">
        <v>177091.20000000001</v>
      </c>
      <c r="D104" s="429">
        <v>44214</v>
      </c>
      <c r="E104" s="276">
        <v>1170</v>
      </c>
    </row>
    <row r="105" spans="1:5">
      <c r="A105" t="s">
        <v>2054</v>
      </c>
      <c r="B105" s="429">
        <v>44210</v>
      </c>
      <c r="C105" s="430">
        <v>-1525.24</v>
      </c>
      <c r="D105" s="429">
        <v>44215</v>
      </c>
      <c r="E105" s="276">
        <v>-10.5641</v>
      </c>
    </row>
    <row r="106" spans="1:5">
      <c r="A106" t="s">
        <v>2055</v>
      </c>
      <c r="B106" s="429">
        <v>44210</v>
      </c>
      <c r="C106" s="430">
        <v>250000</v>
      </c>
      <c r="D106" s="429">
        <v>44215</v>
      </c>
      <c r="E106" s="276">
        <v>1646.2530999999999</v>
      </c>
    </row>
    <row r="107" spans="1:5">
      <c r="A107" t="s">
        <v>2052</v>
      </c>
      <c r="B107" s="429">
        <v>44210</v>
      </c>
      <c r="C107" s="430">
        <v>15094</v>
      </c>
      <c r="D107" s="429">
        <v>44215</v>
      </c>
      <c r="E107" s="276">
        <v>100</v>
      </c>
    </row>
    <row r="108" spans="1:5">
      <c r="A108" t="s">
        <v>2054</v>
      </c>
      <c r="B108" s="429">
        <v>44211</v>
      </c>
      <c r="C108" s="430">
        <v>598.74</v>
      </c>
      <c r="D108" s="429">
        <v>44216</v>
      </c>
      <c r="E108" s="276">
        <v>4.1733000000000002</v>
      </c>
    </row>
    <row r="109" spans="1:5">
      <c r="A109" t="s">
        <v>2054</v>
      </c>
      <c r="B109" s="429">
        <v>36909</v>
      </c>
      <c r="C109" s="430">
        <v>-17931.14</v>
      </c>
      <c r="D109" s="429">
        <v>44217</v>
      </c>
      <c r="E109" s="276">
        <v>-136.3698</v>
      </c>
    </row>
    <row r="110" spans="1:5">
      <c r="A110" t="s">
        <v>2052</v>
      </c>
      <c r="B110" s="429">
        <v>44214</v>
      </c>
      <c r="C110" s="430">
        <v>133482</v>
      </c>
      <c r="D110" s="429">
        <v>44217</v>
      </c>
      <c r="E110" s="276">
        <v>890</v>
      </c>
    </row>
    <row r="111" spans="1:5">
      <c r="A111" t="s">
        <v>2054</v>
      </c>
      <c r="B111" s="429">
        <v>44215</v>
      </c>
      <c r="C111" s="430">
        <v>-10902.35</v>
      </c>
      <c r="D111" s="429">
        <v>44218</v>
      </c>
      <c r="E111" s="276">
        <v>-76.438000000000002</v>
      </c>
    </row>
    <row r="112" spans="1:5">
      <c r="A112" t="s">
        <v>2054</v>
      </c>
      <c r="B112" s="429">
        <v>44216</v>
      </c>
      <c r="C112" s="430">
        <v>75743.17</v>
      </c>
      <c r="D112" s="429">
        <v>44221</v>
      </c>
      <c r="E112" s="276">
        <v>519.17999999999995</v>
      </c>
    </row>
    <row r="113" spans="1:7">
      <c r="A113" t="s">
        <v>2055</v>
      </c>
      <c r="B113" s="429">
        <v>44216</v>
      </c>
      <c r="C113" s="430">
        <v>557741.32999999996</v>
      </c>
      <c r="D113" s="429">
        <v>44221</v>
      </c>
      <c r="E113" s="276">
        <v>3717.5320000000002</v>
      </c>
      <c r="G113" s="248" t="s">
        <v>12581</v>
      </c>
    </row>
    <row r="114" spans="1:7">
      <c r="A114" t="s">
        <v>2052</v>
      </c>
      <c r="B114" s="429">
        <v>44216</v>
      </c>
      <c r="C114" s="430">
        <v>7671.5</v>
      </c>
      <c r="D114" s="429">
        <v>44221</v>
      </c>
      <c r="E114" s="276">
        <v>50</v>
      </c>
    </row>
    <row r="115" spans="1:7">
      <c r="A115" t="s">
        <v>2054</v>
      </c>
      <c r="B115" s="429">
        <v>44217</v>
      </c>
      <c r="C115" s="430">
        <v>268807.5</v>
      </c>
      <c r="D115" s="429">
        <v>44222</v>
      </c>
      <c r="E115" s="276">
        <v>1872</v>
      </c>
    </row>
    <row r="116" spans="1:7">
      <c r="A116" t="s">
        <v>2055</v>
      </c>
      <c r="B116" s="429">
        <v>44217</v>
      </c>
      <c r="C116" s="430">
        <v>673.9</v>
      </c>
      <c r="D116" s="429">
        <v>44222</v>
      </c>
      <c r="E116" s="276">
        <v>4.4626000000000001</v>
      </c>
    </row>
    <row r="117" spans="1:7">
      <c r="A117" t="s">
        <v>2054</v>
      </c>
      <c r="B117" s="429">
        <v>44218</v>
      </c>
      <c r="C117" s="430">
        <v>94425.36</v>
      </c>
      <c r="D117" s="429">
        <v>44223</v>
      </c>
      <c r="E117" s="276">
        <v>642</v>
      </c>
    </row>
    <row r="118" spans="1:7">
      <c r="A118" t="s">
        <v>2055</v>
      </c>
      <c r="B118" s="429">
        <v>44218</v>
      </c>
      <c r="C118" s="430">
        <v>148137.69</v>
      </c>
      <c r="D118" s="429">
        <v>44223</v>
      </c>
      <c r="E118" s="276">
        <v>972.91549999999995</v>
      </c>
    </row>
    <row r="119" spans="1:7">
      <c r="A119" t="s">
        <v>2054</v>
      </c>
      <c r="B119" s="429">
        <v>44221</v>
      </c>
      <c r="C119" s="430">
        <v>-21421.22</v>
      </c>
      <c r="D119" s="429">
        <v>44224</v>
      </c>
      <c r="E119" s="276">
        <v>-145.64330000000001</v>
      </c>
    </row>
    <row r="120" spans="1:7">
      <c r="A120" t="s">
        <v>2055</v>
      </c>
      <c r="B120" s="429">
        <v>44221</v>
      </c>
      <c r="C120" s="430">
        <v>527.09</v>
      </c>
      <c r="D120" s="429">
        <v>44224</v>
      </c>
      <c r="E120" s="276">
        <v>3.4074</v>
      </c>
    </row>
    <row r="121" spans="1:7">
      <c r="A121" t="s">
        <v>2054</v>
      </c>
      <c r="B121" s="429">
        <v>44222</v>
      </c>
      <c r="C121" s="430">
        <v>75959.960000000006</v>
      </c>
      <c r="D121" s="429">
        <v>44225</v>
      </c>
      <c r="E121" s="276">
        <v>512.61950000000002</v>
      </c>
    </row>
    <row r="122" spans="1:7">
      <c r="A122" t="s">
        <v>2055</v>
      </c>
      <c r="B122" s="429">
        <v>44222</v>
      </c>
      <c r="C122" s="430">
        <v>-49891.199999999997</v>
      </c>
      <c r="D122" s="429">
        <v>44225</v>
      </c>
      <c r="E122" s="276">
        <v>-320</v>
      </c>
    </row>
    <row r="123" spans="1:7">
      <c r="A123" t="s">
        <v>12591</v>
      </c>
      <c r="B123" s="429">
        <v>44222</v>
      </c>
      <c r="C123" s="430">
        <v>-67019.8</v>
      </c>
      <c r="D123" s="429">
        <v>44225</v>
      </c>
      <c r="E123" s="276">
        <v>-430</v>
      </c>
    </row>
    <row r="124" spans="1:7">
      <c r="A124" t="s">
        <v>2054</v>
      </c>
      <c r="B124" s="429">
        <v>44223</v>
      </c>
      <c r="C124" s="430">
        <v>14388</v>
      </c>
      <c r="D124" s="429">
        <v>44228</v>
      </c>
      <c r="E124" s="276">
        <v>96.797600000000003</v>
      </c>
    </row>
    <row r="125" spans="1:7">
      <c r="A125" t="s">
        <v>12591</v>
      </c>
      <c r="B125" s="429">
        <v>44223</v>
      </c>
      <c r="C125" s="430">
        <v>2970.46</v>
      </c>
      <c r="D125" s="429">
        <v>44228</v>
      </c>
      <c r="E125" s="276">
        <v>19</v>
      </c>
    </row>
    <row r="126" spans="1:7">
      <c r="A126" t="s">
        <v>2054</v>
      </c>
      <c r="B126" s="429">
        <v>44224</v>
      </c>
      <c r="C126" s="430">
        <v>13174.16</v>
      </c>
      <c r="D126" s="429">
        <v>44229</v>
      </c>
      <c r="E126" s="276">
        <v>25188</v>
      </c>
    </row>
    <row r="127" spans="1:7">
      <c r="A127" t="s">
        <v>2055</v>
      </c>
      <c r="B127" s="429">
        <v>44225</v>
      </c>
      <c r="C127" s="430">
        <v>4573.01</v>
      </c>
      <c r="D127" s="429">
        <v>44229</v>
      </c>
      <c r="E127" s="276">
        <v>457301</v>
      </c>
    </row>
    <row r="128" spans="1:7">
      <c r="A128" t="s">
        <v>2054</v>
      </c>
      <c r="B128" s="429">
        <v>44229</v>
      </c>
      <c r="C128" s="430">
        <v>32580</v>
      </c>
      <c r="D128" s="429">
        <v>44232</v>
      </c>
      <c r="E128" s="276">
        <v>229.006</v>
      </c>
    </row>
    <row r="129" spans="1:5">
      <c r="A129" t="s">
        <v>2054</v>
      </c>
      <c r="B129" s="429">
        <v>44228</v>
      </c>
      <c r="C129" s="430">
        <v>14987.99</v>
      </c>
      <c r="D129" s="429">
        <v>44231</v>
      </c>
      <c r="E129" s="276">
        <v>103.6442</v>
      </c>
    </row>
    <row r="130" spans="1:5">
      <c r="A130" t="s">
        <v>2054</v>
      </c>
      <c r="B130" s="429">
        <v>44230</v>
      </c>
      <c r="C130" s="430">
        <v>14388</v>
      </c>
      <c r="D130" s="429">
        <v>44235</v>
      </c>
      <c r="E130" s="276">
        <v>97.058800000000005</v>
      </c>
    </row>
    <row r="131" spans="1:5">
      <c r="A131" t="s">
        <v>2054</v>
      </c>
      <c r="B131" s="429">
        <v>44232</v>
      </c>
      <c r="C131" s="430">
        <v>6296.58</v>
      </c>
      <c r="D131" s="429">
        <v>44236</v>
      </c>
      <c r="E131" s="276">
        <v>42.449800000000003</v>
      </c>
    </row>
    <row r="132" spans="1:5">
      <c r="A132" t="s">
        <v>2054</v>
      </c>
      <c r="B132" s="429">
        <v>44232</v>
      </c>
      <c r="C132" s="430">
        <v>50933.93</v>
      </c>
      <c r="D132" s="429">
        <v>44237</v>
      </c>
      <c r="E132" s="276">
        <v>343.33100000000002</v>
      </c>
    </row>
    <row r="133" spans="1:5">
      <c r="A133" t="s">
        <v>2055</v>
      </c>
      <c r="B133" s="429">
        <v>44232</v>
      </c>
      <c r="C133" s="430">
        <v>80092.160000000003</v>
      </c>
      <c r="D133" s="429">
        <v>44237</v>
      </c>
      <c r="E133" s="276">
        <v>512</v>
      </c>
    </row>
    <row r="134" spans="1:5">
      <c r="A134" t="s">
        <v>2055</v>
      </c>
      <c r="B134" s="429">
        <v>44236</v>
      </c>
      <c r="C134" s="430">
        <v>3749.99</v>
      </c>
      <c r="D134" s="429">
        <v>44239</v>
      </c>
      <c r="E134" s="276">
        <v>23.929500000000001</v>
      </c>
    </row>
    <row r="135" spans="1:5">
      <c r="A135" t="s">
        <v>2054</v>
      </c>
      <c r="B135" s="429">
        <v>44237</v>
      </c>
      <c r="C135" s="430">
        <v>5979.6</v>
      </c>
      <c r="D135" s="429">
        <v>44242</v>
      </c>
      <c r="E135" s="276">
        <v>40</v>
      </c>
    </row>
    <row r="136" spans="1:5">
      <c r="A136" t="s">
        <v>2054</v>
      </c>
      <c r="B136" s="429">
        <v>44238</v>
      </c>
      <c r="C136" s="430">
        <v>7967.59</v>
      </c>
      <c r="D136" s="429">
        <v>44243</v>
      </c>
      <c r="E136" s="276">
        <v>53.380099999999999</v>
      </c>
    </row>
    <row r="137" spans="1:5">
      <c r="A137" t="s">
        <v>2054</v>
      </c>
      <c r="B137" s="429">
        <v>44239</v>
      </c>
      <c r="C137" s="430">
        <v>225532</v>
      </c>
      <c r="D137" s="429">
        <v>44244</v>
      </c>
      <c r="E137" s="276">
        <v>1510.53</v>
      </c>
    </row>
    <row r="138" spans="1:5">
      <c r="A138" t="s">
        <v>2055</v>
      </c>
      <c r="B138" s="429">
        <v>44239</v>
      </c>
      <c r="C138" s="430">
        <v>50256</v>
      </c>
      <c r="D138" s="429">
        <v>44244</v>
      </c>
      <c r="E138" s="276">
        <v>320</v>
      </c>
    </row>
    <row r="139" spans="1:5">
      <c r="A139" t="s">
        <v>2054</v>
      </c>
      <c r="B139" s="429">
        <v>44242</v>
      </c>
      <c r="C139" s="430">
        <v>1797.49</v>
      </c>
      <c r="D139" s="429">
        <v>44245</v>
      </c>
      <c r="E139" s="276">
        <v>11.975300000000001</v>
      </c>
    </row>
    <row r="140" spans="1:5">
      <c r="A140" t="s">
        <v>2055</v>
      </c>
      <c r="B140" s="429">
        <v>44244</v>
      </c>
      <c r="C140" s="430">
        <v>-1370.52</v>
      </c>
      <c r="D140" s="429">
        <v>44249</v>
      </c>
      <c r="E140" s="276">
        <v>-8.6266999999999996</v>
      </c>
    </row>
    <row r="141" spans="1:5">
      <c r="A141" t="s">
        <v>2054</v>
      </c>
      <c r="B141" s="429">
        <v>44246</v>
      </c>
      <c r="C141" s="430">
        <v>158021.51</v>
      </c>
      <c r="D141" s="429">
        <v>44251</v>
      </c>
      <c r="E141" s="276">
        <v>1039</v>
      </c>
    </row>
    <row r="142" spans="1:5">
      <c r="A142" t="s">
        <v>2054</v>
      </c>
      <c r="B142" s="429">
        <v>44249</v>
      </c>
      <c r="C142" s="430">
        <v>4980.6899999999996</v>
      </c>
      <c r="D142" s="429">
        <v>44252</v>
      </c>
      <c r="E142" s="276">
        <v>33</v>
      </c>
    </row>
    <row r="143" spans="1:5">
      <c r="A143" t="s">
        <v>2055</v>
      </c>
      <c r="B143" s="429">
        <v>44249</v>
      </c>
      <c r="C143" s="430">
        <v>349999.98</v>
      </c>
      <c r="D143" s="429">
        <v>44252</v>
      </c>
      <c r="E143" s="276">
        <v>2202.2273</v>
      </c>
    </row>
    <row r="144" spans="1:5">
      <c r="A144" t="s">
        <v>2054</v>
      </c>
      <c r="B144" s="429">
        <v>44253</v>
      </c>
      <c r="C144" s="430">
        <v>-395018.87</v>
      </c>
      <c r="D144" s="429">
        <v>44258</v>
      </c>
      <c r="E144" s="276">
        <v>-2705.7939999999999</v>
      </c>
    </row>
    <row r="145" spans="1:5">
      <c r="A145" t="s">
        <v>2054</v>
      </c>
      <c r="B145" s="429">
        <v>44257</v>
      </c>
      <c r="C145" s="430">
        <v>83944.25</v>
      </c>
      <c r="D145" s="429">
        <v>44260</v>
      </c>
      <c r="E145" s="276">
        <v>575</v>
      </c>
    </row>
    <row r="146" spans="1:5">
      <c r="A146" t="s">
        <v>2055</v>
      </c>
      <c r="B146" s="429">
        <v>44257</v>
      </c>
      <c r="C146" s="430">
        <v>101049</v>
      </c>
      <c r="D146" s="429">
        <v>44260</v>
      </c>
      <c r="E146" s="276">
        <v>650</v>
      </c>
    </row>
    <row r="147" spans="1:5">
      <c r="A147" t="s">
        <v>2054</v>
      </c>
      <c r="B147" s="429">
        <v>44258</v>
      </c>
      <c r="C147" s="430">
        <v>35284.300000000003</v>
      </c>
      <c r="D147" s="429">
        <v>44263</v>
      </c>
      <c r="E147" s="276">
        <v>237.14160000000001</v>
      </c>
    </row>
    <row r="148" spans="1:5">
      <c r="A148" t="s">
        <v>2055</v>
      </c>
      <c r="B148" s="429">
        <v>44263</v>
      </c>
      <c r="C148" s="430">
        <v>-19.82</v>
      </c>
      <c r="D148" s="429">
        <v>44266</v>
      </c>
      <c r="E148" s="276">
        <v>-0.12759999999999999</v>
      </c>
    </row>
    <row r="149" spans="1:5">
      <c r="A149" t="s">
        <v>2054</v>
      </c>
      <c r="B149" s="429">
        <v>44264</v>
      </c>
      <c r="C149" s="430">
        <v>34891.69</v>
      </c>
      <c r="D149" s="429">
        <v>44267</v>
      </c>
      <c r="E149" s="276">
        <v>236.38220000000001</v>
      </c>
    </row>
    <row r="150" spans="1:5">
      <c r="A150" t="s">
        <v>2054</v>
      </c>
      <c r="B150" s="429">
        <v>44265</v>
      </c>
      <c r="C150" s="430">
        <v>41104</v>
      </c>
      <c r="D150" s="429">
        <v>44270</v>
      </c>
      <c r="E150" s="276">
        <v>280</v>
      </c>
    </row>
    <row r="151" spans="1:5">
      <c r="A151" t="s">
        <v>2054</v>
      </c>
      <c r="B151" s="429">
        <v>44266</v>
      </c>
      <c r="C151" s="430">
        <v>14680</v>
      </c>
      <c r="D151" s="429">
        <v>44271</v>
      </c>
      <c r="E151" s="276">
        <v>100</v>
      </c>
    </row>
    <row r="152" spans="1:5">
      <c r="A152" t="s">
        <v>2054</v>
      </c>
      <c r="B152" s="429">
        <v>44267</v>
      </c>
      <c r="C152" s="430">
        <v>248051</v>
      </c>
      <c r="D152" s="429">
        <v>44272</v>
      </c>
      <c r="E152" s="276">
        <v>1702.8351</v>
      </c>
    </row>
    <row r="153" spans="1:5">
      <c r="A153" t="s">
        <v>2055</v>
      </c>
      <c r="B153" s="429">
        <v>44267</v>
      </c>
      <c r="C153" s="430">
        <v>102811</v>
      </c>
      <c r="D153" s="429">
        <v>44272</v>
      </c>
      <c r="E153" s="276">
        <v>670</v>
      </c>
    </row>
    <row r="154" spans="1:5">
      <c r="A154" t="s">
        <v>2054</v>
      </c>
      <c r="B154" s="429">
        <v>44270</v>
      </c>
      <c r="C154" s="430">
        <v>8632.49</v>
      </c>
      <c r="D154" s="429">
        <v>44273</v>
      </c>
      <c r="E154" s="276">
        <v>58.3947</v>
      </c>
    </row>
    <row r="155" spans="1:5">
      <c r="A155" t="s">
        <v>12591</v>
      </c>
      <c r="B155" s="429">
        <v>44270</v>
      </c>
      <c r="C155" s="430">
        <v>5604.84</v>
      </c>
      <c r="D155" s="429">
        <v>44273</v>
      </c>
      <c r="E155" s="276">
        <v>36</v>
      </c>
    </row>
    <row r="156" spans="1:5">
      <c r="A156" t="s">
        <v>2054</v>
      </c>
      <c r="B156" s="429">
        <v>44271</v>
      </c>
      <c r="C156" s="430">
        <v>60112.36</v>
      </c>
      <c r="D156" s="429">
        <v>44274</v>
      </c>
      <c r="E156" s="276">
        <v>406</v>
      </c>
    </row>
    <row r="157" spans="1:5">
      <c r="A157" t="s">
        <v>2054</v>
      </c>
      <c r="B157" s="429">
        <v>44272</v>
      </c>
      <c r="C157" s="430">
        <v>56823</v>
      </c>
      <c r="D157" s="429">
        <v>44277</v>
      </c>
      <c r="E157" s="276">
        <v>383.52140000000003</v>
      </c>
    </row>
    <row r="158" spans="1:5">
      <c r="A158" t="s">
        <v>2054</v>
      </c>
      <c r="B158" s="429">
        <v>44273</v>
      </c>
      <c r="C158" s="430">
        <v>73877.320000000007</v>
      </c>
      <c r="D158" s="429">
        <v>44278</v>
      </c>
      <c r="E158" s="276">
        <v>-496.27820000000003</v>
      </c>
    </row>
    <row r="159" spans="1:5">
      <c r="A159" t="s">
        <v>2054</v>
      </c>
      <c r="B159" s="429">
        <v>44274</v>
      </c>
      <c r="C159" s="430">
        <v>4989.99</v>
      </c>
      <c r="D159" s="429">
        <v>44279</v>
      </c>
      <c r="E159" s="276">
        <v>33.519100000000002</v>
      </c>
    </row>
    <row r="160" spans="1:5">
      <c r="A160" t="s">
        <v>2054</v>
      </c>
      <c r="B160" s="429">
        <v>44277</v>
      </c>
      <c r="C160" s="430">
        <v>-5259.34</v>
      </c>
      <c r="D160" s="429">
        <v>44280</v>
      </c>
      <c r="E160" s="276">
        <v>-35.273899999999998</v>
      </c>
    </row>
    <row r="161" spans="1:5">
      <c r="A161" t="s">
        <v>2055</v>
      </c>
      <c r="B161" s="429">
        <v>44277</v>
      </c>
      <c r="C161" s="430">
        <v>1288.7</v>
      </c>
      <c r="D161" s="429">
        <v>44280</v>
      </c>
      <c r="E161" s="276">
        <v>8.2014999999999993</v>
      </c>
    </row>
    <row r="162" spans="1:5">
      <c r="A162" t="s">
        <v>2054</v>
      </c>
      <c r="B162" s="429">
        <v>44278</v>
      </c>
      <c r="C162" s="430">
        <v>31555.99</v>
      </c>
      <c r="D162" s="429">
        <v>44281</v>
      </c>
      <c r="E162" s="276">
        <v>213.79400000000001</v>
      </c>
    </row>
    <row r="163" spans="1:5">
      <c r="A163" t="s">
        <v>2055</v>
      </c>
      <c r="B163" s="429">
        <v>44278</v>
      </c>
      <c r="C163" s="430">
        <v>-153.61000000000001</v>
      </c>
      <c r="D163" s="429">
        <v>44281</v>
      </c>
      <c r="E163" s="276">
        <v>-0.98750000000000004</v>
      </c>
    </row>
    <row r="164" spans="1:5">
      <c r="A164" t="s">
        <v>2054</v>
      </c>
      <c r="B164" s="429">
        <v>44279</v>
      </c>
      <c r="C164" s="430">
        <v>-19901.59</v>
      </c>
      <c r="D164" s="429">
        <v>44284</v>
      </c>
      <c r="E164" s="276">
        <v>-134.83459999999999</v>
      </c>
    </row>
    <row r="165" spans="1:5">
      <c r="A165" t="s">
        <v>2055</v>
      </c>
      <c r="B165" s="429">
        <v>44279</v>
      </c>
      <c r="C165" s="430">
        <v>782.51</v>
      </c>
      <c r="D165" s="429">
        <v>44284</v>
      </c>
      <c r="E165" s="276">
        <v>-5.0303000000000004</v>
      </c>
    </row>
    <row r="166" spans="1:5">
      <c r="A166" t="s">
        <v>2054</v>
      </c>
      <c r="B166" s="429">
        <v>44280</v>
      </c>
      <c r="C166" s="430">
        <v>32130</v>
      </c>
      <c r="D166" s="429">
        <v>44285</v>
      </c>
      <c r="E166" s="276">
        <v>217.68289999999999</v>
      </c>
    </row>
    <row r="167" spans="1:5">
      <c r="A167" t="s">
        <v>12591</v>
      </c>
      <c r="B167" s="429">
        <v>44280</v>
      </c>
      <c r="C167" s="430">
        <v>-1088.5</v>
      </c>
      <c r="D167" s="429">
        <v>44285</v>
      </c>
      <c r="E167" s="276">
        <v>-7</v>
      </c>
    </row>
    <row r="168" spans="1:5">
      <c r="A168" t="s">
        <v>2054</v>
      </c>
      <c r="B168" s="429">
        <v>44281</v>
      </c>
      <c r="C168" s="430">
        <v>14979.99</v>
      </c>
      <c r="D168" s="429">
        <v>44286</v>
      </c>
      <c r="E168" s="276">
        <v>101.8631</v>
      </c>
    </row>
    <row r="169" spans="1:5">
      <c r="A169" t="s">
        <v>2054</v>
      </c>
      <c r="B169" s="429">
        <v>44285</v>
      </c>
      <c r="C169" s="430">
        <v>4989.99</v>
      </c>
      <c r="D169" s="429">
        <v>44292</v>
      </c>
      <c r="E169" s="276">
        <v>33.821300000000001</v>
      </c>
    </row>
    <row r="170" spans="1:5">
      <c r="A170" t="s">
        <v>2054</v>
      </c>
      <c r="B170" s="429">
        <v>44286</v>
      </c>
      <c r="C170" s="430">
        <v>1999.99</v>
      </c>
      <c r="D170" s="429">
        <v>44293</v>
      </c>
      <c r="E170" s="276">
        <v>13.5244</v>
      </c>
    </row>
    <row r="171" spans="1:5">
      <c r="A171" t="s">
        <v>2054</v>
      </c>
      <c r="B171" s="429">
        <v>44287</v>
      </c>
      <c r="C171" s="430">
        <v>1989.99</v>
      </c>
      <c r="D171" s="429">
        <v>44294</v>
      </c>
      <c r="E171" s="276">
        <v>13.456799999999999</v>
      </c>
    </row>
    <row r="172" spans="1:5">
      <c r="A172" t="s">
        <v>2054</v>
      </c>
      <c r="B172" s="429">
        <v>44292</v>
      </c>
      <c r="C172" s="430">
        <v>29989.99</v>
      </c>
      <c r="D172" s="429">
        <v>44295</v>
      </c>
      <c r="E172" s="276">
        <v>201.6405</v>
      </c>
    </row>
    <row r="173" spans="1:5">
      <c r="A173" t="s">
        <v>12591</v>
      </c>
      <c r="B173" s="429">
        <v>44292</v>
      </c>
      <c r="C173" s="430">
        <v>779.15</v>
      </c>
      <c r="D173" s="429">
        <v>44295</v>
      </c>
      <c r="E173" s="276">
        <v>5</v>
      </c>
    </row>
    <row r="174" spans="1:5">
      <c r="A174" t="s">
        <v>2054</v>
      </c>
      <c r="B174" s="429">
        <v>44293</v>
      </c>
      <c r="C174" s="430">
        <v>46669.68</v>
      </c>
      <c r="D174" s="429">
        <v>44298</v>
      </c>
      <c r="E174" s="276">
        <v>316</v>
      </c>
    </row>
    <row r="175" spans="1:5">
      <c r="A175" t="s">
        <v>2054</v>
      </c>
      <c r="B175" s="429">
        <v>44294</v>
      </c>
      <c r="C175" s="430">
        <v>57322.49</v>
      </c>
      <c r="D175" s="429">
        <v>44299</v>
      </c>
      <c r="E175" s="276">
        <v>383.86450000000002</v>
      </c>
    </row>
    <row r="176" spans="1:5">
      <c r="A176" t="s">
        <v>2054</v>
      </c>
      <c r="B176" s="429">
        <v>44295</v>
      </c>
      <c r="C176" s="430">
        <v>1651.1</v>
      </c>
      <c r="D176" s="429">
        <v>44300</v>
      </c>
      <c r="E176" s="276">
        <v>11</v>
      </c>
    </row>
    <row r="177" spans="1:5">
      <c r="A177" t="s">
        <v>2055</v>
      </c>
      <c r="B177" s="429">
        <v>44295</v>
      </c>
      <c r="C177" s="430">
        <v>-154.86000000000001</v>
      </c>
      <c r="D177" s="429">
        <v>44300</v>
      </c>
      <c r="E177" s="276">
        <v>-0.97860000000000003</v>
      </c>
    </row>
    <row r="178" spans="1:5">
      <c r="A178" t="s">
        <v>2054</v>
      </c>
      <c r="B178" s="429">
        <v>44299</v>
      </c>
      <c r="C178" s="430">
        <v>4952.49</v>
      </c>
      <c r="D178" s="429">
        <v>44302</v>
      </c>
      <c r="E178" s="276">
        <v>32.912500000000001</v>
      </c>
    </row>
    <row r="179" spans="1:5">
      <c r="A179" t="s">
        <v>12591</v>
      </c>
      <c r="B179" s="429">
        <v>44300</v>
      </c>
      <c r="C179" s="430">
        <v>479.13</v>
      </c>
      <c r="D179" s="429">
        <v>44305</v>
      </c>
      <c r="E179" s="276">
        <v>3</v>
      </c>
    </row>
    <row r="180" spans="1:5">
      <c r="A180" t="s">
        <v>2054</v>
      </c>
      <c r="B180" s="429">
        <v>44301</v>
      </c>
      <c r="C180" s="430">
        <v>30696.66</v>
      </c>
      <c r="D180" s="429">
        <v>44306</v>
      </c>
      <c r="E180" s="276">
        <v>202.5018</v>
      </c>
    </row>
    <row r="181" spans="1:5">
      <c r="A181" t="s">
        <v>2054</v>
      </c>
      <c r="B181" s="429">
        <v>44302</v>
      </c>
      <c r="C181" s="430">
        <v>48483.199999999997</v>
      </c>
      <c r="D181" s="429">
        <v>44307</v>
      </c>
      <c r="E181" s="276">
        <v>320</v>
      </c>
    </row>
    <row r="182" spans="1:5">
      <c r="A182" t="s">
        <v>2054</v>
      </c>
      <c r="B182" s="429">
        <v>44305</v>
      </c>
      <c r="C182" s="430">
        <v>14989.99</v>
      </c>
      <c r="D182" s="429">
        <v>44308</v>
      </c>
      <c r="E182" s="276">
        <v>98.082800000000006</v>
      </c>
    </row>
    <row r="183" spans="1:5">
      <c r="A183" t="s">
        <v>2054</v>
      </c>
      <c r="B183" s="429">
        <v>44306</v>
      </c>
      <c r="C183" s="430">
        <v>735168.45</v>
      </c>
      <c r="D183" s="429">
        <v>44309</v>
      </c>
      <c r="E183" s="276">
        <v>4817.7098999999998</v>
      </c>
    </row>
    <row r="184" spans="1:5">
      <c r="A184" t="s">
        <v>2055</v>
      </c>
      <c r="B184" s="429">
        <v>44306</v>
      </c>
      <c r="C184" s="430">
        <v>200000</v>
      </c>
      <c r="D184" s="429">
        <v>44309</v>
      </c>
      <c r="E184" s="276">
        <v>1240.9257</v>
      </c>
    </row>
    <row r="185" spans="1:5">
      <c r="A185" t="s">
        <v>2054</v>
      </c>
      <c r="B185" s="429">
        <v>44307</v>
      </c>
      <c r="C185" s="430">
        <v>54979.99</v>
      </c>
      <c r="D185" s="429">
        <v>44312</v>
      </c>
      <c r="E185" s="276">
        <v>366.90019999999998</v>
      </c>
    </row>
    <row r="186" spans="1:5">
      <c r="A186" t="s">
        <v>2054</v>
      </c>
      <c r="B186" s="429">
        <v>44308</v>
      </c>
      <c r="C186" s="430">
        <v>4508.18</v>
      </c>
      <c r="D186" s="429">
        <v>44313</v>
      </c>
      <c r="E186" s="276">
        <v>29.8812</v>
      </c>
    </row>
    <row r="187" spans="1:5">
      <c r="A187" t="s">
        <v>12591</v>
      </c>
      <c r="B187" s="429">
        <v>44307</v>
      </c>
      <c r="C187" s="430">
        <v>947.94</v>
      </c>
      <c r="D187" s="429">
        <v>44312</v>
      </c>
      <c r="E187" s="276">
        <v>6</v>
      </c>
    </row>
    <row r="188" spans="1:5">
      <c r="A188" t="s">
        <v>2054</v>
      </c>
      <c r="B188" s="429">
        <v>44312</v>
      </c>
      <c r="C188" s="430">
        <v>13016.4</v>
      </c>
      <c r="D188" s="429">
        <v>44315</v>
      </c>
      <c r="E188" s="276">
        <v>86.019000000000005</v>
      </c>
    </row>
    <row r="189" spans="1:5">
      <c r="A189" t="s">
        <v>2054</v>
      </c>
      <c r="B189" s="429">
        <v>44313</v>
      </c>
      <c r="C189" s="430">
        <v>58210.559999999998</v>
      </c>
      <c r="D189" s="429">
        <v>44316</v>
      </c>
      <c r="E189" s="276">
        <v>384</v>
      </c>
    </row>
    <row r="190" spans="1:5">
      <c r="A190" t="s">
        <v>2054</v>
      </c>
      <c r="B190" s="429">
        <v>44314</v>
      </c>
      <c r="C190" s="430">
        <v>65556.63</v>
      </c>
      <c r="D190" s="429">
        <v>44319</v>
      </c>
      <c r="E190" s="276">
        <v>432.81990000000002</v>
      </c>
    </row>
    <row r="191" spans="1:5">
      <c r="A191" t="s">
        <v>2055</v>
      </c>
      <c r="B191" s="429">
        <v>44315</v>
      </c>
      <c r="C191" s="430">
        <v>40181.4</v>
      </c>
      <c r="D191" s="429">
        <v>44320</v>
      </c>
      <c r="E191" s="276">
        <v>252</v>
      </c>
    </row>
    <row r="192" spans="1:5">
      <c r="A192" t="s">
        <v>2055</v>
      </c>
      <c r="B192" s="429">
        <v>44316</v>
      </c>
      <c r="C192" s="430">
        <v>200000</v>
      </c>
      <c r="D192" s="429">
        <v>44321</v>
      </c>
      <c r="E192" s="276">
        <v>1256.913</v>
      </c>
    </row>
    <row r="193" spans="1:5">
      <c r="A193" t="s">
        <v>2055</v>
      </c>
      <c r="B193" s="429">
        <v>44319</v>
      </c>
      <c r="C193" s="430">
        <v>-24020.18</v>
      </c>
      <c r="D193" s="429">
        <v>44322</v>
      </c>
      <c r="E193" s="276">
        <v>-151.3082</v>
      </c>
    </row>
    <row r="194" spans="1:5">
      <c r="A194" t="s">
        <v>12591</v>
      </c>
      <c r="B194" s="429">
        <v>44320</v>
      </c>
      <c r="C194" s="430">
        <v>-4602.01</v>
      </c>
      <c r="D194" s="429">
        <v>44323</v>
      </c>
      <c r="E194" s="276">
        <v>-29</v>
      </c>
    </row>
    <row r="195" spans="1:5">
      <c r="A195" t="s">
        <v>2054</v>
      </c>
      <c r="B195" s="429">
        <v>44321</v>
      </c>
      <c r="C195" s="430">
        <v>4062.42</v>
      </c>
      <c r="D195" s="429">
        <v>44326</v>
      </c>
      <c r="E195" s="276">
        <v>27</v>
      </c>
    </row>
    <row r="196" spans="1:5">
      <c r="A196" t="s">
        <v>2054</v>
      </c>
      <c r="B196" s="429">
        <v>44322</v>
      </c>
      <c r="C196" s="430">
        <v>5152.62</v>
      </c>
      <c r="D196" s="429">
        <v>44327</v>
      </c>
      <c r="E196" s="276">
        <v>34.2712</v>
      </c>
    </row>
    <row r="197" spans="1:5">
      <c r="A197" t="s">
        <v>2054</v>
      </c>
      <c r="B197" s="429">
        <v>44323</v>
      </c>
      <c r="C197" s="430">
        <v>-4544.34</v>
      </c>
      <c r="D197" s="429">
        <v>44328</v>
      </c>
      <c r="E197" s="276">
        <v>-29.95</v>
      </c>
    </row>
    <row r="198" spans="1:5">
      <c r="A198" t="s">
        <v>12591</v>
      </c>
      <c r="B198" s="429">
        <v>44323</v>
      </c>
      <c r="C198" s="430">
        <v>-399025</v>
      </c>
      <c r="D198" s="429">
        <v>44328</v>
      </c>
      <c r="E198" s="276">
        <v>-2500</v>
      </c>
    </row>
    <row r="199" spans="1:5">
      <c r="A199" t="s">
        <v>2054</v>
      </c>
      <c r="B199" s="429">
        <v>44326</v>
      </c>
      <c r="C199" s="430">
        <v>-256.08999999999997</v>
      </c>
      <c r="D199" s="429">
        <v>44330</v>
      </c>
      <c r="E199" s="276">
        <v>-1.6611</v>
      </c>
    </row>
    <row r="200" spans="1:5">
      <c r="A200" t="s">
        <v>2055</v>
      </c>
      <c r="B200" s="429">
        <v>44327</v>
      </c>
      <c r="C200" s="430">
        <v>3527.7</v>
      </c>
      <c r="D200" s="429">
        <v>44333</v>
      </c>
      <c r="E200" s="276">
        <v>22</v>
      </c>
    </row>
    <row r="201" spans="1:5">
      <c r="A201" t="s">
        <v>2054</v>
      </c>
      <c r="B201" s="429">
        <v>44328</v>
      </c>
      <c r="C201" s="430">
        <v>-6937.65</v>
      </c>
      <c r="D201" s="429">
        <v>44334</v>
      </c>
      <c r="E201" s="276">
        <v>-45</v>
      </c>
    </row>
    <row r="202" spans="1:5">
      <c r="A202" t="s">
        <v>12591</v>
      </c>
      <c r="B202" s="429">
        <v>44328</v>
      </c>
      <c r="C202" s="430">
        <v>487.92</v>
      </c>
      <c r="D202" s="429">
        <v>44334</v>
      </c>
      <c r="E202" s="276">
        <v>3</v>
      </c>
    </row>
    <row r="203" spans="1:5">
      <c r="A203" t="s">
        <v>2054</v>
      </c>
      <c r="B203" s="429">
        <v>44330</v>
      </c>
      <c r="C203" s="430">
        <v>-9024.3700000000008</v>
      </c>
      <c r="D203" s="429">
        <v>44335</v>
      </c>
      <c r="E203" s="276">
        <v>-59.394300000000001</v>
      </c>
    </row>
    <row r="204" spans="1:5">
      <c r="A204" t="s">
        <v>2055</v>
      </c>
      <c r="B204" s="429">
        <v>44330</v>
      </c>
      <c r="C204" s="430">
        <v>-4371.6400000000003</v>
      </c>
      <c r="D204" s="429">
        <v>44335</v>
      </c>
      <c r="E204" s="276">
        <v>-27.263100000000001</v>
      </c>
    </row>
    <row r="205" spans="1:5">
      <c r="A205" t="s">
        <v>2054</v>
      </c>
      <c r="B205" s="429">
        <v>44333</v>
      </c>
      <c r="C205" s="430">
        <v>2081.36</v>
      </c>
      <c r="D205" s="429">
        <v>44336</v>
      </c>
      <c r="E205" s="276">
        <v>53.628700000000002</v>
      </c>
    </row>
    <row r="206" spans="1:5">
      <c r="A206" t="s">
        <v>2054</v>
      </c>
      <c r="B206" s="429">
        <v>44333</v>
      </c>
      <c r="C206" s="430">
        <v>8086.22</v>
      </c>
      <c r="D206" s="429">
        <v>44336</v>
      </c>
      <c r="E206" s="276">
        <v>54.456299999999999</v>
      </c>
    </row>
    <row r="207" spans="1:5">
      <c r="A207" t="s">
        <v>2054</v>
      </c>
      <c r="B207" s="429">
        <v>44334</v>
      </c>
      <c r="C207" s="430">
        <v>41577.199999999997</v>
      </c>
      <c r="D207" s="429">
        <v>44337</v>
      </c>
      <c r="E207" s="276">
        <v>280</v>
      </c>
    </row>
    <row r="208" spans="1:5">
      <c r="A208" t="s">
        <v>2054</v>
      </c>
      <c r="B208" s="429">
        <v>44336</v>
      </c>
      <c r="C208" s="430">
        <v>9993</v>
      </c>
      <c r="D208" s="429">
        <v>44342</v>
      </c>
      <c r="E208" s="276">
        <v>67</v>
      </c>
    </row>
    <row r="209" spans="1:5">
      <c r="A209" t="s">
        <v>2054</v>
      </c>
      <c r="B209" s="429">
        <v>44337</v>
      </c>
      <c r="C209" s="430">
        <v>9990</v>
      </c>
      <c r="D209" s="429">
        <v>44343</v>
      </c>
      <c r="E209" s="276">
        <v>67.724199999999996</v>
      </c>
    </row>
    <row r="210" spans="1:5">
      <c r="A210" t="s">
        <v>2054</v>
      </c>
      <c r="B210" s="429">
        <v>44341</v>
      </c>
      <c r="C210" s="430">
        <v>49977.99</v>
      </c>
      <c r="D210" s="429">
        <v>44344</v>
      </c>
      <c r="E210" s="276">
        <v>338.32920000000001</v>
      </c>
    </row>
    <row r="211" spans="1:5">
      <c r="A211" t="s">
        <v>2054</v>
      </c>
      <c r="B211" s="429">
        <v>44342</v>
      </c>
      <c r="C211" s="430">
        <v>9839.99</v>
      </c>
      <c r="D211">
        <v>44347</v>
      </c>
      <c r="E211" s="276">
        <v>66.244699999999995</v>
      </c>
    </row>
    <row r="212" spans="1:5">
      <c r="A212" t="s">
        <v>2054</v>
      </c>
      <c r="B212" s="429">
        <v>44343</v>
      </c>
      <c r="C212" s="430">
        <v>5347.44</v>
      </c>
      <c r="D212" s="429">
        <v>44348</v>
      </c>
      <c r="E212" s="276">
        <v>36</v>
      </c>
    </row>
    <row r="213" spans="1:5">
      <c r="A213" t="s">
        <v>2054</v>
      </c>
      <c r="B213" s="429">
        <v>44344</v>
      </c>
      <c r="C213" s="430">
        <v>243259.2</v>
      </c>
      <c r="D213" s="429">
        <v>44349</v>
      </c>
      <c r="E213" s="276">
        <v>1620</v>
      </c>
    </row>
    <row r="214" spans="1:5">
      <c r="A214" t="s">
        <v>2055</v>
      </c>
      <c r="B214" s="429">
        <v>44344</v>
      </c>
      <c r="C214" s="430">
        <v>-467.91</v>
      </c>
      <c r="D214" s="429">
        <v>44349</v>
      </c>
      <c r="E214" s="276">
        <v>-2.9512</v>
      </c>
    </row>
    <row r="215" spans="1:5">
      <c r="A215" t="s">
        <v>2054</v>
      </c>
      <c r="B215" s="429">
        <v>44347</v>
      </c>
      <c r="C215" s="430">
        <v>-11172.4</v>
      </c>
      <c r="D215" s="429">
        <v>44350</v>
      </c>
      <c r="E215" s="276">
        <v>-75.159099999999995</v>
      </c>
    </row>
    <row r="216" spans="1:5">
      <c r="A216" t="s">
        <v>2055</v>
      </c>
      <c r="B216" s="429">
        <v>44347</v>
      </c>
      <c r="C216" s="430">
        <v>10099.200000000001</v>
      </c>
      <c r="D216" s="429">
        <v>44350</v>
      </c>
      <c r="E216" s="276">
        <v>64</v>
      </c>
    </row>
    <row r="217" spans="1:5">
      <c r="A217" t="s">
        <v>2054</v>
      </c>
      <c r="B217" s="429">
        <v>44351</v>
      </c>
      <c r="C217" s="430">
        <v>2489.9899999999998</v>
      </c>
      <c r="D217" s="429">
        <v>44356</v>
      </c>
      <c r="E217" s="276">
        <v>16.478000000000002</v>
      </c>
    </row>
    <row r="218" spans="1:5">
      <c r="A218" t="s">
        <v>2054</v>
      </c>
      <c r="B218" s="429">
        <v>44355</v>
      </c>
      <c r="C218" s="430">
        <v>-2106.86</v>
      </c>
      <c r="D218" s="429">
        <v>44358</v>
      </c>
      <c r="E218" s="276">
        <v>-14</v>
      </c>
    </row>
    <row r="219" spans="1:5">
      <c r="A219" t="s">
        <v>12591</v>
      </c>
      <c r="B219" s="429">
        <v>44358</v>
      </c>
      <c r="C219" s="430">
        <v>476.28</v>
      </c>
      <c r="D219" s="429">
        <v>44363</v>
      </c>
      <c r="E219" s="276">
        <v>3</v>
      </c>
    </row>
    <row r="220" spans="1:5">
      <c r="A220" t="s">
        <v>2054</v>
      </c>
      <c r="B220" s="429">
        <v>44361</v>
      </c>
      <c r="C220" s="430">
        <v>4989.99</v>
      </c>
      <c r="D220" s="429">
        <v>44364</v>
      </c>
      <c r="E220" s="276">
        <v>33.066000000000003</v>
      </c>
    </row>
    <row r="221" spans="1:5">
      <c r="A221" t="s">
        <v>12591</v>
      </c>
      <c r="B221" s="429">
        <v>44361</v>
      </c>
      <c r="C221" s="430">
        <v>3505.48</v>
      </c>
      <c r="D221" s="429">
        <v>44364</v>
      </c>
      <c r="E221" s="276">
        <v>22</v>
      </c>
    </row>
    <row r="222" spans="1:5">
      <c r="A222" t="s">
        <v>2054</v>
      </c>
      <c r="B222" s="429">
        <v>44362</v>
      </c>
      <c r="C222" s="430">
        <v>-9596.5499999999993</v>
      </c>
      <c r="D222" s="429">
        <v>44365</v>
      </c>
      <c r="E222" s="276">
        <v>-63.462000000000003</v>
      </c>
    </row>
    <row r="223" spans="1:5">
      <c r="A223" t="s">
        <v>2054</v>
      </c>
      <c r="B223" s="429">
        <v>44363</v>
      </c>
      <c r="C223" s="430">
        <v>10990</v>
      </c>
      <c r="D223" s="429">
        <v>44368</v>
      </c>
      <c r="E223" s="276">
        <v>73.433310000000006</v>
      </c>
    </row>
    <row r="224" spans="1:5">
      <c r="A224" t="s">
        <v>2054</v>
      </c>
      <c r="B224" s="429">
        <v>44365</v>
      </c>
      <c r="C224" s="430">
        <v>4989.99</v>
      </c>
      <c r="D224" s="429">
        <v>44371</v>
      </c>
      <c r="E224" s="276">
        <v>33.5349</v>
      </c>
    </row>
    <row r="225" spans="1:5">
      <c r="A225" t="s">
        <v>2054</v>
      </c>
      <c r="B225" s="429">
        <v>44369</v>
      </c>
      <c r="C225" s="430">
        <v>-4865.8500000000004</v>
      </c>
      <c r="D225" s="429">
        <v>44375</v>
      </c>
      <c r="E225" s="276">
        <v>-33</v>
      </c>
    </row>
    <row r="226" spans="1:5">
      <c r="A226" t="s">
        <v>2054</v>
      </c>
      <c r="B226" s="429">
        <v>44371</v>
      </c>
      <c r="C226" s="430">
        <v>-421825</v>
      </c>
      <c r="D226" s="429">
        <v>44376</v>
      </c>
      <c r="E226" s="276">
        <v>-2834</v>
      </c>
    </row>
    <row r="227" spans="1:5">
      <c r="A227" t="s">
        <v>12591</v>
      </c>
      <c r="B227" s="429">
        <v>44371</v>
      </c>
      <c r="C227" s="430">
        <v>-485377</v>
      </c>
      <c r="D227" s="429">
        <v>44376</v>
      </c>
      <c r="E227" s="276">
        <v>-3080</v>
      </c>
    </row>
    <row r="228" spans="1:5">
      <c r="A228" t="s">
        <v>2054</v>
      </c>
      <c r="B228" s="429">
        <v>44372</v>
      </c>
      <c r="C228" s="430">
        <v>3730.5</v>
      </c>
      <c r="D228" s="429">
        <v>44377</v>
      </c>
      <c r="E228" s="276">
        <v>25</v>
      </c>
    </row>
    <row r="229" spans="1:5">
      <c r="A229" t="s">
        <v>12591</v>
      </c>
      <c r="B229" s="429">
        <v>44375</v>
      </c>
      <c r="C229" s="430">
        <v>-477600</v>
      </c>
      <c r="D229" s="429">
        <v>44378</v>
      </c>
      <c r="E229" s="276">
        <v>-3000</v>
      </c>
    </row>
    <row r="230" spans="1:5">
      <c r="A230" t="s">
        <v>2054</v>
      </c>
      <c r="B230" s="429">
        <v>44385</v>
      </c>
      <c r="C230" s="430">
        <v>5822.7</v>
      </c>
      <c r="D230" s="429">
        <v>44390</v>
      </c>
      <c r="E230" s="276">
        <v>39</v>
      </c>
    </row>
    <row r="231" spans="1:5">
      <c r="A231" t="s">
        <v>2054</v>
      </c>
      <c r="B231" s="429">
        <v>44386</v>
      </c>
      <c r="C231" s="430">
        <v>-1936.22</v>
      </c>
      <c r="D231" s="429">
        <v>44391</v>
      </c>
      <c r="E231" s="276">
        <v>-13</v>
      </c>
    </row>
    <row r="232" spans="1:5">
      <c r="A232" t="s">
        <v>12591</v>
      </c>
      <c r="B232" s="429">
        <v>44385</v>
      </c>
      <c r="C232" s="430">
        <v>473.25</v>
      </c>
      <c r="D232" s="429">
        <v>44390</v>
      </c>
      <c r="E232" s="276">
        <v>-3</v>
      </c>
    </row>
    <row r="233" spans="1:5">
      <c r="A233" t="s">
        <v>2055</v>
      </c>
      <c r="B233" s="429">
        <v>44390</v>
      </c>
      <c r="C233" s="430">
        <v>17555.580000000002</v>
      </c>
      <c r="D233" s="429">
        <v>44393</v>
      </c>
      <c r="E233" s="276">
        <v>110.4055</v>
      </c>
    </row>
    <row r="234" spans="1:5">
      <c r="A234" t="s">
        <v>2055</v>
      </c>
      <c r="B234" s="429">
        <v>44392</v>
      </c>
      <c r="C234" s="430">
        <v>10041.24</v>
      </c>
      <c r="D234" s="429">
        <v>44397</v>
      </c>
      <c r="E234" s="276">
        <v>66.283199999999994</v>
      </c>
    </row>
    <row r="235" spans="1:5">
      <c r="A235" t="s">
        <v>2055</v>
      </c>
      <c r="B235" s="429">
        <v>44397</v>
      </c>
      <c r="C235" s="430">
        <v>-1169.8699999999999</v>
      </c>
      <c r="D235" s="429">
        <v>44400</v>
      </c>
      <c r="E235" s="276">
        <v>-7.3116700000000003</v>
      </c>
    </row>
    <row r="236" spans="1:5">
      <c r="A236" t="s">
        <v>2055</v>
      </c>
      <c r="B236" s="429">
        <v>44399</v>
      </c>
      <c r="C236" s="430">
        <v>49677.15</v>
      </c>
      <c r="D236" s="429">
        <v>44404</v>
      </c>
      <c r="E236" s="276">
        <v>335</v>
      </c>
    </row>
    <row r="237" spans="1:5">
      <c r="A237" t="s">
        <v>2054</v>
      </c>
      <c r="B237" s="429">
        <v>44403</v>
      </c>
      <c r="C237" s="430">
        <v>7950.23</v>
      </c>
      <c r="D237" s="429">
        <v>44406</v>
      </c>
      <c r="E237" s="276">
        <v>52.7134</v>
      </c>
    </row>
    <row r="238" spans="1:5">
      <c r="A238" t="s">
        <v>2055</v>
      </c>
      <c r="B238" s="429">
        <v>44404</v>
      </c>
      <c r="C238" s="430">
        <v>-14410.49</v>
      </c>
      <c r="D238" s="429">
        <v>44407</v>
      </c>
      <c r="E238" s="276">
        <v>990</v>
      </c>
    </row>
    <row r="239" spans="1:5">
      <c r="A239" t="s">
        <v>2055</v>
      </c>
      <c r="B239" s="429">
        <v>44405</v>
      </c>
      <c r="C239" s="430">
        <v>-769.09</v>
      </c>
      <c r="D239" s="429">
        <v>44410</v>
      </c>
      <c r="E239" s="276">
        <v>-4.8216000000000001</v>
      </c>
    </row>
    <row r="240" spans="1:5">
      <c r="A240" t="s">
        <v>2054</v>
      </c>
      <c r="B240" s="429">
        <v>44412</v>
      </c>
      <c r="C240" s="430">
        <v>81937.320000000007</v>
      </c>
      <c r="D240" s="429">
        <v>44417</v>
      </c>
      <c r="E240" s="276">
        <v>534.49</v>
      </c>
    </row>
    <row r="241" spans="1:5">
      <c r="A241" t="s">
        <v>2054</v>
      </c>
      <c r="B241" s="429">
        <v>44413</v>
      </c>
      <c r="C241" s="430">
        <v>2989.99</v>
      </c>
      <c r="D241" s="429">
        <v>44418</v>
      </c>
      <c r="E241" s="276">
        <v>19.504200000000001</v>
      </c>
    </row>
    <row r="242" spans="1:5">
      <c r="A242" t="s">
        <v>2054</v>
      </c>
      <c r="B242" s="429">
        <v>44414</v>
      </c>
      <c r="C242" s="430">
        <v>-7595.09</v>
      </c>
      <c r="D242" s="429">
        <v>44419</v>
      </c>
      <c r="E242" s="276">
        <v>-49.3508</v>
      </c>
    </row>
    <row r="243" spans="1:5">
      <c r="A243" t="s">
        <v>12591</v>
      </c>
      <c r="B243" s="429">
        <v>44414</v>
      </c>
      <c r="C243" s="430">
        <v>3417.75</v>
      </c>
      <c r="D243" s="429">
        <v>44419</v>
      </c>
      <c r="E243" s="276">
        <v>21</v>
      </c>
    </row>
    <row r="244" spans="1:5">
      <c r="A244" t="s">
        <v>2054</v>
      </c>
      <c r="B244" s="429">
        <v>44418</v>
      </c>
      <c r="C244" s="430">
        <v>-16993.900000000001</v>
      </c>
      <c r="D244" s="429">
        <v>44421</v>
      </c>
      <c r="E244" s="276">
        <v>110</v>
      </c>
    </row>
    <row r="245" spans="1:5">
      <c r="A245" t="s">
        <v>2055</v>
      </c>
      <c r="B245" s="429">
        <v>44418</v>
      </c>
      <c r="C245" s="430">
        <v>3122.69</v>
      </c>
      <c r="D245" s="429">
        <v>44421</v>
      </c>
      <c r="E245" s="276">
        <v>19.102499999999999</v>
      </c>
    </row>
    <row r="246" spans="1:5">
      <c r="A246" t="s">
        <v>2054</v>
      </c>
      <c r="B246" s="429">
        <v>44424</v>
      </c>
      <c r="C246" s="430">
        <v>6142.49</v>
      </c>
      <c r="D246" s="429">
        <v>44427</v>
      </c>
      <c r="E246" s="276">
        <v>39.264200000000002</v>
      </c>
    </row>
    <row r="247" spans="1:5">
      <c r="A247" t="s">
        <v>2054</v>
      </c>
      <c r="B247" s="429">
        <v>44425</v>
      </c>
      <c r="C247" s="430">
        <v>3898.73</v>
      </c>
      <c r="D247" s="429">
        <v>44428</v>
      </c>
      <c r="E247" s="276">
        <v>25.223099999999999</v>
      </c>
    </row>
    <row r="248" spans="1:5">
      <c r="A248" t="s">
        <v>2054</v>
      </c>
      <c r="B248" s="429">
        <v>44428</v>
      </c>
      <c r="C248" s="430">
        <v>987.99</v>
      </c>
      <c r="D248" s="429">
        <v>44433</v>
      </c>
      <c r="E248" s="276">
        <v>6.6295000000000002</v>
      </c>
    </row>
    <row r="249" spans="1:5">
      <c r="A249" t="s">
        <v>2054</v>
      </c>
      <c r="B249" s="429">
        <v>44433</v>
      </c>
      <c r="C249" s="430">
        <v>-12059.82</v>
      </c>
      <c r="D249" s="429">
        <v>44438</v>
      </c>
      <c r="E249" s="276">
        <v>-80.489999999999995</v>
      </c>
    </row>
    <row r="250" spans="1:5">
      <c r="A250" t="s">
        <v>2054</v>
      </c>
      <c r="B250" s="429">
        <v>44434</v>
      </c>
      <c r="C250" s="430">
        <v>2897.99</v>
      </c>
      <c r="D250" s="429">
        <v>44439</v>
      </c>
      <c r="E250" s="276">
        <v>19.2136</v>
      </c>
    </row>
    <row r="251" spans="1:5">
      <c r="A251" t="s">
        <v>12591</v>
      </c>
      <c r="B251" s="429">
        <v>44435</v>
      </c>
      <c r="C251" s="430">
        <v>-8756</v>
      </c>
      <c r="D251" s="429">
        <v>44440</v>
      </c>
      <c r="E251" s="276">
        <v>-55</v>
      </c>
    </row>
    <row r="252" spans="1:5">
      <c r="A252" t="s">
        <v>2054</v>
      </c>
      <c r="B252" s="429">
        <v>44439</v>
      </c>
      <c r="C252" s="430">
        <v>-9152</v>
      </c>
      <c r="D252" s="429">
        <v>44442</v>
      </c>
      <c r="E252" s="276">
        <v>-61</v>
      </c>
    </row>
    <row r="253" spans="1:5">
      <c r="A253" t="s">
        <v>2054</v>
      </c>
      <c r="B253" s="429">
        <v>44440</v>
      </c>
      <c r="C253" s="430">
        <v>9144</v>
      </c>
      <c r="D253" s="429">
        <v>44445</v>
      </c>
      <c r="E253" s="276">
        <v>60</v>
      </c>
    </row>
    <row r="254" spans="1:5">
      <c r="A254" t="s">
        <v>2054</v>
      </c>
      <c r="B254" s="429">
        <v>44441</v>
      </c>
      <c r="C254" s="430">
        <v>49762.86</v>
      </c>
      <c r="D254" s="429">
        <v>44446</v>
      </c>
      <c r="E254" s="276">
        <v>327</v>
      </c>
    </row>
    <row r="255" spans="1:5">
      <c r="A255" t="s">
        <v>2054</v>
      </c>
      <c r="B255" s="429">
        <v>44442</v>
      </c>
      <c r="C255" s="430">
        <v>-77337.460000000006</v>
      </c>
      <c r="D255" s="429">
        <v>44447</v>
      </c>
      <c r="E255" s="276">
        <v>590</v>
      </c>
    </row>
    <row r="256" spans="1:5">
      <c r="A256" t="s">
        <v>12591</v>
      </c>
      <c r="B256" s="429">
        <v>44446</v>
      </c>
      <c r="C256" s="430">
        <v>9427.32</v>
      </c>
      <c r="D256" s="429">
        <v>44449</v>
      </c>
      <c r="E256" s="276">
        <v>58</v>
      </c>
    </row>
    <row r="257" spans="1:5">
      <c r="A257" t="s">
        <v>2054</v>
      </c>
      <c r="B257" s="429">
        <v>44448</v>
      </c>
      <c r="C257" s="430">
        <v>5393.15</v>
      </c>
      <c r="D257" s="429">
        <v>44453</v>
      </c>
      <c r="E257" s="276">
        <v>35</v>
      </c>
    </row>
    <row r="258" spans="1:5">
      <c r="A258" t="s">
        <v>12591</v>
      </c>
      <c r="B258" s="429">
        <v>44449</v>
      </c>
      <c r="C258" s="430">
        <v>492.93</v>
      </c>
      <c r="D258" s="429">
        <v>44454</v>
      </c>
      <c r="E258" s="276">
        <v>3</v>
      </c>
    </row>
    <row r="259" spans="1:5">
      <c r="A259" t="s">
        <v>2054</v>
      </c>
      <c r="B259" s="429">
        <v>11579</v>
      </c>
      <c r="C259" s="430">
        <v>149951.99</v>
      </c>
      <c r="D259" s="429">
        <v>44455</v>
      </c>
    </row>
    <row r="260" spans="1:5">
      <c r="A260" t="s">
        <v>2054</v>
      </c>
      <c r="B260" s="429">
        <v>11581</v>
      </c>
      <c r="C260" s="430">
        <v>21132.49</v>
      </c>
      <c r="D260" s="429">
        <v>44459</v>
      </c>
      <c r="E260" s="276">
        <v>136.1454</v>
      </c>
    </row>
    <row r="261" spans="1:5">
      <c r="A261" t="s">
        <v>2054</v>
      </c>
      <c r="B261" s="429">
        <v>11582</v>
      </c>
      <c r="C261" s="430">
        <v>3898.75</v>
      </c>
      <c r="D261" s="429">
        <v>44460</v>
      </c>
      <c r="E261" s="276">
        <v>24.94</v>
      </c>
    </row>
    <row r="262" spans="1:5">
      <c r="A262" t="s">
        <v>2054</v>
      </c>
      <c r="B262" s="429">
        <v>44456</v>
      </c>
      <c r="C262" s="430">
        <v>12100.43</v>
      </c>
      <c r="D262" s="429">
        <v>44461</v>
      </c>
      <c r="E262" s="276">
        <v>79</v>
      </c>
    </row>
    <row r="263" spans="1:5">
      <c r="A263" t="s">
        <v>2054</v>
      </c>
      <c r="B263" s="429">
        <v>44460</v>
      </c>
      <c r="C263" s="430">
        <v>13987.99</v>
      </c>
      <c r="D263" s="429">
        <v>44463</v>
      </c>
      <c r="E263" s="276">
        <v>91.323300000000003</v>
      </c>
    </row>
    <row r="264" spans="1:5">
      <c r="A264" t="s">
        <v>2054</v>
      </c>
      <c r="B264" s="429">
        <v>44462</v>
      </c>
      <c r="C264" s="430">
        <v>-5424.12</v>
      </c>
      <c r="D264" s="429">
        <v>44467</v>
      </c>
      <c r="E264" s="276">
        <v>-36</v>
      </c>
    </row>
    <row r="265" spans="1:5">
      <c r="A265" t="s">
        <v>2054</v>
      </c>
      <c r="B265" s="429">
        <v>44466</v>
      </c>
      <c r="C265" s="430">
        <v>-10061.030000000001</v>
      </c>
      <c r="D265" s="429">
        <v>44469</v>
      </c>
      <c r="E265" s="276">
        <v>-66.37</v>
      </c>
    </row>
    <row r="266" spans="1:5">
      <c r="A266" t="s">
        <v>2055</v>
      </c>
      <c r="B266" s="429">
        <v>44473</v>
      </c>
      <c r="C266" s="430">
        <v>-40499</v>
      </c>
      <c r="D266" s="429">
        <v>44476</v>
      </c>
      <c r="E266" s="276">
        <v>-256</v>
      </c>
    </row>
    <row r="267" spans="1:5">
      <c r="A267" t="s">
        <v>2054</v>
      </c>
      <c r="B267" s="429">
        <v>44476</v>
      </c>
      <c r="C267" s="430">
        <v>51814</v>
      </c>
      <c r="D267" s="429">
        <v>44481</v>
      </c>
      <c r="E267" s="276">
        <v>350</v>
      </c>
    </row>
    <row r="268" spans="1:5">
      <c r="A268" t="s">
        <v>2054</v>
      </c>
      <c r="B268" s="429">
        <v>44477</v>
      </c>
      <c r="C268" s="430">
        <v>207005.3</v>
      </c>
      <c r="D268" s="429">
        <v>44482</v>
      </c>
      <c r="E268" s="276">
        <v>1402</v>
      </c>
    </row>
    <row r="269" spans="1:5">
      <c r="A269" t="s">
        <v>2055</v>
      </c>
      <c r="B269" s="429">
        <v>44477</v>
      </c>
      <c r="C269" s="430">
        <v>2270.75</v>
      </c>
      <c r="D269" s="429">
        <v>44482</v>
      </c>
      <c r="E269" s="276">
        <v>14.4726</v>
      </c>
    </row>
    <row r="270" spans="1:5">
      <c r="A270" t="s">
        <v>2054</v>
      </c>
      <c r="B270" s="429">
        <v>44480</v>
      </c>
      <c r="C270" s="430">
        <v>19990</v>
      </c>
      <c r="D270" s="429">
        <v>44483</v>
      </c>
      <c r="E270" s="276">
        <v>133.75710000000001</v>
      </c>
    </row>
    <row r="271" spans="1:5">
      <c r="A271" t="s">
        <v>2055</v>
      </c>
      <c r="B271" s="429">
        <v>44480</v>
      </c>
      <c r="C271" s="430">
        <v>-117647.03999999999</v>
      </c>
      <c r="D271" s="429">
        <v>44483</v>
      </c>
      <c r="E271" s="276">
        <v>-755.34749999999997</v>
      </c>
    </row>
    <row r="272" spans="1:5">
      <c r="A272" t="s">
        <v>12591</v>
      </c>
      <c r="B272" s="429">
        <v>44480</v>
      </c>
      <c r="C272" s="430">
        <v>470.46</v>
      </c>
      <c r="D272" s="429">
        <v>44483</v>
      </c>
      <c r="E272" s="276">
        <v>3</v>
      </c>
    </row>
    <row r="273" spans="1:5">
      <c r="A273" t="s">
        <v>2054</v>
      </c>
      <c r="B273" s="429">
        <v>44481</v>
      </c>
      <c r="C273" s="430">
        <v>9989.99</v>
      </c>
      <c r="D273" s="429">
        <v>44484</v>
      </c>
      <c r="E273" s="276">
        <v>65.936199999999999</v>
      </c>
    </row>
    <row r="274" spans="1:5">
      <c r="A274" t="s">
        <v>12591</v>
      </c>
      <c r="B274" s="429">
        <v>44481</v>
      </c>
      <c r="C274" s="430">
        <v>3166.4</v>
      </c>
      <c r="D274" s="429">
        <v>44484</v>
      </c>
      <c r="E274" s="276">
        <v>20</v>
      </c>
    </row>
    <row r="275" spans="1:5">
      <c r="A275" t="s">
        <v>2054</v>
      </c>
      <c r="B275" s="429">
        <v>44482</v>
      </c>
      <c r="C275" s="430">
        <v>11211.74</v>
      </c>
      <c r="D275" s="429">
        <v>44487</v>
      </c>
      <c r="E275" s="276">
        <v>74</v>
      </c>
    </row>
    <row r="276" spans="1:5">
      <c r="A276" t="s">
        <v>2054</v>
      </c>
      <c r="B276" s="429">
        <v>44484</v>
      </c>
      <c r="C276" s="430">
        <v>1076.58</v>
      </c>
      <c r="D276" s="429">
        <v>44489</v>
      </c>
      <c r="E276" s="276">
        <v>7.0766999999999998</v>
      </c>
    </row>
    <row r="277" spans="1:5">
      <c r="A277" t="s">
        <v>2054</v>
      </c>
      <c r="B277" s="429">
        <v>44487</v>
      </c>
      <c r="C277" s="430">
        <v>3898.74</v>
      </c>
      <c r="D277" s="429">
        <v>44490</v>
      </c>
      <c r="E277" s="276">
        <v>25.627700000000001</v>
      </c>
    </row>
    <row r="278" spans="1:5">
      <c r="A278" t="s">
        <v>2055</v>
      </c>
      <c r="B278" s="429">
        <v>44487</v>
      </c>
      <c r="C278" s="430">
        <v>-32630.58</v>
      </c>
      <c r="D278" s="429">
        <v>44490</v>
      </c>
      <c r="E278" s="276">
        <v>-199.53880000000001</v>
      </c>
    </row>
    <row r="279" spans="1:5">
      <c r="A279" t="s">
        <v>2055</v>
      </c>
      <c r="B279" s="429">
        <v>44489</v>
      </c>
      <c r="C279" s="430">
        <v>-1311.76</v>
      </c>
      <c r="D279" s="429">
        <v>44494</v>
      </c>
      <c r="E279" s="276">
        <v>-8</v>
      </c>
    </row>
    <row r="280" spans="1:5">
      <c r="A280" t="s">
        <v>2055</v>
      </c>
      <c r="B280" s="429">
        <v>44490</v>
      </c>
      <c r="C280" s="430">
        <v>-440391.04</v>
      </c>
      <c r="D280" s="429">
        <v>44495</v>
      </c>
      <c r="E280" s="276">
        <v>-2702.9463000000001</v>
      </c>
    </row>
    <row r="281" spans="1:5">
      <c r="A281" t="s">
        <v>12591</v>
      </c>
      <c r="B281" s="429">
        <v>44491</v>
      </c>
      <c r="C281" s="430">
        <v>810.15</v>
      </c>
      <c r="D281" s="429">
        <v>44496</v>
      </c>
      <c r="E281" s="276">
        <v>5</v>
      </c>
    </row>
    <row r="282" spans="1:5">
      <c r="A282" t="s">
        <v>2054</v>
      </c>
      <c r="B282" s="429">
        <v>44494</v>
      </c>
      <c r="C282" s="430">
        <v>5159.99</v>
      </c>
      <c r="D282" s="429">
        <v>44497</v>
      </c>
      <c r="E282" s="276">
        <v>33.747</v>
      </c>
    </row>
    <row r="283" spans="1:5">
      <c r="A283" t="s">
        <v>2054</v>
      </c>
      <c r="B283" s="429">
        <v>44495</v>
      </c>
      <c r="C283" s="430">
        <v>5113.72</v>
      </c>
      <c r="D283" s="429">
        <v>44498</v>
      </c>
      <c r="E283" s="276">
        <v>33.229700000000001</v>
      </c>
    </row>
    <row r="284" spans="1:5">
      <c r="A284" t="s">
        <v>12591</v>
      </c>
      <c r="B284" s="429">
        <v>44495</v>
      </c>
      <c r="C284" s="430">
        <v>4077.25</v>
      </c>
      <c r="D284" s="429">
        <v>44498</v>
      </c>
      <c r="E284" s="276">
        <v>25</v>
      </c>
    </row>
    <row r="285" spans="1:5">
      <c r="A285" t="s">
        <v>2054</v>
      </c>
      <c r="B285" s="429">
        <v>44498</v>
      </c>
      <c r="C285" s="430">
        <v>9989.99</v>
      </c>
      <c r="D285" s="429">
        <v>44504</v>
      </c>
      <c r="E285" s="276">
        <v>64.718800000000002</v>
      </c>
    </row>
    <row r="286" spans="1:5">
      <c r="A286" t="s">
        <v>2054</v>
      </c>
      <c r="B286" s="429">
        <v>44502</v>
      </c>
      <c r="C286" s="430">
        <v>23558.74</v>
      </c>
      <c r="D286" s="429">
        <v>44505</v>
      </c>
      <c r="E286" s="276">
        <v>153.1977</v>
      </c>
    </row>
    <row r="287" spans="1:5">
      <c r="A287" t="s">
        <v>2054</v>
      </c>
      <c r="B287" s="429">
        <v>44503</v>
      </c>
      <c r="C287" s="430">
        <v>12031.5</v>
      </c>
      <c r="D287" s="429">
        <v>44508</v>
      </c>
      <c r="E287" s="276">
        <v>78</v>
      </c>
    </row>
    <row r="288" spans="1:5">
      <c r="A288" t="s">
        <v>2054</v>
      </c>
      <c r="B288" s="429">
        <v>44504</v>
      </c>
      <c r="C288" s="430">
        <v>2620.7199999999998</v>
      </c>
      <c r="D288" s="429">
        <v>44509</v>
      </c>
      <c r="E288" s="276">
        <v>17</v>
      </c>
    </row>
    <row r="289" spans="1:5">
      <c r="A289" t="s">
        <v>12591</v>
      </c>
      <c r="B289" s="429">
        <v>44504</v>
      </c>
      <c r="C289" s="430">
        <v>10295.459999999999</v>
      </c>
      <c r="D289" s="429">
        <v>44509</v>
      </c>
      <c r="E289" s="276">
        <v>63</v>
      </c>
    </row>
    <row r="290" spans="1:5">
      <c r="A290" t="s">
        <v>2054</v>
      </c>
      <c r="B290" s="429">
        <v>44508</v>
      </c>
      <c r="C290" s="430">
        <v>-747.28</v>
      </c>
      <c r="D290" s="429">
        <v>44511</v>
      </c>
      <c r="E290" s="276">
        <v>75</v>
      </c>
    </row>
    <row r="291" spans="1:5">
      <c r="A291" t="s">
        <v>2054</v>
      </c>
      <c r="B291" s="429">
        <v>44509</v>
      </c>
      <c r="C291" s="430">
        <v>3110.27</v>
      </c>
      <c r="D291" s="429">
        <v>44512</v>
      </c>
      <c r="E291" s="276">
        <v>20.098700000000001</v>
      </c>
    </row>
    <row r="292" spans="1:5">
      <c r="A292" t="s">
        <v>12591</v>
      </c>
      <c r="B292" s="429">
        <v>44509</v>
      </c>
      <c r="C292" s="430">
        <v>14929.46</v>
      </c>
      <c r="D292" s="429">
        <v>44512</v>
      </c>
      <c r="E292" s="276">
        <v>91</v>
      </c>
    </row>
    <row r="293" spans="1:5">
      <c r="A293" t="s">
        <v>2054</v>
      </c>
      <c r="B293" s="429">
        <v>44510</v>
      </c>
      <c r="C293" s="430">
        <v>56843.21</v>
      </c>
      <c r="D293" s="429">
        <v>44515</v>
      </c>
      <c r="E293" s="276">
        <v>366.70670000000001</v>
      </c>
    </row>
    <row r="294" spans="1:5">
      <c r="A294" t="s">
        <v>12591</v>
      </c>
      <c r="B294" s="429">
        <v>44511</v>
      </c>
      <c r="C294" s="430">
        <v>2456.1</v>
      </c>
      <c r="D294" s="429">
        <v>44516</v>
      </c>
      <c r="E294" s="276">
        <v>15</v>
      </c>
    </row>
    <row r="295" spans="1:5">
      <c r="A295" t="s">
        <v>2054</v>
      </c>
      <c r="B295" s="429">
        <v>44512</v>
      </c>
      <c r="C295" s="430">
        <v>4941.76</v>
      </c>
      <c r="D295" s="429">
        <v>44517</v>
      </c>
      <c r="E295" s="276">
        <v>32</v>
      </c>
    </row>
    <row r="296" spans="1:5">
      <c r="A296" t="s">
        <v>12591</v>
      </c>
      <c r="B296" s="429">
        <v>44512</v>
      </c>
      <c r="C296" s="430">
        <v>5394.51</v>
      </c>
      <c r="D296" s="429">
        <v>44517</v>
      </c>
      <c r="E296" s="276">
        <v>33</v>
      </c>
    </row>
    <row r="297" spans="1:5">
      <c r="A297" t="s">
        <v>2054</v>
      </c>
      <c r="B297" s="429">
        <v>44515</v>
      </c>
      <c r="C297" s="430">
        <v>-4128.75</v>
      </c>
      <c r="D297" s="429">
        <v>44518</v>
      </c>
    </row>
    <row r="298" spans="1:5">
      <c r="A298" t="s">
        <v>2054</v>
      </c>
      <c r="B298" s="429">
        <v>44516</v>
      </c>
      <c r="C298" s="430">
        <v>1230.1099999999999</v>
      </c>
      <c r="D298" s="429">
        <v>44519</v>
      </c>
      <c r="E298" s="276">
        <v>7.8516000000000004</v>
      </c>
    </row>
    <row r="299" spans="1:5">
      <c r="A299" t="s">
        <v>12591</v>
      </c>
      <c r="B299" s="429">
        <v>44516</v>
      </c>
      <c r="C299" s="430">
        <v>6146.81</v>
      </c>
      <c r="D299" s="429">
        <v>44519</v>
      </c>
      <c r="E299" s="276">
        <v>37</v>
      </c>
    </row>
    <row r="300" spans="1:5">
      <c r="A300" t="s">
        <v>2054</v>
      </c>
      <c r="B300" s="429">
        <v>44517</v>
      </c>
      <c r="C300" s="430">
        <v>-13445.05</v>
      </c>
      <c r="D300" s="429">
        <v>44522</v>
      </c>
      <c r="E300" s="276">
        <v>-85.446799999999996</v>
      </c>
    </row>
    <row r="301" spans="1:5">
      <c r="A301" t="s">
        <v>2054</v>
      </c>
      <c r="B301" s="429">
        <v>44518</v>
      </c>
      <c r="C301" s="430">
        <v>2700.06</v>
      </c>
      <c r="D301" s="429">
        <v>44523</v>
      </c>
      <c r="E301" s="276">
        <v>17.137599999999999</v>
      </c>
    </row>
    <row r="302" spans="1:5">
      <c r="A302" t="s">
        <v>2055</v>
      </c>
      <c r="B302" s="429">
        <v>44518</v>
      </c>
      <c r="C302" s="430">
        <v>-10031.4</v>
      </c>
      <c r="D302" s="429">
        <v>44523</v>
      </c>
      <c r="E302" s="276">
        <v>-60</v>
      </c>
    </row>
    <row r="303" spans="1:5">
      <c r="A303" t="s">
        <v>12591</v>
      </c>
      <c r="B303" s="429">
        <v>44523</v>
      </c>
      <c r="C303" s="430">
        <v>7041.72</v>
      </c>
      <c r="D303" s="429">
        <v>44526</v>
      </c>
      <c r="E303" s="276">
        <v>42</v>
      </c>
    </row>
    <row r="304" spans="1:5">
      <c r="A304" t="s">
        <v>2054</v>
      </c>
      <c r="B304" s="429">
        <v>44525</v>
      </c>
      <c r="C304" s="430">
        <v>-10675.21</v>
      </c>
      <c r="D304" s="429">
        <v>44530</v>
      </c>
      <c r="E304" s="276">
        <v>-67.8</v>
      </c>
    </row>
    <row r="305" spans="1:5">
      <c r="A305" t="s">
        <v>2054</v>
      </c>
      <c r="B305" s="429">
        <v>44526</v>
      </c>
      <c r="C305" s="430">
        <v>9989.99</v>
      </c>
      <c r="D305" s="429">
        <v>44531</v>
      </c>
      <c r="E305" s="276">
        <v>64.137100000000004</v>
      </c>
    </row>
    <row r="306" spans="1:5">
      <c r="A306" t="s">
        <v>2054</v>
      </c>
      <c r="B306" s="429">
        <v>44529</v>
      </c>
      <c r="C306" s="430">
        <v>4414.1899999999996</v>
      </c>
      <c r="D306" s="429">
        <v>44532</v>
      </c>
      <c r="E306" s="276">
        <v>28.339700000000001</v>
      </c>
    </row>
    <row r="307" spans="1:5">
      <c r="A307" t="s">
        <v>2054</v>
      </c>
      <c r="B307" s="429">
        <v>44530</v>
      </c>
      <c r="C307" s="430">
        <v>1853.97</v>
      </c>
      <c r="D307" s="429">
        <v>44533</v>
      </c>
      <c r="E307" s="276">
        <v>12.4687</v>
      </c>
    </row>
    <row r="308" spans="1:5">
      <c r="A308" t="s">
        <v>2054</v>
      </c>
      <c r="B308" s="429">
        <v>44531</v>
      </c>
      <c r="C308" s="430">
        <v>-12174.01</v>
      </c>
      <c r="D308" s="429">
        <v>44536</v>
      </c>
      <c r="E308" s="276">
        <v>-82.190200000000004</v>
      </c>
    </row>
    <row r="309" spans="1:5">
      <c r="A309" t="s">
        <v>2054</v>
      </c>
      <c r="B309" s="429">
        <v>44532</v>
      </c>
      <c r="C309" s="430">
        <v>9748.0499999999993</v>
      </c>
      <c r="D309" s="429">
        <v>44537</v>
      </c>
      <c r="E309" s="276">
        <v>65</v>
      </c>
    </row>
    <row r="310" spans="1:5">
      <c r="A310" t="s">
        <v>12591</v>
      </c>
      <c r="B310" s="429">
        <v>44532</v>
      </c>
      <c r="C310" s="430">
        <v>599999.99</v>
      </c>
      <c r="D310" s="429">
        <v>44537</v>
      </c>
      <c r="E310" s="276">
        <v>3816.0655999999999</v>
      </c>
    </row>
    <row r="311" spans="1:5">
      <c r="A311" t="s">
        <v>12591</v>
      </c>
      <c r="B311" s="429">
        <v>44533</v>
      </c>
      <c r="C311" s="430">
        <v>634.36</v>
      </c>
      <c r="D311" s="429">
        <v>44538</v>
      </c>
      <c r="E311" s="276">
        <v>4</v>
      </c>
    </row>
    <row r="312" spans="1:5">
      <c r="A312" t="s">
        <v>2054</v>
      </c>
      <c r="B312" s="429">
        <v>44537</v>
      </c>
      <c r="C312" s="430">
        <v>7056.11</v>
      </c>
      <c r="D312" s="429">
        <v>44540</v>
      </c>
      <c r="E312" s="276">
        <v>47</v>
      </c>
    </row>
    <row r="313" spans="1:5">
      <c r="A313" t="s">
        <v>2054</v>
      </c>
      <c r="B313" s="429">
        <v>44543</v>
      </c>
      <c r="C313" s="430">
        <v>2215.06</v>
      </c>
      <c r="D313" s="429">
        <v>44546</v>
      </c>
      <c r="E313" s="276">
        <v>14.561299999999999</v>
      </c>
    </row>
    <row r="314" spans="1:5">
      <c r="A314" t="s">
        <v>12591</v>
      </c>
      <c r="B314" s="429">
        <v>44544</v>
      </c>
      <c r="C314" s="430">
        <v>11423.19</v>
      </c>
      <c r="D314" s="429">
        <v>44547</v>
      </c>
      <c r="E314" s="276">
        <v>71</v>
      </c>
    </row>
    <row r="315" spans="1:5">
      <c r="A315" t="s">
        <v>2054</v>
      </c>
      <c r="B315" s="429">
        <v>44545</v>
      </c>
      <c r="C315" s="430">
        <v>6142.5</v>
      </c>
      <c r="D315" s="429">
        <v>44550</v>
      </c>
      <c r="E315" s="276">
        <v>40.517800000000001</v>
      </c>
    </row>
    <row r="316" spans="1:5">
      <c r="A316" t="s">
        <v>2054</v>
      </c>
      <c r="B316" s="429">
        <v>44546</v>
      </c>
      <c r="C316" s="430">
        <v>3898.74</v>
      </c>
      <c r="D316" s="429">
        <v>44551</v>
      </c>
      <c r="E316" s="276">
        <v>25.717300000000002</v>
      </c>
    </row>
    <row r="317" spans="1:5">
      <c r="A317" t="s">
        <v>2054</v>
      </c>
      <c r="B317" s="429">
        <v>44547</v>
      </c>
      <c r="C317" s="430">
        <v>15854.75</v>
      </c>
      <c r="D317" s="429">
        <v>44552</v>
      </c>
      <c r="E317" s="276">
        <v>102.2953</v>
      </c>
    </row>
    <row r="318" spans="1:5">
      <c r="A318" t="s">
        <v>2054</v>
      </c>
      <c r="B318" s="429">
        <v>44550</v>
      </c>
      <c r="C318" s="430">
        <v>3028.6</v>
      </c>
      <c r="D318" s="429">
        <v>44553</v>
      </c>
      <c r="E318" s="276">
        <v>20</v>
      </c>
    </row>
    <row r="319" spans="1:5">
      <c r="A319" t="s">
        <v>2054</v>
      </c>
      <c r="B319" s="429">
        <v>44551</v>
      </c>
      <c r="C319" s="430">
        <v>1978.08</v>
      </c>
      <c r="D319" s="429">
        <v>44554</v>
      </c>
      <c r="E319" s="276">
        <v>13.0627</v>
      </c>
    </row>
    <row r="320" spans="1:5">
      <c r="A320" t="s">
        <v>2054</v>
      </c>
      <c r="B320" s="429">
        <v>44552</v>
      </c>
      <c r="C320" s="430">
        <v>10316</v>
      </c>
      <c r="D320" s="429">
        <v>44557</v>
      </c>
      <c r="E320" s="276">
        <v>67.749099999999999</v>
      </c>
    </row>
    <row r="321" spans="1:5">
      <c r="A321" t="s">
        <v>2054</v>
      </c>
      <c r="B321" s="429">
        <v>44553</v>
      </c>
      <c r="C321" s="430">
        <v>7895.51</v>
      </c>
      <c r="D321" s="429">
        <v>44559</v>
      </c>
      <c r="E321" s="276">
        <v>20.9848</v>
      </c>
    </row>
    <row r="322" spans="1:5">
      <c r="A322" t="s">
        <v>2054</v>
      </c>
      <c r="B322" s="429">
        <v>44559</v>
      </c>
      <c r="C322" s="430">
        <v>4989.99</v>
      </c>
      <c r="D322" s="429">
        <v>44564</v>
      </c>
      <c r="E322" s="276">
        <v>32.028199999999998</v>
      </c>
    </row>
    <row r="323" spans="1:5" s="1097" customFormat="1">
      <c r="A323" s="1097" t="s">
        <v>2054</v>
      </c>
      <c r="B323" s="1098">
        <v>44565</v>
      </c>
      <c r="C323" s="1099">
        <v>21873.040000000001</v>
      </c>
      <c r="D323" s="1098">
        <v>44568</v>
      </c>
      <c r="E323" s="1100">
        <v>139</v>
      </c>
    </row>
    <row r="324" spans="1:5" s="1097" customFormat="1">
      <c r="A324" s="1097" t="s">
        <v>12591</v>
      </c>
      <c r="B324" s="1098">
        <v>44565</v>
      </c>
      <c r="C324" s="1099">
        <v>9691.7999999999993</v>
      </c>
      <c r="D324" s="1098">
        <v>44568</v>
      </c>
      <c r="E324" s="1100">
        <v>58</v>
      </c>
    </row>
    <row r="325" spans="1:5" s="1097" customFormat="1">
      <c r="A325" s="1097" t="s">
        <v>2054</v>
      </c>
      <c r="B325" s="1098">
        <v>44566</v>
      </c>
      <c r="C325" s="1099">
        <v>93897.7</v>
      </c>
      <c r="D325" s="1098">
        <v>44571</v>
      </c>
      <c r="E325" s="1100">
        <v>595</v>
      </c>
    </row>
    <row r="326" spans="1:5" s="1097" customFormat="1">
      <c r="A326" s="1097" t="s">
        <v>2054</v>
      </c>
      <c r="B326" s="1098">
        <v>44567</v>
      </c>
      <c r="C326" s="1099">
        <v>29685.79</v>
      </c>
      <c r="D326" s="1098">
        <v>44572</v>
      </c>
      <c r="E326" s="1100">
        <v>186.00120000000001</v>
      </c>
    </row>
    <row r="327" spans="1:5" s="1097" customFormat="1">
      <c r="A327" s="1097" t="s">
        <v>2054</v>
      </c>
      <c r="B327" s="1098">
        <v>44573</v>
      </c>
      <c r="C327" s="1099">
        <v>20546.5</v>
      </c>
      <c r="D327" s="1098">
        <v>44578</v>
      </c>
      <c r="E327" s="1100">
        <v>130</v>
      </c>
    </row>
    <row r="328" spans="1:5" s="1097" customFormat="1">
      <c r="A328" s="1097" t="s">
        <v>2054</v>
      </c>
      <c r="B328" s="1098">
        <v>44574</v>
      </c>
      <c r="C328" s="1099">
        <v>-6429.6</v>
      </c>
      <c r="D328" s="1098">
        <v>44579</v>
      </c>
      <c r="E328" s="1100">
        <v>40</v>
      </c>
    </row>
    <row r="329" spans="1:5" s="1097" customFormat="1">
      <c r="A329" s="1097" t="s">
        <v>2054</v>
      </c>
      <c r="B329" s="1098">
        <v>44578</v>
      </c>
      <c r="C329" s="1099">
        <v>2998.11</v>
      </c>
      <c r="D329" s="1098">
        <v>44581</v>
      </c>
      <c r="E329" s="1100">
        <v>18.609100000000002</v>
      </c>
    </row>
    <row r="330" spans="1:5" s="1097" customFormat="1">
      <c r="A330" s="1097" t="s">
        <v>2054</v>
      </c>
      <c r="B330" s="1098">
        <v>44579</v>
      </c>
      <c r="C330" s="1099">
        <v>2639.16</v>
      </c>
      <c r="D330" s="1098">
        <v>44582</v>
      </c>
      <c r="E330" s="1100">
        <v>16.3431</v>
      </c>
    </row>
    <row r="331" spans="1:5" s="1097" customFormat="1">
      <c r="A331" s="1097" t="s">
        <v>2054</v>
      </c>
      <c r="B331" s="1098">
        <v>44580</v>
      </c>
      <c r="C331" s="1099">
        <v>988</v>
      </c>
      <c r="D331" s="1098">
        <v>44585</v>
      </c>
      <c r="E331" s="1100">
        <v>6.1669</v>
      </c>
    </row>
    <row r="332" spans="1:5" s="1097" customFormat="1">
      <c r="A332" s="1097" t="s">
        <v>2054</v>
      </c>
      <c r="B332" s="1098">
        <v>44582</v>
      </c>
      <c r="C332" s="1099">
        <v>39243</v>
      </c>
      <c r="D332" s="1098">
        <v>44587</v>
      </c>
      <c r="E332" s="1100">
        <v>248</v>
      </c>
    </row>
    <row r="333" spans="1:5">
      <c r="A333" s="1097" t="s">
        <v>2054</v>
      </c>
      <c r="B333" s="1098">
        <v>44585</v>
      </c>
      <c r="C333" s="1099">
        <v>62857.45</v>
      </c>
      <c r="D333" s="1098">
        <v>44588</v>
      </c>
      <c r="E333" s="276">
        <v>397.43740000000003</v>
      </c>
    </row>
    <row r="334" spans="1:5">
      <c r="A334" s="1097" t="s">
        <v>2054</v>
      </c>
      <c r="B334" s="1098">
        <v>44588</v>
      </c>
      <c r="C334" s="1099">
        <v>13596.76</v>
      </c>
      <c r="D334" s="1098">
        <v>44593</v>
      </c>
      <c r="E334" s="276">
        <v>88.859200000000001</v>
      </c>
    </row>
    <row r="335" spans="1:5">
      <c r="A335" t="s">
        <v>2055</v>
      </c>
      <c r="B335" s="1098">
        <v>44588</v>
      </c>
      <c r="C335" s="1099">
        <v>200000</v>
      </c>
      <c r="D335" s="1098">
        <v>44593</v>
      </c>
      <c r="E335" s="276">
        <v>1225.1899000000001</v>
      </c>
    </row>
    <row r="336" spans="1:5">
      <c r="A336" s="1097" t="s">
        <v>12591</v>
      </c>
      <c r="B336" s="1098">
        <v>44588</v>
      </c>
      <c r="C336" s="1099">
        <v>7015.02</v>
      </c>
      <c r="D336" s="1098">
        <v>44593</v>
      </c>
      <c r="E336" s="276">
        <v>43</v>
      </c>
    </row>
    <row r="337" spans="1:5">
      <c r="A337" s="1097" t="s">
        <v>2054</v>
      </c>
      <c r="B337" s="1098">
        <v>44589</v>
      </c>
      <c r="C337" s="1099">
        <v>1989.99</v>
      </c>
      <c r="D337" s="1098">
        <v>44594</v>
      </c>
      <c r="E337" s="276">
        <v>13.21</v>
      </c>
    </row>
    <row r="338" spans="1:5">
      <c r="A338" s="1097" t="s">
        <v>2054</v>
      </c>
      <c r="B338" s="1098">
        <v>44592</v>
      </c>
      <c r="C338" s="1099">
        <v>989.99</v>
      </c>
      <c r="D338" s="1098">
        <v>44595</v>
      </c>
      <c r="E338" s="276">
        <v>6.48</v>
      </c>
    </row>
    <row r="339" spans="1:5">
      <c r="A339" s="1097" t="s">
        <v>2054</v>
      </c>
      <c r="B339" s="1098">
        <v>44593</v>
      </c>
      <c r="C339" s="1099">
        <v>2990</v>
      </c>
      <c r="D339" s="1098">
        <v>44596</v>
      </c>
      <c r="E339" s="276">
        <v>19.534800000000001</v>
      </c>
    </row>
    <row r="340" spans="1:5">
      <c r="A340" s="1097" t="s">
        <v>2054</v>
      </c>
      <c r="B340" s="1098">
        <v>44594</v>
      </c>
      <c r="C340" s="1099">
        <v>989.99</v>
      </c>
      <c r="D340" s="1098">
        <v>44599</v>
      </c>
      <c r="E340" s="276">
        <v>6.3895</v>
      </c>
    </row>
    <row r="341" spans="1:5">
      <c r="A341" s="1097" t="s">
        <v>2054</v>
      </c>
      <c r="B341" s="1098">
        <v>44599</v>
      </c>
      <c r="C341" s="1099">
        <v>4989.99</v>
      </c>
      <c r="D341" s="1098">
        <v>44602</v>
      </c>
      <c r="E341" s="276">
        <v>32.796500000000002</v>
      </c>
    </row>
    <row r="342" spans="1:5">
      <c r="A342" s="1097" t="s">
        <v>12591</v>
      </c>
      <c r="B342" s="1098">
        <v>44600</v>
      </c>
      <c r="C342" s="1099">
        <v>-96294</v>
      </c>
      <c r="D342" s="1098">
        <v>44603</v>
      </c>
      <c r="E342" s="276">
        <v>-600</v>
      </c>
    </row>
    <row r="343" spans="1:5">
      <c r="A343" s="1097" t="s">
        <v>2054</v>
      </c>
      <c r="B343" s="1098">
        <v>44601</v>
      </c>
      <c r="C343" s="1099">
        <v>8008.79</v>
      </c>
      <c r="D343" s="1098">
        <v>44606</v>
      </c>
      <c r="E343" s="276">
        <v>53.050699999999999</v>
      </c>
    </row>
    <row r="344" spans="1:5">
      <c r="A344" t="s">
        <v>2055</v>
      </c>
      <c r="B344" s="1098">
        <v>44602</v>
      </c>
      <c r="C344" s="1099">
        <v>289752</v>
      </c>
      <c r="D344" s="1098">
        <v>44607</v>
      </c>
      <c r="E344" s="276">
        <v>1800</v>
      </c>
    </row>
    <row r="345" spans="1:5">
      <c r="A345" s="1097" t="s">
        <v>2054</v>
      </c>
      <c r="B345" s="1098">
        <v>44603</v>
      </c>
      <c r="C345" s="1099">
        <v>-8171.54</v>
      </c>
      <c r="D345" s="1098">
        <v>44608</v>
      </c>
      <c r="E345" s="276">
        <v>-53</v>
      </c>
    </row>
    <row r="346" spans="1:5">
      <c r="A346" s="1097" t="s">
        <v>2054</v>
      </c>
      <c r="B346" s="1098">
        <v>44607</v>
      </c>
      <c r="C346" s="1099">
        <v>6142.49</v>
      </c>
      <c r="D346" s="1098">
        <v>44610</v>
      </c>
      <c r="E346" s="276">
        <v>40.278599999999997</v>
      </c>
    </row>
    <row r="347" spans="1:5">
      <c r="A347" s="1097" t="s">
        <v>2054</v>
      </c>
      <c r="B347" s="1098">
        <v>44608</v>
      </c>
      <c r="C347" s="1099">
        <v>7711.24</v>
      </c>
      <c r="D347" s="1098">
        <v>44613</v>
      </c>
      <c r="E347" s="276">
        <v>50.5655</v>
      </c>
    </row>
    <row r="348" spans="1:5">
      <c r="A348" s="1097" t="s">
        <v>2054</v>
      </c>
      <c r="B348" s="1098">
        <v>44614</v>
      </c>
      <c r="C348" s="1099">
        <v>-17498.400000000001</v>
      </c>
      <c r="D348" s="1098">
        <v>44617</v>
      </c>
      <c r="E348" s="276">
        <v>-115</v>
      </c>
    </row>
    <row r="349" spans="1:5">
      <c r="A349" s="1097" t="s">
        <v>2054</v>
      </c>
      <c r="B349" s="1098">
        <v>44615</v>
      </c>
      <c r="C349" s="1099">
        <v>989.99</v>
      </c>
      <c r="D349" s="1098">
        <v>44620</v>
      </c>
      <c r="E349" s="276">
        <v>6.6684000000000001</v>
      </c>
    </row>
    <row r="350" spans="1:5">
      <c r="A350" s="1097" t="s">
        <v>2054</v>
      </c>
      <c r="B350" s="1098">
        <v>44616</v>
      </c>
      <c r="C350" s="1099">
        <v>-65284.6</v>
      </c>
      <c r="D350" s="1098">
        <v>44621</v>
      </c>
      <c r="E350" s="276">
        <v>-449</v>
      </c>
    </row>
    <row r="351" spans="1:5">
      <c r="A351" s="1097" t="s">
        <v>12591</v>
      </c>
      <c r="B351" s="1098">
        <v>44617</v>
      </c>
      <c r="C351" s="1099">
        <v>-2965.33</v>
      </c>
      <c r="D351" s="1098">
        <v>44622</v>
      </c>
      <c r="E351" s="276">
        <v>-19</v>
      </c>
    </row>
    <row r="352" spans="1:5">
      <c r="A352" s="1097" t="s">
        <v>2054</v>
      </c>
      <c r="B352" s="1098">
        <v>44620</v>
      </c>
      <c r="C352" s="1099">
        <v>-16495.009999999998</v>
      </c>
      <c r="D352" s="1098">
        <v>44623</v>
      </c>
      <c r="E352" s="276">
        <v>-113.72629999999999</v>
      </c>
    </row>
    <row r="353" spans="1:5">
      <c r="A353" s="1097" t="s">
        <v>2054</v>
      </c>
      <c r="B353" s="1098">
        <v>44621</v>
      </c>
      <c r="C353" s="1099">
        <v>14980</v>
      </c>
      <c r="D353" s="1098">
        <v>44624</v>
      </c>
      <c r="E353" s="276">
        <v>102.64490000000001</v>
      </c>
    </row>
    <row r="354" spans="1:5">
      <c r="A354" s="1097" t="s">
        <v>12591</v>
      </c>
      <c r="B354" s="1098">
        <v>44624</v>
      </c>
      <c r="C354" s="1099">
        <v>303.82</v>
      </c>
      <c r="D354" s="1098">
        <v>44629</v>
      </c>
      <c r="E354" s="276">
        <v>2</v>
      </c>
    </row>
    <row r="355" spans="1:5">
      <c r="A355" s="1097" t="s">
        <v>2054</v>
      </c>
      <c r="B355" s="1098">
        <v>44627</v>
      </c>
      <c r="C355" s="1099">
        <v>1028</v>
      </c>
      <c r="D355" s="1098">
        <v>44630</v>
      </c>
      <c r="E355" s="276">
        <v>7.2019000000000002</v>
      </c>
    </row>
    <row r="356" spans="1:5">
      <c r="A356" s="1097" t="s">
        <v>2054</v>
      </c>
      <c r="B356" s="1098">
        <v>44628</v>
      </c>
      <c r="C356" s="1099">
        <v>1317.01</v>
      </c>
      <c r="D356" s="1098">
        <v>44631</v>
      </c>
      <c r="E356" s="276">
        <v>9.4476999999999993</v>
      </c>
    </row>
    <row r="357" spans="1:5">
      <c r="A357" t="s">
        <v>2055</v>
      </c>
      <c r="B357" s="1098">
        <v>44630</v>
      </c>
      <c r="C357" s="1099">
        <v>-1464.74</v>
      </c>
      <c r="D357" s="1098">
        <v>44635</v>
      </c>
      <c r="E357" s="276">
        <v>-10.1128</v>
      </c>
    </row>
    <row r="358" spans="1:5">
      <c r="A358" s="1097" t="s">
        <v>2054</v>
      </c>
      <c r="B358" s="1098">
        <v>44634</v>
      </c>
      <c r="C358" s="1099">
        <v>2088.87</v>
      </c>
      <c r="D358" s="1098">
        <v>44637</v>
      </c>
      <c r="E358" s="276">
        <v>15.2217</v>
      </c>
    </row>
    <row r="359" spans="1:5">
      <c r="A359" s="1097" t="s">
        <v>12591</v>
      </c>
      <c r="B359" s="1098">
        <v>44634</v>
      </c>
      <c r="C359" s="1099">
        <v>5844</v>
      </c>
      <c r="D359" s="1098">
        <v>44637</v>
      </c>
      <c r="E359" s="276">
        <v>40</v>
      </c>
    </row>
    <row r="360" spans="1:5">
      <c r="A360" s="1097" t="s">
        <v>2054</v>
      </c>
      <c r="B360" s="1098">
        <v>44635</v>
      </c>
      <c r="C360" s="1099">
        <v>8257.09</v>
      </c>
      <c r="D360" s="1098">
        <v>44638</v>
      </c>
      <c r="E360" s="276">
        <v>59.708500000000001</v>
      </c>
    </row>
    <row r="361" spans="1:5">
      <c r="A361" s="1097" t="s">
        <v>2054</v>
      </c>
      <c r="B361" s="1098">
        <v>44636</v>
      </c>
      <c r="C361" s="1099">
        <v>3898.75</v>
      </c>
      <c r="D361" s="1098">
        <v>44641</v>
      </c>
      <c r="E361" s="276">
        <v>28.410299999999999</v>
      </c>
    </row>
    <row r="362" spans="1:5">
      <c r="A362" s="1097" t="s">
        <v>2054</v>
      </c>
      <c r="B362" s="1098">
        <v>44637</v>
      </c>
      <c r="C362" s="1099">
        <v>4227.16</v>
      </c>
      <c r="D362" s="1098">
        <v>44642</v>
      </c>
      <c r="E362" s="276">
        <v>31</v>
      </c>
    </row>
    <row r="363" spans="1:5">
      <c r="A363" t="s">
        <v>12591</v>
      </c>
      <c r="B363" s="429">
        <v>44638</v>
      </c>
      <c r="C363" s="430">
        <v>-5038.12</v>
      </c>
      <c r="D363" s="429">
        <v>44643</v>
      </c>
      <c r="E363" s="276">
        <v>-34</v>
      </c>
    </row>
    <row r="364" spans="1:5">
      <c r="A364" t="s">
        <v>12591</v>
      </c>
      <c r="B364" s="429">
        <v>44642</v>
      </c>
      <c r="C364" s="430">
        <v>2768.76</v>
      </c>
      <c r="D364" s="429">
        <v>44645</v>
      </c>
      <c r="E364" s="276">
        <v>18</v>
      </c>
    </row>
    <row r="365" spans="1:5">
      <c r="A365" t="s">
        <v>2054</v>
      </c>
      <c r="B365" s="429">
        <v>44650</v>
      </c>
      <c r="C365" s="430">
        <v>-4771.5200000000004</v>
      </c>
      <c r="D365" s="429">
        <v>44655</v>
      </c>
      <c r="E365" s="276">
        <v>-32</v>
      </c>
    </row>
    <row r="366" spans="1:5">
      <c r="A366" t="s">
        <v>2054</v>
      </c>
      <c r="B366" s="429">
        <v>44656</v>
      </c>
      <c r="C366" s="430">
        <v>-97281.79</v>
      </c>
      <c r="D366" s="429">
        <v>44659</v>
      </c>
      <c r="E366" s="276">
        <v>-651.58600000000001</v>
      </c>
    </row>
    <row r="367" spans="1:5">
      <c r="A367" t="s">
        <v>2054</v>
      </c>
      <c r="B367" s="429">
        <v>44655</v>
      </c>
      <c r="C367" s="430">
        <v>10692.6</v>
      </c>
      <c r="D367" s="429">
        <v>44658</v>
      </c>
    </row>
    <row r="368" spans="1:5">
      <c r="A368" t="s">
        <v>2054</v>
      </c>
      <c r="B368" s="429">
        <v>44658</v>
      </c>
      <c r="C368" s="430">
        <v>-9685.18</v>
      </c>
      <c r="D368" s="429">
        <v>44663</v>
      </c>
      <c r="E368" s="276">
        <v>-67.141599999999997</v>
      </c>
    </row>
    <row r="369" spans="1:5">
      <c r="A369" t="s">
        <v>12591</v>
      </c>
      <c r="B369" s="429">
        <v>44659</v>
      </c>
      <c r="C369" s="430">
        <v>9331.2000000000007</v>
      </c>
      <c r="D369" s="429">
        <v>44672</v>
      </c>
      <c r="E369" s="276">
        <v>60</v>
      </c>
    </row>
    <row r="370" spans="1:5">
      <c r="A370" t="s">
        <v>2054</v>
      </c>
      <c r="B370" s="429">
        <v>44670</v>
      </c>
      <c r="C370" s="430">
        <v>-10478.530000000001</v>
      </c>
      <c r="D370" s="429">
        <v>44673</v>
      </c>
      <c r="E370" s="276">
        <v>-70.863100000000003</v>
      </c>
    </row>
    <row r="371" spans="1:5">
      <c r="A371" t="s">
        <v>2054</v>
      </c>
      <c r="B371" s="429">
        <v>44673</v>
      </c>
      <c r="C371" s="430">
        <v>39557.699999999997</v>
      </c>
      <c r="D371" s="429">
        <v>44678</v>
      </c>
      <c r="E371" s="276">
        <v>270</v>
      </c>
    </row>
    <row r="372" spans="1:5">
      <c r="A372" t="s">
        <v>2054</v>
      </c>
      <c r="B372" s="429">
        <v>44671</v>
      </c>
      <c r="C372" s="430">
        <v>44439</v>
      </c>
      <c r="D372" s="429">
        <v>44676</v>
      </c>
      <c r="E372" s="276">
        <v>300</v>
      </c>
    </row>
    <row r="373" spans="1:5">
      <c r="A373" t="s">
        <v>12591</v>
      </c>
      <c r="B373" s="429">
        <v>44673</v>
      </c>
      <c r="C373" s="430">
        <v>10151.700000000001</v>
      </c>
      <c r="D373" s="429">
        <v>44678</v>
      </c>
      <c r="E373" s="276">
        <v>65</v>
      </c>
    </row>
    <row r="374" spans="1:5">
      <c r="A374" t="s">
        <v>2054</v>
      </c>
      <c r="B374" s="429">
        <v>44678</v>
      </c>
      <c r="C374" s="430">
        <v>-6009.61</v>
      </c>
      <c r="D374" s="429">
        <v>44683</v>
      </c>
      <c r="E374" s="276">
        <v>-41.637999999999998</v>
      </c>
    </row>
    <row r="375" spans="1:5">
      <c r="A375" t="s">
        <v>2054</v>
      </c>
      <c r="B375" s="429">
        <v>44679</v>
      </c>
      <c r="C375" s="430">
        <v>7896.42</v>
      </c>
      <c r="D375" s="429">
        <v>44684</v>
      </c>
      <c r="E375" s="276">
        <v>54</v>
      </c>
    </row>
    <row r="376" spans="1:5">
      <c r="A376" t="s">
        <v>2054</v>
      </c>
      <c r="B376" s="429">
        <v>44680</v>
      </c>
      <c r="C376" s="430">
        <v>10236.1</v>
      </c>
      <c r="D376" s="429">
        <v>44685</v>
      </c>
      <c r="E376" s="276">
        <v>70</v>
      </c>
    </row>
    <row r="377" spans="1:5">
      <c r="A377" t="s">
        <v>12591</v>
      </c>
      <c r="B377" s="429">
        <v>44684</v>
      </c>
      <c r="C377" s="430">
        <v>-1567500</v>
      </c>
      <c r="D377" s="429">
        <v>44687</v>
      </c>
      <c r="E377" s="276">
        <v>-10000</v>
      </c>
    </row>
    <row r="378" spans="1:5">
      <c r="A378" t="s">
        <v>2054</v>
      </c>
      <c r="B378" s="429">
        <v>44687</v>
      </c>
      <c r="C378" s="430">
        <v>29222</v>
      </c>
      <c r="D378" s="429">
        <v>44693</v>
      </c>
      <c r="E378" s="276">
        <v>200</v>
      </c>
    </row>
    <row r="379" spans="1:5">
      <c r="A379" t="s">
        <v>2054</v>
      </c>
      <c r="B379" s="429">
        <v>44691</v>
      </c>
      <c r="C379" s="430">
        <v>-141.38999999999999</v>
      </c>
      <c r="D379" s="429">
        <v>44694</v>
      </c>
      <c r="E379" s="276">
        <v>-14</v>
      </c>
    </row>
    <row r="380" spans="1:5">
      <c r="A380" t="s">
        <v>2054</v>
      </c>
      <c r="B380" s="429">
        <v>44694</v>
      </c>
      <c r="C380" s="430">
        <v>-60654.1</v>
      </c>
      <c r="D380" s="429">
        <v>44699</v>
      </c>
      <c r="E380" s="276">
        <v>-424.392</v>
      </c>
    </row>
    <row r="381" spans="1:5">
      <c r="A381" t="s">
        <v>2054</v>
      </c>
      <c r="B381" s="429">
        <v>44697</v>
      </c>
      <c r="C381" s="430">
        <v>6142.5</v>
      </c>
      <c r="D381" s="429">
        <v>44700</v>
      </c>
      <c r="E381" s="276">
        <v>43.603999999999999</v>
      </c>
    </row>
    <row r="382" spans="1:5">
      <c r="A382" t="s">
        <v>2054</v>
      </c>
      <c r="B382" s="429">
        <v>44698</v>
      </c>
      <c r="C382" s="430">
        <v>9242.3799999999992</v>
      </c>
      <c r="D382" s="429">
        <v>44701</v>
      </c>
      <c r="E382" s="276">
        <v>65.078000000000003</v>
      </c>
    </row>
    <row r="383" spans="1:5">
      <c r="A383" t="s">
        <v>2054</v>
      </c>
      <c r="B383" s="429">
        <v>44700</v>
      </c>
      <c r="C383" s="430">
        <v>-10027.5</v>
      </c>
      <c r="D383" s="429">
        <v>44705</v>
      </c>
      <c r="E383" s="276">
        <v>-70</v>
      </c>
    </row>
    <row r="384" spans="1:5">
      <c r="A384" t="s">
        <v>2054</v>
      </c>
      <c r="B384" s="429">
        <v>44699</v>
      </c>
      <c r="C384" s="430">
        <v>3334.97</v>
      </c>
      <c r="D384" s="429">
        <v>44704</v>
      </c>
      <c r="E384" s="276">
        <v>22.909700000000001</v>
      </c>
    </row>
    <row r="385" spans="1:5">
      <c r="A385" t="s">
        <v>2054</v>
      </c>
      <c r="B385" s="429">
        <v>44708</v>
      </c>
      <c r="C385" s="430">
        <v>-4969.2</v>
      </c>
      <c r="D385" s="429">
        <v>44713</v>
      </c>
      <c r="E385" s="276">
        <v>-33.5349</v>
      </c>
    </row>
    <row r="386" spans="1:5">
      <c r="A386" t="s">
        <v>2054</v>
      </c>
      <c r="B386" s="429">
        <v>44714</v>
      </c>
      <c r="C386" s="430">
        <v>22316.86</v>
      </c>
      <c r="D386" s="429">
        <v>44720</v>
      </c>
      <c r="E386" s="276">
        <v>147.39359999999999</v>
      </c>
    </row>
    <row r="387" spans="1:5">
      <c r="A387" t="s">
        <v>2054</v>
      </c>
      <c r="B387" s="429">
        <v>44719</v>
      </c>
      <c r="C387" s="430">
        <v>49987.99</v>
      </c>
      <c r="D387" s="429">
        <v>44722</v>
      </c>
      <c r="E387" s="276">
        <v>326.71890000000002</v>
      </c>
    </row>
    <row r="388" spans="1:5">
      <c r="A388" t="s">
        <v>2054</v>
      </c>
      <c r="B388" s="429">
        <v>44721</v>
      </c>
      <c r="C388" s="430">
        <v>-13990.44</v>
      </c>
      <c r="D388" s="429">
        <v>44726</v>
      </c>
      <c r="E388" s="276">
        <v>-92</v>
      </c>
    </row>
    <row r="389" spans="1:5">
      <c r="A389" t="s">
        <v>2054</v>
      </c>
      <c r="B389" s="429">
        <v>44722</v>
      </c>
      <c r="C389" s="430">
        <v>-139977.99</v>
      </c>
      <c r="D389" s="429">
        <v>44727</v>
      </c>
      <c r="E389" s="276">
        <v>-933</v>
      </c>
    </row>
    <row r="390" spans="1:5">
      <c r="A390" t="s">
        <v>2054</v>
      </c>
      <c r="B390" s="429">
        <v>44726</v>
      </c>
      <c r="C390" s="430">
        <v>-868.74</v>
      </c>
      <c r="D390" s="429">
        <v>44729</v>
      </c>
      <c r="E390" s="276">
        <v>-6</v>
      </c>
    </row>
    <row r="391" spans="1:5">
      <c r="A391" t="s">
        <v>2054</v>
      </c>
      <c r="B391" s="429">
        <v>44727</v>
      </c>
      <c r="C391" s="430">
        <v>6142.49</v>
      </c>
      <c r="D391" s="429">
        <v>44732</v>
      </c>
      <c r="E391" s="276">
        <v>42.748199999999997</v>
      </c>
    </row>
    <row r="392" spans="1:5">
      <c r="A392" t="s">
        <v>2054</v>
      </c>
      <c r="B392" s="429">
        <v>44728</v>
      </c>
      <c r="C392" s="430">
        <v>-3074.79</v>
      </c>
      <c r="D392" s="429">
        <v>44733</v>
      </c>
      <c r="E392" s="276">
        <v>-21.457000000000001</v>
      </c>
    </row>
    <row r="393" spans="1:5">
      <c r="A393" t="s">
        <v>2054</v>
      </c>
      <c r="B393" s="429">
        <v>44729</v>
      </c>
      <c r="C393" s="430">
        <v>-1777.85</v>
      </c>
      <c r="D393" s="429">
        <v>44734</v>
      </c>
      <c r="E393" s="276">
        <v>-12.406499999999999</v>
      </c>
    </row>
    <row r="394" spans="1:5">
      <c r="A394" t="s">
        <v>2054</v>
      </c>
      <c r="B394" s="429">
        <v>44733</v>
      </c>
      <c r="C394" s="430">
        <v>-23806.799999999999</v>
      </c>
      <c r="D394" s="429">
        <v>44739</v>
      </c>
      <c r="E394" s="276">
        <v>-170</v>
      </c>
    </row>
    <row r="395" spans="1:5">
      <c r="A395" t="s">
        <v>2055</v>
      </c>
      <c r="B395" s="429">
        <v>44734</v>
      </c>
      <c r="C395" s="430">
        <v>198012.06</v>
      </c>
      <c r="D395" s="429">
        <v>44740</v>
      </c>
      <c r="E395" s="276">
        <v>1341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70C0"/>
  </sheetPr>
  <dimension ref="A1:AB303"/>
  <sheetViews>
    <sheetView zoomScale="80" zoomScaleNormal="80" workbookViewId="0">
      <selection activeCell="H18" sqref="H18"/>
    </sheetView>
  </sheetViews>
  <sheetFormatPr defaultColWidth="9" defaultRowHeight="14.5"/>
  <cols>
    <col min="1" max="1" width="41.26953125" style="22" customWidth="1"/>
    <col min="2" max="2" width="13.7265625" style="24" customWidth="1"/>
    <col min="3" max="3" width="13.7265625" style="25" customWidth="1"/>
    <col min="4" max="4" width="13.7265625" style="24" customWidth="1"/>
    <col min="5" max="6" width="7.81640625" style="25" customWidth="1"/>
    <col min="7" max="8" width="7.81640625" style="26" customWidth="1"/>
    <col min="9" max="10" width="12.81640625" style="22" bestFit="1" customWidth="1"/>
    <col min="11" max="11" width="17.26953125" style="22" bestFit="1" customWidth="1"/>
    <col min="12" max="12" width="9" style="22"/>
    <col min="13" max="13" width="16.54296875" style="22" customWidth="1"/>
    <col min="14" max="14" width="13.54296875" style="22" customWidth="1"/>
    <col min="15" max="18" width="9" style="22"/>
    <col min="19" max="19" width="10.81640625" style="22" customWidth="1"/>
    <col min="20" max="16384" width="9" style="22"/>
  </cols>
  <sheetData>
    <row r="1" spans="1:28" s="6" customFormat="1" ht="13">
      <c r="I1" s="8"/>
      <c r="J1" s="8"/>
      <c r="K1" s="8"/>
      <c r="L1" s="8"/>
      <c r="M1" s="8"/>
      <c r="N1" s="8"/>
      <c r="O1" s="8"/>
      <c r="P1" s="8"/>
      <c r="Q1" s="8"/>
      <c r="AB1" s="7"/>
    </row>
    <row r="2" spans="1:28" s="6" customFormat="1" ht="13">
      <c r="A2" s="8"/>
      <c r="B2" s="8"/>
      <c r="C2" s="8"/>
      <c r="I2" s="8"/>
      <c r="J2" s="8"/>
      <c r="K2" s="8"/>
      <c r="L2" s="8"/>
      <c r="M2" s="8"/>
      <c r="N2" s="8"/>
      <c r="O2" s="8"/>
      <c r="P2" s="8"/>
      <c r="Q2" s="8"/>
      <c r="AB2" s="7"/>
    </row>
    <row r="3" spans="1:28" s="6" customFormat="1" ht="13">
      <c r="A3" s="8"/>
      <c r="B3" s="8"/>
      <c r="C3" s="8"/>
      <c r="I3" s="8"/>
      <c r="J3" s="8"/>
      <c r="K3" s="8"/>
      <c r="L3" s="8"/>
      <c r="M3" s="8"/>
      <c r="N3" s="8"/>
      <c r="O3" s="8"/>
      <c r="P3" s="8"/>
      <c r="Q3" s="8"/>
      <c r="AB3" s="7"/>
    </row>
    <row r="4" spans="1:28" s="6" customFormat="1" ht="13">
      <c r="A4" s="8"/>
      <c r="B4" s="8"/>
      <c r="C4" s="8"/>
      <c r="I4" s="8"/>
      <c r="J4" s="8"/>
      <c r="K4" s="8"/>
      <c r="L4" s="8"/>
      <c r="M4" s="8"/>
      <c r="N4" s="8"/>
      <c r="O4" s="8"/>
      <c r="P4" s="8"/>
      <c r="Q4" s="8"/>
      <c r="AB4" s="7"/>
    </row>
    <row r="5" spans="1:28" s="6" customFormat="1" ht="13">
      <c r="A5" s="8"/>
      <c r="B5" s="8"/>
      <c r="C5" s="8"/>
      <c r="I5" s="8"/>
      <c r="J5" s="8"/>
      <c r="K5" s="8"/>
      <c r="L5" s="8"/>
      <c r="M5" s="8"/>
      <c r="N5" s="8"/>
      <c r="O5" s="8"/>
      <c r="P5" s="8"/>
      <c r="Q5" s="8"/>
      <c r="AB5" s="7"/>
    </row>
    <row r="6" spans="1:28" s="6" customFormat="1" ht="13">
      <c r="A6" s="8"/>
      <c r="B6" s="8"/>
      <c r="C6" s="8"/>
      <c r="I6" s="8"/>
      <c r="J6" s="8"/>
      <c r="K6" s="8"/>
      <c r="L6" s="8"/>
      <c r="M6" s="8"/>
      <c r="N6" s="8"/>
      <c r="O6" s="8"/>
      <c r="P6" s="8"/>
      <c r="Q6" s="8"/>
      <c r="AB6" s="7"/>
    </row>
    <row r="7" spans="1:28" s="6" customFormat="1" ht="13">
      <c r="A7" s="8"/>
      <c r="B7" s="8"/>
      <c r="C7" s="8"/>
      <c r="I7" s="8"/>
      <c r="J7" s="8"/>
      <c r="K7" s="8"/>
      <c r="L7" s="8"/>
      <c r="M7" s="8"/>
      <c r="N7" s="8"/>
      <c r="O7" s="8"/>
      <c r="P7" s="8"/>
      <c r="Q7" s="8"/>
      <c r="AB7" s="7"/>
    </row>
    <row r="8" spans="1:28" s="6" customFormat="1" ht="13">
      <c r="A8" s="8"/>
      <c r="B8" s="8"/>
      <c r="C8" s="8"/>
      <c r="I8" s="8"/>
      <c r="J8" s="8"/>
      <c r="K8" s="8"/>
      <c r="L8" s="8"/>
      <c r="M8" s="8"/>
      <c r="N8" s="8"/>
      <c r="O8" s="8"/>
      <c r="P8" s="8"/>
      <c r="Q8" s="8"/>
      <c r="AB8" s="7"/>
    </row>
    <row r="11" spans="1:28">
      <c r="A11" s="183" t="s">
        <v>50</v>
      </c>
      <c r="B11" s="37"/>
    </row>
    <row r="12" spans="1:28">
      <c r="A12" s="30"/>
      <c r="B12" s="38"/>
      <c r="C12" s="36"/>
    </row>
    <row r="13" spans="1:28">
      <c r="A13" s="30" t="s">
        <v>26</v>
      </c>
      <c r="B13" s="435" t="e">
        <f ca="1">'Cash Mgmt'!E34</f>
        <v>#NAME?</v>
      </c>
      <c r="C13" s="36"/>
    </row>
    <row r="14" spans="1:28">
      <c r="A14" s="30" t="s">
        <v>13216</v>
      </c>
      <c r="B14" s="1096">
        <f>SUMIF(NAV!G:G,"COUPON*",NAV!N:N)</f>
        <v>52520.05000000001</v>
      </c>
      <c r="C14" s="36"/>
    </row>
    <row r="15" spans="1:28" ht="15" thickBot="1">
      <c r="A15" s="30" t="s">
        <v>193</v>
      </c>
      <c r="B15" s="185">
        <f ca="1">'Cash Mgmt'!K57</f>
        <v>0</v>
      </c>
      <c r="C15" s="36"/>
    </row>
    <row r="16" spans="1:28" ht="15" thickBot="1">
      <c r="A16" s="42" t="s">
        <v>196</v>
      </c>
      <c r="B16" s="49" t="e">
        <f ca="1">SUM(B13:B15)</f>
        <v>#NAME?</v>
      </c>
      <c r="C16" s="27" t="s">
        <v>42</v>
      </c>
      <c r="D16" s="28">
        <f ca="1">TODAY()-1</f>
        <v>44893</v>
      </c>
    </row>
    <row r="17" spans="1:10">
      <c r="A17" s="30"/>
      <c r="B17" s="48"/>
      <c r="C17" s="36"/>
    </row>
    <row r="18" spans="1:10">
      <c r="A18" s="31" t="s">
        <v>138</v>
      </c>
      <c r="B18" s="297">
        <f ca="1">SUM(B19:B21)</f>
        <v>0</v>
      </c>
      <c r="C18" s="36"/>
    </row>
    <row r="19" spans="1:10">
      <c r="A19" s="30" t="s">
        <v>51</v>
      </c>
      <c r="B19" s="48">
        <f ca="1">SUMIF(TradesEquity!$B$11:$B$5717,(TODAY()),TradesEquity!$T11:$T5717)</f>
        <v>0</v>
      </c>
      <c r="C19" s="36"/>
    </row>
    <row r="20" spans="1:10">
      <c r="A20" s="30" t="s">
        <v>52</v>
      </c>
      <c r="B20" s="48">
        <f ca="1">SUMIF(TradesBond!$A$11:$A$65,(TODAY()),TradesBond!$Q$11:$Q$65)</f>
        <v>0</v>
      </c>
      <c r="C20" s="36"/>
      <c r="D20" s="1076"/>
    </row>
    <row r="21" spans="1:10">
      <c r="A21" s="30" t="s">
        <v>53</v>
      </c>
      <c r="B21" s="48">
        <f ca="1">SUMIF(TradesFundETF!$A$11:$A$91,(TODAY()),TradesFundETF!$P$11:$P$91)</f>
        <v>0</v>
      </c>
      <c r="C21" s="36"/>
    </row>
    <row r="22" spans="1:10">
      <c r="A22" s="30"/>
      <c r="B22" s="48"/>
      <c r="C22" s="36"/>
    </row>
    <row r="23" spans="1:10">
      <c r="A23" s="30"/>
      <c r="B23" s="48"/>
      <c r="C23" s="36"/>
    </row>
    <row r="24" spans="1:10">
      <c r="A24" s="31" t="s">
        <v>116</v>
      </c>
      <c r="B24" s="62">
        <f>SUM(B25:B45)</f>
        <v>-64062.090000000011</v>
      </c>
      <c r="C24" s="36"/>
    </row>
    <row r="25" spans="1:10">
      <c r="A25" s="30" t="s">
        <v>1121</v>
      </c>
      <c r="B25" s="63">
        <f>SUMIF(NAV!J:J,"AF101EUR*",NAV!N:N)</f>
        <v>-12896.37</v>
      </c>
      <c r="C25" s="36"/>
    </row>
    <row r="26" spans="1:10">
      <c r="A26" s="22" t="s">
        <v>1122</v>
      </c>
      <c r="B26" s="63">
        <f>SUMIF(NAV!J:J,"FA101EUR*",NAV!N:N)</f>
        <v>22428</v>
      </c>
      <c r="C26" s="36"/>
    </row>
    <row r="27" spans="1:10">
      <c r="A27" s="34" t="s">
        <v>1123</v>
      </c>
      <c r="B27" s="63">
        <f>SUMIF(NAV!J:J,"FP501*",NAV!N:N)</f>
        <v>-2892.55</v>
      </c>
      <c r="C27" s="36"/>
    </row>
    <row r="28" spans="1:10">
      <c r="A28" s="34" t="s">
        <v>12628</v>
      </c>
      <c r="B28" s="63">
        <f>SUMIF(NAV!J:J,"FP911*",NAV!N:N)</f>
        <v>0</v>
      </c>
      <c r="D28" s="25"/>
      <c r="E28" s="458"/>
      <c r="F28" s="458"/>
      <c r="G28" s="22"/>
      <c r="H28" s="22"/>
    </row>
    <row r="29" spans="1:10">
      <c r="A29" s="34" t="s">
        <v>2131</v>
      </c>
      <c r="B29" s="63">
        <f>SUMIF(NAV!J:J,"FP402*",NAV!N:N)</f>
        <v>-88.1</v>
      </c>
      <c r="C29" s="36"/>
      <c r="G29" s="461"/>
      <c r="H29" s="461"/>
    </row>
    <row r="30" spans="1:10">
      <c r="A30" s="22" t="s">
        <v>1124</v>
      </c>
      <c r="B30" s="1091">
        <f>SUMIF(NAV!J:J,"FP801*",NAV!N:N)</f>
        <v>-13330.52</v>
      </c>
      <c r="C30" s="36"/>
      <c r="G30" s="295"/>
      <c r="H30" s="295"/>
    </row>
    <row r="31" spans="1:10">
      <c r="A31" s="34" t="s">
        <v>1125</v>
      </c>
      <c r="B31" s="1091">
        <f>SUMIF(NAV!J:J,"FP301*",NAV!N:N)</f>
        <v>-53681.710000000006</v>
      </c>
      <c r="C31" s="36"/>
      <c r="G31" s="428"/>
      <c r="H31" s="428"/>
      <c r="J31" s="1076"/>
    </row>
    <row r="32" spans="1:10">
      <c r="A32" s="34" t="s">
        <v>1126</v>
      </c>
      <c r="B32" s="1091">
        <f>SUMIF(NAV!J:J,"FP306*",NAV!N:N)</f>
        <v>-114.28</v>
      </c>
      <c r="C32" s="36"/>
    </row>
    <row r="33" spans="1:9">
      <c r="A33" s="34" t="s">
        <v>1233</v>
      </c>
      <c r="B33" s="63">
        <f>SUMIF(NAV!J:J,"FP401*",NAV!N:N)</f>
        <v>0</v>
      </c>
      <c r="C33" s="36"/>
    </row>
    <row r="34" spans="1:9">
      <c r="A34" s="34" t="s">
        <v>1127</v>
      </c>
      <c r="B34" s="1091">
        <f>SUMIF(NAV!J:J,"FP225*",NAV!N:N)</f>
        <v>-1367.98</v>
      </c>
      <c r="C34" s="36"/>
    </row>
    <row r="35" spans="1:9">
      <c r="A35" s="34" t="s">
        <v>12629</v>
      </c>
      <c r="B35" s="1091">
        <f>SUMIF(NAV!J:J,"FP914*",NAV!N:N)</f>
        <v>0</v>
      </c>
      <c r="C35" s="36"/>
      <c r="G35" s="469"/>
      <c r="H35" s="469"/>
    </row>
    <row r="36" spans="1:9">
      <c r="A36" s="30" t="s">
        <v>1128</v>
      </c>
      <c r="B36" s="1091">
        <f>SUMIF(NAV!J:J,"FP219*",NAV!N:N)</f>
        <v>-779.75</v>
      </c>
      <c r="C36" s="36"/>
      <c r="G36" s="466"/>
      <c r="H36" s="466"/>
    </row>
    <row r="37" spans="1:9">
      <c r="A37" s="34" t="s">
        <v>1129</v>
      </c>
      <c r="B37" s="1091">
        <f>SUMIF(NAV!J:J,"FP603*",NAV!N:N)</f>
        <v>-1338.83</v>
      </c>
      <c r="C37" s="36"/>
      <c r="G37" s="461"/>
      <c r="H37" s="461"/>
    </row>
    <row r="38" spans="1:9">
      <c r="A38" s="475" t="s">
        <v>12887</v>
      </c>
      <c r="B38" s="63">
        <f>SUMIF(NAV!J:J,"PF402*",NAV!N:N)</f>
        <v>0</v>
      </c>
      <c r="C38" s="36"/>
      <c r="G38" s="1090"/>
      <c r="H38" s="1090"/>
    </row>
    <row r="39" spans="1:9">
      <c r="A39" s="475" t="s">
        <v>1126</v>
      </c>
      <c r="B39" s="1091">
        <f>SUMIF(NAV!J:J,"PF306*",NAV!N:N)</f>
        <v>0</v>
      </c>
      <c r="C39" s="36"/>
      <c r="G39" s="450"/>
      <c r="H39" s="450"/>
    </row>
    <row r="40" spans="1:9">
      <c r="A40" s="475" t="s">
        <v>12764</v>
      </c>
      <c r="B40" s="1091">
        <f>SUMIF(NAV!J:J,"PF801*",NAV!N:N)</f>
        <v>0</v>
      </c>
      <c r="C40" s="29"/>
      <c r="G40" s="463"/>
      <c r="H40" s="463"/>
    </row>
    <row r="41" spans="1:9">
      <c r="A41" s="475" t="s">
        <v>12763</v>
      </c>
      <c r="B41" s="1091">
        <f>SUMIF(NAV!J:J,"PF301*",NAV!N:N)</f>
        <v>0</v>
      </c>
      <c r="C41" s="36"/>
      <c r="G41" s="434"/>
      <c r="H41" s="434"/>
    </row>
    <row r="42" spans="1:9">
      <c r="A42" s="475" t="s">
        <v>12888</v>
      </c>
      <c r="B42" s="63">
        <f>SUMIF(NAV!J:J,"pf401*",NAV!N:N)</f>
        <v>0</v>
      </c>
      <c r="C42" s="36"/>
      <c r="G42" s="1090"/>
      <c r="H42" s="1090"/>
    </row>
    <row r="43" spans="1:9">
      <c r="A43" s="475" t="s">
        <v>12767</v>
      </c>
      <c r="B43" s="1091">
        <f>SUMIF(NAV!J:J,"PF603*",NAV!N:N)</f>
        <v>0</v>
      </c>
      <c r="C43" s="36"/>
      <c r="G43" s="457"/>
      <c r="H43" s="457"/>
    </row>
    <row r="44" spans="1:9">
      <c r="A44" s="475" t="s">
        <v>12868</v>
      </c>
      <c r="B44" s="1091">
        <f>SUMIF(NAV!J:J,"PH225*",NAV!N:N)</f>
        <v>0</v>
      </c>
      <c r="C44" s="36"/>
      <c r="G44" s="434"/>
      <c r="H44" s="434"/>
      <c r="I44" s="1076"/>
    </row>
    <row r="45" spans="1:9">
      <c r="A45" s="475" t="s">
        <v>12869</v>
      </c>
      <c r="B45" s="1091">
        <f>SUMIF(NAV!J:J,"PF501*",NAV!N:N)</f>
        <v>0</v>
      </c>
      <c r="C45" s="36"/>
      <c r="G45" s="434"/>
      <c r="H45" s="434"/>
    </row>
    <row r="46" spans="1:9">
      <c r="A46" s="30"/>
      <c r="B46" s="48"/>
      <c r="C46" s="36"/>
      <c r="G46" s="434"/>
      <c r="H46" s="434"/>
    </row>
    <row r="47" spans="1:9">
      <c r="A47" s="78" t="s">
        <v>12894</v>
      </c>
      <c r="B47" s="48" t="e">
        <f ca="1">'Cash Mgmt'!E33</f>
        <v>#NAME?</v>
      </c>
      <c r="C47" s="36"/>
      <c r="G47" s="434"/>
      <c r="H47" s="434"/>
    </row>
    <row r="48" spans="1:9">
      <c r="A48" s="296"/>
      <c r="B48" s="48"/>
      <c r="C48" s="36"/>
      <c r="G48" s="434"/>
      <c r="H48" s="434"/>
    </row>
    <row r="49" spans="1:8" ht="16">
      <c r="A49" s="30"/>
      <c r="B49" s="293">
        <v>0</v>
      </c>
      <c r="C49" s="36"/>
      <c r="G49" s="434"/>
      <c r="H49" s="434"/>
    </row>
    <row r="50" spans="1:8" ht="15" thickBot="1">
      <c r="B50" s="62">
        <v>0</v>
      </c>
      <c r="C50" s="36"/>
    </row>
    <row r="51" spans="1:8" ht="15" thickBot="1">
      <c r="A51" s="42" t="s">
        <v>61</v>
      </c>
      <c r="B51" s="49"/>
      <c r="C51" s="36"/>
    </row>
    <row r="52" spans="1:8" ht="15" thickBot="1">
      <c r="A52" s="30"/>
      <c r="B52" s="49" t="e">
        <f ca="1">SUM(B16,B18,B24)+B47</f>
        <v>#NAME?</v>
      </c>
      <c r="C52" s="36"/>
    </row>
    <row r="53" spans="1:8">
      <c r="A53" s="30"/>
      <c r="B53" s="39"/>
      <c r="C53" s="27" t="s">
        <v>42</v>
      </c>
      <c r="D53" s="28">
        <f ca="1">TODAY()</f>
        <v>44894</v>
      </c>
    </row>
    <row r="54" spans="1:8">
      <c r="A54" s="30"/>
      <c r="B54" s="39"/>
      <c r="C54" s="36"/>
    </row>
    <row r="55" spans="1:8">
      <c r="A55" s="30"/>
      <c r="B55" s="39"/>
      <c r="C55" s="36"/>
    </row>
    <row r="56" spans="1:8">
      <c r="A56" s="30"/>
      <c r="B56" s="39"/>
      <c r="C56" s="36"/>
    </row>
    <row r="57" spans="1:8">
      <c r="A57" s="30"/>
      <c r="B57" s="39"/>
      <c r="C57" s="36"/>
    </row>
    <row r="58" spans="1:8">
      <c r="A58" s="30"/>
      <c r="B58" s="39"/>
      <c r="C58" s="36"/>
    </row>
    <row r="59" spans="1:8">
      <c r="A59" s="30"/>
      <c r="B59" s="39"/>
      <c r="C59" s="36"/>
    </row>
    <row r="60" spans="1:8">
      <c r="A60" s="30"/>
      <c r="B60" s="39"/>
      <c r="C60" s="36"/>
    </row>
    <row r="61" spans="1:8">
      <c r="B61" s="39"/>
      <c r="C61" s="36"/>
    </row>
    <row r="62" spans="1:8">
      <c r="B62" s="39"/>
      <c r="C62" s="36"/>
    </row>
    <row r="63" spans="1:8">
      <c r="A63" s="64"/>
      <c r="C63" s="36"/>
    </row>
    <row r="64" spans="1:8">
      <c r="B64" s="22"/>
    </row>
    <row r="65" spans="1:9">
      <c r="B65" s="44"/>
    </row>
    <row r="66" spans="1:9">
      <c r="B66" s="45"/>
      <c r="C66" s="27"/>
      <c r="D66" s="28"/>
    </row>
    <row r="67" spans="1:9">
      <c r="A67" s="30"/>
      <c r="B67" s="46"/>
    </row>
    <row r="68" spans="1:9">
      <c r="A68" s="30"/>
      <c r="B68" s="46"/>
      <c r="C68" s="29"/>
      <c r="D68" s="39"/>
      <c r="E68" s="65"/>
      <c r="H68" s="66"/>
    </row>
    <row r="69" spans="1:9">
      <c r="A69" s="30"/>
      <c r="B69" s="43"/>
      <c r="C69" s="29"/>
      <c r="D69" s="39"/>
      <c r="E69" s="65"/>
      <c r="H69" s="66"/>
    </row>
    <row r="70" spans="1:9">
      <c r="A70" s="30"/>
      <c r="B70" s="43"/>
    </row>
    <row r="71" spans="1:9">
      <c r="A71" s="30"/>
      <c r="B71" s="43"/>
    </row>
    <row r="72" spans="1:9">
      <c r="A72" s="31"/>
      <c r="B72" s="43"/>
    </row>
    <row r="73" spans="1:9">
      <c r="B73" s="43"/>
    </row>
    <row r="74" spans="1:9">
      <c r="A74" s="30"/>
      <c r="B74" s="44"/>
    </row>
    <row r="75" spans="1:9">
      <c r="A75" s="34"/>
      <c r="B75" s="43"/>
      <c r="C75" s="67"/>
      <c r="D75" s="64"/>
      <c r="E75" s="67"/>
      <c r="F75" s="68"/>
      <c r="G75" s="69"/>
      <c r="H75" s="70"/>
      <c r="I75" s="31"/>
    </row>
    <row r="76" spans="1:9">
      <c r="A76" s="30"/>
      <c r="B76" s="43"/>
      <c r="F76" s="32"/>
      <c r="H76" s="33"/>
    </row>
    <row r="77" spans="1:9">
      <c r="A77" s="30"/>
      <c r="B77" s="47"/>
      <c r="F77" s="33"/>
      <c r="G77" s="65"/>
    </row>
    <row r="78" spans="1:9">
      <c r="A78" s="31"/>
      <c r="B78" s="46"/>
      <c r="F78" s="33"/>
      <c r="G78" s="65"/>
    </row>
    <row r="79" spans="1:9">
      <c r="A79" s="31"/>
      <c r="B79" s="45"/>
      <c r="C79" s="35"/>
      <c r="D79" s="71"/>
      <c r="F79" s="33"/>
      <c r="G79" s="72"/>
    </row>
    <row r="80" spans="1:9">
      <c r="A80" s="31"/>
      <c r="B80" s="44"/>
      <c r="F80" s="33"/>
    </row>
    <row r="81" spans="1:9">
      <c r="B81" s="46"/>
      <c r="C81" s="67"/>
      <c r="D81" s="64"/>
      <c r="E81" s="67"/>
      <c r="F81" s="67"/>
      <c r="G81" s="69"/>
      <c r="H81" s="69"/>
      <c r="I81" s="31"/>
    </row>
    <row r="82" spans="1:9">
      <c r="A82" s="30"/>
      <c r="B82" s="73"/>
      <c r="C82" s="67"/>
      <c r="D82" s="64"/>
      <c r="E82" s="67"/>
      <c r="F82" s="67"/>
      <c r="G82" s="69"/>
      <c r="H82" s="69"/>
      <c r="I82" s="31"/>
    </row>
    <row r="83" spans="1:9" ht="16">
      <c r="A83" s="30"/>
      <c r="B83" s="22"/>
      <c r="C83" s="27"/>
      <c r="D83" s="28"/>
      <c r="E83" s="74"/>
      <c r="F83" s="69"/>
      <c r="G83" s="74"/>
      <c r="H83" s="69"/>
      <c r="I83" s="31"/>
    </row>
    <row r="84" spans="1:9">
      <c r="A84" s="30"/>
      <c r="B84" s="39"/>
      <c r="C84" s="26"/>
      <c r="D84" s="22"/>
      <c r="F84" s="65"/>
      <c r="G84" s="75"/>
    </row>
    <row r="85" spans="1:9">
      <c r="A85" s="30"/>
      <c r="B85" s="39"/>
      <c r="C85" s="36"/>
    </row>
    <row r="86" spans="1:9">
      <c r="A86" s="30"/>
      <c r="B86" s="39"/>
      <c r="C86" s="36"/>
    </row>
    <row r="87" spans="1:9">
      <c r="A87" s="30"/>
      <c r="B87" s="39"/>
      <c r="C87" s="36"/>
    </row>
    <row r="88" spans="1:9">
      <c r="A88" s="30"/>
      <c r="B88" s="39"/>
      <c r="C88" s="36"/>
    </row>
    <row r="89" spans="1:9">
      <c r="A89" s="30"/>
      <c r="B89" s="39"/>
      <c r="C89" s="36"/>
    </row>
    <row r="90" spans="1:9">
      <c r="A90" s="30"/>
      <c r="B90" s="39"/>
      <c r="C90" s="36"/>
    </row>
    <row r="91" spans="1:9">
      <c r="A91" s="30"/>
      <c r="B91" s="39"/>
      <c r="C91" s="36"/>
    </row>
    <row r="92" spans="1:9">
      <c r="A92" s="30"/>
      <c r="B92" s="39"/>
      <c r="C92" s="36"/>
    </row>
    <row r="93" spans="1:9">
      <c r="A93" s="30"/>
      <c r="B93" s="39"/>
      <c r="C93" s="36"/>
    </row>
    <row r="94" spans="1:9">
      <c r="A94" s="30"/>
      <c r="B94" s="39"/>
      <c r="C94" s="36"/>
    </row>
    <row r="95" spans="1:9">
      <c r="A95" s="30"/>
      <c r="B95" s="39"/>
      <c r="C95" s="36"/>
    </row>
    <row r="96" spans="1:9">
      <c r="A96" s="30"/>
      <c r="B96" s="39"/>
      <c r="C96" s="36"/>
    </row>
    <row r="97" spans="1:3">
      <c r="A97" s="30"/>
      <c r="B97" s="39"/>
      <c r="C97" s="36"/>
    </row>
    <row r="98" spans="1:3">
      <c r="A98" s="30"/>
      <c r="B98" s="39"/>
      <c r="C98" s="36"/>
    </row>
    <row r="99" spans="1:3">
      <c r="A99" s="30"/>
      <c r="B99" s="39"/>
      <c r="C99" s="36"/>
    </row>
    <row r="100" spans="1:3">
      <c r="A100" s="30"/>
      <c r="B100" s="39"/>
      <c r="C100" s="36"/>
    </row>
    <row r="101" spans="1:3">
      <c r="A101" s="30"/>
      <c r="B101" s="39"/>
      <c r="C101" s="36"/>
    </row>
    <row r="102" spans="1:3">
      <c r="A102" s="30"/>
      <c r="B102" s="39"/>
      <c r="C102" s="36"/>
    </row>
    <row r="103" spans="1:3">
      <c r="A103" s="30"/>
      <c r="B103" s="39"/>
      <c r="C103" s="36"/>
    </row>
    <row r="104" spans="1:3">
      <c r="A104" s="30"/>
      <c r="B104" s="39"/>
      <c r="C104" s="36"/>
    </row>
    <row r="105" spans="1:3">
      <c r="A105" s="30"/>
      <c r="B105" s="39"/>
      <c r="C105" s="36"/>
    </row>
    <row r="106" spans="1:3">
      <c r="A106" s="30"/>
      <c r="B106" s="39"/>
      <c r="C106" s="36"/>
    </row>
    <row r="107" spans="1:3">
      <c r="A107" s="30"/>
      <c r="B107" s="39"/>
      <c r="C107" s="36"/>
    </row>
    <row r="108" spans="1:3">
      <c r="A108" s="30"/>
      <c r="B108" s="39"/>
      <c r="C108" s="36"/>
    </row>
    <row r="109" spans="1:3">
      <c r="A109" s="30"/>
      <c r="B109" s="39"/>
      <c r="C109" s="36"/>
    </row>
    <row r="110" spans="1:3">
      <c r="A110" s="30"/>
      <c r="B110" s="39"/>
      <c r="C110" s="36"/>
    </row>
    <row r="111" spans="1:3">
      <c r="A111" s="30"/>
      <c r="B111" s="39"/>
      <c r="C111" s="36"/>
    </row>
    <row r="112" spans="1:3">
      <c r="A112" s="30"/>
      <c r="B112" s="39"/>
      <c r="C112" s="36"/>
    </row>
    <row r="113" spans="1:3">
      <c r="A113" s="30"/>
      <c r="B113" s="39"/>
      <c r="C113" s="36"/>
    </row>
    <row r="114" spans="1:3">
      <c r="A114" s="30"/>
      <c r="B114" s="39"/>
      <c r="C114" s="36"/>
    </row>
    <row r="115" spans="1:3">
      <c r="A115" s="30"/>
      <c r="B115" s="39"/>
      <c r="C115" s="36"/>
    </row>
    <row r="116" spans="1:3">
      <c r="A116" s="30"/>
      <c r="B116" s="39"/>
      <c r="C116" s="36"/>
    </row>
    <row r="117" spans="1:3">
      <c r="A117" s="30"/>
      <c r="B117" s="39"/>
      <c r="C117" s="36"/>
    </row>
    <row r="118" spans="1:3">
      <c r="A118" s="30"/>
      <c r="B118" s="39"/>
      <c r="C118" s="36"/>
    </row>
    <row r="119" spans="1:3">
      <c r="A119" s="30"/>
      <c r="B119" s="39"/>
      <c r="C119" s="36"/>
    </row>
    <row r="120" spans="1:3">
      <c r="A120" s="30"/>
      <c r="B120" s="39"/>
      <c r="C120" s="36"/>
    </row>
    <row r="121" spans="1:3">
      <c r="A121" s="30"/>
      <c r="B121" s="39"/>
      <c r="C121" s="36"/>
    </row>
    <row r="122" spans="1:3">
      <c r="A122" s="30"/>
      <c r="B122" s="39"/>
      <c r="C122" s="36"/>
    </row>
    <row r="123" spans="1:3">
      <c r="A123" s="30"/>
      <c r="B123" s="39"/>
      <c r="C123" s="36"/>
    </row>
    <row r="124" spans="1:3">
      <c r="A124" s="30"/>
      <c r="B124" s="39"/>
      <c r="C124" s="36"/>
    </row>
    <row r="125" spans="1:3">
      <c r="A125" s="30"/>
      <c r="B125" s="39"/>
      <c r="C125" s="36"/>
    </row>
    <row r="126" spans="1:3">
      <c r="A126" s="30"/>
      <c r="B126" s="39"/>
      <c r="C126" s="36"/>
    </row>
    <row r="127" spans="1:3">
      <c r="A127" s="30"/>
      <c r="B127" s="39"/>
      <c r="C127" s="36"/>
    </row>
    <row r="128" spans="1:3">
      <c r="A128" s="30"/>
      <c r="B128" s="39"/>
      <c r="C128" s="36"/>
    </row>
    <row r="129" spans="1:3">
      <c r="A129" s="30"/>
      <c r="B129" s="39"/>
      <c r="C129" s="36"/>
    </row>
    <row r="130" spans="1:3">
      <c r="A130" s="30"/>
      <c r="B130" s="39"/>
      <c r="C130" s="36"/>
    </row>
    <row r="131" spans="1:3">
      <c r="A131" s="30"/>
      <c r="B131" s="39"/>
      <c r="C131" s="36"/>
    </row>
    <row r="132" spans="1:3">
      <c r="A132" s="30"/>
      <c r="B132" s="39"/>
      <c r="C132" s="36"/>
    </row>
    <row r="133" spans="1:3">
      <c r="A133" s="30"/>
      <c r="B133" s="39"/>
      <c r="C133" s="36"/>
    </row>
    <row r="134" spans="1:3">
      <c r="A134" s="30"/>
      <c r="B134" s="39"/>
      <c r="C134" s="36"/>
    </row>
    <row r="135" spans="1:3">
      <c r="A135" s="30"/>
      <c r="B135" s="39"/>
      <c r="C135" s="36"/>
    </row>
    <row r="136" spans="1:3">
      <c r="A136" s="30"/>
      <c r="B136" s="39"/>
      <c r="C136" s="36"/>
    </row>
    <row r="137" spans="1:3">
      <c r="A137" s="30"/>
      <c r="B137" s="39"/>
      <c r="C137" s="36"/>
    </row>
    <row r="138" spans="1:3">
      <c r="A138" s="30"/>
      <c r="B138" s="39"/>
      <c r="C138" s="36"/>
    </row>
    <row r="139" spans="1:3">
      <c r="A139" s="30"/>
      <c r="B139" s="39"/>
      <c r="C139" s="36"/>
    </row>
    <row r="140" spans="1:3">
      <c r="A140" s="30"/>
      <c r="B140" s="39"/>
      <c r="C140" s="36"/>
    </row>
    <row r="141" spans="1:3">
      <c r="A141" s="30"/>
      <c r="B141" s="39"/>
      <c r="C141" s="36"/>
    </row>
    <row r="142" spans="1:3">
      <c r="A142" s="30"/>
      <c r="B142" s="39"/>
      <c r="C142" s="36"/>
    </row>
    <row r="143" spans="1:3">
      <c r="A143" s="30"/>
      <c r="B143" s="39"/>
      <c r="C143" s="36"/>
    </row>
    <row r="144" spans="1:3">
      <c r="A144" s="30"/>
      <c r="B144" s="39"/>
      <c r="C144" s="36"/>
    </row>
    <row r="145" spans="1:3">
      <c r="A145" s="30"/>
      <c r="B145" s="39"/>
      <c r="C145" s="36"/>
    </row>
    <row r="146" spans="1:3">
      <c r="A146" s="30"/>
      <c r="B146" s="39"/>
      <c r="C146" s="36"/>
    </row>
    <row r="147" spans="1:3">
      <c r="A147" s="30"/>
      <c r="B147" s="39"/>
      <c r="C147" s="36"/>
    </row>
    <row r="148" spans="1:3">
      <c r="A148" s="30"/>
      <c r="B148" s="39"/>
      <c r="C148" s="36"/>
    </row>
    <row r="149" spans="1:3">
      <c r="A149" s="30"/>
      <c r="B149" s="39"/>
      <c r="C149" s="36"/>
    </row>
    <row r="150" spans="1:3">
      <c r="A150" s="30"/>
      <c r="B150" s="39"/>
      <c r="C150" s="36"/>
    </row>
    <row r="151" spans="1:3">
      <c r="A151" s="30"/>
      <c r="B151" s="39"/>
      <c r="C151" s="36"/>
    </row>
    <row r="152" spans="1:3">
      <c r="A152" s="30"/>
      <c r="B152" s="39"/>
      <c r="C152" s="36"/>
    </row>
    <row r="153" spans="1:3">
      <c r="A153" s="30"/>
      <c r="B153" s="39"/>
      <c r="C153" s="36"/>
    </row>
    <row r="154" spans="1:3">
      <c r="A154" s="30"/>
      <c r="B154" s="39"/>
      <c r="C154" s="36"/>
    </row>
    <row r="155" spans="1:3">
      <c r="A155" s="30"/>
      <c r="B155" s="39"/>
      <c r="C155" s="36"/>
    </row>
    <row r="156" spans="1:3">
      <c r="A156" s="30"/>
      <c r="B156" s="39"/>
      <c r="C156" s="36"/>
    </row>
    <row r="157" spans="1:3">
      <c r="A157" s="30"/>
      <c r="B157" s="39"/>
      <c r="C157" s="36"/>
    </row>
    <row r="158" spans="1:3">
      <c r="A158" s="30"/>
      <c r="B158" s="39"/>
      <c r="C158" s="36"/>
    </row>
    <row r="159" spans="1:3">
      <c r="A159" s="30"/>
      <c r="B159" s="39"/>
      <c r="C159" s="36"/>
    </row>
    <row r="160" spans="1:3">
      <c r="A160" s="30"/>
      <c r="B160" s="39"/>
      <c r="C160" s="36"/>
    </row>
    <row r="161" spans="1:3">
      <c r="A161" s="30"/>
      <c r="B161" s="39"/>
      <c r="C161" s="36"/>
    </row>
    <row r="162" spans="1:3">
      <c r="A162" s="30"/>
      <c r="B162" s="39"/>
      <c r="C162" s="36"/>
    </row>
    <row r="163" spans="1:3">
      <c r="A163" s="30"/>
      <c r="B163" s="39"/>
      <c r="C163" s="36"/>
    </row>
    <row r="164" spans="1:3">
      <c r="A164" s="30"/>
      <c r="B164" s="39"/>
      <c r="C164" s="36"/>
    </row>
    <row r="165" spans="1:3">
      <c r="A165" s="30"/>
      <c r="B165" s="39"/>
      <c r="C165" s="36"/>
    </row>
    <row r="166" spans="1:3">
      <c r="A166" s="30"/>
      <c r="B166" s="39"/>
      <c r="C166" s="36"/>
    </row>
    <row r="167" spans="1:3">
      <c r="A167" s="30"/>
      <c r="B167" s="39"/>
      <c r="C167" s="36"/>
    </row>
    <row r="168" spans="1:3">
      <c r="A168" s="30"/>
      <c r="B168" s="39"/>
      <c r="C168" s="36"/>
    </row>
    <row r="169" spans="1:3">
      <c r="A169" s="30"/>
      <c r="B169" s="39"/>
      <c r="C169" s="36"/>
    </row>
    <row r="170" spans="1:3">
      <c r="A170" s="30"/>
      <c r="B170" s="39"/>
      <c r="C170" s="36"/>
    </row>
    <row r="171" spans="1:3">
      <c r="A171" s="30"/>
      <c r="B171" s="39"/>
      <c r="C171" s="36"/>
    </row>
    <row r="172" spans="1:3">
      <c r="A172" s="30"/>
      <c r="B172" s="39"/>
      <c r="C172" s="36"/>
    </row>
    <row r="173" spans="1:3">
      <c r="A173" s="30"/>
      <c r="B173" s="39"/>
      <c r="C173" s="36"/>
    </row>
    <row r="174" spans="1:3">
      <c r="A174" s="30"/>
      <c r="B174" s="39"/>
      <c r="C174" s="36"/>
    </row>
    <row r="175" spans="1:3">
      <c r="A175" s="30"/>
      <c r="B175" s="39"/>
      <c r="C175" s="36"/>
    </row>
    <row r="176" spans="1:3">
      <c r="A176" s="30"/>
      <c r="B176" s="39"/>
      <c r="C176" s="36"/>
    </row>
    <row r="177" spans="1:3">
      <c r="A177" s="30"/>
      <c r="B177" s="39"/>
      <c r="C177" s="36"/>
    </row>
    <row r="178" spans="1:3">
      <c r="A178" s="30"/>
      <c r="B178" s="39"/>
      <c r="C178" s="36"/>
    </row>
    <row r="179" spans="1:3">
      <c r="A179" s="30"/>
      <c r="B179" s="39"/>
      <c r="C179" s="36"/>
    </row>
    <row r="180" spans="1:3">
      <c r="A180" s="30"/>
      <c r="B180" s="39"/>
      <c r="C180" s="36"/>
    </row>
    <row r="181" spans="1:3">
      <c r="A181" s="30"/>
      <c r="B181" s="39"/>
      <c r="C181" s="36"/>
    </row>
    <row r="182" spans="1:3">
      <c r="A182" s="30"/>
      <c r="B182" s="39"/>
      <c r="C182" s="36"/>
    </row>
    <row r="183" spans="1:3">
      <c r="A183" s="30"/>
      <c r="B183" s="39"/>
      <c r="C183" s="36"/>
    </row>
    <row r="184" spans="1:3">
      <c r="A184" s="30"/>
      <c r="B184" s="39"/>
      <c r="C184" s="36"/>
    </row>
    <row r="185" spans="1:3">
      <c r="A185" s="30"/>
      <c r="B185" s="39"/>
      <c r="C185" s="36"/>
    </row>
    <row r="186" spans="1:3">
      <c r="A186" s="30"/>
      <c r="B186" s="39"/>
      <c r="C186" s="36"/>
    </row>
    <row r="187" spans="1:3">
      <c r="A187" s="30"/>
      <c r="B187" s="39"/>
      <c r="C187" s="36"/>
    </row>
    <row r="188" spans="1:3">
      <c r="A188" s="30"/>
      <c r="B188" s="39"/>
      <c r="C188" s="36"/>
    </row>
    <row r="189" spans="1:3">
      <c r="A189" s="30"/>
      <c r="B189" s="39"/>
      <c r="C189" s="36"/>
    </row>
    <row r="190" spans="1:3">
      <c r="A190" s="30"/>
      <c r="B190" s="39"/>
      <c r="C190" s="36"/>
    </row>
    <row r="191" spans="1:3">
      <c r="A191" s="30"/>
      <c r="B191" s="39"/>
      <c r="C191" s="36"/>
    </row>
    <row r="192" spans="1:3">
      <c r="A192" s="30"/>
      <c r="B192" s="39"/>
      <c r="C192" s="36"/>
    </row>
    <row r="193" spans="1:3">
      <c r="A193" s="30"/>
      <c r="B193" s="39"/>
      <c r="C193" s="36"/>
    </row>
    <row r="194" spans="1:3">
      <c r="A194" s="30"/>
      <c r="B194" s="39"/>
      <c r="C194" s="36"/>
    </row>
    <row r="195" spans="1:3">
      <c r="A195" s="30"/>
      <c r="B195" s="39"/>
      <c r="C195" s="36"/>
    </row>
    <row r="196" spans="1:3">
      <c r="A196" s="30"/>
      <c r="B196" s="39"/>
      <c r="C196" s="36"/>
    </row>
    <row r="197" spans="1:3">
      <c r="A197" s="30"/>
      <c r="B197" s="39"/>
      <c r="C197" s="36"/>
    </row>
    <row r="198" spans="1:3">
      <c r="A198" s="30"/>
      <c r="B198" s="39"/>
      <c r="C198" s="36"/>
    </row>
    <row r="199" spans="1:3">
      <c r="A199" s="30"/>
      <c r="B199" s="39"/>
      <c r="C199" s="36"/>
    </row>
    <row r="200" spans="1:3">
      <c r="A200" s="30"/>
      <c r="B200" s="39"/>
      <c r="C200" s="36"/>
    </row>
    <row r="201" spans="1:3">
      <c r="A201" s="30"/>
      <c r="B201" s="39"/>
      <c r="C201" s="36"/>
    </row>
    <row r="202" spans="1:3">
      <c r="A202" s="30"/>
      <c r="B202" s="39"/>
      <c r="C202" s="36"/>
    </row>
    <row r="203" spans="1:3">
      <c r="A203" s="30"/>
      <c r="B203" s="39"/>
      <c r="C203" s="36"/>
    </row>
    <row r="204" spans="1:3">
      <c r="A204" s="30"/>
      <c r="B204" s="39"/>
      <c r="C204" s="36"/>
    </row>
    <row r="205" spans="1:3">
      <c r="A205" s="30"/>
      <c r="B205" s="39"/>
      <c r="C205" s="36"/>
    </row>
    <row r="206" spans="1:3">
      <c r="A206" s="30"/>
      <c r="B206" s="39"/>
      <c r="C206" s="36"/>
    </row>
    <row r="207" spans="1:3">
      <c r="A207" s="30"/>
      <c r="B207" s="39"/>
      <c r="C207" s="36"/>
    </row>
    <row r="208" spans="1:3">
      <c r="A208" s="30"/>
      <c r="B208" s="39"/>
      <c r="C208" s="36"/>
    </row>
    <row r="209" spans="1:3">
      <c r="A209" s="30"/>
      <c r="B209" s="39"/>
      <c r="C209" s="36"/>
    </row>
    <row r="210" spans="1:3">
      <c r="A210" s="30"/>
      <c r="B210" s="39"/>
      <c r="C210" s="36"/>
    </row>
    <row r="211" spans="1:3">
      <c r="A211" s="30"/>
      <c r="B211" s="39"/>
      <c r="C211" s="36"/>
    </row>
    <row r="212" spans="1:3">
      <c r="A212" s="30"/>
      <c r="B212" s="39"/>
      <c r="C212" s="36"/>
    </row>
    <row r="213" spans="1:3">
      <c r="A213" s="30"/>
      <c r="B213" s="39"/>
      <c r="C213" s="36"/>
    </row>
    <row r="214" spans="1:3">
      <c r="A214" s="30"/>
      <c r="B214" s="39"/>
      <c r="C214" s="36"/>
    </row>
    <row r="215" spans="1:3">
      <c r="A215" s="30"/>
      <c r="B215" s="39"/>
      <c r="C215" s="36"/>
    </row>
    <row r="216" spans="1:3">
      <c r="A216" s="30"/>
      <c r="B216" s="39"/>
      <c r="C216" s="36"/>
    </row>
    <row r="217" spans="1:3">
      <c r="A217" s="30"/>
      <c r="B217" s="39"/>
      <c r="C217" s="36"/>
    </row>
    <row r="218" spans="1:3">
      <c r="A218" s="30"/>
      <c r="B218" s="39"/>
      <c r="C218" s="36"/>
    </row>
    <row r="219" spans="1:3">
      <c r="A219" s="30"/>
      <c r="B219" s="39"/>
      <c r="C219" s="36"/>
    </row>
    <row r="220" spans="1:3">
      <c r="A220" s="30"/>
      <c r="B220" s="39"/>
      <c r="C220" s="36"/>
    </row>
    <row r="221" spans="1:3">
      <c r="A221" s="30"/>
      <c r="B221" s="39"/>
      <c r="C221" s="36"/>
    </row>
    <row r="222" spans="1:3">
      <c r="A222" s="30"/>
      <c r="B222" s="39"/>
      <c r="C222" s="36"/>
    </row>
    <row r="223" spans="1:3">
      <c r="A223" s="30"/>
      <c r="B223" s="39"/>
      <c r="C223" s="36"/>
    </row>
    <row r="224" spans="1:3">
      <c r="A224" s="30"/>
      <c r="B224" s="39"/>
      <c r="C224" s="36"/>
    </row>
    <row r="225" spans="1:3">
      <c r="A225" s="30"/>
      <c r="B225" s="39"/>
      <c r="C225" s="36"/>
    </row>
    <row r="226" spans="1:3">
      <c r="A226" s="30"/>
      <c r="B226" s="39"/>
      <c r="C226" s="36"/>
    </row>
    <row r="227" spans="1:3">
      <c r="A227" s="30"/>
      <c r="B227" s="39"/>
      <c r="C227" s="36"/>
    </row>
    <row r="228" spans="1:3">
      <c r="A228" s="30"/>
      <c r="B228" s="39"/>
      <c r="C228" s="36"/>
    </row>
    <row r="229" spans="1:3">
      <c r="A229" s="30"/>
      <c r="B229" s="39"/>
      <c r="C229" s="36"/>
    </row>
    <row r="230" spans="1:3">
      <c r="A230" s="30"/>
      <c r="B230" s="39"/>
      <c r="C230" s="36"/>
    </row>
    <row r="231" spans="1:3">
      <c r="A231" s="30"/>
      <c r="B231" s="39"/>
      <c r="C231" s="36"/>
    </row>
    <row r="232" spans="1:3">
      <c r="A232" s="30"/>
      <c r="B232" s="39"/>
      <c r="C232" s="36"/>
    </row>
    <row r="233" spans="1:3">
      <c r="A233" s="30"/>
      <c r="B233" s="39"/>
      <c r="C233" s="36"/>
    </row>
    <row r="234" spans="1:3">
      <c r="A234" s="30"/>
      <c r="B234" s="39"/>
      <c r="C234" s="36"/>
    </row>
    <row r="235" spans="1:3">
      <c r="A235" s="30"/>
      <c r="B235" s="39"/>
      <c r="C235" s="36"/>
    </row>
    <row r="236" spans="1:3">
      <c r="A236" s="30"/>
      <c r="B236" s="39"/>
      <c r="C236" s="36"/>
    </row>
    <row r="237" spans="1:3">
      <c r="A237" s="30"/>
      <c r="B237" s="39"/>
      <c r="C237" s="36"/>
    </row>
    <row r="238" spans="1:3">
      <c r="A238" s="30"/>
      <c r="B238" s="39"/>
      <c r="C238" s="36"/>
    </row>
    <row r="239" spans="1:3">
      <c r="A239" s="30"/>
      <c r="B239" s="39"/>
      <c r="C239" s="36"/>
    </row>
    <row r="240" spans="1:3">
      <c r="A240" s="30"/>
      <c r="B240" s="39"/>
      <c r="C240" s="36"/>
    </row>
    <row r="241" spans="1:3">
      <c r="A241" s="30"/>
      <c r="B241" s="39"/>
      <c r="C241" s="36"/>
    </row>
    <row r="242" spans="1:3">
      <c r="A242" s="30"/>
      <c r="B242" s="39"/>
      <c r="C242" s="36"/>
    </row>
    <row r="243" spans="1:3">
      <c r="A243" s="30"/>
      <c r="B243" s="39"/>
      <c r="C243" s="36"/>
    </row>
    <row r="244" spans="1:3">
      <c r="A244" s="30"/>
      <c r="B244" s="39"/>
      <c r="C244" s="36"/>
    </row>
    <row r="245" spans="1:3">
      <c r="A245" s="30"/>
      <c r="B245" s="39"/>
      <c r="C245" s="36"/>
    </row>
    <row r="246" spans="1:3">
      <c r="A246" s="30"/>
      <c r="B246" s="39"/>
      <c r="C246" s="36"/>
    </row>
    <row r="247" spans="1:3">
      <c r="A247" s="30"/>
      <c r="B247" s="39"/>
      <c r="C247" s="36"/>
    </row>
    <row r="248" spans="1:3">
      <c r="A248" s="30"/>
      <c r="B248" s="39"/>
      <c r="C248" s="36"/>
    </row>
    <row r="249" spans="1:3">
      <c r="A249" s="30"/>
      <c r="B249" s="39"/>
      <c r="C249" s="36"/>
    </row>
    <row r="250" spans="1:3">
      <c r="A250" s="30"/>
      <c r="B250" s="39"/>
      <c r="C250" s="36"/>
    </row>
    <row r="251" spans="1:3">
      <c r="A251" s="30"/>
      <c r="B251" s="39"/>
      <c r="C251" s="36"/>
    </row>
    <row r="252" spans="1:3">
      <c r="A252" s="30"/>
      <c r="B252" s="39"/>
      <c r="C252" s="36"/>
    </row>
    <row r="253" spans="1:3">
      <c r="A253" s="30"/>
      <c r="B253" s="39"/>
      <c r="C253" s="36"/>
    </row>
    <row r="254" spans="1:3">
      <c r="A254" s="30"/>
      <c r="B254" s="39"/>
      <c r="C254" s="36"/>
    </row>
    <row r="255" spans="1:3">
      <c r="A255" s="30"/>
      <c r="B255" s="39"/>
      <c r="C255" s="36"/>
    </row>
    <row r="256" spans="1:3">
      <c r="A256" s="30"/>
      <c r="B256" s="39"/>
      <c r="C256" s="36"/>
    </row>
    <row r="257" spans="1:3">
      <c r="A257" s="30"/>
      <c r="B257" s="39"/>
      <c r="C257" s="36"/>
    </row>
    <row r="258" spans="1:3">
      <c r="A258" s="30"/>
      <c r="B258" s="39"/>
      <c r="C258" s="36"/>
    </row>
    <row r="259" spans="1:3">
      <c r="A259" s="30"/>
      <c r="B259" s="39"/>
      <c r="C259" s="36"/>
    </row>
    <row r="260" spans="1:3">
      <c r="A260" s="30"/>
      <c r="B260" s="39"/>
      <c r="C260" s="36"/>
    </row>
    <row r="261" spans="1:3">
      <c r="A261" s="30"/>
      <c r="B261" s="39"/>
      <c r="C261" s="36"/>
    </row>
    <row r="262" spans="1:3">
      <c r="A262" s="30"/>
      <c r="B262" s="39"/>
      <c r="C262" s="36"/>
    </row>
    <row r="263" spans="1:3">
      <c r="A263" s="30"/>
      <c r="B263" s="39"/>
      <c r="C263" s="36"/>
    </row>
    <row r="264" spans="1:3">
      <c r="A264" s="30"/>
      <c r="B264" s="39"/>
      <c r="C264" s="36"/>
    </row>
    <row r="265" spans="1:3">
      <c r="A265" s="30"/>
      <c r="B265" s="39"/>
      <c r="C265" s="36"/>
    </row>
    <row r="266" spans="1:3">
      <c r="A266" s="30"/>
      <c r="B266" s="39"/>
      <c r="C266" s="36"/>
    </row>
    <row r="267" spans="1:3">
      <c r="A267" s="30"/>
      <c r="B267" s="39"/>
      <c r="C267" s="36"/>
    </row>
    <row r="268" spans="1:3">
      <c r="A268" s="30"/>
      <c r="B268" s="39"/>
      <c r="C268" s="36"/>
    </row>
    <row r="269" spans="1:3">
      <c r="A269" s="30"/>
      <c r="B269" s="39"/>
      <c r="C269" s="36"/>
    </row>
    <row r="270" spans="1:3">
      <c r="A270" s="30"/>
      <c r="B270" s="39"/>
      <c r="C270" s="36"/>
    </row>
    <row r="271" spans="1:3">
      <c r="A271" s="30"/>
      <c r="B271" s="39"/>
      <c r="C271" s="36"/>
    </row>
    <row r="272" spans="1:3">
      <c r="A272" s="30"/>
      <c r="B272" s="39"/>
      <c r="C272" s="36"/>
    </row>
    <row r="273" spans="1:3">
      <c r="A273" s="30"/>
      <c r="B273" s="39"/>
      <c r="C273" s="36"/>
    </row>
    <row r="274" spans="1:3">
      <c r="A274" s="30"/>
      <c r="B274" s="39"/>
      <c r="C274" s="36"/>
    </row>
    <row r="275" spans="1:3">
      <c r="A275" s="30"/>
      <c r="B275" s="39"/>
      <c r="C275" s="36"/>
    </row>
    <row r="276" spans="1:3">
      <c r="A276" s="30"/>
      <c r="B276" s="39"/>
      <c r="C276" s="36"/>
    </row>
    <row r="277" spans="1:3">
      <c r="A277" s="30"/>
      <c r="B277" s="39"/>
      <c r="C277" s="36"/>
    </row>
    <row r="278" spans="1:3">
      <c r="A278" s="30"/>
      <c r="B278" s="39"/>
      <c r="C278" s="36"/>
    </row>
    <row r="279" spans="1:3">
      <c r="A279" s="30"/>
      <c r="B279" s="39"/>
      <c r="C279" s="36"/>
    </row>
    <row r="280" spans="1:3">
      <c r="A280" s="30"/>
      <c r="B280" s="39"/>
      <c r="C280" s="36"/>
    </row>
    <row r="281" spans="1:3">
      <c r="A281" s="30"/>
      <c r="B281" s="39"/>
      <c r="C281" s="36"/>
    </row>
    <row r="282" spans="1:3">
      <c r="A282" s="30"/>
      <c r="B282" s="39"/>
      <c r="C282" s="36"/>
    </row>
    <row r="283" spans="1:3">
      <c r="A283" s="30"/>
      <c r="B283" s="39"/>
      <c r="C283" s="36"/>
    </row>
    <row r="284" spans="1:3">
      <c r="A284" s="30"/>
      <c r="B284" s="39"/>
      <c r="C284" s="36"/>
    </row>
    <row r="285" spans="1:3">
      <c r="A285" s="30"/>
      <c r="B285" s="39"/>
      <c r="C285" s="36"/>
    </row>
    <row r="286" spans="1:3">
      <c r="A286" s="30"/>
      <c r="B286" s="39"/>
      <c r="C286" s="36"/>
    </row>
    <row r="287" spans="1:3">
      <c r="A287" s="30"/>
      <c r="B287" s="39"/>
      <c r="C287" s="36"/>
    </row>
    <row r="288" spans="1:3">
      <c r="A288" s="30"/>
      <c r="B288" s="39"/>
      <c r="C288" s="36"/>
    </row>
    <row r="289" spans="1:3">
      <c r="A289" s="30"/>
      <c r="B289" s="39"/>
      <c r="C289" s="36"/>
    </row>
    <row r="290" spans="1:3">
      <c r="A290" s="30"/>
      <c r="B290" s="39"/>
      <c r="C290" s="36"/>
    </row>
    <row r="291" spans="1:3">
      <c r="A291" s="30"/>
      <c r="B291" s="39"/>
      <c r="C291" s="36"/>
    </row>
    <row r="292" spans="1:3">
      <c r="A292" s="30"/>
      <c r="B292" s="39"/>
      <c r="C292" s="36"/>
    </row>
    <row r="293" spans="1:3">
      <c r="A293" s="30"/>
      <c r="B293" s="39"/>
      <c r="C293" s="36"/>
    </row>
    <row r="294" spans="1:3">
      <c r="A294" s="30"/>
      <c r="B294" s="39"/>
      <c r="C294" s="36"/>
    </row>
    <row r="295" spans="1:3">
      <c r="A295" s="30"/>
      <c r="B295" s="39"/>
      <c r="C295" s="36"/>
    </row>
    <row r="296" spans="1:3">
      <c r="A296" s="30"/>
      <c r="B296" s="39"/>
      <c r="C296" s="36"/>
    </row>
    <row r="297" spans="1:3">
      <c r="A297" s="30"/>
      <c r="B297" s="39"/>
      <c r="C297" s="36"/>
    </row>
    <row r="298" spans="1:3">
      <c r="A298" s="30"/>
      <c r="B298" s="39"/>
      <c r="C298" s="36"/>
    </row>
    <row r="299" spans="1:3">
      <c r="A299" s="30"/>
      <c r="B299" s="39"/>
      <c r="C299" s="36"/>
    </row>
    <row r="300" spans="1:3">
      <c r="A300" s="30"/>
      <c r="B300" s="39"/>
      <c r="C300" s="36"/>
    </row>
    <row r="301" spans="1:3">
      <c r="B301" s="39"/>
      <c r="C301" s="36"/>
    </row>
    <row r="302" spans="1:3">
      <c r="B302" s="39"/>
      <c r="C302" s="36"/>
    </row>
    <row r="303" spans="1:3">
      <c r="C303" s="36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3F392-12BB-4FB9-B7EA-01E19E0B710A}">
  <sheetPr codeName="Foglio16">
    <tabColor rgb="FF7030A0"/>
  </sheetPr>
  <dimension ref="A11:AY1383"/>
  <sheetViews>
    <sheetView zoomScale="70" zoomScaleNormal="70" workbookViewId="0">
      <pane xSplit="1" ySplit="9" topLeftCell="B44" activePane="bottomRight" state="frozen"/>
      <selection pane="topRight" activeCell="B1" sqref="B1"/>
      <selection pane="bottomLeft" activeCell="A10" sqref="A10"/>
      <selection pane="bottomRight" activeCell="M54" sqref="M54"/>
    </sheetView>
  </sheetViews>
  <sheetFormatPr defaultColWidth="18" defaultRowHeight="14.5" outlineLevelRow="1"/>
  <cols>
    <col min="1" max="1" width="11.26953125" style="53" customWidth="1"/>
    <col min="2" max="2" width="29.26953125" style="98" customWidth="1"/>
    <col min="3" max="3" width="20" style="97" customWidth="1"/>
    <col min="4" max="4" width="20.453125" style="53" customWidth="1"/>
    <col min="5" max="5" width="15.26953125" style="97" customWidth="1"/>
    <col min="6" max="6" width="17.54296875" style="97" bestFit="1" customWidth="1"/>
    <col min="7" max="8" width="14.26953125" style="53" customWidth="1"/>
    <col min="9" max="9" width="17.26953125" style="53" bestFit="1" customWidth="1"/>
    <col min="10" max="10" width="10.453125" style="97" bestFit="1" customWidth="1"/>
    <col min="11" max="11" width="24" style="53" bestFit="1" customWidth="1"/>
    <col min="12" max="12" width="17.26953125" style="53" bestFit="1" customWidth="1"/>
    <col min="13" max="13" width="9.7265625" style="53" bestFit="1" customWidth="1"/>
    <col min="14" max="14" width="8.7265625" style="53" customWidth="1"/>
    <col min="15" max="15" width="17.26953125" style="53" bestFit="1" customWidth="1"/>
    <col min="16" max="16" width="9.7265625" style="53" bestFit="1" customWidth="1"/>
    <col min="17" max="17" width="8.7265625" style="53" customWidth="1"/>
    <col min="18" max="18" width="17.26953125" style="53" bestFit="1" customWidth="1"/>
    <col min="19" max="19" width="9.7265625" style="53" bestFit="1" customWidth="1"/>
    <col min="20" max="20" width="8" style="53" customWidth="1"/>
    <col min="21" max="21" width="17.26953125" style="53" bestFit="1" customWidth="1"/>
    <col min="22" max="22" width="9.7265625" style="53" bestFit="1" customWidth="1"/>
    <col min="23" max="23" width="8.81640625" style="53" customWidth="1"/>
    <col min="24" max="24" width="17.26953125" style="53" bestFit="1" customWidth="1"/>
    <col min="25" max="25" width="9.7265625" style="53" bestFit="1" customWidth="1"/>
    <col min="26" max="26" width="8.81640625" style="53" customWidth="1"/>
    <col min="27" max="27" width="17.26953125" style="53" bestFit="1" customWidth="1"/>
    <col min="28" max="28" width="9.7265625" style="53" bestFit="1" customWidth="1"/>
    <col min="29" max="29" width="8.26953125" style="53" customWidth="1"/>
    <col min="30" max="30" width="17.26953125" style="53" bestFit="1" customWidth="1"/>
    <col min="31" max="31" width="9.7265625" style="53" bestFit="1" customWidth="1"/>
    <col min="32" max="32" width="10" style="53" customWidth="1"/>
    <col min="33" max="33" width="28.26953125" style="53" bestFit="1" customWidth="1"/>
    <col min="34" max="34" width="21" style="53" bestFit="1" customWidth="1"/>
    <col min="35" max="35" width="18" style="53"/>
    <col min="36" max="36" width="25.81640625" style="53" bestFit="1" customWidth="1"/>
    <col min="37" max="37" width="19.26953125" style="53" bestFit="1" customWidth="1"/>
    <col min="38" max="38" width="16.26953125" style="53" bestFit="1" customWidth="1"/>
    <col min="39" max="39" width="3.26953125" style="53" bestFit="1" customWidth="1"/>
    <col min="40" max="40" width="4" style="53" bestFit="1" customWidth="1"/>
    <col min="41" max="41" width="3.26953125" style="53" bestFit="1" customWidth="1"/>
    <col min="42" max="42" width="4" style="53" bestFit="1" customWidth="1"/>
    <col min="43" max="43" width="25.81640625" style="53" bestFit="1" customWidth="1"/>
    <col min="44" max="44" width="19.26953125" style="53" bestFit="1" customWidth="1"/>
    <col min="45" max="45" width="10" style="53" bestFit="1" customWidth="1"/>
    <col min="46" max="48" width="13.81640625" style="53" bestFit="1" customWidth="1"/>
    <col min="49" max="49" width="12.81640625" style="53" bestFit="1" customWidth="1"/>
    <col min="50" max="50" width="7.7265625" style="53" bestFit="1" customWidth="1"/>
    <col min="51" max="51" width="16.26953125" style="53" bestFit="1" customWidth="1"/>
    <col min="52" max="52" width="5.26953125" style="53" bestFit="1" customWidth="1"/>
    <col min="53" max="53" width="9" style="53" bestFit="1" customWidth="1"/>
    <col min="54" max="54" width="6" style="53" bestFit="1" customWidth="1"/>
    <col min="55" max="55" width="9.7265625" style="53" bestFit="1" customWidth="1"/>
    <col min="56" max="56" width="5.26953125" style="53" bestFit="1" customWidth="1"/>
    <col min="57" max="57" width="8.7265625" style="53" bestFit="1" customWidth="1"/>
    <col min="58" max="58" width="16.26953125" style="53" bestFit="1" customWidth="1"/>
    <col min="59" max="68" width="6.26953125" style="53" bestFit="1" customWidth="1"/>
    <col min="69" max="97" width="6" style="53" bestFit="1" customWidth="1"/>
    <col min="98" max="128" width="6.54296875" style="53" bestFit="1" customWidth="1"/>
    <col min="129" max="158" width="6" style="53" bestFit="1" customWidth="1"/>
    <col min="159" max="189" width="6.81640625" style="53" bestFit="1" customWidth="1"/>
    <col min="190" max="250" width="5.81640625" style="53" bestFit="1" customWidth="1"/>
    <col min="251" max="281" width="6.26953125" style="53" bestFit="1" customWidth="1"/>
    <col min="282" max="311" width="5.81640625" style="53" bestFit="1" customWidth="1"/>
    <col min="312" max="342" width="5.7265625" style="53" bestFit="1" customWidth="1"/>
    <col min="343" max="372" width="6.26953125" style="53" bestFit="1" customWidth="1"/>
    <col min="373" max="403" width="5.7265625" style="53" bestFit="1" customWidth="1"/>
    <col min="404" max="404" width="11.26953125" style="53" bestFit="1" customWidth="1"/>
    <col min="405" max="405" width="10" style="53" bestFit="1" customWidth="1"/>
    <col min="406" max="406" width="11.26953125" style="53" bestFit="1" customWidth="1"/>
    <col min="407" max="437" width="6.26953125" style="53" bestFit="1" customWidth="1"/>
    <col min="438" max="466" width="6" style="53" bestFit="1" customWidth="1"/>
    <col min="467" max="497" width="6.54296875" style="53" bestFit="1" customWidth="1"/>
    <col min="498" max="527" width="6" style="53" bestFit="1" customWidth="1"/>
    <col min="528" max="558" width="6.81640625" style="53" bestFit="1" customWidth="1"/>
    <col min="559" max="619" width="5.81640625" style="53" bestFit="1" customWidth="1"/>
    <col min="620" max="650" width="6.26953125" style="53" bestFit="1" customWidth="1"/>
    <col min="651" max="680" width="5.81640625" style="53" bestFit="1" customWidth="1"/>
    <col min="681" max="711" width="5.7265625" style="53" bestFit="1" customWidth="1"/>
    <col min="712" max="741" width="6.26953125" style="53" bestFit="1" customWidth="1"/>
    <col min="742" max="772" width="5.7265625" style="53" bestFit="1" customWidth="1"/>
    <col min="773" max="773" width="11.26953125" style="53" bestFit="1" customWidth="1"/>
    <col min="774" max="774" width="9.7265625" style="53" bestFit="1" customWidth="1"/>
    <col min="775" max="775" width="11.26953125" style="53" bestFit="1" customWidth="1"/>
    <col min="776" max="806" width="6.26953125" style="53" bestFit="1" customWidth="1"/>
    <col min="807" max="835" width="6" style="53" bestFit="1" customWidth="1"/>
    <col min="836" max="866" width="6.54296875" style="53" bestFit="1" customWidth="1"/>
    <col min="867" max="896" width="6" style="53" bestFit="1" customWidth="1"/>
    <col min="897" max="927" width="6.81640625" style="53" bestFit="1" customWidth="1"/>
    <col min="928" max="988" width="5.81640625" style="53" bestFit="1" customWidth="1"/>
    <col min="989" max="1019" width="6.26953125" style="53" bestFit="1" customWidth="1"/>
    <col min="1020" max="1049" width="5.81640625" style="53" bestFit="1" customWidth="1"/>
    <col min="1050" max="1080" width="5.7265625" style="53" bestFit="1" customWidth="1"/>
    <col min="1081" max="1110" width="6.26953125" style="53" bestFit="1" customWidth="1"/>
    <col min="1111" max="1141" width="5.7265625" style="53" bestFit="1" customWidth="1"/>
    <col min="1142" max="1142" width="11.26953125" style="53" bestFit="1" customWidth="1"/>
    <col min="1143" max="1143" width="9.54296875" style="53" bestFit="1" customWidth="1"/>
    <col min="1144" max="1144" width="11.26953125" style="53" bestFit="1" customWidth="1"/>
    <col min="1145" max="1175" width="6.26953125" style="53" bestFit="1" customWidth="1"/>
    <col min="1176" max="1204" width="6" style="53" bestFit="1" customWidth="1"/>
    <col min="1205" max="1235" width="6.54296875" style="53" bestFit="1" customWidth="1"/>
    <col min="1236" max="1265" width="6" style="53" bestFit="1" customWidth="1"/>
    <col min="1266" max="1296" width="6.81640625" style="53" bestFit="1" customWidth="1"/>
    <col min="1297" max="1357" width="5.81640625" style="53" bestFit="1" customWidth="1"/>
    <col min="1358" max="1388" width="6.26953125" style="53" bestFit="1" customWidth="1"/>
    <col min="1389" max="1418" width="5.81640625" style="53" bestFit="1" customWidth="1"/>
    <col min="1419" max="1449" width="5.7265625" style="53" bestFit="1" customWidth="1"/>
    <col min="1450" max="1479" width="6.26953125" style="53" bestFit="1" customWidth="1"/>
    <col min="1480" max="1510" width="5.7265625" style="53" bestFit="1" customWidth="1"/>
    <col min="1511" max="1511" width="11.26953125" style="53" bestFit="1" customWidth="1"/>
    <col min="1512" max="1512" width="9.54296875" style="53" bestFit="1" customWidth="1"/>
    <col min="1513" max="1513" width="11.26953125" style="53" bestFit="1" customWidth="1"/>
    <col min="1514" max="1544" width="6.26953125" style="53" bestFit="1" customWidth="1"/>
    <col min="1545" max="1573" width="6" style="53" bestFit="1" customWidth="1"/>
    <col min="1574" max="1604" width="6.54296875" style="53" bestFit="1" customWidth="1"/>
    <col min="1605" max="1634" width="6" style="53" bestFit="1" customWidth="1"/>
    <col min="1635" max="1665" width="6.81640625" style="53" bestFit="1" customWidth="1"/>
    <col min="1666" max="1726" width="5.81640625" style="53" bestFit="1" customWidth="1"/>
    <col min="1727" max="1757" width="6.26953125" style="53" bestFit="1" customWidth="1"/>
    <col min="1758" max="1787" width="5.81640625" style="53" bestFit="1" customWidth="1"/>
    <col min="1788" max="1818" width="5.7265625" style="53" bestFit="1" customWidth="1"/>
    <col min="1819" max="1848" width="6.26953125" style="53" bestFit="1" customWidth="1"/>
    <col min="1849" max="1879" width="5.7265625" style="53" bestFit="1" customWidth="1"/>
    <col min="1880" max="1880" width="11.26953125" style="53" bestFit="1" customWidth="1"/>
    <col min="1881" max="1881" width="9.7265625" style="53" bestFit="1" customWidth="1"/>
    <col min="1882" max="1882" width="11.26953125" style="53" bestFit="1" customWidth="1"/>
    <col min="1883" max="1913" width="6.26953125" style="53" bestFit="1" customWidth="1"/>
    <col min="1914" max="1942" width="6" style="53" bestFit="1" customWidth="1"/>
    <col min="1943" max="1973" width="6.54296875" style="53" bestFit="1" customWidth="1"/>
    <col min="1974" max="2003" width="6" style="53" bestFit="1" customWidth="1"/>
    <col min="2004" max="2034" width="6.81640625" style="53" bestFit="1" customWidth="1"/>
    <col min="2035" max="2095" width="5.81640625" style="53" bestFit="1" customWidth="1"/>
    <col min="2096" max="2126" width="6.26953125" style="53" bestFit="1" customWidth="1"/>
    <col min="2127" max="2156" width="5.81640625" style="53" bestFit="1" customWidth="1"/>
    <col min="2157" max="2187" width="5.7265625" style="53" bestFit="1" customWidth="1"/>
    <col min="2188" max="2217" width="6.26953125" style="53" bestFit="1" customWidth="1"/>
    <col min="2218" max="2248" width="5.7265625" style="53" bestFit="1" customWidth="1"/>
    <col min="2249" max="2249" width="11.26953125" style="53" bestFit="1" customWidth="1"/>
    <col min="2250" max="2250" width="9" style="53" bestFit="1" customWidth="1"/>
    <col min="2251" max="2251" width="7.7265625" style="53" bestFit="1" customWidth="1"/>
    <col min="2252" max="2252" width="9" style="53" bestFit="1" customWidth="1"/>
    <col min="2253" max="2253" width="11.26953125" style="53" bestFit="1" customWidth="1"/>
    <col min="2254" max="2284" width="6.26953125" style="53" bestFit="1" customWidth="1"/>
    <col min="2285" max="2313" width="6" style="53" bestFit="1" customWidth="1"/>
    <col min="2314" max="2344" width="6.54296875" style="53" bestFit="1" customWidth="1"/>
    <col min="2345" max="2374" width="6" style="53" bestFit="1" customWidth="1"/>
    <col min="2375" max="2405" width="6.81640625" style="53" bestFit="1" customWidth="1"/>
    <col min="2406" max="2466" width="5.81640625" style="53" bestFit="1" customWidth="1"/>
    <col min="2467" max="2497" width="6.26953125" style="53" bestFit="1" customWidth="1"/>
    <col min="2498" max="2527" width="5.81640625" style="53" bestFit="1" customWidth="1"/>
    <col min="2528" max="2558" width="5.7265625" style="53" bestFit="1" customWidth="1"/>
    <col min="2559" max="2588" width="6.26953125" style="53" bestFit="1" customWidth="1"/>
    <col min="2589" max="2619" width="5.7265625" style="53" bestFit="1" customWidth="1"/>
    <col min="2620" max="2620" width="11.26953125" style="53" bestFit="1" customWidth="1"/>
    <col min="2621" max="2621" width="10" style="53" bestFit="1" customWidth="1"/>
    <col min="2622" max="2622" width="11.26953125" style="53" bestFit="1" customWidth="1"/>
    <col min="2623" max="2653" width="6.26953125" style="53" bestFit="1" customWidth="1"/>
    <col min="2654" max="2682" width="6" style="53" bestFit="1" customWidth="1"/>
    <col min="2683" max="2713" width="6.54296875" style="53" bestFit="1" customWidth="1"/>
    <col min="2714" max="2743" width="6" style="53" bestFit="1" customWidth="1"/>
    <col min="2744" max="2774" width="6.81640625" style="53" bestFit="1" customWidth="1"/>
    <col min="2775" max="2835" width="5.81640625" style="53" bestFit="1" customWidth="1"/>
    <col min="2836" max="2866" width="6.26953125" style="53" bestFit="1" customWidth="1"/>
    <col min="2867" max="2896" width="5.81640625" style="53" bestFit="1" customWidth="1"/>
    <col min="2897" max="2927" width="5.7265625" style="53" bestFit="1" customWidth="1"/>
    <col min="2928" max="2957" width="6.26953125" style="53" bestFit="1" customWidth="1"/>
    <col min="2958" max="2988" width="5.7265625" style="53" bestFit="1" customWidth="1"/>
    <col min="2989" max="2989" width="11.26953125" style="53" bestFit="1" customWidth="1"/>
    <col min="2990" max="2990" width="10" style="53" bestFit="1" customWidth="1"/>
    <col min="2991" max="2991" width="13.54296875" style="53" bestFit="1" customWidth="1"/>
    <col min="2992" max="3022" width="6.26953125" style="53" bestFit="1" customWidth="1"/>
    <col min="3023" max="3051" width="6" style="53" bestFit="1" customWidth="1"/>
    <col min="3052" max="3082" width="6.54296875" style="53" bestFit="1" customWidth="1"/>
    <col min="3083" max="3112" width="6" style="53" bestFit="1" customWidth="1"/>
    <col min="3113" max="3143" width="6.81640625" style="53" bestFit="1" customWidth="1"/>
    <col min="3144" max="3204" width="5.81640625" style="53" bestFit="1" customWidth="1"/>
    <col min="3205" max="3235" width="6.26953125" style="53" bestFit="1" customWidth="1"/>
    <col min="3236" max="3265" width="5.81640625" style="53" bestFit="1" customWidth="1"/>
    <col min="3266" max="3296" width="5.7265625" style="53" bestFit="1" customWidth="1"/>
    <col min="3297" max="3326" width="6.26953125" style="53" bestFit="1" customWidth="1"/>
    <col min="3327" max="3357" width="5.7265625" style="53" bestFit="1" customWidth="1"/>
    <col min="3358" max="3358" width="11.26953125" style="53" bestFit="1" customWidth="1"/>
    <col min="3359" max="3359" width="17.26953125" style="53" bestFit="1" customWidth="1"/>
    <col min="3360" max="3360" width="11.26953125" style="53" bestFit="1" customWidth="1"/>
    <col min="3361" max="3391" width="6.26953125" style="53" bestFit="1" customWidth="1"/>
    <col min="3392" max="3420" width="6" style="53" bestFit="1" customWidth="1"/>
    <col min="3421" max="3451" width="6.54296875" style="53" bestFit="1" customWidth="1"/>
    <col min="3452" max="3481" width="6" style="53" bestFit="1" customWidth="1"/>
    <col min="3482" max="3512" width="6.81640625" style="53" bestFit="1" customWidth="1"/>
    <col min="3513" max="3573" width="5.81640625" style="53" bestFit="1" customWidth="1"/>
    <col min="3574" max="3604" width="6.26953125" style="53" bestFit="1" customWidth="1"/>
    <col min="3605" max="3634" width="5.81640625" style="53" bestFit="1" customWidth="1"/>
    <col min="3635" max="3665" width="5.7265625" style="53" bestFit="1" customWidth="1"/>
    <col min="3666" max="3695" width="6.26953125" style="53" bestFit="1" customWidth="1"/>
    <col min="3696" max="3726" width="5.7265625" style="53" bestFit="1" customWidth="1"/>
    <col min="3727" max="3727" width="11.26953125" style="53" bestFit="1" customWidth="1"/>
    <col min="3728" max="3728" width="9" style="53" bestFit="1" customWidth="1"/>
    <col min="3729" max="3729" width="6.81640625" style="53" bestFit="1" customWidth="1"/>
    <col min="3730" max="3730" width="5.81640625" style="53" bestFit="1" customWidth="1"/>
    <col min="3731" max="3731" width="9.7265625" style="53" bestFit="1" customWidth="1"/>
    <col min="3732" max="3732" width="16.26953125" style="53" bestFit="1" customWidth="1"/>
    <col min="3733" max="16384" width="18" style="53"/>
  </cols>
  <sheetData>
    <row r="11" spans="2:6">
      <c r="C11" s="244"/>
    </row>
    <row r="12" spans="2:6" ht="15.5">
      <c r="B12" s="153" t="s">
        <v>207</v>
      </c>
      <c r="C12" s="468">
        <f ca="1">WORKDAY(TODAY(),-1)</f>
        <v>44893</v>
      </c>
    </row>
    <row r="13" spans="2:6">
      <c r="B13" s="205" t="s">
        <v>213</v>
      </c>
      <c r="C13" s="115"/>
    </row>
    <row r="14" spans="2:6">
      <c r="B14" s="113"/>
      <c r="C14" s="114"/>
    </row>
    <row r="15" spans="2:6">
      <c r="B15" s="102"/>
      <c r="C15" s="103" t="s">
        <v>194</v>
      </c>
      <c r="D15" s="104" t="s">
        <v>25</v>
      </c>
      <c r="E15" s="103" t="s">
        <v>2</v>
      </c>
      <c r="F15" s="150"/>
    </row>
    <row r="16" spans="2:6">
      <c r="B16" s="99"/>
      <c r="C16" s="186"/>
      <c r="D16" s="101"/>
      <c r="E16" s="184"/>
    </row>
    <row r="17" spans="2:8">
      <c r="B17" s="98" t="e" cm="1">
        <f t="array" aca="1" ref="B17:B18" ca="1">_xlfn.UNIQUE(PosAggregate!N13:N72)</f>
        <v>#NAME?</v>
      </c>
      <c r="C17" s="1177">
        <f ca="1">IFERROR(VLOOKUP(CONCATENATE("BK0Y9",B17,"    "),NAV!J:Q,8,FALSE),0)</f>
        <v>0</v>
      </c>
      <c r="D17" s="1178" t="e">
        <f ca="1">IF(B17="EUR",1,_xll.BDP("EUR"&amp;B17&amp; " CuRNCY","px_last"))</f>
        <v>#NAME?</v>
      </c>
      <c r="E17" s="1177" t="e">
        <f ca="1">+C17/D17</f>
        <v>#NAME?</v>
      </c>
      <c r="G17" s="186"/>
      <c r="H17" s="186"/>
    </row>
    <row r="18" spans="2:8">
      <c r="B18" s="98">
        <f ca="1"/>
        <v>0</v>
      </c>
      <c r="C18" s="1177">
        <f ca="1">IFERROR(VLOOKUP(CONCATENATE("BK0Y9",B18,"    "),NAV!J:Q,8,FALSE),0)</f>
        <v>0</v>
      </c>
      <c r="D18" s="1178" t="e">
        <f ca="1">IF(B18="EUR",1,_xll.BDP("EUR"&amp;B18&amp; " CuRNCY","px_last"))</f>
        <v>#NAME?</v>
      </c>
      <c r="E18" s="1177" t="e">
        <f t="shared" ref="E18:E25" ca="1" si="0">+C18/D18</f>
        <v>#NAME?</v>
      </c>
      <c r="G18" s="186"/>
      <c r="H18" s="186"/>
    </row>
    <row r="19" spans="2:8">
      <c r="C19" s="1177">
        <f>IFERROR(VLOOKUP(CONCATENATE("BK0Y9",B19,"    "),NAV!J:Q,8,FALSE),0)</f>
        <v>0</v>
      </c>
      <c r="D19" s="1178" t="e">
        <f ca="1">IF(B19="EUR",1,_xll.BDP("EUR"&amp;B19&amp; " CuRNCY","px_last"))</f>
        <v>#NAME?</v>
      </c>
      <c r="E19" s="1177" t="e">
        <f t="shared" ca="1" si="0"/>
        <v>#NAME?</v>
      </c>
      <c r="G19" s="186"/>
      <c r="H19" s="186"/>
    </row>
    <row r="20" spans="2:8">
      <c r="C20" s="1177">
        <f>IFERROR(VLOOKUP(CONCATENATE("BK0Y9",B20,"    "),NAV!J:Q,8,FALSE),0)</f>
        <v>0</v>
      </c>
      <c r="D20" s="1178" t="e">
        <f ca="1">IF(B20="EUR",1,_xll.BDP("EUR"&amp;B20&amp; " CuRNCY","px_last"))</f>
        <v>#NAME?</v>
      </c>
      <c r="E20" s="1177" t="e">
        <f t="shared" ca="1" si="0"/>
        <v>#NAME?</v>
      </c>
    </row>
    <row r="21" spans="2:8">
      <c r="C21" s="1177">
        <f>IFERROR(VLOOKUP(CONCATENATE("BK0Y9",B21,"    "),NAV!J:Q,8,FALSE),0)</f>
        <v>0</v>
      </c>
      <c r="D21" s="1178" t="e">
        <f ca="1">IF(B21="EUR",1,_xll.BDP("EUR"&amp;B21&amp; " CuRNCY","px_last"))</f>
        <v>#NAME?</v>
      </c>
      <c r="E21" s="1177" t="e">
        <f t="shared" ca="1" si="0"/>
        <v>#NAME?</v>
      </c>
    </row>
    <row r="22" spans="2:8">
      <c r="C22" s="1177">
        <f>IFERROR(VLOOKUP(CONCATENATE("BK0Y9",B22,"    "),NAV!J:Q,8,FALSE),0)</f>
        <v>0</v>
      </c>
      <c r="D22" s="1178" t="e">
        <f ca="1">IF(B22="EUR",1,_xll.BDP("EUR"&amp;B22&amp; " CuRNCY","px_last"))</f>
        <v>#NAME?</v>
      </c>
      <c r="E22" s="1177" t="e">
        <f t="shared" ca="1" si="0"/>
        <v>#NAME?</v>
      </c>
    </row>
    <row r="23" spans="2:8">
      <c r="C23" s="1177">
        <f>IFERROR(VLOOKUP(CONCATENATE("BK0Y9",B23,"    "),NAV!J:Q,8,FALSE),0)</f>
        <v>0</v>
      </c>
      <c r="D23" s="1178" t="e">
        <f ca="1">IF(B23="EUR",1,_xll.BDP("EUR"&amp;B23&amp; " CuRNCY","px_last"))</f>
        <v>#NAME?</v>
      </c>
      <c r="E23" s="1177" t="e">
        <f t="shared" ca="1" si="0"/>
        <v>#NAME?</v>
      </c>
    </row>
    <row r="24" spans="2:8">
      <c r="C24" s="1177">
        <f>IFERROR(VLOOKUP(CONCATENATE("BK0Y9",B24,"    "),NAV!J:Q,8,FALSE),0)</f>
        <v>0</v>
      </c>
      <c r="D24" s="1178" t="e">
        <f ca="1">IF(B24="EUR",1,_xll.BDP("EUR"&amp;B24&amp; " CuRNCY","px_last"))</f>
        <v>#NAME?</v>
      </c>
      <c r="E24" s="1177" t="e">
        <f t="shared" ca="1" si="0"/>
        <v>#NAME?</v>
      </c>
    </row>
    <row r="25" spans="2:8">
      <c r="C25" s="1177">
        <f>IFERROR(VLOOKUP(CONCATENATE("BK0Y9",B25,"    "),NAV!J:Q,8,FALSE),0)</f>
        <v>0</v>
      </c>
      <c r="D25" s="1178" t="e">
        <f ca="1">IF(B25="EUR",1,_xll.BDP("EUR"&amp;B25&amp; " CuRNCY","px_last"))</f>
        <v>#NAME?</v>
      </c>
      <c r="E25" s="1177" t="e">
        <f t="shared" ca="1" si="0"/>
        <v>#NAME?</v>
      </c>
    </row>
    <row r="26" spans="2:8">
      <c r="B26" s="1149"/>
      <c r="C26" s="1177"/>
      <c r="D26" s="1178"/>
      <c r="E26" s="1177"/>
    </row>
    <row r="27" spans="2:8">
      <c r="B27" s="1181" t="s">
        <v>13219</v>
      </c>
      <c r="C27" s="1177"/>
      <c r="D27" s="1178"/>
      <c r="E27" s="1177"/>
    </row>
    <row r="28" spans="2:8">
      <c r="B28" s="1191" t="s">
        <v>12598</v>
      </c>
      <c r="C28" s="1192"/>
      <c r="D28" s="1193"/>
      <c r="E28" s="1194">
        <f>SUMIF(NAV!J:J,"MA0Y9*",NAV!N:N)</f>
        <v>-110000</v>
      </c>
    </row>
    <row r="29" spans="2:8">
      <c r="B29" s="194" t="s">
        <v>13217</v>
      </c>
      <c r="C29" s="1179">
        <f>+Forward!H30</f>
        <v>5232228.8548093392</v>
      </c>
      <c r="D29" s="273">
        <f>IF(RIGHT(B29,3)="EUR",1,_xll.BDP("EUR"&amp;RIGHT(B29,3)&amp;" CuRNCY","px_last"))</f>
        <v>1</v>
      </c>
      <c r="E29" s="1179">
        <f>+C29/D29</f>
        <v>5232228.8548093392</v>
      </c>
    </row>
    <row r="30" spans="2:8">
      <c r="B30" s="194" t="s">
        <v>13218</v>
      </c>
      <c r="C30" s="1180">
        <f>+Forward!G30</f>
        <v>-739000000</v>
      </c>
      <c r="D30" s="273" t="e">
        <f ca="1">IF(RIGHT(B30,3)="EUR",1,_xll.BDP("EUR"&amp;RIGHT(B30,3)&amp;" CuRNCY","px_last"))</f>
        <v>#NAME?</v>
      </c>
      <c r="E30" s="1179" t="e">
        <f ca="1">+C30/D30</f>
        <v>#NAME?</v>
      </c>
    </row>
    <row r="31" spans="2:8">
      <c r="B31" s="194" t="s">
        <v>12805</v>
      </c>
      <c r="C31" s="1180">
        <f>+Forward!H25</f>
        <v>747077.05999421864</v>
      </c>
      <c r="D31" s="273" t="e">
        <f ca="1">IF(RIGHT(B31,3)="EUR",1,_xll.BDP("EUR"&amp;RIGHT(B31,3)&amp;" CuRNCY","px_last"))</f>
        <v>#NAME?</v>
      </c>
      <c r="E31" s="1179" t="e">
        <f ca="1">+C31/D31</f>
        <v>#NAME?</v>
      </c>
    </row>
    <row r="32" spans="2:8" ht="16">
      <c r="B32" s="194" t="s">
        <v>13218</v>
      </c>
      <c r="C32" s="1180">
        <f>+Forward!G25</f>
        <v>-100000000</v>
      </c>
      <c r="D32" s="273" t="e">
        <f ca="1">IF(RIGHT(B32,3)="EUR",1,_xll.BDP("EUR"&amp;RIGHT(B32,3)&amp;" CuRNCY","px_last"))</f>
        <v>#NAME?</v>
      </c>
      <c r="E32" s="1179" t="e">
        <f ca="1">+C32/D32</f>
        <v>#NAME?</v>
      </c>
      <c r="H32" s="283"/>
    </row>
    <row r="33" spans="2:51">
      <c r="B33" s="105"/>
      <c r="C33" s="187"/>
      <c r="D33" s="106"/>
      <c r="E33" s="1195" t="e">
        <f ca="1">SUM(E29:E32)</f>
        <v>#NAME?</v>
      </c>
    </row>
    <row r="34" spans="2:51">
      <c r="B34" s="98" t="s">
        <v>195</v>
      </c>
      <c r="C34" s="149"/>
      <c r="D34" s="57"/>
      <c r="E34" s="1196" t="e">
        <f ca="1">SUM(E16:E26)+E28</f>
        <v>#NAME?</v>
      </c>
    </row>
    <row r="35" spans="2:51">
      <c r="E35" s="245"/>
      <c r="F35" s="246"/>
    </row>
    <row r="36" spans="2:51">
      <c r="E36" s="50"/>
    </row>
    <row r="38" spans="2:51" ht="15.5">
      <c r="B38" s="153" t="s">
        <v>13032</v>
      </c>
      <c r="C38" s="153"/>
    </row>
    <row r="39" spans="2:51">
      <c r="B39" s="1188" t="s">
        <v>13220</v>
      </c>
      <c r="C39" s="1189">
        <f ca="1">WORKDAY(TODAY(),-1)</f>
        <v>44893</v>
      </c>
      <c r="D39" s="57"/>
      <c r="E39" s="57"/>
      <c r="F39" s="149"/>
      <c r="G39" s="57"/>
      <c r="H39" s="57"/>
      <c r="I39" s="57"/>
      <c r="J39" s="149"/>
      <c r="AJ39" s="22"/>
      <c r="AK39" s="22"/>
      <c r="AL39" s="22"/>
      <c r="AM39" s="22"/>
      <c r="AN39" s="22"/>
      <c r="AO39" s="22"/>
      <c r="AP39" s="22"/>
      <c r="AQ39" s="22"/>
      <c r="AR39"/>
      <c r="AS39"/>
      <c r="AT39"/>
      <c r="AU39"/>
      <c r="AV39"/>
      <c r="AW39"/>
      <c r="AX39"/>
      <c r="AY39"/>
    </row>
    <row r="40" spans="2:51">
      <c r="B40" s="1182"/>
      <c r="C40" s="1183"/>
      <c r="D40" s="57"/>
      <c r="E40" s="57"/>
      <c r="F40" s="149"/>
      <c r="G40" s="57"/>
      <c r="H40" s="57"/>
      <c r="I40" s="57"/>
      <c r="J40" s="149"/>
      <c r="AJ40" s="22"/>
      <c r="AK40" s="22"/>
      <c r="AL40" s="22"/>
      <c r="AM40" s="22"/>
      <c r="AN40" s="22"/>
      <c r="AO40" s="22"/>
      <c r="AP40" s="22"/>
      <c r="AQ40" s="22"/>
      <c r="AR40"/>
      <c r="AS40"/>
      <c r="AT40"/>
      <c r="AU40"/>
      <c r="AV40"/>
      <c r="AW40"/>
      <c r="AX40"/>
      <c r="AY40"/>
    </row>
    <row r="41" spans="2:51">
      <c r="B41" s="1182" t="s">
        <v>13221</v>
      </c>
      <c r="C41" s="1183">
        <f>SUMIF(NAV!I:I,"Payable on Sec*",NAV!N:N)</f>
        <v>0</v>
      </c>
      <c r="D41" s="57"/>
      <c r="E41" s="57"/>
      <c r="F41" s="149"/>
      <c r="G41" s="57"/>
      <c r="H41" s="57"/>
      <c r="I41" s="57"/>
      <c r="J41" s="149"/>
      <c r="AJ41" s="22"/>
      <c r="AK41" s="22"/>
      <c r="AL41" s="22"/>
      <c r="AM41" s="22"/>
      <c r="AN41" s="22"/>
      <c r="AO41" s="22"/>
      <c r="AP41" s="22"/>
      <c r="AQ41" s="22"/>
      <c r="AR41"/>
      <c r="AS41"/>
      <c r="AT41"/>
      <c r="AU41"/>
      <c r="AV41"/>
      <c r="AW41"/>
      <c r="AX41"/>
      <c r="AY41"/>
    </row>
    <row r="42" spans="2:51">
      <c r="B42" s="1182" t="s">
        <v>13222</v>
      </c>
      <c r="C42" s="1183">
        <f>SUMIF(NAV!I:I,"Receiv-Security*",NAV!N:N)</f>
        <v>0</v>
      </c>
      <c r="D42" s="57"/>
      <c r="E42" s="57"/>
      <c r="F42" s="149"/>
      <c r="G42" s="57"/>
      <c r="H42" s="57"/>
      <c r="I42" s="57"/>
      <c r="J42" s="149"/>
      <c r="AJ42" s="22"/>
      <c r="AK42" s="22"/>
      <c r="AL42" s="22"/>
      <c r="AM42" s="22"/>
      <c r="AN42" s="22"/>
      <c r="AO42" s="22"/>
      <c r="AP42" s="22"/>
      <c r="AQ42" s="22"/>
      <c r="AR42"/>
      <c r="AS42"/>
      <c r="AT42"/>
      <c r="AU42"/>
      <c r="AV42"/>
      <c r="AW42"/>
      <c r="AX42"/>
      <c r="AY42"/>
    </row>
    <row r="43" spans="2:51">
      <c r="B43" s="1184" t="s">
        <v>12946</v>
      </c>
      <c r="C43" s="1185">
        <f ca="1">(C41+C42)-(D53+E53)</f>
        <v>0</v>
      </c>
      <c r="D43" s="57"/>
      <c r="E43" s="57"/>
      <c r="F43" s="149"/>
      <c r="G43" s="57"/>
      <c r="H43" s="57"/>
      <c r="I43" s="57"/>
      <c r="J43" s="149"/>
      <c r="AJ43" s="22"/>
      <c r="AK43" s="22"/>
      <c r="AL43" s="22"/>
      <c r="AM43" s="22"/>
      <c r="AN43" s="22"/>
      <c r="AO43" s="22"/>
      <c r="AP43" s="22"/>
      <c r="AQ43" s="22"/>
      <c r="AR43"/>
      <c r="AS43"/>
      <c r="AT43"/>
      <c r="AU43"/>
      <c r="AV43"/>
      <c r="AW43"/>
      <c r="AX43"/>
      <c r="AY43"/>
    </row>
    <row r="44" spans="2:51">
      <c r="B44" s="1186"/>
      <c r="C44" s="1183"/>
      <c r="D44" s="57"/>
      <c r="E44" s="57"/>
      <c r="F44" s="149"/>
      <c r="G44" s="57"/>
      <c r="H44" s="57"/>
      <c r="I44" s="57"/>
      <c r="J44" s="149"/>
      <c r="AJ44" s="22"/>
      <c r="AK44" s="22"/>
      <c r="AL44" s="22"/>
      <c r="AM44" s="22"/>
      <c r="AN44" s="22"/>
      <c r="AO44" s="22"/>
      <c r="AP44" s="22"/>
      <c r="AQ44" s="22"/>
      <c r="AR44"/>
      <c r="AS44"/>
      <c r="AT44"/>
      <c r="AU44"/>
      <c r="AV44"/>
      <c r="AW44"/>
      <c r="AX44"/>
      <c r="AY44"/>
    </row>
    <row r="45" spans="2:51">
      <c r="B45" s="1187" t="s">
        <v>13223</v>
      </c>
      <c r="C45" s="1183">
        <f>SUMIF(NAV!I:I,"Payable on Red*",NAV!N:N)</f>
        <v>-23806.799999999999</v>
      </c>
      <c r="D45" s="57"/>
      <c r="E45" s="57"/>
      <c r="F45" s="149"/>
      <c r="G45" s="57"/>
      <c r="H45" s="57"/>
      <c r="I45" s="57"/>
      <c r="J45" s="149"/>
      <c r="AJ45" s="22"/>
      <c r="AK45" s="22"/>
      <c r="AL45" s="22"/>
      <c r="AM45" s="22"/>
      <c r="AN45" s="22"/>
      <c r="AO45" s="22"/>
      <c r="AP45" s="22"/>
      <c r="AQ45" s="22"/>
      <c r="AR45"/>
      <c r="AS45"/>
      <c r="AT45"/>
      <c r="AU45"/>
      <c r="AV45"/>
      <c r="AW45"/>
      <c r="AX45"/>
      <c r="AY45"/>
    </row>
    <row r="46" spans="2:51">
      <c r="B46" s="1187" t="s">
        <v>13224</v>
      </c>
      <c r="C46" s="1183">
        <f>SUMIF(NAV!I:I,"Receivable-Sub*",NAV!N:N)</f>
        <v>0</v>
      </c>
      <c r="D46" s="57"/>
      <c r="E46" s="53"/>
      <c r="G46" s="57"/>
      <c r="H46" s="57"/>
      <c r="I46" s="57"/>
      <c r="J46" s="149"/>
      <c r="AJ46" s="22"/>
      <c r="AK46" s="22"/>
      <c r="AL46" s="22"/>
      <c r="AM46" s="22"/>
      <c r="AN46" s="22"/>
      <c r="AO46" s="22"/>
      <c r="AP46" s="22"/>
      <c r="AQ46" s="22"/>
      <c r="AR46"/>
      <c r="AS46"/>
      <c r="AT46"/>
      <c r="AU46"/>
      <c r="AV46"/>
      <c r="AW46"/>
      <c r="AX46"/>
      <c r="AY46"/>
    </row>
    <row r="47" spans="2:51">
      <c r="B47" s="1184" t="s">
        <v>12946</v>
      </c>
      <c r="C47" s="1185">
        <f ca="1">(C45+C46)-(D56+E56)</f>
        <v>-23806.799999999999</v>
      </c>
      <c r="D47" s="57"/>
      <c r="E47" s="53"/>
      <c r="G47" s="57"/>
      <c r="H47" s="57"/>
      <c r="I47" s="57"/>
      <c r="J47" s="149"/>
      <c r="AJ47" s="22"/>
      <c r="AK47" s="22"/>
      <c r="AL47" s="22"/>
      <c r="AM47" s="22"/>
      <c r="AN47" s="22"/>
      <c r="AO47" s="22"/>
      <c r="AP47" s="22"/>
      <c r="AQ47" s="22"/>
      <c r="AR47"/>
      <c r="AS47"/>
      <c r="AT47"/>
      <c r="AU47"/>
      <c r="AV47"/>
      <c r="AW47"/>
      <c r="AX47"/>
      <c r="AY47"/>
    </row>
    <row r="48" spans="2:51">
      <c r="B48" s="57"/>
      <c r="C48" s="149"/>
      <c r="D48" s="57"/>
      <c r="E48" s="53"/>
      <c r="G48" s="57"/>
      <c r="H48" s="57"/>
      <c r="I48" s="57"/>
      <c r="J48" s="149"/>
      <c r="AJ48" s="22"/>
      <c r="AK48" s="22"/>
      <c r="AL48" s="22"/>
      <c r="AM48" s="22"/>
      <c r="AN48" s="22"/>
      <c r="AO48" s="22"/>
      <c r="AP48" s="22"/>
      <c r="AQ48" s="22"/>
      <c r="AR48"/>
      <c r="AS48"/>
      <c r="AT48"/>
      <c r="AU48"/>
      <c r="AV48"/>
      <c r="AW48"/>
      <c r="AX48"/>
      <c r="AY48"/>
    </row>
    <row r="49" spans="1:51">
      <c r="B49" s="57"/>
      <c r="C49" s="149"/>
      <c r="D49" s="57"/>
      <c r="E49" s="53"/>
      <c r="G49" s="57"/>
      <c r="H49" s="57"/>
      <c r="I49" s="57"/>
      <c r="J49" s="149"/>
      <c r="AJ49" s="22"/>
      <c r="AK49" s="22"/>
      <c r="AL49" s="22"/>
      <c r="AM49" s="22"/>
      <c r="AN49" s="22"/>
      <c r="AO49" s="22"/>
      <c r="AP49" s="22"/>
      <c r="AQ49" s="22"/>
      <c r="AR49"/>
      <c r="AS49"/>
      <c r="AT49"/>
      <c r="AU49"/>
      <c r="AV49"/>
      <c r="AW49"/>
      <c r="AX49"/>
      <c r="AY49"/>
    </row>
    <row r="50" spans="1:51">
      <c r="B50" s="57"/>
      <c r="D50" s="161">
        <v>0</v>
      </c>
      <c r="E50" s="162">
        <f t="shared" ref="E50:H50" si="1">+D50+1</f>
        <v>1</v>
      </c>
      <c r="F50" s="162">
        <f t="shared" si="1"/>
        <v>2</v>
      </c>
      <c r="G50" s="162">
        <f t="shared" si="1"/>
        <v>3</v>
      </c>
      <c r="H50" s="162">
        <f t="shared" si="1"/>
        <v>4</v>
      </c>
      <c r="I50" s="162"/>
      <c r="J50" s="57"/>
      <c r="K50" s="149"/>
      <c r="AJ50" s="22"/>
      <c r="AK50" s="22"/>
      <c r="AL50" s="22"/>
      <c r="AM50" s="22"/>
      <c r="AN50" s="22"/>
      <c r="AO50" s="22"/>
      <c r="AP50" s="22"/>
      <c r="AQ50" s="22"/>
      <c r="AR50"/>
      <c r="AS50"/>
      <c r="AT50"/>
      <c r="AU50"/>
      <c r="AV50"/>
      <c r="AW50"/>
      <c r="AX50"/>
      <c r="AY50"/>
    </row>
    <row r="51" spans="1:51" s="151" customFormat="1">
      <c r="B51" s="96"/>
      <c r="C51" s="96"/>
      <c r="D51" s="163">
        <f ca="1">WORKDAY(TODAY(),0)</f>
        <v>44894</v>
      </c>
      <c r="E51" s="163">
        <f ca="1">WORKDAY(TODAY(),1)</f>
        <v>44895</v>
      </c>
      <c r="F51" s="163">
        <f ca="1">WORKDAY(TODAY(),2)</f>
        <v>44896</v>
      </c>
      <c r="G51" s="163">
        <f ca="1">WORKDAY(TODAY(),3)</f>
        <v>44897</v>
      </c>
      <c r="H51" s="163">
        <f ca="1">WORKDAY(TODAY(),4)</f>
        <v>44900</v>
      </c>
      <c r="I51" s="195" t="s">
        <v>199</v>
      </c>
      <c r="J51" s="196" t="s">
        <v>25</v>
      </c>
      <c r="K51" s="195" t="s">
        <v>200</v>
      </c>
      <c r="AJ51" s="22"/>
      <c r="AK51" s="22"/>
      <c r="AL51" s="22"/>
      <c r="AM51" s="22"/>
      <c r="AN51" s="22"/>
      <c r="AO51" s="22"/>
      <c r="AP51" s="22"/>
      <c r="AQ51" s="22"/>
      <c r="AR51"/>
      <c r="AS51"/>
      <c r="AT51"/>
      <c r="AU51"/>
      <c r="AV51"/>
      <c r="AW51"/>
      <c r="AX51"/>
      <c r="AY51"/>
    </row>
    <row r="52" spans="1:51">
      <c r="B52" s="53"/>
      <c r="D52" s="164"/>
      <c r="E52" s="165"/>
      <c r="F52" s="165"/>
      <c r="G52" s="164"/>
      <c r="H52" s="164"/>
      <c r="I52" s="197"/>
      <c r="J52" s="198"/>
      <c r="K52" s="199"/>
      <c r="AJ52" s="22"/>
      <c r="AK52" s="22"/>
      <c r="AL52" s="22"/>
      <c r="AM52" s="22"/>
      <c r="AN52" s="22"/>
      <c r="AO52" s="22"/>
      <c r="AP52" s="22"/>
      <c r="AQ52" s="22"/>
      <c r="AR52"/>
      <c r="AS52"/>
      <c r="AT52"/>
      <c r="AU52"/>
      <c r="AV52"/>
      <c r="AW52"/>
      <c r="AX52"/>
      <c r="AY52"/>
    </row>
    <row r="53" spans="1:51">
      <c r="A53" s="53" t="s">
        <v>2</v>
      </c>
      <c r="B53" s="1176" t="s">
        <v>13031</v>
      </c>
      <c r="D53" s="1190">
        <f ca="1">SUMIF(TradesEquity!$U:$U,'Cash Mgmt'!D51,TradesEquity!$T:$T)+SUMIF(TradesBond!$R:$R,'Cash Mgmt'!D51,TradesBond!$Q:$Q)</f>
        <v>0</v>
      </c>
      <c r="E53" s="1190">
        <f ca="1">SUMIF(TradesEquity!$U:$U,'Cash Mgmt'!E51,TradesEquity!$T:$T)+SUMIF(TradesBond!$R:$R,'Cash Mgmt'!E51,TradesBond!$Q:$Q)</f>
        <v>0</v>
      </c>
      <c r="F53" s="1190">
        <v>0</v>
      </c>
      <c r="G53" s="1190">
        <f ca="1">SUMIF(TradesEquity!$U:$U,'Cash Mgmt'!G51,TradesEquity!$T:$T)+SUMIF(TradesBond!$R:$R,'Cash Mgmt'!G51,TradesBond!$Q:$Q)</f>
        <v>0</v>
      </c>
      <c r="H53" s="1190">
        <f ca="1">SUMIF(TradesEquity!$U:$U,'Cash Mgmt'!H51,TradesEquity!$T:$T)+SUMIF(TradesBond!$R:$R,'Cash Mgmt'!H51,TradesBond!$Q:$Q)</f>
        <v>0</v>
      </c>
      <c r="I53" s="1147">
        <f ca="1">+D53+E53</f>
        <v>0</v>
      </c>
      <c r="J53" s="197">
        <v>1</v>
      </c>
      <c r="K53" s="199">
        <f ca="1">+I53/J53</f>
        <v>0</v>
      </c>
      <c r="M53" s="97"/>
      <c r="AJ53" s="22"/>
      <c r="AK53" s="22"/>
      <c r="AL53" s="22"/>
      <c r="AM53" s="22"/>
      <c r="AN53" s="22"/>
      <c r="AO53" s="22"/>
      <c r="AP53" s="22"/>
      <c r="AQ53" s="22"/>
      <c r="AR53"/>
      <c r="AS53"/>
      <c r="AT53"/>
      <c r="AU53"/>
      <c r="AV53"/>
      <c r="AW53"/>
      <c r="AX53"/>
      <c r="AY53"/>
    </row>
    <row r="54" spans="1:51">
      <c r="B54" s="98" t="s">
        <v>197</v>
      </c>
      <c r="D54" s="1190">
        <f ca="1">SUMIF(Dvd!K13:K67,'Cash Mgmt'!D51-1,Dvd!W13:W67)</f>
        <v>0</v>
      </c>
      <c r="E54" s="1190">
        <f ca="1">SUMIF(Dvd!K13:K67,'Cash Mgmt'!D51,Dvd!W13:W67)</f>
        <v>0</v>
      </c>
      <c r="F54" s="1190">
        <f ca="1">SUMIF(Dvd!L13:L67,'Cash Mgmt'!E51,Dvd!X13:X67)</f>
        <v>0</v>
      </c>
      <c r="G54" s="1190">
        <f ca="1">SUMIF(Dvd!L13:L67,'Cash Mgmt'!F51,Dvd!X13:X67)</f>
        <v>0</v>
      </c>
      <c r="H54" s="1190">
        <f ca="1">SUMIF(Dvd!L13:L67,'Cash Mgmt'!G51,Dvd!X13:X67)</f>
        <v>0</v>
      </c>
      <c r="I54" s="1147">
        <f ca="1">+D54+E54</f>
        <v>0</v>
      </c>
      <c r="J54" s="197">
        <v>1</v>
      </c>
      <c r="K54" s="199">
        <f ca="1">+I54/J54</f>
        <v>0</v>
      </c>
      <c r="M54" s="97"/>
      <c r="AJ54" s="22"/>
      <c r="AK54" s="22"/>
      <c r="AL54" s="22"/>
      <c r="AM54" s="22"/>
      <c r="AN54" s="22"/>
      <c r="AO54" s="22"/>
      <c r="AP54" s="22"/>
      <c r="AQ54" s="22"/>
      <c r="AR54"/>
      <c r="AS54"/>
      <c r="AT54"/>
      <c r="AU54"/>
      <c r="AV54"/>
      <c r="AW54"/>
      <c r="AX54"/>
      <c r="AY54"/>
    </row>
    <row r="55" spans="1:51">
      <c r="B55" s="98" t="s">
        <v>1588</v>
      </c>
      <c r="D55" s="1190">
        <f ca="1">IF(D51=Forward!$J$25,'Cash Mgmt'!$E$33,0)</f>
        <v>0</v>
      </c>
      <c r="E55" s="1190">
        <f ca="1">IF(E51=Forward!$J$25,'Cash Mgmt'!$E$33,0)</f>
        <v>0</v>
      </c>
      <c r="F55" s="1190">
        <f ca="1">IF(F51=Forward!$J$25,'Cash Mgmt'!$E$33,0)</f>
        <v>0</v>
      </c>
      <c r="G55" s="1190">
        <f ca="1">IF(G51=Forward!$J$25,'Cash Mgmt'!$E$33,0)</f>
        <v>0</v>
      </c>
      <c r="H55" s="1190">
        <f ca="1">IF(H51=Forward!$J$25,'Cash Mgmt'!$E$33,0)</f>
        <v>0</v>
      </c>
      <c r="I55" s="1147">
        <f ca="1">+D55+E55</f>
        <v>0</v>
      </c>
      <c r="J55" s="197">
        <v>1</v>
      </c>
      <c r="K55" s="199">
        <f ca="1">+I55/J55</f>
        <v>0</v>
      </c>
      <c r="M55" s="97"/>
      <c r="AJ55" s="22"/>
      <c r="AK55" s="22"/>
      <c r="AL55" s="22"/>
      <c r="AM55" s="22"/>
      <c r="AN55" s="22"/>
      <c r="AO55" s="22"/>
      <c r="AP55" s="22"/>
      <c r="AQ55" s="22"/>
      <c r="AR55"/>
      <c r="AS55"/>
      <c r="AT55"/>
      <c r="AU55"/>
      <c r="AV55"/>
      <c r="AW55"/>
      <c r="AX55"/>
      <c r="AY55"/>
    </row>
    <row r="56" spans="1:51">
      <c r="B56" s="274" t="s">
        <v>13030</v>
      </c>
      <c r="D56" s="1190">
        <f ca="1">SUMIF('Sub-Red'!$D:$D,'Cash Mgmt'!D51,'Sub-Red'!$C:$C)</f>
        <v>0</v>
      </c>
      <c r="E56" s="1190">
        <f ca="1">SUMIF('Sub-Red'!$D:$D,'Cash Mgmt'!E51,'Sub-Red'!$C:$C)</f>
        <v>0</v>
      </c>
      <c r="F56" s="1190">
        <f ca="1">SUMIF('Sub-Red'!$D:$D,'Cash Mgmt'!F51,'Sub-Red'!$C:$C)</f>
        <v>0</v>
      </c>
      <c r="G56" s="1190">
        <f ca="1">SUMIF('Sub-Red'!$D:$D,'Cash Mgmt'!G51,'Sub-Red'!$C:$C)</f>
        <v>0</v>
      </c>
      <c r="H56" s="1190">
        <f ca="1">SUMIF('Sub-Red'!$D:$D,'Cash Mgmt'!H51,'Sub-Red'!$C:$C)</f>
        <v>0</v>
      </c>
      <c r="I56" s="200">
        <f ca="1">SUM(D56:H56)</f>
        <v>0</v>
      </c>
      <c r="J56" s="197">
        <v>1</v>
      </c>
      <c r="K56" s="199">
        <f ca="1">+I56/J56</f>
        <v>0</v>
      </c>
      <c r="M56" s="97"/>
      <c r="AJ56" s="22"/>
      <c r="AK56" s="22"/>
      <c r="AL56" s="22"/>
      <c r="AM56" s="22"/>
      <c r="AN56" s="22"/>
      <c r="AO56" s="22"/>
      <c r="AP56" s="22"/>
      <c r="AQ56" s="22"/>
      <c r="AR56"/>
      <c r="AS56"/>
      <c r="AT56"/>
      <c r="AU56"/>
      <c r="AV56"/>
      <c r="AW56"/>
      <c r="AX56"/>
      <c r="AY56"/>
    </row>
    <row r="57" spans="1:51">
      <c r="C57" s="149"/>
      <c r="D57" s="164"/>
      <c r="E57" s="164"/>
      <c r="F57" s="164"/>
      <c r="G57" s="164"/>
      <c r="H57" s="164"/>
      <c r="I57" s="197"/>
      <c r="J57" s="197"/>
      <c r="K57" s="201">
        <f ca="1">SUM(K56)+K53</f>
        <v>0</v>
      </c>
      <c r="AJ57" s="22"/>
      <c r="AK57" s="22"/>
      <c r="AL57" s="22"/>
      <c r="AM57" s="22"/>
      <c r="AN57" s="22"/>
      <c r="AO57" s="22"/>
      <c r="AP57" s="22"/>
      <c r="AQ57" s="22"/>
      <c r="AR57"/>
      <c r="AS57"/>
      <c r="AT57"/>
      <c r="AU57"/>
      <c r="AV57"/>
      <c r="AW57"/>
      <c r="AX57"/>
      <c r="AY57"/>
    </row>
    <row r="58" spans="1:51">
      <c r="C58" s="149"/>
      <c r="D58" s="57"/>
      <c r="E58" s="53"/>
      <c r="AJ58" s="22"/>
      <c r="AK58" s="22"/>
      <c r="AL58" s="22"/>
      <c r="AM58" s="22"/>
      <c r="AN58" s="22"/>
      <c r="AO58" s="22"/>
      <c r="AP58" s="22"/>
      <c r="AQ58" s="22"/>
      <c r="AR58"/>
      <c r="AS58"/>
      <c r="AT58"/>
      <c r="AU58"/>
      <c r="AV58"/>
      <c r="AW58"/>
      <c r="AX58"/>
      <c r="AY58"/>
    </row>
    <row r="59" spans="1:51">
      <c r="C59" s="149"/>
      <c r="D59" s="57"/>
      <c r="E59" s="53"/>
      <c r="AJ59" s="22"/>
      <c r="AK59" s="22"/>
      <c r="AL59" s="22"/>
      <c r="AM59" s="22"/>
      <c r="AN59" s="22"/>
      <c r="AO59" s="22"/>
      <c r="AP59" s="22"/>
      <c r="AQ59" s="22"/>
      <c r="AR59"/>
      <c r="AS59"/>
      <c r="AT59"/>
      <c r="AU59"/>
      <c r="AV59"/>
      <c r="AW59"/>
      <c r="AX59"/>
      <c r="AY59"/>
    </row>
    <row r="60" spans="1:51" ht="15.5" outlineLevel="1">
      <c r="B60" s="153" t="s">
        <v>198</v>
      </c>
      <c r="C60" s="152"/>
      <c r="D60" s="57"/>
      <c r="E60" s="381" t="s">
        <v>2038</v>
      </c>
      <c r="AJ60" s="22"/>
      <c r="AK60" s="22"/>
      <c r="AL60" s="22"/>
      <c r="AM60" s="22"/>
      <c r="AN60" s="22"/>
      <c r="AO60" s="22"/>
      <c r="AP60" s="22"/>
      <c r="AQ60" s="22"/>
      <c r="AR60"/>
      <c r="AS60"/>
      <c r="AT60"/>
      <c r="AU60"/>
      <c r="AV60"/>
      <c r="AW60"/>
      <c r="AX60"/>
      <c r="AY60"/>
    </row>
    <row r="61" spans="1:51" outlineLevel="1">
      <c r="C61" s="149"/>
      <c r="D61" s="158"/>
      <c r="E61" s="159"/>
      <c r="F61" s="160"/>
      <c r="G61" s="160"/>
      <c r="H61" s="160"/>
      <c r="AJ61" s="22"/>
      <c r="AK61" s="22"/>
      <c r="AL61" s="22"/>
      <c r="AM61" s="22"/>
      <c r="AN61" s="22"/>
      <c r="AO61" s="22"/>
      <c r="AP61" s="22"/>
      <c r="AQ61" s="22"/>
      <c r="AR61"/>
      <c r="AS61"/>
      <c r="AT61"/>
      <c r="AU61"/>
      <c r="AV61"/>
      <c r="AW61"/>
      <c r="AX61"/>
      <c r="AY61"/>
    </row>
    <row r="62" spans="1:51" outlineLevel="1">
      <c r="B62" s="102"/>
      <c r="C62" s="103" t="s">
        <v>157</v>
      </c>
      <c r="D62" s="157">
        <f ca="1">+D51</f>
        <v>44894</v>
      </c>
      <c r="E62" s="157">
        <f ca="1">E51</f>
        <v>44895</v>
      </c>
      <c r="F62" s="157">
        <f ca="1">F51</f>
        <v>44896</v>
      </c>
      <c r="G62" s="157">
        <f ca="1">G51</f>
        <v>44897</v>
      </c>
      <c r="H62" s="1105"/>
      <c r="AJ62" s="22"/>
      <c r="AK62" s="22"/>
      <c r="AL62" s="22"/>
      <c r="AM62" s="22"/>
      <c r="AN62" s="22"/>
      <c r="AO62" s="22"/>
      <c r="AP62" s="22"/>
      <c r="AQ62" s="22"/>
      <c r="AR62"/>
      <c r="AS62"/>
      <c r="AT62"/>
      <c r="AU62"/>
      <c r="AV62"/>
      <c r="AW62"/>
      <c r="AX62"/>
      <c r="AY62"/>
    </row>
    <row r="63" spans="1:51" outlineLevel="1">
      <c r="B63" s="154"/>
      <c r="C63" s="156"/>
      <c r="D63" s="155"/>
      <c r="E63" s="155"/>
      <c r="F63" s="54"/>
      <c r="G63" s="54"/>
      <c r="H63" s="54"/>
      <c r="AJ63" s="22"/>
      <c r="AK63" s="22"/>
      <c r="AL63" s="22"/>
      <c r="AM63" s="22"/>
      <c r="AN63" s="22"/>
      <c r="AO63" s="22"/>
      <c r="AP63" s="22"/>
      <c r="AQ63" s="22"/>
      <c r="AR63"/>
      <c r="AS63"/>
      <c r="AT63"/>
      <c r="AU63"/>
      <c r="AV63"/>
      <c r="AW63"/>
      <c r="AX63"/>
      <c r="AY63"/>
    </row>
    <row r="64" spans="1:51" outlineLevel="1">
      <c r="A64" s="98"/>
      <c r="B64" s="98" t="s">
        <v>2</v>
      </c>
      <c r="C64" s="1190" t="e">
        <f ca="1">IF(SIGN(E28)=-1,E34,E34-E28)</f>
        <v>#NAME?</v>
      </c>
      <c r="D64" s="1190" t="e">
        <f ca="1">+C64+SUM(D53:D56)</f>
        <v>#NAME?</v>
      </c>
      <c r="E64" s="1190" t="e">
        <f ca="1">+D64+SUM(E53:E56)</f>
        <v>#NAME?</v>
      </c>
      <c r="F64" s="1190" t="e">
        <f ca="1">+E64+SUM(F53:F56)+CashFlow!B18</f>
        <v>#NAME?</v>
      </c>
      <c r="G64" s="1190" t="e">
        <f ca="1">+F64+SUM(G53:G56)</f>
        <v>#NAME?</v>
      </c>
      <c r="H64" s="54"/>
      <c r="AJ64" s="22"/>
      <c r="AK64" s="22"/>
      <c r="AL64" s="22"/>
      <c r="AM64" s="22"/>
      <c r="AN64" s="22"/>
      <c r="AO64" s="22"/>
      <c r="AP64" s="22"/>
      <c r="AQ64" s="22"/>
      <c r="AR64"/>
      <c r="AS64"/>
      <c r="AT64"/>
      <c r="AU64"/>
      <c r="AV64"/>
      <c r="AW64"/>
      <c r="AX64"/>
      <c r="AY64"/>
    </row>
    <row r="65" spans="1:51" outlineLevel="1">
      <c r="A65" s="98"/>
      <c r="C65" s="277"/>
      <c r="D65" s="54"/>
      <c r="E65" s="54"/>
      <c r="F65" s="54"/>
      <c r="G65" s="54"/>
      <c r="H65" s="54"/>
      <c r="AJ65" s="22"/>
      <c r="AK65" s="22"/>
      <c r="AL65" s="22"/>
      <c r="AM65" s="22"/>
      <c r="AN65" s="22"/>
      <c r="AO65" s="22"/>
      <c r="AP65" s="22"/>
      <c r="AQ65" s="22"/>
      <c r="AR65"/>
      <c r="AS65"/>
      <c r="AT65"/>
      <c r="AU65"/>
      <c r="AV65"/>
      <c r="AW65"/>
      <c r="AX65"/>
      <c r="AY65"/>
    </row>
    <row r="66" spans="1:51" outlineLevel="1">
      <c r="B66" s="116"/>
      <c r="C66" s="117"/>
      <c r="AJ66" s="22"/>
      <c r="AK66" s="22"/>
      <c r="AL66" s="22"/>
      <c r="AM66" s="22"/>
      <c r="AN66" s="22"/>
      <c r="AO66" s="22"/>
      <c r="AP66" s="22"/>
      <c r="AQ66" s="22"/>
      <c r="AR66"/>
      <c r="AS66"/>
      <c r="AT66"/>
      <c r="AU66"/>
      <c r="AV66"/>
      <c r="AW66"/>
      <c r="AX66"/>
      <c r="AY66"/>
    </row>
    <row r="67" spans="1:51">
      <c r="AJ67" s="22"/>
      <c r="AK67" s="22"/>
      <c r="AL67" s="22"/>
      <c r="AM67" s="22"/>
      <c r="AN67" s="22"/>
      <c r="AO67" s="22"/>
      <c r="AP67" s="22"/>
      <c r="AQ67" s="22"/>
      <c r="AR67"/>
      <c r="AS67"/>
      <c r="AT67"/>
      <c r="AU67"/>
      <c r="AV67"/>
      <c r="AW67"/>
      <c r="AX67"/>
      <c r="AY67"/>
    </row>
    <row r="68" spans="1:51">
      <c r="AJ68" s="22"/>
      <c r="AK68" s="22"/>
      <c r="AL68" s="22"/>
      <c r="AM68" s="22"/>
      <c r="AN68" s="22"/>
      <c r="AO68" s="22"/>
      <c r="AP68" s="22"/>
      <c r="AQ68" s="22"/>
      <c r="AR68"/>
      <c r="AS68"/>
      <c r="AT68"/>
      <c r="AU68"/>
      <c r="AV68"/>
      <c r="AW68"/>
      <c r="AX68"/>
      <c r="AY68"/>
    </row>
    <row r="69" spans="1:51">
      <c r="AJ69" s="22"/>
      <c r="AK69" s="22"/>
      <c r="AL69" s="22"/>
      <c r="AM69" s="22"/>
      <c r="AN69" s="22"/>
      <c r="AO69" s="22"/>
      <c r="AP69" s="22"/>
      <c r="AQ69" s="22"/>
      <c r="AR69"/>
      <c r="AS69"/>
      <c r="AT69"/>
      <c r="AU69"/>
      <c r="AV69"/>
      <c r="AW69"/>
      <c r="AX69"/>
      <c r="AY69"/>
    </row>
    <row r="70" spans="1:51">
      <c r="AJ70" s="22"/>
      <c r="AK70" s="22"/>
      <c r="AL70" s="22"/>
      <c r="AM70" s="22"/>
      <c r="AN70" s="22"/>
      <c r="AO70" s="22"/>
      <c r="AP70" s="22"/>
      <c r="AQ70" s="22"/>
      <c r="AR70"/>
      <c r="AS70"/>
      <c r="AT70"/>
      <c r="AU70"/>
      <c r="AV70"/>
      <c r="AW70"/>
      <c r="AX70"/>
      <c r="AY70"/>
    </row>
    <row r="71" spans="1:51">
      <c r="AJ71" s="22"/>
      <c r="AK71" s="22"/>
      <c r="AL71" s="22"/>
      <c r="AM71" s="22"/>
      <c r="AN71" s="22"/>
      <c r="AO71" s="22"/>
      <c r="AP71" s="22"/>
      <c r="AQ71" s="22"/>
      <c r="AR71"/>
      <c r="AS71"/>
      <c r="AT71"/>
      <c r="AU71"/>
      <c r="AV71"/>
      <c r="AW71"/>
      <c r="AX71"/>
      <c r="AY71"/>
    </row>
    <row r="72" spans="1:51">
      <c r="AJ72" s="22"/>
      <c r="AK72" s="22"/>
      <c r="AL72" s="22"/>
      <c r="AM72" s="22"/>
      <c r="AN72" s="22"/>
      <c r="AO72" s="22"/>
      <c r="AP72" s="22"/>
      <c r="AQ72" s="22"/>
      <c r="AR72"/>
      <c r="AS72"/>
      <c r="AT72"/>
      <c r="AU72"/>
      <c r="AV72"/>
      <c r="AW72"/>
      <c r="AX72"/>
      <c r="AY72"/>
    </row>
    <row r="73" spans="1:51">
      <c r="AJ73" s="22"/>
      <c r="AK73" s="22"/>
      <c r="AL73" s="22"/>
      <c r="AM73" s="22"/>
      <c r="AN73" s="22"/>
      <c r="AO73" s="22"/>
      <c r="AP73" s="22"/>
      <c r="AQ73" s="22"/>
      <c r="AR73"/>
      <c r="AS73"/>
      <c r="AT73"/>
      <c r="AU73"/>
      <c r="AV73"/>
      <c r="AW73"/>
      <c r="AX73"/>
      <c r="AY73"/>
    </row>
    <row r="74" spans="1:51">
      <c r="AJ74" s="22"/>
      <c r="AK74" s="22"/>
      <c r="AL74" s="22"/>
      <c r="AM74" s="22"/>
      <c r="AN74" s="22"/>
      <c r="AO74" s="22"/>
      <c r="AP74" s="22"/>
      <c r="AQ74" s="22"/>
      <c r="AR74"/>
      <c r="AS74"/>
      <c r="AT74"/>
      <c r="AU74"/>
      <c r="AV74"/>
      <c r="AW74"/>
      <c r="AX74"/>
      <c r="AY74"/>
    </row>
    <row r="75" spans="1:51">
      <c r="AJ75" s="22"/>
      <c r="AK75" s="22"/>
      <c r="AL75" s="22"/>
      <c r="AM75" s="22"/>
      <c r="AN75" s="22"/>
      <c r="AO75" s="22"/>
      <c r="AP75" s="22"/>
      <c r="AQ75" s="22"/>
      <c r="AR75"/>
      <c r="AS75"/>
      <c r="AT75"/>
      <c r="AU75"/>
      <c r="AV75"/>
      <c r="AW75"/>
      <c r="AX75"/>
      <c r="AY75"/>
    </row>
    <row r="76" spans="1:51">
      <c r="AJ76" s="22"/>
      <c r="AK76" s="22"/>
      <c r="AL76" s="22"/>
      <c r="AM76" s="22"/>
      <c r="AN76" s="22"/>
      <c r="AO76" s="22"/>
      <c r="AP76" s="22"/>
      <c r="AQ76" s="22"/>
      <c r="AR76"/>
      <c r="AS76"/>
      <c r="AT76"/>
      <c r="AU76"/>
      <c r="AV76"/>
      <c r="AW76"/>
      <c r="AX76"/>
      <c r="AY76"/>
    </row>
    <row r="77" spans="1:51">
      <c r="AJ77" s="22"/>
      <c r="AK77" s="22"/>
      <c r="AL77" s="22"/>
      <c r="AM77" s="22"/>
      <c r="AN77" s="22"/>
      <c r="AO77" s="22"/>
      <c r="AP77" s="22"/>
      <c r="AQ77" s="22"/>
      <c r="AR77"/>
      <c r="AS77"/>
      <c r="AT77"/>
      <c r="AU77"/>
      <c r="AV77"/>
      <c r="AW77"/>
      <c r="AX77"/>
      <c r="AY77"/>
    </row>
    <row r="78" spans="1:51">
      <c r="AJ78" s="22"/>
      <c r="AK78" s="22"/>
      <c r="AL78" s="22"/>
      <c r="AM78" s="22"/>
      <c r="AN78" s="22"/>
      <c r="AO78" s="22"/>
      <c r="AP78" s="22"/>
      <c r="AQ78" s="22"/>
      <c r="AR78"/>
      <c r="AS78"/>
      <c r="AT78"/>
      <c r="AU78"/>
      <c r="AV78"/>
      <c r="AW78"/>
      <c r="AX78"/>
      <c r="AY78"/>
    </row>
    <row r="79" spans="1:51">
      <c r="AJ79" s="22"/>
      <c r="AK79" s="22"/>
      <c r="AL79" s="22"/>
      <c r="AM79" s="22"/>
      <c r="AN79" s="22"/>
      <c r="AO79" s="22"/>
      <c r="AP79" s="22"/>
      <c r="AQ79" s="22"/>
      <c r="AR79"/>
      <c r="AS79"/>
      <c r="AT79"/>
      <c r="AU79"/>
      <c r="AV79"/>
      <c r="AW79"/>
      <c r="AX79"/>
      <c r="AY79"/>
    </row>
    <row r="80" spans="1:51">
      <c r="AJ80" s="22"/>
      <c r="AK80" s="22"/>
      <c r="AL80" s="22"/>
      <c r="AM80" s="22"/>
      <c r="AN80" s="22"/>
      <c r="AO80" s="22"/>
      <c r="AP80" s="22"/>
      <c r="AQ80" s="22"/>
      <c r="AR80"/>
      <c r="AS80"/>
      <c r="AT80"/>
      <c r="AU80"/>
      <c r="AV80"/>
      <c r="AW80"/>
      <c r="AX80"/>
      <c r="AY80"/>
    </row>
    <row r="81" spans="3:51">
      <c r="AJ81" s="22"/>
      <c r="AK81" s="22"/>
      <c r="AL81" s="22"/>
      <c r="AM81" s="22"/>
      <c r="AN81" s="22"/>
      <c r="AO81" s="22"/>
      <c r="AP81" s="22"/>
      <c r="AQ81" s="22"/>
      <c r="AR81"/>
      <c r="AS81"/>
      <c r="AT81"/>
      <c r="AU81"/>
      <c r="AV81"/>
      <c r="AW81"/>
      <c r="AX81"/>
      <c r="AY81"/>
    </row>
    <row r="82" spans="3:51">
      <c r="AJ82" s="22"/>
      <c r="AK82" s="22"/>
      <c r="AL82" s="22"/>
      <c r="AM82" s="22"/>
      <c r="AN82" s="22"/>
      <c r="AO82" s="22"/>
      <c r="AP82" s="22"/>
      <c r="AQ82" s="22"/>
      <c r="AR82"/>
      <c r="AS82"/>
      <c r="AT82"/>
      <c r="AU82"/>
      <c r="AV82"/>
      <c r="AW82"/>
      <c r="AX82"/>
      <c r="AY82"/>
    </row>
    <row r="83" spans="3:51">
      <c r="AJ83" s="22"/>
      <c r="AK83" s="22"/>
      <c r="AL83" s="22"/>
      <c r="AM83" s="22"/>
      <c r="AN83" s="22"/>
      <c r="AO83" s="22"/>
      <c r="AP83" s="22"/>
      <c r="AQ83" s="22"/>
      <c r="AR83"/>
      <c r="AS83"/>
      <c r="AT83"/>
      <c r="AU83"/>
      <c r="AV83"/>
      <c r="AW83"/>
      <c r="AX83"/>
      <c r="AY83"/>
    </row>
    <row r="84" spans="3:51">
      <c r="AJ84" s="22"/>
      <c r="AK84" s="22"/>
      <c r="AL84" s="22"/>
      <c r="AM84" s="22"/>
      <c r="AN84" s="22"/>
      <c r="AO84" s="22"/>
      <c r="AP84" s="22"/>
      <c r="AQ84" s="22"/>
      <c r="AR84"/>
      <c r="AS84"/>
      <c r="AT84"/>
      <c r="AU84"/>
      <c r="AV84"/>
      <c r="AW84"/>
      <c r="AX84"/>
      <c r="AY84"/>
    </row>
    <row r="85" spans="3:51">
      <c r="AJ85" s="22"/>
      <c r="AK85" s="22"/>
      <c r="AL85" s="22"/>
      <c r="AM85" s="22"/>
      <c r="AN85" s="22"/>
      <c r="AO85" s="22"/>
      <c r="AP85" s="22"/>
      <c r="AQ85" s="22"/>
      <c r="AR85"/>
      <c r="AS85"/>
      <c r="AT85"/>
      <c r="AU85"/>
      <c r="AV85"/>
      <c r="AW85"/>
      <c r="AX85"/>
      <c r="AY85"/>
    </row>
    <row r="86" spans="3:51">
      <c r="AJ86" s="22"/>
      <c r="AK86" s="22"/>
      <c r="AL86" s="22"/>
      <c r="AM86" s="22"/>
      <c r="AN86" s="22"/>
      <c r="AO86" s="22"/>
      <c r="AP86" s="22"/>
      <c r="AQ86" s="22"/>
      <c r="AR86"/>
      <c r="AS86"/>
      <c r="AT86"/>
      <c r="AU86"/>
      <c r="AV86"/>
      <c r="AW86"/>
      <c r="AX86"/>
      <c r="AY86"/>
    </row>
    <row r="87" spans="3:51">
      <c r="C87" s="149"/>
      <c r="D87" s="57"/>
      <c r="E87" s="53"/>
      <c r="AJ87" s="22"/>
      <c r="AK87" s="22"/>
      <c r="AL87" s="22"/>
      <c r="AM87" s="22"/>
      <c r="AN87" s="22"/>
      <c r="AO87" s="22"/>
      <c r="AP87" s="22"/>
      <c r="AQ87" s="22"/>
      <c r="AR87"/>
      <c r="AS87"/>
      <c r="AT87"/>
      <c r="AU87"/>
      <c r="AV87"/>
      <c r="AW87"/>
      <c r="AX87"/>
      <c r="AY87"/>
    </row>
    <row r="88" spans="3:51">
      <c r="AJ88" s="22"/>
      <c r="AK88" s="22"/>
      <c r="AL88" s="22"/>
      <c r="AM88" s="22"/>
      <c r="AN88" s="22"/>
      <c r="AO88" s="22"/>
      <c r="AP88" s="22"/>
      <c r="AQ88" s="22"/>
      <c r="AR88"/>
      <c r="AS88"/>
      <c r="AT88"/>
      <c r="AU88"/>
      <c r="AV88"/>
      <c r="AW88"/>
      <c r="AX88"/>
      <c r="AY88"/>
    </row>
    <row r="89" spans="3:51">
      <c r="AJ89" s="22"/>
      <c r="AK89" s="22"/>
      <c r="AL89" s="22"/>
      <c r="AM89" s="22"/>
      <c r="AN89" s="22"/>
      <c r="AO89" s="22"/>
      <c r="AP89" s="22"/>
      <c r="AQ89" s="22"/>
      <c r="AR89"/>
      <c r="AS89"/>
      <c r="AT89"/>
      <c r="AU89"/>
      <c r="AV89"/>
      <c r="AW89"/>
      <c r="AX89"/>
      <c r="AY89"/>
    </row>
    <row r="90" spans="3:51">
      <c r="AJ90" s="22"/>
      <c r="AK90" s="22"/>
      <c r="AL90" s="22"/>
      <c r="AM90" s="22"/>
      <c r="AN90" s="22"/>
      <c r="AO90" s="22"/>
      <c r="AP90" s="22"/>
      <c r="AQ90" s="22"/>
      <c r="AR90"/>
      <c r="AS90"/>
      <c r="AT90"/>
      <c r="AU90"/>
      <c r="AV90"/>
      <c r="AW90"/>
      <c r="AX90"/>
      <c r="AY90"/>
    </row>
    <row r="91" spans="3:51">
      <c r="AJ91" s="22"/>
      <c r="AK91" s="22"/>
      <c r="AL91" s="22"/>
      <c r="AM91" s="22"/>
      <c r="AN91" s="22"/>
      <c r="AO91" s="22"/>
      <c r="AP91" s="22"/>
      <c r="AQ91" s="22"/>
      <c r="AR91"/>
      <c r="AS91"/>
      <c r="AT91"/>
      <c r="AU91"/>
      <c r="AV91"/>
      <c r="AW91"/>
      <c r="AX91"/>
      <c r="AY91"/>
    </row>
    <row r="92" spans="3:51">
      <c r="AJ92" s="22"/>
      <c r="AK92" s="22"/>
      <c r="AL92" s="22"/>
      <c r="AM92" s="22"/>
      <c r="AN92" s="22"/>
      <c r="AO92" s="22"/>
      <c r="AP92" s="22"/>
      <c r="AQ92" s="22"/>
      <c r="AR92"/>
      <c r="AS92"/>
      <c r="AT92"/>
      <c r="AU92"/>
      <c r="AV92"/>
      <c r="AW92"/>
      <c r="AX92"/>
      <c r="AY92"/>
    </row>
    <row r="93" spans="3:51">
      <c r="AJ93" s="22"/>
      <c r="AK93" s="22"/>
      <c r="AL93" s="22"/>
      <c r="AM93" s="22"/>
      <c r="AN93" s="22"/>
      <c r="AO93" s="22"/>
      <c r="AP93" s="22"/>
      <c r="AQ93" s="22"/>
      <c r="AR93"/>
      <c r="AS93"/>
      <c r="AT93"/>
      <c r="AU93"/>
      <c r="AV93"/>
      <c r="AW93"/>
      <c r="AX93"/>
      <c r="AY93"/>
    </row>
    <row r="94" spans="3:51">
      <c r="AJ94" s="22"/>
      <c r="AK94" s="22"/>
      <c r="AL94" s="22"/>
      <c r="AM94" s="22"/>
      <c r="AN94" s="22"/>
      <c r="AO94" s="22"/>
      <c r="AP94" s="22"/>
      <c r="AQ94" s="22"/>
      <c r="AR94"/>
      <c r="AS94"/>
      <c r="AT94"/>
      <c r="AU94"/>
      <c r="AV94"/>
      <c r="AW94"/>
      <c r="AX94"/>
      <c r="AY94"/>
    </row>
    <row r="95" spans="3:51">
      <c r="AJ95" s="22"/>
      <c r="AK95" s="22"/>
      <c r="AL95" s="22"/>
      <c r="AM95" s="22"/>
      <c r="AN95" s="22"/>
      <c r="AO95" s="22"/>
      <c r="AP95" s="22"/>
      <c r="AQ95" s="22"/>
      <c r="AR95"/>
      <c r="AS95"/>
      <c r="AT95"/>
      <c r="AU95"/>
      <c r="AV95"/>
      <c r="AW95"/>
      <c r="AX95"/>
      <c r="AY95"/>
    </row>
    <row r="96" spans="3:51">
      <c r="AJ96" s="22"/>
      <c r="AK96" s="22"/>
      <c r="AL96" s="22"/>
      <c r="AM96" s="22"/>
      <c r="AN96" s="22"/>
      <c r="AO96" s="22"/>
      <c r="AP96" s="22"/>
      <c r="AQ96" s="22"/>
      <c r="AR96"/>
      <c r="AS96"/>
      <c r="AT96"/>
      <c r="AU96"/>
      <c r="AV96"/>
      <c r="AW96"/>
      <c r="AX96"/>
      <c r="AY96"/>
    </row>
    <row r="97" spans="36:51">
      <c r="AJ97" s="22"/>
      <c r="AK97" s="22"/>
      <c r="AL97" s="22"/>
      <c r="AM97" s="22"/>
      <c r="AN97" s="22"/>
      <c r="AO97" s="22"/>
      <c r="AP97" s="22"/>
      <c r="AQ97" s="22"/>
      <c r="AR97"/>
      <c r="AS97"/>
      <c r="AT97"/>
      <c r="AU97"/>
      <c r="AV97"/>
      <c r="AW97"/>
      <c r="AX97"/>
      <c r="AY97"/>
    </row>
    <row r="98" spans="36:51">
      <c r="AJ98" s="22"/>
      <c r="AK98" s="22"/>
      <c r="AL98" s="22"/>
      <c r="AM98" s="22"/>
      <c r="AN98" s="22"/>
      <c r="AO98" s="22"/>
      <c r="AP98" s="22"/>
      <c r="AQ98" s="22"/>
      <c r="AR98"/>
      <c r="AS98"/>
      <c r="AT98"/>
      <c r="AU98"/>
      <c r="AV98"/>
      <c r="AW98"/>
      <c r="AX98"/>
      <c r="AY98"/>
    </row>
    <row r="99" spans="36:51">
      <c r="AJ99" s="22"/>
      <c r="AK99" s="22"/>
      <c r="AL99" s="22"/>
      <c r="AM99" s="22"/>
      <c r="AN99" s="22"/>
      <c r="AO99" s="22"/>
      <c r="AP99" s="22"/>
      <c r="AQ99" s="22"/>
      <c r="AR99"/>
      <c r="AS99"/>
      <c r="AT99"/>
      <c r="AU99"/>
      <c r="AV99"/>
      <c r="AW99"/>
      <c r="AX99"/>
      <c r="AY99"/>
    </row>
    <row r="100" spans="36:51">
      <c r="AJ100" s="22"/>
      <c r="AK100" s="22"/>
      <c r="AL100" s="22"/>
      <c r="AM100" s="22"/>
      <c r="AN100" s="22"/>
      <c r="AO100" s="22"/>
      <c r="AP100" s="22"/>
      <c r="AQ100" s="22"/>
      <c r="AR100"/>
      <c r="AS100"/>
      <c r="AT100"/>
      <c r="AU100"/>
      <c r="AV100"/>
      <c r="AW100"/>
      <c r="AX100"/>
      <c r="AY100"/>
    </row>
    <row r="101" spans="36:51">
      <c r="AJ101" s="22"/>
      <c r="AK101" s="22"/>
      <c r="AL101" s="22"/>
      <c r="AM101" s="22"/>
      <c r="AN101" s="22"/>
      <c r="AO101" s="22"/>
      <c r="AP101" s="22"/>
      <c r="AQ101" s="22"/>
      <c r="AR101"/>
      <c r="AS101"/>
      <c r="AT101"/>
      <c r="AU101"/>
      <c r="AV101"/>
      <c r="AW101"/>
      <c r="AX101"/>
      <c r="AY101"/>
    </row>
    <row r="102" spans="36:51">
      <c r="AJ102" s="22"/>
      <c r="AK102" s="22"/>
      <c r="AL102" s="22"/>
      <c r="AM102" s="22"/>
      <c r="AN102" s="22"/>
      <c r="AO102" s="22"/>
      <c r="AP102" s="22"/>
      <c r="AQ102" s="22"/>
      <c r="AR102"/>
      <c r="AS102"/>
      <c r="AT102"/>
      <c r="AU102"/>
      <c r="AV102"/>
      <c r="AW102"/>
      <c r="AX102"/>
      <c r="AY102"/>
    </row>
    <row r="103" spans="36:51">
      <c r="AJ103" s="22"/>
      <c r="AK103" s="22"/>
      <c r="AL103" s="22"/>
      <c r="AM103" s="22"/>
      <c r="AN103" s="22"/>
      <c r="AO103" s="22"/>
      <c r="AP103" s="22"/>
      <c r="AQ103" s="22"/>
      <c r="AR103"/>
      <c r="AS103"/>
      <c r="AT103"/>
      <c r="AU103"/>
      <c r="AV103"/>
      <c r="AW103"/>
      <c r="AX103"/>
      <c r="AY103"/>
    </row>
    <row r="104" spans="36:51">
      <c r="AJ104" s="22"/>
      <c r="AK104" s="22"/>
      <c r="AL104" s="22"/>
      <c r="AM104" s="22"/>
      <c r="AN104" s="22"/>
      <c r="AO104" s="22"/>
      <c r="AP104" s="22"/>
      <c r="AQ104" s="22"/>
      <c r="AR104"/>
      <c r="AS104"/>
      <c r="AT104"/>
      <c r="AU104"/>
      <c r="AV104"/>
      <c r="AW104"/>
      <c r="AX104"/>
      <c r="AY104"/>
    </row>
    <row r="105" spans="36:51">
      <c r="AJ105" s="22"/>
      <c r="AK105" s="22"/>
      <c r="AL105" s="22"/>
      <c r="AM105" s="22"/>
      <c r="AN105" s="22"/>
      <c r="AO105" s="22"/>
      <c r="AP105" s="22"/>
      <c r="AQ105" s="22"/>
      <c r="AR105"/>
      <c r="AS105"/>
      <c r="AT105"/>
      <c r="AU105"/>
      <c r="AV105"/>
      <c r="AW105"/>
      <c r="AX105"/>
      <c r="AY105"/>
    </row>
    <row r="106" spans="36:51">
      <c r="AJ106" s="22"/>
      <c r="AK106" s="22"/>
      <c r="AL106" s="22"/>
      <c r="AM106" s="22"/>
      <c r="AN106" s="22"/>
      <c r="AO106" s="22"/>
      <c r="AP106" s="22"/>
      <c r="AQ106" s="22"/>
      <c r="AR106"/>
      <c r="AS106"/>
      <c r="AT106"/>
      <c r="AU106"/>
      <c r="AV106"/>
      <c r="AW106"/>
      <c r="AX106"/>
      <c r="AY106"/>
    </row>
    <row r="107" spans="36:51">
      <c r="AJ107" s="22"/>
      <c r="AK107" s="22"/>
      <c r="AL107" s="22"/>
      <c r="AM107" s="22"/>
      <c r="AN107" s="22"/>
      <c r="AO107" s="22"/>
      <c r="AP107" s="22"/>
      <c r="AQ107" s="22"/>
      <c r="AR107"/>
      <c r="AS107"/>
      <c r="AT107"/>
      <c r="AU107"/>
      <c r="AV107"/>
      <c r="AW107"/>
      <c r="AX107"/>
      <c r="AY107"/>
    </row>
    <row r="108" spans="36:51">
      <c r="AJ108" s="22"/>
      <c r="AK108" s="22"/>
      <c r="AL108" s="22"/>
      <c r="AM108" s="22"/>
      <c r="AN108" s="22"/>
      <c r="AO108" s="22"/>
      <c r="AP108" s="22"/>
      <c r="AQ108" s="22"/>
      <c r="AR108"/>
      <c r="AS108"/>
      <c r="AT108"/>
      <c r="AU108"/>
      <c r="AV108"/>
      <c r="AW108"/>
      <c r="AX108"/>
      <c r="AY108"/>
    </row>
    <row r="109" spans="36:51">
      <c r="AJ109" s="22"/>
      <c r="AK109" s="22"/>
      <c r="AL109" s="22"/>
      <c r="AM109" s="22"/>
      <c r="AN109" s="22"/>
      <c r="AO109" s="22"/>
      <c r="AP109" s="22"/>
      <c r="AQ109" s="22"/>
      <c r="AR109"/>
      <c r="AS109"/>
      <c r="AT109"/>
      <c r="AU109"/>
      <c r="AV109"/>
      <c r="AW109"/>
      <c r="AX109"/>
      <c r="AY109"/>
    </row>
    <row r="110" spans="36:51">
      <c r="AJ110" s="22"/>
      <c r="AK110" s="22"/>
      <c r="AL110" s="22"/>
      <c r="AM110" s="22"/>
      <c r="AN110" s="22"/>
      <c r="AO110" s="22"/>
      <c r="AP110" s="22"/>
      <c r="AQ110" s="22"/>
      <c r="AR110"/>
      <c r="AS110"/>
      <c r="AT110"/>
      <c r="AU110"/>
      <c r="AV110"/>
      <c r="AW110"/>
      <c r="AX110"/>
      <c r="AY110"/>
    </row>
    <row r="111" spans="36:51">
      <c r="AJ111" s="22"/>
      <c r="AK111" s="22"/>
      <c r="AL111" s="22"/>
      <c r="AM111" s="22"/>
      <c r="AN111" s="22"/>
      <c r="AO111" s="22"/>
      <c r="AP111" s="22"/>
      <c r="AQ111" s="22"/>
      <c r="AR111"/>
      <c r="AS111"/>
      <c r="AT111"/>
      <c r="AU111"/>
      <c r="AV111"/>
      <c r="AW111"/>
      <c r="AX111"/>
      <c r="AY111"/>
    </row>
    <row r="112" spans="36:51">
      <c r="AJ112" s="22"/>
      <c r="AK112" s="22"/>
      <c r="AL112" s="22"/>
      <c r="AM112" s="22"/>
      <c r="AN112" s="22"/>
      <c r="AO112" s="22"/>
      <c r="AP112" s="22"/>
      <c r="AQ112" s="22"/>
      <c r="AR112"/>
      <c r="AS112"/>
      <c r="AT112"/>
      <c r="AU112"/>
      <c r="AV112"/>
      <c r="AW112"/>
      <c r="AX112"/>
      <c r="AY112"/>
    </row>
    <row r="113" spans="36:51">
      <c r="AJ113" s="22"/>
      <c r="AK113" s="22"/>
      <c r="AL113" s="22"/>
      <c r="AM113" s="22"/>
      <c r="AN113" s="22"/>
      <c r="AO113" s="22"/>
      <c r="AP113" s="22"/>
      <c r="AQ113" s="22"/>
      <c r="AR113"/>
      <c r="AS113"/>
      <c r="AT113"/>
      <c r="AU113"/>
      <c r="AV113"/>
      <c r="AW113"/>
      <c r="AX113"/>
      <c r="AY113"/>
    </row>
    <row r="114" spans="36:51">
      <c r="AJ114" s="22"/>
      <c r="AK114" s="22"/>
      <c r="AL114" s="22"/>
      <c r="AM114" s="22"/>
      <c r="AN114" s="22"/>
      <c r="AO114" s="22"/>
      <c r="AP114" s="22"/>
      <c r="AQ114" s="22"/>
      <c r="AR114"/>
      <c r="AS114"/>
      <c r="AT114"/>
      <c r="AU114"/>
      <c r="AV114"/>
      <c r="AW114"/>
      <c r="AX114"/>
      <c r="AY114"/>
    </row>
    <row r="115" spans="36:51">
      <c r="AJ115" s="22"/>
      <c r="AK115" s="22"/>
      <c r="AL115" s="22"/>
      <c r="AM115" s="22"/>
      <c r="AN115" s="22"/>
      <c r="AO115" s="22"/>
      <c r="AP115" s="22"/>
      <c r="AQ115" s="22"/>
      <c r="AR115"/>
      <c r="AS115"/>
      <c r="AT115"/>
      <c r="AU115"/>
      <c r="AV115"/>
      <c r="AW115"/>
      <c r="AX115"/>
      <c r="AY115"/>
    </row>
    <row r="116" spans="36:51">
      <c r="AJ116" s="22"/>
      <c r="AK116" s="22"/>
      <c r="AL116" s="22"/>
      <c r="AM116" s="22"/>
      <c r="AN116" s="22"/>
      <c r="AO116" s="22"/>
      <c r="AP116" s="22"/>
      <c r="AQ116" s="22"/>
      <c r="AR116"/>
      <c r="AS116"/>
      <c r="AT116"/>
      <c r="AU116"/>
      <c r="AV116"/>
      <c r="AW116"/>
      <c r="AX116"/>
      <c r="AY116"/>
    </row>
    <row r="117" spans="36:51">
      <c r="AJ117" s="22"/>
      <c r="AK117" s="22"/>
      <c r="AL117" s="22"/>
      <c r="AM117" s="22"/>
      <c r="AN117" s="22"/>
      <c r="AO117" s="22"/>
      <c r="AP117" s="22"/>
      <c r="AQ117" s="22"/>
      <c r="AR117"/>
      <c r="AS117"/>
      <c r="AT117"/>
      <c r="AU117"/>
      <c r="AV117"/>
      <c r="AW117"/>
      <c r="AX117"/>
      <c r="AY117"/>
    </row>
    <row r="118" spans="36:51">
      <c r="AJ118" s="22"/>
      <c r="AK118" s="22"/>
      <c r="AL118" s="22"/>
      <c r="AM118" s="22"/>
      <c r="AN118" s="22"/>
      <c r="AO118" s="22"/>
      <c r="AP118" s="22"/>
      <c r="AQ118" s="22"/>
      <c r="AR118"/>
      <c r="AS118"/>
      <c r="AT118"/>
      <c r="AU118"/>
      <c r="AV118"/>
      <c r="AW118"/>
      <c r="AX118"/>
      <c r="AY118"/>
    </row>
    <row r="119" spans="36:51">
      <c r="AJ119" s="22"/>
      <c r="AK119" s="22"/>
      <c r="AL119" s="22"/>
      <c r="AM119" s="22"/>
      <c r="AN119" s="22"/>
      <c r="AO119" s="22"/>
      <c r="AP119" s="22"/>
      <c r="AQ119" s="22"/>
      <c r="AR119"/>
      <c r="AS119"/>
      <c r="AT119"/>
      <c r="AU119"/>
      <c r="AV119"/>
      <c r="AW119"/>
      <c r="AX119"/>
      <c r="AY119"/>
    </row>
    <row r="120" spans="36:51">
      <c r="AJ120" s="22"/>
      <c r="AK120" s="22"/>
      <c r="AL120" s="22"/>
      <c r="AM120" s="22"/>
      <c r="AN120" s="22"/>
      <c r="AO120" s="22"/>
      <c r="AP120" s="22"/>
      <c r="AQ120" s="22"/>
      <c r="AR120"/>
      <c r="AS120"/>
      <c r="AT120"/>
      <c r="AU120"/>
      <c r="AV120"/>
      <c r="AW120"/>
      <c r="AX120"/>
      <c r="AY120"/>
    </row>
    <row r="121" spans="36:51">
      <c r="AJ121" s="22"/>
      <c r="AK121" s="22"/>
      <c r="AL121" s="22"/>
      <c r="AM121" s="22"/>
      <c r="AN121" s="22"/>
      <c r="AO121" s="22"/>
      <c r="AP121" s="22"/>
      <c r="AQ121" s="22"/>
      <c r="AR121"/>
      <c r="AS121"/>
      <c r="AT121"/>
      <c r="AU121"/>
      <c r="AV121"/>
      <c r="AW121"/>
      <c r="AX121"/>
      <c r="AY121"/>
    </row>
    <row r="122" spans="36:51">
      <c r="AJ122" s="22"/>
      <c r="AK122" s="22"/>
      <c r="AL122" s="22"/>
      <c r="AM122" s="22"/>
      <c r="AN122" s="22"/>
      <c r="AO122" s="22"/>
      <c r="AP122" s="22"/>
      <c r="AQ122" s="22"/>
      <c r="AR122"/>
      <c r="AS122"/>
      <c r="AT122"/>
      <c r="AU122"/>
      <c r="AV122"/>
      <c r="AW122"/>
      <c r="AX122"/>
      <c r="AY122"/>
    </row>
    <row r="123" spans="36:51">
      <c r="AJ123" s="22"/>
      <c r="AK123" s="22"/>
      <c r="AL123" s="22"/>
      <c r="AM123" s="22"/>
      <c r="AN123" s="22"/>
      <c r="AO123" s="22"/>
      <c r="AP123" s="22"/>
      <c r="AQ123" s="22"/>
      <c r="AR123"/>
      <c r="AS123"/>
      <c r="AT123"/>
      <c r="AU123"/>
      <c r="AV123"/>
      <c r="AW123"/>
      <c r="AX123"/>
      <c r="AY123"/>
    </row>
    <row r="124" spans="36:51">
      <c r="AJ124" s="22"/>
      <c r="AK124" s="22"/>
      <c r="AL124" s="22"/>
      <c r="AM124" s="22"/>
      <c r="AN124" s="22"/>
      <c r="AO124" s="22"/>
      <c r="AP124" s="22"/>
      <c r="AQ124" s="22"/>
      <c r="AR124"/>
      <c r="AS124"/>
      <c r="AT124"/>
      <c r="AU124"/>
      <c r="AV124"/>
      <c r="AW124"/>
      <c r="AX124"/>
      <c r="AY124"/>
    </row>
    <row r="125" spans="36:51">
      <c r="AJ125" s="22"/>
      <c r="AK125" s="22"/>
      <c r="AL125" s="22"/>
      <c r="AM125" s="22"/>
      <c r="AN125" s="22"/>
      <c r="AO125" s="22"/>
      <c r="AP125" s="22"/>
      <c r="AQ125" s="22"/>
      <c r="AR125"/>
      <c r="AS125"/>
      <c r="AT125"/>
      <c r="AU125"/>
      <c r="AV125"/>
      <c r="AW125"/>
      <c r="AX125"/>
      <c r="AY125"/>
    </row>
    <row r="126" spans="36:51">
      <c r="AJ126" s="22"/>
      <c r="AK126" s="22"/>
      <c r="AL126" s="22"/>
      <c r="AM126" s="22"/>
      <c r="AN126" s="22"/>
      <c r="AO126" s="22"/>
      <c r="AP126" s="22"/>
      <c r="AQ126" s="22"/>
      <c r="AR126"/>
      <c r="AS126"/>
      <c r="AT126"/>
      <c r="AU126"/>
      <c r="AV126"/>
      <c r="AW126"/>
      <c r="AX126"/>
      <c r="AY126"/>
    </row>
    <row r="127" spans="36:51">
      <c r="AJ127" s="22"/>
      <c r="AK127" s="22"/>
      <c r="AL127" s="22"/>
      <c r="AM127" s="22"/>
      <c r="AN127" s="22"/>
      <c r="AO127" s="22"/>
      <c r="AP127" s="22"/>
      <c r="AQ127" s="22"/>
      <c r="AR127"/>
      <c r="AS127"/>
      <c r="AT127"/>
      <c r="AU127"/>
      <c r="AV127"/>
      <c r="AW127"/>
      <c r="AX127"/>
      <c r="AY127"/>
    </row>
    <row r="128" spans="36:51">
      <c r="AJ128" s="22"/>
      <c r="AK128" s="22"/>
      <c r="AL128" s="22"/>
      <c r="AM128" s="22"/>
      <c r="AN128" s="22"/>
      <c r="AO128" s="22"/>
      <c r="AP128" s="22"/>
      <c r="AQ128" s="22"/>
      <c r="AR128"/>
      <c r="AS128"/>
      <c r="AT128"/>
      <c r="AU128"/>
      <c r="AV128"/>
      <c r="AW128"/>
      <c r="AX128"/>
      <c r="AY128"/>
    </row>
    <row r="129" spans="36:51">
      <c r="AJ129" s="22"/>
      <c r="AK129" s="22"/>
      <c r="AL129" s="22"/>
      <c r="AM129" s="22"/>
      <c r="AN129" s="22"/>
      <c r="AO129" s="22"/>
      <c r="AP129" s="22"/>
      <c r="AQ129" s="22"/>
      <c r="AR129"/>
      <c r="AS129"/>
      <c r="AT129"/>
      <c r="AU129"/>
      <c r="AV129"/>
      <c r="AW129"/>
      <c r="AX129"/>
      <c r="AY129"/>
    </row>
    <row r="130" spans="36:51">
      <c r="AJ130" s="22"/>
      <c r="AK130" s="22"/>
      <c r="AL130" s="22"/>
      <c r="AM130" s="22"/>
      <c r="AN130" s="22"/>
      <c r="AO130" s="22"/>
      <c r="AP130" s="22"/>
      <c r="AQ130" s="22"/>
      <c r="AR130"/>
      <c r="AS130"/>
      <c r="AT130"/>
      <c r="AU130"/>
      <c r="AV130"/>
      <c r="AW130"/>
      <c r="AX130"/>
      <c r="AY130"/>
    </row>
    <row r="131" spans="36:51">
      <c r="AJ131" s="22"/>
      <c r="AK131" s="22"/>
      <c r="AL131" s="22"/>
      <c r="AM131" s="22"/>
      <c r="AN131" s="22"/>
      <c r="AO131" s="22"/>
      <c r="AP131" s="22"/>
      <c r="AQ131" s="22"/>
      <c r="AR131"/>
      <c r="AS131"/>
      <c r="AT131"/>
      <c r="AU131"/>
      <c r="AV131"/>
      <c r="AW131"/>
      <c r="AX131"/>
      <c r="AY131"/>
    </row>
    <row r="132" spans="36:51">
      <c r="AJ132" s="22"/>
      <c r="AK132" s="22"/>
      <c r="AL132" s="22"/>
      <c r="AM132" s="22"/>
      <c r="AN132" s="22"/>
      <c r="AO132" s="22"/>
      <c r="AP132" s="22"/>
      <c r="AQ132" s="22"/>
      <c r="AR132"/>
      <c r="AS132"/>
      <c r="AT132"/>
      <c r="AU132"/>
      <c r="AV132"/>
      <c r="AW132"/>
      <c r="AX132"/>
      <c r="AY132"/>
    </row>
    <row r="133" spans="36:51">
      <c r="AJ133" s="22"/>
      <c r="AK133" s="22"/>
      <c r="AL133" s="22"/>
      <c r="AM133" s="22"/>
      <c r="AN133" s="22"/>
      <c r="AO133" s="22"/>
      <c r="AP133" s="22"/>
      <c r="AQ133" s="22"/>
      <c r="AR133"/>
      <c r="AS133"/>
      <c r="AT133"/>
      <c r="AU133"/>
      <c r="AV133"/>
      <c r="AW133"/>
      <c r="AX133"/>
      <c r="AY133"/>
    </row>
    <row r="134" spans="36:51">
      <c r="AJ134" s="22"/>
      <c r="AK134" s="22"/>
      <c r="AL134" s="22"/>
      <c r="AM134" s="22"/>
      <c r="AN134" s="22"/>
      <c r="AO134" s="22"/>
      <c r="AP134" s="22"/>
      <c r="AQ134" s="22"/>
      <c r="AR134"/>
      <c r="AS134"/>
      <c r="AT134"/>
      <c r="AU134"/>
      <c r="AV134"/>
      <c r="AW134"/>
      <c r="AX134"/>
      <c r="AY134"/>
    </row>
    <row r="135" spans="36:51">
      <c r="AJ135" s="22"/>
      <c r="AK135" s="22"/>
      <c r="AL135" s="22"/>
      <c r="AM135" s="22"/>
      <c r="AN135" s="22"/>
      <c r="AO135" s="22"/>
      <c r="AP135" s="22"/>
      <c r="AQ135" s="22"/>
      <c r="AR135"/>
      <c r="AS135"/>
      <c r="AT135"/>
      <c r="AU135"/>
      <c r="AV135"/>
      <c r="AW135"/>
      <c r="AX135"/>
      <c r="AY135"/>
    </row>
    <row r="136" spans="36:51">
      <c r="AJ136" s="22"/>
      <c r="AK136" s="22"/>
      <c r="AL136" s="22"/>
      <c r="AM136" s="22"/>
      <c r="AN136" s="22"/>
      <c r="AO136" s="22"/>
      <c r="AP136" s="22"/>
      <c r="AQ136" s="22"/>
      <c r="AR136"/>
      <c r="AS136"/>
      <c r="AT136"/>
      <c r="AU136"/>
      <c r="AV136"/>
      <c r="AW136"/>
      <c r="AX136"/>
      <c r="AY136"/>
    </row>
    <row r="137" spans="36:51">
      <c r="AJ137" s="22"/>
      <c r="AK137" s="22"/>
      <c r="AL137" s="22"/>
      <c r="AM137" s="22"/>
      <c r="AN137" s="22"/>
      <c r="AO137" s="22"/>
      <c r="AP137" s="22"/>
      <c r="AQ137" s="22"/>
      <c r="AR137"/>
      <c r="AS137"/>
      <c r="AT137"/>
      <c r="AU137"/>
      <c r="AV137"/>
      <c r="AW137"/>
      <c r="AX137"/>
      <c r="AY137"/>
    </row>
    <row r="138" spans="36:51">
      <c r="AJ138" s="22"/>
      <c r="AK138" s="22"/>
      <c r="AL138" s="22"/>
      <c r="AM138" s="22"/>
      <c r="AN138" s="22"/>
      <c r="AO138" s="22"/>
      <c r="AP138" s="22"/>
      <c r="AQ138" s="22"/>
      <c r="AR138"/>
      <c r="AS138"/>
      <c r="AT138"/>
      <c r="AU138"/>
      <c r="AV138"/>
      <c r="AW138"/>
      <c r="AX138"/>
      <c r="AY138"/>
    </row>
    <row r="139" spans="36:51">
      <c r="AJ139" s="22"/>
      <c r="AK139" s="22"/>
      <c r="AL139" s="22"/>
      <c r="AM139" s="22"/>
      <c r="AN139" s="22"/>
      <c r="AO139" s="22"/>
      <c r="AP139" s="22"/>
      <c r="AQ139" s="22"/>
      <c r="AR139"/>
      <c r="AS139"/>
      <c r="AT139"/>
      <c r="AU139"/>
      <c r="AV139"/>
      <c r="AW139"/>
      <c r="AX139"/>
      <c r="AY139"/>
    </row>
    <row r="140" spans="36:51">
      <c r="AJ140" s="22"/>
      <c r="AK140" s="22"/>
      <c r="AL140" s="22"/>
      <c r="AM140" s="22"/>
      <c r="AN140" s="22"/>
      <c r="AO140" s="22"/>
      <c r="AP140" s="22"/>
      <c r="AQ140" s="22"/>
      <c r="AR140"/>
      <c r="AS140"/>
      <c r="AT140"/>
      <c r="AU140"/>
      <c r="AV140"/>
      <c r="AW140"/>
      <c r="AX140"/>
      <c r="AY140"/>
    </row>
    <row r="141" spans="36:51">
      <c r="AJ141" s="22"/>
      <c r="AK141" s="22"/>
      <c r="AL141" s="22"/>
      <c r="AM141" s="22"/>
      <c r="AN141" s="22"/>
      <c r="AO141" s="22"/>
      <c r="AP141" s="22"/>
      <c r="AQ141" s="22"/>
      <c r="AR141"/>
      <c r="AS141"/>
      <c r="AT141"/>
      <c r="AU141"/>
      <c r="AV141"/>
      <c r="AW141"/>
      <c r="AX141"/>
      <c r="AY141"/>
    </row>
    <row r="142" spans="36:51">
      <c r="AJ142" s="22"/>
      <c r="AK142" s="22"/>
      <c r="AL142" s="22"/>
      <c r="AM142" s="22"/>
      <c r="AN142" s="22"/>
      <c r="AO142" s="22"/>
      <c r="AP142" s="22"/>
      <c r="AQ142" s="22"/>
      <c r="AR142"/>
      <c r="AS142"/>
      <c r="AT142"/>
      <c r="AU142"/>
      <c r="AV142"/>
      <c r="AW142"/>
      <c r="AX142"/>
      <c r="AY142"/>
    </row>
    <row r="143" spans="36:51">
      <c r="AJ143" s="22"/>
      <c r="AK143" s="22"/>
      <c r="AL143" s="22"/>
      <c r="AM143" s="22"/>
      <c r="AN143" s="22"/>
      <c r="AO143" s="22"/>
      <c r="AP143" s="22"/>
      <c r="AQ143" s="22"/>
      <c r="AR143"/>
      <c r="AS143"/>
      <c r="AT143"/>
      <c r="AU143"/>
      <c r="AV143"/>
      <c r="AW143"/>
      <c r="AX143"/>
      <c r="AY143"/>
    </row>
    <row r="144" spans="36:51">
      <c r="AJ144" s="22"/>
      <c r="AK144" s="22"/>
      <c r="AL144" s="22"/>
      <c r="AM144" s="22"/>
      <c r="AN144" s="22"/>
      <c r="AO144" s="22"/>
      <c r="AP144" s="22"/>
      <c r="AQ144" s="22"/>
      <c r="AR144"/>
      <c r="AS144"/>
      <c r="AT144"/>
      <c r="AU144"/>
      <c r="AV144"/>
      <c r="AW144"/>
      <c r="AX144"/>
      <c r="AY144"/>
    </row>
    <row r="145" spans="36:51">
      <c r="AJ145" s="22"/>
      <c r="AK145" s="22"/>
      <c r="AL145" s="22"/>
      <c r="AM145" s="22"/>
      <c r="AN145" s="22"/>
      <c r="AO145" s="22"/>
      <c r="AP145" s="22"/>
      <c r="AQ145" s="22"/>
      <c r="AR145"/>
      <c r="AS145"/>
      <c r="AT145"/>
      <c r="AU145"/>
      <c r="AV145"/>
      <c r="AW145"/>
      <c r="AX145"/>
      <c r="AY145"/>
    </row>
    <row r="146" spans="36:51">
      <c r="AJ146" s="22"/>
      <c r="AK146" s="22"/>
      <c r="AL146" s="22"/>
      <c r="AM146" s="22"/>
      <c r="AN146" s="22"/>
      <c r="AO146" s="22"/>
      <c r="AP146" s="22"/>
      <c r="AQ146" s="22"/>
      <c r="AR146"/>
      <c r="AS146"/>
      <c r="AT146"/>
      <c r="AU146"/>
      <c r="AV146"/>
      <c r="AW146"/>
      <c r="AX146"/>
      <c r="AY146"/>
    </row>
    <row r="147" spans="36:51">
      <c r="AJ147" s="22"/>
      <c r="AK147" s="22"/>
      <c r="AL147" s="22"/>
      <c r="AM147" s="22"/>
      <c r="AN147" s="22"/>
      <c r="AO147" s="22"/>
      <c r="AP147" s="22"/>
      <c r="AQ147" s="22"/>
      <c r="AR147"/>
      <c r="AS147"/>
      <c r="AT147"/>
      <c r="AU147"/>
      <c r="AV147"/>
      <c r="AW147"/>
      <c r="AX147"/>
      <c r="AY147"/>
    </row>
    <row r="148" spans="36:51">
      <c r="AJ148" s="22"/>
      <c r="AK148" s="22"/>
      <c r="AL148" s="22"/>
      <c r="AM148" s="22"/>
      <c r="AN148" s="22"/>
      <c r="AO148" s="22"/>
      <c r="AP148" s="22"/>
      <c r="AQ148" s="22"/>
      <c r="AR148"/>
      <c r="AS148"/>
      <c r="AT148"/>
      <c r="AU148"/>
      <c r="AV148"/>
      <c r="AW148"/>
      <c r="AX148"/>
      <c r="AY148"/>
    </row>
    <row r="149" spans="36:51">
      <c r="AJ149" s="22"/>
      <c r="AK149" s="22"/>
      <c r="AL149" s="22"/>
      <c r="AM149" s="22"/>
      <c r="AN149" s="22"/>
      <c r="AO149" s="22"/>
      <c r="AP149" s="22"/>
      <c r="AQ149" s="22"/>
      <c r="AR149"/>
      <c r="AS149"/>
      <c r="AT149"/>
      <c r="AU149"/>
      <c r="AV149"/>
      <c r="AW149"/>
      <c r="AX149"/>
      <c r="AY149"/>
    </row>
    <row r="150" spans="36:51">
      <c r="AJ150" s="22"/>
      <c r="AK150" s="22"/>
      <c r="AL150" s="22"/>
      <c r="AM150" s="22"/>
      <c r="AN150" s="22"/>
      <c r="AO150" s="22"/>
      <c r="AP150" s="22"/>
      <c r="AQ150" s="22"/>
      <c r="AR150"/>
      <c r="AS150"/>
      <c r="AT150"/>
      <c r="AU150"/>
      <c r="AV150"/>
      <c r="AW150"/>
      <c r="AX150"/>
      <c r="AY150"/>
    </row>
    <row r="151" spans="36:51">
      <c r="AJ151" s="22"/>
      <c r="AK151" s="22"/>
      <c r="AL151" s="22"/>
      <c r="AM151" s="22"/>
      <c r="AN151" s="22"/>
      <c r="AO151" s="22"/>
      <c r="AP151" s="22"/>
      <c r="AQ151" s="22"/>
      <c r="AR151"/>
      <c r="AS151"/>
      <c r="AT151"/>
      <c r="AU151"/>
      <c r="AV151"/>
      <c r="AW151"/>
      <c r="AX151"/>
      <c r="AY151"/>
    </row>
    <row r="152" spans="36:51">
      <c r="AJ152" s="22"/>
      <c r="AK152" s="22"/>
      <c r="AL152" s="22"/>
      <c r="AM152" s="22"/>
      <c r="AN152" s="22"/>
      <c r="AO152" s="22"/>
      <c r="AP152" s="22"/>
      <c r="AQ152" s="22"/>
      <c r="AR152"/>
      <c r="AS152"/>
      <c r="AT152"/>
      <c r="AU152"/>
      <c r="AV152"/>
      <c r="AW152"/>
      <c r="AX152"/>
      <c r="AY152"/>
    </row>
    <row r="153" spans="36:51">
      <c r="AJ153" s="22"/>
      <c r="AK153" s="22"/>
      <c r="AL153" s="22"/>
      <c r="AM153" s="22"/>
      <c r="AN153" s="22"/>
      <c r="AO153" s="22"/>
      <c r="AP153" s="22"/>
      <c r="AQ153" s="22"/>
      <c r="AR153"/>
      <c r="AS153"/>
      <c r="AT153"/>
      <c r="AU153"/>
      <c r="AV153"/>
      <c r="AW153"/>
      <c r="AX153"/>
      <c r="AY153"/>
    </row>
    <row r="154" spans="36:51">
      <c r="AJ154" s="22"/>
      <c r="AK154" s="22"/>
      <c r="AL154" s="22"/>
      <c r="AM154" s="22"/>
      <c r="AN154" s="22"/>
      <c r="AO154" s="22"/>
      <c r="AP154" s="22"/>
      <c r="AQ154" s="22"/>
      <c r="AR154"/>
      <c r="AS154"/>
      <c r="AT154"/>
      <c r="AU154"/>
      <c r="AV154"/>
      <c r="AW154"/>
      <c r="AX154"/>
      <c r="AY154"/>
    </row>
    <row r="155" spans="36:51">
      <c r="AJ155" s="22"/>
      <c r="AK155" s="22"/>
      <c r="AL155" s="22"/>
      <c r="AM155" s="22"/>
      <c r="AN155" s="22"/>
      <c r="AO155" s="22"/>
      <c r="AP155" s="22"/>
      <c r="AQ155" s="22"/>
      <c r="AR155"/>
      <c r="AS155"/>
      <c r="AT155"/>
      <c r="AU155"/>
      <c r="AV155"/>
      <c r="AW155"/>
      <c r="AX155"/>
      <c r="AY155"/>
    </row>
    <row r="156" spans="36:51">
      <c r="AJ156" s="22"/>
      <c r="AK156" s="22"/>
      <c r="AL156" s="22"/>
      <c r="AM156" s="22"/>
      <c r="AN156" s="22"/>
      <c r="AO156" s="22"/>
      <c r="AP156" s="22"/>
      <c r="AQ156" s="22"/>
      <c r="AR156"/>
      <c r="AS156"/>
      <c r="AT156"/>
      <c r="AU156"/>
      <c r="AV156"/>
      <c r="AW156"/>
      <c r="AX156"/>
      <c r="AY156"/>
    </row>
    <row r="157" spans="36:51">
      <c r="AJ157" s="22"/>
      <c r="AK157" s="22"/>
      <c r="AL157" s="22"/>
      <c r="AM157" s="22"/>
      <c r="AN157" s="22"/>
      <c r="AO157" s="22"/>
      <c r="AP157" s="22"/>
      <c r="AQ157" s="22"/>
      <c r="AR157"/>
      <c r="AS157"/>
      <c r="AT157"/>
      <c r="AU157"/>
      <c r="AV157"/>
      <c r="AW157"/>
      <c r="AX157"/>
      <c r="AY157"/>
    </row>
    <row r="158" spans="36:51">
      <c r="AJ158" s="22"/>
      <c r="AK158" s="22"/>
      <c r="AL158" s="22"/>
      <c r="AM158" s="22"/>
      <c r="AN158" s="22"/>
      <c r="AO158" s="22"/>
      <c r="AP158" s="22"/>
      <c r="AQ158" s="22"/>
      <c r="AR158"/>
      <c r="AS158"/>
      <c r="AT158"/>
      <c r="AU158"/>
      <c r="AV158"/>
      <c r="AW158"/>
      <c r="AX158"/>
      <c r="AY158"/>
    </row>
    <row r="159" spans="36:51">
      <c r="AJ159" s="22"/>
      <c r="AK159" s="22"/>
      <c r="AL159" s="22"/>
      <c r="AM159" s="22"/>
      <c r="AN159" s="22"/>
      <c r="AO159" s="22"/>
      <c r="AP159" s="22"/>
      <c r="AQ159" s="22"/>
      <c r="AR159"/>
      <c r="AS159"/>
      <c r="AT159"/>
      <c r="AU159"/>
      <c r="AV159"/>
      <c r="AW159"/>
      <c r="AX159"/>
      <c r="AY159"/>
    </row>
    <row r="160" spans="36:51">
      <c r="AJ160" s="22"/>
      <c r="AK160" s="22"/>
      <c r="AL160" s="22"/>
      <c r="AM160" s="22"/>
      <c r="AN160" s="22"/>
      <c r="AO160" s="22"/>
      <c r="AP160" s="22"/>
      <c r="AQ160" s="22"/>
      <c r="AR160"/>
      <c r="AS160"/>
      <c r="AT160"/>
      <c r="AU160"/>
      <c r="AV160"/>
      <c r="AW160"/>
      <c r="AX160"/>
      <c r="AY160"/>
    </row>
    <row r="161" spans="36:51">
      <c r="AJ161" s="22"/>
      <c r="AK161" s="22"/>
      <c r="AL161" s="22"/>
      <c r="AM161" s="22"/>
      <c r="AN161" s="22"/>
      <c r="AO161" s="22"/>
      <c r="AP161" s="22"/>
      <c r="AQ161" s="22"/>
      <c r="AR161"/>
      <c r="AS161"/>
      <c r="AT161"/>
      <c r="AU161"/>
      <c r="AV161"/>
      <c r="AW161"/>
      <c r="AX161"/>
      <c r="AY161"/>
    </row>
    <row r="162" spans="36:51">
      <c r="AJ162" s="22"/>
      <c r="AK162" s="22"/>
      <c r="AL162" s="22"/>
      <c r="AM162" s="22"/>
      <c r="AN162" s="22"/>
      <c r="AO162" s="22"/>
      <c r="AP162" s="22"/>
      <c r="AQ162" s="22"/>
      <c r="AR162"/>
      <c r="AS162"/>
      <c r="AT162"/>
      <c r="AU162"/>
      <c r="AV162"/>
      <c r="AW162"/>
      <c r="AX162"/>
      <c r="AY162"/>
    </row>
    <row r="163" spans="36:51">
      <c r="AJ163" s="22"/>
      <c r="AK163" s="22"/>
      <c r="AL163" s="22"/>
      <c r="AM163" s="22"/>
      <c r="AN163" s="22"/>
      <c r="AO163" s="22"/>
      <c r="AP163" s="22"/>
      <c r="AQ163" s="22"/>
      <c r="AR163"/>
      <c r="AS163"/>
      <c r="AT163"/>
      <c r="AU163"/>
      <c r="AV163"/>
      <c r="AW163"/>
      <c r="AX163"/>
      <c r="AY163"/>
    </row>
    <row r="164" spans="36:51">
      <c r="AJ164" s="22"/>
      <c r="AK164" s="22"/>
      <c r="AL164" s="22"/>
      <c r="AM164" s="22"/>
      <c r="AN164" s="22"/>
      <c r="AO164" s="22"/>
      <c r="AP164" s="22"/>
      <c r="AQ164" s="22"/>
      <c r="AR164"/>
      <c r="AS164"/>
      <c r="AT164"/>
      <c r="AU164"/>
      <c r="AV164"/>
      <c r="AW164"/>
      <c r="AX164"/>
      <c r="AY164"/>
    </row>
    <row r="165" spans="36:51">
      <c r="AJ165" s="22"/>
      <c r="AK165" s="22"/>
      <c r="AL165" s="22"/>
      <c r="AM165" s="22"/>
      <c r="AN165" s="22"/>
      <c r="AO165" s="22"/>
      <c r="AP165" s="22"/>
      <c r="AQ165" s="22"/>
      <c r="AR165"/>
      <c r="AS165"/>
      <c r="AT165"/>
      <c r="AU165"/>
      <c r="AV165"/>
      <c r="AW165"/>
      <c r="AX165"/>
      <c r="AY165"/>
    </row>
    <row r="166" spans="36:51">
      <c r="AJ166" s="22"/>
      <c r="AK166" s="22"/>
      <c r="AL166" s="22"/>
      <c r="AM166" s="22"/>
      <c r="AN166" s="22"/>
      <c r="AO166" s="22"/>
      <c r="AP166" s="22"/>
      <c r="AQ166" s="22"/>
      <c r="AR166"/>
      <c r="AS166"/>
      <c r="AT166"/>
      <c r="AU166"/>
      <c r="AV166"/>
      <c r="AW166"/>
      <c r="AX166"/>
      <c r="AY166"/>
    </row>
    <row r="167" spans="36:51">
      <c r="AJ167" s="22"/>
      <c r="AK167" s="22"/>
      <c r="AL167" s="22"/>
      <c r="AM167" s="22"/>
      <c r="AN167" s="22"/>
      <c r="AO167" s="22"/>
      <c r="AP167" s="22"/>
      <c r="AQ167" s="22"/>
      <c r="AR167"/>
      <c r="AS167"/>
      <c r="AT167"/>
      <c r="AU167"/>
      <c r="AV167"/>
      <c r="AW167"/>
      <c r="AX167"/>
      <c r="AY167"/>
    </row>
    <row r="168" spans="36:51">
      <c r="AJ168" s="22"/>
      <c r="AK168" s="22"/>
      <c r="AL168" s="22"/>
      <c r="AM168" s="22"/>
      <c r="AN168" s="22"/>
      <c r="AO168" s="22"/>
      <c r="AP168" s="22"/>
      <c r="AQ168" s="22"/>
      <c r="AR168"/>
      <c r="AS168"/>
      <c r="AT168"/>
      <c r="AU168"/>
      <c r="AV168"/>
      <c r="AW168"/>
      <c r="AX168"/>
      <c r="AY168"/>
    </row>
    <row r="169" spans="36:51">
      <c r="AJ169" s="22"/>
      <c r="AK169" s="22"/>
      <c r="AL169" s="22"/>
      <c r="AM169" s="22"/>
      <c r="AN169" s="22"/>
      <c r="AO169" s="22"/>
      <c r="AP169" s="22"/>
      <c r="AQ169" s="22"/>
      <c r="AR169"/>
      <c r="AS169"/>
      <c r="AT169"/>
      <c r="AU169"/>
      <c r="AV169"/>
      <c r="AW169"/>
      <c r="AX169"/>
      <c r="AY169"/>
    </row>
    <row r="170" spans="36:51">
      <c r="AJ170" s="22"/>
      <c r="AK170" s="22"/>
      <c r="AL170" s="22"/>
      <c r="AM170" s="22"/>
      <c r="AN170" s="22"/>
      <c r="AO170" s="22"/>
      <c r="AP170" s="22"/>
      <c r="AQ170" s="22"/>
      <c r="AR170"/>
      <c r="AS170"/>
      <c r="AT170"/>
      <c r="AU170"/>
      <c r="AV170"/>
      <c r="AW170"/>
      <c r="AX170"/>
      <c r="AY170"/>
    </row>
    <row r="171" spans="36:51">
      <c r="AJ171" s="22"/>
      <c r="AK171" s="22"/>
      <c r="AL171" s="22"/>
      <c r="AM171" s="22"/>
      <c r="AN171" s="22"/>
      <c r="AO171" s="22"/>
      <c r="AP171" s="22"/>
      <c r="AQ171" s="22"/>
      <c r="AR171"/>
      <c r="AS171"/>
      <c r="AT171"/>
      <c r="AU171"/>
      <c r="AV171"/>
      <c r="AW171"/>
      <c r="AX171"/>
      <c r="AY171"/>
    </row>
    <row r="172" spans="36:51">
      <c r="AJ172" s="22"/>
      <c r="AK172" s="22"/>
      <c r="AL172" s="22"/>
      <c r="AM172" s="22"/>
      <c r="AN172" s="22"/>
      <c r="AO172" s="22"/>
      <c r="AP172" s="22"/>
      <c r="AQ172" s="22"/>
      <c r="AR172"/>
      <c r="AS172"/>
      <c r="AT172"/>
      <c r="AU172"/>
      <c r="AV172"/>
      <c r="AW172"/>
      <c r="AX172"/>
      <c r="AY172"/>
    </row>
    <row r="173" spans="36:51">
      <c r="AJ173" s="22"/>
      <c r="AK173" s="22"/>
      <c r="AL173" s="22"/>
      <c r="AM173" s="22"/>
      <c r="AN173" s="22"/>
      <c r="AO173" s="22"/>
      <c r="AP173" s="22"/>
      <c r="AQ173" s="22"/>
      <c r="AR173"/>
      <c r="AS173"/>
      <c r="AT173"/>
      <c r="AU173"/>
      <c r="AV173"/>
      <c r="AW173"/>
      <c r="AX173"/>
      <c r="AY173"/>
    </row>
    <row r="174" spans="36:51">
      <c r="AJ174" s="22"/>
      <c r="AK174" s="22"/>
      <c r="AL174" s="22"/>
      <c r="AM174" s="22"/>
      <c r="AN174" s="22"/>
      <c r="AO174" s="22"/>
      <c r="AP174" s="22"/>
      <c r="AQ174" s="22"/>
      <c r="AR174"/>
      <c r="AS174"/>
      <c r="AT174"/>
      <c r="AU174"/>
      <c r="AV174"/>
      <c r="AW174"/>
      <c r="AX174"/>
      <c r="AY174"/>
    </row>
    <row r="175" spans="36:51">
      <c r="AJ175" s="22"/>
      <c r="AK175" s="22"/>
      <c r="AL175" s="22"/>
      <c r="AM175" s="22"/>
      <c r="AN175" s="22"/>
      <c r="AO175" s="22"/>
      <c r="AP175" s="22"/>
      <c r="AQ175" s="22"/>
      <c r="AR175"/>
      <c r="AS175"/>
      <c r="AT175"/>
      <c r="AU175"/>
      <c r="AV175"/>
      <c r="AW175"/>
      <c r="AX175"/>
      <c r="AY175"/>
    </row>
    <row r="176" spans="36:51">
      <c r="AJ176" s="22"/>
      <c r="AK176" s="22"/>
      <c r="AL176" s="22"/>
      <c r="AM176" s="22"/>
      <c r="AN176" s="22"/>
      <c r="AO176" s="22"/>
      <c r="AP176" s="22"/>
      <c r="AQ176" s="22"/>
      <c r="AR176"/>
      <c r="AS176"/>
      <c r="AT176"/>
      <c r="AU176"/>
      <c r="AV176"/>
      <c r="AW176"/>
      <c r="AX176"/>
      <c r="AY176"/>
    </row>
    <row r="177" spans="36:51">
      <c r="AJ177" s="22"/>
      <c r="AK177" s="22"/>
      <c r="AL177" s="22"/>
      <c r="AM177" s="22"/>
      <c r="AN177" s="22"/>
      <c r="AO177" s="22"/>
      <c r="AP177" s="22"/>
      <c r="AQ177" s="22"/>
      <c r="AR177"/>
      <c r="AS177"/>
      <c r="AT177"/>
      <c r="AU177"/>
      <c r="AV177"/>
      <c r="AW177"/>
      <c r="AX177"/>
      <c r="AY177"/>
    </row>
    <row r="178" spans="36:51">
      <c r="AJ178" s="22"/>
      <c r="AK178" s="22"/>
      <c r="AL178" s="22"/>
      <c r="AM178" s="22"/>
      <c r="AN178" s="22"/>
      <c r="AO178" s="22"/>
      <c r="AP178" s="22"/>
      <c r="AQ178" s="22"/>
      <c r="AR178"/>
      <c r="AS178"/>
      <c r="AT178"/>
      <c r="AU178"/>
      <c r="AV178"/>
      <c r="AW178"/>
      <c r="AX178"/>
      <c r="AY178"/>
    </row>
    <row r="179" spans="36:51">
      <c r="AJ179" s="22"/>
      <c r="AK179" s="22"/>
      <c r="AL179" s="22"/>
      <c r="AM179" s="22"/>
      <c r="AN179" s="22"/>
      <c r="AO179" s="22"/>
      <c r="AP179" s="22"/>
      <c r="AQ179" s="22"/>
      <c r="AR179"/>
      <c r="AS179"/>
      <c r="AT179"/>
      <c r="AU179"/>
      <c r="AV179"/>
      <c r="AW179"/>
      <c r="AX179"/>
      <c r="AY179"/>
    </row>
    <row r="180" spans="36:51">
      <c r="AJ180" s="22"/>
      <c r="AK180" s="22"/>
      <c r="AL180" s="22"/>
      <c r="AM180" s="22"/>
      <c r="AN180" s="22"/>
      <c r="AO180" s="22"/>
      <c r="AP180" s="22"/>
      <c r="AQ180" s="22"/>
      <c r="AR180"/>
      <c r="AS180"/>
      <c r="AT180"/>
      <c r="AU180"/>
      <c r="AV180"/>
      <c r="AW180"/>
      <c r="AX180"/>
      <c r="AY180"/>
    </row>
    <row r="181" spans="36:51">
      <c r="AJ181" s="22"/>
      <c r="AK181" s="22"/>
      <c r="AL181" s="22"/>
      <c r="AM181" s="22"/>
      <c r="AN181" s="22"/>
      <c r="AO181" s="22"/>
      <c r="AP181" s="22"/>
      <c r="AQ181" s="22"/>
      <c r="AR181"/>
      <c r="AS181"/>
      <c r="AT181"/>
      <c r="AU181"/>
      <c r="AV181"/>
      <c r="AW181"/>
      <c r="AX181"/>
      <c r="AY181"/>
    </row>
    <row r="182" spans="36:51">
      <c r="AJ182" s="22"/>
      <c r="AK182" s="22"/>
      <c r="AL182" s="22"/>
      <c r="AM182" s="22"/>
      <c r="AN182" s="22"/>
      <c r="AO182" s="22"/>
      <c r="AP182" s="22"/>
      <c r="AQ182" s="22"/>
      <c r="AR182"/>
      <c r="AS182"/>
      <c r="AT182"/>
      <c r="AU182"/>
      <c r="AV182"/>
      <c r="AW182"/>
      <c r="AX182"/>
      <c r="AY182"/>
    </row>
    <row r="183" spans="36:51">
      <c r="AJ183" s="22"/>
      <c r="AK183" s="22"/>
      <c r="AL183" s="22"/>
      <c r="AM183" s="22"/>
      <c r="AN183" s="22"/>
      <c r="AO183" s="22"/>
      <c r="AP183" s="22"/>
      <c r="AQ183" s="22"/>
      <c r="AR183"/>
      <c r="AS183"/>
      <c r="AT183"/>
      <c r="AU183"/>
      <c r="AV183"/>
      <c r="AW183"/>
      <c r="AX183"/>
      <c r="AY183"/>
    </row>
    <row r="184" spans="36:51">
      <c r="AJ184" s="22"/>
      <c r="AK184" s="22"/>
      <c r="AL184" s="22"/>
      <c r="AM184" s="22"/>
      <c r="AN184" s="22"/>
      <c r="AO184" s="22"/>
      <c r="AP184" s="22"/>
      <c r="AQ184" s="22"/>
      <c r="AR184"/>
      <c r="AS184"/>
      <c r="AT184"/>
      <c r="AU184"/>
      <c r="AV184"/>
      <c r="AW184"/>
      <c r="AX184"/>
      <c r="AY184"/>
    </row>
    <row r="185" spans="36:51">
      <c r="AJ185" s="22"/>
      <c r="AK185" s="22"/>
      <c r="AL185" s="22"/>
      <c r="AM185" s="22"/>
      <c r="AN185" s="22"/>
      <c r="AO185" s="22"/>
      <c r="AP185" s="22"/>
      <c r="AQ185" s="22"/>
      <c r="AR185"/>
      <c r="AS185"/>
      <c r="AT185"/>
      <c r="AU185"/>
      <c r="AV185"/>
      <c r="AW185"/>
      <c r="AX185"/>
      <c r="AY185"/>
    </row>
    <row r="186" spans="36:51">
      <c r="AJ186" s="22"/>
      <c r="AK186" s="22"/>
      <c r="AL186" s="22"/>
      <c r="AM186" s="22"/>
      <c r="AN186" s="22"/>
      <c r="AO186" s="22"/>
      <c r="AP186" s="22"/>
      <c r="AQ186" s="22"/>
      <c r="AR186"/>
      <c r="AS186"/>
      <c r="AT186"/>
      <c r="AU186"/>
      <c r="AV186"/>
      <c r="AW186"/>
      <c r="AX186"/>
      <c r="AY186"/>
    </row>
    <row r="187" spans="36:51">
      <c r="AJ187" s="22"/>
      <c r="AK187" s="22"/>
      <c r="AL187" s="22"/>
      <c r="AM187" s="22"/>
      <c r="AN187" s="22"/>
      <c r="AO187" s="22"/>
      <c r="AP187" s="22"/>
      <c r="AQ187" s="22"/>
      <c r="AR187"/>
      <c r="AS187"/>
      <c r="AT187"/>
      <c r="AU187"/>
      <c r="AV187"/>
      <c r="AW187"/>
      <c r="AX187"/>
      <c r="AY187"/>
    </row>
    <row r="188" spans="36:51">
      <c r="AJ188" s="22"/>
      <c r="AK188" s="22"/>
      <c r="AL188" s="22"/>
      <c r="AM188" s="22"/>
      <c r="AN188" s="22"/>
      <c r="AO188" s="22"/>
      <c r="AP188" s="22"/>
      <c r="AQ188" s="22"/>
      <c r="AR188"/>
      <c r="AS188"/>
      <c r="AT188"/>
      <c r="AU188"/>
      <c r="AV188"/>
      <c r="AW188"/>
      <c r="AX188"/>
      <c r="AY188"/>
    </row>
    <row r="189" spans="36:51">
      <c r="AJ189" s="22"/>
      <c r="AK189" s="22"/>
      <c r="AL189" s="22"/>
      <c r="AM189" s="22"/>
      <c r="AN189" s="22"/>
      <c r="AO189" s="22"/>
      <c r="AP189" s="22"/>
      <c r="AQ189" s="22"/>
      <c r="AR189"/>
      <c r="AS189"/>
      <c r="AT189"/>
      <c r="AU189"/>
      <c r="AV189"/>
      <c r="AW189"/>
      <c r="AX189"/>
      <c r="AY189"/>
    </row>
    <row r="190" spans="36:51">
      <c r="AJ190" s="22"/>
      <c r="AK190" s="22"/>
      <c r="AL190" s="22"/>
      <c r="AM190" s="22"/>
      <c r="AN190" s="22"/>
      <c r="AO190" s="22"/>
      <c r="AP190" s="22"/>
      <c r="AQ190" s="22"/>
      <c r="AR190"/>
      <c r="AS190"/>
      <c r="AT190"/>
      <c r="AU190"/>
      <c r="AV190"/>
      <c r="AW190"/>
      <c r="AX190"/>
      <c r="AY190"/>
    </row>
    <row r="191" spans="36:51">
      <c r="AJ191" s="22"/>
      <c r="AK191" s="22"/>
      <c r="AL191" s="22"/>
      <c r="AM191" s="22"/>
      <c r="AN191" s="22"/>
      <c r="AO191" s="22"/>
      <c r="AP191" s="22"/>
      <c r="AQ191" s="22"/>
      <c r="AR191"/>
      <c r="AS191"/>
      <c r="AT191"/>
      <c r="AU191"/>
      <c r="AV191"/>
      <c r="AW191"/>
      <c r="AX191"/>
      <c r="AY191"/>
    </row>
    <row r="192" spans="36:51">
      <c r="AJ192" s="22"/>
      <c r="AK192" s="22"/>
      <c r="AL192" s="22"/>
      <c r="AM192" s="22"/>
      <c r="AN192" s="22"/>
      <c r="AO192" s="22"/>
      <c r="AP192" s="22"/>
      <c r="AQ192" s="22"/>
      <c r="AR192"/>
      <c r="AS192"/>
      <c r="AT192"/>
      <c r="AU192"/>
      <c r="AV192"/>
      <c r="AW192"/>
      <c r="AX192"/>
      <c r="AY192"/>
    </row>
    <row r="193" spans="36:51">
      <c r="AJ193" s="22"/>
      <c r="AK193" s="22"/>
      <c r="AL193" s="22"/>
      <c r="AM193" s="22"/>
      <c r="AN193" s="22"/>
      <c r="AO193" s="22"/>
      <c r="AP193" s="22"/>
      <c r="AQ193" s="22"/>
      <c r="AR193"/>
      <c r="AS193"/>
      <c r="AT193"/>
      <c r="AU193"/>
      <c r="AV193"/>
      <c r="AW193"/>
      <c r="AX193"/>
      <c r="AY193"/>
    </row>
    <row r="194" spans="36:51">
      <c r="AJ194" s="22"/>
      <c r="AK194" s="22"/>
      <c r="AL194" s="22"/>
      <c r="AM194" s="22"/>
      <c r="AN194" s="22"/>
      <c r="AO194" s="22"/>
      <c r="AP194" s="22"/>
      <c r="AQ194" s="22"/>
      <c r="AR194"/>
      <c r="AS194"/>
      <c r="AT194"/>
      <c r="AU194"/>
      <c r="AV194"/>
      <c r="AW194"/>
      <c r="AX194"/>
      <c r="AY194"/>
    </row>
    <row r="195" spans="36:51">
      <c r="AJ195" s="22"/>
      <c r="AK195" s="22"/>
      <c r="AL195" s="22"/>
      <c r="AM195" s="22"/>
      <c r="AN195" s="22"/>
      <c r="AO195" s="22"/>
      <c r="AP195" s="22"/>
      <c r="AQ195" s="22"/>
      <c r="AR195"/>
      <c r="AS195"/>
      <c r="AT195"/>
      <c r="AU195"/>
      <c r="AV195"/>
      <c r="AW195"/>
      <c r="AX195"/>
      <c r="AY195"/>
    </row>
    <row r="196" spans="36:51">
      <c r="AJ196" s="22"/>
      <c r="AK196" s="22"/>
      <c r="AL196" s="22"/>
      <c r="AM196" s="22"/>
      <c r="AN196" s="22"/>
      <c r="AO196" s="22"/>
      <c r="AP196" s="22"/>
      <c r="AQ196" s="22"/>
      <c r="AR196"/>
      <c r="AS196"/>
      <c r="AT196"/>
      <c r="AU196"/>
      <c r="AV196"/>
      <c r="AW196"/>
      <c r="AX196"/>
      <c r="AY196"/>
    </row>
    <row r="197" spans="36:51">
      <c r="AJ197" s="22"/>
      <c r="AK197" s="22"/>
      <c r="AL197" s="22"/>
      <c r="AM197" s="22"/>
      <c r="AN197" s="22"/>
      <c r="AO197" s="22"/>
      <c r="AP197" s="22"/>
      <c r="AQ197" s="22"/>
      <c r="AR197"/>
      <c r="AS197"/>
      <c r="AT197"/>
      <c r="AU197"/>
      <c r="AV197"/>
      <c r="AW197"/>
      <c r="AX197"/>
      <c r="AY197"/>
    </row>
    <row r="198" spans="36:51">
      <c r="AJ198" s="22"/>
      <c r="AK198" s="22"/>
      <c r="AL198" s="22"/>
      <c r="AM198" s="22"/>
      <c r="AN198" s="22"/>
      <c r="AO198" s="22"/>
      <c r="AP198" s="22"/>
      <c r="AQ198" s="22"/>
      <c r="AR198"/>
      <c r="AS198"/>
      <c r="AT198"/>
      <c r="AU198"/>
      <c r="AV198"/>
      <c r="AW198"/>
      <c r="AX198"/>
      <c r="AY198"/>
    </row>
    <row r="199" spans="36:51">
      <c r="AJ199" s="22"/>
      <c r="AK199" s="22"/>
      <c r="AL199" s="22"/>
      <c r="AM199" s="22"/>
      <c r="AN199" s="22"/>
      <c r="AO199" s="22"/>
      <c r="AP199" s="22"/>
      <c r="AQ199" s="22"/>
      <c r="AR199"/>
      <c r="AS199"/>
      <c r="AT199"/>
      <c r="AU199"/>
      <c r="AV199"/>
      <c r="AW199"/>
      <c r="AX199"/>
      <c r="AY199"/>
    </row>
    <row r="200" spans="36:51">
      <c r="AJ200" s="22"/>
      <c r="AK200" s="22"/>
      <c r="AL200" s="22"/>
      <c r="AM200" s="22"/>
      <c r="AN200" s="22"/>
      <c r="AO200" s="22"/>
      <c r="AP200" s="22"/>
      <c r="AQ200" s="22"/>
      <c r="AR200"/>
      <c r="AS200"/>
      <c r="AT200"/>
      <c r="AU200"/>
      <c r="AV200"/>
      <c r="AW200"/>
      <c r="AX200"/>
      <c r="AY200"/>
    </row>
    <row r="201" spans="36:51">
      <c r="AJ201" s="22"/>
      <c r="AK201" s="22"/>
      <c r="AL201" s="22"/>
      <c r="AM201" s="22"/>
      <c r="AN201" s="22"/>
      <c r="AO201" s="22"/>
      <c r="AP201" s="22"/>
      <c r="AQ201" s="22"/>
      <c r="AR201"/>
      <c r="AS201"/>
      <c r="AT201"/>
      <c r="AU201"/>
      <c r="AV201"/>
      <c r="AW201"/>
      <c r="AX201"/>
      <c r="AY201"/>
    </row>
    <row r="202" spans="36:51">
      <c r="AJ202" s="22"/>
      <c r="AK202" s="22"/>
      <c r="AL202" s="22"/>
      <c r="AM202" s="22"/>
      <c r="AN202" s="22"/>
      <c r="AO202" s="22"/>
      <c r="AP202" s="22"/>
      <c r="AQ202" s="22"/>
      <c r="AR202"/>
      <c r="AS202"/>
      <c r="AT202"/>
      <c r="AU202"/>
      <c r="AV202"/>
      <c r="AW202"/>
      <c r="AX202"/>
      <c r="AY202"/>
    </row>
    <row r="203" spans="36:51">
      <c r="AJ203" s="22"/>
      <c r="AK203" s="22"/>
      <c r="AL203" s="22"/>
      <c r="AM203" s="22"/>
      <c r="AN203" s="22"/>
      <c r="AO203" s="22"/>
      <c r="AP203" s="22"/>
      <c r="AQ203" s="22"/>
      <c r="AR203"/>
      <c r="AS203"/>
      <c r="AT203"/>
      <c r="AU203"/>
      <c r="AV203"/>
      <c r="AW203"/>
      <c r="AX203"/>
      <c r="AY203"/>
    </row>
    <row r="204" spans="36:51">
      <c r="AJ204" s="22"/>
      <c r="AK204" s="22"/>
      <c r="AL204" s="22"/>
      <c r="AM204" s="22"/>
      <c r="AN204" s="22"/>
      <c r="AO204" s="22"/>
      <c r="AP204" s="22"/>
      <c r="AQ204" s="22"/>
      <c r="AR204"/>
      <c r="AS204"/>
      <c r="AT204"/>
      <c r="AU204"/>
      <c r="AV204"/>
      <c r="AW204"/>
      <c r="AX204"/>
      <c r="AY204"/>
    </row>
    <row r="205" spans="36:51">
      <c r="AJ205" s="22"/>
      <c r="AK205" s="22"/>
      <c r="AL205" s="22"/>
      <c r="AM205" s="22"/>
      <c r="AN205" s="22"/>
      <c r="AO205" s="22"/>
      <c r="AP205" s="22"/>
      <c r="AQ205" s="22"/>
      <c r="AR205"/>
      <c r="AS205"/>
      <c r="AT205"/>
      <c r="AU205"/>
      <c r="AV205"/>
      <c r="AW205"/>
      <c r="AX205"/>
      <c r="AY205"/>
    </row>
    <row r="206" spans="36:51">
      <c r="AJ206" s="22"/>
      <c r="AK206" s="22"/>
      <c r="AL206" s="22"/>
      <c r="AM206" s="22"/>
      <c r="AN206" s="22"/>
      <c r="AO206" s="22"/>
      <c r="AP206" s="22"/>
      <c r="AQ206" s="22"/>
      <c r="AR206"/>
      <c r="AS206"/>
      <c r="AT206"/>
      <c r="AU206"/>
      <c r="AV206"/>
      <c r="AW206"/>
      <c r="AX206"/>
      <c r="AY206"/>
    </row>
    <row r="207" spans="36:51">
      <c r="AJ207" s="22"/>
      <c r="AK207" s="22"/>
      <c r="AL207" s="22"/>
      <c r="AM207" s="22"/>
      <c r="AN207" s="22"/>
      <c r="AO207" s="22"/>
      <c r="AP207" s="22"/>
      <c r="AQ207" s="22"/>
      <c r="AR207"/>
      <c r="AS207"/>
      <c r="AT207"/>
      <c r="AU207"/>
      <c r="AV207"/>
      <c r="AW207"/>
      <c r="AX207"/>
      <c r="AY207"/>
    </row>
    <row r="208" spans="36:51">
      <c r="AJ208" s="22"/>
      <c r="AK208" s="22"/>
      <c r="AL208" s="22"/>
      <c r="AM208" s="22"/>
      <c r="AN208" s="22"/>
      <c r="AO208" s="22"/>
      <c r="AP208" s="22"/>
      <c r="AQ208" s="22"/>
      <c r="AR208"/>
      <c r="AS208"/>
      <c r="AT208"/>
      <c r="AU208"/>
      <c r="AV208"/>
      <c r="AW208"/>
      <c r="AX208"/>
      <c r="AY208"/>
    </row>
    <row r="209" spans="36:51">
      <c r="AJ209" s="22"/>
      <c r="AK209" s="22"/>
      <c r="AL209" s="22"/>
      <c r="AM209" s="22"/>
      <c r="AN209" s="22"/>
      <c r="AO209" s="22"/>
      <c r="AP209" s="22"/>
      <c r="AQ209" s="22"/>
      <c r="AR209"/>
      <c r="AS209"/>
      <c r="AT209"/>
      <c r="AU209"/>
      <c r="AV209"/>
      <c r="AW209"/>
      <c r="AX209"/>
      <c r="AY209"/>
    </row>
    <row r="210" spans="36:51">
      <c r="AJ210" s="22"/>
      <c r="AK210" s="22"/>
      <c r="AL210" s="22"/>
      <c r="AM210" s="22"/>
      <c r="AN210" s="22"/>
      <c r="AO210" s="22"/>
      <c r="AP210" s="22"/>
      <c r="AQ210" s="22"/>
      <c r="AR210"/>
      <c r="AS210"/>
      <c r="AT210"/>
      <c r="AU210"/>
      <c r="AV210"/>
      <c r="AW210"/>
      <c r="AX210"/>
      <c r="AY210"/>
    </row>
    <row r="211" spans="36:51">
      <c r="AJ211" s="22"/>
      <c r="AK211" s="22"/>
      <c r="AL211" s="22"/>
      <c r="AM211" s="22"/>
      <c r="AN211" s="22"/>
      <c r="AO211" s="22"/>
      <c r="AP211" s="22"/>
      <c r="AQ211" s="22"/>
      <c r="AR211"/>
      <c r="AS211"/>
      <c r="AT211"/>
      <c r="AU211"/>
      <c r="AV211"/>
      <c r="AW211"/>
      <c r="AX211"/>
      <c r="AY211"/>
    </row>
    <row r="212" spans="36:51">
      <c r="AJ212" s="22"/>
      <c r="AK212" s="22"/>
      <c r="AL212" s="22"/>
      <c r="AM212" s="22"/>
      <c r="AN212" s="22"/>
      <c r="AO212" s="22"/>
      <c r="AP212" s="22"/>
      <c r="AQ212" s="22"/>
      <c r="AR212"/>
      <c r="AS212"/>
      <c r="AT212"/>
      <c r="AU212"/>
      <c r="AV212"/>
      <c r="AW212"/>
      <c r="AX212"/>
      <c r="AY212"/>
    </row>
    <row r="213" spans="36:51">
      <c r="AJ213" s="22"/>
      <c r="AK213" s="22"/>
      <c r="AL213" s="22"/>
      <c r="AM213" s="22"/>
      <c r="AN213" s="22"/>
      <c r="AO213" s="22"/>
      <c r="AP213" s="22"/>
      <c r="AQ213" s="22"/>
      <c r="AR213"/>
      <c r="AS213"/>
      <c r="AT213"/>
      <c r="AU213"/>
      <c r="AV213"/>
      <c r="AW213"/>
      <c r="AX213"/>
      <c r="AY213"/>
    </row>
    <row r="214" spans="36:51">
      <c r="AJ214" s="22"/>
      <c r="AK214" s="22"/>
      <c r="AL214" s="22"/>
      <c r="AM214" s="22"/>
      <c r="AN214" s="22"/>
      <c r="AO214" s="22"/>
      <c r="AP214" s="22"/>
      <c r="AQ214" s="22"/>
      <c r="AR214"/>
      <c r="AS214"/>
      <c r="AT214"/>
      <c r="AU214"/>
      <c r="AV214"/>
      <c r="AW214"/>
      <c r="AX214"/>
      <c r="AY214"/>
    </row>
    <row r="215" spans="36:51">
      <c r="AJ215" s="22"/>
      <c r="AK215" s="22"/>
      <c r="AL215" s="22"/>
      <c r="AM215" s="22"/>
      <c r="AN215" s="22"/>
      <c r="AO215" s="22"/>
      <c r="AP215" s="22"/>
      <c r="AQ215" s="22"/>
      <c r="AR215"/>
      <c r="AS215"/>
      <c r="AT215"/>
      <c r="AU215"/>
      <c r="AV215"/>
      <c r="AW215"/>
      <c r="AX215"/>
      <c r="AY215"/>
    </row>
    <row r="216" spans="36:51">
      <c r="AJ216" s="22"/>
      <c r="AK216" s="22"/>
      <c r="AL216" s="22"/>
      <c r="AM216" s="22"/>
      <c r="AN216" s="22"/>
      <c r="AO216" s="22"/>
      <c r="AP216" s="22"/>
      <c r="AQ216" s="22"/>
      <c r="AR216"/>
      <c r="AS216"/>
      <c r="AT216"/>
      <c r="AU216"/>
      <c r="AV216"/>
      <c r="AW216"/>
      <c r="AX216"/>
      <c r="AY216"/>
    </row>
    <row r="217" spans="36:51">
      <c r="AJ217" s="22"/>
      <c r="AK217" s="22"/>
      <c r="AL217" s="22"/>
      <c r="AM217" s="22"/>
      <c r="AN217" s="22"/>
      <c r="AO217" s="22"/>
      <c r="AP217" s="22"/>
      <c r="AQ217" s="22"/>
      <c r="AR217"/>
      <c r="AS217"/>
      <c r="AT217"/>
      <c r="AU217"/>
      <c r="AV217"/>
      <c r="AW217"/>
      <c r="AX217"/>
      <c r="AY217"/>
    </row>
    <row r="218" spans="36:51">
      <c r="AJ218" s="22"/>
      <c r="AK218" s="22"/>
      <c r="AL218" s="22"/>
      <c r="AM218" s="22"/>
      <c r="AN218" s="22"/>
      <c r="AO218" s="22"/>
      <c r="AP218" s="22"/>
      <c r="AQ218" s="22"/>
      <c r="AR218"/>
      <c r="AS218"/>
      <c r="AT218"/>
      <c r="AU218"/>
      <c r="AV218"/>
      <c r="AW218"/>
      <c r="AX218"/>
      <c r="AY218"/>
    </row>
    <row r="219" spans="36:51">
      <c r="AJ219" s="22"/>
      <c r="AK219" s="22"/>
      <c r="AL219" s="22"/>
      <c r="AM219" s="22"/>
      <c r="AN219" s="22"/>
      <c r="AO219" s="22"/>
      <c r="AP219" s="22"/>
      <c r="AQ219" s="22"/>
      <c r="AR219"/>
      <c r="AS219"/>
      <c r="AT219"/>
      <c r="AU219"/>
      <c r="AV219"/>
      <c r="AW219"/>
      <c r="AX219"/>
      <c r="AY219"/>
    </row>
    <row r="220" spans="36:51">
      <c r="AJ220" s="22"/>
      <c r="AK220" s="22"/>
      <c r="AL220" s="22"/>
      <c r="AM220" s="22"/>
      <c r="AN220" s="22"/>
      <c r="AO220" s="22"/>
      <c r="AP220" s="22"/>
      <c r="AQ220" s="22"/>
      <c r="AR220"/>
      <c r="AS220"/>
      <c r="AT220"/>
      <c r="AU220"/>
      <c r="AV220"/>
      <c r="AW220"/>
      <c r="AX220"/>
      <c r="AY220"/>
    </row>
    <row r="221" spans="36:51">
      <c r="AJ221" s="22"/>
      <c r="AK221" s="22"/>
      <c r="AL221" s="22"/>
      <c r="AM221" s="22"/>
      <c r="AN221" s="22"/>
      <c r="AO221" s="22"/>
      <c r="AP221" s="22"/>
      <c r="AQ221" s="22"/>
      <c r="AR221"/>
      <c r="AS221"/>
      <c r="AT221"/>
      <c r="AU221"/>
      <c r="AV221"/>
      <c r="AW221"/>
      <c r="AX221"/>
      <c r="AY221"/>
    </row>
    <row r="222" spans="36:51">
      <c r="AJ222" s="22"/>
      <c r="AK222" s="22"/>
      <c r="AL222" s="22"/>
      <c r="AM222" s="22"/>
      <c r="AN222" s="22"/>
      <c r="AO222" s="22"/>
      <c r="AP222" s="22"/>
      <c r="AQ222" s="22"/>
      <c r="AR222"/>
      <c r="AS222"/>
      <c r="AT222"/>
      <c r="AU222"/>
      <c r="AV222"/>
      <c r="AW222"/>
      <c r="AX222"/>
      <c r="AY222"/>
    </row>
    <row r="223" spans="36:51">
      <c r="AJ223" s="22"/>
      <c r="AK223" s="22"/>
      <c r="AL223" s="22"/>
      <c r="AM223" s="22"/>
      <c r="AN223" s="22"/>
      <c r="AO223" s="22"/>
      <c r="AP223" s="22"/>
      <c r="AQ223" s="22"/>
      <c r="AR223"/>
      <c r="AS223"/>
      <c r="AT223"/>
      <c r="AU223"/>
      <c r="AV223"/>
      <c r="AW223"/>
      <c r="AX223"/>
      <c r="AY223"/>
    </row>
    <row r="224" spans="36:51">
      <c r="AJ224" s="22"/>
      <c r="AK224" s="22"/>
      <c r="AL224" s="22"/>
      <c r="AM224" s="22"/>
      <c r="AN224" s="22"/>
      <c r="AO224" s="22"/>
      <c r="AP224" s="22"/>
      <c r="AQ224" s="22"/>
      <c r="AR224"/>
      <c r="AS224"/>
      <c r="AT224"/>
      <c r="AU224"/>
      <c r="AV224"/>
      <c r="AW224"/>
      <c r="AX224"/>
      <c r="AY224"/>
    </row>
    <row r="225" spans="36:51">
      <c r="AJ225" s="22"/>
      <c r="AK225" s="22"/>
      <c r="AL225" s="22"/>
      <c r="AM225" s="22"/>
      <c r="AN225" s="22"/>
      <c r="AO225" s="22"/>
      <c r="AP225" s="22"/>
      <c r="AQ225" s="22"/>
      <c r="AR225"/>
      <c r="AS225"/>
      <c r="AT225"/>
      <c r="AU225"/>
      <c r="AV225"/>
      <c r="AW225"/>
      <c r="AX225"/>
      <c r="AY225"/>
    </row>
    <row r="226" spans="36:51">
      <c r="AJ226" s="22"/>
      <c r="AK226" s="22"/>
      <c r="AL226" s="22"/>
      <c r="AM226" s="22"/>
      <c r="AN226" s="22"/>
      <c r="AO226" s="22"/>
      <c r="AP226" s="22"/>
      <c r="AQ226" s="22"/>
      <c r="AR226"/>
      <c r="AS226"/>
      <c r="AT226"/>
      <c r="AU226"/>
      <c r="AV226"/>
      <c r="AW226"/>
      <c r="AX226"/>
      <c r="AY226"/>
    </row>
    <row r="227" spans="36:51">
      <c r="AJ227" s="22"/>
      <c r="AK227" s="22"/>
      <c r="AL227" s="22"/>
      <c r="AM227" s="22"/>
      <c r="AN227" s="22"/>
      <c r="AO227" s="22"/>
      <c r="AP227" s="22"/>
      <c r="AQ227" s="22"/>
      <c r="AR227"/>
      <c r="AS227"/>
      <c r="AT227"/>
      <c r="AU227"/>
      <c r="AV227"/>
      <c r="AW227"/>
      <c r="AX227"/>
      <c r="AY227"/>
    </row>
    <row r="228" spans="36:51">
      <c r="AJ228" s="22"/>
      <c r="AK228" s="22"/>
      <c r="AL228" s="22"/>
      <c r="AM228" s="22"/>
      <c r="AN228" s="22"/>
      <c r="AO228" s="22"/>
      <c r="AP228" s="22"/>
      <c r="AQ228" s="22"/>
      <c r="AR228"/>
      <c r="AS228"/>
      <c r="AT228"/>
      <c r="AU228"/>
      <c r="AV228"/>
      <c r="AW228"/>
      <c r="AX228"/>
      <c r="AY228"/>
    </row>
    <row r="229" spans="36:51">
      <c r="AJ229" s="22"/>
      <c r="AK229" s="22"/>
      <c r="AL229" s="22"/>
      <c r="AM229" s="22"/>
      <c r="AN229" s="22"/>
      <c r="AO229" s="22"/>
      <c r="AP229" s="22"/>
      <c r="AQ229" s="22"/>
      <c r="AR229"/>
      <c r="AS229"/>
      <c r="AT229"/>
      <c r="AU229"/>
      <c r="AV229"/>
      <c r="AW229"/>
      <c r="AX229"/>
      <c r="AY229"/>
    </row>
    <row r="230" spans="36:51">
      <c r="AJ230" s="22"/>
      <c r="AK230" s="22"/>
      <c r="AL230" s="22"/>
      <c r="AM230" s="22"/>
      <c r="AN230" s="22"/>
      <c r="AO230" s="22"/>
      <c r="AP230" s="22"/>
      <c r="AQ230" s="22"/>
      <c r="AR230"/>
      <c r="AS230"/>
      <c r="AT230"/>
      <c r="AU230"/>
      <c r="AV230"/>
      <c r="AW230"/>
      <c r="AX230"/>
      <c r="AY230"/>
    </row>
    <row r="231" spans="36:51">
      <c r="AJ231" s="22"/>
      <c r="AK231" s="22"/>
      <c r="AL231" s="22"/>
      <c r="AM231" s="22"/>
      <c r="AN231" s="22"/>
      <c r="AO231" s="22"/>
      <c r="AP231" s="22"/>
      <c r="AQ231" s="22"/>
      <c r="AR231"/>
      <c r="AS231"/>
      <c r="AT231"/>
      <c r="AU231"/>
      <c r="AV231"/>
      <c r="AW231"/>
      <c r="AX231"/>
      <c r="AY231"/>
    </row>
    <row r="232" spans="36:51">
      <c r="AJ232" s="22"/>
      <c r="AK232" s="22"/>
      <c r="AL232" s="22"/>
      <c r="AM232" s="22"/>
      <c r="AN232" s="22"/>
      <c r="AO232" s="22"/>
      <c r="AP232" s="22"/>
      <c r="AQ232" s="22"/>
      <c r="AR232"/>
      <c r="AS232"/>
      <c r="AT232"/>
      <c r="AU232"/>
      <c r="AV232"/>
      <c r="AW232"/>
      <c r="AX232"/>
      <c r="AY232"/>
    </row>
    <row r="233" spans="36:51">
      <c r="AJ233" s="22"/>
      <c r="AK233" s="22"/>
      <c r="AL233" s="22"/>
      <c r="AM233" s="22"/>
      <c r="AN233" s="22"/>
      <c r="AO233" s="22"/>
      <c r="AP233" s="22"/>
      <c r="AQ233" s="22"/>
      <c r="AR233"/>
      <c r="AS233"/>
      <c r="AT233"/>
      <c r="AU233"/>
      <c r="AV233"/>
      <c r="AW233"/>
      <c r="AX233"/>
      <c r="AY233"/>
    </row>
    <row r="234" spans="36:51">
      <c r="AJ234" s="22"/>
      <c r="AK234" s="22"/>
      <c r="AL234" s="22"/>
      <c r="AM234" s="22"/>
      <c r="AN234" s="22"/>
      <c r="AO234" s="22"/>
      <c r="AP234" s="22"/>
      <c r="AQ234" s="22"/>
      <c r="AR234"/>
      <c r="AS234"/>
      <c r="AT234"/>
      <c r="AU234"/>
      <c r="AV234"/>
      <c r="AW234"/>
      <c r="AX234"/>
      <c r="AY234"/>
    </row>
    <row r="235" spans="36:51">
      <c r="AJ235" s="22"/>
      <c r="AK235" s="22"/>
      <c r="AL235" s="22"/>
      <c r="AM235" s="22"/>
      <c r="AN235" s="22"/>
      <c r="AO235" s="22"/>
      <c r="AP235" s="22"/>
      <c r="AQ235" s="22"/>
      <c r="AR235"/>
      <c r="AS235"/>
      <c r="AT235"/>
      <c r="AU235"/>
      <c r="AV235"/>
      <c r="AW235"/>
      <c r="AX235"/>
      <c r="AY235"/>
    </row>
    <row r="236" spans="36:51">
      <c r="AJ236" s="22"/>
      <c r="AK236" s="22"/>
      <c r="AL236" s="22"/>
      <c r="AM236" s="22"/>
      <c r="AN236" s="22"/>
      <c r="AO236" s="22"/>
      <c r="AP236" s="22"/>
      <c r="AQ236" s="22"/>
      <c r="AR236"/>
      <c r="AS236"/>
      <c r="AT236"/>
      <c r="AU236"/>
      <c r="AV236"/>
      <c r="AW236"/>
      <c r="AX236"/>
      <c r="AY236"/>
    </row>
    <row r="237" spans="36:51">
      <c r="AJ237" s="22"/>
      <c r="AK237" s="22"/>
      <c r="AL237" s="22"/>
      <c r="AM237" s="22"/>
      <c r="AN237" s="22"/>
      <c r="AO237" s="22"/>
      <c r="AP237" s="22"/>
      <c r="AQ237" s="22"/>
      <c r="AR237"/>
      <c r="AS237"/>
      <c r="AT237"/>
      <c r="AU237"/>
      <c r="AV237"/>
      <c r="AW237"/>
      <c r="AX237"/>
      <c r="AY237"/>
    </row>
    <row r="238" spans="36:51">
      <c r="AJ238" s="22"/>
      <c r="AK238" s="22"/>
      <c r="AL238" s="22"/>
      <c r="AM238" s="22"/>
      <c r="AN238" s="22"/>
      <c r="AO238" s="22"/>
      <c r="AP238" s="22"/>
      <c r="AQ238" s="22"/>
      <c r="AR238"/>
      <c r="AS238"/>
      <c r="AT238"/>
      <c r="AU238"/>
      <c r="AV238"/>
      <c r="AW238"/>
      <c r="AX238"/>
      <c r="AY238"/>
    </row>
    <row r="239" spans="36:51">
      <c r="AJ239" s="22"/>
      <c r="AK239" s="22"/>
      <c r="AL239" s="22"/>
      <c r="AM239" s="22"/>
      <c r="AN239" s="22"/>
      <c r="AO239" s="22"/>
      <c r="AP239" s="22"/>
      <c r="AQ239" s="22"/>
      <c r="AR239"/>
      <c r="AS239"/>
      <c r="AT239"/>
      <c r="AU239"/>
      <c r="AV239"/>
      <c r="AW239"/>
      <c r="AX239"/>
      <c r="AY239"/>
    </row>
    <row r="240" spans="36:51">
      <c r="AJ240" s="22"/>
      <c r="AK240" s="22"/>
      <c r="AL240" s="22"/>
      <c r="AM240" s="22"/>
      <c r="AN240" s="22"/>
      <c r="AO240" s="22"/>
      <c r="AP240" s="22"/>
      <c r="AQ240" s="22"/>
      <c r="AR240"/>
      <c r="AS240"/>
      <c r="AT240"/>
      <c r="AU240"/>
      <c r="AV240"/>
      <c r="AW240"/>
      <c r="AX240"/>
      <c r="AY240"/>
    </row>
    <row r="241" spans="36:51">
      <c r="AJ241" s="22"/>
      <c r="AK241" s="22"/>
      <c r="AL241" s="22"/>
      <c r="AM241" s="22"/>
      <c r="AN241" s="22"/>
      <c r="AO241" s="22"/>
      <c r="AP241" s="22"/>
      <c r="AQ241" s="22"/>
      <c r="AR241"/>
      <c r="AS241"/>
      <c r="AT241"/>
      <c r="AU241"/>
      <c r="AV241"/>
      <c r="AW241"/>
      <c r="AX241"/>
      <c r="AY241"/>
    </row>
    <row r="242" spans="36:51">
      <c r="AJ242" s="22"/>
      <c r="AK242" s="22"/>
      <c r="AL242" s="22"/>
      <c r="AM242" s="22"/>
      <c r="AN242" s="22"/>
      <c r="AO242" s="22"/>
      <c r="AP242" s="22"/>
      <c r="AQ242" s="22"/>
      <c r="AR242"/>
      <c r="AS242"/>
      <c r="AT242"/>
      <c r="AU242"/>
      <c r="AV242"/>
      <c r="AW242"/>
      <c r="AX242"/>
      <c r="AY242"/>
    </row>
    <row r="243" spans="36:51">
      <c r="AJ243" s="22"/>
      <c r="AK243" s="22"/>
      <c r="AL243" s="22"/>
      <c r="AM243" s="22"/>
      <c r="AN243" s="22"/>
      <c r="AO243" s="22"/>
      <c r="AP243" s="22"/>
      <c r="AQ243" s="22"/>
      <c r="AR243"/>
      <c r="AS243"/>
      <c r="AT243"/>
      <c r="AU243"/>
      <c r="AV243"/>
      <c r="AW243"/>
      <c r="AX243"/>
      <c r="AY243"/>
    </row>
    <row r="244" spans="36:51">
      <c r="AJ244" s="22"/>
      <c r="AK244" s="22"/>
      <c r="AL244" s="22"/>
      <c r="AM244" s="22"/>
      <c r="AN244" s="22"/>
      <c r="AO244" s="22"/>
      <c r="AP244" s="22"/>
      <c r="AQ244" s="22"/>
      <c r="AR244"/>
      <c r="AS244"/>
      <c r="AT244"/>
      <c r="AU244"/>
      <c r="AV244"/>
      <c r="AW244"/>
      <c r="AX244"/>
      <c r="AY244"/>
    </row>
    <row r="245" spans="36:51">
      <c r="AJ245" s="22"/>
      <c r="AK245" s="22"/>
      <c r="AL245" s="22"/>
      <c r="AM245" s="22"/>
      <c r="AN245" s="22"/>
      <c r="AO245" s="22"/>
      <c r="AP245" s="22"/>
      <c r="AQ245" s="22"/>
      <c r="AR245"/>
      <c r="AS245"/>
      <c r="AT245"/>
      <c r="AU245"/>
      <c r="AV245"/>
      <c r="AW245"/>
      <c r="AX245"/>
      <c r="AY245"/>
    </row>
    <row r="246" spans="36:51">
      <c r="AJ246" s="22"/>
      <c r="AK246" s="22"/>
      <c r="AL246" s="22"/>
      <c r="AM246" s="22"/>
      <c r="AN246" s="22"/>
      <c r="AO246" s="22"/>
      <c r="AP246" s="22"/>
      <c r="AQ246" s="22"/>
      <c r="AR246"/>
      <c r="AS246"/>
      <c r="AT246"/>
      <c r="AU246"/>
      <c r="AV246"/>
      <c r="AW246"/>
      <c r="AX246"/>
      <c r="AY246"/>
    </row>
    <row r="247" spans="36:51">
      <c r="AJ247" s="22"/>
      <c r="AK247" s="22"/>
      <c r="AL247" s="22"/>
      <c r="AM247" s="22"/>
      <c r="AN247" s="22"/>
      <c r="AO247" s="22"/>
      <c r="AP247" s="22"/>
      <c r="AQ247" s="22"/>
      <c r="AR247"/>
      <c r="AS247"/>
      <c r="AT247"/>
      <c r="AU247"/>
      <c r="AV247"/>
      <c r="AW247"/>
      <c r="AX247"/>
      <c r="AY247"/>
    </row>
    <row r="248" spans="36:51">
      <c r="AJ248" s="22"/>
      <c r="AK248" s="22"/>
      <c r="AL248" s="22"/>
      <c r="AM248" s="22"/>
      <c r="AN248" s="22"/>
      <c r="AO248" s="22"/>
      <c r="AP248" s="22"/>
      <c r="AQ248" s="22"/>
      <c r="AR248"/>
      <c r="AS248"/>
      <c r="AT248"/>
      <c r="AU248"/>
      <c r="AV248"/>
      <c r="AW248"/>
      <c r="AX248"/>
      <c r="AY248"/>
    </row>
    <row r="249" spans="36:51">
      <c r="AJ249" s="22"/>
      <c r="AK249" s="22"/>
      <c r="AL249" s="22"/>
      <c r="AM249" s="22"/>
      <c r="AN249" s="22"/>
      <c r="AO249" s="22"/>
      <c r="AP249" s="22"/>
      <c r="AQ249" s="22"/>
      <c r="AR249"/>
      <c r="AS249"/>
      <c r="AT249"/>
      <c r="AU249"/>
      <c r="AV249"/>
      <c r="AW249"/>
      <c r="AX249"/>
      <c r="AY249"/>
    </row>
    <row r="250" spans="36:51">
      <c r="AJ250" s="22"/>
      <c r="AK250" s="22"/>
      <c r="AL250" s="22"/>
      <c r="AM250" s="22"/>
      <c r="AN250" s="22"/>
      <c r="AO250" s="22"/>
      <c r="AP250" s="22"/>
      <c r="AQ250" s="22"/>
      <c r="AR250"/>
      <c r="AS250"/>
      <c r="AT250"/>
      <c r="AU250"/>
      <c r="AV250"/>
      <c r="AW250"/>
      <c r="AX250"/>
      <c r="AY250"/>
    </row>
    <row r="251" spans="36:51">
      <c r="AJ251" s="22"/>
      <c r="AK251" s="22"/>
      <c r="AL251" s="22"/>
      <c r="AM251" s="22"/>
      <c r="AN251" s="22"/>
      <c r="AO251" s="22"/>
      <c r="AP251" s="22"/>
      <c r="AQ251" s="22"/>
      <c r="AR251"/>
      <c r="AS251"/>
      <c r="AT251"/>
      <c r="AU251"/>
      <c r="AV251"/>
      <c r="AW251"/>
      <c r="AX251"/>
      <c r="AY251"/>
    </row>
    <row r="252" spans="36:51">
      <c r="AJ252" s="22"/>
      <c r="AK252" s="22"/>
      <c r="AL252" s="22"/>
      <c r="AM252" s="22"/>
      <c r="AN252" s="22"/>
      <c r="AO252" s="22"/>
      <c r="AP252" s="22"/>
      <c r="AQ252" s="22"/>
      <c r="AR252"/>
      <c r="AS252"/>
      <c r="AT252"/>
      <c r="AU252"/>
      <c r="AV252"/>
      <c r="AW252"/>
      <c r="AX252"/>
      <c r="AY252"/>
    </row>
    <row r="253" spans="36:51">
      <c r="AJ253" s="22"/>
      <c r="AK253" s="22"/>
      <c r="AL253" s="22"/>
      <c r="AM253" s="22"/>
      <c r="AN253" s="22"/>
      <c r="AO253" s="22"/>
      <c r="AP253" s="22"/>
      <c r="AQ253" s="22"/>
      <c r="AR253"/>
      <c r="AS253"/>
      <c r="AT253"/>
      <c r="AU253"/>
      <c r="AV253"/>
      <c r="AW253"/>
      <c r="AX253"/>
      <c r="AY253"/>
    </row>
    <row r="254" spans="36:51">
      <c r="AJ254" s="22"/>
      <c r="AK254" s="22"/>
      <c r="AL254" s="22"/>
      <c r="AM254" s="22"/>
      <c r="AN254" s="22"/>
      <c r="AO254" s="22"/>
      <c r="AP254" s="22"/>
      <c r="AQ254" s="22"/>
      <c r="AR254"/>
      <c r="AS254"/>
      <c r="AT254"/>
      <c r="AU254"/>
      <c r="AV254"/>
      <c r="AW254"/>
      <c r="AX254"/>
      <c r="AY254"/>
    </row>
    <row r="255" spans="36:51">
      <c r="AJ255" s="22"/>
      <c r="AK255" s="22"/>
      <c r="AL255" s="22"/>
      <c r="AM255" s="22"/>
      <c r="AN255" s="22"/>
      <c r="AO255" s="22"/>
      <c r="AP255" s="22"/>
      <c r="AQ255" s="22"/>
      <c r="AR255"/>
      <c r="AS255"/>
      <c r="AT255"/>
      <c r="AU255"/>
      <c r="AV255"/>
      <c r="AW255"/>
      <c r="AX255"/>
      <c r="AY255"/>
    </row>
    <row r="256" spans="36:51">
      <c r="AJ256" s="22"/>
      <c r="AK256" s="22"/>
      <c r="AL256" s="22"/>
      <c r="AM256" s="22"/>
      <c r="AN256" s="22"/>
      <c r="AO256" s="22"/>
      <c r="AP256" s="22"/>
      <c r="AQ256" s="22"/>
      <c r="AR256"/>
      <c r="AS256"/>
      <c r="AT256"/>
      <c r="AU256"/>
      <c r="AV256"/>
      <c r="AW256"/>
      <c r="AX256"/>
      <c r="AY256"/>
    </row>
    <row r="257" spans="36:51">
      <c r="AJ257" s="22"/>
      <c r="AK257" s="22"/>
      <c r="AL257" s="22"/>
      <c r="AM257" s="22"/>
      <c r="AN257" s="22"/>
      <c r="AO257" s="22"/>
      <c r="AP257" s="22"/>
      <c r="AQ257" s="22"/>
      <c r="AR257"/>
      <c r="AS257"/>
      <c r="AT257"/>
      <c r="AU257"/>
      <c r="AV257"/>
      <c r="AW257"/>
      <c r="AX257"/>
      <c r="AY257"/>
    </row>
    <row r="258" spans="36:51">
      <c r="AJ258" s="22"/>
      <c r="AK258" s="22"/>
      <c r="AL258" s="22"/>
      <c r="AM258" s="22"/>
      <c r="AN258" s="22"/>
      <c r="AO258" s="22"/>
      <c r="AP258" s="22"/>
      <c r="AQ258" s="22"/>
      <c r="AR258"/>
      <c r="AS258"/>
      <c r="AT258"/>
      <c r="AU258"/>
      <c r="AV258"/>
      <c r="AW258"/>
      <c r="AX258"/>
      <c r="AY258"/>
    </row>
    <row r="259" spans="36:51">
      <c r="AJ259" s="22"/>
      <c r="AK259" s="22"/>
      <c r="AL259" s="22"/>
      <c r="AM259" s="22"/>
      <c r="AN259" s="22"/>
      <c r="AO259" s="22"/>
      <c r="AP259" s="22"/>
      <c r="AQ259" s="22"/>
      <c r="AR259"/>
      <c r="AS259"/>
      <c r="AT259"/>
      <c r="AU259"/>
      <c r="AV259"/>
      <c r="AW259"/>
      <c r="AX259"/>
      <c r="AY259"/>
    </row>
    <row r="260" spans="36:51">
      <c r="AJ260" s="22"/>
      <c r="AK260" s="22"/>
      <c r="AL260" s="22"/>
      <c r="AM260" s="22"/>
      <c r="AN260" s="22"/>
      <c r="AO260" s="22"/>
      <c r="AP260" s="22"/>
      <c r="AQ260" s="22"/>
      <c r="AR260"/>
      <c r="AS260"/>
      <c r="AT260"/>
      <c r="AU260"/>
      <c r="AV260"/>
      <c r="AW260"/>
      <c r="AX260"/>
      <c r="AY260"/>
    </row>
    <row r="261" spans="36:51">
      <c r="AJ261" s="22"/>
      <c r="AK261" s="22"/>
      <c r="AL261" s="22"/>
      <c r="AM261" s="22"/>
      <c r="AN261" s="22"/>
      <c r="AO261" s="22"/>
      <c r="AP261" s="22"/>
      <c r="AQ261" s="22"/>
      <c r="AR261"/>
      <c r="AS261"/>
      <c r="AT261"/>
      <c r="AU261"/>
      <c r="AV261"/>
      <c r="AW261"/>
      <c r="AX261"/>
      <c r="AY261"/>
    </row>
    <row r="262" spans="36:51">
      <c r="AJ262" s="22"/>
      <c r="AK262" s="22"/>
      <c r="AL262" s="22"/>
      <c r="AM262" s="22"/>
      <c r="AN262" s="22"/>
      <c r="AO262" s="22"/>
      <c r="AP262" s="22"/>
      <c r="AQ262" s="22"/>
      <c r="AR262"/>
      <c r="AS262"/>
      <c r="AT262"/>
      <c r="AU262"/>
      <c r="AV262"/>
      <c r="AW262"/>
      <c r="AX262"/>
      <c r="AY262"/>
    </row>
    <row r="263" spans="36:51">
      <c r="AJ263" s="22"/>
      <c r="AK263" s="22"/>
      <c r="AL263" s="22"/>
      <c r="AM263" s="22"/>
      <c r="AN263" s="22"/>
      <c r="AO263" s="22"/>
      <c r="AP263" s="22"/>
      <c r="AQ263" s="22"/>
      <c r="AR263"/>
      <c r="AS263"/>
      <c r="AT263"/>
      <c r="AU263"/>
      <c r="AV263"/>
      <c r="AW263"/>
      <c r="AX263"/>
      <c r="AY263"/>
    </row>
    <row r="264" spans="36:51">
      <c r="AJ264" s="22"/>
      <c r="AK264" s="22"/>
      <c r="AL264" s="22"/>
      <c r="AM264" s="22"/>
      <c r="AN264" s="22"/>
      <c r="AO264" s="22"/>
      <c r="AP264" s="22"/>
      <c r="AQ264" s="22"/>
      <c r="AR264"/>
      <c r="AS264"/>
      <c r="AT264"/>
      <c r="AU264"/>
      <c r="AV264"/>
      <c r="AW264"/>
      <c r="AX264"/>
      <c r="AY264"/>
    </row>
    <row r="265" spans="36:51">
      <c r="AJ265" s="22"/>
      <c r="AK265" s="22"/>
      <c r="AL265" s="22"/>
      <c r="AM265" s="22"/>
      <c r="AN265" s="22"/>
      <c r="AO265" s="22"/>
      <c r="AP265" s="22"/>
      <c r="AQ265" s="22"/>
      <c r="AR265"/>
      <c r="AS265"/>
      <c r="AT265"/>
      <c r="AU265"/>
      <c r="AV265"/>
      <c r="AW265"/>
      <c r="AX265"/>
      <c r="AY265"/>
    </row>
    <row r="266" spans="36:51">
      <c r="AJ266" s="22"/>
      <c r="AK266" s="22"/>
      <c r="AL266" s="22"/>
      <c r="AM266" s="22"/>
      <c r="AN266" s="22"/>
      <c r="AO266" s="22"/>
      <c r="AP266" s="22"/>
      <c r="AQ266" s="22"/>
      <c r="AR266"/>
      <c r="AS266"/>
      <c r="AT266"/>
      <c r="AU266"/>
      <c r="AV266"/>
      <c r="AW266"/>
      <c r="AX266"/>
      <c r="AY266"/>
    </row>
    <row r="267" spans="36:51">
      <c r="AJ267" s="22"/>
      <c r="AK267" s="22"/>
      <c r="AL267" s="22"/>
      <c r="AM267" s="22"/>
      <c r="AN267" s="22"/>
      <c r="AO267" s="22"/>
      <c r="AP267" s="22"/>
      <c r="AQ267" s="22"/>
      <c r="AR267"/>
      <c r="AS267"/>
      <c r="AT267"/>
      <c r="AU267"/>
      <c r="AV267"/>
      <c r="AW267"/>
      <c r="AX267"/>
      <c r="AY267"/>
    </row>
    <row r="268" spans="36:51">
      <c r="AJ268" s="22"/>
      <c r="AK268" s="22"/>
      <c r="AL268" s="22"/>
      <c r="AM268" s="22"/>
      <c r="AN268" s="22"/>
      <c r="AO268" s="22"/>
      <c r="AP268" s="22"/>
      <c r="AQ268" s="22"/>
      <c r="AR268"/>
      <c r="AS268"/>
      <c r="AT268"/>
      <c r="AU268"/>
      <c r="AV268"/>
      <c r="AW268"/>
      <c r="AX268"/>
      <c r="AY268"/>
    </row>
    <row r="269" spans="36:51">
      <c r="AJ269" s="22"/>
      <c r="AK269" s="22"/>
      <c r="AL269" s="22"/>
      <c r="AM269" s="22"/>
      <c r="AN269" s="22"/>
      <c r="AO269" s="22"/>
      <c r="AP269" s="22"/>
      <c r="AQ269" s="22"/>
      <c r="AR269"/>
      <c r="AS269"/>
      <c r="AT269"/>
      <c r="AU269"/>
      <c r="AV269"/>
      <c r="AW269"/>
      <c r="AX269"/>
      <c r="AY269"/>
    </row>
    <row r="270" spans="36:51">
      <c r="AJ270" s="22"/>
      <c r="AK270" s="22"/>
      <c r="AL270" s="22"/>
      <c r="AM270" s="22"/>
      <c r="AN270" s="22"/>
      <c r="AO270" s="22"/>
      <c r="AP270" s="22"/>
      <c r="AQ270" s="22"/>
      <c r="AR270"/>
      <c r="AS270"/>
      <c r="AT270"/>
      <c r="AU270"/>
      <c r="AV270"/>
      <c r="AW270"/>
      <c r="AX270"/>
      <c r="AY270"/>
    </row>
    <row r="271" spans="36:51">
      <c r="AJ271" s="22"/>
      <c r="AK271" s="22"/>
      <c r="AL271" s="22"/>
      <c r="AM271" s="22"/>
      <c r="AN271" s="22"/>
      <c r="AO271" s="22"/>
      <c r="AP271" s="22"/>
      <c r="AQ271" s="22"/>
      <c r="AR271"/>
      <c r="AS271"/>
      <c r="AT271"/>
      <c r="AU271"/>
      <c r="AV271"/>
      <c r="AW271"/>
      <c r="AX271"/>
      <c r="AY271"/>
    </row>
    <row r="272" spans="36:51">
      <c r="AJ272" s="22"/>
      <c r="AK272" s="22"/>
      <c r="AL272" s="22"/>
      <c r="AM272" s="22"/>
      <c r="AN272" s="22"/>
      <c r="AO272" s="22"/>
      <c r="AP272" s="22"/>
      <c r="AQ272" s="22"/>
      <c r="AR272"/>
      <c r="AS272"/>
      <c r="AT272"/>
      <c r="AU272"/>
      <c r="AV272"/>
      <c r="AW272"/>
      <c r="AX272"/>
      <c r="AY272"/>
    </row>
    <row r="273" spans="36:51">
      <c r="AJ273" s="22"/>
      <c r="AK273" s="22"/>
      <c r="AL273" s="22"/>
      <c r="AM273" s="22"/>
      <c r="AN273" s="22"/>
      <c r="AO273" s="22"/>
      <c r="AP273" s="22"/>
      <c r="AQ273" s="22"/>
      <c r="AR273"/>
      <c r="AS273"/>
      <c r="AT273"/>
      <c r="AU273"/>
      <c r="AV273"/>
      <c r="AW273"/>
      <c r="AX273"/>
      <c r="AY273"/>
    </row>
    <row r="274" spans="36:51">
      <c r="AJ274" s="22"/>
      <c r="AK274" s="22"/>
      <c r="AL274" s="22"/>
      <c r="AM274" s="22"/>
      <c r="AN274" s="22"/>
      <c r="AO274" s="22"/>
      <c r="AP274" s="22"/>
      <c r="AQ274" s="22"/>
      <c r="AR274"/>
      <c r="AS274"/>
      <c r="AT274"/>
      <c r="AU274"/>
      <c r="AV274"/>
      <c r="AW274"/>
      <c r="AX274"/>
      <c r="AY274"/>
    </row>
    <row r="275" spans="36:51">
      <c r="AJ275" s="22"/>
      <c r="AK275" s="22"/>
      <c r="AL275" s="22"/>
      <c r="AM275" s="22"/>
      <c r="AN275" s="22"/>
      <c r="AO275" s="22"/>
      <c r="AP275" s="22"/>
      <c r="AQ275" s="22"/>
      <c r="AR275"/>
      <c r="AS275"/>
      <c r="AT275"/>
      <c r="AU275"/>
      <c r="AV275"/>
      <c r="AW275"/>
      <c r="AX275"/>
      <c r="AY275"/>
    </row>
    <row r="276" spans="36:51">
      <c r="AJ276" s="22"/>
      <c r="AK276" s="22"/>
      <c r="AL276" s="22"/>
      <c r="AM276" s="22"/>
      <c r="AN276" s="22"/>
      <c r="AO276" s="22"/>
      <c r="AP276" s="22"/>
      <c r="AQ276" s="22"/>
      <c r="AR276"/>
      <c r="AS276"/>
      <c r="AT276"/>
      <c r="AU276"/>
      <c r="AV276"/>
      <c r="AW276"/>
      <c r="AX276"/>
      <c r="AY276"/>
    </row>
    <row r="277" spans="36:51">
      <c r="AJ277" s="22"/>
      <c r="AK277" s="22"/>
      <c r="AL277" s="22"/>
      <c r="AM277" s="22"/>
      <c r="AN277" s="22"/>
      <c r="AO277" s="22"/>
      <c r="AP277" s="22"/>
      <c r="AQ277" s="22"/>
      <c r="AR277"/>
      <c r="AS277"/>
      <c r="AT277"/>
      <c r="AU277"/>
      <c r="AV277"/>
      <c r="AW277"/>
      <c r="AX277"/>
      <c r="AY277"/>
    </row>
    <row r="278" spans="36:51">
      <c r="AJ278" s="22"/>
      <c r="AK278" s="22"/>
      <c r="AL278" s="22"/>
      <c r="AM278" s="22"/>
      <c r="AN278" s="22"/>
      <c r="AO278" s="22"/>
      <c r="AP278" s="22"/>
      <c r="AQ278" s="22"/>
      <c r="AR278"/>
      <c r="AS278"/>
      <c r="AT278"/>
      <c r="AU278"/>
      <c r="AV278"/>
      <c r="AW278"/>
      <c r="AX278"/>
      <c r="AY278"/>
    </row>
    <row r="279" spans="36:51">
      <c r="AJ279" s="22"/>
      <c r="AK279" s="22"/>
      <c r="AL279" s="22"/>
      <c r="AM279" s="22"/>
      <c r="AN279" s="22"/>
      <c r="AO279" s="22"/>
      <c r="AP279" s="22"/>
      <c r="AQ279" s="22"/>
      <c r="AR279"/>
      <c r="AS279"/>
      <c r="AT279"/>
      <c r="AU279"/>
      <c r="AV279"/>
      <c r="AW279"/>
      <c r="AX279"/>
      <c r="AY279"/>
    </row>
    <row r="280" spans="36:51">
      <c r="AJ280" s="22"/>
      <c r="AK280" s="22"/>
      <c r="AL280" s="22"/>
      <c r="AM280" s="22"/>
      <c r="AN280" s="22"/>
      <c r="AO280" s="22"/>
      <c r="AP280" s="22"/>
      <c r="AQ280" s="22"/>
      <c r="AR280"/>
      <c r="AS280"/>
      <c r="AT280"/>
      <c r="AU280"/>
      <c r="AV280"/>
      <c r="AW280"/>
      <c r="AX280"/>
      <c r="AY280"/>
    </row>
    <row r="281" spans="36:51">
      <c r="AJ281" s="22"/>
      <c r="AK281" s="22"/>
      <c r="AL281" s="22"/>
      <c r="AM281" s="22"/>
      <c r="AN281" s="22"/>
      <c r="AO281" s="22"/>
      <c r="AP281" s="22"/>
      <c r="AQ281" s="22"/>
      <c r="AR281"/>
      <c r="AS281"/>
      <c r="AT281"/>
      <c r="AU281"/>
      <c r="AV281"/>
      <c r="AW281"/>
      <c r="AX281"/>
      <c r="AY281"/>
    </row>
    <row r="282" spans="36:51">
      <c r="AJ282" s="22"/>
      <c r="AK282" s="22"/>
      <c r="AL282" s="22"/>
      <c r="AM282" s="22"/>
      <c r="AN282" s="22"/>
      <c r="AO282" s="22"/>
      <c r="AP282" s="22"/>
      <c r="AQ282" s="22"/>
      <c r="AR282"/>
      <c r="AS282"/>
      <c r="AT282"/>
      <c r="AU282"/>
      <c r="AV282"/>
      <c r="AW282"/>
      <c r="AX282"/>
      <c r="AY282"/>
    </row>
    <row r="283" spans="36:51">
      <c r="AJ283" s="22"/>
      <c r="AK283" s="22"/>
      <c r="AL283" s="22"/>
      <c r="AM283" s="22"/>
      <c r="AN283" s="22"/>
      <c r="AO283" s="22"/>
      <c r="AP283" s="22"/>
      <c r="AQ283" s="22"/>
      <c r="AR283"/>
      <c r="AS283"/>
      <c r="AT283"/>
      <c r="AU283"/>
      <c r="AV283"/>
      <c r="AW283"/>
      <c r="AX283"/>
      <c r="AY283"/>
    </row>
    <row r="284" spans="36:51">
      <c r="AJ284" s="22"/>
      <c r="AK284" s="22"/>
      <c r="AL284" s="22"/>
      <c r="AM284" s="22"/>
      <c r="AN284" s="22"/>
      <c r="AO284" s="22"/>
      <c r="AP284" s="22"/>
      <c r="AQ284" s="22"/>
      <c r="AR284"/>
      <c r="AS284"/>
      <c r="AT284"/>
      <c r="AU284"/>
      <c r="AV284"/>
      <c r="AW284"/>
      <c r="AX284"/>
      <c r="AY284"/>
    </row>
    <row r="285" spans="36:51">
      <c r="AJ285" s="22"/>
      <c r="AK285" s="22"/>
      <c r="AL285" s="22"/>
      <c r="AM285" s="22"/>
      <c r="AN285" s="22"/>
      <c r="AO285" s="22"/>
      <c r="AP285" s="22"/>
      <c r="AQ285" s="22"/>
      <c r="AR285"/>
      <c r="AS285"/>
      <c r="AT285"/>
      <c r="AU285"/>
      <c r="AV285"/>
      <c r="AW285"/>
      <c r="AX285"/>
      <c r="AY285"/>
    </row>
    <row r="286" spans="36:51">
      <c r="AJ286" s="22"/>
      <c r="AK286" s="22"/>
      <c r="AL286" s="22"/>
      <c r="AM286" s="22"/>
      <c r="AN286" s="22"/>
      <c r="AO286" s="22"/>
      <c r="AP286" s="22"/>
      <c r="AQ286" s="22"/>
      <c r="AR286"/>
      <c r="AS286"/>
      <c r="AT286"/>
      <c r="AU286"/>
      <c r="AV286"/>
      <c r="AW286"/>
      <c r="AX286"/>
      <c r="AY286"/>
    </row>
    <row r="287" spans="36:51">
      <c r="AJ287" s="22"/>
      <c r="AK287" s="22"/>
      <c r="AL287" s="22"/>
      <c r="AM287" s="22"/>
      <c r="AN287" s="22"/>
      <c r="AO287" s="22"/>
      <c r="AP287" s="22"/>
      <c r="AQ287" s="22"/>
      <c r="AR287"/>
      <c r="AS287"/>
      <c r="AT287"/>
      <c r="AU287"/>
      <c r="AV287"/>
      <c r="AW287"/>
      <c r="AX287"/>
      <c r="AY287"/>
    </row>
    <row r="288" spans="36:51">
      <c r="AJ288" s="22"/>
      <c r="AK288" s="22"/>
      <c r="AL288" s="22"/>
      <c r="AM288" s="22"/>
      <c r="AN288" s="22"/>
      <c r="AO288" s="22"/>
      <c r="AP288" s="22"/>
      <c r="AQ288" s="22"/>
      <c r="AR288"/>
      <c r="AS288"/>
      <c r="AT288"/>
      <c r="AU288"/>
      <c r="AV288"/>
      <c r="AW288"/>
      <c r="AX288"/>
      <c r="AY288"/>
    </row>
    <row r="289" spans="36:51">
      <c r="AJ289" s="22"/>
      <c r="AK289" s="22"/>
      <c r="AL289" s="22"/>
      <c r="AM289" s="22"/>
      <c r="AN289" s="22"/>
      <c r="AO289" s="22"/>
      <c r="AP289" s="22"/>
      <c r="AQ289" s="22"/>
      <c r="AR289"/>
      <c r="AS289"/>
      <c r="AT289"/>
      <c r="AU289"/>
      <c r="AV289"/>
      <c r="AW289"/>
      <c r="AX289"/>
      <c r="AY289"/>
    </row>
    <row r="290" spans="36:51">
      <c r="AJ290" s="22"/>
      <c r="AK290" s="22"/>
      <c r="AL290" s="22"/>
      <c r="AM290" s="22"/>
      <c r="AN290" s="22"/>
      <c r="AO290" s="22"/>
      <c r="AP290" s="22"/>
      <c r="AQ290" s="22"/>
      <c r="AR290"/>
      <c r="AS290"/>
      <c r="AT290"/>
      <c r="AU290"/>
      <c r="AV290"/>
      <c r="AW290"/>
      <c r="AX290"/>
      <c r="AY290"/>
    </row>
    <row r="291" spans="36:51">
      <c r="AJ291" s="22"/>
      <c r="AK291" s="22"/>
      <c r="AL291" s="22"/>
      <c r="AM291" s="22"/>
      <c r="AN291" s="22"/>
      <c r="AO291" s="22"/>
      <c r="AP291" s="22"/>
      <c r="AQ291" s="22"/>
      <c r="AR291"/>
      <c r="AS291"/>
      <c r="AT291"/>
      <c r="AU291"/>
      <c r="AV291"/>
      <c r="AW291"/>
      <c r="AX291"/>
      <c r="AY291"/>
    </row>
    <row r="292" spans="36:51">
      <c r="AJ292" s="22"/>
      <c r="AK292" s="22"/>
      <c r="AL292" s="22"/>
      <c r="AM292" s="22"/>
      <c r="AN292" s="22"/>
      <c r="AO292" s="22"/>
      <c r="AP292" s="22"/>
      <c r="AQ292" s="22"/>
      <c r="AR292"/>
      <c r="AS292"/>
      <c r="AT292"/>
      <c r="AU292"/>
      <c r="AV292"/>
      <c r="AW292"/>
      <c r="AX292"/>
      <c r="AY292"/>
    </row>
    <row r="293" spans="36:51">
      <c r="AJ293" s="22"/>
      <c r="AK293" s="22"/>
      <c r="AL293" s="22"/>
      <c r="AM293" s="22"/>
      <c r="AN293" s="22"/>
      <c r="AO293" s="22"/>
      <c r="AP293" s="22"/>
      <c r="AQ293" s="22"/>
      <c r="AR293"/>
      <c r="AS293"/>
      <c r="AT293"/>
      <c r="AU293"/>
      <c r="AV293"/>
      <c r="AW293"/>
      <c r="AX293"/>
      <c r="AY293"/>
    </row>
    <row r="294" spans="36:51">
      <c r="AJ294" s="22"/>
      <c r="AK294" s="22"/>
      <c r="AL294" s="22"/>
      <c r="AM294" s="22"/>
      <c r="AN294" s="22"/>
      <c r="AO294" s="22"/>
      <c r="AP294" s="22"/>
      <c r="AQ294" s="22"/>
      <c r="AR294"/>
      <c r="AS294"/>
      <c r="AT294"/>
      <c r="AU294"/>
      <c r="AV294"/>
      <c r="AW294"/>
      <c r="AX294"/>
      <c r="AY294"/>
    </row>
    <row r="295" spans="36:51">
      <c r="AJ295" s="22"/>
      <c r="AK295" s="22"/>
      <c r="AL295" s="22"/>
      <c r="AM295" s="22"/>
      <c r="AN295" s="22"/>
      <c r="AO295" s="22"/>
      <c r="AP295" s="22"/>
      <c r="AQ295" s="22"/>
      <c r="AR295"/>
      <c r="AS295"/>
      <c r="AT295"/>
      <c r="AU295"/>
      <c r="AV295"/>
      <c r="AW295"/>
      <c r="AX295"/>
      <c r="AY295"/>
    </row>
    <row r="296" spans="36:51">
      <c r="AJ296" s="22"/>
      <c r="AK296" s="22"/>
      <c r="AL296" s="22"/>
      <c r="AM296" s="22"/>
      <c r="AN296" s="22"/>
      <c r="AO296" s="22"/>
      <c r="AP296" s="22"/>
      <c r="AQ296" s="22"/>
      <c r="AR296"/>
      <c r="AS296"/>
      <c r="AT296"/>
      <c r="AU296"/>
      <c r="AV296"/>
      <c r="AW296"/>
      <c r="AX296"/>
      <c r="AY296"/>
    </row>
    <row r="297" spans="36:51">
      <c r="AJ297" s="22"/>
      <c r="AK297" s="22"/>
      <c r="AL297" s="22"/>
      <c r="AM297" s="22"/>
      <c r="AN297" s="22"/>
      <c r="AO297" s="22"/>
      <c r="AP297" s="22"/>
      <c r="AQ297" s="22"/>
      <c r="AR297"/>
      <c r="AS297"/>
      <c r="AT297"/>
      <c r="AU297"/>
      <c r="AV297"/>
      <c r="AW297"/>
      <c r="AX297"/>
      <c r="AY297"/>
    </row>
    <row r="298" spans="36:51">
      <c r="AJ298" s="22"/>
      <c r="AK298" s="22"/>
      <c r="AL298" s="22"/>
      <c r="AM298" s="22"/>
      <c r="AN298" s="22"/>
      <c r="AO298" s="22"/>
      <c r="AP298" s="22"/>
      <c r="AQ298" s="22"/>
      <c r="AR298"/>
      <c r="AS298"/>
      <c r="AT298"/>
      <c r="AU298"/>
      <c r="AV298"/>
      <c r="AW298"/>
      <c r="AX298"/>
      <c r="AY298"/>
    </row>
    <row r="299" spans="36:51">
      <c r="AJ299" s="22"/>
      <c r="AK299" s="22"/>
      <c r="AL299" s="22"/>
      <c r="AM299" s="22"/>
      <c r="AN299" s="22"/>
      <c r="AO299" s="22"/>
      <c r="AP299" s="22"/>
      <c r="AQ299" s="22"/>
      <c r="AR299"/>
      <c r="AS299"/>
      <c r="AT299"/>
      <c r="AU299"/>
      <c r="AV299"/>
      <c r="AW299"/>
      <c r="AX299"/>
      <c r="AY299"/>
    </row>
    <row r="300" spans="36:51">
      <c r="AJ300" s="22"/>
      <c r="AK300" s="22"/>
      <c r="AL300" s="22"/>
      <c r="AM300" s="22"/>
      <c r="AN300" s="22"/>
      <c r="AO300" s="22"/>
      <c r="AP300" s="22"/>
      <c r="AQ300" s="22"/>
      <c r="AR300"/>
      <c r="AS300"/>
      <c r="AT300"/>
      <c r="AU300"/>
      <c r="AV300"/>
      <c r="AW300"/>
      <c r="AX300"/>
      <c r="AY300"/>
    </row>
    <row r="301" spans="36:51">
      <c r="AJ301" s="22"/>
      <c r="AK301" s="22"/>
      <c r="AL301" s="22"/>
      <c r="AM301" s="22"/>
      <c r="AN301" s="22"/>
      <c r="AO301" s="22"/>
      <c r="AP301" s="22"/>
      <c r="AQ301" s="22"/>
      <c r="AR301"/>
      <c r="AS301"/>
      <c r="AT301"/>
      <c r="AU301"/>
      <c r="AV301"/>
      <c r="AW301"/>
      <c r="AX301"/>
      <c r="AY301"/>
    </row>
    <row r="302" spans="36:51">
      <c r="AJ302" s="22"/>
      <c r="AK302" s="22"/>
      <c r="AL302" s="22"/>
      <c r="AM302" s="22"/>
      <c r="AN302" s="22"/>
      <c r="AO302" s="22"/>
      <c r="AP302" s="22"/>
      <c r="AQ302" s="22"/>
      <c r="AR302"/>
      <c r="AS302"/>
      <c r="AT302"/>
      <c r="AU302"/>
      <c r="AV302"/>
      <c r="AW302"/>
      <c r="AX302"/>
      <c r="AY302"/>
    </row>
    <row r="303" spans="36:51">
      <c r="AJ303" s="22"/>
      <c r="AK303" s="22"/>
      <c r="AL303" s="22"/>
      <c r="AM303" s="22"/>
      <c r="AN303" s="22"/>
      <c r="AO303" s="22"/>
      <c r="AP303" s="22"/>
      <c r="AQ303" s="22"/>
      <c r="AR303"/>
      <c r="AS303"/>
      <c r="AT303"/>
      <c r="AU303"/>
      <c r="AV303"/>
      <c r="AW303"/>
      <c r="AX303"/>
      <c r="AY303"/>
    </row>
    <row r="304" spans="36:51">
      <c r="AJ304" s="22"/>
      <c r="AK304" s="22"/>
      <c r="AL304" s="22"/>
      <c r="AM304" s="22"/>
      <c r="AN304" s="22"/>
      <c r="AO304" s="22"/>
      <c r="AP304" s="22"/>
      <c r="AQ304" s="22"/>
      <c r="AR304"/>
      <c r="AS304"/>
      <c r="AT304"/>
      <c r="AU304"/>
      <c r="AV304"/>
      <c r="AW304"/>
      <c r="AX304"/>
      <c r="AY304"/>
    </row>
    <row r="305" spans="36:51">
      <c r="AJ305" s="22"/>
      <c r="AK305" s="22"/>
      <c r="AL305" s="22"/>
      <c r="AM305" s="22"/>
      <c r="AN305" s="22"/>
      <c r="AO305" s="22"/>
      <c r="AP305" s="22"/>
      <c r="AQ305" s="22"/>
      <c r="AR305"/>
      <c r="AS305"/>
      <c r="AT305"/>
      <c r="AU305"/>
      <c r="AV305"/>
      <c r="AW305"/>
      <c r="AX305"/>
      <c r="AY305"/>
    </row>
    <row r="306" spans="36:51">
      <c r="AJ306" s="22"/>
      <c r="AK306" s="22"/>
      <c r="AL306" s="22"/>
      <c r="AM306" s="22"/>
      <c r="AN306" s="22"/>
      <c r="AO306" s="22"/>
      <c r="AP306" s="22"/>
      <c r="AQ306" s="22"/>
      <c r="AR306"/>
      <c r="AS306"/>
      <c r="AT306"/>
      <c r="AU306"/>
      <c r="AV306"/>
      <c r="AW306"/>
      <c r="AX306"/>
      <c r="AY306"/>
    </row>
    <row r="307" spans="36:51">
      <c r="AJ307" s="22"/>
      <c r="AK307" s="22"/>
      <c r="AL307" s="22"/>
      <c r="AM307" s="22"/>
      <c r="AN307" s="22"/>
      <c r="AO307" s="22"/>
      <c r="AP307" s="22"/>
      <c r="AQ307" s="22"/>
      <c r="AR307"/>
      <c r="AS307"/>
      <c r="AT307"/>
      <c r="AU307"/>
      <c r="AV307"/>
      <c r="AW307"/>
      <c r="AX307"/>
      <c r="AY307"/>
    </row>
    <row r="308" spans="36:51">
      <c r="AJ308" s="22"/>
      <c r="AK308" s="22"/>
      <c r="AL308" s="22"/>
      <c r="AM308" s="22"/>
      <c r="AN308" s="22"/>
      <c r="AO308" s="22"/>
      <c r="AP308" s="22"/>
      <c r="AQ308" s="22"/>
      <c r="AR308"/>
      <c r="AS308"/>
      <c r="AT308"/>
      <c r="AU308"/>
      <c r="AV308"/>
      <c r="AW308"/>
      <c r="AX308"/>
      <c r="AY308"/>
    </row>
    <row r="309" spans="36:51">
      <c r="AJ309" s="22"/>
      <c r="AK309" s="22"/>
      <c r="AL309" s="22"/>
      <c r="AM309" s="22"/>
      <c r="AN309" s="22"/>
      <c r="AO309" s="22"/>
      <c r="AP309" s="22"/>
      <c r="AQ309" s="22"/>
      <c r="AR309"/>
      <c r="AS309"/>
      <c r="AT309"/>
      <c r="AU309"/>
      <c r="AV309"/>
      <c r="AW309"/>
      <c r="AX309"/>
      <c r="AY309"/>
    </row>
    <row r="310" spans="36:51">
      <c r="AJ310" s="22"/>
      <c r="AK310" s="22"/>
      <c r="AL310" s="22"/>
      <c r="AM310" s="22"/>
      <c r="AN310" s="22"/>
      <c r="AO310" s="22"/>
      <c r="AP310" s="22"/>
      <c r="AQ310" s="22"/>
      <c r="AR310"/>
      <c r="AS310"/>
      <c r="AT310"/>
      <c r="AU310"/>
      <c r="AV310"/>
      <c r="AW310"/>
      <c r="AX310"/>
      <c r="AY310"/>
    </row>
    <row r="311" spans="36:51">
      <c r="AJ311" s="22"/>
      <c r="AK311" s="22"/>
      <c r="AL311" s="22"/>
      <c r="AM311" s="22"/>
      <c r="AN311" s="22"/>
      <c r="AO311" s="22"/>
      <c r="AP311" s="22"/>
      <c r="AQ311" s="22"/>
      <c r="AR311"/>
      <c r="AS311"/>
      <c r="AT311"/>
      <c r="AU311"/>
      <c r="AV311"/>
      <c r="AW311"/>
      <c r="AX311"/>
      <c r="AY311"/>
    </row>
    <row r="312" spans="36:51">
      <c r="AJ312" s="22"/>
      <c r="AK312" s="22"/>
      <c r="AL312" s="22"/>
      <c r="AM312" s="22"/>
      <c r="AN312" s="22"/>
      <c r="AO312" s="22"/>
      <c r="AP312" s="22"/>
      <c r="AQ312" s="22"/>
      <c r="AR312"/>
      <c r="AS312"/>
      <c r="AT312"/>
      <c r="AU312"/>
      <c r="AV312"/>
      <c r="AW312"/>
      <c r="AX312"/>
      <c r="AY312"/>
    </row>
    <row r="313" spans="36:51">
      <c r="AJ313" s="22"/>
      <c r="AK313" s="22"/>
      <c r="AL313" s="22"/>
      <c r="AM313" s="22"/>
      <c r="AN313" s="22"/>
      <c r="AO313" s="22"/>
      <c r="AP313" s="22"/>
      <c r="AQ313" s="22"/>
      <c r="AR313"/>
      <c r="AS313"/>
      <c r="AT313"/>
      <c r="AU313"/>
      <c r="AV313"/>
      <c r="AW313"/>
      <c r="AX313"/>
      <c r="AY313"/>
    </row>
    <row r="314" spans="36:51">
      <c r="AJ314" s="22"/>
      <c r="AK314" s="22"/>
      <c r="AL314" s="22"/>
      <c r="AM314" s="22"/>
      <c r="AN314" s="22"/>
      <c r="AO314" s="22"/>
      <c r="AP314" s="22"/>
      <c r="AQ314" s="22"/>
      <c r="AR314"/>
      <c r="AS314"/>
      <c r="AT314"/>
      <c r="AU314"/>
      <c r="AV314"/>
      <c r="AW314"/>
      <c r="AX314"/>
      <c r="AY314"/>
    </row>
    <row r="315" spans="36:51">
      <c r="AJ315" s="22"/>
      <c r="AK315" s="22"/>
      <c r="AL315" s="22"/>
      <c r="AM315" s="22"/>
      <c r="AN315" s="22"/>
      <c r="AO315" s="22"/>
      <c r="AP315" s="22"/>
      <c r="AQ315" s="22"/>
      <c r="AR315"/>
      <c r="AS315"/>
      <c r="AT315"/>
      <c r="AU315"/>
      <c r="AV315"/>
      <c r="AW315"/>
      <c r="AX315"/>
      <c r="AY315"/>
    </row>
    <row r="316" spans="36:51">
      <c r="AJ316" s="22"/>
      <c r="AK316" s="22"/>
      <c r="AL316" s="22"/>
      <c r="AM316" s="22"/>
      <c r="AN316" s="22"/>
      <c r="AO316" s="22"/>
      <c r="AP316" s="22"/>
      <c r="AQ316" s="22"/>
      <c r="AR316"/>
      <c r="AS316"/>
      <c r="AT316"/>
      <c r="AU316"/>
      <c r="AV316"/>
      <c r="AW316"/>
      <c r="AX316"/>
      <c r="AY316"/>
    </row>
    <row r="317" spans="36:51">
      <c r="AJ317" s="22"/>
      <c r="AK317" s="22"/>
      <c r="AL317" s="22"/>
      <c r="AM317" s="22"/>
      <c r="AN317" s="22"/>
      <c r="AO317" s="22"/>
      <c r="AP317" s="22"/>
      <c r="AQ317" s="22"/>
      <c r="AR317"/>
      <c r="AS317"/>
      <c r="AT317"/>
      <c r="AU317"/>
      <c r="AV317"/>
      <c r="AW317"/>
      <c r="AX317"/>
      <c r="AY317"/>
    </row>
    <row r="318" spans="36:51">
      <c r="AJ318" s="22"/>
      <c r="AK318" s="22"/>
      <c r="AL318" s="22"/>
      <c r="AM318" s="22"/>
      <c r="AN318" s="22"/>
      <c r="AO318" s="22"/>
      <c r="AP318" s="22"/>
      <c r="AQ318" s="22"/>
      <c r="AR318"/>
      <c r="AS318"/>
      <c r="AT318"/>
      <c r="AU318"/>
      <c r="AV318"/>
      <c r="AW318"/>
      <c r="AX318"/>
      <c r="AY318"/>
    </row>
    <row r="319" spans="36:51">
      <c r="AJ319" s="22"/>
      <c r="AK319" s="22"/>
      <c r="AL319" s="22"/>
      <c r="AM319" s="22"/>
      <c r="AN319" s="22"/>
      <c r="AO319" s="22"/>
      <c r="AP319" s="22"/>
      <c r="AQ319" s="22"/>
      <c r="AR319"/>
      <c r="AS319"/>
      <c r="AT319"/>
      <c r="AU319"/>
      <c r="AV319"/>
      <c r="AW319"/>
      <c r="AX319"/>
      <c r="AY319"/>
    </row>
    <row r="320" spans="36:51">
      <c r="AJ320" s="22"/>
      <c r="AK320" s="22"/>
      <c r="AL320" s="22"/>
      <c r="AM320" s="22"/>
      <c r="AN320" s="22"/>
      <c r="AO320" s="22"/>
      <c r="AP320" s="22"/>
      <c r="AQ320" s="22"/>
      <c r="AR320"/>
      <c r="AS320"/>
      <c r="AT320"/>
      <c r="AU320"/>
      <c r="AV320"/>
      <c r="AW320"/>
      <c r="AX320"/>
      <c r="AY320"/>
    </row>
    <row r="321" spans="36:51">
      <c r="AJ321" s="22"/>
      <c r="AK321" s="22"/>
      <c r="AL321" s="22"/>
      <c r="AM321" s="22"/>
      <c r="AN321" s="22"/>
      <c r="AO321" s="22"/>
      <c r="AP321" s="22"/>
      <c r="AQ321" s="22"/>
      <c r="AR321"/>
      <c r="AS321"/>
      <c r="AT321"/>
      <c r="AU321"/>
      <c r="AV321"/>
      <c r="AW321"/>
      <c r="AX321"/>
      <c r="AY321"/>
    </row>
    <row r="322" spans="36:51">
      <c r="AJ322" s="22"/>
      <c r="AK322" s="22"/>
      <c r="AL322" s="22"/>
      <c r="AM322" s="22"/>
      <c r="AN322" s="22"/>
      <c r="AO322" s="22"/>
      <c r="AP322" s="22"/>
      <c r="AQ322" s="22"/>
      <c r="AR322"/>
      <c r="AS322"/>
      <c r="AT322"/>
      <c r="AU322"/>
      <c r="AV322"/>
      <c r="AW322"/>
      <c r="AX322"/>
      <c r="AY322"/>
    </row>
    <row r="323" spans="36:51">
      <c r="AJ323" s="22"/>
      <c r="AK323" s="22"/>
      <c r="AL323" s="22"/>
      <c r="AM323" s="22"/>
      <c r="AN323" s="22"/>
      <c r="AO323" s="22"/>
      <c r="AP323" s="22"/>
      <c r="AQ323" s="22"/>
      <c r="AR323"/>
      <c r="AS323"/>
      <c r="AT323"/>
      <c r="AU323"/>
      <c r="AV323"/>
      <c r="AW323"/>
      <c r="AX323"/>
      <c r="AY323"/>
    </row>
    <row r="324" spans="36:51">
      <c r="AJ324" s="22"/>
      <c r="AK324" s="22"/>
      <c r="AL324" s="22"/>
      <c r="AM324" s="22"/>
      <c r="AN324" s="22"/>
      <c r="AO324" s="22"/>
      <c r="AP324" s="22"/>
      <c r="AQ324" s="22"/>
      <c r="AR324"/>
      <c r="AS324"/>
      <c r="AT324"/>
      <c r="AU324"/>
      <c r="AV324"/>
      <c r="AW324"/>
      <c r="AX324"/>
      <c r="AY324"/>
    </row>
    <row r="325" spans="36:51">
      <c r="AJ325" s="22"/>
      <c r="AK325" s="22"/>
      <c r="AL325" s="22"/>
      <c r="AM325" s="22"/>
      <c r="AN325" s="22"/>
      <c r="AO325" s="22"/>
      <c r="AP325" s="22"/>
      <c r="AQ325" s="22"/>
      <c r="AR325"/>
      <c r="AS325"/>
      <c r="AT325"/>
      <c r="AU325"/>
      <c r="AV325"/>
      <c r="AW325"/>
      <c r="AX325"/>
      <c r="AY325"/>
    </row>
    <row r="326" spans="36:51">
      <c r="AJ326" s="22"/>
      <c r="AK326" s="22"/>
      <c r="AL326" s="22"/>
      <c r="AM326" s="22"/>
      <c r="AN326" s="22"/>
      <c r="AO326" s="22"/>
      <c r="AP326" s="22"/>
      <c r="AQ326" s="22"/>
      <c r="AR326"/>
      <c r="AS326"/>
      <c r="AT326"/>
      <c r="AU326"/>
      <c r="AV326"/>
      <c r="AW326"/>
      <c r="AX326"/>
      <c r="AY326"/>
    </row>
    <row r="327" spans="36:51">
      <c r="AJ327" s="22"/>
      <c r="AK327" s="22"/>
      <c r="AL327" s="22"/>
      <c r="AM327" s="22"/>
      <c r="AN327" s="22"/>
      <c r="AO327" s="22"/>
      <c r="AP327" s="22"/>
      <c r="AQ327" s="22"/>
      <c r="AR327"/>
      <c r="AS327"/>
      <c r="AT327"/>
      <c r="AU327"/>
      <c r="AV327"/>
      <c r="AW327"/>
      <c r="AX327"/>
      <c r="AY327"/>
    </row>
    <row r="328" spans="36:51">
      <c r="AJ328" s="22"/>
      <c r="AK328" s="22"/>
      <c r="AL328" s="22"/>
      <c r="AM328" s="22"/>
      <c r="AN328" s="22"/>
      <c r="AO328" s="22"/>
      <c r="AP328" s="22"/>
      <c r="AQ328" s="22"/>
      <c r="AR328"/>
      <c r="AS328"/>
      <c r="AT328"/>
      <c r="AU328"/>
      <c r="AV328"/>
      <c r="AW328"/>
      <c r="AX328"/>
      <c r="AY328"/>
    </row>
    <row r="329" spans="36:51">
      <c r="AJ329" s="22"/>
      <c r="AK329" s="22"/>
      <c r="AL329" s="22"/>
      <c r="AM329" s="22"/>
      <c r="AN329" s="22"/>
      <c r="AO329" s="22"/>
      <c r="AP329" s="22"/>
      <c r="AQ329" s="22"/>
      <c r="AR329"/>
      <c r="AS329"/>
      <c r="AT329"/>
      <c r="AU329"/>
      <c r="AV329"/>
      <c r="AW329"/>
      <c r="AX329"/>
      <c r="AY329"/>
    </row>
    <row r="330" spans="36:51">
      <c r="AJ330" s="22"/>
      <c r="AK330" s="22"/>
      <c r="AL330" s="22"/>
      <c r="AM330" s="22"/>
      <c r="AN330" s="22"/>
      <c r="AO330" s="22"/>
      <c r="AP330" s="22"/>
      <c r="AQ330" s="22"/>
      <c r="AR330"/>
      <c r="AS330"/>
      <c r="AT330"/>
      <c r="AU330"/>
      <c r="AV330"/>
      <c r="AW330"/>
      <c r="AX330"/>
      <c r="AY330"/>
    </row>
    <row r="331" spans="36:51">
      <c r="AJ331" s="22"/>
      <c r="AK331" s="22"/>
      <c r="AL331" s="22"/>
      <c r="AM331" s="22"/>
      <c r="AN331" s="22"/>
      <c r="AO331" s="22"/>
      <c r="AP331" s="22"/>
      <c r="AQ331" s="22"/>
      <c r="AR331"/>
      <c r="AS331"/>
      <c r="AT331"/>
      <c r="AU331"/>
      <c r="AV331"/>
      <c r="AW331"/>
      <c r="AX331"/>
      <c r="AY331"/>
    </row>
    <row r="332" spans="36:51">
      <c r="AJ332" s="22"/>
      <c r="AK332" s="22"/>
      <c r="AL332" s="22"/>
      <c r="AM332" s="22"/>
      <c r="AN332" s="22"/>
      <c r="AO332" s="22"/>
      <c r="AP332" s="22"/>
      <c r="AQ332" s="22"/>
      <c r="AR332"/>
      <c r="AS332"/>
      <c r="AT332"/>
      <c r="AU332"/>
      <c r="AV332"/>
      <c r="AW332"/>
      <c r="AX332"/>
      <c r="AY332"/>
    </row>
    <row r="333" spans="36:51">
      <c r="AJ333" s="22"/>
      <c r="AK333" s="22"/>
      <c r="AL333" s="22"/>
      <c r="AM333" s="22"/>
      <c r="AN333" s="22"/>
      <c r="AO333" s="22"/>
      <c r="AP333" s="22"/>
      <c r="AQ333" s="22"/>
      <c r="AR333"/>
      <c r="AS333"/>
      <c r="AT333"/>
      <c r="AU333"/>
      <c r="AV333"/>
      <c r="AW333"/>
      <c r="AX333"/>
      <c r="AY333"/>
    </row>
    <row r="334" spans="36:51">
      <c r="AJ334" s="22"/>
      <c r="AK334" s="22"/>
      <c r="AL334" s="22"/>
      <c r="AM334" s="22"/>
      <c r="AN334" s="22"/>
      <c r="AO334" s="22"/>
      <c r="AP334" s="22"/>
      <c r="AQ334" s="22"/>
      <c r="AR334"/>
      <c r="AS334"/>
      <c r="AT334"/>
      <c r="AU334"/>
      <c r="AV334"/>
      <c r="AW334"/>
      <c r="AX334"/>
      <c r="AY334"/>
    </row>
    <row r="335" spans="36:51">
      <c r="AJ335" s="22"/>
      <c r="AK335" s="22"/>
      <c r="AL335" s="22"/>
      <c r="AM335" s="22"/>
      <c r="AN335" s="22"/>
      <c r="AO335" s="22"/>
      <c r="AP335" s="22"/>
      <c r="AQ335" s="22"/>
      <c r="AR335"/>
      <c r="AS335"/>
      <c r="AT335"/>
      <c r="AU335"/>
      <c r="AV335"/>
      <c r="AW335"/>
      <c r="AX335"/>
      <c r="AY335"/>
    </row>
    <row r="336" spans="36:51">
      <c r="AJ336" s="22"/>
      <c r="AK336" s="22"/>
      <c r="AL336" s="22"/>
      <c r="AM336" s="22"/>
      <c r="AN336" s="22"/>
      <c r="AO336" s="22"/>
      <c r="AP336" s="22"/>
      <c r="AQ336" s="22"/>
      <c r="AR336"/>
      <c r="AS336"/>
      <c r="AT336"/>
      <c r="AU336"/>
      <c r="AV336"/>
      <c r="AW336"/>
      <c r="AX336"/>
      <c r="AY336"/>
    </row>
    <row r="337" spans="36:51">
      <c r="AJ337" s="22"/>
      <c r="AK337" s="22"/>
      <c r="AL337" s="22"/>
      <c r="AM337" s="22"/>
      <c r="AN337" s="22"/>
      <c r="AO337" s="22"/>
      <c r="AP337" s="22"/>
      <c r="AQ337" s="22"/>
      <c r="AR337"/>
      <c r="AS337"/>
      <c r="AT337"/>
      <c r="AU337"/>
      <c r="AV337"/>
      <c r="AW337"/>
      <c r="AX337"/>
      <c r="AY337"/>
    </row>
    <row r="338" spans="36:51">
      <c r="AJ338" s="22"/>
      <c r="AK338" s="22"/>
      <c r="AL338" s="22"/>
      <c r="AM338" s="22"/>
      <c r="AN338" s="22"/>
      <c r="AO338" s="22"/>
      <c r="AP338" s="22"/>
      <c r="AQ338" s="22"/>
      <c r="AR338"/>
      <c r="AS338"/>
      <c r="AT338"/>
      <c r="AU338"/>
      <c r="AV338"/>
      <c r="AW338"/>
      <c r="AX338"/>
      <c r="AY338"/>
    </row>
    <row r="339" spans="36:51">
      <c r="AJ339" s="22"/>
      <c r="AK339" s="22"/>
      <c r="AL339" s="22"/>
      <c r="AM339" s="22"/>
      <c r="AN339" s="22"/>
      <c r="AO339" s="22"/>
      <c r="AP339" s="22"/>
      <c r="AQ339" s="22"/>
      <c r="AR339"/>
      <c r="AS339"/>
      <c r="AT339"/>
      <c r="AU339"/>
      <c r="AV339"/>
      <c r="AW339"/>
      <c r="AX339"/>
      <c r="AY339"/>
    </row>
    <row r="340" spans="36:51">
      <c r="AJ340" s="22"/>
      <c r="AK340" s="22"/>
      <c r="AL340" s="22"/>
      <c r="AM340" s="22"/>
      <c r="AN340" s="22"/>
      <c r="AO340" s="22"/>
      <c r="AP340" s="22"/>
      <c r="AQ340" s="22"/>
      <c r="AR340"/>
      <c r="AS340"/>
      <c r="AT340"/>
      <c r="AU340"/>
      <c r="AV340"/>
      <c r="AW340"/>
      <c r="AX340"/>
      <c r="AY340"/>
    </row>
    <row r="341" spans="36:51">
      <c r="AJ341" s="22"/>
      <c r="AK341" s="22"/>
      <c r="AL341" s="22"/>
      <c r="AM341" s="22"/>
      <c r="AN341" s="22"/>
      <c r="AO341" s="22"/>
      <c r="AP341" s="22"/>
      <c r="AQ341" s="22"/>
      <c r="AR341"/>
      <c r="AS341"/>
      <c r="AT341"/>
      <c r="AU341"/>
      <c r="AV341"/>
      <c r="AW341"/>
      <c r="AX341"/>
      <c r="AY341"/>
    </row>
    <row r="342" spans="36:51">
      <c r="AJ342" s="22"/>
      <c r="AK342" s="22"/>
      <c r="AL342" s="22"/>
      <c r="AM342" s="22"/>
      <c r="AN342" s="22"/>
      <c r="AO342" s="22"/>
      <c r="AP342" s="22"/>
      <c r="AQ342" s="22"/>
      <c r="AR342"/>
      <c r="AS342"/>
      <c r="AT342"/>
      <c r="AU342"/>
      <c r="AV342"/>
      <c r="AW342"/>
      <c r="AX342"/>
      <c r="AY342"/>
    </row>
    <row r="343" spans="36:51">
      <c r="AJ343" s="22"/>
      <c r="AK343" s="22"/>
      <c r="AL343" s="22"/>
      <c r="AM343" s="22"/>
      <c r="AN343" s="22"/>
      <c r="AO343" s="22"/>
      <c r="AP343" s="22"/>
      <c r="AQ343" s="22"/>
      <c r="AR343"/>
      <c r="AS343"/>
      <c r="AT343"/>
      <c r="AU343"/>
      <c r="AV343"/>
      <c r="AW343"/>
      <c r="AX343"/>
      <c r="AY343"/>
    </row>
    <row r="344" spans="36:51">
      <c r="AJ344" s="22"/>
      <c r="AK344" s="22"/>
      <c r="AL344" s="22"/>
      <c r="AM344" s="22"/>
      <c r="AN344" s="22"/>
      <c r="AO344" s="22"/>
      <c r="AP344" s="22"/>
      <c r="AQ344" s="22"/>
      <c r="AR344"/>
      <c r="AS344"/>
      <c r="AT344"/>
      <c r="AU344"/>
      <c r="AV344"/>
      <c r="AW344"/>
      <c r="AX344"/>
      <c r="AY344"/>
    </row>
    <row r="345" spans="36:51">
      <c r="AJ345" s="22"/>
      <c r="AK345" s="22"/>
      <c r="AL345" s="22"/>
      <c r="AM345" s="22"/>
      <c r="AN345" s="22"/>
      <c r="AO345" s="22"/>
      <c r="AP345" s="22"/>
      <c r="AQ345" s="22"/>
      <c r="AR345"/>
      <c r="AS345"/>
      <c r="AT345"/>
      <c r="AU345"/>
      <c r="AV345"/>
      <c r="AW345"/>
      <c r="AX345"/>
      <c r="AY345"/>
    </row>
    <row r="346" spans="36:51">
      <c r="AJ346" s="22"/>
      <c r="AK346" s="22"/>
      <c r="AL346" s="22"/>
      <c r="AM346" s="22"/>
      <c r="AN346" s="22"/>
      <c r="AO346" s="22"/>
      <c r="AP346" s="22"/>
      <c r="AQ346" s="22"/>
      <c r="AR346"/>
      <c r="AS346"/>
      <c r="AT346"/>
      <c r="AU346"/>
      <c r="AV346"/>
      <c r="AW346"/>
      <c r="AX346"/>
      <c r="AY346"/>
    </row>
    <row r="347" spans="36:51">
      <c r="AJ347" s="22"/>
      <c r="AK347" s="22"/>
      <c r="AL347" s="22"/>
      <c r="AM347" s="22"/>
      <c r="AN347" s="22"/>
      <c r="AO347" s="22"/>
      <c r="AP347" s="22"/>
      <c r="AQ347" s="22"/>
      <c r="AR347"/>
      <c r="AS347"/>
      <c r="AT347"/>
      <c r="AU347"/>
      <c r="AV347"/>
      <c r="AW347"/>
      <c r="AX347"/>
      <c r="AY347"/>
    </row>
    <row r="348" spans="36:51">
      <c r="AJ348" s="22"/>
      <c r="AK348" s="22"/>
      <c r="AL348" s="22"/>
      <c r="AM348" s="22"/>
      <c r="AN348" s="22"/>
      <c r="AO348" s="22"/>
      <c r="AP348" s="22"/>
      <c r="AQ348" s="22"/>
      <c r="AR348"/>
      <c r="AS348"/>
      <c r="AT348"/>
      <c r="AU348"/>
      <c r="AV348"/>
      <c r="AW348"/>
      <c r="AX348"/>
      <c r="AY348"/>
    </row>
    <row r="349" spans="36:51">
      <c r="AJ349" s="22"/>
      <c r="AK349" s="22"/>
      <c r="AL349" s="22"/>
      <c r="AM349" s="22"/>
      <c r="AN349" s="22"/>
      <c r="AO349" s="22"/>
      <c r="AP349" s="22"/>
      <c r="AQ349" s="22"/>
      <c r="AR349"/>
      <c r="AS349"/>
      <c r="AT349"/>
      <c r="AU349"/>
      <c r="AV349"/>
      <c r="AW349"/>
      <c r="AX349"/>
      <c r="AY349"/>
    </row>
    <row r="350" spans="36:51">
      <c r="AJ350" s="22"/>
      <c r="AK350" s="22"/>
      <c r="AL350" s="22"/>
      <c r="AM350" s="22"/>
      <c r="AN350" s="22"/>
      <c r="AO350" s="22"/>
      <c r="AP350" s="22"/>
      <c r="AQ350" s="22"/>
      <c r="AR350"/>
      <c r="AS350"/>
      <c r="AT350"/>
      <c r="AU350"/>
      <c r="AV350"/>
      <c r="AW350"/>
      <c r="AX350"/>
      <c r="AY350"/>
    </row>
    <row r="351" spans="36:51">
      <c r="AJ351" s="22"/>
      <c r="AK351" s="22"/>
      <c r="AL351" s="22"/>
      <c r="AM351" s="22"/>
      <c r="AN351" s="22"/>
      <c r="AO351" s="22"/>
      <c r="AP351" s="22"/>
      <c r="AQ351" s="22"/>
      <c r="AR351"/>
      <c r="AS351"/>
      <c r="AT351"/>
      <c r="AU351"/>
      <c r="AV351"/>
      <c r="AW351"/>
      <c r="AX351"/>
      <c r="AY351"/>
    </row>
    <row r="352" spans="36:51">
      <c r="AJ352" s="22"/>
      <c r="AK352" s="22"/>
      <c r="AL352" s="22"/>
      <c r="AM352" s="22"/>
      <c r="AN352" s="22"/>
      <c r="AO352" s="22"/>
      <c r="AP352" s="22"/>
      <c r="AQ352" s="22"/>
      <c r="AR352"/>
      <c r="AS352"/>
      <c r="AT352"/>
      <c r="AU352"/>
      <c r="AV352"/>
      <c r="AW352"/>
      <c r="AX352"/>
      <c r="AY352"/>
    </row>
    <row r="353" spans="36:51">
      <c r="AJ353" s="22"/>
      <c r="AK353" s="22"/>
      <c r="AL353" s="22"/>
      <c r="AM353" s="22"/>
      <c r="AN353" s="22"/>
      <c r="AO353" s="22"/>
      <c r="AP353" s="22"/>
      <c r="AQ353" s="22"/>
      <c r="AR353"/>
      <c r="AS353"/>
      <c r="AT353"/>
      <c r="AU353"/>
      <c r="AV353"/>
      <c r="AW353"/>
      <c r="AX353"/>
      <c r="AY353"/>
    </row>
    <row r="354" spans="36:51">
      <c r="AJ354" s="22"/>
      <c r="AK354" s="22"/>
      <c r="AL354" s="22"/>
      <c r="AM354" s="22"/>
      <c r="AN354" s="22"/>
      <c r="AO354" s="22"/>
      <c r="AP354" s="22"/>
      <c r="AQ354" s="22"/>
      <c r="AR354"/>
      <c r="AS354"/>
      <c r="AT354"/>
      <c r="AU354"/>
      <c r="AV354"/>
      <c r="AW354"/>
      <c r="AX354"/>
      <c r="AY354"/>
    </row>
    <row r="355" spans="36:51">
      <c r="AJ355" s="22"/>
      <c r="AK355" s="22"/>
      <c r="AL355" s="22"/>
      <c r="AM355" s="22"/>
      <c r="AN355" s="22"/>
      <c r="AO355" s="22"/>
      <c r="AP355" s="22"/>
      <c r="AQ355" s="22"/>
      <c r="AR355"/>
      <c r="AS355"/>
      <c r="AT355"/>
      <c r="AU355"/>
      <c r="AV355"/>
      <c r="AW355"/>
      <c r="AX355"/>
      <c r="AY355"/>
    </row>
    <row r="356" spans="36:51">
      <c r="AJ356" s="22"/>
      <c r="AK356" s="22"/>
      <c r="AL356" s="22"/>
      <c r="AM356" s="22"/>
      <c r="AN356" s="22"/>
      <c r="AO356" s="22"/>
      <c r="AP356" s="22"/>
      <c r="AQ356" s="22"/>
      <c r="AR356"/>
      <c r="AS356"/>
      <c r="AT356"/>
      <c r="AU356"/>
      <c r="AV356"/>
      <c r="AW356"/>
      <c r="AX356"/>
      <c r="AY356"/>
    </row>
    <row r="357" spans="36:51">
      <c r="AJ357" s="22"/>
      <c r="AK357" s="22"/>
      <c r="AL357" s="22"/>
      <c r="AM357" s="22"/>
      <c r="AN357" s="22"/>
      <c r="AO357" s="22"/>
      <c r="AP357" s="22"/>
      <c r="AQ357" s="22"/>
      <c r="AR357"/>
      <c r="AS357"/>
      <c r="AT357"/>
      <c r="AU357"/>
      <c r="AV357"/>
      <c r="AW357"/>
      <c r="AX357"/>
      <c r="AY357"/>
    </row>
    <row r="358" spans="36:51">
      <c r="AJ358" s="22"/>
      <c r="AK358" s="22"/>
      <c r="AL358" s="22"/>
      <c r="AM358" s="22"/>
      <c r="AN358" s="22"/>
      <c r="AO358" s="22"/>
      <c r="AP358" s="22"/>
      <c r="AQ358" s="22"/>
      <c r="AR358"/>
      <c r="AS358"/>
      <c r="AT358"/>
      <c r="AU358"/>
      <c r="AV358"/>
      <c r="AW358"/>
      <c r="AX358"/>
      <c r="AY358"/>
    </row>
    <row r="359" spans="36:51">
      <c r="AJ359" s="22"/>
      <c r="AK359" s="22"/>
      <c r="AL359" s="22"/>
      <c r="AM359" s="22"/>
      <c r="AN359" s="22"/>
      <c r="AO359" s="22"/>
      <c r="AP359" s="22"/>
      <c r="AQ359" s="22"/>
      <c r="AR359"/>
      <c r="AS359"/>
      <c r="AT359"/>
      <c r="AU359"/>
      <c r="AV359"/>
      <c r="AW359"/>
      <c r="AX359"/>
      <c r="AY359"/>
    </row>
    <row r="360" spans="36:51">
      <c r="AJ360" s="22"/>
      <c r="AK360" s="22"/>
      <c r="AL360" s="22"/>
      <c r="AM360" s="22"/>
      <c r="AN360" s="22"/>
      <c r="AO360" s="22"/>
      <c r="AP360" s="22"/>
      <c r="AQ360" s="22"/>
      <c r="AR360"/>
      <c r="AS360"/>
      <c r="AT360"/>
      <c r="AU360"/>
      <c r="AV360"/>
      <c r="AW360"/>
      <c r="AX360"/>
      <c r="AY360"/>
    </row>
    <row r="361" spans="36:51">
      <c r="AJ361" s="22"/>
      <c r="AK361" s="22"/>
      <c r="AL361" s="22"/>
      <c r="AM361" s="22"/>
      <c r="AN361" s="22"/>
      <c r="AO361" s="22"/>
      <c r="AP361" s="22"/>
      <c r="AQ361" s="22"/>
      <c r="AR361"/>
      <c r="AS361"/>
      <c r="AT361"/>
      <c r="AU361"/>
      <c r="AV361"/>
      <c r="AW361"/>
      <c r="AX361"/>
      <c r="AY361"/>
    </row>
    <row r="362" spans="36:51">
      <c r="AJ362" s="22"/>
      <c r="AK362" s="22"/>
      <c r="AL362" s="22"/>
      <c r="AM362" s="22"/>
      <c r="AN362" s="22"/>
      <c r="AO362" s="22"/>
      <c r="AP362" s="22"/>
      <c r="AQ362" s="22"/>
      <c r="AR362"/>
      <c r="AS362"/>
      <c r="AT362"/>
      <c r="AU362"/>
      <c r="AV362"/>
      <c r="AW362"/>
      <c r="AX362"/>
      <c r="AY362"/>
    </row>
    <row r="363" spans="36:51">
      <c r="AJ363" s="22"/>
      <c r="AK363" s="22"/>
      <c r="AL363" s="22"/>
      <c r="AM363" s="22"/>
      <c r="AN363" s="22"/>
      <c r="AO363" s="22"/>
      <c r="AP363" s="22"/>
      <c r="AQ363" s="22"/>
      <c r="AR363"/>
      <c r="AS363"/>
      <c r="AT363"/>
      <c r="AU363"/>
      <c r="AV363"/>
      <c r="AW363"/>
      <c r="AX363"/>
      <c r="AY363"/>
    </row>
    <row r="364" spans="36:51">
      <c r="AJ364" s="22"/>
      <c r="AK364" s="22"/>
      <c r="AL364" s="22"/>
      <c r="AM364" s="22"/>
      <c r="AN364" s="22"/>
      <c r="AO364" s="22"/>
      <c r="AP364" s="22"/>
      <c r="AQ364" s="22"/>
      <c r="AR364"/>
      <c r="AS364"/>
      <c r="AT364"/>
      <c r="AU364"/>
      <c r="AV364"/>
      <c r="AW364"/>
      <c r="AX364"/>
      <c r="AY364"/>
    </row>
    <row r="365" spans="36:51">
      <c r="AJ365" s="22"/>
      <c r="AK365" s="22"/>
      <c r="AL365" s="22"/>
      <c r="AM365" s="22"/>
      <c r="AN365" s="22"/>
      <c r="AO365" s="22"/>
      <c r="AP365" s="22"/>
      <c r="AQ365" s="22"/>
      <c r="AR365"/>
      <c r="AS365"/>
      <c r="AT365"/>
      <c r="AU365"/>
      <c r="AV365"/>
      <c r="AW365"/>
      <c r="AX365"/>
      <c r="AY365"/>
    </row>
    <row r="366" spans="36:51">
      <c r="AJ366" s="22"/>
      <c r="AK366" s="22"/>
      <c r="AL366" s="22"/>
      <c r="AM366" s="22"/>
      <c r="AN366" s="22"/>
      <c r="AO366" s="22"/>
      <c r="AP366" s="22"/>
      <c r="AQ366" s="22"/>
      <c r="AR366"/>
      <c r="AS366"/>
      <c r="AT366"/>
      <c r="AU366"/>
      <c r="AV366"/>
      <c r="AW366"/>
      <c r="AX366"/>
      <c r="AY366"/>
    </row>
    <row r="367" spans="36:51">
      <c r="AJ367" s="22"/>
      <c r="AK367" s="22"/>
      <c r="AL367" s="22"/>
      <c r="AM367" s="22"/>
      <c r="AN367" s="22"/>
      <c r="AO367" s="22"/>
      <c r="AP367" s="22"/>
      <c r="AQ367" s="22"/>
      <c r="AR367"/>
      <c r="AS367"/>
      <c r="AT367"/>
      <c r="AU367"/>
      <c r="AV367"/>
      <c r="AW367"/>
      <c r="AX367"/>
      <c r="AY367"/>
    </row>
    <row r="368" spans="36:51">
      <c r="AJ368" s="22"/>
      <c r="AK368" s="22"/>
      <c r="AL368" s="22"/>
      <c r="AM368" s="22"/>
      <c r="AN368" s="22"/>
      <c r="AO368" s="22"/>
      <c r="AP368" s="22"/>
      <c r="AQ368" s="22"/>
      <c r="AR368"/>
      <c r="AS368"/>
      <c r="AT368"/>
      <c r="AU368"/>
      <c r="AV368"/>
      <c r="AW368"/>
      <c r="AX368"/>
      <c r="AY368"/>
    </row>
    <row r="369" spans="36:51">
      <c r="AJ369" s="22"/>
      <c r="AK369" s="22"/>
      <c r="AL369" s="22"/>
      <c r="AM369" s="22"/>
      <c r="AN369" s="22"/>
      <c r="AO369" s="22"/>
      <c r="AP369" s="22"/>
      <c r="AQ369" s="22"/>
      <c r="AR369"/>
      <c r="AS369"/>
      <c r="AT369"/>
      <c r="AU369"/>
      <c r="AV369"/>
      <c r="AW369"/>
      <c r="AX369"/>
      <c r="AY369"/>
    </row>
    <row r="370" spans="36:51">
      <c r="AJ370" s="22"/>
      <c r="AK370" s="22"/>
      <c r="AL370" s="22"/>
      <c r="AM370" s="22"/>
      <c r="AN370" s="22"/>
      <c r="AO370" s="22"/>
      <c r="AP370" s="22"/>
      <c r="AQ370" s="22"/>
      <c r="AR370"/>
      <c r="AS370"/>
      <c r="AT370"/>
      <c r="AU370"/>
      <c r="AV370"/>
      <c r="AW370"/>
      <c r="AX370"/>
      <c r="AY370"/>
    </row>
    <row r="371" spans="36:51">
      <c r="AJ371" s="22"/>
      <c r="AK371" s="22"/>
      <c r="AL371" s="22"/>
      <c r="AM371" s="22"/>
      <c r="AN371" s="22"/>
      <c r="AO371" s="22"/>
      <c r="AP371" s="22"/>
      <c r="AQ371" s="22"/>
      <c r="AR371"/>
      <c r="AS371"/>
      <c r="AT371"/>
      <c r="AU371"/>
      <c r="AV371"/>
      <c r="AW371"/>
      <c r="AX371"/>
      <c r="AY371"/>
    </row>
    <row r="372" spans="36:51">
      <c r="AJ372" s="22"/>
      <c r="AK372" s="22"/>
      <c r="AL372" s="22"/>
      <c r="AM372" s="22"/>
      <c r="AN372" s="22"/>
      <c r="AO372" s="22"/>
      <c r="AP372" s="22"/>
      <c r="AQ372" s="22"/>
      <c r="AR372"/>
      <c r="AS372"/>
      <c r="AT372"/>
      <c r="AU372"/>
      <c r="AV372"/>
      <c r="AW372"/>
      <c r="AX372"/>
      <c r="AY372"/>
    </row>
    <row r="373" spans="36:51">
      <c r="AJ373" s="22"/>
      <c r="AK373" s="22"/>
      <c r="AL373" s="22"/>
      <c r="AM373" s="22"/>
      <c r="AN373" s="22"/>
      <c r="AO373" s="22"/>
      <c r="AP373" s="22"/>
      <c r="AQ373" s="22"/>
      <c r="AR373"/>
      <c r="AS373"/>
      <c r="AT373"/>
      <c r="AU373"/>
      <c r="AV373"/>
      <c r="AW373"/>
      <c r="AX373"/>
      <c r="AY373"/>
    </row>
    <row r="374" spans="36:51">
      <c r="AJ374" s="22"/>
      <c r="AK374" s="22"/>
      <c r="AL374" s="22"/>
      <c r="AM374" s="22"/>
      <c r="AN374" s="22"/>
      <c r="AO374" s="22"/>
      <c r="AP374" s="22"/>
      <c r="AQ374" s="22"/>
      <c r="AR374"/>
      <c r="AS374"/>
      <c r="AT374"/>
      <c r="AU374"/>
      <c r="AV374"/>
      <c r="AW374"/>
      <c r="AX374"/>
      <c r="AY374"/>
    </row>
    <row r="375" spans="36:51">
      <c r="AJ375" s="22"/>
      <c r="AK375" s="22"/>
      <c r="AL375" s="22"/>
      <c r="AM375" s="22"/>
      <c r="AN375" s="22"/>
      <c r="AO375" s="22"/>
      <c r="AP375" s="22"/>
      <c r="AQ375" s="22"/>
      <c r="AR375"/>
      <c r="AS375"/>
      <c r="AT375"/>
      <c r="AU375"/>
      <c r="AV375"/>
      <c r="AW375"/>
      <c r="AX375"/>
      <c r="AY375"/>
    </row>
    <row r="376" spans="36:51">
      <c r="AJ376" s="22"/>
      <c r="AK376" s="22"/>
      <c r="AL376" s="22"/>
      <c r="AM376" s="22"/>
      <c r="AN376" s="22"/>
      <c r="AO376" s="22"/>
      <c r="AP376" s="22"/>
      <c r="AQ376" s="22"/>
      <c r="AR376"/>
      <c r="AS376"/>
      <c r="AT376"/>
      <c r="AU376"/>
      <c r="AV376"/>
      <c r="AW376"/>
      <c r="AX376"/>
      <c r="AY376"/>
    </row>
    <row r="377" spans="36:51">
      <c r="AJ377" s="22"/>
      <c r="AK377" s="22"/>
      <c r="AL377" s="22"/>
      <c r="AM377" s="22"/>
      <c r="AN377" s="22"/>
      <c r="AO377" s="22"/>
      <c r="AP377" s="22"/>
      <c r="AQ377" s="22"/>
      <c r="AR377"/>
      <c r="AS377"/>
      <c r="AT377"/>
      <c r="AU377"/>
      <c r="AV377"/>
      <c r="AW377"/>
      <c r="AX377"/>
      <c r="AY377"/>
    </row>
    <row r="378" spans="36:51">
      <c r="AJ378" s="22"/>
      <c r="AK378" s="22"/>
      <c r="AL378" s="22"/>
      <c r="AM378" s="22"/>
      <c r="AN378" s="22"/>
      <c r="AO378" s="22"/>
      <c r="AP378" s="22"/>
      <c r="AQ378" s="22"/>
      <c r="AR378"/>
      <c r="AS378"/>
      <c r="AT378"/>
      <c r="AU378"/>
      <c r="AV378"/>
      <c r="AW378"/>
      <c r="AX378"/>
      <c r="AY378"/>
    </row>
    <row r="379" spans="36:51">
      <c r="AJ379" s="22"/>
      <c r="AK379" s="22"/>
      <c r="AL379" s="22"/>
      <c r="AM379" s="22"/>
      <c r="AN379" s="22"/>
      <c r="AO379" s="22"/>
      <c r="AP379" s="22"/>
      <c r="AQ379" s="22"/>
      <c r="AR379"/>
      <c r="AS379"/>
      <c r="AT379"/>
      <c r="AU379"/>
      <c r="AV379"/>
      <c r="AW379"/>
      <c r="AX379"/>
      <c r="AY379"/>
    </row>
    <row r="380" spans="36:51">
      <c r="AJ380" s="22"/>
      <c r="AK380" s="22"/>
      <c r="AL380" s="22"/>
      <c r="AM380" s="22"/>
      <c r="AN380" s="22"/>
      <c r="AO380" s="22"/>
      <c r="AP380" s="22"/>
      <c r="AQ380" s="22"/>
      <c r="AR380"/>
      <c r="AS380"/>
      <c r="AT380"/>
      <c r="AU380"/>
      <c r="AV380"/>
      <c r="AW380"/>
      <c r="AX380"/>
      <c r="AY380"/>
    </row>
    <row r="381" spans="36:51">
      <c r="AJ381" s="22"/>
      <c r="AK381" s="22"/>
      <c r="AL381" s="22"/>
      <c r="AM381" s="22"/>
      <c r="AN381" s="22"/>
      <c r="AO381" s="22"/>
      <c r="AP381" s="22"/>
      <c r="AQ381" s="22"/>
      <c r="AR381"/>
      <c r="AS381"/>
      <c r="AT381"/>
      <c r="AU381"/>
      <c r="AV381"/>
      <c r="AW381"/>
      <c r="AX381"/>
      <c r="AY381"/>
    </row>
    <row r="382" spans="36:51">
      <c r="AJ382" s="22"/>
      <c r="AK382" s="22"/>
      <c r="AL382" s="22"/>
      <c r="AM382" s="22"/>
      <c r="AN382" s="22"/>
      <c r="AO382" s="22"/>
      <c r="AP382" s="22"/>
      <c r="AQ382" s="22"/>
      <c r="AR382"/>
      <c r="AS382"/>
      <c r="AT382"/>
      <c r="AU382"/>
      <c r="AV382"/>
      <c r="AW382"/>
      <c r="AX382"/>
      <c r="AY382"/>
    </row>
    <row r="383" spans="36:51">
      <c r="AJ383" s="22"/>
      <c r="AK383" s="22"/>
      <c r="AL383" s="22"/>
      <c r="AM383" s="22"/>
      <c r="AN383" s="22"/>
      <c r="AO383" s="22"/>
      <c r="AP383" s="22"/>
      <c r="AQ383" s="22"/>
      <c r="AR383"/>
      <c r="AS383"/>
      <c r="AT383"/>
      <c r="AU383"/>
      <c r="AV383"/>
      <c r="AW383"/>
      <c r="AX383"/>
      <c r="AY383"/>
    </row>
    <row r="384" spans="36:51">
      <c r="AJ384" s="22"/>
      <c r="AK384" s="22"/>
      <c r="AL384" s="22"/>
      <c r="AM384" s="22"/>
      <c r="AN384" s="22"/>
      <c r="AO384" s="22"/>
      <c r="AP384" s="22"/>
      <c r="AQ384" s="22"/>
      <c r="AR384"/>
      <c r="AS384"/>
      <c r="AT384"/>
      <c r="AU384"/>
      <c r="AV384"/>
      <c r="AW384"/>
      <c r="AX384"/>
      <c r="AY384"/>
    </row>
    <row r="385" spans="36:51">
      <c r="AJ385" s="22"/>
      <c r="AK385" s="22"/>
      <c r="AL385" s="22"/>
      <c r="AM385" s="22"/>
      <c r="AN385" s="22"/>
      <c r="AO385" s="22"/>
      <c r="AP385" s="22"/>
      <c r="AQ385" s="22"/>
      <c r="AR385"/>
      <c r="AS385"/>
      <c r="AT385"/>
      <c r="AU385"/>
      <c r="AV385"/>
      <c r="AW385"/>
      <c r="AX385"/>
      <c r="AY385"/>
    </row>
    <row r="386" spans="36:51">
      <c r="AJ386" s="22"/>
      <c r="AK386" s="22"/>
      <c r="AL386" s="22"/>
      <c r="AM386" s="22"/>
      <c r="AN386" s="22"/>
      <c r="AO386" s="22"/>
      <c r="AP386" s="22"/>
      <c r="AQ386" s="22"/>
      <c r="AR386"/>
      <c r="AS386"/>
      <c r="AT386"/>
      <c r="AU386"/>
      <c r="AV386"/>
      <c r="AW386"/>
      <c r="AX386"/>
      <c r="AY386"/>
    </row>
    <row r="387" spans="36:51">
      <c r="AJ387" s="22"/>
      <c r="AK387" s="22"/>
      <c r="AL387" s="22"/>
      <c r="AM387" s="22"/>
      <c r="AN387" s="22"/>
      <c r="AO387" s="22"/>
      <c r="AP387" s="22"/>
      <c r="AQ387" s="22"/>
      <c r="AR387"/>
      <c r="AS387"/>
      <c r="AT387"/>
      <c r="AU387"/>
      <c r="AV387"/>
      <c r="AW387"/>
      <c r="AX387"/>
      <c r="AY387"/>
    </row>
    <row r="388" spans="36:51">
      <c r="AJ388" s="22"/>
      <c r="AK388" s="22"/>
      <c r="AL388" s="22"/>
      <c r="AM388" s="22"/>
      <c r="AN388" s="22"/>
      <c r="AO388" s="22"/>
      <c r="AP388" s="22"/>
      <c r="AQ388" s="22"/>
      <c r="AR388"/>
      <c r="AS388"/>
      <c r="AT388"/>
      <c r="AU388"/>
      <c r="AV388"/>
      <c r="AW388"/>
      <c r="AX388"/>
      <c r="AY388"/>
    </row>
    <row r="389" spans="36:51">
      <c r="AJ389" s="22"/>
      <c r="AK389" s="22"/>
      <c r="AL389" s="22"/>
      <c r="AM389" s="22"/>
      <c r="AN389" s="22"/>
      <c r="AO389" s="22"/>
      <c r="AP389" s="22"/>
      <c r="AQ389" s="22"/>
      <c r="AR389"/>
      <c r="AS389"/>
      <c r="AT389"/>
      <c r="AU389"/>
      <c r="AV389"/>
      <c r="AW389"/>
      <c r="AX389"/>
      <c r="AY389"/>
    </row>
    <row r="390" spans="36:51">
      <c r="AJ390" s="22"/>
      <c r="AK390" s="22"/>
      <c r="AL390" s="22"/>
      <c r="AM390" s="22"/>
      <c r="AN390" s="22"/>
      <c r="AO390" s="22"/>
      <c r="AP390" s="22"/>
      <c r="AQ390" s="22"/>
      <c r="AR390"/>
      <c r="AS390"/>
      <c r="AT390"/>
      <c r="AU390"/>
      <c r="AV390"/>
      <c r="AW390"/>
      <c r="AX390"/>
      <c r="AY390"/>
    </row>
    <row r="391" spans="36:51">
      <c r="AJ391" s="22"/>
      <c r="AK391" s="22"/>
      <c r="AL391" s="22"/>
      <c r="AM391" s="22"/>
      <c r="AN391" s="22"/>
      <c r="AO391" s="22"/>
      <c r="AP391" s="22"/>
      <c r="AQ391" s="22"/>
      <c r="AR391"/>
      <c r="AS391"/>
      <c r="AT391"/>
      <c r="AU391"/>
      <c r="AV391"/>
      <c r="AW391"/>
      <c r="AX391"/>
      <c r="AY391"/>
    </row>
    <row r="392" spans="36:51">
      <c r="AJ392" s="22"/>
      <c r="AK392" s="22"/>
      <c r="AL392" s="22"/>
      <c r="AM392" s="22"/>
      <c r="AN392" s="22"/>
      <c r="AO392" s="22"/>
      <c r="AP392" s="22"/>
      <c r="AQ392" s="22"/>
      <c r="AR392"/>
      <c r="AS392"/>
      <c r="AT392"/>
      <c r="AU392"/>
      <c r="AV392"/>
      <c r="AW392"/>
      <c r="AX392"/>
      <c r="AY392"/>
    </row>
    <row r="393" spans="36:51">
      <c r="AJ393" s="22"/>
      <c r="AK393" s="22"/>
      <c r="AL393" s="22"/>
      <c r="AM393" s="22"/>
      <c r="AN393" s="22"/>
      <c r="AO393" s="22"/>
      <c r="AP393" s="22"/>
      <c r="AQ393" s="22"/>
      <c r="AR393"/>
      <c r="AS393"/>
      <c r="AT393"/>
      <c r="AU393"/>
      <c r="AV393"/>
      <c r="AW393"/>
      <c r="AX393"/>
      <c r="AY393"/>
    </row>
    <row r="394" spans="36:51">
      <c r="AJ394" s="22"/>
      <c r="AK394" s="22"/>
      <c r="AL394" s="22"/>
      <c r="AM394" s="22"/>
      <c r="AN394" s="22"/>
      <c r="AO394" s="22"/>
      <c r="AP394" s="22"/>
      <c r="AQ394" s="22"/>
      <c r="AR394"/>
      <c r="AS394"/>
      <c r="AT394"/>
      <c r="AU394"/>
      <c r="AV394"/>
      <c r="AW394"/>
      <c r="AX394"/>
      <c r="AY394"/>
    </row>
    <row r="395" spans="36:51">
      <c r="AJ395" s="22"/>
      <c r="AK395" s="22"/>
      <c r="AL395" s="22"/>
      <c r="AM395" s="22"/>
      <c r="AN395" s="22"/>
      <c r="AO395" s="22"/>
      <c r="AP395" s="22"/>
      <c r="AQ395" s="22"/>
      <c r="AR395"/>
      <c r="AS395"/>
      <c r="AT395"/>
      <c r="AU395"/>
      <c r="AV395"/>
      <c r="AW395"/>
      <c r="AX395"/>
      <c r="AY395"/>
    </row>
    <row r="396" spans="36:51">
      <c r="AJ396" s="22"/>
      <c r="AK396" s="22"/>
      <c r="AL396" s="22"/>
      <c r="AM396" s="22"/>
      <c r="AN396" s="22"/>
      <c r="AO396" s="22"/>
      <c r="AP396" s="22"/>
      <c r="AQ396" s="22"/>
      <c r="AR396"/>
      <c r="AS396"/>
      <c r="AT396"/>
      <c r="AU396"/>
      <c r="AV396"/>
      <c r="AW396"/>
      <c r="AX396"/>
      <c r="AY396"/>
    </row>
    <row r="397" spans="36:51">
      <c r="AJ397" s="22"/>
      <c r="AK397" s="22"/>
      <c r="AL397" s="22"/>
      <c r="AM397" s="22"/>
      <c r="AN397" s="22"/>
      <c r="AO397" s="22"/>
      <c r="AP397" s="22"/>
      <c r="AQ397" s="22"/>
      <c r="AR397"/>
      <c r="AS397"/>
      <c r="AT397"/>
      <c r="AU397"/>
      <c r="AV397"/>
      <c r="AW397"/>
      <c r="AX397"/>
      <c r="AY397"/>
    </row>
    <row r="398" spans="36:51">
      <c r="AJ398" s="22"/>
      <c r="AK398" s="22"/>
      <c r="AL398" s="22"/>
      <c r="AM398" s="22"/>
      <c r="AN398" s="22"/>
      <c r="AO398" s="22"/>
      <c r="AP398" s="22"/>
      <c r="AQ398" s="22"/>
      <c r="AR398"/>
      <c r="AS398"/>
      <c r="AT398"/>
      <c r="AU398"/>
      <c r="AV398"/>
      <c r="AW398"/>
      <c r="AX398"/>
      <c r="AY398"/>
    </row>
    <row r="399" spans="36:51">
      <c r="AJ399" s="22"/>
      <c r="AK399" s="22"/>
      <c r="AL399" s="22"/>
      <c r="AM399" s="22"/>
      <c r="AN399" s="22"/>
      <c r="AO399" s="22"/>
      <c r="AP399" s="22"/>
      <c r="AQ399" s="22"/>
      <c r="AR399"/>
      <c r="AS399"/>
      <c r="AT399"/>
      <c r="AU399"/>
      <c r="AV399"/>
      <c r="AW399"/>
      <c r="AX399"/>
      <c r="AY399"/>
    </row>
    <row r="400" spans="36:51">
      <c r="AJ400" s="22"/>
      <c r="AK400" s="22"/>
      <c r="AL400" s="22"/>
      <c r="AM400" s="22"/>
      <c r="AN400" s="22"/>
      <c r="AO400" s="22"/>
      <c r="AP400" s="22"/>
      <c r="AQ400" s="22"/>
      <c r="AR400"/>
      <c r="AS400"/>
      <c r="AT400"/>
      <c r="AU400"/>
      <c r="AV400"/>
      <c r="AW400"/>
      <c r="AX400"/>
      <c r="AY400"/>
    </row>
    <row r="401" spans="36:51">
      <c r="AJ401" s="22"/>
      <c r="AK401" s="22"/>
      <c r="AL401" s="22"/>
      <c r="AM401" s="22"/>
      <c r="AN401" s="22"/>
      <c r="AO401" s="22"/>
      <c r="AP401" s="22"/>
      <c r="AQ401" s="22"/>
      <c r="AR401"/>
      <c r="AS401"/>
      <c r="AT401"/>
      <c r="AU401"/>
      <c r="AV401"/>
      <c r="AW401"/>
      <c r="AX401"/>
      <c r="AY401"/>
    </row>
    <row r="402" spans="36:51">
      <c r="AJ402" s="22"/>
      <c r="AK402" s="22"/>
      <c r="AL402" s="22"/>
      <c r="AM402" s="22"/>
      <c r="AN402" s="22"/>
      <c r="AO402" s="22"/>
      <c r="AP402" s="22"/>
      <c r="AQ402" s="22"/>
      <c r="AR402"/>
      <c r="AS402"/>
      <c r="AT402"/>
      <c r="AU402"/>
      <c r="AV402"/>
      <c r="AW402"/>
      <c r="AX402"/>
      <c r="AY402"/>
    </row>
    <row r="403" spans="36:51">
      <c r="AJ403" s="22"/>
      <c r="AK403" s="22"/>
      <c r="AL403" s="22"/>
      <c r="AM403" s="22"/>
      <c r="AN403" s="22"/>
      <c r="AO403" s="22"/>
      <c r="AP403" s="22"/>
      <c r="AQ403" s="22"/>
      <c r="AR403"/>
      <c r="AS403"/>
      <c r="AT403"/>
      <c r="AU403"/>
      <c r="AV403"/>
      <c r="AW403"/>
      <c r="AX403"/>
      <c r="AY403"/>
    </row>
    <row r="404" spans="36:51">
      <c r="AJ404" s="22"/>
      <c r="AK404" s="22"/>
      <c r="AL404" s="22"/>
      <c r="AM404" s="22"/>
      <c r="AN404" s="22"/>
      <c r="AO404" s="22"/>
      <c r="AP404" s="22"/>
      <c r="AQ404" s="22"/>
      <c r="AR404"/>
      <c r="AS404"/>
      <c r="AT404"/>
      <c r="AU404"/>
      <c r="AV404"/>
      <c r="AW404"/>
      <c r="AX404"/>
      <c r="AY404"/>
    </row>
    <row r="405" spans="36:51">
      <c r="AJ405" s="22"/>
      <c r="AK405" s="22"/>
      <c r="AL405" s="22"/>
      <c r="AM405" s="22"/>
      <c r="AN405" s="22"/>
      <c r="AO405" s="22"/>
      <c r="AP405" s="22"/>
      <c r="AQ405" s="22"/>
      <c r="AR405"/>
      <c r="AS405"/>
      <c r="AT405"/>
      <c r="AU405"/>
      <c r="AV405"/>
      <c r="AW405"/>
      <c r="AX405"/>
      <c r="AY405"/>
    </row>
    <row r="406" spans="36:51">
      <c r="AJ406" s="22"/>
      <c r="AK406" s="22"/>
      <c r="AL406" s="22"/>
      <c r="AM406" s="22"/>
      <c r="AN406" s="22"/>
      <c r="AO406" s="22"/>
      <c r="AP406" s="22"/>
      <c r="AQ406" s="22"/>
      <c r="AR406"/>
      <c r="AS406"/>
      <c r="AT406"/>
      <c r="AU406"/>
      <c r="AV406"/>
      <c r="AW406"/>
      <c r="AX406"/>
      <c r="AY406"/>
    </row>
    <row r="407" spans="36:51">
      <c r="AJ407" s="22"/>
      <c r="AK407" s="22"/>
      <c r="AL407" s="22"/>
      <c r="AM407" s="22"/>
      <c r="AN407" s="22"/>
      <c r="AO407" s="22"/>
      <c r="AP407" s="22"/>
      <c r="AQ407" s="22"/>
      <c r="AR407"/>
      <c r="AS407"/>
      <c r="AT407"/>
      <c r="AU407"/>
      <c r="AV407"/>
      <c r="AW407"/>
      <c r="AX407"/>
      <c r="AY407"/>
    </row>
    <row r="408" spans="36:51">
      <c r="AJ408" s="22"/>
      <c r="AK408" s="22"/>
      <c r="AL408" s="22"/>
      <c r="AM408" s="22"/>
      <c r="AN408" s="22"/>
      <c r="AO408" s="22"/>
      <c r="AP408" s="22"/>
      <c r="AQ408" s="22"/>
      <c r="AR408"/>
      <c r="AS408"/>
      <c r="AT408"/>
      <c r="AU408"/>
      <c r="AV408"/>
      <c r="AW408"/>
      <c r="AX408"/>
      <c r="AY408"/>
    </row>
    <row r="409" spans="36:51">
      <c r="AJ409" s="22"/>
      <c r="AK409" s="22"/>
      <c r="AL409" s="22"/>
      <c r="AM409" s="22"/>
      <c r="AN409" s="22"/>
      <c r="AO409" s="22"/>
      <c r="AP409" s="22"/>
      <c r="AQ409" s="22"/>
      <c r="AR409"/>
      <c r="AS409"/>
      <c r="AT409"/>
      <c r="AU409"/>
      <c r="AV409"/>
      <c r="AW409"/>
      <c r="AX409"/>
      <c r="AY409"/>
    </row>
    <row r="410" spans="36:51">
      <c r="AJ410" s="22"/>
      <c r="AK410" s="22"/>
      <c r="AL410" s="22"/>
      <c r="AM410" s="22"/>
      <c r="AN410" s="22"/>
      <c r="AO410" s="22"/>
      <c r="AP410" s="22"/>
      <c r="AQ410" s="22"/>
      <c r="AR410"/>
      <c r="AS410"/>
      <c r="AT410"/>
      <c r="AU410"/>
      <c r="AV410"/>
      <c r="AW410"/>
      <c r="AX410"/>
      <c r="AY410"/>
    </row>
    <row r="411" spans="36:51">
      <c r="AJ411" s="22"/>
      <c r="AK411" s="22"/>
      <c r="AL411" s="22"/>
      <c r="AM411" s="22"/>
      <c r="AN411" s="22"/>
      <c r="AO411" s="22"/>
      <c r="AP411" s="22"/>
      <c r="AQ411" s="22"/>
      <c r="AR411"/>
      <c r="AS411"/>
      <c r="AT411"/>
      <c r="AU411"/>
      <c r="AV411"/>
      <c r="AW411"/>
      <c r="AX411"/>
      <c r="AY411"/>
    </row>
    <row r="412" spans="36:51">
      <c r="AJ412" s="22"/>
      <c r="AK412" s="22"/>
      <c r="AL412" s="22"/>
      <c r="AM412" s="22"/>
      <c r="AN412" s="22"/>
      <c r="AO412" s="22"/>
      <c r="AP412" s="22"/>
      <c r="AQ412" s="22"/>
      <c r="AR412"/>
      <c r="AS412"/>
      <c r="AT412"/>
      <c r="AU412"/>
      <c r="AV412"/>
      <c r="AW412"/>
      <c r="AX412"/>
      <c r="AY412"/>
    </row>
    <row r="413" spans="36:51">
      <c r="AJ413" s="22"/>
      <c r="AK413" s="22"/>
      <c r="AL413" s="22"/>
      <c r="AM413" s="22"/>
      <c r="AN413" s="22"/>
      <c r="AO413" s="22"/>
      <c r="AP413" s="22"/>
      <c r="AQ413" s="22"/>
      <c r="AR413"/>
      <c r="AS413"/>
      <c r="AT413"/>
      <c r="AU413"/>
      <c r="AV413"/>
      <c r="AW413"/>
      <c r="AX413"/>
      <c r="AY413"/>
    </row>
    <row r="414" spans="36:51">
      <c r="AJ414" s="22"/>
      <c r="AK414" s="22"/>
      <c r="AL414" s="22"/>
      <c r="AM414" s="22"/>
      <c r="AN414" s="22"/>
      <c r="AO414" s="22"/>
      <c r="AP414" s="22"/>
      <c r="AQ414" s="22"/>
      <c r="AR414"/>
      <c r="AS414"/>
      <c r="AT414"/>
      <c r="AU414"/>
      <c r="AV414"/>
      <c r="AW414"/>
      <c r="AX414"/>
      <c r="AY414"/>
    </row>
    <row r="415" spans="36:51">
      <c r="AJ415" s="22"/>
      <c r="AK415" s="22"/>
      <c r="AL415" s="22"/>
      <c r="AM415" s="22"/>
      <c r="AN415" s="22"/>
      <c r="AO415" s="22"/>
      <c r="AP415" s="22"/>
      <c r="AQ415" s="22"/>
      <c r="AR415"/>
      <c r="AS415"/>
      <c r="AT415"/>
      <c r="AU415"/>
      <c r="AV415"/>
      <c r="AW415"/>
      <c r="AX415"/>
      <c r="AY415"/>
    </row>
    <row r="416" spans="36:51">
      <c r="AJ416" s="22"/>
      <c r="AK416" s="22"/>
      <c r="AL416" s="22"/>
      <c r="AM416" s="22"/>
      <c r="AN416" s="22"/>
      <c r="AO416" s="22"/>
      <c r="AP416" s="22"/>
      <c r="AQ416" s="22"/>
      <c r="AR416"/>
      <c r="AS416"/>
      <c r="AT416"/>
      <c r="AU416"/>
      <c r="AV416"/>
      <c r="AW416"/>
      <c r="AX416"/>
      <c r="AY416"/>
    </row>
    <row r="417" spans="36:51">
      <c r="AJ417" s="22"/>
      <c r="AK417" s="22"/>
      <c r="AL417" s="22"/>
      <c r="AM417" s="22"/>
      <c r="AN417" s="22"/>
      <c r="AO417" s="22"/>
      <c r="AP417" s="22"/>
      <c r="AQ417" s="22"/>
      <c r="AR417"/>
      <c r="AS417"/>
      <c r="AT417"/>
      <c r="AU417"/>
      <c r="AV417"/>
      <c r="AW417"/>
      <c r="AX417"/>
      <c r="AY417"/>
    </row>
    <row r="418" spans="36:51">
      <c r="AJ418" s="22"/>
      <c r="AK418" s="22"/>
      <c r="AL418" s="22"/>
      <c r="AM418" s="22"/>
      <c r="AN418" s="22"/>
      <c r="AO418" s="22"/>
      <c r="AP418" s="22"/>
      <c r="AQ418" s="22"/>
      <c r="AR418"/>
      <c r="AS418"/>
      <c r="AT418"/>
      <c r="AU418"/>
      <c r="AV418"/>
      <c r="AW418"/>
      <c r="AX418"/>
      <c r="AY418"/>
    </row>
    <row r="419" spans="36:51">
      <c r="AJ419" s="22"/>
      <c r="AK419" s="22"/>
      <c r="AL419" s="22"/>
      <c r="AM419" s="22"/>
      <c r="AN419" s="22"/>
      <c r="AO419" s="22"/>
      <c r="AP419" s="22"/>
      <c r="AQ419" s="22"/>
      <c r="AR419"/>
      <c r="AS419"/>
      <c r="AT419"/>
      <c r="AU419"/>
      <c r="AV419"/>
      <c r="AW419"/>
      <c r="AX419"/>
      <c r="AY419"/>
    </row>
    <row r="420" spans="36:51">
      <c r="AJ420" s="22"/>
      <c r="AK420" s="22"/>
      <c r="AL420" s="22"/>
      <c r="AM420" s="22"/>
      <c r="AN420" s="22"/>
      <c r="AO420" s="22"/>
      <c r="AP420" s="22"/>
      <c r="AQ420" s="22"/>
      <c r="AR420"/>
      <c r="AS420"/>
      <c r="AT420"/>
      <c r="AU420"/>
      <c r="AV420"/>
      <c r="AW420"/>
      <c r="AX420"/>
      <c r="AY420"/>
    </row>
    <row r="421" spans="36:51">
      <c r="AJ421" s="22"/>
      <c r="AK421" s="22"/>
      <c r="AL421" s="22"/>
      <c r="AM421" s="22"/>
      <c r="AN421" s="22"/>
      <c r="AO421" s="22"/>
      <c r="AP421" s="22"/>
      <c r="AQ421" s="22"/>
      <c r="AR421"/>
      <c r="AS421"/>
      <c r="AT421"/>
      <c r="AU421"/>
      <c r="AV421"/>
      <c r="AW421"/>
      <c r="AX421"/>
      <c r="AY421"/>
    </row>
    <row r="422" spans="36:51">
      <c r="AJ422" s="22"/>
      <c r="AK422" s="22"/>
      <c r="AL422" s="22"/>
      <c r="AM422" s="22"/>
      <c r="AN422" s="22"/>
      <c r="AO422" s="22"/>
      <c r="AP422" s="22"/>
      <c r="AQ422" s="22"/>
      <c r="AR422"/>
      <c r="AS422"/>
      <c r="AT422"/>
      <c r="AU422"/>
      <c r="AV422"/>
      <c r="AW422"/>
      <c r="AX422"/>
      <c r="AY422"/>
    </row>
    <row r="423" spans="36:51">
      <c r="AJ423" s="22"/>
      <c r="AK423" s="22"/>
      <c r="AL423" s="22"/>
      <c r="AM423" s="22"/>
      <c r="AN423" s="22"/>
      <c r="AO423" s="22"/>
      <c r="AP423" s="22"/>
      <c r="AQ423" s="22"/>
      <c r="AR423"/>
      <c r="AS423"/>
      <c r="AT423"/>
      <c r="AU423"/>
      <c r="AV423"/>
      <c r="AW423"/>
      <c r="AX423"/>
      <c r="AY423"/>
    </row>
    <row r="424" spans="36:51">
      <c r="AJ424" s="22"/>
      <c r="AK424" s="22"/>
      <c r="AL424" s="22"/>
      <c r="AM424" s="22"/>
      <c r="AN424" s="22"/>
      <c r="AO424" s="22"/>
      <c r="AP424" s="22"/>
      <c r="AQ424" s="22"/>
      <c r="AR424"/>
      <c r="AS424"/>
      <c r="AT424"/>
      <c r="AU424"/>
      <c r="AV424"/>
      <c r="AW424"/>
      <c r="AX424"/>
      <c r="AY424"/>
    </row>
    <row r="425" spans="36:51">
      <c r="AJ425" s="22"/>
      <c r="AK425" s="22"/>
      <c r="AL425" s="22"/>
      <c r="AM425" s="22"/>
      <c r="AN425" s="22"/>
      <c r="AO425" s="22"/>
      <c r="AP425" s="22"/>
      <c r="AQ425" s="22"/>
      <c r="AR425"/>
      <c r="AS425"/>
      <c r="AT425"/>
      <c r="AU425"/>
      <c r="AV425"/>
      <c r="AW425"/>
      <c r="AX425"/>
      <c r="AY425"/>
    </row>
    <row r="426" spans="36:51">
      <c r="AJ426" s="22"/>
      <c r="AK426" s="22"/>
      <c r="AL426" s="22"/>
      <c r="AM426" s="22"/>
      <c r="AN426" s="22"/>
      <c r="AO426" s="22"/>
      <c r="AP426" s="22"/>
      <c r="AQ426" s="22"/>
      <c r="AR426"/>
      <c r="AS426"/>
      <c r="AT426"/>
      <c r="AU426"/>
      <c r="AV426"/>
      <c r="AW426"/>
      <c r="AX426"/>
      <c r="AY426"/>
    </row>
    <row r="427" spans="36:51">
      <c r="AJ427" s="22"/>
      <c r="AK427" s="22"/>
      <c r="AL427" s="22"/>
      <c r="AM427" s="22"/>
      <c r="AN427" s="22"/>
      <c r="AO427" s="22"/>
      <c r="AP427" s="22"/>
      <c r="AQ427" s="22"/>
      <c r="AR427"/>
      <c r="AS427"/>
      <c r="AT427"/>
      <c r="AU427"/>
      <c r="AV427"/>
      <c r="AW427"/>
      <c r="AX427"/>
      <c r="AY427"/>
    </row>
    <row r="428" spans="36:51">
      <c r="AJ428" s="22"/>
      <c r="AK428" s="22"/>
      <c r="AL428" s="22"/>
      <c r="AM428" s="22"/>
      <c r="AN428" s="22"/>
      <c r="AO428" s="22"/>
      <c r="AP428" s="22"/>
      <c r="AQ428" s="22"/>
      <c r="AR428"/>
      <c r="AS428"/>
      <c r="AT428"/>
      <c r="AU428"/>
      <c r="AV428"/>
      <c r="AW428"/>
      <c r="AX428"/>
      <c r="AY428"/>
    </row>
    <row r="429" spans="36:51">
      <c r="AJ429" s="22"/>
      <c r="AK429" s="22"/>
      <c r="AL429" s="22"/>
      <c r="AM429" s="22"/>
      <c r="AN429" s="22"/>
      <c r="AO429" s="22"/>
      <c r="AP429" s="22"/>
      <c r="AQ429" s="22"/>
      <c r="AR429"/>
      <c r="AS429"/>
      <c r="AT429"/>
      <c r="AU429"/>
      <c r="AV429"/>
      <c r="AW429"/>
      <c r="AX429"/>
      <c r="AY429"/>
    </row>
    <row r="430" spans="36:51">
      <c r="AJ430" s="22"/>
      <c r="AK430" s="22"/>
      <c r="AL430" s="22"/>
      <c r="AM430" s="22"/>
      <c r="AN430" s="22"/>
      <c r="AO430" s="22"/>
      <c r="AP430" s="22"/>
      <c r="AQ430" s="22"/>
      <c r="AR430"/>
      <c r="AS430"/>
      <c r="AT430"/>
      <c r="AU430"/>
      <c r="AV430"/>
      <c r="AW430"/>
      <c r="AX430"/>
      <c r="AY430"/>
    </row>
    <row r="431" spans="36:51">
      <c r="AJ431" s="22"/>
      <c r="AK431" s="22"/>
      <c r="AL431" s="22"/>
      <c r="AM431" s="22"/>
      <c r="AN431" s="22"/>
      <c r="AO431" s="22"/>
      <c r="AP431" s="22"/>
      <c r="AQ431" s="22"/>
      <c r="AR431"/>
      <c r="AS431"/>
      <c r="AT431"/>
      <c r="AU431"/>
      <c r="AV431"/>
      <c r="AW431"/>
      <c r="AX431"/>
      <c r="AY431"/>
    </row>
    <row r="432" spans="36:51">
      <c r="AJ432" s="22"/>
      <c r="AK432" s="22"/>
      <c r="AL432" s="22"/>
      <c r="AM432" s="22"/>
      <c r="AN432" s="22"/>
      <c r="AO432" s="22"/>
      <c r="AP432" s="22"/>
      <c r="AQ432" s="22"/>
      <c r="AR432"/>
      <c r="AS432"/>
      <c r="AT432"/>
      <c r="AU432"/>
      <c r="AV432"/>
      <c r="AW432"/>
      <c r="AX432"/>
      <c r="AY432"/>
    </row>
    <row r="433" spans="36:51">
      <c r="AJ433" s="22"/>
      <c r="AK433" s="22"/>
      <c r="AL433" s="22"/>
      <c r="AM433" s="22"/>
      <c r="AN433" s="22"/>
      <c r="AO433" s="22"/>
      <c r="AP433" s="22"/>
      <c r="AQ433" s="22"/>
      <c r="AR433"/>
      <c r="AS433"/>
      <c r="AT433"/>
      <c r="AU433"/>
      <c r="AV433"/>
      <c r="AW433"/>
      <c r="AX433"/>
      <c r="AY433"/>
    </row>
    <row r="434" spans="36:51">
      <c r="AJ434" s="22"/>
      <c r="AK434" s="22"/>
      <c r="AL434" s="22"/>
      <c r="AM434" s="22"/>
      <c r="AN434" s="22"/>
      <c r="AO434" s="22"/>
      <c r="AP434" s="22"/>
      <c r="AQ434" s="22"/>
      <c r="AR434"/>
      <c r="AS434"/>
      <c r="AT434"/>
      <c r="AU434"/>
      <c r="AV434"/>
      <c r="AW434"/>
      <c r="AX434"/>
      <c r="AY434"/>
    </row>
    <row r="435" spans="36:51">
      <c r="AJ435" s="22"/>
      <c r="AK435" s="22"/>
      <c r="AL435" s="22"/>
      <c r="AM435" s="22"/>
      <c r="AN435" s="22"/>
      <c r="AO435" s="22"/>
      <c r="AP435" s="22"/>
      <c r="AQ435" s="22"/>
      <c r="AR435"/>
      <c r="AS435"/>
      <c r="AT435"/>
      <c r="AU435"/>
      <c r="AV435"/>
      <c r="AW435"/>
      <c r="AX435"/>
      <c r="AY435"/>
    </row>
    <row r="436" spans="36:51">
      <c r="AJ436" s="22"/>
      <c r="AK436" s="22"/>
      <c r="AL436" s="22"/>
      <c r="AM436" s="22"/>
      <c r="AN436" s="22"/>
      <c r="AO436" s="22"/>
      <c r="AP436" s="22"/>
      <c r="AQ436" s="22"/>
      <c r="AR436"/>
      <c r="AS436"/>
      <c r="AT436"/>
      <c r="AU436"/>
      <c r="AV436"/>
      <c r="AW436"/>
      <c r="AX436"/>
      <c r="AY436"/>
    </row>
    <row r="437" spans="36:51">
      <c r="AJ437" s="22"/>
      <c r="AK437" s="22"/>
      <c r="AL437" s="22"/>
      <c r="AM437" s="22"/>
      <c r="AN437" s="22"/>
      <c r="AO437" s="22"/>
      <c r="AP437" s="22"/>
      <c r="AQ437" s="22"/>
      <c r="AR437"/>
      <c r="AS437"/>
      <c r="AT437"/>
      <c r="AU437"/>
      <c r="AV437"/>
      <c r="AW437"/>
      <c r="AX437"/>
      <c r="AY437"/>
    </row>
    <row r="438" spans="36:51">
      <c r="AJ438" s="22"/>
      <c r="AK438" s="22"/>
      <c r="AL438" s="22"/>
      <c r="AM438" s="22"/>
      <c r="AN438" s="22"/>
      <c r="AO438" s="22"/>
      <c r="AP438" s="22"/>
      <c r="AQ438" s="22"/>
      <c r="AR438"/>
      <c r="AS438"/>
      <c r="AT438"/>
      <c r="AU438"/>
      <c r="AV438"/>
      <c r="AW438"/>
      <c r="AX438"/>
      <c r="AY438"/>
    </row>
    <row r="439" spans="36:51">
      <c r="AJ439" s="22"/>
      <c r="AK439" s="22"/>
      <c r="AL439" s="22"/>
      <c r="AM439" s="22"/>
      <c r="AN439" s="22"/>
      <c r="AO439" s="22"/>
      <c r="AP439" s="22"/>
      <c r="AQ439" s="22"/>
      <c r="AR439"/>
      <c r="AS439"/>
      <c r="AT439"/>
      <c r="AU439"/>
      <c r="AV439"/>
      <c r="AW439"/>
      <c r="AX439"/>
      <c r="AY439"/>
    </row>
    <row r="440" spans="36:51">
      <c r="AJ440" s="22"/>
      <c r="AK440" s="22"/>
      <c r="AL440" s="22"/>
      <c r="AM440" s="22"/>
      <c r="AN440" s="22"/>
      <c r="AO440" s="22"/>
      <c r="AP440" s="22"/>
      <c r="AQ440" s="22"/>
      <c r="AR440"/>
      <c r="AS440"/>
      <c r="AT440"/>
      <c r="AU440"/>
      <c r="AV440"/>
      <c r="AW440"/>
      <c r="AX440"/>
      <c r="AY440"/>
    </row>
    <row r="441" spans="36:51">
      <c r="AJ441" s="22"/>
      <c r="AK441" s="22"/>
      <c r="AL441" s="22"/>
      <c r="AM441" s="22"/>
      <c r="AN441" s="22"/>
      <c r="AO441" s="22"/>
      <c r="AP441" s="22"/>
      <c r="AQ441" s="22"/>
      <c r="AR441"/>
      <c r="AS441"/>
      <c r="AT441"/>
      <c r="AU441"/>
      <c r="AV441"/>
      <c r="AW441"/>
      <c r="AX441"/>
      <c r="AY441"/>
    </row>
    <row r="442" spans="36:51">
      <c r="AJ442" s="22"/>
      <c r="AK442" s="22"/>
      <c r="AL442" s="22"/>
      <c r="AM442" s="22"/>
      <c r="AN442" s="22"/>
      <c r="AO442" s="22"/>
      <c r="AP442" s="22"/>
      <c r="AQ442" s="22"/>
      <c r="AR442"/>
      <c r="AS442"/>
      <c r="AT442"/>
      <c r="AU442"/>
      <c r="AV442"/>
      <c r="AW442"/>
      <c r="AX442"/>
      <c r="AY442"/>
    </row>
    <row r="443" spans="36:51">
      <c r="AJ443" s="22"/>
      <c r="AK443" s="22"/>
      <c r="AL443" s="22"/>
      <c r="AM443" s="22"/>
      <c r="AN443" s="22"/>
      <c r="AO443" s="22"/>
      <c r="AP443" s="22"/>
      <c r="AQ443" s="22"/>
      <c r="AR443"/>
      <c r="AS443"/>
      <c r="AT443"/>
      <c r="AU443"/>
      <c r="AV443"/>
      <c r="AW443"/>
      <c r="AX443"/>
      <c r="AY443"/>
    </row>
    <row r="444" spans="36:51">
      <c r="AJ444" s="22"/>
      <c r="AK444" s="22"/>
      <c r="AL444" s="22"/>
      <c r="AM444" s="22"/>
      <c r="AN444" s="22"/>
      <c r="AO444" s="22"/>
      <c r="AP444" s="22"/>
      <c r="AQ444" s="22"/>
      <c r="AR444"/>
      <c r="AS444"/>
      <c r="AT444"/>
      <c r="AU444"/>
      <c r="AV444"/>
      <c r="AW444"/>
      <c r="AX444"/>
      <c r="AY444"/>
    </row>
    <row r="445" spans="36:51">
      <c r="AJ445" s="22"/>
      <c r="AK445" s="22"/>
      <c r="AL445" s="22"/>
      <c r="AM445" s="22"/>
      <c r="AN445" s="22"/>
      <c r="AO445" s="22"/>
      <c r="AP445" s="22"/>
      <c r="AQ445" s="22"/>
      <c r="AR445"/>
      <c r="AS445"/>
      <c r="AT445"/>
      <c r="AU445"/>
      <c r="AV445"/>
      <c r="AW445"/>
      <c r="AX445"/>
      <c r="AY445"/>
    </row>
    <row r="446" spans="36:51">
      <c r="AJ446" s="22"/>
      <c r="AK446" s="22"/>
      <c r="AL446" s="22"/>
      <c r="AM446" s="22"/>
      <c r="AN446" s="22"/>
      <c r="AO446" s="22"/>
      <c r="AP446" s="22"/>
      <c r="AQ446" s="22"/>
      <c r="AR446"/>
      <c r="AS446"/>
      <c r="AT446"/>
      <c r="AU446"/>
      <c r="AV446"/>
      <c r="AW446"/>
      <c r="AX446"/>
      <c r="AY446"/>
    </row>
    <row r="447" spans="36:51">
      <c r="AJ447" s="22"/>
      <c r="AK447" s="22"/>
      <c r="AL447" s="22"/>
      <c r="AM447" s="22"/>
      <c r="AN447" s="22"/>
      <c r="AO447" s="22"/>
      <c r="AP447" s="22"/>
      <c r="AQ447" s="22"/>
      <c r="AR447"/>
      <c r="AS447"/>
      <c r="AT447"/>
      <c r="AU447"/>
      <c r="AV447"/>
      <c r="AW447"/>
      <c r="AX447"/>
      <c r="AY447"/>
    </row>
    <row r="448" spans="36:51">
      <c r="AJ448" s="22"/>
      <c r="AK448" s="22"/>
      <c r="AL448" s="22"/>
      <c r="AM448" s="22"/>
      <c r="AN448" s="22"/>
      <c r="AO448" s="22"/>
      <c r="AP448" s="22"/>
      <c r="AQ448" s="22"/>
      <c r="AR448"/>
      <c r="AS448"/>
      <c r="AT448"/>
      <c r="AU448"/>
      <c r="AV448"/>
      <c r="AW448"/>
      <c r="AX448"/>
      <c r="AY448"/>
    </row>
    <row r="449" spans="36:51">
      <c r="AJ449" s="22"/>
      <c r="AK449" s="22"/>
      <c r="AL449" s="22"/>
      <c r="AM449" s="22"/>
      <c r="AN449" s="22"/>
      <c r="AO449" s="22"/>
      <c r="AP449" s="22"/>
      <c r="AQ449" s="22"/>
      <c r="AR449"/>
      <c r="AS449"/>
      <c r="AT449"/>
      <c r="AU449"/>
      <c r="AV449"/>
      <c r="AW449"/>
      <c r="AX449"/>
      <c r="AY449"/>
    </row>
    <row r="450" spans="36:51">
      <c r="AJ450" s="22"/>
      <c r="AK450" s="22"/>
      <c r="AL450" s="22"/>
      <c r="AM450" s="22"/>
      <c r="AN450" s="22"/>
      <c r="AO450" s="22"/>
      <c r="AP450" s="22"/>
      <c r="AQ450" s="22"/>
      <c r="AR450"/>
      <c r="AS450"/>
      <c r="AT450"/>
      <c r="AU450"/>
      <c r="AV450"/>
      <c r="AW450"/>
      <c r="AX450"/>
      <c r="AY450"/>
    </row>
    <row r="451" spans="36:51">
      <c r="AJ451" s="22"/>
      <c r="AK451" s="22"/>
      <c r="AL451" s="22"/>
      <c r="AM451" s="22"/>
      <c r="AN451" s="22"/>
      <c r="AO451" s="22"/>
      <c r="AP451" s="22"/>
      <c r="AQ451" s="22"/>
      <c r="AR451"/>
      <c r="AS451"/>
      <c r="AT451"/>
      <c r="AU451"/>
      <c r="AV451"/>
      <c r="AW451"/>
      <c r="AX451"/>
      <c r="AY451"/>
    </row>
    <row r="452" spans="36:51">
      <c r="AJ452" s="22"/>
      <c r="AK452" s="22"/>
      <c r="AL452" s="22"/>
      <c r="AM452" s="22"/>
      <c r="AN452" s="22"/>
      <c r="AO452" s="22"/>
      <c r="AP452" s="22"/>
      <c r="AQ452" s="22"/>
      <c r="AR452"/>
      <c r="AS452"/>
      <c r="AT452"/>
      <c r="AU452"/>
      <c r="AV452"/>
      <c r="AW452"/>
      <c r="AX452"/>
      <c r="AY452"/>
    </row>
    <row r="453" spans="36:51">
      <c r="AJ453" s="22"/>
      <c r="AK453" s="22"/>
      <c r="AL453" s="22"/>
      <c r="AM453" s="22"/>
      <c r="AN453" s="22"/>
      <c r="AO453" s="22"/>
      <c r="AP453" s="22"/>
      <c r="AQ453" s="22"/>
      <c r="AR453"/>
      <c r="AS453"/>
      <c r="AT453"/>
      <c r="AU453"/>
      <c r="AV453"/>
      <c r="AW453"/>
      <c r="AX453"/>
      <c r="AY453"/>
    </row>
    <row r="454" spans="36:51">
      <c r="AJ454" s="22"/>
      <c r="AK454" s="22"/>
      <c r="AL454" s="22"/>
      <c r="AM454" s="22"/>
      <c r="AN454" s="22"/>
      <c r="AO454" s="22"/>
      <c r="AP454" s="22"/>
      <c r="AQ454" s="22"/>
      <c r="AR454"/>
      <c r="AS454"/>
      <c r="AT454"/>
      <c r="AU454"/>
      <c r="AV454"/>
      <c r="AW454"/>
      <c r="AX454"/>
      <c r="AY454"/>
    </row>
    <row r="455" spans="36:51">
      <c r="AJ455" s="22"/>
      <c r="AK455" s="22"/>
      <c r="AL455" s="22"/>
      <c r="AM455" s="22"/>
      <c r="AN455" s="22"/>
      <c r="AO455" s="22"/>
      <c r="AP455" s="22"/>
      <c r="AQ455" s="22"/>
      <c r="AR455"/>
      <c r="AS455"/>
      <c r="AT455"/>
      <c r="AU455"/>
      <c r="AV455"/>
      <c r="AW455"/>
      <c r="AX455"/>
      <c r="AY455"/>
    </row>
    <row r="456" spans="36:51">
      <c r="AJ456" s="22"/>
      <c r="AK456" s="22"/>
      <c r="AL456" s="22"/>
      <c r="AM456" s="22"/>
      <c r="AN456" s="22"/>
      <c r="AO456" s="22"/>
      <c r="AP456" s="22"/>
      <c r="AQ456" s="22"/>
      <c r="AR456"/>
      <c r="AS456"/>
      <c r="AT456"/>
      <c r="AU456"/>
      <c r="AV456"/>
      <c r="AW456"/>
      <c r="AX456"/>
      <c r="AY456"/>
    </row>
    <row r="457" spans="36:51">
      <c r="AJ457" s="22"/>
      <c r="AK457" s="22"/>
      <c r="AL457" s="22"/>
      <c r="AM457" s="22"/>
      <c r="AN457" s="22"/>
      <c r="AO457" s="22"/>
      <c r="AP457" s="22"/>
      <c r="AQ457" s="22"/>
      <c r="AR457"/>
      <c r="AS457"/>
      <c r="AT457"/>
      <c r="AU457"/>
      <c r="AV457"/>
      <c r="AW457"/>
      <c r="AX457"/>
      <c r="AY457"/>
    </row>
    <row r="458" spans="36:51">
      <c r="AJ458" s="22"/>
      <c r="AK458" s="22"/>
      <c r="AL458" s="22"/>
      <c r="AM458" s="22"/>
      <c r="AN458" s="22"/>
      <c r="AO458" s="22"/>
      <c r="AP458" s="22"/>
      <c r="AQ458" s="22"/>
      <c r="AR458"/>
      <c r="AS458"/>
      <c r="AT458"/>
      <c r="AU458"/>
      <c r="AV458"/>
      <c r="AW458"/>
      <c r="AX458"/>
      <c r="AY458"/>
    </row>
    <row r="459" spans="36:51">
      <c r="AJ459" s="22"/>
      <c r="AK459" s="22"/>
      <c r="AL459" s="22"/>
      <c r="AM459" s="22"/>
      <c r="AN459" s="22"/>
      <c r="AO459" s="22"/>
      <c r="AP459" s="22"/>
      <c r="AQ459" s="22"/>
      <c r="AR459"/>
      <c r="AS459"/>
      <c r="AT459"/>
      <c r="AU459"/>
      <c r="AV459"/>
      <c r="AW459"/>
      <c r="AX459"/>
      <c r="AY459"/>
    </row>
    <row r="460" spans="36:51">
      <c r="AJ460" s="22"/>
      <c r="AK460" s="22"/>
      <c r="AL460" s="22"/>
      <c r="AM460" s="22"/>
      <c r="AN460" s="22"/>
      <c r="AO460" s="22"/>
      <c r="AP460" s="22"/>
      <c r="AQ460" s="22"/>
      <c r="AR460"/>
      <c r="AS460"/>
      <c r="AT460"/>
      <c r="AU460"/>
      <c r="AV460"/>
      <c r="AW460"/>
      <c r="AX460"/>
      <c r="AY460"/>
    </row>
    <row r="461" spans="36:51">
      <c r="AJ461" s="22"/>
      <c r="AK461" s="22"/>
      <c r="AL461" s="22"/>
      <c r="AM461" s="22"/>
      <c r="AN461" s="22"/>
      <c r="AO461" s="22"/>
      <c r="AP461" s="22"/>
      <c r="AQ461" s="22"/>
      <c r="AR461"/>
      <c r="AS461"/>
      <c r="AT461"/>
      <c r="AU461"/>
      <c r="AV461"/>
      <c r="AW461"/>
      <c r="AX461"/>
      <c r="AY461"/>
    </row>
    <row r="462" spans="36:51">
      <c r="AJ462" s="22"/>
      <c r="AK462" s="22"/>
      <c r="AL462" s="22"/>
      <c r="AM462" s="22"/>
      <c r="AN462" s="22"/>
      <c r="AO462" s="22"/>
      <c r="AP462" s="22"/>
      <c r="AQ462" s="22"/>
      <c r="AR462"/>
      <c r="AS462"/>
      <c r="AT462"/>
      <c r="AU462"/>
      <c r="AV462"/>
      <c r="AW462"/>
      <c r="AX462"/>
      <c r="AY462"/>
    </row>
    <row r="463" spans="36:51">
      <c r="AJ463" s="22"/>
      <c r="AK463" s="22"/>
      <c r="AL463" s="22"/>
      <c r="AM463" s="22"/>
      <c r="AN463" s="22"/>
      <c r="AO463" s="22"/>
      <c r="AP463" s="22"/>
      <c r="AQ463" s="22"/>
      <c r="AR463"/>
      <c r="AS463"/>
      <c r="AT463"/>
      <c r="AU463"/>
      <c r="AV463"/>
      <c r="AW463"/>
      <c r="AX463"/>
      <c r="AY463"/>
    </row>
    <row r="464" spans="36:51">
      <c r="AJ464" s="22"/>
      <c r="AK464" s="22"/>
      <c r="AL464" s="22"/>
      <c r="AM464" s="22"/>
      <c r="AN464" s="22"/>
      <c r="AO464" s="22"/>
      <c r="AP464" s="22"/>
      <c r="AQ464" s="22"/>
      <c r="AR464"/>
      <c r="AS464"/>
      <c r="AT464"/>
      <c r="AU464"/>
      <c r="AV464"/>
      <c r="AW464"/>
      <c r="AX464"/>
      <c r="AY464"/>
    </row>
    <row r="465" spans="36:51">
      <c r="AJ465" s="22"/>
      <c r="AK465" s="22"/>
      <c r="AL465" s="22"/>
      <c r="AM465" s="22"/>
      <c r="AN465" s="22"/>
      <c r="AO465" s="22"/>
      <c r="AP465" s="22"/>
      <c r="AQ465" s="22"/>
      <c r="AR465"/>
      <c r="AS465"/>
      <c r="AT465"/>
      <c r="AU465"/>
      <c r="AV465"/>
      <c r="AW465"/>
      <c r="AX465"/>
      <c r="AY465"/>
    </row>
    <row r="466" spans="36:51">
      <c r="AJ466" s="22"/>
      <c r="AK466" s="22"/>
      <c r="AL466" s="22"/>
      <c r="AM466" s="22"/>
      <c r="AN466" s="22"/>
      <c r="AO466" s="22"/>
      <c r="AP466" s="22"/>
      <c r="AQ466" s="22"/>
      <c r="AR466"/>
      <c r="AS466"/>
      <c r="AT466"/>
      <c r="AU466"/>
      <c r="AV466"/>
      <c r="AW466"/>
      <c r="AX466"/>
      <c r="AY466"/>
    </row>
    <row r="467" spans="36:51">
      <c r="AJ467" s="22"/>
      <c r="AK467" s="22"/>
      <c r="AL467" s="22"/>
      <c r="AM467" s="22"/>
      <c r="AN467" s="22"/>
      <c r="AO467" s="22"/>
      <c r="AP467" s="22"/>
      <c r="AQ467" s="22"/>
      <c r="AR467"/>
      <c r="AS467"/>
      <c r="AT467"/>
      <c r="AU467"/>
      <c r="AV467"/>
      <c r="AW467"/>
      <c r="AX467"/>
      <c r="AY467"/>
    </row>
    <row r="468" spans="36:51">
      <c r="AJ468" s="22"/>
      <c r="AK468" s="22"/>
      <c r="AL468" s="22"/>
      <c r="AM468" s="22"/>
      <c r="AN468" s="22"/>
      <c r="AO468" s="22"/>
      <c r="AP468" s="22"/>
      <c r="AQ468" s="22"/>
      <c r="AR468"/>
      <c r="AS468"/>
      <c r="AT468"/>
      <c r="AU468"/>
      <c r="AV468"/>
      <c r="AW468"/>
      <c r="AX468"/>
      <c r="AY468"/>
    </row>
    <row r="469" spans="36:51">
      <c r="AJ469" s="22"/>
      <c r="AK469" s="22"/>
      <c r="AL469" s="22"/>
      <c r="AM469" s="22"/>
      <c r="AN469" s="22"/>
      <c r="AO469" s="22"/>
      <c r="AP469" s="22"/>
      <c r="AQ469" s="22"/>
      <c r="AR469"/>
      <c r="AS469"/>
      <c r="AT469"/>
      <c r="AU469"/>
      <c r="AV469"/>
      <c r="AW469"/>
      <c r="AX469"/>
      <c r="AY469"/>
    </row>
    <row r="470" spans="36:51">
      <c r="AJ470" s="22"/>
      <c r="AK470" s="22"/>
      <c r="AL470" s="22"/>
      <c r="AM470" s="22"/>
      <c r="AN470" s="22"/>
      <c r="AO470" s="22"/>
      <c r="AP470" s="22"/>
      <c r="AQ470" s="22"/>
      <c r="AR470"/>
      <c r="AS470"/>
      <c r="AT470"/>
      <c r="AU470"/>
      <c r="AV470"/>
      <c r="AW470"/>
      <c r="AX470"/>
      <c r="AY470"/>
    </row>
    <row r="471" spans="36:51">
      <c r="AJ471" s="22"/>
      <c r="AK471" s="22"/>
      <c r="AL471" s="22"/>
      <c r="AM471" s="22"/>
      <c r="AN471" s="22"/>
      <c r="AO471" s="22"/>
      <c r="AP471" s="22"/>
      <c r="AQ471" s="22"/>
      <c r="AR471"/>
      <c r="AS471"/>
      <c r="AT471"/>
      <c r="AU471"/>
      <c r="AV471"/>
      <c r="AW471"/>
      <c r="AX471"/>
      <c r="AY471"/>
    </row>
    <row r="472" spans="36:51">
      <c r="AJ472" s="22"/>
      <c r="AK472" s="22"/>
      <c r="AL472" s="22"/>
      <c r="AM472" s="22"/>
      <c r="AN472" s="22"/>
      <c r="AO472" s="22"/>
      <c r="AP472" s="22"/>
      <c r="AQ472" s="22"/>
      <c r="AR472"/>
      <c r="AS472"/>
      <c r="AT472"/>
      <c r="AU472"/>
      <c r="AV472"/>
      <c r="AW472"/>
      <c r="AX472"/>
      <c r="AY472"/>
    </row>
    <row r="473" spans="36:51">
      <c r="AJ473" s="22"/>
      <c r="AK473" s="22"/>
      <c r="AL473" s="22"/>
      <c r="AM473" s="22"/>
      <c r="AN473" s="22"/>
      <c r="AO473" s="22"/>
      <c r="AP473" s="22"/>
      <c r="AQ473" s="22"/>
      <c r="AR473"/>
      <c r="AS473"/>
      <c r="AT473"/>
      <c r="AU473"/>
      <c r="AV473"/>
      <c r="AW473"/>
      <c r="AX473"/>
      <c r="AY473"/>
    </row>
    <row r="474" spans="36:51">
      <c r="AJ474" s="22"/>
      <c r="AK474" s="22"/>
      <c r="AL474" s="22"/>
      <c r="AM474" s="22"/>
      <c r="AN474" s="22"/>
      <c r="AO474" s="22"/>
      <c r="AP474" s="22"/>
      <c r="AQ474" s="22"/>
      <c r="AR474"/>
      <c r="AS474"/>
      <c r="AT474"/>
      <c r="AU474"/>
      <c r="AV474"/>
      <c r="AW474"/>
      <c r="AX474"/>
      <c r="AY474"/>
    </row>
    <row r="475" spans="36:51">
      <c r="AJ475" s="22"/>
      <c r="AK475" s="22"/>
      <c r="AL475" s="22"/>
      <c r="AM475" s="22"/>
      <c r="AN475" s="22"/>
      <c r="AO475" s="22"/>
      <c r="AP475" s="22"/>
      <c r="AQ475" s="22"/>
      <c r="AR475"/>
      <c r="AS475"/>
      <c r="AT475"/>
      <c r="AU475"/>
      <c r="AV475"/>
      <c r="AW475"/>
      <c r="AX475"/>
      <c r="AY475"/>
    </row>
    <row r="476" spans="36:51">
      <c r="AJ476" s="22"/>
      <c r="AK476" s="22"/>
      <c r="AL476" s="22"/>
      <c r="AM476" s="22"/>
      <c r="AN476" s="22"/>
      <c r="AO476" s="22"/>
      <c r="AP476" s="22"/>
      <c r="AQ476" s="22"/>
      <c r="AR476"/>
      <c r="AS476"/>
      <c r="AT476"/>
      <c r="AU476"/>
      <c r="AV476"/>
      <c r="AW476"/>
      <c r="AX476"/>
      <c r="AY476"/>
    </row>
    <row r="477" spans="36:51">
      <c r="AJ477" s="22"/>
      <c r="AK477" s="22"/>
      <c r="AL477" s="22"/>
      <c r="AM477" s="22"/>
      <c r="AN477" s="22"/>
      <c r="AO477" s="22"/>
      <c r="AP477" s="22"/>
      <c r="AQ477" s="22"/>
      <c r="AR477"/>
      <c r="AS477"/>
      <c r="AT477"/>
      <c r="AU477"/>
      <c r="AV477"/>
      <c r="AW477"/>
      <c r="AX477"/>
      <c r="AY477"/>
    </row>
    <row r="478" spans="36:51">
      <c r="AJ478" s="22"/>
      <c r="AK478" s="22"/>
      <c r="AL478" s="22"/>
      <c r="AM478" s="22"/>
      <c r="AN478" s="22"/>
      <c r="AO478" s="22"/>
      <c r="AP478" s="22"/>
      <c r="AQ478" s="22"/>
      <c r="AR478"/>
      <c r="AS478"/>
      <c r="AT478"/>
      <c r="AU478"/>
      <c r="AV478"/>
      <c r="AW478"/>
      <c r="AX478"/>
      <c r="AY478"/>
    </row>
    <row r="479" spans="36:51">
      <c r="AJ479" s="22"/>
      <c r="AK479" s="22"/>
      <c r="AL479" s="22"/>
      <c r="AM479" s="22"/>
      <c r="AN479" s="22"/>
      <c r="AO479" s="22"/>
      <c r="AP479" s="22"/>
      <c r="AQ479" s="22"/>
      <c r="AR479"/>
      <c r="AS479"/>
      <c r="AT479"/>
      <c r="AU479"/>
      <c r="AV479"/>
      <c r="AW479"/>
      <c r="AX479"/>
      <c r="AY479"/>
    </row>
    <row r="480" spans="36:51">
      <c r="AJ480" s="22"/>
      <c r="AK480" s="22"/>
      <c r="AL480" s="22"/>
      <c r="AM480" s="22"/>
      <c r="AN480" s="22"/>
      <c r="AO480" s="22"/>
      <c r="AP480" s="22"/>
      <c r="AQ480" s="22"/>
      <c r="AR480"/>
      <c r="AS480"/>
      <c r="AT480"/>
      <c r="AU480"/>
      <c r="AV480"/>
      <c r="AW480"/>
      <c r="AX480"/>
      <c r="AY480"/>
    </row>
    <row r="481" spans="36:51">
      <c r="AJ481" s="22"/>
      <c r="AK481" s="22"/>
      <c r="AL481" s="22"/>
      <c r="AM481" s="22"/>
      <c r="AN481" s="22"/>
      <c r="AO481" s="22"/>
      <c r="AP481" s="22"/>
      <c r="AQ481" s="22"/>
      <c r="AR481"/>
      <c r="AS481"/>
      <c r="AT481"/>
      <c r="AU481"/>
      <c r="AV481"/>
      <c r="AW481"/>
      <c r="AX481"/>
      <c r="AY481"/>
    </row>
    <row r="482" spans="36:51">
      <c r="AJ482" s="22"/>
      <c r="AK482" s="22"/>
      <c r="AL482" s="22"/>
      <c r="AM482" s="22"/>
      <c r="AN482" s="22"/>
      <c r="AO482" s="22"/>
      <c r="AP482" s="22"/>
      <c r="AQ482" s="22"/>
      <c r="AR482"/>
      <c r="AS482"/>
      <c r="AT482"/>
      <c r="AU482"/>
      <c r="AV482"/>
      <c r="AW482"/>
      <c r="AX482"/>
      <c r="AY482"/>
    </row>
    <row r="483" spans="36:51">
      <c r="AJ483" s="22"/>
      <c r="AK483" s="22"/>
      <c r="AL483" s="22"/>
      <c r="AM483" s="22"/>
      <c r="AN483" s="22"/>
      <c r="AO483" s="22"/>
      <c r="AP483" s="22"/>
      <c r="AQ483" s="22"/>
      <c r="AR483"/>
      <c r="AS483"/>
      <c r="AT483"/>
      <c r="AU483"/>
      <c r="AV483"/>
      <c r="AW483"/>
      <c r="AX483"/>
      <c r="AY483"/>
    </row>
    <row r="484" spans="36:51">
      <c r="AJ484" s="22"/>
      <c r="AK484" s="22"/>
      <c r="AL484" s="22"/>
      <c r="AM484" s="22"/>
      <c r="AN484" s="22"/>
      <c r="AO484" s="22"/>
      <c r="AP484" s="22"/>
      <c r="AQ484" s="22"/>
      <c r="AR484"/>
      <c r="AS484"/>
      <c r="AT484"/>
      <c r="AU484"/>
      <c r="AV484"/>
      <c r="AW484"/>
      <c r="AX484"/>
      <c r="AY484"/>
    </row>
    <row r="485" spans="36:51">
      <c r="AJ485" s="22"/>
      <c r="AK485" s="22"/>
      <c r="AL485" s="22"/>
      <c r="AM485" s="22"/>
      <c r="AN485" s="22"/>
      <c r="AO485" s="22"/>
      <c r="AP485" s="22"/>
      <c r="AQ485" s="22"/>
      <c r="AR485"/>
      <c r="AS485"/>
      <c r="AT485"/>
      <c r="AU485"/>
      <c r="AV485"/>
      <c r="AW485"/>
      <c r="AX485"/>
      <c r="AY485"/>
    </row>
    <row r="486" spans="36:51">
      <c r="AJ486" s="22"/>
      <c r="AK486" s="22"/>
      <c r="AL486" s="22"/>
      <c r="AM486" s="22"/>
      <c r="AN486" s="22"/>
      <c r="AO486" s="22"/>
      <c r="AP486" s="22"/>
      <c r="AQ486" s="22"/>
      <c r="AR486"/>
      <c r="AS486"/>
      <c r="AT486"/>
      <c r="AU486"/>
      <c r="AV486"/>
      <c r="AW486"/>
      <c r="AX486"/>
      <c r="AY486"/>
    </row>
    <row r="487" spans="36:51">
      <c r="AJ487" s="22"/>
      <c r="AK487" s="22"/>
      <c r="AL487" s="22"/>
      <c r="AM487" s="22"/>
      <c r="AN487" s="22"/>
      <c r="AO487" s="22"/>
      <c r="AP487" s="22"/>
      <c r="AQ487" s="22"/>
      <c r="AR487"/>
      <c r="AS487"/>
      <c r="AT487"/>
      <c r="AU487"/>
      <c r="AV487"/>
      <c r="AW487"/>
      <c r="AX487"/>
      <c r="AY487"/>
    </row>
    <row r="488" spans="36:51">
      <c r="AJ488" s="22"/>
      <c r="AK488" s="22"/>
      <c r="AL488" s="22"/>
      <c r="AM488" s="22"/>
      <c r="AN488" s="22"/>
      <c r="AO488" s="22"/>
      <c r="AP488" s="22"/>
      <c r="AQ488" s="22"/>
      <c r="AR488"/>
      <c r="AS488"/>
      <c r="AT488"/>
      <c r="AU488"/>
      <c r="AV488"/>
      <c r="AW488"/>
      <c r="AX488"/>
      <c r="AY488"/>
    </row>
    <row r="489" spans="36:51">
      <c r="AJ489" s="22"/>
      <c r="AK489" s="22"/>
      <c r="AL489" s="22"/>
      <c r="AM489" s="22"/>
      <c r="AN489" s="22"/>
      <c r="AO489" s="22"/>
      <c r="AP489" s="22"/>
      <c r="AQ489" s="22"/>
      <c r="AR489"/>
      <c r="AS489"/>
      <c r="AT489"/>
      <c r="AU489"/>
      <c r="AV489"/>
      <c r="AW489"/>
      <c r="AX489"/>
      <c r="AY489"/>
    </row>
    <row r="490" spans="36:51">
      <c r="AJ490" s="22"/>
      <c r="AK490" s="22"/>
      <c r="AL490" s="22"/>
      <c r="AM490" s="22"/>
      <c r="AN490" s="22"/>
      <c r="AO490" s="22"/>
      <c r="AP490" s="22"/>
      <c r="AQ490" s="22"/>
      <c r="AR490"/>
      <c r="AS490"/>
      <c r="AT490"/>
      <c r="AU490"/>
      <c r="AV490"/>
      <c r="AW490"/>
      <c r="AX490"/>
      <c r="AY490"/>
    </row>
    <row r="491" spans="36:51">
      <c r="AJ491" s="22"/>
      <c r="AK491" s="22"/>
      <c r="AL491" s="22"/>
      <c r="AM491" s="22"/>
      <c r="AN491" s="22"/>
      <c r="AO491" s="22"/>
      <c r="AP491" s="22"/>
      <c r="AQ491" s="22"/>
      <c r="AR491"/>
      <c r="AS491"/>
      <c r="AT491"/>
      <c r="AU491"/>
      <c r="AV491"/>
      <c r="AW491"/>
      <c r="AX491"/>
      <c r="AY491"/>
    </row>
    <row r="492" spans="36:51">
      <c r="AJ492" s="22"/>
      <c r="AK492" s="22"/>
      <c r="AL492" s="22"/>
      <c r="AM492" s="22"/>
      <c r="AN492" s="22"/>
      <c r="AO492" s="22"/>
      <c r="AP492" s="22"/>
      <c r="AQ492" s="22"/>
      <c r="AR492"/>
      <c r="AS492"/>
      <c r="AT492"/>
      <c r="AU492"/>
      <c r="AV492"/>
      <c r="AW492"/>
      <c r="AX492"/>
      <c r="AY492"/>
    </row>
    <row r="493" spans="36:51">
      <c r="AJ493" s="22"/>
      <c r="AK493" s="22"/>
      <c r="AL493" s="22"/>
      <c r="AM493" s="22"/>
      <c r="AN493" s="22"/>
      <c r="AO493" s="22"/>
      <c r="AP493" s="22"/>
      <c r="AQ493" s="22"/>
      <c r="AR493"/>
      <c r="AS493"/>
      <c r="AT493"/>
      <c r="AU493"/>
      <c r="AV493"/>
      <c r="AW493"/>
      <c r="AX493"/>
      <c r="AY493"/>
    </row>
    <row r="494" spans="36:51">
      <c r="AJ494" s="22"/>
      <c r="AK494" s="22"/>
      <c r="AL494" s="22"/>
      <c r="AM494" s="22"/>
      <c r="AN494" s="22"/>
      <c r="AO494" s="22"/>
      <c r="AP494" s="22"/>
      <c r="AQ494" s="22"/>
      <c r="AR494"/>
      <c r="AS494"/>
      <c r="AT494"/>
      <c r="AU494"/>
      <c r="AV494"/>
      <c r="AW494"/>
      <c r="AX494"/>
      <c r="AY494"/>
    </row>
    <row r="495" spans="36:51">
      <c r="AJ495" s="22"/>
      <c r="AK495" s="22"/>
      <c r="AL495" s="22"/>
      <c r="AM495" s="22"/>
      <c r="AN495" s="22"/>
      <c r="AO495" s="22"/>
      <c r="AP495" s="22"/>
      <c r="AQ495" s="22"/>
      <c r="AR495"/>
      <c r="AS495"/>
      <c r="AT495"/>
      <c r="AU495"/>
      <c r="AV495"/>
      <c r="AW495"/>
      <c r="AX495"/>
      <c r="AY495"/>
    </row>
    <row r="496" spans="36:51">
      <c r="AJ496" s="22"/>
      <c r="AK496" s="22"/>
      <c r="AL496" s="22"/>
      <c r="AM496" s="22"/>
      <c r="AN496" s="22"/>
      <c r="AO496" s="22"/>
      <c r="AP496" s="22"/>
      <c r="AQ496" s="22"/>
      <c r="AR496"/>
      <c r="AS496"/>
      <c r="AT496"/>
      <c r="AU496"/>
      <c r="AV496"/>
      <c r="AW496"/>
      <c r="AX496"/>
      <c r="AY496"/>
    </row>
    <row r="497" spans="36:51">
      <c r="AJ497" s="22"/>
      <c r="AK497" s="22"/>
      <c r="AL497" s="22"/>
      <c r="AM497" s="22"/>
      <c r="AN497" s="22"/>
      <c r="AO497" s="22"/>
      <c r="AP497" s="22"/>
      <c r="AQ497" s="22"/>
      <c r="AR497"/>
      <c r="AS497"/>
      <c r="AT497"/>
      <c r="AU497"/>
      <c r="AV497"/>
      <c r="AW497"/>
      <c r="AX497"/>
      <c r="AY497"/>
    </row>
    <row r="498" spans="36:51">
      <c r="AJ498" s="22"/>
      <c r="AK498" s="22"/>
      <c r="AL498" s="22"/>
      <c r="AM498" s="22"/>
      <c r="AN498" s="22"/>
      <c r="AO498" s="22"/>
      <c r="AP498" s="22"/>
      <c r="AQ498" s="22"/>
      <c r="AR498"/>
      <c r="AS498"/>
      <c r="AT498"/>
      <c r="AU498"/>
      <c r="AV498"/>
      <c r="AW498"/>
      <c r="AX498"/>
      <c r="AY498"/>
    </row>
    <row r="499" spans="36:51">
      <c r="AJ499" s="22"/>
      <c r="AK499" s="22"/>
      <c r="AL499" s="22"/>
      <c r="AM499" s="22"/>
      <c r="AN499" s="22"/>
      <c r="AO499" s="22"/>
      <c r="AP499" s="22"/>
      <c r="AQ499" s="22"/>
      <c r="AR499"/>
      <c r="AS499"/>
      <c r="AT499"/>
      <c r="AU499"/>
      <c r="AV499"/>
      <c r="AW499"/>
      <c r="AX499"/>
      <c r="AY499"/>
    </row>
    <row r="500" spans="36:51">
      <c r="AJ500" s="22"/>
      <c r="AK500" s="22"/>
      <c r="AL500" s="22"/>
      <c r="AM500" s="22"/>
      <c r="AN500" s="22"/>
      <c r="AO500" s="22"/>
      <c r="AP500" s="22"/>
      <c r="AQ500" s="22"/>
      <c r="AR500"/>
      <c r="AS500"/>
      <c r="AT500"/>
      <c r="AU500"/>
      <c r="AV500"/>
      <c r="AW500"/>
      <c r="AX500"/>
      <c r="AY500"/>
    </row>
    <row r="501" spans="36:51">
      <c r="AJ501" s="22"/>
      <c r="AK501" s="22"/>
      <c r="AL501" s="22"/>
      <c r="AM501" s="22"/>
      <c r="AN501" s="22"/>
      <c r="AO501" s="22"/>
      <c r="AP501" s="22"/>
      <c r="AQ501" s="22"/>
      <c r="AR501"/>
      <c r="AS501"/>
      <c r="AT501"/>
      <c r="AU501"/>
      <c r="AV501"/>
      <c r="AW501"/>
      <c r="AX501"/>
      <c r="AY501"/>
    </row>
    <row r="502" spans="36:51">
      <c r="AJ502" s="22"/>
      <c r="AK502" s="22"/>
      <c r="AL502" s="22"/>
      <c r="AM502" s="22"/>
      <c r="AN502" s="22"/>
      <c r="AO502" s="22"/>
      <c r="AP502" s="22"/>
      <c r="AQ502" s="22"/>
      <c r="AR502"/>
      <c r="AS502"/>
      <c r="AT502"/>
      <c r="AU502"/>
      <c r="AV502"/>
      <c r="AW502"/>
      <c r="AX502"/>
      <c r="AY502"/>
    </row>
    <row r="503" spans="36:51">
      <c r="AJ503" s="22"/>
      <c r="AK503" s="22"/>
      <c r="AL503" s="22"/>
      <c r="AM503" s="22"/>
      <c r="AN503" s="22"/>
      <c r="AO503" s="22"/>
      <c r="AP503" s="22"/>
      <c r="AQ503" s="22"/>
      <c r="AR503"/>
      <c r="AS503"/>
      <c r="AT503"/>
      <c r="AU503"/>
      <c r="AV503"/>
      <c r="AW503"/>
      <c r="AX503"/>
      <c r="AY503"/>
    </row>
    <row r="504" spans="36:51">
      <c r="AJ504" s="22"/>
      <c r="AK504" s="22"/>
      <c r="AL504" s="22"/>
      <c r="AM504" s="22"/>
      <c r="AN504" s="22"/>
      <c r="AO504" s="22"/>
      <c r="AP504" s="22"/>
      <c r="AQ504" s="22"/>
      <c r="AR504"/>
      <c r="AS504"/>
      <c r="AT504"/>
      <c r="AU504"/>
      <c r="AV504"/>
      <c r="AW504"/>
      <c r="AX504"/>
      <c r="AY504"/>
    </row>
    <row r="505" spans="36:51">
      <c r="AJ505" s="22"/>
      <c r="AK505" s="22"/>
      <c r="AL505" s="22"/>
      <c r="AM505" s="22"/>
      <c r="AN505" s="22"/>
      <c r="AO505" s="22"/>
      <c r="AP505" s="22"/>
      <c r="AQ505" s="22"/>
      <c r="AR505"/>
      <c r="AS505"/>
      <c r="AT505"/>
      <c r="AU505"/>
      <c r="AV505"/>
      <c r="AW505"/>
      <c r="AX505"/>
      <c r="AY505"/>
    </row>
    <row r="506" spans="36:51">
      <c r="AJ506" s="22"/>
      <c r="AK506" s="22"/>
      <c r="AL506" s="22"/>
      <c r="AM506" s="22"/>
      <c r="AN506" s="22"/>
      <c r="AO506" s="22"/>
      <c r="AP506" s="22"/>
      <c r="AQ506" s="22"/>
      <c r="AR506"/>
      <c r="AS506"/>
      <c r="AT506"/>
      <c r="AU506"/>
      <c r="AV506"/>
      <c r="AW506"/>
      <c r="AX506"/>
      <c r="AY506"/>
    </row>
    <row r="507" spans="36:51">
      <c r="AJ507" s="22"/>
      <c r="AK507" s="22"/>
      <c r="AL507" s="22"/>
      <c r="AM507" s="22"/>
      <c r="AN507" s="22"/>
      <c r="AO507" s="22"/>
      <c r="AP507" s="22"/>
      <c r="AQ507" s="22"/>
      <c r="AR507"/>
      <c r="AS507"/>
      <c r="AT507"/>
      <c r="AU507"/>
      <c r="AV507"/>
      <c r="AW507"/>
      <c r="AX507"/>
      <c r="AY507"/>
    </row>
    <row r="508" spans="36:51">
      <c r="AJ508" s="22"/>
      <c r="AK508" s="22"/>
      <c r="AL508" s="22"/>
      <c r="AM508" s="22"/>
      <c r="AN508" s="22"/>
      <c r="AO508" s="22"/>
      <c r="AP508" s="22"/>
      <c r="AQ508" s="22"/>
      <c r="AR508"/>
      <c r="AS508"/>
      <c r="AT508"/>
      <c r="AU508"/>
      <c r="AV508"/>
      <c r="AW508"/>
      <c r="AX508"/>
      <c r="AY508"/>
    </row>
    <row r="509" spans="36:51">
      <c r="AJ509" s="22"/>
      <c r="AK509" s="22"/>
      <c r="AL509" s="22"/>
      <c r="AM509" s="22"/>
      <c r="AN509" s="22"/>
      <c r="AO509" s="22"/>
      <c r="AP509" s="22"/>
      <c r="AQ509" s="22"/>
      <c r="AR509"/>
      <c r="AS509"/>
      <c r="AT509"/>
      <c r="AU509"/>
      <c r="AV509"/>
      <c r="AW509"/>
      <c r="AX509"/>
      <c r="AY509"/>
    </row>
    <row r="510" spans="36:51">
      <c r="AJ510" s="22"/>
      <c r="AK510" s="22"/>
      <c r="AL510" s="22"/>
      <c r="AM510" s="22"/>
      <c r="AN510" s="22"/>
      <c r="AO510" s="22"/>
      <c r="AP510" s="22"/>
      <c r="AQ510" s="22"/>
      <c r="AR510"/>
      <c r="AS510"/>
      <c r="AT510"/>
      <c r="AU510"/>
      <c r="AV510"/>
      <c r="AW510"/>
      <c r="AX510"/>
      <c r="AY510"/>
    </row>
    <row r="511" spans="36:51">
      <c r="AJ511" s="22"/>
      <c r="AK511" s="22"/>
      <c r="AL511" s="22"/>
      <c r="AM511" s="22"/>
      <c r="AN511" s="22"/>
      <c r="AO511" s="22"/>
      <c r="AP511" s="22"/>
      <c r="AQ511" s="22"/>
      <c r="AR511"/>
      <c r="AS511"/>
      <c r="AT511"/>
      <c r="AU511"/>
      <c r="AV511"/>
      <c r="AW511"/>
      <c r="AX511"/>
      <c r="AY511"/>
    </row>
    <row r="512" spans="36:51">
      <c r="AJ512" s="22"/>
      <c r="AK512" s="22"/>
      <c r="AL512" s="22"/>
      <c r="AM512" s="22"/>
      <c r="AN512" s="22"/>
      <c r="AO512" s="22"/>
      <c r="AP512" s="22"/>
      <c r="AQ512" s="22"/>
      <c r="AR512"/>
      <c r="AS512"/>
      <c r="AT512"/>
      <c r="AU512"/>
      <c r="AV512"/>
      <c r="AW512"/>
      <c r="AX512"/>
      <c r="AY512"/>
    </row>
    <row r="513" spans="36:51">
      <c r="AJ513" s="22"/>
      <c r="AK513" s="22"/>
      <c r="AL513" s="22"/>
      <c r="AM513" s="22"/>
      <c r="AN513" s="22"/>
      <c r="AO513" s="22"/>
      <c r="AP513" s="22"/>
      <c r="AQ513" s="22"/>
      <c r="AR513"/>
      <c r="AS513"/>
      <c r="AT513"/>
      <c r="AU513"/>
      <c r="AV513"/>
      <c r="AW513"/>
      <c r="AX513"/>
      <c r="AY513"/>
    </row>
    <row r="514" spans="36:51">
      <c r="AJ514" s="22"/>
      <c r="AK514" s="22"/>
      <c r="AL514" s="22"/>
      <c r="AM514" s="22"/>
      <c r="AN514" s="22"/>
      <c r="AO514" s="22"/>
      <c r="AP514" s="22"/>
      <c r="AQ514" s="22"/>
      <c r="AR514"/>
      <c r="AS514"/>
      <c r="AT514"/>
      <c r="AU514"/>
      <c r="AV514"/>
      <c r="AW514"/>
      <c r="AX514"/>
      <c r="AY514"/>
    </row>
    <row r="515" spans="36:51">
      <c r="AJ515" s="22"/>
      <c r="AK515" s="22"/>
      <c r="AL515" s="22"/>
      <c r="AM515" s="22"/>
      <c r="AN515" s="22"/>
      <c r="AO515" s="22"/>
      <c r="AP515" s="22"/>
      <c r="AQ515" s="22"/>
      <c r="AR515"/>
      <c r="AS515"/>
      <c r="AT515"/>
      <c r="AU515"/>
      <c r="AV515"/>
      <c r="AW515"/>
      <c r="AX515"/>
      <c r="AY515"/>
    </row>
    <row r="516" spans="36:51">
      <c r="AJ516" s="22"/>
      <c r="AK516" s="22"/>
      <c r="AL516" s="22"/>
      <c r="AM516" s="22"/>
      <c r="AN516" s="22"/>
      <c r="AO516" s="22"/>
      <c r="AP516" s="22"/>
      <c r="AQ516" s="22"/>
      <c r="AR516"/>
      <c r="AS516"/>
      <c r="AT516"/>
      <c r="AU516"/>
      <c r="AV516"/>
      <c r="AW516"/>
      <c r="AX516"/>
      <c r="AY516"/>
    </row>
    <row r="517" spans="36:51">
      <c r="AJ517" s="22"/>
      <c r="AK517" s="22"/>
      <c r="AL517" s="22"/>
      <c r="AM517" s="22"/>
      <c r="AN517" s="22"/>
      <c r="AO517" s="22"/>
      <c r="AP517" s="22"/>
      <c r="AQ517" s="22"/>
      <c r="AR517"/>
      <c r="AS517"/>
      <c r="AT517"/>
      <c r="AU517"/>
      <c r="AV517"/>
      <c r="AW517"/>
      <c r="AX517"/>
      <c r="AY517"/>
    </row>
    <row r="518" spans="36:51">
      <c r="AJ518" s="22"/>
      <c r="AK518" s="22"/>
      <c r="AL518" s="22"/>
      <c r="AM518" s="22"/>
      <c r="AN518" s="22"/>
      <c r="AO518" s="22"/>
      <c r="AP518" s="22"/>
      <c r="AQ518" s="22"/>
      <c r="AR518"/>
      <c r="AS518"/>
      <c r="AT518"/>
      <c r="AU518"/>
      <c r="AV518"/>
      <c r="AW518"/>
      <c r="AX518"/>
      <c r="AY518"/>
    </row>
    <row r="519" spans="36:51">
      <c r="AJ519" s="22"/>
      <c r="AK519" s="22"/>
      <c r="AL519" s="22"/>
      <c r="AM519" s="22"/>
      <c r="AN519" s="22"/>
      <c r="AO519" s="22"/>
      <c r="AP519" s="22"/>
      <c r="AQ519" s="22"/>
      <c r="AR519"/>
      <c r="AS519"/>
      <c r="AT519"/>
      <c r="AU519"/>
      <c r="AV519"/>
      <c r="AW519"/>
      <c r="AX519"/>
      <c r="AY519"/>
    </row>
    <row r="520" spans="36:51">
      <c r="AJ520" s="22"/>
      <c r="AK520" s="22"/>
      <c r="AL520" s="22"/>
      <c r="AM520" s="22"/>
      <c r="AN520" s="22"/>
      <c r="AO520" s="22"/>
      <c r="AP520" s="22"/>
      <c r="AQ520" s="22"/>
      <c r="AR520"/>
      <c r="AS520"/>
      <c r="AT520"/>
      <c r="AU520"/>
      <c r="AV520"/>
      <c r="AW520"/>
      <c r="AX520"/>
      <c r="AY520"/>
    </row>
    <row r="521" spans="36:51">
      <c r="AJ521" s="22"/>
      <c r="AK521" s="22"/>
      <c r="AL521" s="22"/>
      <c r="AM521" s="22"/>
      <c r="AN521" s="22"/>
      <c r="AO521" s="22"/>
      <c r="AP521" s="22"/>
      <c r="AQ521" s="22"/>
      <c r="AR521"/>
      <c r="AS521"/>
      <c r="AT521"/>
      <c r="AU521"/>
      <c r="AV521"/>
      <c r="AW521"/>
      <c r="AX521"/>
      <c r="AY521"/>
    </row>
    <row r="522" spans="36:51">
      <c r="AJ522" s="22"/>
      <c r="AK522" s="22"/>
      <c r="AL522" s="22"/>
      <c r="AM522" s="22"/>
      <c r="AN522" s="22"/>
      <c r="AO522" s="22"/>
      <c r="AP522" s="22"/>
      <c r="AQ522" s="22"/>
      <c r="AR522"/>
      <c r="AS522"/>
      <c r="AT522"/>
      <c r="AU522"/>
      <c r="AV522"/>
      <c r="AW522"/>
      <c r="AX522"/>
      <c r="AY522"/>
    </row>
    <row r="523" spans="36:51">
      <c r="AJ523" s="22"/>
      <c r="AK523" s="22"/>
      <c r="AL523" s="22"/>
      <c r="AM523" s="22"/>
      <c r="AN523" s="22"/>
      <c r="AO523" s="22"/>
      <c r="AP523" s="22"/>
      <c r="AQ523" s="22"/>
      <c r="AR523"/>
      <c r="AS523"/>
      <c r="AT523"/>
      <c r="AU523"/>
      <c r="AV523"/>
      <c r="AW523"/>
      <c r="AX523"/>
      <c r="AY523"/>
    </row>
    <row r="524" spans="36:51">
      <c r="AJ524" s="22"/>
      <c r="AK524" s="22"/>
      <c r="AL524" s="22"/>
      <c r="AM524" s="22"/>
      <c r="AN524" s="22"/>
      <c r="AO524" s="22"/>
      <c r="AP524" s="22"/>
      <c r="AQ524" s="22"/>
      <c r="AR524"/>
      <c r="AS524"/>
      <c r="AT524"/>
      <c r="AU524"/>
      <c r="AV524"/>
      <c r="AW524"/>
      <c r="AX524"/>
      <c r="AY524"/>
    </row>
    <row r="525" spans="36:51">
      <c r="AJ525" s="22"/>
      <c r="AK525" s="22"/>
      <c r="AL525" s="22"/>
      <c r="AM525" s="22"/>
      <c r="AN525" s="22"/>
      <c r="AO525" s="22"/>
      <c r="AP525" s="22"/>
      <c r="AQ525" s="22"/>
      <c r="AR525"/>
      <c r="AS525"/>
      <c r="AT525"/>
      <c r="AU525"/>
      <c r="AV525"/>
      <c r="AW525"/>
      <c r="AX525"/>
      <c r="AY525"/>
    </row>
    <row r="526" spans="36:51">
      <c r="AJ526" s="22"/>
      <c r="AK526" s="22"/>
      <c r="AL526" s="22"/>
      <c r="AM526" s="22"/>
      <c r="AN526" s="22"/>
      <c r="AO526" s="22"/>
      <c r="AP526" s="22"/>
      <c r="AQ526" s="22"/>
      <c r="AR526"/>
      <c r="AS526"/>
      <c r="AT526"/>
      <c r="AU526"/>
      <c r="AV526"/>
      <c r="AW526"/>
      <c r="AX526"/>
      <c r="AY526"/>
    </row>
    <row r="527" spans="36:51">
      <c r="AJ527" s="22"/>
      <c r="AK527" s="22"/>
      <c r="AL527" s="22"/>
      <c r="AM527" s="22"/>
      <c r="AN527" s="22"/>
      <c r="AO527" s="22"/>
      <c r="AP527" s="22"/>
      <c r="AQ527" s="22"/>
      <c r="AR527"/>
      <c r="AS527"/>
      <c r="AT527"/>
      <c r="AU527"/>
      <c r="AV527"/>
      <c r="AW527"/>
      <c r="AX527"/>
      <c r="AY527"/>
    </row>
    <row r="528" spans="36:51">
      <c r="AJ528" s="22"/>
      <c r="AK528" s="22"/>
      <c r="AL528" s="22"/>
      <c r="AM528" s="22"/>
      <c r="AN528" s="22"/>
      <c r="AO528" s="22"/>
      <c r="AP528" s="22"/>
      <c r="AQ528" s="22"/>
      <c r="AR528"/>
      <c r="AS528"/>
      <c r="AT528"/>
      <c r="AU528"/>
      <c r="AV528"/>
      <c r="AW528"/>
      <c r="AX528"/>
      <c r="AY528"/>
    </row>
    <row r="529" spans="36:51">
      <c r="AJ529" s="22"/>
      <c r="AK529" s="22"/>
      <c r="AL529" s="22"/>
      <c r="AM529" s="22"/>
      <c r="AN529" s="22"/>
      <c r="AO529" s="22"/>
      <c r="AP529" s="22"/>
      <c r="AQ529" s="22"/>
      <c r="AR529"/>
      <c r="AS529"/>
      <c r="AT529"/>
      <c r="AU529"/>
      <c r="AV529"/>
      <c r="AW529"/>
      <c r="AX529"/>
      <c r="AY529"/>
    </row>
    <row r="530" spans="36:51">
      <c r="AJ530" s="22"/>
      <c r="AK530" s="22"/>
      <c r="AL530" s="22"/>
      <c r="AM530" s="22"/>
      <c r="AN530" s="22"/>
      <c r="AO530" s="22"/>
      <c r="AP530" s="22"/>
      <c r="AQ530" s="22"/>
      <c r="AR530"/>
      <c r="AS530"/>
      <c r="AT530"/>
      <c r="AU530"/>
      <c r="AV530"/>
      <c r="AW530"/>
      <c r="AX530"/>
      <c r="AY530"/>
    </row>
    <row r="531" spans="36:51">
      <c r="AJ531" s="22"/>
      <c r="AK531" s="22"/>
      <c r="AL531" s="22"/>
      <c r="AM531" s="22"/>
      <c r="AN531" s="22"/>
      <c r="AO531" s="22"/>
      <c r="AP531" s="22"/>
      <c r="AQ531" s="22"/>
      <c r="AR531"/>
      <c r="AS531"/>
      <c r="AT531"/>
      <c r="AU531"/>
      <c r="AV531"/>
      <c r="AW531"/>
      <c r="AX531"/>
      <c r="AY531"/>
    </row>
    <row r="532" spans="36:51">
      <c r="AJ532" s="22"/>
      <c r="AK532" s="22"/>
      <c r="AL532" s="22"/>
      <c r="AM532" s="22"/>
      <c r="AN532" s="22"/>
      <c r="AO532" s="22"/>
      <c r="AP532" s="22"/>
      <c r="AQ532" s="22"/>
      <c r="AR532"/>
      <c r="AS532"/>
      <c r="AT532"/>
      <c r="AU532"/>
      <c r="AV532"/>
      <c r="AW532"/>
      <c r="AX532"/>
      <c r="AY532"/>
    </row>
    <row r="533" spans="36:51">
      <c r="AJ533" s="22"/>
      <c r="AK533" s="22"/>
      <c r="AL533" s="22"/>
      <c r="AM533" s="22"/>
      <c r="AN533" s="22"/>
      <c r="AO533" s="22"/>
      <c r="AP533" s="22"/>
      <c r="AQ533" s="22"/>
      <c r="AR533"/>
      <c r="AS533"/>
      <c r="AT533"/>
      <c r="AU533"/>
      <c r="AV533"/>
      <c r="AW533"/>
      <c r="AX533"/>
      <c r="AY533"/>
    </row>
    <row r="534" spans="36:51">
      <c r="AJ534" s="22"/>
      <c r="AK534" s="22"/>
      <c r="AL534" s="22"/>
      <c r="AM534" s="22"/>
      <c r="AN534" s="22"/>
      <c r="AO534" s="22"/>
      <c r="AP534" s="22"/>
      <c r="AQ534" s="22"/>
      <c r="AR534"/>
      <c r="AS534"/>
      <c r="AT534"/>
      <c r="AU534"/>
      <c r="AV534"/>
      <c r="AW534"/>
      <c r="AX534"/>
      <c r="AY534"/>
    </row>
    <row r="535" spans="36:51">
      <c r="AJ535" s="22"/>
      <c r="AK535" s="22"/>
      <c r="AL535" s="22"/>
      <c r="AM535" s="22"/>
      <c r="AN535" s="22"/>
      <c r="AO535" s="22"/>
      <c r="AP535" s="22"/>
      <c r="AQ535" s="22"/>
      <c r="AR535"/>
      <c r="AS535"/>
      <c r="AT535"/>
      <c r="AU535"/>
      <c r="AV535"/>
      <c r="AW535"/>
      <c r="AX535"/>
      <c r="AY535"/>
    </row>
    <row r="536" spans="36:51">
      <c r="AJ536" s="22"/>
      <c r="AK536" s="22"/>
      <c r="AL536" s="22"/>
      <c r="AM536" s="22"/>
      <c r="AN536" s="22"/>
      <c r="AO536" s="22"/>
      <c r="AP536" s="22"/>
      <c r="AQ536" s="22"/>
      <c r="AR536"/>
      <c r="AS536"/>
      <c r="AT536"/>
      <c r="AU536"/>
      <c r="AV536"/>
      <c r="AW536"/>
      <c r="AX536"/>
      <c r="AY536"/>
    </row>
    <row r="537" spans="36:51">
      <c r="AJ537" s="22"/>
      <c r="AK537" s="22"/>
      <c r="AL537" s="22"/>
      <c r="AM537" s="22"/>
      <c r="AN537" s="22"/>
      <c r="AO537" s="22"/>
      <c r="AP537" s="22"/>
      <c r="AQ537" s="22"/>
      <c r="AR537"/>
      <c r="AS537"/>
      <c r="AT537"/>
      <c r="AU537"/>
      <c r="AV537"/>
      <c r="AW537"/>
      <c r="AX537"/>
      <c r="AY537"/>
    </row>
    <row r="538" spans="36:51">
      <c r="AJ538" s="22"/>
      <c r="AK538" s="22"/>
      <c r="AL538" s="22"/>
      <c r="AM538" s="22"/>
      <c r="AN538" s="22"/>
      <c r="AO538" s="22"/>
      <c r="AP538" s="22"/>
      <c r="AQ538" s="22"/>
      <c r="AR538"/>
      <c r="AS538"/>
      <c r="AT538"/>
      <c r="AU538"/>
      <c r="AV538"/>
      <c r="AW538"/>
      <c r="AX538"/>
      <c r="AY538"/>
    </row>
    <row r="539" spans="36:51">
      <c r="AJ539" s="22"/>
      <c r="AK539" s="22"/>
      <c r="AL539" s="22"/>
      <c r="AM539" s="22"/>
      <c r="AN539" s="22"/>
      <c r="AO539" s="22"/>
      <c r="AP539" s="22"/>
      <c r="AQ539" s="22"/>
      <c r="AR539"/>
      <c r="AS539"/>
      <c r="AT539"/>
      <c r="AU539"/>
      <c r="AV539"/>
      <c r="AW539"/>
      <c r="AX539"/>
      <c r="AY539"/>
    </row>
    <row r="540" spans="36:51">
      <c r="AJ540" s="22"/>
      <c r="AK540" s="22"/>
      <c r="AL540" s="22"/>
      <c r="AM540" s="22"/>
      <c r="AN540" s="22"/>
      <c r="AO540" s="22"/>
      <c r="AP540" s="22"/>
      <c r="AQ540" s="22"/>
      <c r="AR540"/>
      <c r="AS540"/>
      <c r="AT540"/>
      <c r="AU540"/>
      <c r="AV540"/>
      <c r="AW540"/>
      <c r="AX540"/>
      <c r="AY540"/>
    </row>
    <row r="541" spans="36:51">
      <c r="AJ541" s="22"/>
      <c r="AK541" s="22"/>
      <c r="AL541" s="22"/>
      <c r="AM541" s="22"/>
      <c r="AN541" s="22"/>
      <c r="AO541" s="22"/>
      <c r="AP541" s="22"/>
      <c r="AQ541" s="22"/>
      <c r="AR541"/>
      <c r="AS541"/>
      <c r="AT541"/>
      <c r="AU541"/>
      <c r="AV541"/>
      <c r="AW541"/>
      <c r="AX541"/>
      <c r="AY541"/>
    </row>
    <row r="542" spans="36:51">
      <c r="AJ542" s="22"/>
      <c r="AK542" s="22"/>
      <c r="AL542" s="22"/>
      <c r="AM542" s="22"/>
      <c r="AN542" s="22"/>
      <c r="AO542" s="22"/>
      <c r="AP542" s="22"/>
      <c r="AQ542" s="22"/>
      <c r="AR542"/>
      <c r="AS542"/>
      <c r="AT542"/>
      <c r="AU542"/>
      <c r="AV542"/>
      <c r="AW542"/>
      <c r="AX542"/>
      <c r="AY542"/>
    </row>
    <row r="543" spans="36:51">
      <c r="AJ543" s="22"/>
      <c r="AK543" s="22"/>
      <c r="AL543" s="22"/>
      <c r="AM543" s="22"/>
      <c r="AN543" s="22"/>
      <c r="AO543" s="22"/>
      <c r="AP543" s="22"/>
      <c r="AQ543" s="22"/>
      <c r="AR543"/>
      <c r="AS543"/>
      <c r="AT543"/>
      <c r="AU543"/>
      <c r="AV543"/>
      <c r="AW543"/>
      <c r="AX543"/>
      <c r="AY543"/>
    </row>
    <row r="544" spans="36:51">
      <c r="AJ544" s="22"/>
      <c r="AK544" s="22"/>
      <c r="AL544" s="22"/>
      <c r="AM544" s="22"/>
      <c r="AN544" s="22"/>
      <c r="AO544" s="22"/>
      <c r="AP544" s="22"/>
      <c r="AQ544" s="22"/>
      <c r="AR544"/>
      <c r="AS544"/>
      <c r="AT544"/>
      <c r="AU544"/>
      <c r="AV544"/>
      <c r="AW544"/>
      <c r="AX544"/>
      <c r="AY544"/>
    </row>
    <row r="545" spans="36:51">
      <c r="AJ545" s="22"/>
      <c r="AK545" s="22"/>
      <c r="AL545" s="22"/>
      <c r="AM545" s="22"/>
      <c r="AN545" s="22"/>
      <c r="AO545" s="22"/>
      <c r="AP545" s="22"/>
      <c r="AQ545" s="22"/>
      <c r="AR545"/>
      <c r="AS545"/>
      <c r="AT545"/>
      <c r="AU545"/>
      <c r="AV545"/>
      <c r="AW545"/>
      <c r="AX545"/>
      <c r="AY545"/>
    </row>
    <row r="546" spans="36:51">
      <c r="AJ546" s="22"/>
      <c r="AK546" s="22"/>
      <c r="AL546" s="22"/>
      <c r="AM546" s="22"/>
      <c r="AN546" s="22"/>
      <c r="AO546" s="22"/>
      <c r="AP546" s="22"/>
      <c r="AQ546" s="22"/>
      <c r="AR546"/>
      <c r="AS546"/>
      <c r="AT546"/>
      <c r="AU546"/>
      <c r="AV546"/>
      <c r="AW546"/>
      <c r="AX546"/>
      <c r="AY546"/>
    </row>
    <row r="547" spans="36:51">
      <c r="AJ547" s="22"/>
      <c r="AK547" s="22"/>
      <c r="AL547" s="22"/>
      <c r="AM547" s="22"/>
      <c r="AN547" s="22"/>
      <c r="AO547" s="22"/>
      <c r="AP547" s="22"/>
      <c r="AQ547" s="22"/>
      <c r="AR547"/>
      <c r="AS547"/>
      <c r="AT547"/>
      <c r="AU547"/>
      <c r="AV547"/>
      <c r="AW547"/>
      <c r="AX547"/>
      <c r="AY547"/>
    </row>
    <row r="548" spans="36:51">
      <c r="AJ548" s="22"/>
      <c r="AK548" s="22"/>
      <c r="AL548" s="22"/>
      <c r="AM548" s="22"/>
      <c r="AN548" s="22"/>
      <c r="AO548" s="22"/>
      <c r="AP548" s="22"/>
      <c r="AQ548" s="22"/>
      <c r="AR548"/>
      <c r="AS548"/>
      <c r="AT548"/>
      <c r="AU548"/>
      <c r="AV548"/>
      <c r="AW548"/>
      <c r="AX548"/>
      <c r="AY548"/>
    </row>
    <row r="549" spans="36:51">
      <c r="AJ549" s="22"/>
      <c r="AK549" s="22"/>
      <c r="AL549" s="22"/>
      <c r="AM549" s="22"/>
      <c r="AN549" s="22"/>
      <c r="AO549" s="22"/>
      <c r="AP549" s="22"/>
      <c r="AQ549" s="22"/>
      <c r="AR549"/>
      <c r="AS549"/>
      <c r="AT549"/>
      <c r="AU549"/>
      <c r="AV549"/>
      <c r="AW549"/>
      <c r="AX549"/>
      <c r="AY549"/>
    </row>
    <row r="550" spans="36:51">
      <c r="AJ550" s="22"/>
      <c r="AK550" s="22"/>
      <c r="AL550" s="22"/>
      <c r="AM550" s="22"/>
      <c r="AN550" s="22"/>
      <c r="AO550" s="22"/>
      <c r="AP550" s="22"/>
      <c r="AQ550" s="22"/>
      <c r="AR550"/>
      <c r="AS550"/>
      <c r="AT550"/>
      <c r="AU550"/>
      <c r="AV550"/>
      <c r="AW550"/>
      <c r="AX550"/>
      <c r="AY550"/>
    </row>
    <row r="551" spans="36:51">
      <c r="AJ551" s="22"/>
      <c r="AK551" s="22"/>
      <c r="AL551" s="22"/>
      <c r="AM551" s="22"/>
      <c r="AN551" s="22"/>
      <c r="AO551" s="22"/>
      <c r="AP551" s="22"/>
      <c r="AQ551" s="22"/>
      <c r="AR551"/>
      <c r="AS551"/>
      <c r="AT551"/>
      <c r="AU551"/>
      <c r="AV551"/>
      <c r="AW551"/>
      <c r="AX551"/>
      <c r="AY551"/>
    </row>
    <row r="552" spans="36:51">
      <c r="AJ552" s="22"/>
      <c r="AK552" s="22"/>
      <c r="AL552" s="22"/>
      <c r="AM552" s="22"/>
      <c r="AN552" s="22"/>
      <c r="AO552" s="22"/>
      <c r="AP552" s="22"/>
      <c r="AQ552" s="22"/>
      <c r="AR552"/>
      <c r="AS552"/>
      <c r="AT552"/>
      <c r="AU552"/>
      <c r="AV552"/>
      <c r="AW552"/>
      <c r="AX552"/>
      <c r="AY552"/>
    </row>
    <row r="553" spans="36:51">
      <c r="AJ553" s="22"/>
      <c r="AK553" s="22"/>
      <c r="AL553" s="22"/>
      <c r="AM553" s="22"/>
      <c r="AN553" s="22"/>
      <c r="AO553" s="22"/>
      <c r="AP553" s="22"/>
      <c r="AQ553" s="22"/>
      <c r="AR553"/>
      <c r="AS553"/>
      <c r="AT553"/>
      <c r="AU553"/>
      <c r="AV553"/>
      <c r="AW553"/>
      <c r="AX553"/>
      <c r="AY553"/>
    </row>
    <row r="554" spans="36:51">
      <c r="AJ554" s="22"/>
      <c r="AK554" s="22"/>
      <c r="AL554" s="22"/>
      <c r="AM554" s="22"/>
      <c r="AN554" s="22"/>
      <c r="AO554" s="22"/>
      <c r="AP554" s="22"/>
      <c r="AQ554" s="22"/>
      <c r="AR554"/>
      <c r="AS554"/>
      <c r="AT554"/>
      <c r="AU554"/>
      <c r="AV554"/>
      <c r="AW554"/>
      <c r="AX554"/>
      <c r="AY554"/>
    </row>
    <row r="555" spans="36:51">
      <c r="AJ555" s="22"/>
      <c r="AK555" s="22"/>
      <c r="AL555" s="22"/>
      <c r="AM555" s="22"/>
      <c r="AN555" s="22"/>
      <c r="AO555" s="22"/>
      <c r="AP555" s="22"/>
      <c r="AQ555" s="22"/>
      <c r="AR555"/>
      <c r="AS555"/>
      <c r="AT555"/>
      <c r="AU555"/>
      <c r="AV555"/>
      <c r="AW555"/>
      <c r="AX555"/>
      <c r="AY555"/>
    </row>
    <row r="556" spans="36:51">
      <c r="AJ556" s="22"/>
      <c r="AK556" s="22"/>
      <c r="AL556" s="22"/>
      <c r="AM556" s="22"/>
      <c r="AN556" s="22"/>
      <c r="AO556" s="22"/>
      <c r="AP556" s="22"/>
      <c r="AQ556" s="22"/>
      <c r="AR556"/>
      <c r="AS556"/>
      <c r="AT556"/>
      <c r="AU556"/>
      <c r="AV556"/>
      <c r="AW556"/>
      <c r="AX556"/>
      <c r="AY556"/>
    </row>
    <row r="557" spans="36:51">
      <c r="AJ557" s="22"/>
      <c r="AK557" s="22"/>
      <c r="AL557" s="22"/>
      <c r="AM557" s="22"/>
      <c r="AN557" s="22"/>
      <c r="AO557" s="22"/>
      <c r="AP557" s="22"/>
      <c r="AQ557" s="22"/>
      <c r="AR557"/>
      <c r="AS557"/>
      <c r="AT557"/>
      <c r="AU557"/>
      <c r="AV557"/>
      <c r="AW557"/>
      <c r="AX557"/>
      <c r="AY557"/>
    </row>
    <row r="558" spans="36:51">
      <c r="AJ558" s="22"/>
      <c r="AK558" s="22"/>
      <c r="AL558" s="22"/>
      <c r="AM558" s="22"/>
      <c r="AN558" s="22"/>
      <c r="AO558" s="22"/>
      <c r="AP558" s="22"/>
      <c r="AQ558" s="22"/>
      <c r="AR558"/>
      <c r="AS558"/>
      <c r="AT558"/>
      <c r="AU558"/>
      <c r="AV558"/>
      <c r="AW558"/>
      <c r="AX558"/>
      <c r="AY558"/>
    </row>
    <row r="559" spans="36:51">
      <c r="AJ559" s="22"/>
      <c r="AK559" s="22"/>
      <c r="AL559" s="22"/>
      <c r="AM559" s="22"/>
      <c r="AN559" s="22"/>
      <c r="AO559" s="22"/>
      <c r="AP559" s="22"/>
      <c r="AQ559" s="22"/>
      <c r="AR559"/>
      <c r="AS559"/>
      <c r="AT559"/>
      <c r="AU559"/>
      <c r="AV559"/>
      <c r="AW559"/>
      <c r="AX559"/>
      <c r="AY559"/>
    </row>
    <row r="560" spans="36:51">
      <c r="AJ560" s="22"/>
      <c r="AK560" s="22"/>
      <c r="AL560" s="22"/>
      <c r="AM560" s="22"/>
      <c r="AN560" s="22"/>
      <c r="AO560" s="22"/>
      <c r="AP560" s="22"/>
      <c r="AQ560" s="22"/>
      <c r="AR560"/>
      <c r="AS560"/>
      <c r="AT560"/>
      <c r="AU560"/>
      <c r="AV560"/>
      <c r="AW560"/>
      <c r="AX560"/>
      <c r="AY560"/>
    </row>
    <row r="561" spans="36:51">
      <c r="AJ561" s="22"/>
      <c r="AK561" s="22"/>
      <c r="AL561" s="22"/>
      <c r="AM561" s="22"/>
      <c r="AN561" s="22"/>
      <c r="AO561" s="22"/>
      <c r="AP561" s="22"/>
      <c r="AQ561" s="22"/>
      <c r="AR561"/>
      <c r="AS561"/>
      <c r="AT561"/>
      <c r="AU561"/>
      <c r="AV561"/>
      <c r="AW561"/>
      <c r="AX561"/>
      <c r="AY561"/>
    </row>
    <row r="562" spans="36:51">
      <c r="AJ562" s="22"/>
      <c r="AK562" s="22"/>
      <c r="AL562" s="22"/>
      <c r="AM562" s="22"/>
      <c r="AN562" s="22"/>
      <c r="AO562" s="22"/>
      <c r="AP562" s="22"/>
      <c r="AQ562" s="22"/>
      <c r="AR562"/>
      <c r="AS562"/>
      <c r="AT562"/>
      <c r="AU562"/>
      <c r="AV562"/>
      <c r="AW562"/>
      <c r="AX562"/>
      <c r="AY562"/>
    </row>
    <row r="563" spans="36:51">
      <c r="AJ563" s="22"/>
      <c r="AK563" s="22"/>
      <c r="AL563" s="22"/>
      <c r="AM563" s="22"/>
      <c r="AN563" s="22"/>
      <c r="AO563" s="22"/>
      <c r="AP563" s="22"/>
      <c r="AQ563" s="22"/>
      <c r="AR563"/>
      <c r="AS563"/>
      <c r="AT563"/>
      <c r="AU563"/>
      <c r="AV563"/>
      <c r="AW563"/>
      <c r="AX563"/>
      <c r="AY563"/>
    </row>
    <row r="564" spans="36:51">
      <c r="AJ564" s="22"/>
      <c r="AK564" s="22"/>
      <c r="AL564" s="22"/>
      <c r="AM564" s="22"/>
      <c r="AN564" s="22"/>
      <c r="AO564" s="22"/>
      <c r="AP564" s="22"/>
      <c r="AQ564" s="22"/>
      <c r="AR564"/>
      <c r="AS564"/>
      <c r="AT564"/>
      <c r="AU564"/>
      <c r="AV564"/>
      <c r="AW564"/>
      <c r="AX564"/>
      <c r="AY564"/>
    </row>
    <row r="565" spans="36:51">
      <c r="AJ565" s="22"/>
      <c r="AK565" s="22"/>
      <c r="AL565" s="22"/>
      <c r="AM565" s="22"/>
      <c r="AN565" s="22"/>
      <c r="AO565" s="22"/>
      <c r="AP565" s="22"/>
      <c r="AQ565" s="22"/>
      <c r="AR565"/>
      <c r="AS565"/>
      <c r="AT565"/>
      <c r="AU565"/>
      <c r="AV565"/>
      <c r="AW565"/>
      <c r="AX565"/>
      <c r="AY565"/>
    </row>
    <row r="566" spans="36:51">
      <c r="AJ566" s="22"/>
      <c r="AK566" s="22"/>
      <c r="AL566" s="22"/>
      <c r="AM566" s="22"/>
      <c r="AN566" s="22"/>
      <c r="AO566" s="22"/>
      <c r="AP566" s="22"/>
      <c r="AQ566" s="22"/>
      <c r="AR566"/>
      <c r="AS566"/>
      <c r="AT566"/>
      <c r="AU566"/>
      <c r="AV566"/>
      <c r="AW566"/>
      <c r="AX566"/>
      <c r="AY566"/>
    </row>
    <row r="567" spans="36:51">
      <c r="AJ567" s="22"/>
      <c r="AK567" s="22"/>
      <c r="AL567" s="22"/>
      <c r="AM567" s="22"/>
      <c r="AN567" s="22"/>
      <c r="AO567" s="22"/>
      <c r="AP567" s="22"/>
      <c r="AQ567" s="22"/>
      <c r="AR567"/>
      <c r="AS567"/>
      <c r="AT567"/>
      <c r="AU567"/>
      <c r="AV567"/>
      <c r="AW567"/>
      <c r="AX567"/>
      <c r="AY567"/>
    </row>
    <row r="568" spans="36:51">
      <c r="AJ568" s="22"/>
      <c r="AK568" s="22"/>
      <c r="AL568" s="22"/>
      <c r="AM568" s="22"/>
      <c r="AN568" s="22"/>
      <c r="AO568" s="22"/>
      <c r="AP568" s="22"/>
      <c r="AQ568" s="22"/>
      <c r="AR568"/>
      <c r="AS568"/>
      <c r="AT568"/>
      <c r="AU568"/>
      <c r="AV568"/>
      <c r="AW568"/>
      <c r="AX568"/>
      <c r="AY568"/>
    </row>
    <row r="569" spans="36:51">
      <c r="AJ569" s="22"/>
      <c r="AK569" s="22"/>
      <c r="AL569" s="22"/>
      <c r="AM569" s="22"/>
      <c r="AN569" s="22"/>
      <c r="AO569" s="22"/>
      <c r="AP569" s="22"/>
      <c r="AQ569" s="22"/>
      <c r="AR569"/>
      <c r="AS569"/>
      <c r="AT569"/>
      <c r="AU569"/>
      <c r="AV569"/>
      <c r="AW569"/>
      <c r="AX569"/>
      <c r="AY569"/>
    </row>
    <row r="570" spans="36:51">
      <c r="AJ570" s="22"/>
      <c r="AK570" s="22"/>
      <c r="AL570" s="22"/>
      <c r="AM570" s="22"/>
      <c r="AN570" s="22"/>
      <c r="AO570" s="22"/>
      <c r="AP570" s="22"/>
      <c r="AQ570" s="22"/>
      <c r="AR570"/>
      <c r="AS570"/>
      <c r="AT570"/>
      <c r="AU570"/>
      <c r="AV570"/>
      <c r="AW570"/>
      <c r="AX570"/>
      <c r="AY570"/>
    </row>
    <row r="571" spans="36:51">
      <c r="AJ571" s="22"/>
      <c r="AK571" s="22"/>
      <c r="AL571" s="22"/>
      <c r="AM571" s="22"/>
      <c r="AN571" s="22"/>
      <c r="AO571" s="22"/>
      <c r="AP571" s="22"/>
      <c r="AQ571" s="22"/>
      <c r="AR571"/>
      <c r="AS571"/>
      <c r="AT571"/>
      <c r="AU571"/>
      <c r="AV571"/>
      <c r="AW571"/>
      <c r="AX571"/>
      <c r="AY571"/>
    </row>
    <row r="572" spans="36:51">
      <c r="AJ572" s="22"/>
      <c r="AK572" s="22"/>
      <c r="AL572" s="22"/>
      <c r="AM572" s="22"/>
      <c r="AN572" s="22"/>
      <c r="AO572" s="22"/>
      <c r="AP572" s="22"/>
      <c r="AQ572" s="22"/>
      <c r="AR572"/>
      <c r="AS572"/>
      <c r="AT572"/>
      <c r="AU572"/>
      <c r="AV572"/>
      <c r="AW572"/>
      <c r="AX572"/>
      <c r="AY572"/>
    </row>
    <row r="573" spans="36:51">
      <c r="AJ573" s="22"/>
      <c r="AK573" s="22"/>
      <c r="AL573" s="22"/>
      <c r="AM573" s="22"/>
      <c r="AN573" s="22"/>
      <c r="AO573" s="22"/>
      <c r="AP573" s="22"/>
      <c r="AQ573" s="22"/>
      <c r="AR573"/>
      <c r="AS573"/>
      <c r="AT573"/>
      <c r="AU573"/>
      <c r="AV573"/>
      <c r="AW573"/>
      <c r="AX573"/>
      <c r="AY573"/>
    </row>
    <row r="574" spans="36:51">
      <c r="AJ574" s="22"/>
      <c r="AK574" s="22"/>
      <c r="AL574" s="22"/>
      <c r="AM574" s="22"/>
      <c r="AN574" s="22"/>
      <c r="AO574" s="22"/>
      <c r="AP574" s="22"/>
      <c r="AQ574" s="22"/>
      <c r="AR574"/>
      <c r="AS574"/>
      <c r="AT574"/>
      <c r="AU574"/>
      <c r="AV574"/>
      <c r="AW574"/>
      <c r="AX574"/>
      <c r="AY574"/>
    </row>
    <row r="575" spans="36:51">
      <c r="AJ575" s="22"/>
      <c r="AK575" s="22"/>
      <c r="AL575" s="22"/>
      <c r="AM575" s="22"/>
      <c r="AN575" s="22"/>
      <c r="AO575" s="22"/>
      <c r="AP575" s="22"/>
      <c r="AQ575" s="22"/>
      <c r="AR575"/>
      <c r="AS575"/>
      <c r="AT575"/>
      <c r="AU575"/>
      <c r="AV575"/>
      <c r="AW575"/>
      <c r="AX575"/>
      <c r="AY575"/>
    </row>
    <row r="576" spans="36:51">
      <c r="AJ576" s="22"/>
      <c r="AK576" s="22"/>
      <c r="AL576" s="22"/>
      <c r="AM576" s="22"/>
      <c r="AN576" s="22"/>
      <c r="AO576" s="22"/>
      <c r="AP576" s="22"/>
      <c r="AQ576" s="22"/>
      <c r="AR576"/>
      <c r="AS576"/>
      <c r="AT576"/>
      <c r="AU576"/>
      <c r="AV576"/>
      <c r="AW576"/>
      <c r="AX576"/>
      <c r="AY576"/>
    </row>
    <row r="577" spans="36:51">
      <c r="AJ577" s="22"/>
      <c r="AK577" s="22"/>
      <c r="AL577" s="22"/>
      <c r="AM577" s="22"/>
      <c r="AN577" s="22"/>
      <c r="AO577" s="22"/>
      <c r="AP577" s="22"/>
      <c r="AQ577" s="22"/>
      <c r="AR577"/>
      <c r="AS577"/>
      <c r="AT577"/>
      <c r="AU577"/>
      <c r="AV577"/>
      <c r="AW577"/>
      <c r="AX577"/>
      <c r="AY577"/>
    </row>
    <row r="578" spans="36:51">
      <c r="AJ578" s="22"/>
      <c r="AK578" s="22"/>
      <c r="AL578" s="22"/>
      <c r="AM578" s="22"/>
      <c r="AN578" s="22"/>
      <c r="AO578" s="22"/>
      <c r="AP578" s="22"/>
      <c r="AQ578" s="22"/>
      <c r="AR578"/>
      <c r="AS578"/>
      <c r="AT578"/>
      <c r="AU578"/>
      <c r="AV578"/>
      <c r="AW578"/>
      <c r="AX578"/>
      <c r="AY578"/>
    </row>
    <row r="579" spans="36:51">
      <c r="AJ579" s="22"/>
      <c r="AK579" s="22"/>
      <c r="AL579" s="22"/>
      <c r="AM579" s="22"/>
      <c r="AN579" s="22"/>
      <c r="AO579" s="22"/>
      <c r="AP579" s="22"/>
      <c r="AQ579" s="22"/>
      <c r="AR579"/>
      <c r="AS579"/>
      <c r="AT579"/>
      <c r="AU579"/>
      <c r="AV579"/>
      <c r="AW579"/>
      <c r="AX579"/>
      <c r="AY579"/>
    </row>
    <row r="580" spans="36:51">
      <c r="AJ580" s="22"/>
      <c r="AK580" s="22"/>
      <c r="AL580" s="22"/>
      <c r="AM580" s="22"/>
      <c r="AN580" s="22"/>
      <c r="AO580" s="22"/>
      <c r="AP580" s="22"/>
      <c r="AQ580" s="22"/>
      <c r="AR580"/>
      <c r="AS580"/>
      <c r="AT580"/>
      <c r="AU580"/>
      <c r="AV580"/>
      <c r="AW580"/>
      <c r="AX580"/>
      <c r="AY580"/>
    </row>
    <row r="581" spans="36:51">
      <c r="AJ581" s="22"/>
      <c r="AK581" s="22"/>
      <c r="AL581" s="22"/>
      <c r="AM581" s="22"/>
      <c r="AN581" s="22"/>
      <c r="AO581" s="22"/>
      <c r="AP581" s="22"/>
      <c r="AQ581" s="22"/>
      <c r="AR581"/>
      <c r="AS581"/>
      <c r="AT581"/>
      <c r="AU581"/>
      <c r="AV581"/>
      <c r="AW581"/>
      <c r="AX581"/>
      <c r="AY581"/>
    </row>
    <row r="582" spans="36:51">
      <c r="AJ582" s="22"/>
      <c r="AK582" s="22"/>
      <c r="AL582" s="22"/>
      <c r="AM582" s="22"/>
      <c r="AN582" s="22"/>
      <c r="AO582" s="22"/>
      <c r="AP582" s="22"/>
      <c r="AQ582" s="22"/>
      <c r="AR582"/>
      <c r="AS582"/>
      <c r="AT582"/>
      <c r="AU582"/>
      <c r="AV582"/>
      <c r="AW582"/>
      <c r="AX582"/>
      <c r="AY582"/>
    </row>
    <row r="583" spans="36:51">
      <c r="AJ583" s="22"/>
      <c r="AK583" s="22"/>
      <c r="AL583" s="22"/>
      <c r="AM583" s="22"/>
      <c r="AN583" s="22"/>
      <c r="AO583" s="22"/>
      <c r="AP583" s="22"/>
      <c r="AQ583" s="22"/>
      <c r="AR583"/>
      <c r="AS583"/>
      <c r="AT583"/>
      <c r="AU583"/>
      <c r="AV583"/>
      <c r="AW583"/>
      <c r="AX583"/>
      <c r="AY583"/>
    </row>
    <row r="584" spans="36:51">
      <c r="AJ584" s="22"/>
      <c r="AK584" s="22"/>
      <c r="AL584" s="22"/>
      <c r="AM584" s="22"/>
      <c r="AN584" s="22"/>
      <c r="AO584" s="22"/>
      <c r="AP584" s="22"/>
      <c r="AQ584" s="22"/>
      <c r="AR584"/>
      <c r="AS584"/>
      <c r="AT584"/>
      <c r="AU584"/>
      <c r="AV584"/>
      <c r="AW584"/>
      <c r="AX584"/>
      <c r="AY584"/>
    </row>
    <row r="585" spans="36:51">
      <c r="AJ585" s="22"/>
      <c r="AK585" s="22"/>
      <c r="AL585" s="22"/>
      <c r="AM585" s="22"/>
      <c r="AN585" s="22"/>
      <c r="AO585" s="22"/>
      <c r="AP585" s="22"/>
      <c r="AQ585" s="22"/>
      <c r="AR585"/>
      <c r="AS585"/>
      <c r="AT585"/>
      <c r="AU585"/>
      <c r="AV585"/>
      <c r="AW585"/>
      <c r="AX585"/>
      <c r="AY585"/>
    </row>
    <row r="586" spans="36:51">
      <c r="AJ586" s="22"/>
      <c r="AK586" s="22"/>
      <c r="AL586" s="22"/>
      <c r="AM586" s="22"/>
      <c r="AN586" s="22"/>
      <c r="AO586" s="22"/>
      <c r="AP586" s="22"/>
      <c r="AQ586" s="22"/>
      <c r="AR586"/>
      <c r="AS586"/>
      <c r="AT586"/>
      <c r="AU586"/>
      <c r="AV586"/>
      <c r="AW586"/>
      <c r="AX586"/>
      <c r="AY586"/>
    </row>
    <row r="587" spans="36:51">
      <c r="AJ587" s="22"/>
      <c r="AK587" s="22"/>
      <c r="AL587" s="22"/>
      <c r="AM587" s="22"/>
      <c r="AN587" s="22"/>
      <c r="AO587" s="22"/>
      <c r="AP587" s="22"/>
      <c r="AQ587" s="22"/>
      <c r="AR587"/>
      <c r="AS587"/>
      <c r="AT587"/>
      <c r="AU587"/>
      <c r="AV587"/>
      <c r="AW587"/>
      <c r="AX587"/>
      <c r="AY587"/>
    </row>
    <row r="588" spans="36:51">
      <c r="AJ588" s="22"/>
      <c r="AK588" s="22"/>
      <c r="AL588" s="22"/>
      <c r="AM588" s="22"/>
      <c r="AN588" s="22"/>
      <c r="AO588" s="22"/>
      <c r="AP588" s="22"/>
      <c r="AQ588" s="22"/>
      <c r="AR588"/>
      <c r="AS588"/>
      <c r="AT588"/>
      <c r="AU588"/>
      <c r="AV588"/>
      <c r="AW588"/>
      <c r="AX588"/>
      <c r="AY588"/>
    </row>
    <row r="589" spans="36:51">
      <c r="AJ589" s="22"/>
      <c r="AK589" s="22"/>
      <c r="AL589" s="22"/>
      <c r="AM589" s="22"/>
      <c r="AN589" s="22"/>
      <c r="AO589" s="22"/>
      <c r="AP589" s="22"/>
      <c r="AQ589" s="22"/>
      <c r="AR589"/>
      <c r="AS589"/>
      <c r="AT589"/>
      <c r="AU589"/>
      <c r="AV589"/>
      <c r="AW589"/>
      <c r="AX589"/>
      <c r="AY589"/>
    </row>
    <row r="590" spans="36:51">
      <c r="AJ590" s="22"/>
      <c r="AK590" s="22"/>
      <c r="AL590" s="22"/>
      <c r="AM590" s="22"/>
      <c r="AN590" s="22"/>
      <c r="AO590" s="22"/>
      <c r="AP590" s="22"/>
      <c r="AQ590" s="22"/>
      <c r="AR590"/>
      <c r="AS590"/>
      <c r="AT590"/>
      <c r="AU590"/>
      <c r="AV590"/>
      <c r="AW590"/>
      <c r="AX590"/>
      <c r="AY590"/>
    </row>
    <row r="591" spans="36:51">
      <c r="AJ591" s="22"/>
      <c r="AK591" s="22"/>
      <c r="AL591" s="22"/>
      <c r="AM591" s="22"/>
      <c r="AN591" s="22"/>
      <c r="AO591" s="22"/>
      <c r="AP591" s="22"/>
      <c r="AQ591" s="22"/>
      <c r="AR591"/>
      <c r="AS591"/>
      <c r="AT591"/>
      <c r="AU591"/>
      <c r="AV591"/>
      <c r="AW591"/>
      <c r="AX591"/>
      <c r="AY591"/>
    </row>
    <row r="592" spans="36:51">
      <c r="AJ592" s="22"/>
      <c r="AK592" s="22"/>
      <c r="AL592" s="22"/>
      <c r="AM592" s="22"/>
      <c r="AN592" s="22"/>
      <c r="AO592" s="22"/>
      <c r="AP592" s="22"/>
      <c r="AQ592" s="22"/>
      <c r="AR592"/>
      <c r="AS592"/>
      <c r="AT592"/>
      <c r="AU592"/>
      <c r="AV592"/>
      <c r="AW592"/>
      <c r="AX592"/>
      <c r="AY592"/>
    </row>
    <row r="593" spans="36:51">
      <c r="AJ593" s="22"/>
      <c r="AK593" s="22"/>
      <c r="AL593" s="22"/>
      <c r="AM593" s="22"/>
      <c r="AN593" s="22"/>
      <c r="AO593" s="22"/>
      <c r="AP593" s="22"/>
      <c r="AQ593" s="22"/>
      <c r="AR593"/>
      <c r="AS593"/>
      <c r="AT593"/>
      <c r="AU593"/>
      <c r="AV593"/>
      <c r="AW593"/>
      <c r="AX593"/>
      <c r="AY593"/>
    </row>
    <row r="594" spans="36:51">
      <c r="AJ594" s="22"/>
      <c r="AK594" s="22"/>
      <c r="AL594" s="22"/>
      <c r="AM594" s="22"/>
      <c r="AN594" s="22"/>
      <c r="AO594" s="22"/>
      <c r="AP594" s="22"/>
      <c r="AQ594" s="22"/>
      <c r="AR594"/>
      <c r="AS594"/>
      <c r="AT594"/>
      <c r="AU594"/>
      <c r="AV594"/>
      <c r="AW594"/>
      <c r="AX594"/>
      <c r="AY594"/>
    </row>
    <row r="595" spans="36:51">
      <c r="AJ595" s="22"/>
      <c r="AK595" s="22"/>
      <c r="AL595" s="22"/>
      <c r="AM595" s="22"/>
      <c r="AN595" s="22"/>
      <c r="AO595" s="22"/>
      <c r="AP595" s="22"/>
      <c r="AQ595" s="22"/>
      <c r="AR595"/>
      <c r="AS595"/>
      <c r="AT595"/>
      <c r="AU595"/>
      <c r="AV595"/>
      <c r="AW595"/>
      <c r="AX595"/>
      <c r="AY595"/>
    </row>
    <row r="596" spans="36:51">
      <c r="AJ596" s="22"/>
      <c r="AK596" s="22"/>
      <c r="AL596" s="22"/>
      <c r="AM596" s="22"/>
      <c r="AN596" s="22"/>
      <c r="AO596" s="22"/>
      <c r="AP596" s="22"/>
      <c r="AQ596" s="22"/>
      <c r="AR596"/>
      <c r="AS596"/>
      <c r="AT596"/>
      <c r="AU596"/>
      <c r="AV596"/>
      <c r="AW596"/>
      <c r="AX596"/>
      <c r="AY596"/>
    </row>
    <row r="597" spans="36:51">
      <c r="AJ597" s="22"/>
      <c r="AK597" s="22"/>
      <c r="AL597" s="22"/>
      <c r="AM597" s="22"/>
      <c r="AN597" s="22"/>
      <c r="AO597" s="22"/>
      <c r="AP597" s="22"/>
      <c r="AQ597" s="22"/>
      <c r="AR597"/>
      <c r="AS597"/>
      <c r="AT597"/>
      <c r="AU597"/>
      <c r="AV597"/>
      <c r="AW597"/>
      <c r="AX597"/>
      <c r="AY597"/>
    </row>
    <row r="598" spans="36:51">
      <c r="AJ598" s="22"/>
      <c r="AK598" s="22"/>
      <c r="AL598" s="22"/>
      <c r="AM598" s="22"/>
      <c r="AN598" s="22"/>
      <c r="AO598" s="22"/>
      <c r="AP598" s="22"/>
      <c r="AQ598" s="22"/>
      <c r="AR598"/>
      <c r="AS598"/>
      <c r="AT598"/>
      <c r="AU598"/>
      <c r="AV598"/>
      <c r="AW598"/>
      <c r="AX598"/>
      <c r="AY598"/>
    </row>
    <row r="599" spans="36:51">
      <c r="AJ599" s="22"/>
      <c r="AK599" s="22"/>
      <c r="AL599" s="22"/>
      <c r="AM599" s="22"/>
      <c r="AN599" s="22"/>
      <c r="AO599" s="22"/>
      <c r="AP599" s="22"/>
      <c r="AQ599" s="22"/>
      <c r="AR599"/>
      <c r="AS599"/>
      <c r="AT599"/>
      <c r="AU599"/>
      <c r="AV599"/>
      <c r="AW599"/>
      <c r="AX599"/>
      <c r="AY599"/>
    </row>
    <row r="600" spans="36:51">
      <c r="AJ600" s="22"/>
      <c r="AK600" s="22"/>
      <c r="AL600" s="22"/>
      <c r="AM600" s="22"/>
      <c r="AN600" s="22"/>
      <c r="AO600" s="22"/>
      <c r="AP600" s="22"/>
      <c r="AQ600" s="22"/>
      <c r="AR600"/>
      <c r="AS600"/>
      <c r="AT600"/>
      <c r="AU600"/>
      <c r="AV600"/>
      <c r="AW600"/>
      <c r="AX600"/>
      <c r="AY600"/>
    </row>
    <row r="601" spans="36:51">
      <c r="AJ601" s="22"/>
      <c r="AK601" s="22"/>
      <c r="AL601" s="22"/>
      <c r="AM601" s="22"/>
      <c r="AN601" s="22"/>
      <c r="AO601" s="22"/>
      <c r="AP601" s="22"/>
      <c r="AQ601" s="22"/>
      <c r="AR601"/>
      <c r="AS601"/>
      <c r="AT601"/>
      <c r="AU601"/>
      <c r="AV601"/>
      <c r="AW601"/>
      <c r="AX601"/>
      <c r="AY601"/>
    </row>
    <row r="602" spans="36:51">
      <c r="AJ602" s="22"/>
      <c r="AK602" s="22"/>
      <c r="AL602" s="22"/>
      <c r="AM602" s="22"/>
      <c r="AN602" s="22"/>
      <c r="AO602" s="22"/>
      <c r="AP602" s="22"/>
      <c r="AQ602" s="22"/>
      <c r="AR602"/>
      <c r="AS602"/>
      <c r="AT602"/>
      <c r="AU602"/>
      <c r="AV602"/>
      <c r="AW602"/>
      <c r="AX602"/>
      <c r="AY602"/>
    </row>
    <row r="603" spans="36:51">
      <c r="AJ603" s="22"/>
      <c r="AK603" s="22"/>
      <c r="AL603" s="22"/>
      <c r="AM603" s="22"/>
      <c r="AN603" s="22"/>
      <c r="AO603" s="22"/>
      <c r="AP603" s="22"/>
      <c r="AQ603" s="22"/>
      <c r="AR603"/>
      <c r="AS603"/>
      <c r="AT603"/>
      <c r="AU603"/>
      <c r="AV603"/>
      <c r="AW603"/>
      <c r="AX603"/>
      <c r="AY603"/>
    </row>
    <row r="604" spans="36:51">
      <c r="AJ604" s="22"/>
      <c r="AK604" s="22"/>
      <c r="AL604" s="22"/>
      <c r="AM604" s="22"/>
      <c r="AN604" s="22"/>
      <c r="AO604" s="22"/>
      <c r="AP604" s="22"/>
      <c r="AQ604" s="22"/>
      <c r="AR604"/>
      <c r="AS604"/>
      <c r="AT604"/>
      <c r="AU604"/>
      <c r="AV604"/>
      <c r="AW604"/>
      <c r="AX604"/>
      <c r="AY604"/>
    </row>
    <row r="605" spans="36:51">
      <c r="AJ605" s="22"/>
      <c r="AK605" s="22"/>
      <c r="AL605" s="22"/>
      <c r="AM605" s="22"/>
      <c r="AN605" s="22"/>
      <c r="AO605" s="22"/>
      <c r="AP605" s="22"/>
      <c r="AQ605" s="22"/>
      <c r="AR605"/>
      <c r="AS605"/>
      <c r="AT605"/>
      <c r="AU605"/>
      <c r="AV605"/>
      <c r="AW605"/>
      <c r="AX605"/>
      <c r="AY605"/>
    </row>
    <row r="606" spans="36:51">
      <c r="AJ606" s="22"/>
      <c r="AK606" s="22"/>
      <c r="AL606" s="22"/>
      <c r="AM606" s="22"/>
      <c r="AN606" s="22"/>
      <c r="AO606" s="22"/>
      <c r="AP606" s="22"/>
      <c r="AQ606" s="22"/>
      <c r="AR606"/>
      <c r="AS606"/>
      <c r="AT606"/>
      <c r="AU606"/>
      <c r="AV606"/>
      <c r="AW606"/>
      <c r="AX606"/>
      <c r="AY606"/>
    </row>
    <row r="607" spans="36:51">
      <c r="AJ607" s="22"/>
      <c r="AK607" s="22"/>
      <c r="AL607" s="22"/>
      <c r="AM607" s="22"/>
      <c r="AN607" s="22"/>
      <c r="AO607" s="22"/>
      <c r="AP607" s="22"/>
      <c r="AQ607" s="22"/>
      <c r="AR607"/>
      <c r="AS607"/>
      <c r="AT607"/>
      <c r="AU607"/>
      <c r="AV607"/>
      <c r="AW607"/>
      <c r="AX607"/>
      <c r="AY607"/>
    </row>
    <row r="608" spans="36:51">
      <c r="AJ608" s="22"/>
      <c r="AK608" s="22"/>
      <c r="AL608" s="22"/>
      <c r="AM608" s="22"/>
      <c r="AN608" s="22"/>
      <c r="AO608" s="22"/>
      <c r="AP608" s="22"/>
      <c r="AQ608" s="22"/>
      <c r="AR608"/>
      <c r="AS608"/>
      <c r="AT608"/>
      <c r="AU608"/>
      <c r="AV608"/>
      <c r="AW608"/>
      <c r="AX608"/>
      <c r="AY608"/>
    </row>
    <row r="609" spans="36:51">
      <c r="AJ609" s="22"/>
      <c r="AK609" s="22"/>
      <c r="AL609" s="22"/>
      <c r="AM609" s="22"/>
      <c r="AN609" s="22"/>
      <c r="AO609" s="22"/>
      <c r="AP609" s="22"/>
      <c r="AQ609" s="22"/>
      <c r="AR609"/>
      <c r="AS609"/>
      <c r="AT609"/>
      <c r="AU609"/>
      <c r="AV609"/>
      <c r="AW609"/>
      <c r="AX609"/>
      <c r="AY609"/>
    </row>
    <row r="610" spans="36:51">
      <c r="AJ610" s="22"/>
      <c r="AK610" s="22"/>
      <c r="AL610" s="22"/>
      <c r="AM610" s="22"/>
      <c r="AN610" s="22"/>
      <c r="AO610" s="22"/>
      <c r="AP610" s="22"/>
      <c r="AQ610" s="22"/>
      <c r="AR610"/>
      <c r="AS610"/>
      <c r="AT610"/>
      <c r="AU610"/>
      <c r="AV610"/>
      <c r="AW610"/>
      <c r="AX610"/>
      <c r="AY610"/>
    </row>
    <row r="611" spans="36:51">
      <c r="AJ611" s="22"/>
      <c r="AK611" s="22"/>
      <c r="AL611" s="22"/>
      <c r="AM611" s="22"/>
      <c r="AN611" s="22"/>
      <c r="AO611" s="22"/>
      <c r="AP611" s="22"/>
      <c r="AQ611" s="22"/>
      <c r="AR611"/>
      <c r="AS611"/>
      <c r="AT611"/>
      <c r="AU611"/>
      <c r="AV611"/>
      <c r="AW611"/>
      <c r="AX611"/>
      <c r="AY611"/>
    </row>
    <row r="612" spans="36:51">
      <c r="AJ612" s="22"/>
      <c r="AK612" s="22"/>
      <c r="AL612" s="22"/>
      <c r="AM612" s="22"/>
      <c r="AN612" s="22"/>
      <c r="AO612" s="22"/>
      <c r="AP612" s="22"/>
      <c r="AQ612" s="22"/>
      <c r="AR612"/>
      <c r="AS612"/>
      <c r="AT612"/>
      <c r="AU612"/>
      <c r="AV612"/>
      <c r="AW612"/>
      <c r="AX612"/>
      <c r="AY612"/>
    </row>
    <row r="613" spans="36:51">
      <c r="AJ613" s="22"/>
      <c r="AK613" s="22"/>
      <c r="AL613" s="22"/>
      <c r="AM613" s="22"/>
      <c r="AN613" s="22"/>
      <c r="AO613" s="22"/>
      <c r="AP613" s="22"/>
      <c r="AQ613" s="22"/>
      <c r="AR613"/>
      <c r="AS613"/>
      <c r="AT613"/>
      <c r="AU613"/>
      <c r="AV613"/>
      <c r="AW613"/>
      <c r="AX613"/>
      <c r="AY613"/>
    </row>
    <row r="614" spans="36:51">
      <c r="AJ614" s="22"/>
      <c r="AK614" s="22"/>
      <c r="AL614" s="22"/>
      <c r="AM614" s="22"/>
      <c r="AN614" s="22"/>
      <c r="AO614" s="22"/>
      <c r="AP614" s="22"/>
      <c r="AQ614" s="22"/>
      <c r="AR614"/>
      <c r="AS614"/>
      <c r="AT614"/>
      <c r="AU614"/>
      <c r="AV614"/>
      <c r="AW614"/>
      <c r="AX614"/>
      <c r="AY614"/>
    </row>
    <row r="615" spans="36:51">
      <c r="AJ615" s="22"/>
      <c r="AK615" s="22"/>
      <c r="AL615" s="22"/>
      <c r="AM615" s="22"/>
      <c r="AN615" s="22"/>
      <c r="AO615" s="22"/>
      <c r="AP615" s="22"/>
      <c r="AQ615" s="22"/>
      <c r="AR615"/>
      <c r="AS615"/>
      <c r="AT615"/>
      <c r="AU615"/>
      <c r="AV615"/>
      <c r="AW615"/>
      <c r="AX615"/>
      <c r="AY615"/>
    </row>
    <row r="616" spans="36:51">
      <c r="AJ616" s="22"/>
      <c r="AK616" s="22"/>
      <c r="AL616" s="22"/>
      <c r="AM616" s="22"/>
      <c r="AN616" s="22"/>
      <c r="AO616" s="22"/>
      <c r="AP616" s="22"/>
      <c r="AQ616" s="22"/>
      <c r="AR616"/>
      <c r="AS616"/>
      <c r="AT616"/>
      <c r="AU616"/>
      <c r="AV616"/>
      <c r="AW616"/>
      <c r="AX616"/>
      <c r="AY616"/>
    </row>
    <row r="617" spans="36:51">
      <c r="AJ617" s="22"/>
      <c r="AK617" s="22"/>
      <c r="AL617" s="22"/>
      <c r="AM617" s="22"/>
      <c r="AN617" s="22"/>
      <c r="AO617" s="22"/>
      <c r="AP617" s="22"/>
      <c r="AQ617" s="22"/>
      <c r="AR617"/>
      <c r="AS617"/>
      <c r="AT617"/>
      <c r="AU617"/>
      <c r="AV617"/>
      <c r="AW617"/>
      <c r="AX617"/>
      <c r="AY617"/>
    </row>
    <row r="618" spans="36:51">
      <c r="AJ618" s="22"/>
      <c r="AK618" s="22"/>
      <c r="AL618" s="22"/>
      <c r="AM618" s="22"/>
      <c r="AN618" s="22"/>
      <c r="AO618" s="22"/>
      <c r="AP618" s="22"/>
      <c r="AQ618" s="22"/>
      <c r="AR618"/>
      <c r="AS618"/>
      <c r="AT618"/>
      <c r="AU618"/>
      <c r="AV618"/>
      <c r="AW618"/>
      <c r="AX618"/>
      <c r="AY618"/>
    </row>
    <row r="619" spans="36:51">
      <c r="AJ619" s="22"/>
      <c r="AK619" s="22"/>
      <c r="AL619" s="22"/>
      <c r="AM619" s="22"/>
      <c r="AN619" s="22"/>
      <c r="AO619" s="22"/>
      <c r="AP619" s="22"/>
      <c r="AQ619" s="22"/>
      <c r="AR619"/>
      <c r="AS619"/>
      <c r="AT619"/>
      <c r="AU619"/>
      <c r="AV619"/>
      <c r="AW619"/>
      <c r="AX619"/>
      <c r="AY619"/>
    </row>
    <row r="620" spans="36:51">
      <c r="AJ620" s="22"/>
      <c r="AK620" s="22"/>
      <c r="AL620" s="22"/>
      <c r="AM620" s="22"/>
      <c r="AN620" s="22"/>
      <c r="AO620" s="22"/>
      <c r="AP620" s="22"/>
      <c r="AQ620" s="22"/>
      <c r="AR620"/>
      <c r="AS620"/>
      <c r="AT620"/>
      <c r="AU620"/>
      <c r="AV620"/>
      <c r="AW620"/>
      <c r="AX620"/>
      <c r="AY620"/>
    </row>
    <row r="621" spans="36:51">
      <c r="AJ621" s="22"/>
      <c r="AK621" s="22"/>
      <c r="AL621" s="22"/>
      <c r="AM621" s="22"/>
      <c r="AN621" s="22"/>
      <c r="AO621" s="22"/>
      <c r="AP621" s="22"/>
      <c r="AQ621" s="22"/>
      <c r="AR621"/>
      <c r="AS621"/>
      <c r="AT621"/>
      <c r="AU621"/>
      <c r="AV621"/>
      <c r="AW621"/>
      <c r="AX621"/>
      <c r="AY621"/>
    </row>
    <row r="622" spans="36:51">
      <c r="AJ622" s="22"/>
      <c r="AK622" s="22"/>
      <c r="AL622" s="22"/>
      <c r="AM622" s="22"/>
      <c r="AN622" s="22"/>
      <c r="AO622" s="22"/>
      <c r="AP622" s="22"/>
      <c r="AQ622" s="22"/>
      <c r="AR622"/>
      <c r="AS622"/>
      <c r="AT622"/>
      <c r="AU622"/>
      <c r="AV622"/>
      <c r="AW622"/>
      <c r="AX622"/>
      <c r="AY622"/>
    </row>
    <row r="623" spans="36:51">
      <c r="AJ623" s="22"/>
      <c r="AK623" s="22"/>
      <c r="AL623" s="22"/>
      <c r="AM623" s="22"/>
      <c r="AN623" s="22"/>
      <c r="AO623" s="22"/>
      <c r="AP623" s="22"/>
      <c r="AQ623" s="22"/>
      <c r="AR623"/>
      <c r="AS623"/>
      <c r="AT623"/>
      <c r="AU623"/>
      <c r="AV623"/>
      <c r="AW623"/>
      <c r="AX623"/>
      <c r="AY623"/>
    </row>
    <row r="624" spans="36:51">
      <c r="AJ624" s="22"/>
      <c r="AK624" s="22"/>
      <c r="AL624" s="22"/>
      <c r="AM624" s="22"/>
      <c r="AN624" s="22"/>
      <c r="AO624" s="22"/>
      <c r="AP624" s="22"/>
      <c r="AQ624" s="22"/>
      <c r="AR624"/>
      <c r="AS624"/>
      <c r="AT624"/>
      <c r="AU624"/>
      <c r="AV624"/>
      <c r="AW624"/>
      <c r="AX624"/>
      <c r="AY624"/>
    </row>
    <row r="625" spans="36:51">
      <c r="AJ625" s="22"/>
      <c r="AK625" s="22"/>
      <c r="AL625" s="22"/>
      <c r="AM625" s="22"/>
      <c r="AN625" s="22"/>
      <c r="AO625" s="22"/>
      <c r="AP625" s="22"/>
      <c r="AQ625" s="22"/>
      <c r="AR625"/>
      <c r="AS625"/>
      <c r="AT625"/>
      <c r="AU625"/>
      <c r="AV625"/>
      <c r="AW625"/>
      <c r="AX625"/>
      <c r="AY625"/>
    </row>
    <row r="626" spans="36:51">
      <c r="AJ626" s="22"/>
      <c r="AK626" s="22"/>
      <c r="AL626" s="22"/>
      <c r="AM626" s="22"/>
      <c r="AN626" s="22"/>
      <c r="AO626" s="22"/>
      <c r="AP626" s="22"/>
      <c r="AQ626" s="22"/>
      <c r="AR626"/>
      <c r="AS626"/>
      <c r="AT626"/>
      <c r="AU626"/>
      <c r="AV626"/>
      <c r="AW626"/>
      <c r="AX626"/>
      <c r="AY626"/>
    </row>
    <row r="627" spans="36:51">
      <c r="AJ627" s="22"/>
      <c r="AK627" s="22"/>
      <c r="AL627" s="22"/>
      <c r="AM627" s="22"/>
      <c r="AN627" s="22"/>
      <c r="AO627" s="22"/>
      <c r="AP627" s="22"/>
      <c r="AQ627" s="22"/>
      <c r="AR627"/>
      <c r="AS627"/>
      <c r="AT627"/>
      <c r="AU627"/>
      <c r="AV627"/>
      <c r="AW627"/>
      <c r="AX627"/>
      <c r="AY627"/>
    </row>
    <row r="628" spans="36:51">
      <c r="AJ628" s="22"/>
      <c r="AK628" s="22"/>
      <c r="AL628" s="22"/>
      <c r="AM628" s="22"/>
      <c r="AN628" s="22"/>
      <c r="AO628" s="22"/>
      <c r="AP628" s="22"/>
      <c r="AQ628" s="22"/>
      <c r="AR628"/>
      <c r="AS628"/>
      <c r="AT628"/>
      <c r="AU628"/>
      <c r="AV628"/>
      <c r="AW628"/>
      <c r="AX628"/>
      <c r="AY628"/>
    </row>
    <row r="629" spans="36:51">
      <c r="AJ629" s="22"/>
      <c r="AK629" s="22"/>
      <c r="AL629" s="22"/>
      <c r="AM629" s="22"/>
      <c r="AN629" s="22"/>
      <c r="AO629" s="22"/>
      <c r="AP629" s="22"/>
      <c r="AQ629" s="22"/>
      <c r="AR629"/>
      <c r="AS629"/>
      <c r="AT629"/>
      <c r="AU629"/>
      <c r="AV629"/>
      <c r="AW629"/>
      <c r="AX629"/>
      <c r="AY629"/>
    </row>
    <row r="630" spans="36:51">
      <c r="AJ630" s="22"/>
      <c r="AK630" s="22"/>
      <c r="AL630" s="22"/>
      <c r="AM630" s="22"/>
      <c r="AN630" s="22"/>
      <c r="AO630" s="22"/>
      <c r="AP630" s="22"/>
      <c r="AQ630" s="22"/>
      <c r="AR630"/>
      <c r="AS630"/>
      <c r="AT630"/>
      <c r="AU630"/>
      <c r="AV630"/>
      <c r="AW630"/>
      <c r="AX630"/>
      <c r="AY630"/>
    </row>
    <row r="631" spans="36:51">
      <c r="AJ631" s="22"/>
      <c r="AK631" s="22"/>
      <c r="AL631" s="22"/>
      <c r="AM631" s="22"/>
      <c r="AN631" s="22"/>
      <c r="AO631" s="22"/>
      <c r="AP631" s="22"/>
      <c r="AQ631" s="22"/>
      <c r="AR631"/>
      <c r="AS631"/>
      <c r="AT631"/>
      <c r="AU631"/>
      <c r="AV631"/>
      <c r="AW631"/>
      <c r="AX631"/>
      <c r="AY631"/>
    </row>
    <row r="632" spans="36:51">
      <c r="AJ632" s="22"/>
      <c r="AK632" s="22"/>
      <c r="AL632" s="22"/>
      <c r="AM632" s="22"/>
      <c r="AN632" s="22"/>
      <c r="AO632" s="22"/>
      <c r="AP632" s="22"/>
      <c r="AQ632" s="22"/>
      <c r="AR632"/>
      <c r="AS632"/>
      <c r="AT632"/>
      <c r="AU632"/>
      <c r="AV632"/>
      <c r="AW632"/>
      <c r="AX632"/>
      <c r="AY632"/>
    </row>
    <row r="633" spans="36:51">
      <c r="AJ633" s="22"/>
      <c r="AK633" s="22"/>
      <c r="AL633" s="22"/>
      <c r="AM633" s="22"/>
      <c r="AN633" s="22"/>
      <c r="AO633" s="22"/>
      <c r="AP633" s="22"/>
      <c r="AQ633" s="22"/>
      <c r="AR633"/>
      <c r="AS633"/>
      <c r="AT633"/>
      <c r="AU633"/>
      <c r="AV633"/>
      <c r="AW633"/>
      <c r="AX633"/>
      <c r="AY633"/>
    </row>
    <row r="634" spans="36:51">
      <c r="AJ634" s="22"/>
      <c r="AK634" s="22"/>
      <c r="AL634" s="22"/>
      <c r="AM634" s="22"/>
      <c r="AN634" s="22"/>
      <c r="AO634" s="22"/>
      <c r="AP634" s="22"/>
      <c r="AQ634" s="22"/>
      <c r="AR634"/>
      <c r="AS634"/>
      <c r="AT634"/>
      <c r="AU634"/>
      <c r="AV634"/>
      <c r="AW634"/>
      <c r="AX634"/>
      <c r="AY634"/>
    </row>
    <row r="635" spans="36:51">
      <c r="AJ635" s="22"/>
      <c r="AK635" s="22"/>
      <c r="AL635" s="22"/>
      <c r="AM635" s="22"/>
      <c r="AN635" s="22"/>
      <c r="AO635" s="22"/>
      <c r="AP635" s="22"/>
      <c r="AQ635" s="22"/>
      <c r="AR635"/>
      <c r="AS635"/>
      <c r="AT635"/>
      <c r="AU635"/>
      <c r="AV635"/>
      <c r="AW635"/>
      <c r="AX635"/>
      <c r="AY635"/>
    </row>
    <row r="636" spans="36:51">
      <c r="AJ636" s="22"/>
      <c r="AK636" s="22"/>
      <c r="AL636" s="22"/>
      <c r="AM636" s="22"/>
      <c r="AN636" s="22"/>
      <c r="AO636" s="22"/>
      <c r="AP636" s="22"/>
      <c r="AQ636" s="22"/>
      <c r="AR636"/>
      <c r="AS636"/>
      <c r="AT636"/>
      <c r="AU636"/>
      <c r="AV636"/>
      <c r="AW636"/>
      <c r="AX636"/>
      <c r="AY636"/>
    </row>
    <row r="637" spans="36:51">
      <c r="AJ637" s="22"/>
      <c r="AK637" s="22"/>
      <c r="AL637" s="22"/>
      <c r="AM637" s="22"/>
      <c r="AN637" s="22"/>
      <c r="AO637" s="22"/>
      <c r="AP637" s="22"/>
      <c r="AQ637" s="22"/>
      <c r="AR637"/>
      <c r="AS637"/>
      <c r="AT637"/>
      <c r="AU637"/>
      <c r="AV637"/>
      <c r="AW637"/>
      <c r="AX637"/>
      <c r="AY637"/>
    </row>
    <row r="638" spans="36:51">
      <c r="AJ638" s="22"/>
      <c r="AK638" s="22"/>
      <c r="AL638" s="22"/>
      <c r="AM638" s="22"/>
      <c r="AN638" s="22"/>
      <c r="AO638" s="22"/>
      <c r="AP638" s="22"/>
      <c r="AQ638" s="22"/>
      <c r="AR638"/>
      <c r="AS638"/>
      <c r="AT638"/>
      <c r="AU638"/>
      <c r="AV638"/>
      <c r="AW638"/>
      <c r="AX638"/>
      <c r="AY638"/>
    </row>
    <row r="639" spans="36:51">
      <c r="AJ639" s="22"/>
      <c r="AK639" s="22"/>
      <c r="AL639" s="22"/>
      <c r="AM639" s="22"/>
      <c r="AN639" s="22"/>
      <c r="AO639" s="22"/>
      <c r="AP639" s="22"/>
      <c r="AQ639" s="22"/>
      <c r="AR639"/>
      <c r="AS639"/>
      <c r="AT639"/>
      <c r="AU639"/>
      <c r="AV639"/>
      <c r="AW639"/>
      <c r="AX639"/>
      <c r="AY639"/>
    </row>
    <row r="640" spans="36:51">
      <c r="AJ640" s="22"/>
      <c r="AK640" s="22"/>
      <c r="AL640" s="22"/>
      <c r="AM640" s="22"/>
      <c r="AN640" s="22"/>
      <c r="AO640" s="22"/>
      <c r="AP640" s="22"/>
      <c r="AQ640" s="22"/>
      <c r="AR640"/>
      <c r="AS640"/>
      <c r="AT640"/>
      <c r="AU640"/>
      <c r="AV640"/>
      <c r="AW640"/>
      <c r="AX640"/>
      <c r="AY640"/>
    </row>
    <row r="641" spans="36:51">
      <c r="AJ641" s="22"/>
      <c r="AK641" s="22"/>
      <c r="AL641" s="22"/>
      <c r="AM641" s="22"/>
      <c r="AN641" s="22"/>
      <c r="AO641" s="22"/>
      <c r="AP641" s="22"/>
      <c r="AQ641" s="22"/>
      <c r="AR641"/>
      <c r="AS641"/>
      <c r="AT641"/>
      <c r="AU641"/>
      <c r="AV641"/>
      <c r="AW641"/>
      <c r="AX641"/>
      <c r="AY641"/>
    </row>
    <row r="642" spans="36:51">
      <c r="AJ642" s="22"/>
      <c r="AK642" s="22"/>
      <c r="AL642" s="22"/>
      <c r="AM642" s="22"/>
      <c r="AN642" s="22"/>
      <c r="AO642" s="22"/>
      <c r="AP642" s="22"/>
      <c r="AQ642" s="22"/>
      <c r="AR642"/>
      <c r="AS642"/>
      <c r="AT642"/>
      <c r="AU642"/>
      <c r="AV642"/>
      <c r="AW642"/>
      <c r="AX642"/>
      <c r="AY642"/>
    </row>
    <row r="643" spans="36:51">
      <c r="AJ643" s="22"/>
      <c r="AK643" s="22"/>
      <c r="AL643" s="22"/>
      <c r="AM643" s="22"/>
      <c r="AN643" s="22"/>
      <c r="AO643" s="22"/>
      <c r="AP643" s="22"/>
      <c r="AQ643" s="22"/>
      <c r="AR643"/>
      <c r="AS643"/>
      <c r="AT643"/>
      <c r="AU643"/>
      <c r="AV643"/>
      <c r="AW643"/>
      <c r="AX643"/>
      <c r="AY643"/>
    </row>
    <row r="644" spans="36:51">
      <c r="AJ644" s="22"/>
      <c r="AK644" s="22"/>
      <c r="AL644" s="22"/>
      <c r="AM644" s="22"/>
      <c r="AN644" s="22"/>
      <c r="AO644" s="22"/>
      <c r="AP644" s="22"/>
      <c r="AQ644" s="22"/>
      <c r="AR644"/>
      <c r="AS644"/>
      <c r="AT644"/>
      <c r="AU644"/>
      <c r="AV644"/>
      <c r="AW644"/>
      <c r="AX644"/>
      <c r="AY644"/>
    </row>
    <row r="645" spans="36:51">
      <c r="AJ645" s="22"/>
      <c r="AK645" s="22"/>
      <c r="AL645" s="22"/>
      <c r="AM645" s="22"/>
      <c r="AN645" s="22"/>
      <c r="AO645" s="22"/>
      <c r="AP645" s="22"/>
      <c r="AQ645" s="22"/>
      <c r="AR645"/>
      <c r="AS645"/>
      <c r="AT645"/>
      <c r="AU645"/>
      <c r="AV645"/>
      <c r="AW645"/>
      <c r="AX645"/>
      <c r="AY645"/>
    </row>
    <row r="646" spans="36:51">
      <c r="AJ646" s="22"/>
      <c r="AK646" s="22"/>
      <c r="AL646" s="22"/>
      <c r="AM646" s="22"/>
      <c r="AN646" s="22"/>
      <c r="AO646" s="22"/>
      <c r="AP646" s="22"/>
      <c r="AQ646" s="22"/>
      <c r="AR646"/>
      <c r="AS646"/>
      <c r="AT646"/>
      <c r="AU646"/>
      <c r="AV646"/>
      <c r="AW646"/>
      <c r="AX646"/>
      <c r="AY646"/>
    </row>
    <row r="647" spans="36:51">
      <c r="AJ647" s="22"/>
      <c r="AK647" s="22"/>
      <c r="AL647" s="22"/>
      <c r="AM647" s="22"/>
      <c r="AN647" s="22"/>
      <c r="AO647" s="22"/>
      <c r="AP647" s="22"/>
      <c r="AQ647" s="22"/>
      <c r="AR647"/>
      <c r="AS647"/>
      <c r="AT647"/>
      <c r="AU647"/>
      <c r="AV647"/>
      <c r="AW647"/>
      <c r="AX647"/>
      <c r="AY647"/>
    </row>
    <row r="648" spans="36:51">
      <c r="AJ648" s="22"/>
      <c r="AK648" s="22"/>
      <c r="AL648" s="22"/>
      <c r="AM648" s="22"/>
      <c r="AN648" s="22"/>
      <c r="AO648" s="22"/>
      <c r="AP648" s="22"/>
      <c r="AQ648" s="22"/>
      <c r="AR648"/>
      <c r="AS648"/>
      <c r="AT648"/>
      <c r="AU648"/>
      <c r="AV648"/>
      <c r="AW648"/>
      <c r="AX648"/>
      <c r="AY648"/>
    </row>
    <row r="649" spans="36:51">
      <c r="AJ649" s="22"/>
      <c r="AK649" s="22"/>
      <c r="AL649" s="22"/>
      <c r="AM649" s="22"/>
      <c r="AN649" s="22"/>
      <c r="AO649" s="22"/>
      <c r="AP649" s="22"/>
      <c r="AQ649" s="22"/>
      <c r="AR649"/>
      <c r="AS649"/>
      <c r="AT649"/>
      <c r="AU649"/>
      <c r="AV649"/>
      <c r="AW649"/>
      <c r="AX649"/>
      <c r="AY649"/>
    </row>
    <row r="650" spans="36:51">
      <c r="AJ650" s="22"/>
      <c r="AK650" s="22"/>
      <c r="AL650" s="22"/>
      <c r="AM650" s="22"/>
      <c r="AN650" s="22"/>
      <c r="AO650" s="22"/>
      <c r="AP650" s="22"/>
      <c r="AQ650" s="22"/>
      <c r="AR650"/>
      <c r="AS650"/>
      <c r="AT650"/>
      <c r="AU650"/>
      <c r="AV650"/>
      <c r="AW650"/>
      <c r="AX650"/>
      <c r="AY650"/>
    </row>
    <row r="651" spans="36:51">
      <c r="AJ651" s="22"/>
      <c r="AK651" s="22"/>
      <c r="AL651" s="22"/>
      <c r="AM651" s="22"/>
      <c r="AN651" s="22"/>
      <c r="AO651" s="22"/>
      <c r="AP651" s="22"/>
      <c r="AQ651" s="22"/>
      <c r="AR651"/>
      <c r="AS651"/>
      <c r="AT651"/>
      <c r="AU651"/>
      <c r="AV651"/>
      <c r="AW651"/>
      <c r="AX651"/>
      <c r="AY651"/>
    </row>
    <row r="652" spans="36:51">
      <c r="AJ652" s="22"/>
      <c r="AK652" s="22"/>
      <c r="AL652" s="22"/>
      <c r="AM652" s="22"/>
      <c r="AN652" s="22"/>
      <c r="AO652" s="22"/>
      <c r="AP652" s="22"/>
      <c r="AQ652" s="22"/>
      <c r="AR652"/>
      <c r="AS652"/>
      <c r="AT652"/>
      <c r="AU652"/>
      <c r="AV652"/>
      <c r="AW652"/>
      <c r="AX652"/>
      <c r="AY652"/>
    </row>
    <row r="653" spans="36:51">
      <c r="AJ653" s="22"/>
      <c r="AK653" s="22"/>
      <c r="AL653" s="22"/>
      <c r="AM653" s="22"/>
      <c r="AN653" s="22"/>
      <c r="AO653" s="22"/>
      <c r="AP653" s="22"/>
      <c r="AQ653" s="22"/>
      <c r="AR653"/>
      <c r="AS653"/>
      <c r="AT653"/>
      <c r="AU653"/>
      <c r="AV653"/>
      <c r="AW653"/>
      <c r="AX653"/>
      <c r="AY653"/>
    </row>
    <row r="654" spans="36:51">
      <c r="AJ654" s="22"/>
      <c r="AK654" s="22"/>
      <c r="AL654" s="22"/>
      <c r="AM654" s="22"/>
      <c r="AN654" s="22"/>
      <c r="AO654" s="22"/>
      <c r="AP654" s="22"/>
      <c r="AQ654" s="22"/>
      <c r="AR654"/>
      <c r="AS654"/>
      <c r="AT654"/>
      <c r="AU654"/>
      <c r="AV654"/>
      <c r="AW654"/>
      <c r="AX654"/>
      <c r="AY654"/>
    </row>
    <row r="655" spans="36:51">
      <c r="AJ655" s="22"/>
      <c r="AK655" s="22"/>
      <c r="AL655" s="22"/>
      <c r="AM655" s="22"/>
      <c r="AN655" s="22"/>
      <c r="AO655" s="22"/>
      <c r="AP655" s="22"/>
      <c r="AQ655" s="22"/>
      <c r="AR655"/>
      <c r="AS655"/>
      <c r="AT655"/>
      <c r="AU655"/>
      <c r="AV655"/>
      <c r="AW655"/>
      <c r="AX655"/>
      <c r="AY655"/>
    </row>
    <row r="656" spans="36:51">
      <c r="AJ656" s="22"/>
      <c r="AK656" s="22"/>
      <c r="AL656" s="22"/>
      <c r="AM656" s="22"/>
      <c r="AN656" s="22"/>
      <c r="AO656" s="22"/>
      <c r="AP656" s="22"/>
      <c r="AQ656" s="22"/>
      <c r="AR656"/>
      <c r="AS656"/>
      <c r="AT656"/>
      <c r="AU656"/>
      <c r="AV656"/>
      <c r="AW656"/>
      <c r="AX656"/>
      <c r="AY656"/>
    </row>
    <row r="657" spans="36:51">
      <c r="AJ657" s="22"/>
      <c r="AK657" s="22"/>
      <c r="AL657" s="22"/>
      <c r="AM657" s="22"/>
      <c r="AN657" s="22"/>
      <c r="AO657" s="22"/>
      <c r="AP657" s="22"/>
      <c r="AQ657" s="22"/>
      <c r="AR657"/>
      <c r="AS657"/>
      <c r="AT657"/>
      <c r="AU657"/>
      <c r="AV657"/>
      <c r="AW657"/>
      <c r="AX657"/>
      <c r="AY657"/>
    </row>
    <row r="658" spans="36:51">
      <c r="AJ658" s="22"/>
      <c r="AK658" s="22"/>
      <c r="AL658" s="22"/>
      <c r="AM658" s="22"/>
      <c r="AN658" s="22"/>
      <c r="AO658" s="22"/>
      <c r="AP658" s="22"/>
      <c r="AQ658" s="22"/>
      <c r="AR658"/>
      <c r="AS658"/>
      <c r="AT658"/>
      <c r="AU658"/>
      <c r="AV658"/>
      <c r="AW658"/>
      <c r="AX658"/>
      <c r="AY658"/>
    </row>
    <row r="659" spans="36:51">
      <c r="AJ659" s="22"/>
      <c r="AK659" s="22"/>
      <c r="AL659" s="22"/>
      <c r="AM659" s="22"/>
      <c r="AN659" s="22"/>
      <c r="AO659" s="22"/>
      <c r="AP659" s="22"/>
      <c r="AQ659" s="22"/>
      <c r="AR659"/>
      <c r="AS659"/>
      <c r="AT659"/>
      <c r="AU659"/>
      <c r="AV659"/>
      <c r="AW659"/>
      <c r="AX659"/>
      <c r="AY659"/>
    </row>
    <row r="660" spans="36:51">
      <c r="AJ660" s="22"/>
      <c r="AK660" s="22"/>
      <c r="AL660" s="22"/>
      <c r="AM660" s="22"/>
      <c r="AN660" s="22"/>
      <c r="AO660" s="22"/>
      <c r="AP660" s="22"/>
      <c r="AQ660" s="22"/>
      <c r="AR660"/>
      <c r="AS660"/>
      <c r="AT660"/>
      <c r="AU660"/>
      <c r="AV660"/>
      <c r="AW660"/>
      <c r="AX660"/>
      <c r="AY660"/>
    </row>
    <row r="661" spans="36:51">
      <c r="AJ661" s="22"/>
      <c r="AK661" s="22"/>
      <c r="AL661" s="22"/>
      <c r="AM661" s="22"/>
      <c r="AN661" s="22"/>
      <c r="AO661" s="22"/>
      <c r="AP661" s="22"/>
      <c r="AQ661" s="22"/>
      <c r="AR661"/>
      <c r="AS661"/>
      <c r="AT661"/>
      <c r="AU661"/>
      <c r="AV661"/>
      <c r="AW661"/>
      <c r="AX661"/>
      <c r="AY661"/>
    </row>
    <row r="662" spans="36:51">
      <c r="AJ662" s="22"/>
      <c r="AK662" s="22"/>
      <c r="AL662" s="22"/>
      <c r="AM662" s="22"/>
      <c r="AN662" s="22"/>
      <c r="AO662" s="22"/>
      <c r="AP662" s="22"/>
      <c r="AQ662" s="22"/>
      <c r="AR662"/>
      <c r="AS662"/>
      <c r="AT662"/>
      <c r="AU662"/>
      <c r="AV662"/>
      <c r="AW662"/>
      <c r="AX662"/>
      <c r="AY662"/>
    </row>
    <row r="663" spans="36:51">
      <c r="AJ663" s="22"/>
      <c r="AK663" s="22"/>
      <c r="AL663" s="22"/>
      <c r="AM663" s="22"/>
      <c r="AN663" s="22"/>
      <c r="AO663" s="22"/>
      <c r="AP663" s="22"/>
      <c r="AQ663" s="22"/>
      <c r="AR663"/>
      <c r="AS663"/>
      <c r="AT663"/>
      <c r="AU663"/>
      <c r="AV663"/>
      <c r="AW663"/>
      <c r="AX663"/>
      <c r="AY663"/>
    </row>
    <row r="664" spans="36:51">
      <c r="AJ664" s="22"/>
      <c r="AK664" s="22"/>
      <c r="AL664" s="22"/>
      <c r="AM664" s="22"/>
      <c r="AN664" s="22"/>
      <c r="AO664" s="22"/>
      <c r="AP664" s="22"/>
      <c r="AQ664" s="22"/>
      <c r="AR664"/>
      <c r="AS664"/>
      <c r="AT664"/>
      <c r="AU664"/>
      <c r="AV664"/>
      <c r="AW664"/>
      <c r="AX664"/>
      <c r="AY664"/>
    </row>
    <row r="665" spans="36:51">
      <c r="AJ665" s="22"/>
      <c r="AK665" s="22"/>
      <c r="AL665" s="22"/>
      <c r="AM665" s="22"/>
      <c r="AN665" s="22"/>
      <c r="AO665" s="22"/>
      <c r="AP665" s="22"/>
      <c r="AQ665" s="22"/>
      <c r="AR665"/>
      <c r="AS665"/>
      <c r="AT665"/>
      <c r="AU665"/>
      <c r="AV665"/>
      <c r="AW665"/>
      <c r="AX665"/>
      <c r="AY665"/>
    </row>
    <row r="666" spans="36:51">
      <c r="AJ666" s="22"/>
      <c r="AK666" s="22"/>
      <c r="AL666" s="22"/>
      <c r="AM666" s="22"/>
      <c r="AN666" s="22"/>
      <c r="AO666" s="22"/>
      <c r="AP666" s="22"/>
      <c r="AQ666" s="22"/>
      <c r="AR666"/>
      <c r="AS666"/>
      <c r="AT666"/>
      <c r="AU666"/>
      <c r="AV666"/>
      <c r="AW666"/>
      <c r="AX666"/>
      <c r="AY666"/>
    </row>
    <row r="667" spans="36:51">
      <c r="AJ667" s="22"/>
      <c r="AK667" s="22"/>
      <c r="AL667" s="22"/>
      <c r="AM667" s="22"/>
      <c r="AN667" s="22"/>
      <c r="AO667" s="22"/>
      <c r="AP667" s="22"/>
      <c r="AQ667" s="22"/>
      <c r="AR667"/>
      <c r="AS667"/>
      <c r="AT667"/>
      <c r="AU667"/>
      <c r="AV667"/>
      <c r="AW667"/>
      <c r="AX667"/>
      <c r="AY667"/>
    </row>
    <row r="668" spans="36:51">
      <c r="AJ668" s="22"/>
      <c r="AK668" s="22"/>
      <c r="AL668" s="22"/>
      <c r="AM668" s="22"/>
      <c r="AN668" s="22"/>
      <c r="AO668" s="22"/>
      <c r="AP668" s="22"/>
      <c r="AQ668" s="22"/>
      <c r="AR668"/>
      <c r="AS668"/>
      <c r="AT668"/>
      <c r="AU668"/>
      <c r="AV668"/>
      <c r="AW668"/>
      <c r="AX668"/>
      <c r="AY668"/>
    </row>
    <row r="669" spans="36:51">
      <c r="AJ669" s="22"/>
      <c r="AK669" s="22"/>
      <c r="AL669" s="22"/>
      <c r="AM669" s="22"/>
      <c r="AN669" s="22"/>
      <c r="AO669" s="22"/>
      <c r="AP669" s="22"/>
      <c r="AQ669" s="22"/>
      <c r="AR669"/>
      <c r="AS669"/>
      <c r="AT669"/>
      <c r="AU669"/>
      <c r="AV669"/>
      <c r="AW669"/>
      <c r="AX669"/>
      <c r="AY669"/>
    </row>
    <row r="670" spans="36:51">
      <c r="AJ670" s="22"/>
      <c r="AK670" s="22"/>
      <c r="AL670" s="22"/>
      <c r="AM670" s="22"/>
      <c r="AN670" s="22"/>
      <c r="AO670" s="22"/>
      <c r="AP670" s="22"/>
      <c r="AQ670" s="22"/>
      <c r="AR670"/>
      <c r="AS670"/>
      <c r="AT670"/>
      <c r="AU670"/>
      <c r="AV670"/>
      <c r="AW670"/>
      <c r="AX670"/>
      <c r="AY670"/>
    </row>
    <row r="671" spans="36:51">
      <c r="AJ671" s="22"/>
      <c r="AK671" s="22"/>
      <c r="AL671" s="22"/>
      <c r="AM671" s="22"/>
      <c r="AN671" s="22"/>
      <c r="AO671" s="22"/>
      <c r="AP671" s="22"/>
      <c r="AQ671" s="22"/>
      <c r="AR671"/>
      <c r="AS671"/>
      <c r="AT671"/>
      <c r="AU671"/>
      <c r="AV671"/>
      <c r="AW671"/>
      <c r="AX671"/>
      <c r="AY671"/>
    </row>
    <row r="672" spans="36:51">
      <c r="AJ672" s="22"/>
      <c r="AK672" s="22"/>
      <c r="AL672" s="22"/>
      <c r="AM672" s="22"/>
      <c r="AN672" s="22"/>
      <c r="AO672" s="22"/>
      <c r="AP672" s="22"/>
      <c r="AQ672" s="22"/>
      <c r="AR672"/>
      <c r="AS672"/>
      <c r="AT672"/>
      <c r="AU672"/>
      <c r="AV672"/>
      <c r="AW672"/>
      <c r="AX672"/>
      <c r="AY672"/>
    </row>
    <row r="673" spans="36:51">
      <c r="AJ673" s="22"/>
      <c r="AK673" s="22"/>
      <c r="AL673" s="22"/>
      <c r="AM673" s="22"/>
      <c r="AN673" s="22"/>
      <c r="AO673" s="22"/>
      <c r="AP673" s="22"/>
      <c r="AQ673" s="22"/>
      <c r="AR673"/>
      <c r="AS673"/>
      <c r="AT673"/>
      <c r="AU673"/>
      <c r="AV673"/>
      <c r="AW673"/>
      <c r="AX673"/>
      <c r="AY673"/>
    </row>
    <row r="674" spans="36:51">
      <c r="AJ674" s="22"/>
      <c r="AK674" s="22"/>
      <c r="AL674" s="22"/>
      <c r="AM674" s="22"/>
      <c r="AN674" s="22"/>
      <c r="AO674" s="22"/>
      <c r="AP674" s="22"/>
      <c r="AQ674" s="22"/>
      <c r="AR674"/>
      <c r="AS674"/>
      <c r="AT674"/>
      <c r="AU674"/>
      <c r="AV674"/>
      <c r="AW674"/>
      <c r="AX674"/>
      <c r="AY674"/>
    </row>
    <row r="675" spans="36:51">
      <c r="AJ675" s="22"/>
      <c r="AK675" s="22"/>
      <c r="AL675" s="22"/>
      <c r="AM675" s="22"/>
      <c r="AN675" s="22"/>
      <c r="AO675" s="22"/>
      <c r="AP675" s="22"/>
      <c r="AQ675" s="22"/>
      <c r="AR675"/>
      <c r="AS675"/>
      <c r="AT675"/>
      <c r="AU675"/>
      <c r="AV675"/>
      <c r="AW675"/>
      <c r="AX675"/>
      <c r="AY675"/>
    </row>
    <row r="676" spans="36:51">
      <c r="AJ676" s="22"/>
      <c r="AK676" s="22"/>
      <c r="AL676" s="22"/>
      <c r="AM676" s="22"/>
      <c r="AN676" s="22"/>
      <c r="AO676" s="22"/>
      <c r="AP676" s="22"/>
      <c r="AQ676" s="22"/>
      <c r="AR676"/>
      <c r="AS676"/>
      <c r="AT676"/>
      <c r="AU676"/>
      <c r="AV676"/>
      <c r="AW676"/>
      <c r="AX676"/>
      <c r="AY676"/>
    </row>
    <row r="677" spans="36:51">
      <c r="AJ677" s="22"/>
      <c r="AK677" s="22"/>
      <c r="AL677" s="22"/>
      <c r="AM677" s="22"/>
      <c r="AN677" s="22"/>
      <c r="AO677" s="22"/>
      <c r="AP677" s="22"/>
      <c r="AQ677" s="22"/>
      <c r="AR677"/>
      <c r="AS677"/>
      <c r="AT677"/>
      <c r="AU677"/>
      <c r="AV677"/>
      <c r="AW677"/>
      <c r="AX677"/>
      <c r="AY677"/>
    </row>
    <row r="678" spans="36:51">
      <c r="AJ678" s="22"/>
      <c r="AK678" s="22"/>
      <c r="AL678" s="22"/>
      <c r="AM678" s="22"/>
      <c r="AN678" s="22"/>
      <c r="AO678" s="22"/>
      <c r="AP678" s="22"/>
      <c r="AQ678" s="22"/>
      <c r="AR678"/>
      <c r="AS678"/>
      <c r="AT678"/>
      <c r="AU678"/>
      <c r="AV678"/>
      <c r="AW678"/>
      <c r="AX678"/>
      <c r="AY678"/>
    </row>
    <row r="679" spans="36:51">
      <c r="AJ679" s="22"/>
      <c r="AK679" s="22"/>
      <c r="AL679" s="22"/>
      <c r="AM679" s="22"/>
      <c r="AN679" s="22"/>
      <c r="AO679" s="22"/>
      <c r="AP679" s="22"/>
      <c r="AQ679" s="22"/>
      <c r="AR679"/>
      <c r="AS679"/>
      <c r="AT679"/>
      <c r="AU679"/>
      <c r="AV679"/>
      <c r="AW679"/>
      <c r="AX679"/>
      <c r="AY679"/>
    </row>
    <row r="680" spans="36:51">
      <c r="AJ680" s="22"/>
      <c r="AK680" s="22"/>
      <c r="AL680" s="22"/>
      <c r="AM680" s="22"/>
      <c r="AN680" s="22"/>
      <c r="AO680" s="22"/>
      <c r="AP680" s="22"/>
      <c r="AQ680" s="22"/>
      <c r="AR680"/>
      <c r="AS680"/>
      <c r="AT680"/>
      <c r="AU680"/>
      <c r="AV680"/>
      <c r="AW680"/>
      <c r="AX680"/>
      <c r="AY680"/>
    </row>
    <row r="681" spans="36:51">
      <c r="AJ681" s="22"/>
      <c r="AK681" s="22"/>
      <c r="AL681" s="22"/>
      <c r="AM681" s="22"/>
      <c r="AN681" s="22"/>
      <c r="AO681" s="22"/>
      <c r="AP681" s="22"/>
      <c r="AQ681" s="22"/>
      <c r="AR681"/>
      <c r="AS681"/>
      <c r="AT681"/>
      <c r="AU681"/>
      <c r="AV681"/>
      <c r="AW681"/>
      <c r="AX681"/>
      <c r="AY681"/>
    </row>
    <row r="682" spans="36:51">
      <c r="AJ682" s="22"/>
      <c r="AK682" s="22"/>
      <c r="AL682" s="22"/>
      <c r="AM682" s="22"/>
      <c r="AN682" s="22"/>
      <c r="AO682" s="22"/>
      <c r="AP682" s="22"/>
      <c r="AQ682" s="22"/>
      <c r="AR682"/>
      <c r="AS682"/>
      <c r="AT682"/>
      <c r="AU682"/>
      <c r="AV682"/>
      <c r="AW682"/>
      <c r="AX682"/>
      <c r="AY682"/>
    </row>
    <row r="683" spans="36:51">
      <c r="AJ683" s="22"/>
      <c r="AK683" s="22"/>
      <c r="AL683" s="22"/>
      <c r="AM683" s="22"/>
      <c r="AN683" s="22"/>
      <c r="AO683" s="22"/>
      <c r="AP683" s="22"/>
      <c r="AQ683" s="22"/>
      <c r="AR683"/>
      <c r="AS683"/>
      <c r="AT683"/>
      <c r="AU683"/>
      <c r="AV683"/>
      <c r="AW683"/>
      <c r="AX683"/>
      <c r="AY683"/>
    </row>
    <row r="684" spans="36:51">
      <c r="AJ684" s="22"/>
      <c r="AK684" s="22"/>
      <c r="AL684" s="22"/>
      <c r="AM684" s="22"/>
      <c r="AN684" s="22"/>
      <c r="AO684" s="22"/>
      <c r="AP684" s="22"/>
      <c r="AQ684" s="22"/>
      <c r="AR684"/>
      <c r="AS684"/>
      <c r="AT684"/>
      <c r="AU684"/>
      <c r="AV684"/>
      <c r="AW684"/>
      <c r="AX684"/>
      <c r="AY684"/>
    </row>
    <row r="685" spans="36:51">
      <c r="AJ685" s="22"/>
      <c r="AK685" s="22"/>
      <c r="AL685" s="22"/>
      <c r="AM685" s="22"/>
      <c r="AN685" s="22"/>
      <c r="AO685" s="22"/>
      <c r="AP685" s="22"/>
      <c r="AQ685" s="22"/>
      <c r="AR685"/>
      <c r="AS685"/>
      <c r="AT685"/>
      <c r="AU685"/>
      <c r="AV685"/>
      <c r="AW685"/>
      <c r="AX685"/>
      <c r="AY685"/>
    </row>
    <row r="686" spans="36:51">
      <c r="AJ686" s="22"/>
      <c r="AK686" s="22"/>
      <c r="AL686" s="22"/>
      <c r="AM686" s="22"/>
      <c r="AN686" s="22"/>
      <c r="AO686" s="22"/>
      <c r="AP686" s="22"/>
      <c r="AQ686" s="22"/>
      <c r="AR686"/>
      <c r="AS686"/>
      <c r="AT686"/>
      <c r="AU686"/>
      <c r="AV686"/>
      <c r="AW686"/>
      <c r="AX686"/>
      <c r="AY686"/>
    </row>
    <row r="687" spans="36:51">
      <c r="AJ687" s="22"/>
      <c r="AK687" s="22"/>
      <c r="AL687" s="22"/>
      <c r="AM687" s="22"/>
      <c r="AN687" s="22"/>
      <c r="AO687" s="22"/>
      <c r="AP687" s="22"/>
      <c r="AQ687" s="22"/>
      <c r="AR687"/>
      <c r="AS687"/>
      <c r="AT687"/>
      <c r="AU687"/>
      <c r="AV687"/>
      <c r="AW687"/>
      <c r="AX687"/>
      <c r="AY687"/>
    </row>
    <row r="688" spans="36:51">
      <c r="AJ688" s="22"/>
      <c r="AK688" s="22"/>
      <c r="AL688" s="22"/>
      <c r="AM688" s="22"/>
      <c r="AN688" s="22"/>
      <c r="AO688" s="22"/>
      <c r="AP688" s="22"/>
      <c r="AQ688" s="22"/>
      <c r="AR688"/>
      <c r="AS688"/>
      <c r="AT688"/>
      <c r="AU688"/>
      <c r="AV688"/>
      <c r="AW688"/>
      <c r="AX688"/>
      <c r="AY688"/>
    </row>
    <row r="689" spans="36:51">
      <c r="AJ689" s="22"/>
      <c r="AK689" s="22"/>
      <c r="AL689" s="22"/>
      <c r="AM689" s="22"/>
      <c r="AN689" s="22"/>
      <c r="AO689" s="22"/>
      <c r="AP689" s="22"/>
      <c r="AQ689" s="22"/>
      <c r="AR689"/>
      <c r="AS689"/>
      <c r="AT689"/>
      <c r="AU689"/>
      <c r="AV689"/>
      <c r="AW689"/>
      <c r="AX689"/>
      <c r="AY689"/>
    </row>
    <row r="690" spans="36:51">
      <c r="AJ690" s="22"/>
      <c r="AK690" s="22"/>
      <c r="AL690" s="22"/>
      <c r="AM690" s="22"/>
      <c r="AN690" s="22"/>
      <c r="AO690" s="22"/>
      <c r="AP690" s="22"/>
      <c r="AQ690" s="22"/>
      <c r="AR690"/>
      <c r="AS690"/>
      <c r="AT690"/>
      <c r="AU690"/>
      <c r="AV690"/>
      <c r="AW690"/>
      <c r="AX690"/>
      <c r="AY690"/>
    </row>
    <row r="691" spans="36:51">
      <c r="AJ691" s="22"/>
      <c r="AK691" s="22"/>
      <c r="AL691" s="22"/>
      <c r="AM691" s="22"/>
      <c r="AN691" s="22"/>
      <c r="AO691" s="22"/>
      <c r="AP691" s="22"/>
      <c r="AQ691" s="22"/>
      <c r="AR691"/>
      <c r="AS691"/>
      <c r="AT691"/>
      <c r="AU691"/>
      <c r="AV691"/>
      <c r="AW691"/>
      <c r="AX691"/>
      <c r="AY691"/>
    </row>
    <row r="692" spans="36:51">
      <c r="AJ692" s="22"/>
      <c r="AK692" s="22"/>
      <c r="AL692" s="22"/>
      <c r="AM692" s="22"/>
      <c r="AN692" s="22"/>
      <c r="AO692" s="22"/>
      <c r="AP692" s="22"/>
      <c r="AQ692" s="22"/>
      <c r="AR692"/>
      <c r="AS692"/>
      <c r="AT692"/>
      <c r="AU692"/>
      <c r="AV692"/>
      <c r="AW692"/>
      <c r="AX692"/>
      <c r="AY692"/>
    </row>
    <row r="693" spans="36:51">
      <c r="AJ693" s="22"/>
      <c r="AK693" s="22"/>
      <c r="AL693" s="22"/>
      <c r="AM693" s="22"/>
      <c r="AN693" s="22"/>
      <c r="AO693" s="22"/>
      <c r="AP693" s="22"/>
      <c r="AQ693" s="22"/>
      <c r="AR693"/>
      <c r="AS693"/>
      <c r="AT693"/>
      <c r="AU693"/>
      <c r="AV693"/>
      <c r="AW693"/>
      <c r="AX693"/>
      <c r="AY693"/>
    </row>
    <row r="694" spans="36:51">
      <c r="AJ694" s="22"/>
      <c r="AK694" s="22"/>
      <c r="AL694" s="22"/>
      <c r="AM694" s="22"/>
      <c r="AN694" s="22"/>
      <c r="AO694" s="22"/>
      <c r="AP694" s="22"/>
      <c r="AQ694" s="22"/>
      <c r="AR694"/>
      <c r="AS694"/>
      <c r="AT694"/>
      <c r="AU694"/>
      <c r="AV694"/>
      <c r="AW694"/>
      <c r="AX694"/>
      <c r="AY694"/>
    </row>
    <row r="695" spans="36:51">
      <c r="AJ695" s="22"/>
      <c r="AK695" s="22"/>
      <c r="AL695" s="22"/>
      <c r="AM695" s="22"/>
      <c r="AN695" s="22"/>
      <c r="AO695" s="22"/>
      <c r="AP695" s="22"/>
      <c r="AQ695" s="22"/>
      <c r="AR695"/>
      <c r="AS695"/>
      <c r="AT695"/>
      <c r="AU695"/>
      <c r="AV695"/>
      <c r="AW695"/>
      <c r="AX695"/>
      <c r="AY695"/>
    </row>
    <row r="696" spans="36:51">
      <c r="AJ696" s="22"/>
      <c r="AK696" s="22"/>
      <c r="AL696" s="22"/>
      <c r="AM696" s="22"/>
      <c r="AN696" s="22"/>
      <c r="AO696" s="22"/>
      <c r="AP696" s="22"/>
      <c r="AQ696" s="22"/>
      <c r="AR696"/>
      <c r="AS696"/>
      <c r="AT696"/>
      <c r="AU696"/>
      <c r="AV696"/>
      <c r="AW696"/>
      <c r="AX696"/>
      <c r="AY696"/>
    </row>
    <row r="697" spans="36:51">
      <c r="AJ697" s="22"/>
      <c r="AK697" s="22"/>
      <c r="AL697" s="22"/>
      <c r="AM697" s="22"/>
      <c r="AN697" s="22"/>
      <c r="AO697" s="22"/>
      <c r="AP697" s="22"/>
      <c r="AQ697" s="22"/>
      <c r="AR697"/>
      <c r="AS697"/>
      <c r="AT697"/>
      <c r="AU697"/>
      <c r="AV697"/>
      <c r="AW697"/>
      <c r="AX697"/>
      <c r="AY697"/>
    </row>
    <row r="698" spans="36:51">
      <c r="AJ698" s="22"/>
      <c r="AK698" s="22"/>
      <c r="AL698" s="22"/>
      <c r="AM698" s="22"/>
      <c r="AN698" s="22"/>
      <c r="AO698" s="22"/>
      <c r="AP698" s="22"/>
      <c r="AQ698" s="22"/>
      <c r="AR698"/>
      <c r="AS698"/>
      <c r="AT698"/>
      <c r="AU698"/>
      <c r="AV698"/>
      <c r="AW698"/>
      <c r="AX698"/>
      <c r="AY698"/>
    </row>
    <row r="699" spans="36:51">
      <c r="AJ699" s="22"/>
      <c r="AK699" s="22"/>
      <c r="AL699" s="22"/>
      <c r="AM699" s="22"/>
      <c r="AN699" s="22"/>
      <c r="AO699" s="22"/>
      <c r="AP699" s="22"/>
      <c r="AQ699" s="22"/>
      <c r="AR699"/>
      <c r="AS699"/>
      <c r="AT699"/>
      <c r="AU699"/>
      <c r="AV699"/>
      <c r="AW699"/>
      <c r="AX699"/>
      <c r="AY699"/>
    </row>
    <row r="700" spans="36:51">
      <c r="AJ700" s="22"/>
      <c r="AK700" s="22"/>
      <c r="AL700" s="22"/>
      <c r="AM700" s="22"/>
      <c r="AN700" s="22"/>
      <c r="AO700" s="22"/>
      <c r="AP700" s="22"/>
      <c r="AQ700" s="22"/>
      <c r="AR700"/>
      <c r="AS700"/>
      <c r="AT700"/>
      <c r="AU700"/>
      <c r="AV700"/>
      <c r="AW700"/>
      <c r="AX700"/>
      <c r="AY700"/>
    </row>
    <row r="701" spans="36:51">
      <c r="AJ701" s="22"/>
      <c r="AK701" s="22"/>
      <c r="AL701" s="22"/>
      <c r="AM701" s="22"/>
      <c r="AN701" s="22"/>
      <c r="AO701" s="22"/>
      <c r="AP701" s="22"/>
      <c r="AQ701" s="22"/>
      <c r="AR701"/>
      <c r="AS701"/>
      <c r="AT701"/>
      <c r="AU701"/>
      <c r="AV701"/>
      <c r="AW701"/>
      <c r="AX701"/>
      <c r="AY701"/>
    </row>
    <row r="702" spans="36:51">
      <c r="AJ702" s="22"/>
      <c r="AK702" s="22"/>
      <c r="AL702" s="22"/>
      <c r="AM702" s="22"/>
      <c r="AN702" s="22"/>
      <c r="AO702" s="22"/>
      <c r="AP702" s="22"/>
      <c r="AQ702" s="22"/>
      <c r="AR702"/>
      <c r="AS702"/>
      <c r="AT702"/>
      <c r="AU702"/>
      <c r="AV702"/>
      <c r="AW702"/>
      <c r="AX702"/>
      <c r="AY702"/>
    </row>
    <row r="703" spans="36:51">
      <c r="AJ703" s="22"/>
      <c r="AK703" s="22"/>
      <c r="AL703" s="22"/>
      <c r="AM703" s="22"/>
      <c r="AN703" s="22"/>
      <c r="AO703" s="22"/>
      <c r="AP703" s="22"/>
      <c r="AQ703" s="22"/>
      <c r="AR703"/>
      <c r="AS703"/>
      <c r="AT703"/>
      <c r="AU703"/>
      <c r="AV703"/>
      <c r="AW703"/>
      <c r="AX703"/>
      <c r="AY703"/>
    </row>
    <row r="704" spans="36:51">
      <c r="AJ704" s="22"/>
      <c r="AK704" s="22"/>
      <c r="AL704" s="22"/>
      <c r="AM704" s="22"/>
      <c r="AN704" s="22"/>
      <c r="AO704" s="22"/>
      <c r="AP704" s="22"/>
      <c r="AQ704" s="22"/>
      <c r="AR704"/>
      <c r="AS704"/>
      <c r="AT704"/>
      <c r="AU704"/>
      <c r="AV704"/>
      <c r="AW704"/>
      <c r="AX704"/>
      <c r="AY704"/>
    </row>
    <row r="705" spans="36:51">
      <c r="AJ705" s="22"/>
      <c r="AK705" s="22"/>
      <c r="AL705" s="22"/>
      <c r="AM705" s="22"/>
      <c r="AN705" s="22"/>
      <c r="AO705" s="22"/>
      <c r="AP705" s="22"/>
      <c r="AQ705" s="22"/>
      <c r="AR705"/>
      <c r="AS705"/>
      <c r="AT705"/>
      <c r="AU705"/>
      <c r="AV705"/>
      <c r="AW705"/>
      <c r="AX705"/>
      <c r="AY705"/>
    </row>
    <row r="706" spans="36:51">
      <c r="AJ706" s="22"/>
      <c r="AK706" s="22"/>
      <c r="AL706" s="22"/>
      <c r="AM706" s="22"/>
      <c r="AN706" s="22"/>
      <c r="AO706" s="22"/>
      <c r="AP706" s="22"/>
      <c r="AQ706" s="22"/>
      <c r="AR706"/>
      <c r="AS706"/>
      <c r="AT706"/>
      <c r="AU706"/>
      <c r="AV706"/>
      <c r="AW706"/>
      <c r="AX706"/>
      <c r="AY706"/>
    </row>
    <row r="707" spans="36:51">
      <c r="AJ707" s="22"/>
      <c r="AK707" s="22"/>
      <c r="AL707" s="22"/>
      <c r="AM707" s="22"/>
      <c r="AN707" s="22"/>
      <c r="AO707" s="22"/>
      <c r="AP707" s="22"/>
      <c r="AQ707" s="22"/>
      <c r="AR707"/>
      <c r="AS707"/>
      <c r="AT707"/>
      <c r="AU707"/>
      <c r="AV707"/>
      <c r="AW707"/>
      <c r="AX707"/>
      <c r="AY707"/>
    </row>
    <row r="708" spans="36:51">
      <c r="AJ708" s="22"/>
      <c r="AK708" s="22"/>
      <c r="AL708" s="22"/>
      <c r="AM708" s="22"/>
      <c r="AN708" s="22"/>
      <c r="AO708" s="22"/>
      <c r="AP708" s="22"/>
      <c r="AQ708" s="22"/>
      <c r="AR708"/>
      <c r="AS708"/>
      <c r="AT708"/>
      <c r="AU708"/>
      <c r="AV708"/>
      <c r="AW708"/>
      <c r="AX708"/>
      <c r="AY708"/>
    </row>
    <row r="709" spans="36:51">
      <c r="AJ709" s="22"/>
      <c r="AK709" s="22"/>
      <c r="AL709" s="22"/>
      <c r="AM709" s="22"/>
      <c r="AN709" s="22"/>
      <c r="AO709" s="22"/>
      <c r="AP709" s="22"/>
      <c r="AQ709" s="22"/>
      <c r="AR709"/>
      <c r="AS709"/>
      <c r="AT709"/>
      <c r="AU709"/>
      <c r="AV709"/>
      <c r="AW709"/>
      <c r="AX709"/>
      <c r="AY709"/>
    </row>
    <row r="710" spans="36:51">
      <c r="AJ710" s="22"/>
      <c r="AK710" s="22"/>
      <c r="AL710" s="22"/>
      <c r="AM710" s="22"/>
      <c r="AN710" s="22"/>
      <c r="AO710" s="22"/>
      <c r="AP710" s="22"/>
      <c r="AQ710" s="22"/>
      <c r="AR710"/>
      <c r="AS710"/>
      <c r="AT710"/>
      <c r="AU710"/>
      <c r="AV710"/>
      <c r="AW710"/>
      <c r="AX710"/>
      <c r="AY710"/>
    </row>
    <row r="711" spans="36:51">
      <c r="AJ711" s="22"/>
      <c r="AK711" s="22"/>
      <c r="AL711" s="22"/>
      <c r="AM711" s="22"/>
      <c r="AN711" s="22"/>
      <c r="AO711" s="22"/>
      <c r="AP711" s="22"/>
      <c r="AQ711" s="22"/>
      <c r="AR711"/>
      <c r="AS711"/>
      <c r="AT711"/>
      <c r="AU711"/>
      <c r="AV711"/>
      <c r="AW711"/>
      <c r="AX711"/>
      <c r="AY711"/>
    </row>
    <row r="712" spans="36:51">
      <c r="AJ712" s="22"/>
      <c r="AK712" s="22"/>
      <c r="AL712" s="22"/>
      <c r="AM712" s="22"/>
      <c r="AN712" s="22"/>
      <c r="AO712" s="22"/>
      <c r="AP712" s="22"/>
      <c r="AQ712" s="22"/>
      <c r="AR712"/>
      <c r="AS712"/>
      <c r="AT712"/>
      <c r="AU712"/>
      <c r="AV712"/>
      <c r="AW712"/>
      <c r="AX712"/>
      <c r="AY712"/>
    </row>
    <row r="713" spans="36:51">
      <c r="AJ713" s="22"/>
      <c r="AK713" s="22"/>
      <c r="AL713" s="22"/>
      <c r="AM713" s="22"/>
      <c r="AN713" s="22"/>
      <c r="AO713" s="22"/>
      <c r="AP713" s="22"/>
      <c r="AQ713" s="22"/>
      <c r="AR713"/>
      <c r="AS713"/>
      <c r="AT713"/>
      <c r="AU713"/>
      <c r="AV713"/>
      <c r="AW713"/>
      <c r="AX713"/>
      <c r="AY713"/>
    </row>
    <row r="714" spans="36:51">
      <c r="AJ714" s="22"/>
      <c r="AK714" s="22"/>
      <c r="AL714" s="22"/>
      <c r="AM714" s="22"/>
      <c r="AN714" s="22"/>
      <c r="AO714" s="22"/>
      <c r="AP714" s="22"/>
      <c r="AQ714" s="22"/>
      <c r="AR714"/>
      <c r="AS714"/>
      <c r="AT714"/>
      <c r="AU714"/>
      <c r="AV714"/>
      <c r="AW714"/>
      <c r="AX714"/>
      <c r="AY714"/>
    </row>
    <row r="715" spans="36:51">
      <c r="AJ715" s="22"/>
      <c r="AK715" s="22"/>
      <c r="AL715" s="22"/>
      <c r="AM715" s="22"/>
      <c r="AN715" s="22"/>
      <c r="AO715" s="22"/>
      <c r="AP715" s="22"/>
      <c r="AQ715" s="22"/>
      <c r="AR715"/>
      <c r="AS715"/>
      <c r="AT715"/>
      <c r="AU715"/>
      <c r="AV715"/>
      <c r="AW715"/>
      <c r="AX715"/>
      <c r="AY715"/>
    </row>
    <row r="716" spans="36:51">
      <c r="AJ716" s="22"/>
      <c r="AK716" s="22"/>
      <c r="AL716" s="22"/>
      <c r="AM716" s="22"/>
      <c r="AN716" s="22"/>
      <c r="AO716" s="22"/>
      <c r="AP716" s="22"/>
      <c r="AQ716" s="22"/>
      <c r="AR716"/>
      <c r="AS716"/>
      <c r="AT716"/>
      <c r="AU716"/>
      <c r="AV716"/>
      <c r="AW716"/>
      <c r="AX716"/>
      <c r="AY716"/>
    </row>
    <row r="717" spans="36:51">
      <c r="AJ717" s="22"/>
      <c r="AK717" s="22"/>
      <c r="AL717" s="22"/>
      <c r="AM717" s="22"/>
      <c r="AN717" s="22"/>
      <c r="AO717" s="22"/>
      <c r="AP717" s="22"/>
      <c r="AQ717" s="22"/>
      <c r="AR717"/>
      <c r="AS717"/>
      <c r="AT717"/>
      <c r="AU717"/>
      <c r="AV717"/>
      <c r="AW717"/>
      <c r="AX717"/>
      <c r="AY717"/>
    </row>
    <row r="718" spans="36:51">
      <c r="AJ718" s="22"/>
      <c r="AK718" s="22"/>
      <c r="AL718" s="22"/>
      <c r="AM718" s="22"/>
      <c r="AN718" s="22"/>
      <c r="AO718" s="22"/>
      <c r="AP718" s="22"/>
      <c r="AQ718" s="22"/>
      <c r="AR718"/>
      <c r="AS718"/>
      <c r="AT718"/>
      <c r="AU718"/>
      <c r="AV718"/>
      <c r="AW718"/>
      <c r="AX718"/>
      <c r="AY718"/>
    </row>
    <row r="719" spans="36:51">
      <c r="AJ719" s="22"/>
      <c r="AK719" s="22"/>
      <c r="AL719" s="22"/>
      <c r="AM719" s="22"/>
      <c r="AN719" s="22"/>
      <c r="AO719" s="22"/>
      <c r="AP719" s="22"/>
      <c r="AQ719" s="22"/>
      <c r="AR719"/>
      <c r="AS719"/>
      <c r="AT719"/>
      <c r="AU719"/>
      <c r="AV719"/>
      <c r="AW719"/>
      <c r="AX719"/>
      <c r="AY719"/>
    </row>
    <row r="720" spans="36:51">
      <c r="AJ720" s="22"/>
      <c r="AK720" s="22"/>
      <c r="AL720" s="22"/>
      <c r="AM720" s="22"/>
      <c r="AN720" s="22"/>
      <c r="AO720" s="22"/>
      <c r="AP720" s="22"/>
      <c r="AQ720" s="22"/>
      <c r="AR720"/>
      <c r="AS720"/>
      <c r="AT720"/>
      <c r="AU720"/>
      <c r="AV720"/>
      <c r="AW720"/>
      <c r="AX720"/>
      <c r="AY720"/>
    </row>
    <row r="721" spans="36:51">
      <c r="AJ721" s="22"/>
      <c r="AK721" s="22"/>
      <c r="AL721" s="22"/>
      <c r="AM721" s="22"/>
      <c r="AN721" s="22"/>
      <c r="AO721" s="22"/>
      <c r="AP721" s="22"/>
      <c r="AQ721" s="22"/>
      <c r="AR721"/>
      <c r="AS721"/>
      <c r="AT721"/>
      <c r="AU721"/>
      <c r="AV721"/>
      <c r="AW721"/>
      <c r="AX721"/>
      <c r="AY721"/>
    </row>
    <row r="722" spans="36:51">
      <c r="AJ722" s="22"/>
      <c r="AK722" s="22"/>
      <c r="AL722" s="22"/>
      <c r="AM722" s="22"/>
      <c r="AN722" s="22"/>
      <c r="AO722" s="22"/>
      <c r="AP722" s="22"/>
      <c r="AQ722" s="22"/>
      <c r="AR722"/>
      <c r="AS722"/>
      <c r="AT722"/>
      <c r="AU722"/>
      <c r="AV722"/>
      <c r="AW722"/>
      <c r="AX722"/>
      <c r="AY722"/>
    </row>
    <row r="723" spans="36:51">
      <c r="AJ723" s="22"/>
      <c r="AK723" s="22"/>
      <c r="AL723" s="22"/>
      <c r="AM723" s="22"/>
      <c r="AN723" s="22"/>
      <c r="AO723" s="22"/>
      <c r="AP723" s="22"/>
      <c r="AQ723" s="22"/>
      <c r="AR723"/>
      <c r="AS723"/>
      <c r="AT723"/>
      <c r="AU723"/>
      <c r="AV723"/>
      <c r="AW723"/>
      <c r="AX723"/>
      <c r="AY723"/>
    </row>
    <row r="724" spans="36:51">
      <c r="AJ724" s="22"/>
      <c r="AK724" s="22"/>
      <c r="AL724" s="22"/>
      <c r="AM724" s="22"/>
      <c r="AN724" s="22"/>
      <c r="AO724" s="22"/>
      <c r="AP724" s="22"/>
      <c r="AQ724" s="22"/>
      <c r="AR724"/>
      <c r="AS724"/>
      <c r="AT724"/>
      <c r="AU724"/>
      <c r="AV724"/>
      <c r="AW724"/>
      <c r="AX724"/>
      <c r="AY724"/>
    </row>
    <row r="725" spans="36:51">
      <c r="AJ725" s="22"/>
      <c r="AK725" s="22"/>
      <c r="AL725" s="22"/>
      <c r="AM725" s="22"/>
      <c r="AN725" s="22"/>
      <c r="AO725" s="22"/>
      <c r="AP725" s="22"/>
      <c r="AQ725" s="22"/>
      <c r="AR725"/>
      <c r="AS725"/>
      <c r="AT725"/>
      <c r="AU725"/>
      <c r="AV725"/>
      <c r="AW725"/>
      <c r="AX725"/>
      <c r="AY725"/>
    </row>
    <row r="726" spans="36:51">
      <c r="AJ726" s="22"/>
      <c r="AK726" s="22"/>
      <c r="AL726" s="22"/>
      <c r="AM726" s="22"/>
      <c r="AN726" s="22"/>
      <c r="AO726" s="22"/>
      <c r="AP726" s="22"/>
      <c r="AQ726" s="22"/>
      <c r="AR726"/>
      <c r="AS726"/>
      <c r="AT726"/>
      <c r="AU726"/>
      <c r="AV726"/>
      <c r="AW726"/>
      <c r="AX726"/>
      <c r="AY726"/>
    </row>
    <row r="727" spans="36:51">
      <c r="AJ727" s="22"/>
      <c r="AK727" s="22"/>
      <c r="AL727" s="22"/>
      <c r="AM727" s="22"/>
      <c r="AN727" s="22"/>
      <c r="AO727" s="22"/>
      <c r="AP727" s="22"/>
      <c r="AQ727" s="22"/>
      <c r="AR727"/>
      <c r="AS727"/>
      <c r="AT727"/>
      <c r="AU727"/>
      <c r="AV727"/>
      <c r="AW727"/>
      <c r="AX727"/>
      <c r="AY727"/>
    </row>
    <row r="728" spans="36:51">
      <c r="AJ728" s="22"/>
      <c r="AK728" s="22"/>
      <c r="AL728" s="22"/>
      <c r="AM728" s="22"/>
      <c r="AN728" s="22"/>
      <c r="AO728" s="22"/>
      <c r="AP728" s="22"/>
      <c r="AQ728" s="22"/>
      <c r="AR728"/>
      <c r="AS728"/>
      <c r="AT728"/>
      <c r="AU728"/>
      <c r="AV728"/>
      <c r="AW728"/>
      <c r="AX728"/>
      <c r="AY728"/>
    </row>
    <row r="729" spans="36:51">
      <c r="AJ729" s="22"/>
      <c r="AK729" s="22"/>
      <c r="AL729" s="22"/>
      <c r="AM729" s="22"/>
      <c r="AN729" s="22"/>
      <c r="AO729" s="22"/>
      <c r="AP729" s="22"/>
      <c r="AQ729" s="22"/>
      <c r="AR729"/>
      <c r="AS729"/>
      <c r="AT729"/>
      <c r="AU729"/>
      <c r="AV729"/>
      <c r="AW729"/>
      <c r="AX729"/>
      <c r="AY729"/>
    </row>
    <row r="730" spans="36:51">
      <c r="AJ730" s="22"/>
      <c r="AK730" s="22"/>
      <c r="AL730" s="22"/>
      <c r="AM730" s="22"/>
      <c r="AN730" s="22"/>
      <c r="AO730" s="22"/>
      <c r="AP730" s="22"/>
      <c r="AQ730" s="22"/>
      <c r="AR730"/>
      <c r="AS730"/>
      <c r="AT730"/>
      <c r="AU730"/>
      <c r="AV730"/>
      <c r="AW730"/>
      <c r="AX730"/>
      <c r="AY730"/>
    </row>
    <row r="731" spans="36:51">
      <c r="AJ731" s="22"/>
      <c r="AK731" s="22"/>
      <c r="AL731" s="22"/>
      <c r="AM731" s="22"/>
      <c r="AN731" s="22"/>
      <c r="AO731" s="22"/>
      <c r="AP731" s="22"/>
      <c r="AQ731" s="22"/>
      <c r="AR731"/>
      <c r="AS731"/>
      <c r="AT731"/>
      <c r="AU731"/>
      <c r="AV731"/>
      <c r="AW731"/>
      <c r="AX731"/>
      <c r="AY731"/>
    </row>
    <row r="732" spans="36:51">
      <c r="AJ732" s="22"/>
      <c r="AK732" s="22"/>
      <c r="AL732" s="22"/>
      <c r="AM732" s="22"/>
      <c r="AN732" s="22"/>
      <c r="AO732" s="22"/>
      <c r="AP732" s="22"/>
      <c r="AQ732" s="22"/>
      <c r="AR732"/>
      <c r="AS732"/>
      <c r="AT732"/>
      <c r="AU732"/>
      <c r="AV732"/>
      <c r="AW732"/>
      <c r="AX732"/>
      <c r="AY732"/>
    </row>
    <row r="733" spans="36:51">
      <c r="AJ733" s="22"/>
      <c r="AK733" s="22"/>
      <c r="AL733" s="22"/>
      <c r="AM733" s="22"/>
      <c r="AN733" s="22"/>
      <c r="AO733" s="22"/>
      <c r="AP733" s="22"/>
      <c r="AQ733" s="22"/>
      <c r="AR733"/>
      <c r="AS733"/>
      <c r="AT733"/>
      <c r="AU733"/>
      <c r="AV733"/>
      <c r="AW733"/>
      <c r="AX733"/>
      <c r="AY733"/>
    </row>
    <row r="734" spans="36:51">
      <c r="AJ734" s="22"/>
      <c r="AK734" s="22"/>
      <c r="AL734" s="22"/>
      <c r="AM734" s="22"/>
      <c r="AN734" s="22"/>
      <c r="AO734" s="22"/>
      <c r="AP734" s="22"/>
      <c r="AQ734" s="22"/>
      <c r="AR734"/>
      <c r="AS734"/>
      <c r="AT734"/>
      <c r="AU734"/>
      <c r="AV734"/>
      <c r="AW734"/>
      <c r="AX734"/>
      <c r="AY734"/>
    </row>
    <row r="735" spans="36:51">
      <c r="AJ735" s="22"/>
      <c r="AK735" s="22"/>
      <c r="AL735" s="22"/>
      <c r="AM735" s="22"/>
      <c r="AN735" s="22"/>
      <c r="AO735" s="22"/>
      <c r="AP735" s="22"/>
      <c r="AQ735" s="22"/>
      <c r="AR735"/>
      <c r="AS735"/>
      <c r="AT735"/>
      <c r="AU735"/>
      <c r="AV735"/>
      <c r="AW735"/>
      <c r="AX735"/>
      <c r="AY735"/>
    </row>
    <row r="736" spans="36:51">
      <c r="AJ736" s="22"/>
      <c r="AK736" s="22"/>
      <c r="AL736" s="22"/>
      <c r="AM736" s="22"/>
      <c r="AN736" s="22"/>
      <c r="AO736" s="22"/>
      <c r="AP736" s="22"/>
      <c r="AQ736" s="22"/>
      <c r="AR736"/>
      <c r="AS736"/>
      <c r="AT736"/>
      <c r="AU736"/>
      <c r="AV736"/>
      <c r="AW736"/>
      <c r="AX736"/>
      <c r="AY736"/>
    </row>
    <row r="737" spans="36:51">
      <c r="AJ737" s="22"/>
      <c r="AK737" s="22"/>
      <c r="AL737" s="22"/>
      <c r="AM737" s="22"/>
      <c r="AN737" s="22"/>
      <c r="AO737" s="22"/>
      <c r="AP737" s="22"/>
      <c r="AQ737" s="22"/>
      <c r="AR737"/>
      <c r="AS737"/>
      <c r="AT737"/>
      <c r="AU737"/>
      <c r="AV737"/>
      <c r="AW737"/>
      <c r="AX737"/>
      <c r="AY737"/>
    </row>
    <row r="738" spans="36:51">
      <c r="AJ738" s="22"/>
      <c r="AK738" s="22"/>
      <c r="AL738" s="22"/>
      <c r="AM738" s="22"/>
      <c r="AN738" s="22"/>
      <c r="AO738" s="22"/>
      <c r="AP738" s="22"/>
      <c r="AQ738" s="22"/>
      <c r="AR738"/>
      <c r="AS738"/>
      <c r="AT738"/>
      <c r="AU738"/>
      <c r="AV738"/>
      <c r="AW738"/>
      <c r="AX738"/>
      <c r="AY738"/>
    </row>
    <row r="739" spans="36:51">
      <c r="AJ739" s="22"/>
      <c r="AK739" s="22"/>
      <c r="AL739" s="22"/>
      <c r="AM739" s="22"/>
      <c r="AN739" s="22"/>
      <c r="AO739" s="22"/>
      <c r="AP739" s="22"/>
      <c r="AQ739" s="22"/>
      <c r="AR739"/>
      <c r="AS739"/>
      <c r="AT739"/>
      <c r="AU739"/>
      <c r="AV739"/>
      <c r="AW739"/>
      <c r="AX739"/>
      <c r="AY739"/>
    </row>
    <row r="740" spans="36:51">
      <c r="AJ740" s="22"/>
      <c r="AK740" s="22"/>
      <c r="AL740" s="22"/>
      <c r="AM740" s="22"/>
      <c r="AN740" s="22"/>
      <c r="AO740" s="22"/>
      <c r="AP740" s="22"/>
      <c r="AQ740" s="22"/>
      <c r="AR740"/>
      <c r="AS740"/>
      <c r="AT740"/>
      <c r="AU740"/>
      <c r="AV740"/>
      <c r="AW740"/>
      <c r="AX740"/>
      <c r="AY740"/>
    </row>
    <row r="741" spans="36:51">
      <c r="AJ741" s="22"/>
      <c r="AK741" s="22"/>
      <c r="AL741" s="22"/>
      <c r="AM741" s="22"/>
      <c r="AN741" s="22"/>
      <c r="AO741" s="22"/>
      <c r="AP741" s="22"/>
      <c r="AQ741" s="22"/>
      <c r="AR741"/>
      <c r="AS741"/>
      <c r="AT741"/>
      <c r="AU741"/>
      <c r="AV741"/>
      <c r="AW741"/>
      <c r="AX741"/>
      <c r="AY741"/>
    </row>
    <row r="742" spans="36:51">
      <c r="AJ742" s="22"/>
      <c r="AK742" s="22"/>
      <c r="AL742" s="22"/>
      <c r="AM742" s="22"/>
      <c r="AN742" s="22"/>
      <c r="AO742" s="22"/>
      <c r="AP742" s="22"/>
      <c r="AQ742" s="22"/>
      <c r="AR742"/>
      <c r="AS742"/>
      <c r="AT742"/>
      <c r="AU742"/>
      <c r="AV742"/>
      <c r="AW742"/>
      <c r="AX742"/>
      <c r="AY742"/>
    </row>
    <row r="743" spans="36:51">
      <c r="AJ743" s="22"/>
      <c r="AK743" s="22"/>
      <c r="AL743" s="22"/>
      <c r="AM743" s="22"/>
      <c r="AN743" s="22"/>
      <c r="AO743" s="22"/>
      <c r="AP743" s="22"/>
      <c r="AQ743" s="22"/>
      <c r="AR743"/>
      <c r="AS743"/>
      <c r="AT743"/>
      <c r="AU743"/>
      <c r="AV743"/>
      <c r="AW743"/>
      <c r="AX743"/>
      <c r="AY743"/>
    </row>
    <row r="744" spans="36:51">
      <c r="AJ744" s="22"/>
      <c r="AK744" s="22"/>
      <c r="AL744" s="22"/>
      <c r="AM744" s="22"/>
      <c r="AN744" s="22"/>
      <c r="AO744" s="22"/>
      <c r="AP744" s="22"/>
      <c r="AQ744" s="22"/>
      <c r="AR744"/>
      <c r="AS744"/>
      <c r="AT744"/>
      <c r="AU744"/>
      <c r="AV744"/>
      <c r="AW744"/>
      <c r="AX744"/>
      <c r="AY744"/>
    </row>
    <row r="745" spans="36:51">
      <c r="AJ745" s="22"/>
      <c r="AK745" s="22"/>
      <c r="AL745" s="22"/>
      <c r="AM745" s="22"/>
      <c r="AN745" s="22"/>
      <c r="AO745" s="22"/>
      <c r="AP745" s="22"/>
      <c r="AQ745" s="22"/>
      <c r="AR745"/>
      <c r="AS745"/>
      <c r="AT745"/>
      <c r="AU745"/>
      <c r="AV745"/>
      <c r="AW745"/>
      <c r="AX745"/>
      <c r="AY745"/>
    </row>
    <row r="746" spans="36:51">
      <c r="AJ746" s="22"/>
      <c r="AK746" s="22"/>
      <c r="AL746" s="22"/>
      <c r="AM746" s="22"/>
      <c r="AN746" s="22"/>
      <c r="AO746" s="22"/>
      <c r="AP746" s="22"/>
      <c r="AQ746" s="22"/>
      <c r="AR746"/>
      <c r="AS746"/>
      <c r="AT746"/>
      <c r="AU746"/>
      <c r="AV746"/>
      <c r="AW746"/>
      <c r="AX746"/>
      <c r="AY746"/>
    </row>
    <row r="747" spans="36:51">
      <c r="AJ747" s="22"/>
      <c r="AK747" s="22"/>
      <c r="AL747" s="22"/>
      <c r="AM747" s="22"/>
      <c r="AN747" s="22"/>
      <c r="AO747" s="22"/>
      <c r="AP747" s="22"/>
      <c r="AQ747" s="22"/>
      <c r="AR747"/>
      <c r="AS747"/>
      <c r="AT747"/>
      <c r="AU747"/>
      <c r="AV747"/>
      <c r="AW747"/>
      <c r="AX747"/>
      <c r="AY747"/>
    </row>
    <row r="748" spans="36:51">
      <c r="AJ748" s="22"/>
      <c r="AK748" s="22"/>
      <c r="AL748" s="22"/>
      <c r="AM748" s="22"/>
      <c r="AN748" s="22"/>
      <c r="AO748" s="22"/>
      <c r="AP748" s="22"/>
      <c r="AQ748" s="22"/>
      <c r="AR748"/>
      <c r="AS748"/>
      <c r="AT748"/>
      <c r="AU748"/>
      <c r="AV748"/>
      <c r="AW748"/>
      <c r="AX748"/>
      <c r="AY748"/>
    </row>
    <row r="749" spans="36:51">
      <c r="AJ749" s="22"/>
      <c r="AK749" s="22"/>
      <c r="AL749" s="22"/>
      <c r="AM749" s="22"/>
      <c r="AN749" s="22"/>
      <c r="AO749" s="22"/>
      <c r="AP749" s="22"/>
      <c r="AQ749" s="22"/>
      <c r="AR749"/>
      <c r="AS749"/>
      <c r="AT749"/>
      <c r="AU749"/>
      <c r="AV749"/>
      <c r="AW749"/>
      <c r="AX749"/>
      <c r="AY749"/>
    </row>
    <row r="750" spans="36:51">
      <c r="AJ750" s="22"/>
      <c r="AK750" s="22"/>
      <c r="AL750" s="22"/>
      <c r="AM750" s="22"/>
      <c r="AN750" s="22"/>
      <c r="AO750" s="22"/>
      <c r="AP750" s="22"/>
      <c r="AQ750" s="22"/>
      <c r="AR750"/>
      <c r="AS750"/>
      <c r="AT750"/>
      <c r="AU750"/>
      <c r="AV750"/>
      <c r="AW750"/>
      <c r="AX750"/>
      <c r="AY750"/>
    </row>
    <row r="751" spans="36:51">
      <c r="AJ751" s="22"/>
      <c r="AK751" s="22"/>
      <c r="AL751" s="22"/>
      <c r="AM751" s="22"/>
      <c r="AN751" s="22"/>
      <c r="AO751" s="22"/>
      <c r="AP751" s="22"/>
      <c r="AQ751" s="22"/>
      <c r="AR751"/>
      <c r="AS751"/>
      <c r="AT751"/>
      <c r="AU751"/>
      <c r="AV751"/>
      <c r="AW751"/>
      <c r="AX751"/>
      <c r="AY751"/>
    </row>
    <row r="752" spans="36:51">
      <c r="AJ752" s="22"/>
      <c r="AK752" s="22"/>
      <c r="AL752" s="22"/>
      <c r="AM752" s="22"/>
      <c r="AN752" s="22"/>
      <c r="AO752" s="22"/>
      <c r="AP752" s="22"/>
      <c r="AQ752" s="22"/>
      <c r="AR752"/>
      <c r="AS752"/>
      <c r="AT752"/>
      <c r="AU752"/>
      <c r="AV752"/>
      <c r="AW752"/>
      <c r="AX752"/>
      <c r="AY752"/>
    </row>
    <row r="753" spans="36:51">
      <c r="AJ753" s="22"/>
      <c r="AK753" s="22"/>
      <c r="AL753" s="22"/>
      <c r="AM753" s="22"/>
      <c r="AN753" s="22"/>
      <c r="AO753" s="22"/>
      <c r="AP753" s="22"/>
      <c r="AQ753" s="22"/>
      <c r="AR753"/>
      <c r="AS753"/>
      <c r="AT753"/>
      <c r="AU753"/>
      <c r="AV753"/>
      <c r="AW753"/>
      <c r="AX753"/>
      <c r="AY753"/>
    </row>
    <row r="754" spans="36:51">
      <c r="AJ754" s="22"/>
      <c r="AK754" s="22"/>
      <c r="AL754" s="22"/>
      <c r="AM754" s="22"/>
      <c r="AN754" s="22"/>
      <c r="AO754" s="22"/>
      <c r="AP754" s="22"/>
      <c r="AQ754" s="22"/>
      <c r="AR754"/>
      <c r="AS754"/>
      <c r="AT754"/>
      <c r="AU754"/>
      <c r="AV754"/>
      <c r="AW754"/>
      <c r="AX754"/>
      <c r="AY754"/>
    </row>
    <row r="755" spans="36:51">
      <c r="AJ755" s="22"/>
      <c r="AK755" s="22"/>
      <c r="AL755" s="22"/>
      <c r="AM755" s="22"/>
      <c r="AN755" s="22"/>
      <c r="AO755" s="22"/>
      <c r="AP755" s="22"/>
      <c r="AQ755" s="22"/>
      <c r="AR755"/>
      <c r="AS755"/>
      <c r="AT755"/>
      <c r="AU755"/>
      <c r="AV755"/>
      <c r="AW755"/>
      <c r="AX755"/>
      <c r="AY755"/>
    </row>
    <row r="756" spans="36:51">
      <c r="AJ756" s="22"/>
      <c r="AK756" s="22"/>
      <c r="AL756" s="22"/>
      <c r="AM756" s="22"/>
      <c r="AN756" s="22"/>
      <c r="AO756" s="22"/>
      <c r="AP756" s="22"/>
      <c r="AQ756" s="22"/>
      <c r="AR756"/>
      <c r="AS756"/>
      <c r="AT756"/>
      <c r="AU756"/>
      <c r="AV756"/>
      <c r="AW756"/>
      <c r="AX756"/>
      <c r="AY756"/>
    </row>
    <row r="757" spans="36:51">
      <c r="AJ757" s="22"/>
      <c r="AK757" s="22"/>
      <c r="AL757" s="22"/>
      <c r="AM757" s="22"/>
      <c r="AN757" s="22"/>
      <c r="AO757" s="22"/>
      <c r="AP757" s="22"/>
      <c r="AQ757" s="22"/>
      <c r="AR757"/>
      <c r="AS757"/>
      <c r="AT757"/>
      <c r="AU757"/>
      <c r="AV757"/>
      <c r="AW757"/>
      <c r="AX757"/>
      <c r="AY757"/>
    </row>
    <row r="758" spans="36:51">
      <c r="AJ758" s="22"/>
      <c r="AK758" s="22"/>
      <c r="AL758" s="22"/>
      <c r="AM758" s="22"/>
      <c r="AN758" s="22"/>
      <c r="AO758" s="22"/>
      <c r="AP758" s="22"/>
      <c r="AQ758" s="22"/>
      <c r="AR758"/>
      <c r="AS758"/>
      <c r="AT758"/>
      <c r="AU758"/>
      <c r="AV758"/>
      <c r="AW758"/>
      <c r="AX758"/>
      <c r="AY758"/>
    </row>
    <row r="759" spans="36:51">
      <c r="AJ759" s="22"/>
      <c r="AK759" s="22"/>
      <c r="AL759" s="22"/>
      <c r="AM759" s="22"/>
      <c r="AN759" s="22"/>
      <c r="AO759" s="22"/>
      <c r="AP759" s="22"/>
      <c r="AQ759" s="22"/>
      <c r="AR759"/>
      <c r="AS759"/>
      <c r="AT759"/>
      <c r="AU759"/>
      <c r="AV759"/>
      <c r="AW759"/>
      <c r="AX759"/>
      <c r="AY759"/>
    </row>
    <row r="760" spans="36:51">
      <c r="AJ760" s="22"/>
      <c r="AK760" s="22"/>
      <c r="AL760" s="22"/>
      <c r="AM760" s="22"/>
      <c r="AN760" s="22"/>
      <c r="AO760" s="22"/>
      <c r="AP760" s="22"/>
      <c r="AQ760" s="22"/>
      <c r="AR760"/>
      <c r="AS760"/>
      <c r="AT760"/>
      <c r="AU760"/>
      <c r="AV760"/>
      <c r="AW760"/>
      <c r="AX760"/>
      <c r="AY760"/>
    </row>
    <row r="761" spans="36:51">
      <c r="AJ761" s="22"/>
      <c r="AK761" s="22"/>
      <c r="AL761" s="22"/>
      <c r="AM761" s="22"/>
      <c r="AN761" s="22"/>
      <c r="AO761" s="22"/>
      <c r="AP761" s="22"/>
      <c r="AQ761" s="22"/>
      <c r="AR761"/>
      <c r="AS761"/>
      <c r="AT761"/>
      <c r="AU761"/>
      <c r="AV761"/>
      <c r="AW761"/>
      <c r="AX761"/>
      <c r="AY761"/>
    </row>
    <row r="762" spans="36:51">
      <c r="AJ762" s="22"/>
      <c r="AK762" s="22"/>
      <c r="AL762" s="22"/>
      <c r="AM762" s="22"/>
      <c r="AN762" s="22"/>
      <c r="AO762" s="22"/>
      <c r="AP762" s="22"/>
      <c r="AQ762" s="22"/>
      <c r="AR762"/>
      <c r="AS762"/>
      <c r="AT762"/>
      <c r="AU762"/>
      <c r="AV762"/>
      <c r="AW762"/>
      <c r="AX762"/>
      <c r="AY762"/>
    </row>
    <row r="763" spans="36:51">
      <c r="AJ763" s="22"/>
      <c r="AK763" s="22"/>
      <c r="AL763" s="22"/>
      <c r="AM763" s="22"/>
      <c r="AN763" s="22"/>
      <c r="AO763" s="22"/>
      <c r="AP763" s="22"/>
      <c r="AQ763" s="22"/>
      <c r="AR763"/>
      <c r="AS763"/>
      <c r="AT763"/>
      <c r="AU763"/>
      <c r="AV763"/>
      <c r="AW763"/>
      <c r="AX763"/>
      <c r="AY763"/>
    </row>
    <row r="764" spans="36:51">
      <c r="AJ764" s="22"/>
      <c r="AK764" s="22"/>
      <c r="AL764" s="22"/>
      <c r="AM764" s="22"/>
      <c r="AN764" s="22"/>
      <c r="AO764" s="22"/>
      <c r="AP764" s="22"/>
      <c r="AQ764" s="22"/>
      <c r="AR764"/>
      <c r="AS764"/>
      <c r="AT764"/>
      <c r="AU764"/>
      <c r="AV764"/>
      <c r="AW764"/>
      <c r="AX764"/>
      <c r="AY764"/>
    </row>
    <row r="765" spans="36:51">
      <c r="AJ765" s="22"/>
      <c r="AK765" s="22"/>
      <c r="AL765" s="22"/>
      <c r="AM765" s="22"/>
      <c r="AN765" s="22"/>
      <c r="AO765" s="22"/>
      <c r="AP765" s="22"/>
      <c r="AQ765" s="22"/>
      <c r="AR765"/>
      <c r="AS765"/>
      <c r="AT765"/>
      <c r="AU765"/>
      <c r="AV765"/>
      <c r="AW765"/>
      <c r="AX765"/>
      <c r="AY765"/>
    </row>
    <row r="766" spans="36:51">
      <c r="AJ766" s="22"/>
      <c r="AK766" s="22"/>
      <c r="AL766" s="22"/>
      <c r="AM766" s="22"/>
      <c r="AN766" s="22"/>
      <c r="AO766" s="22"/>
      <c r="AP766" s="22"/>
      <c r="AQ766" s="22"/>
      <c r="AR766"/>
      <c r="AS766"/>
      <c r="AT766"/>
      <c r="AU766"/>
      <c r="AV766"/>
      <c r="AW766"/>
      <c r="AX766"/>
      <c r="AY766"/>
    </row>
    <row r="767" spans="36:51">
      <c r="AJ767" s="22"/>
      <c r="AK767" s="22"/>
      <c r="AL767" s="22"/>
      <c r="AM767" s="22"/>
      <c r="AN767" s="22"/>
      <c r="AO767" s="22"/>
      <c r="AP767" s="22"/>
      <c r="AQ767" s="22"/>
      <c r="AR767"/>
      <c r="AS767"/>
      <c r="AT767"/>
      <c r="AU767"/>
      <c r="AV767"/>
      <c r="AW767"/>
      <c r="AX767"/>
      <c r="AY767"/>
    </row>
    <row r="768" spans="36:51">
      <c r="AJ768" s="22"/>
      <c r="AK768" s="22"/>
      <c r="AL768" s="22"/>
      <c r="AM768" s="22"/>
      <c r="AN768" s="22"/>
      <c r="AO768" s="22"/>
      <c r="AP768" s="22"/>
      <c r="AQ768" s="22"/>
      <c r="AR768"/>
      <c r="AS768"/>
      <c r="AT768"/>
      <c r="AU768"/>
      <c r="AV768"/>
      <c r="AW768"/>
      <c r="AX768"/>
      <c r="AY768"/>
    </row>
    <row r="769" spans="36:51">
      <c r="AJ769" s="22"/>
      <c r="AK769" s="22"/>
      <c r="AL769" s="22"/>
      <c r="AM769" s="22"/>
      <c r="AN769" s="22"/>
      <c r="AO769" s="22"/>
      <c r="AP769" s="22"/>
      <c r="AQ769" s="22"/>
      <c r="AR769"/>
      <c r="AS769"/>
      <c r="AT769"/>
      <c r="AU769"/>
      <c r="AV769"/>
      <c r="AW769"/>
      <c r="AX769"/>
      <c r="AY769"/>
    </row>
    <row r="770" spans="36:51">
      <c r="AJ770" s="22"/>
      <c r="AK770" s="22"/>
      <c r="AL770" s="22"/>
      <c r="AM770" s="22"/>
      <c r="AN770" s="22"/>
      <c r="AO770" s="22"/>
      <c r="AP770" s="22"/>
      <c r="AQ770" s="22"/>
      <c r="AR770"/>
      <c r="AS770"/>
      <c r="AT770"/>
      <c r="AU770"/>
      <c r="AV770"/>
      <c r="AW770"/>
      <c r="AX770"/>
      <c r="AY770"/>
    </row>
    <row r="771" spans="36:51">
      <c r="AJ771" s="22"/>
      <c r="AK771" s="22"/>
      <c r="AL771" s="22"/>
      <c r="AM771" s="22"/>
      <c r="AN771" s="22"/>
      <c r="AO771" s="22"/>
      <c r="AP771" s="22"/>
      <c r="AQ771" s="22"/>
      <c r="AR771"/>
      <c r="AS771"/>
      <c r="AT771"/>
      <c r="AU771"/>
      <c r="AV771"/>
      <c r="AW771"/>
      <c r="AX771"/>
      <c r="AY771"/>
    </row>
    <row r="772" spans="36:51">
      <c r="AJ772" s="22"/>
      <c r="AK772" s="22"/>
      <c r="AL772" s="22"/>
      <c r="AM772" s="22"/>
      <c r="AN772" s="22"/>
      <c r="AO772" s="22"/>
      <c r="AP772" s="22"/>
      <c r="AQ772" s="22"/>
      <c r="AR772"/>
      <c r="AS772"/>
      <c r="AT772"/>
      <c r="AU772"/>
      <c r="AV772"/>
      <c r="AW772"/>
      <c r="AX772"/>
      <c r="AY772"/>
    </row>
    <row r="773" spans="36:51">
      <c r="AJ773" s="22"/>
      <c r="AK773" s="22"/>
      <c r="AL773" s="22"/>
      <c r="AM773" s="22"/>
      <c r="AN773" s="22"/>
      <c r="AO773" s="22"/>
      <c r="AP773" s="22"/>
      <c r="AQ773" s="22"/>
      <c r="AR773"/>
      <c r="AS773"/>
      <c r="AT773"/>
      <c r="AU773"/>
      <c r="AV773"/>
      <c r="AW773"/>
      <c r="AX773"/>
      <c r="AY773"/>
    </row>
    <row r="774" spans="36:51">
      <c r="AJ774" s="22"/>
      <c r="AK774" s="22"/>
      <c r="AL774" s="22"/>
      <c r="AM774" s="22"/>
      <c r="AN774" s="22"/>
      <c r="AO774" s="22"/>
      <c r="AP774" s="22"/>
      <c r="AQ774" s="22"/>
      <c r="AR774"/>
      <c r="AS774"/>
      <c r="AT774"/>
      <c r="AU774"/>
      <c r="AV774"/>
      <c r="AW774"/>
      <c r="AX774"/>
      <c r="AY774"/>
    </row>
    <row r="775" spans="36:51">
      <c r="AJ775" s="22"/>
      <c r="AK775" s="22"/>
      <c r="AL775" s="22"/>
      <c r="AM775" s="22"/>
      <c r="AN775" s="22"/>
      <c r="AO775" s="22"/>
      <c r="AP775" s="22"/>
      <c r="AQ775" s="22"/>
      <c r="AR775"/>
      <c r="AS775"/>
      <c r="AT775"/>
      <c r="AU775"/>
      <c r="AV775"/>
      <c r="AW775"/>
      <c r="AX775"/>
      <c r="AY775"/>
    </row>
    <row r="776" spans="36:51">
      <c r="AJ776" s="22"/>
      <c r="AK776" s="22"/>
      <c r="AL776" s="22"/>
      <c r="AM776" s="22"/>
      <c r="AN776" s="22"/>
      <c r="AO776" s="22"/>
      <c r="AP776" s="22"/>
      <c r="AQ776" s="22"/>
      <c r="AR776"/>
      <c r="AS776"/>
      <c r="AT776"/>
      <c r="AU776"/>
      <c r="AV776"/>
      <c r="AW776"/>
      <c r="AX776"/>
      <c r="AY776"/>
    </row>
    <row r="777" spans="36:51">
      <c r="AJ777" s="22"/>
      <c r="AK777" s="22"/>
      <c r="AL777" s="22"/>
      <c r="AM777" s="22"/>
      <c r="AN777" s="22"/>
      <c r="AO777" s="22"/>
      <c r="AP777" s="22"/>
      <c r="AQ777" s="22"/>
      <c r="AR777"/>
      <c r="AS777"/>
      <c r="AT777"/>
      <c r="AU777"/>
      <c r="AV777"/>
      <c r="AW777"/>
      <c r="AX777"/>
      <c r="AY777"/>
    </row>
    <row r="778" spans="36:51">
      <c r="AJ778" s="22"/>
      <c r="AK778" s="22"/>
      <c r="AL778" s="22"/>
      <c r="AM778" s="22"/>
      <c r="AN778" s="22"/>
      <c r="AO778" s="22"/>
      <c r="AP778" s="22"/>
      <c r="AQ778" s="22"/>
      <c r="AR778"/>
      <c r="AS778"/>
      <c r="AT778"/>
      <c r="AU778"/>
      <c r="AV778"/>
      <c r="AW778"/>
      <c r="AX778"/>
      <c r="AY778"/>
    </row>
    <row r="779" spans="36:51">
      <c r="AJ779" s="22"/>
      <c r="AK779" s="22"/>
      <c r="AL779" s="22"/>
      <c r="AM779" s="22"/>
      <c r="AN779" s="22"/>
      <c r="AO779" s="22"/>
      <c r="AP779" s="22"/>
      <c r="AQ779" s="22"/>
      <c r="AR779"/>
      <c r="AS779"/>
      <c r="AT779"/>
      <c r="AU779"/>
      <c r="AV779"/>
      <c r="AW779"/>
      <c r="AX779"/>
      <c r="AY779"/>
    </row>
    <row r="780" spans="36:51">
      <c r="AJ780" s="22"/>
      <c r="AK780" s="22"/>
      <c r="AL780" s="22"/>
      <c r="AM780" s="22"/>
      <c r="AN780" s="22"/>
      <c r="AO780" s="22"/>
      <c r="AP780" s="22"/>
      <c r="AQ780" s="22"/>
      <c r="AR780"/>
      <c r="AS780"/>
      <c r="AT780"/>
      <c r="AU780"/>
      <c r="AV780"/>
      <c r="AW780"/>
      <c r="AX780"/>
      <c r="AY780"/>
    </row>
    <row r="781" spans="36:51">
      <c r="AJ781" s="22"/>
      <c r="AK781" s="22"/>
      <c r="AL781" s="22"/>
      <c r="AM781" s="22"/>
      <c r="AN781" s="22"/>
      <c r="AO781" s="22"/>
      <c r="AP781" s="22"/>
      <c r="AQ781" s="22"/>
      <c r="AR781"/>
      <c r="AS781"/>
      <c r="AT781"/>
      <c r="AU781"/>
      <c r="AV781"/>
      <c r="AW781"/>
      <c r="AX781"/>
      <c r="AY781"/>
    </row>
    <row r="782" spans="36:51">
      <c r="AJ782" s="22"/>
      <c r="AK782" s="22"/>
      <c r="AL782" s="22"/>
      <c r="AM782" s="22"/>
      <c r="AN782" s="22"/>
      <c r="AO782" s="22"/>
      <c r="AP782" s="22"/>
      <c r="AQ782" s="22"/>
      <c r="AR782"/>
      <c r="AS782"/>
      <c r="AT782"/>
      <c r="AU782"/>
      <c r="AV782"/>
      <c r="AW782"/>
      <c r="AX782"/>
      <c r="AY782"/>
    </row>
    <row r="783" spans="36:51">
      <c r="AJ783" s="22"/>
      <c r="AK783" s="22"/>
      <c r="AL783" s="22"/>
      <c r="AM783" s="22"/>
      <c r="AN783" s="22"/>
      <c r="AO783" s="22"/>
      <c r="AP783" s="22"/>
      <c r="AQ783" s="22"/>
      <c r="AR783"/>
      <c r="AS783"/>
      <c r="AT783"/>
      <c r="AU783"/>
      <c r="AV783"/>
      <c r="AW783"/>
      <c r="AX783"/>
      <c r="AY783"/>
    </row>
    <row r="784" spans="36:51">
      <c r="AJ784" s="22"/>
      <c r="AK784" s="22"/>
      <c r="AL784" s="22"/>
      <c r="AM784" s="22"/>
      <c r="AN784" s="22"/>
      <c r="AO784" s="22"/>
      <c r="AP784" s="22"/>
      <c r="AQ784" s="22"/>
      <c r="AR784"/>
      <c r="AS784"/>
      <c r="AT784"/>
      <c r="AU784"/>
      <c r="AV784"/>
      <c r="AW784"/>
      <c r="AX784"/>
      <c r="AY784"/>
    </row>
    <row r="785" spans="36:51">
      <c r="AJ785" s="22"/>
      <c r="AK785" s="22"/>
      <c r="AL785" s="22"/>
      <c r="AM785" s="22"/>
      <c r="AN785" s="22"/>
      <c r="AO785" s="22"/>
      <c r="AP785" s="22"/>
      <c r="AQ785" s="22"/>
      <c r="AR785"/>
      <c r="AS785"/>
      <c r="AT785"/>
      <c r="AU785"/>
      <c r="AV785"/>
      <c r="AW785"/>
      <c r="AX785"/>
      <c r="AY785"/>
    </row>
    <row r="786" spans="36:51">
      <c r="AJ786" s="22"/>
      <c r="AK786" s="22"/>
      <c r="AL786" s="22"/>
      <c r="AM786" s="22"/>
      <c r="AN786" s="22"/>
      <c r="AO786" s="22"/>
      <c r="AP786" s="22"/>
      <c r="AQ786" s="22"/>
      <c r="AR786"/>
      <c r="AS786"/>
      <c r="AT786"/>
      <c r="AU786"/>
      <c r="AV786"/>
      <c r="AW786"/>
      <c r="AX786"/>
      <c r="AY786"/>
    </row>
    <row r="787" spans="36:51">
      <c r="AJ787" s="22"/>
      <c r="AK787" s="22"/>
      <c r="AL787" s="22"/>
      <c r="AM787" s="22"/>
      <c r="AN787" s="22"/>
      <c r="AO787" s="22"/>
      <c r="AP787" s="22"/>
      <c r="AQ787" s="22"/>
      <c r="AR787"/>
      <c r="AS787"/>
      <c r="AT787"/>
      <c r="AU787"/>
      <c r="AV787"/>
      <c r="AW787"/>
      <c r="AX787"/>
      <c r="AY787"/>
    </row>
    <row r="788" spans="36:51">
      <c r="AJ788" s="22"/>
      <c r="AK788" s="22"/>
      <c r="AL788" s="22"/>
      <c r="AM788" s="22"/>
      <c r="AN788" s="22"/>
      <c r="AO788" s="22"/>
      <c r="AP788" s="22"/>
      <c r="AQ788" s="22"/>
      <c r="AR788"/>
      <c r="AS788"/>
      <c r="AT788"/>
      <c r="AU788"/>
      <c r="AV788"/>
      <c r="AW788"/>
      <c r="AX788"/>
      <c r="AY788"/>
    </row>
    <row r="789" spans="36:51">
      <c r="AJ789" s="22"/>
      <c r="AK789" s="22"/>
      <c r="AL789" s="22"/>
      <c r="AM789" s="22"/>
      <c r="AN789" s="22"/>
      <c r="AO789" s="22"/>
      <c r="AP789" s="22"/>
      <c r="AQ789" s="22"/>
      <c r="AR789"/>
      <c r="AS789"/>
      <c r="AT789"/>
      <c r="AU789"/>
      <c r="AV789"/>
      <c r="AW789"/>
      <c r="AX789"/>
      <c r="AY789"/>
    </row>
    <row r="790" spans="36:51">
      <c r="AJ790" s="22"/>
      <c r="AK790" s="22"/>
      <c r="AL790" s="22"/>
      <c r="AM790" s="22"/>
      <c r="AN790" s="22"/>
      <c r="AO790" s="22"/>
      <c r="AP790" s="22"/>
      <c r="AQ790" s="22"/>
      <c r="AR790"/>
      <c r="AS790"/>
      <c r="AT790"/>
      <c r="AU790"/>
      <c r="AV790"/>
      <c r="AW790"/>
      <c r="AX790"/>
      <c r="AY790"/>
    </row>
    <row r="791" spans="36:51">
      <c r="AJ791" s="22"/>
      <c r="AK791" s="22"/>
      <c r="AL791" s="22"/>
      <c r="AM791" s="22"/>
      <c r="AN791" s="22"/>
      <c r="AO791" s="22"/>
      <c r="AP791" s="22"/>
      <c r="AQ791" s="22"/>
      <c r="AR791"/>
      <c r="AS791"/>
      <c r="AT791"/>
      <c r="AU791"/>
      <c r="AV791"/>
      <c r="AW791"/>
      <c r="AX791"/>
      <c r="AY791"/>
    </row>
    <row r="792" spans="36:51">
      <c r="AJ792" s="22"/>
      <c r="AK792" s="22"/>
      <c r="AL792" s="22"/>
      <c r="AM792" s="22"/>
      <c r="AN792" s="22"/>
      <c r="AO792" s="22"/>
      <c r="AP792" s="22"/>
      <c r="AQ792" s="22"/>
      <c r="AR792"/>
      <c r="AS792"/>
      <c r="AT792"/>
      <c r="AU792"/>
      <c r="AV792"/>
      <c r="AW792"/>
      <c r="AX792"/>
      <c r="AY792"/>
    </row>
    <row r="793" spans="36:51">
      <c r="AJ793" s="22"/>
      <c r="AK793" s="22"/>
      <c r="AL793" s="22"/>
      <c r="AM793" s="22"/>
      <c r="AN793" s="22"/>
      <c r="AO793" s="22"/>
      <c r="AP793" s="22"/>
      <c r="AQ793" s="22"/>
      <c r="AR793"/>
      <c r="AS793"/>
      <c r="AT793"/>
      <c r="AU793"/>
      <c r="AV793"/>
      <c r="AW793"/>
      <c r="AX793"/>
      <c r="AY793"/>
    </row>
    <row r="794" spans="36:51">
      <c r="AJ794" s="22"/>
      <c r="AK794" s="22"/>
      <c r="AL794" s="22"/>
      <c r="AM794" s="22"/>
      <c r="AN794" s="22"/>
      <c r="AO794" s="22"/>
      <c r="AP794" s="22"/>
      <c r="AQ794" s="22"/>
      <c r="AR794"/>
      <c r="AS794"/>
      <c r="AT794"/>
      <c r="AU794"/>
      <c r="AV794"/>
      <c r="AW794"/>
      <c r="AX794"/>
      <c r="AY794"/>
    </row>
    <row r="795" spans="36:51">
      <c r="AJ795" s="22"/>
      <c r="AK795" s="22"/>
      <c r="AL795" s="22"/>
      <c r="AM795" s="22"/>
      <c r="AN795" s="22"/>
      <c r="AO795" s="22"/>
      <c r="AP795" s="22"/>
      <c r="AQ795" s="22"/>
      <c r="AR795"/>
      <c r="AS795"/>
      <c r="AT795"/>
      <c r="AU795"/>
      <c r="AV795"/>
      <c r="AW795"/>
      <c r="AX795"/>
      <c r="AY795"/>
    </row>
    <row r="796" spans="36:51">
      <c r="AJ796" s="22"/>
      <c r="AK796" s="22"/>
      <c r="AL796" s="22"/>
      <c r="AM796" s="22"/>
      <c r="AN796" s="22"/>
      <c r="AO796" s="22"/>
      <c r="AP796" s="22"/>
      <c r="AQ796" s="22"/>
      <c r="AR796"/>
      <c r="AS796"/>
      <c r="AT796"/>
      <c r="AU796"/>
      <c r="AV796"/>
      <c r="AW796"/>
      <c r="AX796"/>
      <c r="AY796"/>
    </row>
    <row r="797" spans="36:51">
      <c r="AJ797" s="22"/>
      <c r="AK797" s="22"/>
      <c r="AL797" s="22"/>
      <c r="AM797" s="22"/>
      <c r="AN797" s="22"/>
      <c r="AO797" s="22"/>
      <c r="AP797" s="22"/>
      <c r="AQ797" s="22"/>
      <c r="AR797"/>
      <c r="AS797"/>
      <c r="AT797"/>
      <c r="AU797"/>
      <c r="AV797"/>
      <c r="AW797"/>
      <c r="AX797"/>
      <c r="AY797"/>
    </row>
    <row r="798" spans="36:51">
      <c r="AJ798" s="22"/>
      <c r="AK798" s="22"/>
      <c r="AL798" s="22"/>
      <c r="AM798" s="22"/>
      <c r="AN798" s="22"/>
      <c r="AO798" s="22"/>
      <c r="AP798" s="22"/>
      <c r="AQ798" s="22"/>
      <c r="AR798"/>
      <c r="AS798"/>
      <c r="AT798"/>
      <c r="AU798"/>
      <c r="AV798"/>
      <c r="AW798"/>
      <c r="AX798"/>
      <c r="AY798"/>
    </row>
    <row r="799" spans="36:51">
      <c r="AJ799" s="22"/>
      <c r="AK799" s="22"/>
      <c r="AL799" s="22"/>
      <c r="AM799" s="22"/>
      <c r="AN799" s="22"/>
      <c r="AO799" s="22"/>
      <c r="AP799" s="22"/>
      <c r="AQ799" s="22"/>
      <c r="AR799"/>
      <c r="AS799"/>
      <c r="AT799"/>
      <c r="AU799"/>
      <c r="AV799"/>
      <c r="AW799"/>
      <c r="AX799"/>
      <c r="AY799"/>
    </row>
    <row r="800" spans="36:51">
      <c r="AJ800" s="22"/>
      <c r="AK800" s="22"/>
      <c r="AL800" s="22"/>
      <c r="AM800" s="22"/>
      <c r="AN800" s="22"/>
      <c r="AO800" s="22"/>
      <c r="AP800" s="22"/>
      <c r="AQ800" s="22"/>
      <c r="AR800"/>
      <c r="AS800"/>
      <c r="AT800"/>
      <c r="AU800"/>
      <c r="AV800"/>
      <c r="AW800"/>
      <c r="AX800"/>
      <c r="AY800"/>
    </row>
    <row r="801" spans="36:51">
      <c r="AJ801" s="22"/>
      <c r="AK801" s="22"/>
      <c r="AL801" s="22"/>
      <c r="AM801" s="22"/>
      <c r="AN801" s="22"/>
      <c r="AO801" s="22"/>
      <c r="AP801" s="22"/>
      <c r="AQ801" s="22"/>
      <c r="AR801"/>
      <c r="AS801"/>
      <c r="AT801"/>
      <c r="AU801"/>
      <c r="AV801"/>
      <c r="AW801"/>
      <c r="AX801"/>
      <c r="AY801"/>
    </row>
    <row r="802" spans="36:51">
      <c r="AJ802" s="22"/>
      <c r="AK802" s="22"/>
      <c r="AL802" s="22"/>
      <c r="AM802" s="22"/>
      <c r="AN802" s="22"/>
      <c r="AO802" s="22"/>
      <c r="AP802" s="22"/>
      <c r="AQ802" s="22"/>
      <c r="AR802"/>
      <c r="AS802"/>
      <c r="AT802"/>
      <c r="AU802"/>
      <c r="AV802"/>
      <c r="AW802"/>
      <c r="AX802"/>
      <c r="AY802"/>
    </row>
    <row r="803" spans="36:51">
      <c r="AJ803" s="22"/>
      <c r="AK803" s="22"/>
      <c r="AL803" s="22"/>
      <c r="AM803" s="22"/>
      <c r="AN803" s="22"/>
      <c r="AO803" s="22"/>
      <c r="AP803" s="22"/>
      <c r="AQ803" s="22"/>
      <c r="AR803"/>
      <c r="AS803"/>
      <c r="AT803"/>
      <c r="AU803"/>
      <c r="AV803"/>
      <c r="AW803"/>
      <c r="AX803"/>
      <c r="AY803"/>
    </row>
    <row r="804" spans="36:51">
      <c r="AJ804" s="22"/>
      <c r="AK804" s="22"/>
      <c r="AL804" s="22"/>
      <c r="AM804" s="22"/>
      <c r="AN804" s="22"/>
      <c r="AO804" s="22"/>
      <c r="AP804" s="22"/>
      <c r="AQ804" s="22"/>
      <c r="AR804"/>
      <c r="AS804"/>
      <c r="AT804"/>
      <c r="AU804"/>
      <c r="AV804"/>
      <c r="AW804"/>
      <c r="AX804"/>
      <c r="AY804"/>
    </row>
    <row r="805" spans="36:51">
      <c r="AJ805" s="22"/>
      <c r="AK805" s="22"/>
      <c r="AL805" s="22"/>
      <c r="AM805" s="22"/>
      <c r="AN805" s="22"/>
      <c r="AO805" s="22"/>
      <c r="AP805" s="22"/>
      <c r="AQ805" s="22"/>
      <c r="AR805"/>
      <c r="AS805"/>
      <c r="AT805"/>
      <c r="AU805"/>
      <c r="AV805"/>
      <c r="AW805"/>
      <c r="AX805"/>
      <c r="AY805"/>
    </row>
    <row r="806" spans="36:51">
      <c r="AJ806" s="22"/>
      <c r="AK806" s="22"/>
      <c r="AL806" s="22"/>
      <c r="AM806" s="22"/>
      <c r="AN806" s="22"/>
      <c r="AO806" s="22"/>
      <c r="AP806" s="22"/>
      <c r="AQ806" s="22"/>
      <c r="AR806"/>
      <c r="AS806"/>
      <c r="AT806"/>
      <c r="AU806"/>
      <c r="AV806"/>
      <c r="AW806"/>
      <c r="AX806"/>
      <c r="AY806"/>
    </row>
    <row r="807" spans="36:51">
      <c r="AJ807" s="22"/>
      <c r="AK807" s="22"/>
      <c r="AL807" s="22"/>
      <c r="AM807" s="22"/>
      <c r="AN807" s="22"/>
      <c r="AO807" s="22"/>
      <c r="AP807" s="22"/>
      <c r="AQ807" s="22"/>
      <c r="AR807"/>
      <c r="AS807"/>
      <c r="AT807"/>
      <c r="AU807"/>
      <c r="AV807"/>
      <c r="AW807"/>
      <c r="AX807"/>
      <c r="AY807"/>
    </row>
    <row r="808" spans="36:51">
      <c r="AJ808" s="22"/>
      <c r="AK808" s="22"/>
      <c r="AL808" s="22"/>
      <c r="AM808" s="22"/>
      <c r="AN808" s="22"/>
      <c r="AO808" s="22"/>
      <c r="AP808" s="22"/>
      <c r="AQ808" s="22"/>
      <c r="AR808"/>
      <c r="AS808"/>
      <c r="AT808"/>
      <c r="AU808"/>
      <c r="AV808"/>
      <c r="AW808"/>
      <c r="AX808"/>
      <c r="AY808"/>
    </row>
    <row r="809" spans="36:51">
      <c r="AJ809" s="22"/>
      <c r="AK809" s="22"/>
      <c r="AL809" s="22"/>
      <c r="AM809" s="22"/>
      <c r="AN809" s="22"/>
      <c r="AO809" s="22"/>
      <c r="AP809" s="22"/>
      <c r="AQ809" s="22"/>
      <c r="AR809"/>
      <c r="AS809"/>
      <c r="AT809"/>
      <c r="AU809"/>
      <c r="AV809"/>
      <c r="AW809"/>
      <c r="AX809"/>
      <c r="AY809"/>
    </row>
    <row r="810" spans="36:51">
      <c r="AJ810" s="22"/>
      <c r="AK810" s="22"/>
      <c r="AL810" s="22"/>
      <c r="AM810" s="22"/>
      <c r="AN810" s="22"/>
      <c r="AO810" s="22"/>
      <c r="AP810" s="22"/>
      <c r="AQ810" s="22"/>
      <c r="AR810"/>
      <c r="AS810"/>
      <c r="AT810"/>
      <c r="AU810"/>
      <c r="AV810"/>
      <c r="AW810"/>
      <c r="AX810"/>
      <c r="AY810"/>
    </row>
    <row r="811" spans="36:51">
      <c r="AJ811" s="22"/>
      <c r="AK811" s="22"/>
      <c r="AL811" s="22"/>
      <c r="AM811" s="22"/>
      <c r="AN811" s="22"/>
      <c r="AO811" s="22"/>
      <c r="AP811" s="22"/>
      <c r="AQ811" s="22"/>
      <c r="AR811"/>
      <c r="AS811"/>
      <c r="AT811"/>
      <c r="AU811"/>
      <c r="AV811"/>
      <c r="AW811"/>
      <c r="AX811"/>
      <c r="AY811"/>
    </row>
    <row r="812" spans="36:51">
      <c r="AJ812" s="22"/>
      <c r="AK812" s="22"/>
      <c r="AL812" s="22"/>
      <c r="AM812" s="22"/>
      <c r="AN812" s="22"/>
      <c r="AO812" s="22"/>
      <c r="AP812" s="22"/>
      <c r="AQ812" s="22"/>
      <c r="AR812"/>
      <c r="AS812"/>
      <c r="AT812"/>
      <c r="AU812"/>
      <c r="AV812"/>
      <c r="AW812"/>
      <c r="AX812"/>
      <c r="AY812"/>
    </row>
    <row r="813" spans="36:51">
      <c r="AJ813" s="22"/>
      <c r="AK813" s="22"/>
      <c r="AL813" s="22"/>
      <c r="AM813" s="22"/>
      <c r="AN813" s="22"/>
      <c r="AO813" s="22"/>
      <c r="AP813" s="22"/>
      <c r="AQ813" s="22"/>
      <c r="AR813"/>
      <c r="AS813"/>
      <c r="AT813"/>
      <c r="AU813"/>
      <c r="AV813"/>
      <c r="AW813"/>
      <c r="AX813"/>
      <c r="AY813"/>
    </row>
    <row r="814" spans="36:51">
      <c r="AJ814" s="22"/>
      <c r="AK814" s="22"/>
      <c r="AL814" s="22"/>
      <c r="AM814" s="22"/>
      <c r="AN814" s="22"/>
      <c r="AO814" s="22"/>
      <c r="AP814" s="22"/>
      <c r="AQ814" s="22"/>
      <c r="AR814"/>
      <c r="AS814"/>
      <c r="AT814"/>
      <c r="AU814"/>
      <c r="AV814"/>
      <c r="AW814"/>
      <c r="AX814"/>
      <c r="AY814"/>
    </row>
    <row r="815" spans="36:51">
      <c r="AJ815" s="22"/>
      <c r="AK815" s="22"/>
      <c r="AL815" s="22"/>
      <c r="AM815" s="22"/>
      <c r="AN815" s="22"/>
      <c r="AO815" s="22"/>
      <c r="AP815" s="22"/>
      <c r="AQ815" s="22"/>
      <c r="AR815"/>
      <c r="AS815"/>
      <c r="AT815"/>
      <c r="AU815"/>
      <c r="AV815"/>
      <c r="AW815"/>
      <c r="AX815"/>
      <c r="AY815"/>
    </row>
    <row r="816" spans="36:51">
      <c r="AJ816" s="22"/>
      <c r="AK816" s="22"/>
      <c r="AL816" s="22"/>
      <c r="AM816" s="22"/>
      <c r="AN816" s="22"/>
      <c r="AO816" s="22"/>
      <c r="AP816" s="22"/>
      <c r="AQ816" s="22"/>
      <c r="AR816"/>
      <c r="AS816"/>
      <c r="AT816"/>
      <c r="AU816"/>
      <c r="AV816"/>
      <c r="AW816"/>
      <c r="AX816"/>
      <c r="AY816"/>
    </row>
    <row r="817" spans="36:51">
      <c r="AJ817" s="22"/>
      <c r="AK817" s="22"/>
      <c r="AL817" s="22"/>
      <c r="AM817" s="22"/>
      <c r="AN817" s="22"/>
      <c r="AO817" s="22"/>
      <c r="AP817" s="22"/>
      <c r="AQ817" s="22"/>
      <c r="AR817"/>
      <c r="AS817"/>
      <c r="AT817"/>
      <c r="AU817"/>
      <c r="AV817"/>
      <c r="AW817"/>
      <c r="AX817"/>
      <c r="AY817"/>
    </row>
    <row r="818" spans="36:51">
      <c r="AJ818" s="22"/>
      <c r="AK818" s="22"/>
      <c r="AL818" s="22"/>
      <c r="AM818" s="22"/>
      <c r="AN818" s="22"/>
      <c r="AO818" s="22"/>
      <c r="AP818" s="22"/>
      <c r="AQ818" s="22"/>
      <c r="AR818"/>
      <c r="AS818"/>
      <c r="AT818"/>
      <c r="AU818"/>
      <c r="AV818"/>
      <c r="AW818"/>
      <c r="AX818"/>
      <c r="AY818"/>
    </row>
    <row r="819" spans="36:51">
      <c r="AJ819" s="22"/>
      <c r="AK819" s="22"/>
      <c r="AL819" s="22"/>
      <c r="AM819" s="22"/>
      <c r="AN819" s="22"/>
      <c r="AO819" s="22"/>
      <c r="AP819" s="22"/>
      <c r="AQ819" s="22"/>
      <c r="AR819"/>
      <c r="AS819"/>
      <c r="AT819"/>
      <c r="AU819"/>
      <c r="AV819"/>
      <c r="AW819"/>
      <c r="AX819"/>
      <c r="AY819"/>
    </row>
    <row r="820" spans="36:51">
      <c r="AJ820" s="22"/>
      <c r="AK820" s="22"/>
      <c r="AL820" s="22"/>
      <c r="AM820" s="22"/>
      <c r="AN820" s="22"/>
      <c r="AO820" s="22"/>
      <c r="AP820" s="22"/>
      <c r="AQ820" s="22"/>
      <c r="AR820"/>
      <c r="AS820"/>
      <c r="AT820"/>
      <c r="AU820"/>
      <c r="AV820"/>
      <c r="AW820"/>
      <c r="AX820"/>
      <c r="AY820"/>
    </row>
    <row r="821" spans="36:51">
      <c r="AJ821" s="22"/>
      <c r="AK821" s="22"/>
      <c r="AL821" s="22"/>
      <c r="AM821" s="22"/>
      <c r="AN821" s="22"/>
      <c r="AO821" s="22"/>
      <c r="AP821" s="22"/>
      <c r="AQ821" s="22"/>
      <c r="AR821"/>
      <c r="AS821"/>
      <c r="AT821"/>
      <c r="AU821"/>
      <c r="AV821"/>
      <c r="AW821"/>
      <c r="AX821"/>
      <c r="AY821"/>
    </row>
    <row r="822" spans="36:51">
      <c r="AJ822" s="22"/>
      <c r="AK822" s="22"/>
      <c r="AL822" s="22"/>
      <c r="AM822" s="22"/>
      <c r="AN822" s="22"/>
      <c r="AO822" s="22"/>
      <c r="AP822" s="22"/>
      <c r="AQ822" s="22"/>
      <c r="AR822"/>
      <c r="AS822"/>
      <c r="AT822"/>
      <c r="AU822"/>
      <c r="AV822"/>
      <c r="AW822"/>
      <c r="AX822"/>
      <c r="AY822"/>
    </row>
    <row r="823" spans="36:51">
      <c r="AJ823" s="22"/>
      <c r="AK823" s="22"/>
      <c r="AL823" s="22"/>
      <c r="AM823" s="22"/>
      <c r="AN823" s="22"/>
      <c r="AO823" s="22"/>
      <c r="AP823" s="22"/>
      <c r="AQ823" s="22"/>
      <c r="AR823"/>
      <c r="AS823"/>
      <c r="AT823"/>
      <c r="AU823"/>
      <c r="AV823"/>
      <c r="AW823"/>
      <c r="AX823"/>
      <c r="AY823"/>
    </row>
    <row r="824" spans="36:51">
      <c r="AJ824" s="22"/>
      <c r="AK824" s="22"/>
      <c r="AL824" s="22"/>
      <c r="AM824" s="22"/>
      <c r="AN824" s="22"/>
      <c r="AO824" s="22"/>
      <c r="AP824" s="22"/>
      <c r="AQ824" s="22"/>
      <c r="AR824"/>
      <c r="AS824"/>
      <c r="AT824"/>
      <c r="AU824"/>
      <c r="AV824"/>
      <c r="AW824"/>
      <c r="AX824"/>
      <c r="AY824"/>
    </row>
    <row r="825" spans="36:51">
      <c r="AJ825" s="22"/>
      <c r="AK825" s="22"/>
      <c r="AL825" s="22"/>
      <c r="AM825" s="22"/>
      <c r="AN825" s="22"/>
      <c r="AO825" s="22"/>
      <c r="AP825" s="22"/>
      <c r="AQ825" s="22"/>
      <c r="AR825"/>
      <c r="AS825"/>
      <c r="AT825"/>
      <c r="AU825"/>
      <c r="AV825"/>
      <c r="AW825"/>
      <c r="AX825"/>
      <c r="AY825"/>
    </row>
    <row r="826" spans="36:51">
      <c r="AJ826" s="22"/>
      <c r="AK826" s="22"/>
      <c r="AL826" s="22"/>
      <c r="AM826" s="22"/>
      <c r="AN826" s="22"/>
      <c r="AO826" s="22"/>
      <c r="AP826" s="22"/>
      <c r="AQ826" s="22"/>
      <c r="AR826"/>
      <c r="AS826"/>
      <c r="AT826"/>
      <c r="AU826"/>
      <c r="AV826"/>
      <c r="AW826"/>
      <c r="AX826"/>
      <c r="AY826"/>
    </row>
    <row r="827" spans="36:51">
      <c r="AJ827" s="22"/>
      <c r="AK827" s="22"/>
      <c r="AL827" s="22"/>
      <c r="AM827" s="22"/>
      <c r="AN827" s="22"/>
      <c r="AO827" s="22"/>
      <c r="AP827" s="22"/>
      <c r="AQ827" s="22"/>
      <c r="AR827"/>
      <c r="AS827"/>
      <c r="AT827"/>
      <c r="AU827"/>
      <c r="AV827"/>
      <c r="AW827"/>
      <c r="AX827"/>
      <c r="AY827"/>
    </row>
    <row r="828" spans="36:51">
      <c r="AJ828" s="22"/>
      <c r="AK828" s="22"/>
      <c r="AL828" s="22"/>
      <c r="AM828" s="22"/>
      <c r="AN828" s="22"/>
      <c r="AO828" s="22"/>
      <c r="AP828" s="22"/>
      <c r="AQ828" s="22"/>
      <c r="AR828"/>
      <c r="AS828"/>
      <c r="AT828"/>
      <c r="AU828"/>
      <c r="AV828"/>
      <c r="AW828"/>
      <c r="AX828"/>
      <c r="AY828"/>
    </row>
    <row r="829" spans="36:51">
      <c r="AJ829" s="22"/>
      <c r="AK829" s="22"/>
      <c r="AL829" s="22"/>
      <c r="AM829" s="22"/>
      <c r="AN829" s="22"/>
      <c r="AO829" s="22"/>
      <c r="AP829" s="22"/>
      <c r="AQ829" s="22"/>
      <c r="AR829"/>
      <c r="AS829"/>
      <c r="AT829"/>
      <c r="AU829"/>
      <c r="AV829"/>
      <c r="AW829"/>
      <c r="AX829"/>
      <c r="AY829"/>
    </row>
    <row r="830" spans="36:51">
      <c r="AJ830" s="22"/>
      <c r="AK830" s="22"/>
      <c r="AL830" s="22"/>
      <c r="AM830" s="22"/>
      <c r="AN830" s="22"/>
      <c r="AO830" s="22"/>
      <c r="AP830" s="22"/>
      <c r="AQ830" s="22"/>
      <c r="AR830"/>
      <c r="AS830"/>
      <c r="AT830"/>
      <c r="AU830"/>
      <c r="AV830"/>
      <c r="AW830"/>
      <c r="AX830"/>
      <c r="AY830"/>
    </row>
    <row r="831" spans="36:51">
      <c r="AJ831" s="22"/>
      <c r="AK831" s="22"/>
      <c r="AL831" s="22"/>
      <c r="AM831" s="22"/>
      <c r="AN831" s="22"/>
      <c r="AO831" s="22"/>
      <c r="AP831" s="22"/>
      <c r="AQ831" s="22"/>
      <c r="AR831"/>
      <c r="AS831"/>
      <c r="AT831"/>
      <c r="AU831"/>
      <c r="AV831"/>
      <c r="AW831"/>
      <c r="AX831"/>
      <c r="AY831"/>
    </row>
    <row r="832" spans="36:51">
      <c r="AJ832" s="22"/>
      <c r="AK832" s="22"/>
      <c r="AL832" s="22"/>
      <c r="AM832" s="22"/>
      <c r="AN832" s="22"/>
      <c r="AO832" s="22"/>
      <c r="AP832" s="22"/>
      <c r="AQ832" s="22"/>
      <c r="AR832"/>
      <c r="AS832"/>
      <c r="AT832"/>
      <c r="AU832"/>
      <c r="AV832"/>
      <c r="AW832"/>
      <c r="AX832"/>
      <c r="AY832"/>
    </row>
    <row r="833" spans="36:51">
      <c r="AJ833" s="22"/>
      <c r="AK833" s="22"/>
      <c r="AL833" s="22"/>
      <c r="AM833" s="22"/>
      <c r="AN833" s="22"/>
      <c r="AO833" s="22"/>
      <c r="AP833" s="22"/>
      <c r="AQ833" s="22"/>
      <c r="AR833"/>
      <c r="AS833"/>
      <c r="AT833"/>
      <c r="AU833"/>
      <c r="AV833"/>
      <c r="AW833"/>
      <c r="AX833"/>
      <c r="AY833"/>
    </row>
    <row r="834" spans="36:51">
      <c r="AJ834" s="22"/>
      <c r="AK834" s="22"/>
      <c r="AL834" s="22"/>
      <c r="AM834" s="22"/>
      <c r="AN834" s="22"/>
      <c r="AO834" s="22"/>
      <c r="AP834" s="22"/>
      <c r="AQ834" s="22"/>
      <c r="AR834"/>
      <c r="AS834"/>
      <c r="AT834"/>
      <c r="AU834"/>
      <c r="AV834"/>
      <c r="AW834"/>
      <c r="AX834"/>
      <c r="AY834"/>
    </row>
    <row r="835" spans="36:51">
      <c r="AJ835" s="22"/>
      <c r="AK835" s="22"/>
      <c r="AL835" s="22"/>
      <c r="AM835" s="22"/>
      <c r="AN835" s="22"/>
      <c r="AO835" s="22"/>
      <c r="AP835" s="22"/>
      <c r="AQ835" s="22"/>
      <c r="AR835"/>
      <c r="AS835"/>
      <c r="AT835"/>
      <c r="AU835"/>
      <c r="AV835"/>
      <c r="AW835"/>
      <c r="AX835"/>
      <c r="AY835"/>
    </row>
    <row r="836" spans="36:51">
      <c r="AJ836" s="22"/>
      <c r="AK836" s="22"/>
      <c r="AL836" s="22"/>
      <c r="AM836" s="22"/>
      <c r="AN836" s="22"/>
      <c r="AO836" s="22"/>
      <c r="AP836" s="22"/>
      <c r="AQ836" s="22"/>
      <c r="AR836"/>
      <c r="AS836"/>
      <c r="AT836"/>
      <c r="AU836"/>
      <c r="AV836"/>
      <c r="AW836"/>
      <c r="AX836"/>
      <c r="AY836"/>
    </row>
    <row r="837" spans="36:51">
      <c r="AJ837" s="22"/>
      <c r="AK837" s="22"/>
      <c r="AL837" s="22"/>
      <c r="AM837" s="22"/>
      <c r="AN837" s="22"/>
      <c r="AO837" s="22"/>
      <c r="AP837" s="22"/>
      <c r="AQ837" s="22"/>
      <c r="AR837"/>
      <c r="AS837"/>
      <c r="AT837"/>
      <c r="AU837"/>
      <c r="AV837"/>
      <c r="AW837"/>
      <c r="AX837"/>
      <c r="AY837"/>
    </row>
    <row r="838" spans="36:51">
      <c r="AJ838" s="22"/>
      <c r="AK838" s="22"/>
      <c r="AL838" s="22"/>
      <c r="AM838" s="22"/>
      <c r="AN838" s="22"/>
      <c r="AO838" s="22"/>
      <c r="AP838" s="22"/>
      <c r="AQ838" s="22"/>
      <c r="AR838"/>
      <c r="AS838"/>
      <c r="AT838"/>
      <c r="AU838"/>
      <c r="AV838"/>
      <c r="AW838"/>
      <c r="AX838"/>
      <c r="AY838"/>
    </row>
    <row r="839" spans="36:51">
      <c r="AJ839" s="22"/>
      <c r="AK839" s="22"/>
      <c r="AL839" s="22"/>
      <c r="AM839" s="22"/>
      <c r="AN839" s="22"/>
      <c r="AO839" s="22"/>
      <c r="AP839" s="22"/>
      <c r="AQ839" s="22"/>
      <c r="AR839"/>
      <c r="AS839"/>
      <c r="AT839"/>
      <c r="AU839"/>
      <c r="AV839"/>
      <c r="AW839"/>
      <c r="AX839"/>
      <c r="AY839"/>
    </row>
    <row r="840" spans="36:51">
      <c r="AJ840" s="22"/>
      <c r="AK840" s="22"/>
      <c r="AL840" s="22"/>
      <c r="AM840" s="22"/>
      <c r="AN840" s="22"/>
      <c r="AO840" s="22"/>
      <c r="AP840" s="22"/>
      <c r="AQ840" s="22"/>
      <c r="AR840"/>
      <c r="AS840"/>
      <c r="AT840"/>
      <c r="AU840"/>
      <c r="AV840"/>
      <c r="AW840"/>
      <c r="AX840"/>
      <c r="AY840"/>
    </row>
    <row r="841" spans="36:51">
      <c r="AJ841" s="22"/>
      <c r="AK841" s="22"/>
      <c r="AL841" s="22"/>
      <c r="AM841" s="22"/>
      <c r="AN841" s="22"/>
      <c r="AO841" s="22"/>
      <c r="AP841" s="22"/>
      <c r="AQ841" s="22"/>
      <c r="AR841"/>
      <c r="AS841"/>
      <c r="AT841"/>
      <c r="AU841"/>
      <c r="AV841"/>
      <c r="AW841"/>
      <c r="AX841"/>
      <c r="AY841"/>
    </row>
    <row r="842" spans="36:51">
      <c r="AJ842" s="22"/>
      <c r="AK842" s="22"/>
      <c r="AL842" s="22"/>
      <c r="AM842" s="22"/>
      <c r="AN842" s="22"/>
      <c r="AO842" s="22"/>
      <c r="AP842" s="22"/>
      <c r="AQ842" s="22"/>
      <c r="AR842"/>
      <c r="AS842"/>
      <c r="AT842"/>
      <c r="AU842"/>
      <c r="AV842"/>
      <c r="AW842"/>
      <c r="AX842"/>
      <c r="AY842"/>
    </row>
    <row r="843" spans="36:51">
      <c r="AJ843" s="22"/>
      <c r="AK843" s="22"/>
      <c r="AL843" s="22"/>
      <c r="AM843" s="22"/>
      <c r="AN843" s="22"/>
      <c r="AO843" s="22"/>
      <c r="AP843" s="22"/>
      <c r="AQ843" s="22"/>
      <c r="AR843"/>
      <c r="AS843"/>
      <c r="AT843"/>
      <c r="AU843"/>
      <c r="AV843"/>
      <c r="AW843"/>
      <c r="AX843"/>
      <c r="AY843"/>
    </row>
    <row r="844" spans="36:51">
      <c r="AJ844" s="22"/>
      <c r="AK844" s="22"/>
      <c r="AL844" s="22"/>
      <c r="AM844" s="22"/>
      <c r="AN844" s="22"/>
      <c r="AO844" s="22"/>
      <c r="AP844" s="22"/>
      <c r="AQ844" s="22"/>
      <c r="AR844"/>
      <c r="AS844"/>
      <c r="AT844"/>
      <c r="AU844"/>
      <c r="AV844"/>
      <c r="AW844"/>
      <c r="AX844"/>
      <c r="AY844"/>
    </row>
    <row r="845" spans="36:51">
      <c r="AJ845" s="22"/>
      <c r="AK845" s="22"/>
      <c r="AL845" s="22"/>
      <c r="AM845" s="22"/>
      <c r="AN845" s="22"/>
      <c r="AO845" s="22"/>
      <c r="AP845" s="22"/>
      <c r="AQ845" s="22"/>
      <c r="AR845"/>
      <c r="AS845"/>
      <c r="AT845"/>
      <c r="AU845"/>
      <c r="AV845"/>
      <c r="AW845"/>
      <c r="AX845"/>
      <c r="AY845"/>
    </row>
    <row r="846" spans="36:51">
      <c r="AJ846" s="22"/>
      <c r="AK846" s="22"/>
      <c r="AL846" s="22"/>
      <c r="AM846" s="22"/>
      <c r="AN846" s="22"/>
      <c r="AO846" s="22"/>
      <c r="AP846" s="22"/>
      <c r="AQ846" s="22"/>
      <c r="AR846"/>
      <c r="AS846"/>
      <c r="AT846"/>
      <c r="AU846"/>
      <c r="AV846"/>
      <c r="AW846"/>
      <c r="AX846"/>
      <c r="AY846"/>
    </row>
    <row r="847" spans="36:51">
      <c r="AJ847" s="22"/>
      <c r="AK847" s="22"/>
      <c r="AL847" s="22"/>
      <c r="AM847" s="22"/>
      <c r="AN847" s="22"/>
      <c r="AO847" s="22"/>
      <c r="AP847" s="22"/>
      <c r="AQ847" s="22"/>
      <c r="AR847"/>
      <c r="AS847"/>
      <c r="AT847"/>
      <c r="AU847"/>
      <c r="AV847"/>
      <c r="AW847"/>
      <c r="AX847"/>
      <c r="AY847"/>
    </row>
    <row r="848" spans="36:51">
      <c r="AJ848" s="22"/>
      <c r="AK848" s="22"/>
      <c r="AL848" s="22"/>
      <c r="AM848" s="22"/>
      <c r="AN848" s="22"/>
      <c r="AO848" s="22"/>
      <c r="AP848" s="22"/>
      <c r="AQ848" s="22"/>
      <c r="AR848"/>
      <c r="AS848"/>
      <c r="AT848"/>
      <c r="AU848"/>
      <c r="AV848"/>
      <c r="AW848"/>
      <c r="AX848"/>
      <c r="AY848"/>
    </row>
    <row r="849" spans="36:51">
      <c r="AJ849" s="22"/>
      <c r="AK849" s="22"/>
      <c r="AL849" s="22"/>
      <c r="AM849" s="22"/>
      <c r="AN849" s="22"/>
      <c r="AO849" s="22"/>
      <c r="AP849" s="22"/>
      <c r="AQ849" s="22"/>
      <c r="AR849"/>
      <c r="AS849"/>
      <c r="AT849"/>
      <c r="AU849"/>
      <c r="AV849"/>
      <c r="AW849"/>
      <c r="AX849"/>
      <c r="AY849"/>
    </row>
    <row r="850" spans="36:51">
      <c r="AJ850" s="22"/>
      <c r="AK850" s="22"/>
      <c r="AL850" s="22"/>
      <c r="AM850" s="22"/>
      <c r="AN850" s="22"/>
      <c r="AO850" s="22"/>
      <c r="AP850" s="22"/>
      <c r="AQ850" s="22"/>
      <c r="AR850"/>
      <c r="AS850"/>
      <c r="AT850"/>
      <c r="AU850"/>
      <c r="AV850"/>
      <c r="AW850"/>
      <c r="AX850"/>
      <c r="AY850"/>
    </row>
    <row r="851" spans="36:51">
      <c r="AJ851" s="22"/>
      <c r="AK851" s="22"/>
      <c r="AL851" s="22"/>
      <c r="AM851" s="22"/>
      <c r="AN851" s="22"/>
      <c r="AO851" s="22"/>
      <c r="AP851" s="22"/>
      <c r="AQ851" s="22"/>
      <c r="AR851"/>
      <c r="AS851"/>
      <c r="AT851"/>
      <c r="AU851"/>
      <c r="AV851"/>
      <c r="AW851"/>
      <c r="AX851"/>
      <c r="AY851"/>
    </row>
    <row r="852" spans="36:51">
      <c r="AJ852" s="22"/>
      <c r="AK852" s="22"/>
      <c r="AL852" s="22"/>
      <c r="AM852" s="22"/>
      <c r="AN852" s="22"/>
      <c r="AO852" s="22"/>
      <c r="AP852" s="22"/>
      <c r="AQ852" s="22"/>
      <c r="AR852"/>
      <c r="AS852"/>
      <c r="AT852"/>
      <c r="AU852"/>
      <c r="AV852"/>
      <c r="AW852"/>
      <c r="AX852"/>
      <c r="AY852"/>
    </row>
    <row r="853" spans="36:51">
      <c r="AJ853" s="22"/>
      <c r="AK853" s="22"/>
      <c r="AL853" s="22"/>
      <c r="AM853" s="22"/>
      <c r="AN853" s="22"/>
      <c r="AO853" s="22"/>
      <c r="AP853" s="22"/>
      <c r="AQ853" s="22"/>
      <c r="AR853"/>
      <c r="AS853"/>
      <c r="AT853"/>
      <c r="AU853"/>
      <c r="AV853"/>
      <c r="AW853"/>
      <c r="AX853"/>
      <c r="AY853"/>
    </row>
    <row r="854" spans="36:51">
      <c r="AJ854" s="22"/>
      <c r="AK854" s="22"/>
      <c r="AL854" s="22"/>
      <c r="AM854" s="22"/>
      <c r="AN854" s="22"/>
      <c r="AO854" s="22"/>
      <c r="AP854" s="22"/>
      <c r="AQ854" s="22"/>
      <c r="AR854"/>
      <c r="AS854"/>
      <c r="AT854"/>
      <c r="AU854"/>
      <c r="AV854"/>
      <c r="AW854"/>
      <c r="AX854"/>
      <c r="AY854"/>
    </row>
    <row r="855" spans="36:51">
      <c r="AJ855" s="22"/>
      <c r="AK855" s="22"/>
      <c r="AL855" s="22"/>
      <c r="AM855" s="22"/>
      <c r="AN855" s="22"/>
      <c r="AO855" s="22"/>
      <c r="AP855" s="22"/>
      <c r="AQ855" s="22"/>
      <c r="AR855"/>
      <c r="AS855"/>
      <c r="AT855"/>
      <c r="AU855"/>
      <c r="AV855"/>
      <c r="AW855"/>
      <c r="AX855"/>
      <c r="AY855"/>
    </row>
    <row r="856" spans="36:51">
      <c r="AJ856" s="22"/>
      <c r="AK856" s="22"/>
      <c r="AL856" s="22"/>
      <c r="AM856" s="22"/>
      <c r="AN856" s="22"/>
      <c r="AO856" s="22"/>
      <c r="AP856" s="22"/>
      <c r="AQ856" s="22"/>
      <c r="AR856"/>
      <c r="AS856"/>
      <c r="AT856"/>
      <c r="AU856"/>
      <c r="AV856"/>
      <c r="AW856"/>
      <c r="AX856"/>
      <c r="AY856"/>
    </row>
    <row r="857" spans="36:51">
      <c r="AJ857" s="22"/>
      <c r="AK857" s="22"/>
      <c r="AL857" s="22"/>
      <c r="AM857" s="22"/>
      <c r="AN857" s="22"/>
      <c r="AO857" s="22"/>
      <c r="AP857" s="22"/>
      <c r="AQ857" s="22"/>
      <c r="AR857"/>
      <c r="AS857"/>
      <c r="AT857"/>
      <c r="AU857"/>
      <c r="AV857"/>
      <c r="AW857"/>
      <c r="AX857"/>
      <c r="AY857"/>
    </row>
    <row r="858" spans="36:51">
      <c r="AJ858" s="22"/>
      <c r="AK858" s="22"/>
      <c r="AL858" s="22"/>
      <c r="AM858" s="22"/>
      <c r="AN858" s="22"/>
      <c r="AO858" s="22"/>
      <c r="AP858" s="22"/>
      <c r="AQ858" s="22"/>
      <c r="AR858"/>
      <c r="AS858"/>
      <c r="AT858"/>
      <c r="AU858"/>
      <c r="AV858"/>
      <c r="AW858"/>
      <c r="AX858"/>
      <c r="AY858"/>
    </row>
    <row r="859" spans="36:51">
      <c r="AJ859" s="22"/>
      <c r="AK859" s="22"/>
      <c r="AL859" s="22"/>
      <c r="AM859" s="22"/>
      <c r="AN859" s="22"/>
      <c r="AO859" s="22"/>
      <c r="AP859" s="22"/>
      <c r="AQ859" s="22"/>
      <c r="AR859"/>
      <c r="AS859"/>
      <c r="AT859"/>
      <c r="AU859"/>
      <c r="AV859"/>
      <c r="AW859"/>
      <c r="AX859"/>
      <c r="AY859"/>
    </row>
    <row r="860" spans="36:51">
      <c r="AJ860" s="22"/>
      <c r="AK860" s="22"/>
      <c r="AL860" s="22"/>
      <c r="AM860" s="22"/>
      <c r="AN860" s="22"/>
      <c r="AO860" s="22"/>
      <c r="AP860" s="22"/>
      <c r="AQ860" s="22"/>
      <c r="AR860"/>
      <c r="AS860"/>
      <c r="AT860"/>
      <c r="AU860"/>
      <c r="AV860"/>
      <c r="AW860"/>
      <c r="AX860"/>
      <c r="AY860"/>
    </row>
    <row r="861" spans="36:51">
      <c r="AJ861" s="22"/>
      <c r="AK861" s="22"/>
      <c r="AL861" s="22"/>
      <c r="AM861" s="22"/>
      <c r="AN861" s="22"/>
      <c r="AO861" s="22"/>
      <c r="AP861" s="22"/>
      <c r="AQ861" s="22"/>
      <c r="AR861"/>
      <c r="AS861"/>
      <c r="AT861"/>
      <c r="AU861"/>
      <c r="AV861"/>
      <c r="AW861"/>
      <c r="AX861"/>
      <c r="AY861"/>
    </row>
    <row r="862" spans="36:51">
      <c r="AJ862" s="22"/>
      <c r="AK862" s="22"/>
      <c r="AL862" s="22"/>
      <c r="AM862" s="22"/>
      <c r="AN862" s="22"/>
      <c r="AO862" s="22"/>
      <c r="AP862" s="22"/>
      <c r="AQ862" s="22"/>
      <c r="AR862"/>
      <c r="AS862"/>
      <c r="AT862"/>
      <c r="AU862"/>
      <c r="AV862"/>
      <c r="AW862"/>
      <c r="AX862"/>
      <c r="AY862"/>
    </row>
    <row r="863" spans="36:51">
      <c r="AJ863" s="22"/>
      <c r="AK863" s="22"/>
      <c r="AL863" s="22"/>
      <c r="AM863" s="22"/>
      <c r="AN863" s="22"/>
      <c r="AO863" s="22"/>
      <c r="AP863" s="22"/>
      <c r="AQ863" s="22"/>
      <c r="AR863"/>
      <c r="AS863"/>
      <c r="AT863"/>
      <c r="AU863"/>
      <c r="AV863"/>
      <c r="AW863"/>
      <c r="AX863"/>
      <c r="AY863"/>
    </row>
    <row r="864" spans="36:51">
      <c r="AJ864" s="22"/>
      <c r="AK864" s="22"/>
      <c r="AL864" s="22"/>
      <c r="AM864" s="22"/>
      <c r="AN864" s="22"/>
      <c r="AO864" s="22"/>
      <c r="AP864" s="22"/>
      <c r="AQ864" s="22"/>
      <c r="AR864"/>
      <c r="AS864"/>
      <c r="AT864"/>
      <c r="AU864"/>
      <c r="AV864"/>
      <c r="AW864"/>
      <c r="AX864"/>
      <c r="AY864"/>
    </row>
    <row r="865" spans="36:51">
      <c r="AJ865" s="22"/>
      <c r="AK865" s="22"/>
      <c r="AL865" s="22"/>
      <c r="AM865" s="22"/>
      <c r="AN865" s="22"/>
      <c r="AO865" s="22"/>
      <c r="AP865" s="22"/>
      <c r="AQ865" s="22"/>
      <c r="AR865"/>
      <c r="AS865"/>
      <c r="AT865"/>
      <c r="AU865"/>
      <c r="AV865"/>
      <c r="AW865"/>
      <c r="AX865"/>
      <c r="AY865"/>
    </row>
    <row r="866" spans="36:51">
      <c r="AJ866" s="22"/>
      <c r="AK866" s="22"/>
      <c r="AL866" s="22"/>
      <c r="AM866" s="22"/>
      <c r="AN866" s="22"/>
      <c r="AO866" s="22"/>
      <c r="AP866" s="22"/>
      <c r="AQ866" s="22"/>
      <c r="AR866"/>
      <c r="AS866"/>
      <c r="AT866"/>
      <c r="AU866"/>
      <c r="AV866"/>
      <c r="AW866"/>
      <c r="AX866"/>
      <c r="AY866"/>
    </row>
    <row r="867" spans="36:51">
      <c r="AJ867" s="22"/>
      <c r="AK867" s="22"/>
      <c r="AL867" s="22"/>
      <c r="AM867" s="22"/>
      <c r="AN867" s="22"/>
      <c r="AO867" s="22"/>
      <c r="AP867" s="22"/>
      <c r="AQ867" s="22"/>
      <c r="AR867"/>
      <c r="AS867"/>
      <c r="AT867"/>
      <c r="AU867"/>
      <c r="AV867"/>
      <c r="AW867"/>
      <c r="AX867"/>
      <c r="AY867"/>
    </row>
    <row r="868" spans="36:51">
      <c r="AJ868" s="22"/>
      <c r="AK868" s="22"/>
      <c r="AL868" s="22"/>
      <c r="AM868" s="22"/>
      <c r="AN868" s="22"/>
      <c r="AO868" s="22"/>
      <c r="AP868" s="22"/>
      <c r="AQ868" s="22"/>
      <c r="AR868"/>
      <c r="AS868"/>
      <c r="AT868"/>
      <c r="AU868"/>
      <c r="AV868"/>
      <c r="AW868"/>
      <c r="AX868"/>
      <c r="AY868"/>
    </row>
    <row r="869" spans="36:51">
      <c r="AJ869" s="22"/>
      <c r="AK869" s="22"/>
      <c r="AL869" s="22"/>
      <c r="AM869" s="22"/>
      <c r="AN869" s="22"/>
      <c r="AO869" s="22"/>
      <c r="AP869" s="22"/>
      <c r="AQ869" s="22"/>
      <c r="AR869"/>
      <c r="AS869"/>
      <c r="AT869"/>
      <c r="AU869"/>
      <c r="AV869"/>
      <c r="AW869"/>
      <c r="AX869"/>
      <c r="AY869"/>
    </row>
    <row r="870" spans="36:51">
      <c r="AJ870" s="22"/>
      <c r="AK870" s="22"/>
      <c r="AL870" s="22"/>
      <c r="AM870" s="22"/>
      <c r="AN870" s="22"/>
      <c r="AO870" s="22"/>
      <c r="AP870" s="22"/>
      <c r="AQ870" s="22"/>
      <c r="AR870"/>
      <c r="AS870"/>
      <c r="AT870"/>
      <c r="AU870"/>
      <c r="AV870"/>
      <c r="AW870"/>
      <c r="AX870"/>
      <c r="AY870"/>
    </row>
    <row r="871" spans="36:51">
      <c r="AJ871" s="22"/>
      <c r="AK871" s="22"/>
      <c r="AL871" s="22"/>
      <c r="AM871" s="22"/>
      <c r="AN871" s="22"/>
      <c r="AO871" s="22"/>
      <c r="AP871" s="22"/>
      <c r="AQ871" s="22"/>
      <c r="AR871"/>
      <c r="AS871"/>
      <c r="AT871"/>
      <c r="AU871"/>
      <c r="AV871"/>
      <c r="AW871"/>
      <c r="AX871"/>
      <c r="AY871"/>
    </row>
    <row r="872" spans="36:51">
      <c r="AJ872" s="22"/>
      <c r="AK872" s="22"/>
      <c r="AL872" s="22"/>
      <c r="AM872" s="22"/>
      <c r="AN872" s="22"/>
      <c r="AO872" s="22"/>
      <c r="AP872" s="22"/>
      <c r="AQ872" s="22"/>
      <c r="AR872"/>
      <c r="AS872"/>
      <c r="AT872"/>
      <c r="AU872"/>
      <c r="AV872"/>
      <c r="AW872"/>
      <c r="AX872"/>
      <c r="AY872"/>
    </row>
    <row r="873" spans="36:51">
      <c r="AJ873" s="22"/>
      <c r="AK873" s="22"/>
      <c r="AL873" s="22"/>
      <c r="AM873" s="22"/>
      <c r="AN873" s="22"/>
      <c r="AO873" s="22"/>
      <c r="AP873" s="22"/>
      <c r="AQ873" s="22"/>
      <c r="AR873"/>
      <c r="AS873"/>
      <c r="AT873"/>
      <c r="AU873"/>
      <c r="AV873"/>
      <c r="AW873"/>
      <c r="AX873"/>
      <c r="AY873"/>
    </row>
    <row r="874" spans="36:51">
      <c r="AJ874" s="22"/>
      <c r="AK874" s="22"/>
      <c r="AL874" s="22"/>
      <c r="AM874" s="22"/>
      <c r="AN874" s="22"/>
      <c r="AO874" s="22"/>
      <c r="AP874" s="22"/>
      <c r="AQ874" s="22"/>
      <c r="AR874"/>
      <c r="AS874"/>
      <c r="AT874"/>
      <c r="AU874"/>
      <c r="AV874"/>
      <c r="AW874"/>
      <c r="AX874"/>
      <c r="AY874"/>
    </row>
    <row r="875" spans="36:51">
      <c r="AJ875" s="22"/>
      <c r="AK875" s="22"/>
      <c r="AL875" s="22"/>
      <c r="AM875" s="22"/>
      <c r="AN875" s="22"/>
      <c r="AO875" s="22"/>
      <c r="AP875" s="22"/>
      <c r="AQ875" s="22"/>
      <c r="AR875"/>
      <c r="AS875"/>
      <c r="AT875"/>
      <c r="AU875"/>
      <c r="AV875"/>
      <c r="AW875"/>
      <c r="AX875"/>
      <c r="AY875"/>
    </row>
    <row r="876" spans="36:51">
      <c r="AJ876" s="22"/>
      <c r="AK876" s="22"/>
      <c r="AL876" s="22"/>
      <c r="AM876" s="22"/>
      <c r="AN876" s="22"/>
      <c r="AO876" s="22"/>
      <c r="AP876" s="22"/>
      <c r="AQ876" s="22"/>
      <c r="AR876"/>
      <c r="AS876"/>
      <c r="AT876"/>
      <c r="AU876"/>
      <c r="AV876"/>
      <c r="AW876"/>
      <c r="AX876"/>
      <c r="AY876"/>
    </row>
    <row r="877" spans="36:51">
      <c r="AJ877" s="22"/>
      <c r="AK877" s="22"/>
      <c r="AL877" s="22"/>
      <c r="AM877" s="22"/>
      <c r="AN877" s="22"/>
      <c r="AO877" s="22"/>
      <c r="AP877" s="22"/>
      <c r="AQ877" s="22"/>
      <c r="AR877"/>
      <c r="AS877"/>
      <c r="AT877"/>
      <c r="AU877"/>
      <c r="AV877"/>
      <c r="AW877"/>
      <c r="AX877"/>
      <c r="AY877"/>
    </row>
    <row r="878" spans="36:51">
      <c r="AJ878" s="22"/>
      <c r="AK878" s="22"/>
      <c r="AL878" s="22"/>
      <c r="AM878" s="22"/>
      <c r="AN878" s="22"/>
      <c r="AO878" s="22"/>
      <c r="AP878" s="22"/>
      <c r="AQ878" s="22"/>
      <c r="AR878"/>
      <c r="AS878"/>
      <c r="AT878"/>
      <c r="AU878"/>
      <c r="AV878"/>
      <c r="AW878"/>
      <c r="AX878"/>
      <c r="AY878"/>
    </row>
    <row r="879" spans="36:51">
      <c r="AJ879" s="22"/>
      <c r="AK879" s="22"/>
      <c r="AL879" s="22"/>
      <c r="AM879" s="22"/>
      <c r="AN879" s="22"/>
      <c r="AO879" s="22"/>
      <c r="AP879" s="22"/>
      <c r="AQ879" s="22"/>
      <c r="AR879"/>
      <c r="AS879"/>
      <c r="AT879"/>
      <c r="AU879"/>
      <c r="AV879"/>
      <c r="AW879"/>
      <c r="AX879"/>
      <c r="AY879"/>
    </row>
    <row r="880" spans="36:51">
      <c r="AJ880" s="22"/>
      <c r="AK880" s="22"/>
      <c r="AL880" s="22"/>
      <c r="AM880" s="22"/>
      <c r="AN880" s="22"/>
      <c r="AO880" s="22"/>
      <c r="AP880" s="22"/>
      <c r="AQ880" s="22"/>
      <c r="AR880"/>
      <c r="AS880"/>
      <c r="AT880"/>
      <c r="AU880"/>
      <c r="AV880"/>
      <c r="AW880"/>
      <c r="AX880"/>
      <c r="AY880"/>
    </row>
    <row r="881" spans="36:51">
      <c r="AJ881" s="22"/>
      <c r="AK881" s="22"/>
      <c r="AL881" s="22"/>
      <c r="AM881" s="22"/>
      <c r="AN881" s="22"/>
      <c r="AO881" s="22"/>
      <c r="AP881" s="22"/>
      <c r="AQ881" s="22"/>
      <c r="AR881"/>
      <c r="AS881"/>
      <c r="AT881"/>
      <c r="AU881"/>
      <c r="AV881"/>
      <c r="AW881"/>
      <c r="AX881"/>
      <c r="AY881"/>
    </row>
    <row r="882" spans="36:51">
      <c r="AJ882" s="22"/>
      <c r="AK882" s="22"/>
      <c r="AL882" s="22"/>
      <c r="AM882" s="22"/>
      <c r="AN882" s="22"/>
      <c r="AO882" s="22"/>
      <c r="AP882" s="22"/>
      <c r="AQ882" s="22"/>
      <c r="AR882"/>
      <c r="AS882"/>
      <c r="AT882"/>
      <c r="AU882"/>
      <c r="AV882"/>
      <c r="AW882"/>
      <c r="AX882"/>
      <c r="AY882"/>
    </row>
    <row r="883" spans="36:51">
      <c r="AJ883" s="22"/>
      <c r="AK883" s="22"/>
      <c r="AL883" s="22"/>
      <c r="AM883" s="22"/>
      <c r="AN883" s="22"/>
      <c r="AO883" s="22"/>
      <c r="AP883" s="22"/>
      <c r="AQ883" s="22"/>
      <c r="AR883"/>
      <c r="AS883"/>
      <c r="AT883"/>
      <c r="AU883"/>
      <c r="AV883"/>
      <c r="AW883"/>
      <c r="AX883"/>
      <c r="AY883"/>
    </row>
    <row r="884" spans="36:51">
      <c r="AJ884" s="22"/>
      <c r="AK884" s="22"/>
      <c r="AL884" s="22"/>
      <c r="AM884" s="22"/>
      <c r="AN884" s="22"/>
      <c r="AO884" s="22"/>
      <c r="AP884" s="22"/>
      <c r="AQ884" s="22"/>
      <c r="AR884"/>
      <c r="AS884"/>
      <c r="AT884"/>
      <c r="AU884"/>
      <c r="AV884"/>
      <c r="AW884"/>
      <c r="AX884"/>
      <c r="AY884"/>
    </row>
    <row r="885" spans="36:51">
      <c r="AJ885" s="22"/>
      <c r="AK885" s="22"/>
      <c r="AL885" s="22"/>
      <c r="AM885" s="22"/>
      <c r="AN885" s="22"/>
      <c r="AO885" s="22"/>
      <c r="AP885" s="22"/>
      <c r="AQ885" s="22"/>
      <c r="AR885"/>
      <c r="AS885"/>
      <c r="AT885"/>
      <c r="AU885"/>
      <c r="AV885"/>
      <c r="AW885"/>
      <c r="AX885"/>
      <c r="AY885"/>
    </row>
    <row r="886" spans="36:51">
      <c r="AJ886" s="22"/>
      <c r="AK886" s="22"/>
      <c r="AL886" s="22"/>
      <c r="AM886" s="22"/>
      <c r="AN886" s="22"/>
      <c r="AO886" s="22"/>
      <c r="AP886" s="22"/>
      <c r="AQ886" s="22"/>
      <c r="AR886"/>
      <c r="AS886"/>
      <c r="AT886"/>
      <c r="AU886"/>
      <c r="AV886"/>
      <c r="AW886"/>
      <c r="AX886"/>
      <c r="AY886"/>
    </row>
    <row r="887" spans="36:51">
      <c r="AJ887" s="22"/>
      <c r="AK887" s="22"/>
      <c r="AL887" s="22"/>
      <c r="AM887" s="22"/>
      <c r="AN887" s="22"/>
      <c r="AO887" s="22"/>
      <c r="AP887" s="22"/>
      <c r="AQ887" s="22"/>
      <c r="AR887"/>
      <c r="AS887"/>
      <c r="AT887"/>
      <c r="AU887"/>
      <c r="AV887"/>
      <c r="AW887"/>
      <c r="AX887"/>
      <c r="AY887"/>
    </row>
    <row r="888" spans="36:51">
      <c r="AJ888" s="22"/>
      <c r="AK888" s="22"/>
      <c r="AL888" s="22"/>
      <c r="AM888" s="22"/>
      <c r="AN888" s="22"/>
      <c r="AO888" s="22"/>
      <c r="AP888" s="22"/>
      <c r="AQ888" s="22"/>
      <c r="AR888"/>
      <c r="AS888"/>
      <c r="AT888"/>
      <c r="AU888"/>
      <c r="AV888"/>
      <c r="AW888"/>
      <c r="AX888"/>
      <c r="AY888"/>
    </row>
    <row r="889" spans="36:51">
      <c r="AJ889" s="22"/>
      <c r="AK889" s="22"/>
      <c r="AL889" s="22"/>
      <c r="AM889" s="22"/>
      <c r="AN889" s="22"/>
      <c r="AO889" s="22"/>
      <c r="AP889" s="22"/>
      <c r="AQ889" s="22"/>
      <c r="AR889"/>
      <c r="AS889"/>
      <c r="AT889"/>
      <c r="AU889"/>
      <c r="AV889"/>
      <c r="AW889"/>
      <c r="AX889"/>
      <c r="AY889"/>
    </row>
    <row r="890" spans="36:51">
      <c r="AJ890" s="22"/>
      <c r="AK890" s="22"/>
      <c r="AL890" s="22"/>
      <c r="AM890" s="22"/>
      <c r="AN890" s="22"/>
      <c r="AO890" s="22"/>
      <c r="AP890" s="22"/>
      <c r="AQ890" s="22"/>
      <c r="AR890"/>
      <c r="AS890"/>
      <c r="AT890"/>
      <c r="AU890"/>
      <c r="AV890"/>
      <c r="AW890"/>
      <c r="AX890"/>
      <c r="AY890"/>
    </row>
    <row r="891" spans="36:51">
      <c r="AJ891" s="22"/>
      <c r="AK891" s="22"/>
      <c r="AL891" s="22"/>
      <c r="AM891" s="22"/>
      <c r="AN891" s="22"/>
      <c r="AO891" s="22"/>
      <c r="AP891" s="22"/>
      <c r="AQ891" s="22"/>
      <c r="AR891"/>
      <c r="AS891"/>
      <c r="AT891"/>
      <c r="AU891"/>
      <c r="AV891"/>
      <c r="AW891"/>
      <c r="AX891"/>
      <c r="AY891"/>
    </row>
    <row r="892" spans="36:51">
      <c r="AJ892" s="22"/>
      <c r="AK892" s="22"/>
      <c r="AL892" s="22"/>
      <c r="AM892" s="22"/>
      <c r="AN892" s="22"/>
      <c r="AO892" s="22"/>
      <c r="AP892" s="22"/>
      <c r="AQ892" s="22"/>
      <c r="AR892"/>
      <c r="AS892"/>
      <c r="AT892"/>
      <c r="AU892"/>
      <c r="AV892"/>
      <c r="AW892"/>
      <c r="AX892"/>
      <c r="AY892"/>
    </row>
    <row r="893" spans="36:51">
      <c r="AJ893" s="22"/>
      <c r="AK893" s="22"/>
      <c r="AL893" s="22"/>
      <c r="AM893" s="22"/>
      <c r="AN893" s="22"/>
      <c r="AO893" s="22"/>
      <c r="AP893" s="22"/>
      <c r="AQ893" s="22"/>
      <c r="AR893"/>
      <c r="AS893"/>
      <c r="AT893"/>
      <c r="AU893"/>
      <c r="AV893"/>
      <c r="AW893"/>
      <c r="AX893"/>
      <c r="AY893"/>
    </row>
    <row r="894" spans="36:51">
      <c r="AJ894" s="22"/>
      <c r="AK894" s="22"/>
      <c r="AL894" s="22"/>
      <c r="AM894" s="22"/>
      <c r="AN894" s="22"/>
      <c r="AO894" s="22"/>
      <c r="AP894" s="22"/>
      <c r="AQ894" s="22"/>
      <c r="AR894"/>
      <c r="AS894"/>
      <c r="AT894"/>
      <c r="AU894"/>
      <c r="AV894"/>
      <c r="AW894"/>
      <c r="AX894"/>
      <c r="AY894"/>
    </row>
    <row r="895" spans="36:51">
      <c r="AJ895" s="22"/>
      <c r="AK895" s="22"/>
      <c r="AL895" s="22"/>
      <c r="AM895" s="22"/>
      <c r="AN895" s="22"/>
      <c r="AO895" s="22"/>
      <c r="AP895" s="22"/>
      <c r="AQ895" s="22"/>
      <c r="AR895"/>
      <c r="AS895"/>
      <c r="AT895"/>
      <c r="AU895"/>
      <c r="AV895"/>
      <c r="AW895"/>
      <c r="AX895"/>
      <c r="AY895"/>
    </row>
    <row r="896" spans="36:51">
      <c r="AJ896" s="22"/>
      <c r="AK896" s="22"/>
      <c r="AL896" s="22"/>
      <c r="AM896" s="22"/>
      <c r="AN896" s="22"/>
      <c r="AO896" s="22"/>
      <c r="AP896" s="22"/>
      <c r="AQ896" s="22"/>
      <c r="AR896"/>
      <c r="AS896"/>
      <c r="AT896"/>
      <c r="AU896"/>
      <c r="AV896"/>
      <c r="AW896"/>
      <c r="AX896"/>
      <c r="AY896"/>
    </row>
    <row r="897" spans="36:51">
      <c r="AJ897" s="22"/>
      <c r="AK897" s="22"/>
      <c r="AL897" s="22"/>
      <c r="AM897" s="22"/>
      <c r="AN897" s="22"/>
      <c r="AO897" s="22"/>
      <c r="AP897" s="22"/>
      <c r="AQ897" s="22"/>
      <c r="AR897"/>
      <c r="AS897"/>
      <c r="AT897"/>
      <c r="AU897"/>
      <c r="AV897"/>
      <c r="AW897"/>
      <c r="AX897"/>
      <c r="AY897"/>
    </row>
    <row r="898" spans="36:51">
      <c r="AJ898" s="22"/>
      <c r="AK898" s="22"/>
      <c r="AL898" s="22"/>
      <c r="AM898" s="22"/>
      <c r="AN898" s="22"/>
      <c r="AO898" s="22"/>
      <c r="AP898" s="22"/>
      <c r="AQ898" s="22"/>
      <c r="AR898"/>
      <c r="AS898"/>
      <c r="AT898"/>
      <c r="AU898"/>
      <c r="AV898"/>
      <c r="AW898"/>
      <c r="AX898"/>
      <c r="AY898"/>
    </row>
    <row r="899" spans="36:51">
      <c r="AJ899" s="22"/>
      <c r="AK899" s="22"/>
      <c r="AL899" s="22"/>
      <c r="AM899" s="22"/>
      <c r="AN899" s="22"/>
      <c r="AO899" s="22"/>
      <c r="AP899" s="22"/>
      <c r="AQ899" s="22"/>
      <c r="AR899"/>
      <c r="AS899"/>
      <c r="AT899"/>
      <c r="AU899"/>
      <c r="AV899"/>
      <c r="AW899"/>
      <c r="AX899"/>
      <c r="AY899"/>
    </row>
    <row r="900" spans="36:51">
      <c r="AJ900" s="22"/>
      <c r="AK900" s="22"/>
      <c r="AL900" s="22"/>
      <c r="AM900" s="22"/>
      <c r="AN900" s="22"/>
      <c r="AO900" s="22"/>
      <c r="AP900" s="22"/>
      <c r="AQ900" s="22"/>
      <c r="AR900"/>
      <c r="AS900"/>
      <c r="AT900"/>
      <c r="AU900"/>
      <c r="AV900"/>
      <c r="AW900"/>
      <c r="AX900"/>
      <c r="AY900"/>
    </row>
    <row r="901" spans="36:51">
      <c r="AJ901" s="22"/>
      <c r="AK901" s="22"/>
      <c r="AL901" s="22"/>
      <c r="AM901" s="22"/>
      <c r="AN901" s="22"/>
      <c r="AO901" s="22"/>
      <c r="AP901" s="22"/>
      <c r="AQ901" s="22"/>
      <c r="AR901"/>
      <c r="AS901"/>
      <c r="AT901"/>
      <c r="AU901"/>
      <c r="AV901"/>
      <c r="AW901"/>
      <c r="AX901"/>
      <c r="AY901"/>
    </row>
    <row r="902" spans="36:51">
      <c r="AJ902" s="22"/>
      <c r="AK902" s="22"/>
      <c r="AL902" s="22"/>
      <c r="AM902" s="22"/>
      <c r="AN902" s="22"/>
      <c r="AO902" s="22"/>
      <c r="AP902" s="22"/>
      <c r="AQ902" s="22"/>
      <c r="AR902"/>
      <c r="AS902"/>
      <c r="AT902"/>
      <c r="AU902"/>
      <c r="AV902"/>
      <c r="AW902"/>
      <c r="AX902"/>
      <c r="AY902"/>
    </row>
    <row r="903" spans="36:51">
      <c r="AJ903" s="22"/>
      <c r="AK903" s="22"/>
      <c r="AL903" s="22"/>
      <c r="AM903" s="22"/>
      <c r="AN903" s="22"/>
      <c r="AO903" s="22"/>
      <c r="AP903" s="22"/>
      <c r="AQ903" s="22"/>
      <c r="AR903"/>
      <c r="AS903"/>
      <c r="AT903"/>
      <c r="AU903"/>
      <c r="AV903"/>
      <c r="AW903"/>
      <c r="AX903"/>
      <c r="AY903"/>
    </row>
    <row r="904" spans="36:51">
      <c r="AJ904" s="22"/>
      <c r="AK904" s="22"/>
      <c r="AL904" s="22"/>
      <c r="AM904" s="22"/>
      <c r="AN904" s="22"/>
      <c r="AO904" s="22"/>
      <c r="AP904" s="22"/>
      <c r="AQ904" s="22"/>
      <c r="AR904"/>
      <c r="AS904"/>
      <c r="AT904"/>
      <c r="AU904"/>
      <c r="AV904"/>
      <c r="AW904"/>
      <c r="AX904"/>
      <c r="AY904"/>
    </row>
    <row r="905" spans="36:51">
      <c r="AJ905" s="22"/>
      <c r="AK905" s="22"/>
      <c r="AL905" s="22"/>
      <c r="AM905" s="22"/>
      <c r="AN905" s="22"/>
      <c r="AO905" s="22"/>
      <c r="AP905" s="22"/>
      <c r="AQ905" s="22"/>
      <c r="AR905"/>
      <c r="AS905"/>
      <c r="AT905"/>
      <c r="AU905"/>
      <c r="AV905"/>
      <c r="AW905"/>
      <c r="AX905"/>
      <c r="AY905"/>
    </row>
    <row r="906" spans="36:51">
      <c r="AJ906" s="22"/>
      <c r="AK906" s="22"/>
      <c r="AL906" s="22"/>
      <c r="AM906" s="22"/>
      <c r="AN906" s="22"/>
      <c r="AO906" s="22"/>
      <c r="AP906" s="22"/>
      <c r="AQ906" s="22"/>
      <c r="AR906"/>
      <c r="AS906"/>
      <c r="AT906"/>
      <c r="AU906"/>
      <c r="AV906"/>
      <c r="AW906"/>
      <c r="AX906"/>
      <c r="AY906"/>
    </row>
    <row r="907" spans="36:51">
      <c r="AJ907" s="22"/>
      <c r="AK907" s="22"/>
      <c r="AL907" s="22"/>
      <c r="AM907" s="22"/>
      <c r="AN907" s="22"/>
      <c r="AO907" s="22"/>
      <c r="AP907" s="22"/>
      <c r="AQ907" s="22"/>
      <c r="AR907"/>
      <c r="AS907"/>
      <c r="AT907"/>
      <c r="AU907"/>
      <c r="AV907"/>
      <c r="AW907"/>
      <c r="AX907"/>
      <c r="AY907"/>
    </row>
    <row r="908" spans="36:51">
      <c r="AJ908" s="22"/>
      <c r="AK908" s="22"/>
      <c r="AL908" s="22"/>
      <c r="AM908" s="22"/>
      <c r="AN908" s="22"/>
      <c r="AO908" s="22"/>
      <c r="AP908" s="22"/>
      <c r="AQ908" s="22"/>
      <c r="AR908"/>
      <c r="AS908"/>
      <c r="AT908"/>
      <c r="AU908"/>
      <c r="AV908"/>
      <c r="AW908"/>
      <c r="AX908"/>
      <c r="AY908"/>
    </row>
    <row r="909" spans="36:51">
      <c r="AJ909" s="22"/>
      <c r="AK909" s="22"/>
      <c r="AL909" s="22"/>
      <c r="AM909" s="22"/>
      <c r="AN909" s="22"/>
      <c r="AO909" s="22"/>
      <c r="AP909" s="22"/>
      <c r="AQ909" s="22"/>
      <c r="AR909"/>
      <c r="AS909"/>
      <c r="AT909"/>
      <c r="AU909"/>
      <c r="AV909"/>
      <c r="AW909"/>
      <c r="AX909"/>
      <c r="AY909"/>
    </row>
    <row r="910" spans="36:51">
      <c r="AJ910" s="22"/>
      <c r="AK910" s="22"/>
      <c r="AL910" s="22"/>
      <c r="AM910" s="22"/>
      <c r="AN910" s="22"/>
      <c r="AO910" s="22"/>
      <c r="AP910" s="22"/>
      <c r="AQ910" s="22"/>
      <c r="AR910"/>
      <c r="AS910"/>
      <c r="AT910"/>
      <c r="AU910"/>
      <c r="AV910"/>
      <c r="AW910"/>
      <c r="AX910"/>
      <c r="AY910"/>
    </row>
    <row r="911" spans="36:51">
      <c r="AJ911" s="22"/>
      <c r="AK911" s="22"/>
      <c r="AL911" s="22"/>
      <c r="AM911" s="22"/>
      <c r="AN911" s="22"/>
      <c r="AO911" s="22"/>
      <c r="AP911" s="22"/>
      <c r="AQ911" s="22"/>
      <c r="AR911"/>
      <c r="AS911"/>
      <c r="AT911"/>
      <c r="AU911"/>
      <c r="AV911"/>
      <c r="AW911"/>
      <c r="AX911"/>
      <c r="AY911"/>
    </row>
    <row r="912" spans="36:51">
      <c r="AJ912" s="22"/>
      <c r="AK912" s="22"/>
      <c r="AL912" s="22"/>
      <c r="AM912" s="22"/>
      <c r="AN912" s="22"/>
      <c r="AO912" s="22"/>
      <c r="AP912" s="22"/>
      <c r="AQ912" s="22"/>
      <c r="AR912"/>
      <c r="AS912"/>
      <c r="AT912"/>
      <c r="AU912"/>
      <c r="AV912"/>
      <c r="AW912"/>
      <c r="AX912"/>
      <c r="AY912"/>
    </row>
    <row r="913" spans="36:51">
      <c r="AJ913" s="22"/>
      <c r="AK913" s="22"/>
      <c r="AL913" s="22"/>
      <c r="AM913" s="22"/>
      <c r="AN913" s="22"/>
      <c r="AO913" s="22"/>
      <c r="AP913" s="22"/>
      <c r="AQ913" s="22"/>
      <c r="AR913"/>
      <c r="AS913"/>
      <c r="AT913"/>
      <c r="AU913"/>
      <c r="AV913"/>
      <c r="AW913"/>
      <c r="AX913"/>
      <c r="AY913"/>
    </row>
    <row r="914" spans="36:51">
      <c r="AJ914" s="22"/>
      <c r="AK914" s="22"/>
      <c r="AL914" s="22"/>
      <c r="AM914" s="22"/>
      <c r="AN914" s="22"/>
      <c r="AO914" s="22"/>
      <c r="AP914" s="22"/>
      <c r="AQ914" s="22"/>
      <c r="AR914"/>
      <c r="AS914"/>
      <c r="AT914"/>
      <c r="AU914"/>
      <c r="AV914"/>
      <c r="AW914"/>
      <c r="AX914"/>
      <c r="AY914"/>
    </row>
    <row r="915" spans="36:51">
      <c r="AJ915" s="22"/>
      <c r="AK915" s="22"/>
      <c r="AL915" s="22"/>
      <c r="AM915" s="22"/>
      <c r="AN915" s="22"/>
      <c r="AO915" s="22"/>
      <c r="AP915" s="22"/>
      <c r="AQ915" s="22"/>
      <c r="AR915"/>
      <c r="AS915"/>
      <c r="AT915"/>
      <c r="AU915"/>
      <c r="AV915"/>
      <c r="AW915"/>
      <c r="AX915"/>
      <c r="AY915"/>
    </row>
    <row r="916" spans="36:51">
      <c r="AJ916" s="22"/>
      <c r="AK916" s="22"/>
      <c r="AL916" s="22"/>
      <c r="AM916" s="22"/>
      <c r="AN916" s="22"/>
      <c r="AO916" s="22"/>
      <c r="AP916" s="22"/>
      <c r="AQ916" s="22"/>
      <c r="AR916"/>
      <c r="AS916"/>
      <c r="AT916"/>
      <c r="AU916"/>
      <c r="AV916"/>
      <c r="AW916"/>
      <c r="AX916"/>
      <c r="AY916"/>
    </row>
    <row r="917" spans="36:51">
      <c r="AJ917" s="22"/>
      <c r="AK917" s="22"/>
      <c r="AL917" s="22"/>
      <c r="AM917" s="22"/>
      <c r="AN917" s="22"/>
      <c r="AO917" s="22"/>
      <c r="AP917" s="22"/>
      <c r="AQ917" s="22"/>
      <c r="AR917"/>
      <c r="AS917"/>
      <c r="AT917"/>
      <c r="AU917"/>
      <c r="AV917"/>
      <c r="AW917"/>
      <c r="AX917"/>
      <c r="AY917"/>
    </row>
    <row r="918" spans="36:51">
      <c r="AJ918" s="22"/>
      <c r="AK918" s="22"/>
      <c r="AL918" s="22"/>
      <c r="AM918" s="22"/>
      <c r="AN918" s="22"/>
      <c r="AO918" s="22"/>
      <c r="AP918" s="22"/>
      <c r="AQ918" s="22"/>
      <c r="AR918"/>
      <c r="AS918"/>
      <c r="AT918"/>
      <c r="AU918"/>
      <c r="AV918"/>
      <c r="AW918"/>
      <c r="AX918"/>
      <c r="AY918"/>
    </row>
    <row r="919" spans="36:51">
      <c r="AJ919" s="22"/>
      <c r="AK919" s="22"/>
      <c r="AL919" s="22"/>
      <c r="AM919" s="22"/>
      <c r="AN919" s="22"/>
      <c r="AO919" s="22"/>
      <c r="AP919" s="22"/>
      <c r="AQ919" s="22"/>
      <c r="AR919"/>
      <c r="AS919"/>
      <c r="AT919"/>
      <c r="AU919"/>
      <c r="AV919"/>
      <c r="AW919"/>
      <c r="AX919"/>
      <c r="AY919"/>
    </row>
    <row r="920" spans="36:51">
      <c r="AJ920" s="22"/>
      <c r="AK920" s="22"/>
      <c r="AL920" s="22"/>
      <c r="AM920" s="22"/>
      <c r="AN920" s="22"/>
      <c r="AO920" s="22"/>
      <c r="AP920" s="22"/>
      <c r="AQ920" s="22"/>
      <c r="AR920"/>
      <c r="AS920"/>
      <c r="AT920"/>
      <c r="AU920"/>
      <c r="AV920"/>
      <c r="AW920"/>
      <c r="AX920"/>
      <c r="AY920"/>
    </row>
    <row r="921" spans="36:51">
      <c r="AJ921" s="22"/>
      <c r="AK921" s="22"/>
      <c r="AL921" s="22"/>
      <c r="AM921" s="22"/>
      <c r="AN921" s="22"/>
      <c r="AO921" s="22"/>
      <c r="AP921" s="22"/>
      <c r="AQ921" s="22"/>
      <c r="AR921"/>
      <c r="AS921"/>
      <c r="AT921"/>
      <c r="AU921"/>
      <c r="AV921"/>
      <c r="AW921"/>
      <c r="AX921"/>
      <c r="AY921"/>
    </row>
    <row r="922" spans="36:51">
      <c r="AJ922" s="22"/>
      <c r="AK922" s="22"/>
      <c r="AL922" s="22"/>
      <c r="AM922" s="22"/>
      <c r="AN922" s="22"/>
      <c r="AO922" s="22"/>
      <c r="AP922" s="22"/>
      <c r="AQ922" s="22"/>
      <c r="AR922"/>
      <c r="AS922"/>
      <c r="AT922"/>
      <c r="AU922"/>
      <c r="AV922"/>
      <c r="AW922"/>
      <c r="AX922"/>
      <c r="AY922"/>
    </row>
    <row r="923" spans="36:51">
      <c r="AJ923" s="22"/>
      <c r="AK923" s="22"/>
      <c r="AL923" s="22"/>
      <c r="AM923" s="22"/>
      <c r="AN923" s="22"/>
      <c r="AO923" s="22"/>
      <c r="AP923" s="22"/>
      <c r="AQ923" s="22"/>
      <c r="AR923"/>
      <c r="AS923"/>
      <c r="AT923"/>
      <c r="AU923"/>
      <c r="AV923"/>
      <c r="AW923"/>
      <c r="AX923"/>
      <c r="AY923"/>
    </row>
    <row r="924" spans="36:51">
      <c r="AJ924" s="22"/>
      <c r="AK924" s="22"/>
      <c r="AL924" s="22"/>
      <c r="AM924" s="22"/>
      <c r="AN924" s="22"/>
      <c r="AO924" s="22"/>
      <c r="AP924" s="22"/>
      <c r="AQ924" s="22"/>
      <c r="AR924"/>
      <c r="AS924"/>
      <c r="AT924"/>
      <c r="AU924"/>
      <c r="AV924"/>
      <c r="AW924"/>
      <c r="AX924"/>
      <c r="AY924"/>
    </row>
    <row r="925" spans="36:51">
      <c r="AJ925" s="22"/>
      <c r="AK925" s="22"/>
      <c r="AL925" s="22"/>
      <c r="AM925" s="22"/>
      <c r="AN925" s="22"/>
      <c r="AO925" s="22"/>
      <c r="AP925" s="22"/>
      <c r="AQ925" s="22"/>
      <c r="AR925"/>
      <c r="AS925"/>
      <c r="AT925"/>
      <c r="AU925"/>
      <c r="AV925"/>
      <c r="AW925"/>
      <c r="AX925"/>
      <c r="AY925"/>
    </row>
    <row r="926" spans="36:51">
      <c r="AJ926" s="22"/>
      <c r="AK926" s="22"/>
      <c r="AL926" s="22"/>
      <c r="AM926" s="22"/>
      <c r="AN926" s="22"/>
      <c r="AO926" s="22"/>
      <c r="AP926" s="22"/>
      <c r="AQ926" s="22"/>
      <c r="AR926"/>
      <c r="AS926"/>
      <c r="AT926"/>
      <c r="AU926"/>
      <c r="AV926"/>
      <c r="AW926"/>
      <c r="AX926"/>
      <c r="AY926"/>
    </row>
    <row r="927" spans="36:51">
      <c r="AJ927" s="22"/>
      <c r="AK927" s="22"/>
      <c r="AL927" s="22"/>
      <c r="AM927" s="22"/>
      <c r="AN927" s="22"/>
      <c r="AO927" s="22"/>
      <c r="AP927" s="22"/>
      <c r="AQ927" s="22"/>
      <c r="AR927"/>
      <c r="AS927"/>
      <c r="AT927"/>
      <c r="AU927"/>
      <c r="AV927"/>
      <c r="AW927"/>
      <c r="AX927"/>
      <c r="AY927"/>
    </row>
    <row r="928" spans="36:51">
      <c r="AJ928" s="22"/>
      <c r="AK928" s="22"/>
      <c r="AL928" s="22"/>
      <c r="AM928" s="22"/>
      <c r="AN928" s="22"/>
      <c r="AO928" s="22"/>
      <c r="AP928" s="22"/>
      <c r="AQ928" s="22"/>
      <c r="AR928"/>
      <c r="AS928"/>
      <c r="AT928"/>
      <c r="AU928"/>
      <c r="AV928"/>
      <c r="AW928"/>
      <c r="AX928"/>
      <c r="AY928"/>
    </row>
    <row r="929" spans="36:51">
      <c r="AJ929" s="22"/>
      <c r="AK929" s="22"/>
      <c r="AL929" s="22"/>
      <c r="AM929" s="22"/>
      <c r="AN929" s="22"/>
      <c r="AO929" s="22"/>
      <c r="AP929" s="22"/>
      <c r="AQ929" s="22"/>
      <c r="AR929"/>
      <c r="AS929"/>
      <c r="AT929"/>
      <c r="AU929"/>
      <c r="AV929"/>
      <c r="AW929"/>
      <c r="AX929"/>
      <c r="AY929"/>
    </row>
    <row r="930" spans="36:51">
      <c r="AJ930" s="22"/>
      <c r="AK930" s="22"/>
      <c r="AL930" s="22"/>
      <c r="AM930" s="22"/>
      <c r="AN930" s="22"/>
      <c r="AO930" s="22"/>
      <c r="AP930" s="22"/>
      <c r="AQ930" s="22"/>
      <c r="AR930"/>
      <c r="AS930"/>
      <c r="AT930"/>
      <c r="AU930"/>
      <c r="AV930"/>
      <c r="AW930"/>
      <c r="AX930"/>
      <c r="AY930"/>
    </row>
    <row r="931" spans="36:51">
      <c r="AJ931" s="22"/>
      <c r="AK931" s="22"/>
      <c r="AL931" s="22"/>
      <c r="AM931" s="22"/>
      <c r="AN931" s="22"/>
      <c r="AO931" s="22"/>
      <c r="AP931" s="22"/>
      <c r="AQ931" s="22"/>
      <c r="AR931"/>
      <c r="AS931"/>
      <c r="AT931"/>
      <c r="AU931"/>
      <c r="AV931"/>
      <c r="AW931"/>
      <c r="AX931"/>
      <c r="AY931"/>
    </row>
    <row r="932" spans="36:51">
      <c r="AJ932" s="22"/>
      <c r="AK932" s="22"/>
      <c r="AL932" s="22"/>
      <c r="AM932" s="22"/>
      <c r="AN932" s="22"/>
      <c r="AO932" s="22"/>
      <c r="AP932" s="22"/>
      <c r="AQ932" s="22"/>
      <c r="AR932"/>
      <c r="AS932"/>
      <c r="AT932"/>
      <c r="AU932"/>
      <c r="AV932"/>
      <c r="AW932"/>
      <c r="AX932"/>
      <c r="AY932"/>
    </row>
    <row r="933" spans="36:51">
      <c r="AJ933" s="22"/>
      <c r="AK933" s="22"/>
      <c r="AL933" s="22"/>
      <c r="AM933" s="22"/>
      <c r="AN933" s="22"/>
      <c r="AO933" s="22"/>
      <c r="AP933" s="22"/>
      <c r="AQ933" s="22"/>
      <c r="AR933"/>
      <c r="AS933"/>
      <c r="AT933"/>
      <c r="AU933"/>
      <c r="AV933"/>
      <c r="AW933"/>
      <c r="AX933"/>
      <c r="AY933"/>
    </row>
    <row r="934" spans="36:51">
      <c r="AJ934" s="22"/>
      <c r="AK934" s="22"/>
      <c r="AL934" s="22"/>
      <c r="AM934" s="22"/>
      <c r="AN934" s="22"/>
      <c r="AO934" s="22"/>
      <c r="AP934" s="22"/>
      <c r="AQ934" s="22"/>
      <c r="AR934"/>
      <c r="AS934"/>
      <c r="AT934"/>
      <c r="AU934"/>
      <c r="AV934"/>
      <c r="AW934"/>
      <c r="AX934"/>
      <c r="AY934"/>
    </row>
    <row r="935" spans="36:51">
      <c r="AJ935" s="22"/>
      <c r="AK935" s="22"/>
      <c r="AL935" s="22"/>
      <c r="AM935" s="22"/>
      <c r="AN935" s="22"/>
      <c r="AO935" s="22"/>
      <c r="AP935" s="22"/>
      <c r="AQ935" s="22"/>
      <c r="AR935"/>
      <c r="AS935"/>
      <c r="AT935"/>
      <c r="AU935"/>
      <c r="AV935"/>
      <c r="AW935"/>
      <c r="AX935"/>
      <c r="AY935"/>
    </row>
    <row r="936" spans="36:51">
      <c r="AJ936" s="22"/>
      <c r="AK936" s="22"/>
      <c r="AL936" s="22"/>
      <c r="AM936" s="22"/>
      <c r="AN936" s="22"/>
      <c r="AO936" s="22"/>
      <c r="AP936" s="22"/>
      <c r="AQ936" s="22"/>
      <c r="AR936"/>
      <c r="AS936"/>
      <c r="AT936"/>
      <c r="AU936"/>
      <c r="AV936"/>
      <c r="AW936"/>
      <c r="AX936"/>
      <c r="AY936"/>
    </row>
    <row r="937" spans="36:51">
      <c r="AJ937" s="22"/>
      <c r="AK937" s="22"/>
      <c r="AL937" s="22"/>
      <c r="AM937" s="22"/>
      <c r="AN937" s="22"/>
      <c r="AO937" s="22"/>
      <c r="AP937" s="22"/>
      <c r="AQ937" s="22"/>
      <c r="AR937"/>
      <c r="AS937"/>
      <c r="AT937"/>
      <c r="AU937"/>
      <c r="AV937"/>
      <c r="AW937"/>
      <c r="AX937"/>
      <c r="AY937"/>
    </row>
    <row r="938" spans="36:51">
      <c r="AJ938" s="22"/>
      <c r="AK938" s="22"/>
      <c r="AL938" s="22"/>
      <c r="AM938" s="22"/>
      <c r="AN938" s="22"/>
      <c r="AO938" s="22"/>
      <c r="AP938" s="22"/>
      <c r="AQ938" s="22"/>
      <c r="AR938"/>
      <c r="AS938"/>
      <c r="AT938"/>
      <c r="AU938"/>
      <c r="AV938"/>
      <c r="AW938"/>
      <c r="AX938"/>
      <c r="AY938"/>
    </row>
    <row r="939" spans="36:51">
      <c r="AJ939" s="22"/>
      <c r="AK939" s="22"/>
      <c r="AL939" s="22"/>
      <c r="AM939" s="22"/>
      <c r="AN939" s="22"/>
      <c r="AO939" s="22"/>
      <c r="AP939" s="22"/>
      <c r="AQ939" s="22"/>
      <c r="AR939"/>
      <c r="AS939"/>
      <c r="AT939"/>
      <c r="AU939"/>
      <c r="AV939"/>
      <c r="AW939"/>
      <c r="AX939"/>
      <c r="AY939"/>
    </row>
    <row r="940" spans="36:51">
      <c r="AJ940" s="22"/>
      <c r="AK940" s="22"/>
      <c r="AL940" s="22"/>
      <c r="AM940" s="22"/>
      <c r="AN940" s="22"/>
      <c r="AO940" s="22"/>
      <c r="AP940" s="22"/>
      <c r="AQ940" s="22"/>
      <c r="AR940"/>
      <c r="AS940"/>
      <c r="AT940"/>
      <c r="AU940"/>
      <c r="AV940"/>
      <c r="AW940"/>
      <c r="AX940"/>
      <c r="AY940"/>
    </row>
    <row r="941" spans="36:51">
      <c r="AJ941" s="22"/>
      <c r="AK941" s="22"/>
      <c r="AL941" s="22"/>
      <c r="AM941" s="22"/>
      <c r="AN941" s="22"/>
      <c r="AO941" s="22"/>
      <c r="AP941" s="22"/>
      <c r="AQ941" s="22"/>
      <c r="AR941"/>
      <c r="AS941"/>
      <c r="AT941"/>
      <c r="AU941"/>
      <c r="AV941"/>
      <c r="AW941"/>
      <c r="AX941"/>
      <c r="AY941"/>
    </row>
    <row r="942" spans="36:51">
      <c r="AJ942" s="22"/>
      <c r="AK942" s="22"/>
      <c r="AL942" s="22"/>
      <c r="AM942" s="22"/>
      <c r="AN942" s="22"/>
      <c r="AO942" s="22"/>
      <c r="AP942" s="22"/>
      <c r="AQ942" s="22"/>
      <c r="AR942"/>
      <c r="AS942"/>
      <c r="AT942"/>
      <c r="AU942"/>
      <c r="AV942"/>
      <c r="AW942"/>
      <c r="AX942"/>
      <c r="AY942"/>
    </row>
    <row r="943" spans="36:51">
      <c r="AJ943" s="22"/>
      <c r="AK943" s="22"/>
      <c r="AL943" s="22"/>
      <c r="AM943" s="22"/>
      <c r="AN943" s="22"/>
      <c r="AO943" s="22"/>
      <c r="AP943" s="22"/>
      <c r="AQ943" s="22"/>
      <c r="AR943"/>
      <c r="AS943"/>
      <c r="AT943"/>
      <c r="AU943"/>
      <c r="AV943"/>
      <c r="AW943"/>
      <c r="AX943"/>
      <c r="AY943"/>
    </row>
    <row r="944" spans="36:51">
      <c r="AJ944" s="22"/>
      <c r="AK944" s="22"/>
      <c r="AL944" s="22"/>
      <c r="AM944" s="22"/>
      <c r="AN944" s="22"/>
      <c r="AO944" s="22"/>
      <c r="AP944" s="22"/>
      <c r="AQ944" s="22"/>
      <c r="AR944"/>
      <c r="AS944"/>
      <c r="AT944"/>
      <c r="AU944"/>
      <c r="AV944"/>
      <c r="AW944"/>
      <c r="AX944"/>
      <c r="AY944"/>
    </row>
    <row r="945" spans="36:51">
      <c r="AJ945" s="22"/>
      <c r="AK945" s="22"/>
      <c r="AL945" s="22"/>
      <c r="AM945" s="22"/>
      <c r="AN945" s="22"/>
      <c r="AO945" s="22"/>
      <c r="AP945" s="22"/>
      <c r="AQ945" s="22"/>
      <c r="AR945"/>
      <c r="AS945"/>
      <c r="AT945"/>
      <c r="AU945"/>
      <c r="AV945"/>
      <c r="AW945"/>
      <c r="AX945"/>
      <c r="AY945"/>
    </row>
    <row r="946" spans="36:51">
      <c r="AJ946" s="22"/>
      <c r="AK946" s="22"/>
      <c r="AL946" s="22"/>
      <c r="AM946" s="22"/>
      <c r="AN946" s="22"/>
      <c r="AO946" s="22"/>
      <c r="AP946" s="22"/>
      <c r="AQ946" s="22"/>
      <c r="AR946"/>
      <c r="AS946"/>
      <c r="AT946"/>
      <c r="AU946"/>
      <c r="AV946"/>
      <c r="AW946"/>
      <c r="AX946"/>
      <c r="AY946"/>
    </row>
    <row r="947" spans="36:51">
      <c r="AJ947" s="22"/>
      <c r="AK947" s="22"/>
      <c r="AL947" s="22"/>
      <c r="AM947" s="22"/>
      <c r="AN947" s="22"/>
      <c r="AO947" s="22"/>
      <c r="AP947" s="22"/>
      <c r="AQ947" s="22"/>
      <c r="AR947"/>
      <c r="AS947"/>
      <c r="AT947"/>
      <c r="AU947"/>
      <c r="AV947"/>
      <c r="AW947"/>
      <c r="AX947"/>
      <c r="AY947"/>
    </row>
    <row r="948" spans="36:51">
      <c r="AJ948" s="22"/>
      <c r="AK948" s="22"/>
      <c r="AL948" s="22"/>
      <c r="AM948" s="22"/>
      <c r="AN948" s="22"/>
      <c r="AO948" s="22"/>
      <c r="AP948" s="22"/>
      <c r="AQ948" s="22"/>
      <c r="AR948"/>
      <c r="AS948"/>
      <c r="AT948"/>
      <c r="AU948"/>
      <c r="AV948"/>
      <c r="AW948"/>
      <c r="AX948"/>
      <c r="AY948"/>
    </row>
    <row r="949" spans="36:51">
      <c r="AJ949" s="22"/>
      <c r="AK949" s="22"/>
      <c r="AL949" s="22"/>
      <c r="AM949" s="22"/>
      <c r="AN949" s="22"/>
      <c r="AO949" s="22"/>
      <c r="AP949" s="22"/>
      <c r="AQ949" s="22"/>
      <c r="AR949"/>
      <c r="AS949"/>
      <c r="AT949"/>
      <c r="AU949"/>
      <c r="AV949"/>
      <c r="AW949"/>
      <c r="AX949"/>
      <c r="AY949"/>
    </row>
    <row r="950" spans="36:51">
      <c r="AJ950" s="22"/>
      <c r="AK950" s="22"/>
      <c r="AL950" s="22"/>
      <c r="AM950" s="22"/>
      <c r="AN950" s="22"/>
      <c r="AO950" s="22"/>
      <c r="AP950" s="22"/>
      <c r="AQ950" s="22"/>
      <c r="AR950"/>
      <c r="AS950"/>
      <c r="AT950"/>
      <c r="AU950"/>
      <c r="AV950"/>
      <c r="AW950"/>
      <c r="AX950"/>
      <c r="AY950"/>
    </row>
    <row r="951" spans="36:51">
      <c r="AJ951" s="22"/>
      <c r="AK951" s="22"/>
      <c r="AL951" s="22"/>
      <c r="AM951" s="22"/>
      <c r="AN951" s="22"/>
      <c r="AO951" s="22"/>
      <c r="AP951" s="22"/>
      <c r="AQ951" s="22"/>
      <c r="AR951"/>
      <c r="AS951"/>
      <c r="AT951"/>
      <c r="AU951"/>
      <c r="AV951"/>
      <c r="AW951"/>
      <c r="AX951"/>
      <c r="AY951"/>
    </row>
    <row r="952" spans="36:51">
      <c r="AJ952" s="22"/>
      <c r="AK952" s="22"/>
      <c r="AL952" s="22"/>
      <c r="AM952" s="22"/>
      <c r="AN952" s="22"/>
      <c r="AO952" s="22"/>
      <c r="AP952" s="22"/>
      <c r="AQ952" s="22"/>
      <c r="AR952"/>
      <c r="AS952"/>
      <c r="AT952"/>
      <c r="AU952"/>
      <c r="AV952"/>
      <c r="AW952"/>
      <c r="AX952"/>
      <c r="AY952"/>
    </row>
    <row r="953" spans="36:51">
      <c r="AJ953" s="22"/>
      <c r="AK953" s="22"/>
      <c r="AL953" s="22"/>
      <c r="AM953" s="22"/>
      <c r="AN953" s="22"/>
      <c r="AO953" s="22"/>
      <c r="AP953" s="22"/>
      <c r="AQ953" s="22"/>
      <c r="AR953"/>
      <c r="AS953"/>
      <c r="AT953"/>
      <c r="AU953"/>
      <c r="AV953"/>
      <c r="AW953"/>
      <c r="AX953"/>
      <c r="AY953"/>
    </row>
    <row r="954" spans="36:51">
      <c r="AJ954" s="22"/>
      <c r="AK954" s="22"/>
      <c r="AL954" s="22"/>
      <c r="AM954" s="22"/>
      <c r="AN954" s="22"/>
      <c r="AO954" s="22"/>
      <c r="AP954" s="22"/>
      <c r="AQ954" s="22"/>
      <c r="AR954"/>
      <c r="AS954"/>
      <c r="AT954"/>
      <c r="AU954"/>
      <c r="AV954"/>
      <c r="AW954"/>
      <c r="AX954"/>
      <c r="AY954"/>
    </row>
    <row r="955" spans="36:51">
      <c r="AJ955" s="22"/>
      <c r="AK955" s="22"/>
      <c r="AL955" s="22"/>
      <c r="AM955" s="22"/>
      <c r="AN955" s="22"/>
      <c r="AO955" s="22"/>
      <c r="AP955" s="22"/>
      <c r="AQ955" s="22"/>
      <c r="AR955"/>
      <c r="AS955"/>
      <c r="AT955"/>
      <c r="AU955"/>
      <c r="AV955"/>
      <c r="AW955"/>
      <c r="AX955"/>
      <c r="AY955"/>
    </row>
    <row r="956" spans="36:51">
      <c r="AJ956" s="22"/>
      <c r="AK956" s="22"/>
      <c r="AL956" s="22"/>
      <c r="AM956" s="22"/>
      <c r="AN956" s="22"/>
      <c r="AO956" s="22"/>
      <c r="AP956" s="22"/>
      <c r="AQ956" s="22"/>
      <c r="AR956"/>
      <c r="AS956"/>
      <c r="AT956"/>
      <c r="AU956"/>
      <c r="AV956"/>
      <c r="AW956"/>
      <c r="AX956"/>
      <c r="AY956"/>
    </row>
    <row r="957" spans="36:51">
      <c r="AJ957" s="22"/>
      <c r="AK957" s="22"/>
      <c r="AL957" s="22"/>
      <c r="AM957" s="22"/>
      <c r="AN957" s="22"/>
      <c r="AO957" s="22"/>
      <c r="AP957" s="22"/>
      <c r="AQ957" s="22"/>
      <c r="AR957"/>
      <c r="AS957"/>
      <c r="AT957"/>
      <c r="AU957"/>
      <c r="AV957"/>
      <c r="AW957"/>
      <c r="AX957"/>
      <c r="AY957"/>
    </row>
    <row r="958" spans="36:51">
      <c r="AJ958" s="22"/>
      <c r="AK958" s="22"/>
      <c r="AL958" s="22"/>
      <c r="AM958" s="22"/>
      <c r="AN958" s="22"/>
      <c r="AO958" s="22"/>
      <c r="AP958" s="22"/>
      <c r="AQ958" s="22"/>
      <c r="AR958"/>
      <c r="AS958"/>
      <c r="AT958"/>
      <c r="AU958"/>
      <c r="AV958"/>
      <c r="AW958"/>
      <c r="AX958"/>
      <c r="AY958"/>
    </row>
    <row r="959" spans="36:51">
      <c r="AJ959" s="22"/>
      <c r="AK959" s="22"/>
      <c r="AL959" s="22"/>
      <c r="AM959" s="22"/>
      <c r="AN959" s="22"/>
      <c r="AO959" s="22"/>
      <c r="AP959" s="22"/>
      <c r="AQ959" s="22"/>
      <c r="AR959"/>
      <c r="AS959"/>
      <c r="AT959"/>
      <c r="AU959"/>
      <c r="AV959"/>
      <c r="AW959"/>
      <c r="AX959"/>
      <c r="AY959"/>
    </row>
    <row r="960" spans="36:51">
      <c r="AJ960" s="22"/>
      <c r="AK960" s="22"/>
      <c r="AL960" s="22"/>
      <c r="AM960" s="22"/>
      <c r="AN960" s="22"/>
      <c r="AO960" s="22"/>
      <c r="AP960" s="22"/>
      <c r="AQ960" s="22"/>
      <c r="AR960"/>
      <c r="AS960"/>
      <c r="AT960"/>
      <c r="AU960"/>
      <c r="AV960"/>
      <c r="AW960"/>
      <c r="AX960"/>
      <c r="AY960"/>
    </row>
    <row r="961" spans="36:51">
      <c r="AJ961" s="22"/>
      <c r="AK961" s="22"/>
      <c r="AL961" s="22"/>
      <c r="AM961" s="22"/>
      <c r="AN961" s="22"/>
      <c r="AO961" s="22"/>
      <c r="AP961" s="22"/>
      <c r="AQ961" s="22"/>
      <c r="AR961"/>
      <c r="AS961"/>
      <c r="AT961"/>
      <c r="AU961"/>
      <c r="AV961"/>
      <c r="AW961"/>
      <c r="AX961"/>
      <c r="AY961"/>
    </row>
    <row r="962" spans="36:51">
      <c r="AJ962" s="22"/>
      <c r="AK962" s="22"/>
      <c r="AL962" s="22"/>
      <c r="AM962" s="22"/>
      <c r="AN962" s="22"/>
      <c r="AO962" s="22"/>
      <c r="AP962" s="22"/>
      <c r="AQ962" s="22"/>
      <c r="AR962"/>
      <c r="AS962"/>
      <c r="AT962"/>
      <c r="AU962"/>
      <c r="AV962"/>
      <c r="AW962"/>
      <c r="AX962"/>
      <c r="AY962"/>
    </row>
    <row r="963" spans="36:51">
      <c r="AJ963" s="22"/>
      <c r="AK963" s="22"/>
      <c r="AL963" s="22"/>
      <c r="AM963" s="22"/>
      <c r="AN963" s="22"/>
      <c r="AO963" s="22"/>
      <c r="AP963" s="22"/>
      <c r="AQ963" s="22"/>
      <c r="AR963"/>
      <c r="AS963"/>
      <c r="AT963"/>
      <c r="AU963"/>
      <c r="AV963"/>
      <c r="AW963"/>
      <c r="AX963"/>
      <c r="AY963"/>
    </row>
    <row r="964" spans="36:51">
      <c r="AJ964" s="22"/>
      <c r="AK964" s="22"/>
      <c r="AL964" s="22"/>
      <c r="AM964" s="22"/>
      <c r="AN964" s="22"/>
      <c r="AO964" s="22"/>
      <c r="AP964" s="22"/>
      <c r="AQ964" s="22"/>
      <c r="AR964"/>
      <c r="AS964"/>
      <c r="AT964"/>
      <c r="AU964"/>
      <c r="AV964"/>
      <c r="AW964"/>
      <c r="AX964"/>
      <c r="AY964"/>
    </row>
    <row r="965" spans="36:51">
      <c r="AJ965" s="22"/>
      <c r="AK965" s="22"/>
      <c r="AL965" s="22"/>
      <c r="AM965" s="22"/>
      <c r="AN965" s="22"/>
      <c r="AO965" s="22"/>
      <c r="AP965" s="22"/>
      <c r="AQ965" s="22"/>
      <c r="AR965"/>
      <c r="AS965"/>
      <c r="AT965"/>
      <c r="AU965"/>
      <c r="AV965"/>
      <c r="AW965"/>
      <c r="AX965"/>
      <c r="AY965"/>
    </row>
    <row r="966" spans="36:51">
      <c r="AJ966" s="22"/>
      <c r="AK966" s="22"/>
      <c r="AL966" s="22"/>
      <c r="AM966" s="22"/>
      <c r="AN966" s="22"/>
      <c r="AO966" s="22"/>
      <c r="AP966" s="22"/>
      <c r="AQ966" s="22"/>
      <c r="AR966"/>
      <c r="AS966"/>
      <c r="AT966"/>
      <c r="AU966"/>
      <c r="AV966"/>
      <c r="AW966"/>
      <c r="AX966"/>
      <c r="AY966"/>
    </row>
    <row r="967" spans="36:51">
      <c r="AJ967" s="22"/>
      <c r="AK967" s="22"/>
      <c r="AL967" s="22"/>
      <c r="AM967" s="22"/>
      <c r="AN967" s="22"/>
      <c r="AO967" s="22"/>
      <c r="AP967" s="22"/>
      <c r="AQ967" s="22"/>
      <c r="AR967"/>
      <c r="AS967"/>
      <c r="AT967"/>
      <c r="AU967"/>
      <c r="AV967"/>
      <c r="AW967"/>
      <c r="AX967"/>
      <c r="AY967"/>
    </row>
    <row r="968" spans="36:51">
      <c r="AJ968" s="22"/>
      <c r="AK968" s="22"/>
      <c r="AL968" s="22"/>
      <c r="AM968" s="22"/>
      <c r="AN968" s="22"/>
      <c r="AO968" s="22"/>
      <c r="AP968" s="22"/>
      <c r="AQ968" s="22"/>
      <c r="AR968"/>
      <c r="AS968"/>
      <c r="AT968"/>
      <c r="AU968"/>
      <c r="AV968"/>
      <c r="AW968"/>
      <c r="AX968"/>
      <c r="AY968"/>
    </row>
    <row r="969" spans="36:51">
      <c r="AJ969" s="22"/>
      <c r="AK969" s="22"/>
      <c r="AL969" s="22"/>
      <c r="AM969" s="22"/>
      <c r="AN969" s="22"/>
      <c r="AO969" s="22"/>
      <c r="AP969" s="22"/>
      <c r="AQ969" s="22"/>
      <c r="AR969"/>
      <c r="AS969"/>
      <c r="AT969"/>
      <c r="AU969"/>
      <c r="AV969"/>
      <c r="AW969"/>
      <c r="AX969"/>
      <c r="AY969"/>
    </row>
    <row r="970" spans="36:51">
      <c r="AJ970" s="22"/>
      <c r="AK970" s="22"/>
      <c r="AL970" s="22"/>
      <c r="AM970" s="22"/>
      <c r="AN970" s="22"/>
      <c r="AO970" s="22"/>
      <c r="AP970" s="22"/>
      <c r="AQ970" s="22"/>
      <c r="AR970"/>
      <c r="AS970"/>
      <c r="AT970"/>
      <c r="AU970"/>
      <c r="AV970"/>
      <c r="AW970"/>
      <c r="AX970"/>
      <c r="AY970"/>
    </row>
    <row r="971" spans="36:51">
      <c r="AJ971" s="22"/>
      <c r="AK971" s="22"/>
      <c r="AL971" s="22"/>
      <c r="AM971" s="22"/>
      <c r="AN971" s="22"/>
      <c r="AO971" s="22"/>
      <c r="AP971" s="22"/>
      <c r="AQ971" s="22"/>
      <c r="AR971"/>
      <c r="AS971"/>
      <c r="AT971"/>
      <c r="AU971"/>
      <c r="AV971"/>
      <c r="AW971"/>
      <c r="AX971"/>
      <c r="AY971"/>
    </row>
    <row r="972" spans="36:51">
      <c r="AJ972" s="22"/>
      <c r="AK972" s="22"/>
      <c r="AL972" s="22"/>
      <c r="AM972" s="22"/>
      <c r="AN972" s="22"/>
      <c r="AO972" s="22"/>
      <c r="AP972" s="22"/>
      <c r="AQ972" s="22"/>
      <c r="AR972"/>
      <c r="AS972"/>
      <c r="AT972"/>
      <c r="AU972"/>
      <c r="AV972"/>
      <c r="AW972"/>
      <c r="AX972"/>
      <c r="AY972"/>
    </row>
    <row r="973" spans="36:51">
      <c r="AJ973" s="22"/>
      <c r="AK973" s="22"/>
      <c r="AL973" s="22"/>
      <c r="AM973" s="22"/>
      <c r="AN973" s="22"/>
      <c r="AO973" s="22"/>
      <c r="AP973" s="22"/>
      <c r="AQ973" s="22"/>
      <c r="AR973"/>
      <c r="AS973"/>
      <c r="AT973"/>
      <c r="AU973"/>
      <c r="AV973"/>
      <c r="AW973"/>
      <c r="AX973"/>
      <c r="AY973"/>
    </row>
    <row r="974" spans="36:51">
      <c r="AJ974" s="22"/>
      <c r="AK974" s="22"/>
      <c r="AL974" s="22"/>
      <c r="AM974" s="22"/>
      <c r="AN974" s="22"/>
      <c r="AO974" s="22"/>
      <c r="AP974" s="22"/>
      <c r="AQ974" s="22"/>
      <c r="AR974"/>
      <c r="AS974"/>
      <c r="AT974"/>
      <c r="AU974"/>
      <c r="AV974"/>
      <c r="AW974"/>
      <c r="AX974"/>
      <c r="AY974"/>
    </row>
    <row r="975" spans="36:51">
      <c r="AJ975" s="22"/>
      <c r="AK975" s="22"/>
      <c r="AL975" s="22"/>
      <c r="AM975" s="22"/>
      <c r="AN975" s="22"/>
      <c r="AO975" s="22"/>
      <c r="AP975" s="22"/>
      <c r="AQ975" s="22"/>
      <c r="AR975"/>
      <c r="AS975"/>
      <c r="AT975"/>
      <c r="AU975"/>
      <c r="AV975"/>
      <c r="AW975"/>
      <c r="AX975"/>
      <c r="AY975"/>
    </row>
    <row r="976" spans="36:51">
      <c r="AJ976" s="22"/>
      <c r="AK976" s="22"/>
      <c r="AL976" s="22"/>
      <c r="AM976" s="22"/>
      <c r="AN976" s="22"/>
      <c r="AO976" s="22"/>
      <c r="AP976" s="22"/>
      <c r="AQ976" s="22"/>
      <c r="AR976"/>
      <c r="AS976"/>
      <c r="AT976"/>
      <c r="AU976"/>
      <c r="AV976"/>
      <c r="AW976"/>
      <c r="AX976"/>
      <c r="AY976"/>
    </row>
    <row r="977" spans="36:51">
      <c r="AJ977" s="22"/>
      <c r="AK977" s="22"/>
      <c r="AL977" s="22"/>
      <c r="AM977" s="22"/>
      <c r="AN977" s="22"/>
      <c r="AO977" s="22"/>
      <c r="AP977" s="22"/>
      <c r="AQ977" s="22"/>
      <c r="AR977"/>
      <c r="AS977"/>
      <c r="AT977"/>
      <c r="AU977"/>
      <c r="AV977"/>
      <c r="AW977"/>
      <c r="AX977"/>
      <c r="AY977"/>
    </row>
    <row r="978" spans="36:51">
      <c r="AJ978" s="22"/>
      <c r="AK978" s="22"/>
      <c r="AL978" s="22"/>
      <c r="AM978" s="22"/>
      <c r="AN978" s="22"/>
      <c r="AO978" s="22"/>
      <c r="AP978" s="22"/>
      <c r="AQ978" s="22"/>
      <c r="AR978"/>
      <c r="AS978"/>
      <c r="AT978"/>
      <c r="AU978"/>
      <c r="AV978"/>
      <c r="AW978"/>
      <c r="AX978"/>
      <c r="AY978"/>
    </row>
    <row r="979" spans="36:51">
      <c r="AJ979" s="22"/>
      <c r="AK979" s="22"/>
      <c r="AL979" s="22"/>
      <c r="AM979" s="22"/>
      <c r="AN979" s="22"/>
      <c r="AO979" s="22"/>
      <c r="AP979" s="22"/>
      <c r="AQ979" s="22"/>
      <c r="AR979"/>
      <c r="AS979"/>
      <c r="AT979"/>
      <c r="AU979"/>
      <c r="AV979"/>
      <c r="AW979"/>
      <c r="AX979"/>
      <c r="AY979"/>
    </row>
    <row r="980" spans="36:51">
      <c r="AJ980" s="22"/>
      <c r="AK980" s="22"/>
      <c r="AL980" s="22"/>
      <c r="AM980" s="22"/>
      <c r="AN980" s="22"/>
      <c r="AO980" s="22"/>
      <c r="AP980" s="22"/>
      <c r="AQ980" s="22"/>
      <c r="AR980"/>
      <c r="AS980"/>
      <c r="AT980"/>
      <c r="AU980"/>
      <c r="AV980"/>
      <c r="AW980"/>
      <c r="AX980"/>
      <c r="AY980"/>
    </row>
    <row r="981" spans="36:51">
      <c r="AJ981" s="22"/>
      <c r="AK981" s="22"/>
      <c r="AL981" s="22"/>
      <c r="AM981" s="22"/>
      <c r="AN981" s="22"/>
      <c r="AO981" s="22"/>
      <c r="AP981" s="22"/>
      <c r="AQ981" s="22"/>
      <c r="AR981"/>
      <c r="AS981"/>
      <c r="AT981"/>
      <c r="AU981"/>
      <c r="AV981"/>
      <c r="AW981"/>
      <c r="AX981"/>
      <c r="AY981"/>
    </row>
    <row r="982" spans="36:51">
      <c r="AJ982" s="22"/>
      <c r="AK982" s="22"/>
      <c r="AL982" s="22"/>
      <c r="AM982" s="22"/>
      <c r="AN982" s="22"/>
      <c r="AO982" s="22"/>
      <c r="AP982" s="22"/>
      <c r="AQ982" s="22"/>
      <c r="AR982"/>
      <c r="AS982"/>
      <c r="AT982"/>
      <c r="AU982"/>
      <c r="AV982"/>
      <c r="AW982"/>
      <c r="AX982"/>
      <c r="AY982"/>
    </row>
    <row r="983" spans="36:51">
      <c r="AJ983" s="22"/>
      <c r="AK983" s="22"/>
      <c r="AL983" s="22"/>
      <c r="AM983" s="22"/>
      <c r="AN983" s="22"/>
      <c r="AO983" s="22"/>
      <c r="AP983" s="22"/>
      <c r="AQ983" s="22"/>
      <c r="AR983"/>
      <c r="AS983"/>
      <c r="AT983"/>
      <c r="AU983"/>
      <c r="AV983"/>
      <c r="AW983"/>
      <c r="AX983"/>
      <c r="AY983"/>
    </row>
    <row r="984" spans="36:51">
      <c r="AJ984" s="22"/>
      <c r="AK984" s="22"/>
      <c r="AL984" s="22"/>
      <c r="AM984" s="22"/>
      <c r="AN984" s="22"/>
      <c r="AO984" s="22"/>
      <c r="AP984" s="22"/>
      <c r="AQ984" s="22"/>
      <c r="AR984"/>
      <c r="AS984"/>
      <c r="AT984"/>
      <c r="AU984"/>
      <c r="AV984"/>
      <c r="AW984"/>
      <c r="AX984"/>
      <c r="AY984"/>
    </row>
    <row r="985" spans="36:51">
      <c r="AJ985" s="22"/>
      <c r="AK985" s="22"/>
      <c r="AL985" s="22"/>
      <c r="AM985" s="22"/>
      <c r="AN985" s="22"/>
      <c r="AO985" s="22"/>
      <c r="AP985" s="22"/>
      <c r="AQ985" s="22"/>
      <c r="AR985"/>
      <c r="AS985"/>
      <c r="AT985"/>
      <c r="AU985"/>
      <c r="AV985"/>
      <c r="AW985"/>
      <c r="AX985"/>
      <c r="AY985"/>
    </row>
    <row r="986" spans="36:51">
      <c r="AJ986" s="22"/>
      <c r="AK986" s="22"/>
      <c r="AL986" s="22"/>
      <c r="AM986" s="22"/>
      <c r="AN986" s="22"/>
      <c r="AO986" s="22"/>
      <c r="AP986" s="22"/>
      <c r="AQ986" s="22"/>
      <c r="AR986"/>
      <c r="AS986"/>
      <c r="AT986"/>
      <c r="AU986"/>
      <c r="AV986"/>
      <c r="AW986"/>
      <c r="AX986"/>
      <c r="AY986"/>
    </row>
    <row r="987" spans="36:51">
      <c r="AJ987" s="22"/>
      <c r="AK987" s="22"/>
      <c r="AL987" s="22"/>
      <c r="AM987" s="22"/>
      <c r="AN987" s="22"/>
      <c r="AO987" s="22"/>
      <c r="AP987" s="22"/>
      <c r="AQ987" s="22"/>
      <c r="AR987"/>
      <c r="AS987"/>
      <c r="AT987"/>
      <c r="AU987"/>
      <c r="AV987"/>
      <c r="AW987"/>
      <c r="AX987"/>
      <c r="AY987"/>
    </row>
    <row r="988" spans="36:51">
      <c r="AJ988" s="22"/>
      <c r="AK988" s="22"/>
      <c r="AL988" s="22"/>
      <c r="AM988" s="22"/>
      <c r="AN988" s="22"/>
      <c r="AO988" s="22"/>
      <c r="AP988" s="22"/>
      <c r="AQ988" s="22"/>
      <c r="AR988"/>
      <c r="AS988"/>
      <c r="AT988"/>
      <c r="AU988"/>
      <c r="AV988"/>
      <c r="AW988"/>
      <c r="AX988"/>
      <c r="AY988"/>
    </row>
    <row r="989" spans="36:51">
      <c r="AJ989" s="22"/>
      <c r="AK989" s="22"/>
      <c r="AL989" s="22"/>
      <c r="AM989" s="22"/>
      <c r="AN989" s="22"/>
      <c r="AO989" s="22"/>
      <c r="AP989" s="22"/>
      <c r="AQ989" s="22"/>
      <c r="AR989"/>
      <c r="AS989"/>
      <c r="AT989"/>
      <c r="AU989"/>
      <c r="AV989"/>
      <c r="AW989"/>
      <c r="AX989"/>
      <c r="AY989"/>
    </row>
    <row r="990" spans="36:51">
      <c r="AJ990" s="22"/>
      <c r="AK990" s="22"/>
      <c r="AL990" s="22"/>
      <c r="AM990" s="22"/>
      <c r="AN990" s="22"/>
      <c r="AO990" s="22"/>
      <c r="AP990" s="22"/>
      <c r="AQ990" s="22"/>
      <c r="AR990"/>
      <c r="AS990"/>
      <c r="AT990"/>
      <c r="AU990"/>
      <c r="AV990"/>
      <c r="AW990"/>
      <c r="AX990"/>
      <c r="AY990"/>
    </row>
    <row r="991" spans="36:51">
      <c r="AJ991" s="22"/>
      <c r="AK991" s="22"/>
      <c r="AL991" s="22"/>
      <c r="AM991" s="22"/>
      <c r="AN991" s="22"/>
      <c r="AO991" s="22"/>
      <c r="AP991" s="22"/>
      <c r="AQ991" s="22"/>
      <c r="AR991"/>
      <c r="AS991"/>
      <c r="AT991"/>
      <c r="AU991"/>
      <c r="AV991"/>
      <c r="AW991"/>
      <c r="AX991"/>
      <c r="AY991"/>
    </row>
    <row r="992" spans="36:51">
      <c r="AJ992" s="22"/>
      <c r="AK992" s="22"/>
      <c r="AL992" s="22"/>
      <c r="AM992" s="22"/>
      <c r="AN992" s="22"/>
      <c r="AO992" s="22"/>
      <c r="AP992" s="22"/>
      <c r="AQ992" s="22"/>
      <c r="AR992"/>
      <c r="AS992"/>
      <c r="AT992"/>
      <c r="AU992"/>
      <c r="AV992"/>
      <c r="AW992"/>
      <c r="AX992"/>
      <c r="AY992"/>
    </row>
    <row r="993" spans="36:51">
      <c r="AJ993" s="22"/>
      <c r="AK993" s="22"/>
      <c r="AL993" s="22"/>
      <c r="AM993" s="22"/>
      <c r="AN993" s="22"/>
      <c r="AO993" s="22"/>
      <c r="AP993" s="22"/>
      <c r="AQ993" s="22"/>
      <c r="AR993"/>
      <c r="AS993"/>
      <c r="AT993"/>
      <c r="AU993"/>
      <c r="AV993"/>
      <c r="AW993"/>
      <c r="AX993"/>
      <c r="AY993"/>
    </row>
    <row r="994" spans="36:51">
      <c r="AJ994" s="22"/>
      <c r="AK994" s="22"/>
      <c r="AL994" s="22"/>
      <c r="AM994" s="22"/>
      <c r="AN994" s="22"/>
      <c r="AO994" s="22"/>
      <c r="AP994" s="22"/>
      <c r="AQ994" s="22"/>
      <c r="AR994"/>
      <c r="AS994"/>
      <c r="AT994"/>
      <c r="AU994"/>
      <c r="AV994"/>
      <c r="AW994"/>
      <c r="AX994"/>
      <c r="AY994"/>
    </row>
    <row r="995" spans="36:51">
      <c r="AJ995" s="22"/>
      <c r="AK995" s="22"/>
      <c r="AL995" s="22"/>
      <c r="AM995" s="22"/>
      <c r="AN995" s="22"/>
      <c r="AO995" s="22"/>
      <c r="AP995" s="22"/>
      <c r="AQ995" s="22"/>
      <c r="AR995"/>
      <c r="AS995"/>
      <c r="AT995"/>
      <c r="AU995"/>
      <c r="AV995"/>
      <c r="AW995"/>
      <c r="AX995"/>
      <c r="AY995"/>
    </row>
    <row r="996" spans="36:51">
      <c r="AJ996" s="22"/>
      <c r="AK996" s="22"/>
      <c r="AL996" s="22"/>
      <c r="AM996" s="22"/>
      <c r="AN996" s="22"/>
      <c r="AO996" s="22"/>
      <c r="AP996" s="22"/>
      <c r="AQ996" s="22"/>
      <c r="AR996"/>
      <c r="AS996"/>
      <c r="AT996"/>
      <c r="AU996"/>
      <c r="AV996"/>
      <c r="AW996"/>
      <c r="AX996"/>
      <c r="AY996"/>
    </row>
    <row r="997" spans="36:51">
      <c r="AJ997" s="22"/>
      <c r="AK997" s="22"/>
      <c r="AL997" s="22"/>
      <c r="AM997" s="22"/>
      <c r="AN997" s="22"/>
      <c r="AO997" s="22"/>
      <c r="AP997" s="22"/>
      <c r="AQ997" s="22"/>
      <c r="AR997"/>
      <c r="AS997"/>
      <c r="AT997"/>
      <c r="AU997"/>
      <c r="AV997"/>
      <c r="AW997"/>
      <c r="AX997"/>
      <c r="AY997"/>
    </row>
    <row r="998" spans="36:51">
      <c r="AJ998" s="22"/>
      <c r="AK998" s="22"/>
      <c r="AL998" s="22"/>
      <c r="AM998" s="22"/>
      <c r="AN998" s="22"/>
      <c r="AO998" s="22"/>
      <c r="AP998" s="22"/>
      <c r="AQ998" s="22"/>
      <c r="AR998"/>
      <c r="AS998"/>
      <c r="AT998"/>
      <c r="AU998"/>
      <c r="AV998"/>
      <c r="AW998"/>
      <c r="AX998"/>
      <c r="AY998"/>
    </row>
    <row r="999" spans="36:51">
      <c r="AJ999" s="22"/>
      <c r="AK999" s="22"/>
      <c r="AL999" s="22"/>
      <c r="AM999" s="22"/>
      <c r="AN999" s="22"/>
      <c r="AO999" s="22"/>
      <c r="AP999" s="22"/>
      <c r="AQ999" s="22"/>
      <c r="AR999"/>
      <c r="AS999"/>
      <c r="AT999"/>
      <c r="AU999"/>
      <c r="AV999"/>
      <c r="AW999"/>
      <c r="AX999"/>
      <c r="AY999"/>
    </row>
    <row r="1000" spans="36:51">
      <c r="AJ1000" s="22"/>
      <c r="AK1000" s="22"/>
      <c r="AL1000" s="22"/>
      <c r="AM1000" s="22"/>
      <c r="AN1000" s="22"/>
      <c r="AO1000" s="22"/>
      <c r="AP1000" s="22"/>
      <c r="AQ1000" s="22"/>
      <c r="AR1000"/>
      <c r="AS1000"/>
      <c r="AT1000"/>
      <c r="AU1000"/>
      <c r="AV1000"/>
      <c r="AW1000"/>
      <c r="AX1000"/>
      <c r="AY1000"/>
    </row>
    <row r="1001" spans="36:51">
      <c r="AJ1001" s="22"/>
      <c r="AK1001" s="22"/>
      <c r="AL1001" s="22"/>
      <c r="AM1001" s="22"/>
      <c r="AN1001" s="22"/>
      <c r="AO1001" s="22"/>
      <c r="AP1001" s="22"/>
      <c r="AQ1001" s="22"/>
      <c r="AR1001"/>
      <c r="AS1001"/>
      <c r="AT1001"/>
      <c r="AU1001"/>
      <c r="AV1001"/>
      <c r="AW1001"/>
      <c r="AX1001"/>
      <c r="AY1001"/>
    </row>
    <row r="1002" spans="36:51">
      <c r="AJ1002" s="22"/>
      <c r="AK1002" s="22"/>
      <c r="AL1002" s="22"/>
      <c r="AM1002" s="22"/>
      <c r="AN1002" s="22"/>
      <c r="AO1002" s="22"/>
      <c r="AP1002" s="22"/>
      <c r="AQ1002" s="22"/>
      <c r="AR1002"/>
      <c r="AS1002"/>
      <c r="AT1002"/>
      <c r="AU1002"/>
      <c r="AV1002"/>
      <c r="AW1002"/>
      <c r="AX1002"/>
      <c r="AY1002"/>
    </row>
    <row r="1003" spans="36:51">
      <c r="AJ1003" s="22"/>
      <c r="AK1003" s="22"/>
      <c r="AL1003" s="22"/>
      <c r="AM1003" s="22"/>
      <c r="AN1003" s="22"/>
      <c r="AO1003" s="22"/>
      <c r="AP1003" s="22"/>
      <c r="AQ1003" s="22"/>
      <c r="AR1003"/>
      <c r="AS1003"/>
      <c r="AT1003"/>
      <c r="AU1003"/>
      <c r="AV1003"/>
      <c r="AW1003"/>
      <c r="AX1003"/>
      <c r="AY1003"/>
    </row>
    <row r="1004" spans="36:51">
      <c r="AJ1004" s="22"/>
      <c r="AK1004" s="22"/>
      <c r="AL1004" s="22"/>
      <c r="AM1004" s="22"/>
      <c r="AN1004" s="22"/>
      <c r="AO1004" s="22"/>
      <c r="AP1004" s="22"/>
      <c r="AQ1004" s="22"/>
      <c r="AR1004"/>
      <c r="AS1004"/>
      <c r="AT1004"/>
      <c r="AU1004"/>
      <c r="AV1004"/>
      <c r="AW1004"/>
      <c r="AX1004"/>
      <c r="AY1004"/>
    </row>
    <row r="1005" spans="36:51">
      <c r="AJ1005" s="22"/>
      <c r="AK1005" s="22"/>
      <c r="AL1005" s="22"/>
      <c r="AM1005" s="22"/>
      <c r="AN1005" s="22"/>
      <c r="AO1005" s="22"/>
      <c r="AP1005" s="22"/>
      <c r="AQ1005" s="22"/>
      <c r="AR1005"/>
      <c r="AS1005"/>
      <c r="AT1005"/>
      <c r="AU1005"/>
      <c r="AV1005"/>
      <c r="AW1005"/>
      <c r="AX1005"/>
      <c r="AY1005"/>
    </row>
    <row r="1006" spans="36:51">
      <c r="AJ1006" s="22"/>
      <c r="AK1006" s="22"/>
      <c r="AL1006" s="22"/>
      <c r="AM1006" s="22"/>
      <c r="AN1006" s="22"/>
      <c r="AO1006" s="22"/>
      <c r="AP1006" s="22"/>
      <c r="AQ1006" s="22"/>
      <c r="AR1006"/>
      <c r="AS1006"/>
      <c r="AT1006"/>
      <c r="AU1006"/>
      <c r="AV1006"/>
      <c r="AW1006"/>
      <c r="AX1006"/>
      <c r="AY1006"/>
    </row>
    <row r="1007" spans="36:51">
      <c r="AJ1007" s="22"/>
      <c r="AK1007" s="22"/>
      <c r="AL1007" s="22"/>
      <c r="AM1007" s="22"/>
      <c r="AN1007" s="22"/>
      <c r="AO1007" s="22"/>
      <c r="AP1007" s="22"/>
      <c r="AQ1007" s="22"/>
      <c r="AR1007"/>
      <c r="AS1007"/>
      <c r="AT1007"/>
      <c r="AU1007"/>
      <c r="AV1007"/>
      <c r="AW1007"/>
      <c r="AX1007"/>
      <c r="AY1007"/>
    </row>
    <row r="1008" spans="36:51">
      <c r="AJ1008" s="22"/>
      <c r="AK1008" s="22"/>
      <c r="AL1008" s="22"/>
      <c r="AM1008" s="22"/>
      <c r="AN1008" s="22"/>
      <c r="AO1008" s="22"/>
      <c r="AP1008" s="22"/>
      <c r="AQ1008" s="22"/>
      <c r="AR1008"/>
      <c r="AS1008"/>
      <c r="AT1008"/>
      <c r="AU1008"/>
      <c r="AV1008"/>
      <c r="AW1008"/>
      <c r="AX1008"/>
      <c r="AY1008"/>
    </row>
    <row r="1009" spans="36:51">
      <c r="AJ1009" s="22"/>
      <c r="AK1009" s="22"/>
      <c r="AL1009" s="22"/>
      <c r="AM1009" s="22"/>
      <c r="AN1009" s="22"/>
      <c r="AO1009" s="22"/>
      <c r="AP1009" s="22"/>
      <c r="AQ1009" s="22"/>
      <c r="AR1009"/>
      <c r="AS1009"/>
      <c r="AT1009"/>
      <c r="AU1009"/>
      <c r="AV1009"/>
      <c r="AW1009"/>
      <c r="AX1009"/>
      <c r="AY1009"/>
    </row>
    <row r="1010" spans="36:51">
      <c r="AJ1010" s="22"/>
      <c r="AK1010" s="22"/>
      <c r="AL1010" s="22"/>
      <c r="AM1010" s="22"/>
      <c r="AN1010" s="22"/>
      <c r="AO1010" s="22"/>
      <c r="AP1010" s="22"/>
      <c r="AQ1010" s="22"/>
      <c r="AR1010"/>
      <c r="AS1010"/>
      <c r="AT1010"/>
      <c r="AU1010"/>
      <c r="AV1010"/>
      <c r="AW1010"/>
      <c r="AX1010"/>
      <c r="AY1010"/>
    </row>
    <row r="1011" spans="36:51">
      <c r="AJ1011" s="22"/>
      <c r="AK1011" s="22"/>
      <c r="AL1011" s="22"/>
      <c r="AM1011" s="22"/>
      <c r="AN1011" s="22"/>
      <c r="AO1011" s="22"/>
      <c r="AP1011" s="22"/>
      <c r="AQ1011" s="22"/>
      <c r="AR1011"/>
      <c r="AS1011"/>
      <c r="AT1011"/>
      <c r="AU1011"/>
      <c r="AV1011"/>
      <c r="AW1011"/>
      <c r="AX1011"/>
      <c r="AY1011"/>
    </row>
    <row r="1012" spans="36:51">
      <c r="AJ1012" s="22"/>
      <c r="AK1012" s="22"/>
      <c r="AL1012" s="22"/>
      <c r="AM1012" s="22"/>
      <c r="AN1012" s="22"/>
      <c r="AO1012" s="22"/>
      <c r="AP1012" s="22"/>
      <c r="AQ1012" s="22"/>
      <c r="AR1012"/>
      <c r="AS1012"/>
      <c r="AT1012"/>
      <c r="AU1012"/>
      <c r="AV1012"/>
      <c r="AW1012"/>
      <c r="AX1012"/>
      <c r="AY1012"/>
    </row>
    <row r="1013" spans="36:51">
      <c r="AJ1013" s="22"/>
      <c r="AK1013" s="22"/>
      <c r="AL1013" s="22"/>
      <c r="AM1013" s="22"/>
      <c r="AN1013" s="22"/>
      <c r="AO1013" s="22"/>
      <c r="AP1013" s="22"/>
      <c r="AQ1013" s="22"/>
      <c r="AR1013"/>
      <c r="AS1013"/>
      <c r="AT1013"/>
      <c r="AU1013"/>
      <c r="AV1013"/>
      <c r="AW1013"/>
      <c r="AX1013"/>
      <c r="AY1013"/>
    </row>
    <row r="1014" spans="36:51">
      <c r="AJ1014" s="22"/>
      <c r="AK1014" s="22"/>
      <c r="AL1014" s="22"/>
      <c r="AM1014" s="22"/>
      <c r="AN1014" s="22"/>
      <c r="AO1014" s="22"/>
      <c r="AP1014" s="22"/>
      <c r="AQ1014" s="22"/>
      <c r="AR1014"/>
      <c r="AS1014"/>
      <c r="AT1014"/>
      <c r="AU1014"/>
      <c r="AV1014"/>
      <c r="AW1014"/>
      <c r="AX1014"/>
      <c r="AY1014"/>
    </row>
    <row r="1015" spans="36:51">
      <c r="AJ1015" s="22"/>
      <c r="AK1015" s="22"/>
      <c r="AL1015" s="22"/>
      <c r="AM1015" s="22"/>
      <c r="AN1015" s="22"/>
      <c r="AO1015" s="22"/>
      <c r="AP1015" s="22"/>
      <c r="AQ1015" s="22"/>
      <c r="AR1015"/>
      <c r="AS1015"/>
      <c r="AT1015"/>
      <c r="AU1015"/>
      <c r="AV1015"/>
      <c r="AW1015"/>
      <c r="AX1015"/>
      <c r="AY1015"/>
    </row>
    <row r="1016" spans="36:51">
      <c r="AJ1016" s="22"/>
      <c r="AK1016" s="22"/>
      <c r="AL1016" s="22"/>
      <c r="AM1016" s="22"/>
      <c r="AN1016" s="22"/>
      <c r="AO1016" s="22"/>
      <c r="AP1016" s="22"/>
      <c r="AQ1016" s="22"/>
      <c r="AR1016"/>
      <c r="AS1016"/>
      <c r="AT1016"/>
      <c r="AU1016"/>
      <c r="AV1016"/>
      <c r="AW1016"/>
      <c r="AX1016"/>
      <c r="AY1016"/>
    </row>
    <row r="1017" spans="36:51">
      <c r="AJ1017" s="22"/>
      <c r="AK1017" s="22"/>
      <c r="AL1017" s="22"/>
      <c r="AM1017" s="22"/>
      <c r="AN1017" s="22"/>
      <c r="AO1017" s="22"/>
      <c r="AP1017" s="22"/>
      <c r="AQ1017" s="22"/>
      <c r="AR1017"/>
      <c r="AS1017"/>
      <c r="AT1017"/>
      <c r="AU1017"/>
      <c r="AV1017"/>
      <c r="AW1017"/>
      <c r="AX1017"/>
      <c r="AY1017"/>
    </row>
    <row r="1018" spans="36:51">
      <c r="AJ1018" s="22"/>
      <c r="AK1018" s="22"/>
      <c r="AL1018" s="22"/>
      <c r="AM1018" s="22"/>
      <c r="AN1018" s="22"/>
      <c r="AO1018" s="22"/>
      <c r="AP1018" s="22"/>
      <c r="AQ1018" s="22"/>
      <c r="AR1018"/>
      <c r="AS1018"/>
      <c r="AT1018"/>
      <c r="AU1018"/>
      <c r="AV1018"/>
      <c r="AW1018"/>
      <c r="AX1018"/>
      <c r="AY1018"/>
    </row>
    <row r="1019" spans="36:51">
      <c r="AJ1019" s="22"/>
      <c r="AK1019" s="22"/>
      <c r="AL1019" s="22"/>
      <c r="AM1019" s="22"/>
      <c r="AN1019" s="22"/>
      <c r="AO1019" s="22"/>
      <c r="AP1019" s="22"/>
      <c r="AQ1019" s="22"/>
      <c r="AR1019"/>
      <c r="AS1019"/>
      <c r="AT1019"/>
      <c r="AU1019"/>
      <c r="AV1019"/>
      <c r="AW1019"/>
      <c r="AX1019"/>
      <c r="AY1019"/>
    </row>
    <row r="1020" spans="36:51">
      <c r="AJ1020" s="22"/>
      <c r="AK1020" s="22"/>
      <c r="AL1020" s="22"/>
      <c r="AM1020" s="22"/>
      <c r="AN1020" s="22"/>
      <c r="AO1020" s="22"/>
      <c r="AP1020" s="22"/>
      <c r="AQ1020" s="22"/>
      <c r="AR1020"/>
      <c r="AS1020"/>
      <c r="AT1020"/>
      <c r="AU1020"/>
      <c r="AV1020"/>
      <c r="AW1020"/>
      <c r="AX1020"/>
      <c r="AY1020"/>
    </row>
    <row r="1021" spans="36:51">
      <c r="AJ1021" s="22"/>
      <c r="AK1021" s="22"/>
      <c r="AL1021" s="22"/>
      <c r="AM1021" s="22"/>
      <c r="AN1021" s="22"/>
      <c r="AO1021" s="22"/>
      <c r="AP1021" s="22"/>
      <c r="AQ1021" s="22"/>
      <c r="AR1021"/>
      <c r="AS1021"/>
      <c r="AT1021"/>
      <c r="AU1021"/>
      <c r="AV1021"/>
      <c r="AW1021"/>
      <c r="AX1021"/>
      <c r="AY1021"/>
    </row>
    <row r="1022" spans="36:51">
      <c r="AJ1022" s="22"/>
      <c r="AK1022" s="22"/>
      <c r="AL1022" s="22"/>
      <c r="AM1022" s="22"/>
      <c r="AN1022" s="22"/>
      <c r="AO1022" s="22"/>
      <c r="AP1022" s="22"/>
      <c r="AQ1022" s="22"/>
      <c r="AR1022"/>
      <c r="AS1022"/>
      <c r="AT1022"/>
      <c r="AU1022"/>
      <c r="AV1022"/>
      <c r="AW1022"/>
      <c r="AX1022"/>
      <c r="AY1022"/>
    </row>
    <row r="1023" spans="36:51">
      <c r="AJ1023" s="22"/>
      <c r="AK1023" s="22"/>
      <c r="AL1023" s="22"/>
      <c r="AM1023" s="22"/>
      <c r="AN1023" s="22"/>
      <c r="AO1023" s="22"/>
      <c r="AP1023" s="22"/>
      <c r="AQ1023" s="22"/>
      <c r="AR1023"/>
      <c r="AS1023"/>
      <c r="AT1023"/>
      <c r="AU1023"/>
      <c r="AV1023"/>
      <c r="AW1023"/>
      <c r="AX1023"/>
      <c r="AY1023"/>
    </row>
    <row r="1024" spans="36:51">
      <c r="AJ1024" s="22"/>
      <c r="AK1024" s="22"/>
      <c r="AL1024" s="22"/>
      <c r="AM1024" s="22"/>
      <c r="AN1024" s="22"/>
      <c r="AO1024" s="22"/>
      <c r="AP1024" s="22"/>
      <c r="AQ1024" s="22"/>
      <c r="AR1024"/>
      <c r="AS1024"/>
      <c r="AT1024"/>
      <c r="AU1024"/>
      <c r="AV1024"/>
      <c r="AW1024"/>
      <c r="AX1024"/>
      <c r="AY1024"/>
    </row>
    <row r="1025" spans="36:51">
      <c r="AJ1025" s="22"/>
      <c r="AK1025" s="22"/>
      <c r="AL1025" s="22"/>
      <c r="AM1025" s="22"/>
      <c r="AN1025" s="22"/>
      <c r="AO1025" s="22"/>
      <c r="AP1025" s="22"/>
      <c r="AQ1025" s="22"/>
      <c r="AR1025"/>
      <c r="AS1025"/>
      <c r="AT1025"/>
      <c r="AU1025"/>
      <c r="AV1025"/>
      <c r="AW1025"/>
      <c r="AX1025"/>
      <c r="AY1025"/>
    </row>
    <row r="1026" spans="36:51">
      <c r="AJ1026" s="22"/>
      <c r="AK1026" s="22"/>
      <c r="AL1026" s="22"/>
      <c r="AM1026" s="22"/>
      <c r="AN1026" s="22"/>
      <c r="AO1026" s="22"/>
      <c r="AP1026" s="22"/>
      <c r="AQ1026" s="22"/>
      <c r="AR1026"/>
      <c r="AS1026"/>
      <c r="AT1026"/>
      <c r="AU1026"/>
      <c r="AV1026"/>
      <c r="AW1026"/>
      <c r="AX1026"/>
      <c r="AY1026"/>
    </row>
    <row r="1027" spans="36:51">
      <c r="AJ1027" s="22"/>
      <c r="AK1027" s="22"/>
      <c r="AL1027" s="22"/>
      <c r="AM1027" s="22"/>
      <c r="AN1027" s="22"/>
      <c r="AO1027" s="22"/>
      <c r="AP1027" s="22"/>
      <c r="AQ1027" s="22"/>
      <c r="AR1027"/>
      <c r="AS1027"/>
      <c r="AT1027"/>
      <c r="AU1027"/>
      <c r="AV1027"/>
      <c r="AW1027"/>
      <c r="AX1027"/>
      <c r="AY1027"/>
    </row>
    <row r="1028" spans="36:51">
      <c r="AJ1028" s="22"/>
      <c r="AK1028" s="22"/>
      <c r="AL1028" s="22"/>
      <c r="AM1028" s="22"/>
      <c r="AN1028" s="22"/>
      <c r="AO1028" s="22"/>
      <c r="AP1028" s="22"/>
      <c r="AQ1028" s="22"/>
      <c r="AR1028"/>
      <c r="AS1028"/>
      <c r="AT1028"/>
      <c r="AU1028"/>
      <c r="AV1028"/>
      <c r="AW1028"/>
      <c r="AX1028"/>
      <c r="AY1028"/>
    </row>
    <row r="1029" spans="36:51">
      <c r="AJ1029" s="22"/>
      <c r="AK1029" s="22"/>
      <c r="AL1029" s="22"/>
      <c r="AM1029" s="22"/>
      <c r="AN1029" s="22"/>
      <c r="AO1029" s="22"/>
      <c r="AP1029" s="22"/>
      <c r="AQ1029" s="22"/>
      <c r="AR1029"/>
      <c r="AS1029"/>
      <c r="AT1029"/>
      <c r="AU1029"/>
      <c r="AV1029"/>
      <c r="AW1029"/>
      <c r="AX1029"/>
      <c r="AY1029"/>
    </row>
    <row r="1030" spans="36:51">
      <c r="AJ1030" s="22"/>
      <c r="AK1030" s="22"/>
      <c r="AL1030" s="22"/>
      <c r="AM1030" s="22"/>
      <c r="AN1030" s="22"/>
      <c r="AO1030" s="22"/>
      <c r="AP1030" s="22"/>
      <c r="AQ1030" s="22"/>
      <c r="AR1030"/>
      <c r="AS1030"/>
      <c r="AT1030"/>
      <c r="AU1030"/>
      <c r="AV1030"/>
      <c r="AW1030"/>
      <c r="AX1030"/>
      <c r="AY1030"/>
    </row>
    <row r="1031" spans="36:51">
      <c r="AJ1031" s="22"/>
      <c r="AK1031" s="22"/>
      <c r="AL1031" s="22"/>
      <c r="AM1031" s="22"/>
      <c r="AN1031" s="22"/>
      <c r="AO1031" s="22"/>
      <c r="AP1031" s="22"/>
      <c r="AQ1031" s="22"/>
      <c r="AR1031"/>
      <c r="AS1031"/>
      <c r="AT1031"/>
      <c r="AU1031"/>
      <c r="AV1031"/>
      <c r="AW1031"/>
      <c r="AX1031"/>
      <c r="AY1031"/>
    </row>
    <row r="1032" spans="36:51">
      <c r="AJ1032" s="22"/>
      <c r="AK1032" s="22"/>
      <c r="AL1032" s="22"/>
      <c r="AM1032" s="22"/>
      <c r="AN1032" s="22"/>
      <c r="AO1032" s="22"/>
      <c r="AP1032" s="22"/>
      <c r="AQ1032" s="22"/>
      <c r="AR1032"/>
      <c r="AS1032"/>
      <c r="AT1032"/>
      <c r="AU1032"/>
      <c r="AV1032"/>
      <c r="AW1032"/>
      <c r="AX1032"/>
      <c r="AY1032"/>
    </row>
    <row r="1033" spans="36:51">
      <c r="AJ1033" s="22"/>
      <c r="AK1033" s="22"/>
      <c r="AL1033" s="22"/>
      <c r="AM1033" s="22"/>
      <c r="AN1033" s="22"/>
      <c r="AO1033" s="22"/>
      <c r="AP1033" s="22"/>
      <c r="AQ1033" s="22"/>
      <c r="AR1033"/>
      <c r="AS1033"/>
      <c r="AT1033"/>
      <c r="AU1033"/>
      <c r="AV1033"/>
      <c r="AW1033"/>
      <c r="AX1033"/>
      <c r="AY1033"/>
    </row>
    <row r="1034" spans="36:51">
      <c r="AJ1034" s="22"/>
      <c r="AK1034" s="22"/>
      <c r="AL1034" s="22"/>
      <c r="AM1034" s="22"/>
      <c r="AN1034" s="22"/>
      <c r="AO1034" s="22"/>
      <c r="AP1034" s="22"/>
      <c r="AQ1034" s="22"/>
      <c r="AR1034"/>
      <c r="AS1034"/>
      <c r="AT1034"/>
      <c r="AU1034"/>
      <c r="AV1034"/>
      <c r="AW1034"/>
      <c r="AX1034"/>
      <c r="AY1034"/>
    </row>
    <row r="1035" spans="36:51">
      <c r="AJ1035" s="22"/>
      <c r="AK1035" s="22"/>
      <c r="AL1035" s="22"/>
      <c r="AM1035" s="22"/>
      <c r="AN1035" s="22"/>
      <c r="AO1035" s="22"/>
      <c r="AP1035" s="22"/>
      <c r="AQ1035" s="22"/>
      <c r="AR1035"/>
      <c r="AS1035"/>
      <c r="AT1035"/>
      <c r="AU1035"/>
      <c r="AV1035"/>
      <c r="AW1035"/>
      <c r="AX1035"/>
      <c r="AY1035"/>
    </row>
    <row r="1036" spans="36:51">
      <c r="AJ1036" s="22"/>
      <c r="AK1036" s="22"/>
      <c r="AL1036" s="22"/>
      <c r="AM1036" s="22"/>
      <c r="AN1036" s="22"/>
      <c r="AO1036" s="22"/>
      <c r="AP1036" s="22"/>
      <c r="AQ1036" s="22"/>
      <c r="AR1036"/>
      <c r="AS1036"/>
      <c r="AT1036"/>
      <c r="AU1036"/>
      <c r="AV1036"/>
      <c r="AW1036"/>
      <c r="AX1036"/>
      <c r="AY1036"/>
    </row>
    <row r="1037" spans="36:51">
      <c r="AJ1037" s="22"/>
      <c r="AK1037" s="22"/>
      <c r="AL1037" s="22"/>
      <c r="AM1037" s="22"/>
      <c r="AN1037" s="22"/>
      <c r="AO1037" s="22"/>
      <c r="AP1037" s="22"/>
      <c r="AQ1037" s="22"/>
      <c r="AR1037"/>
      <c r="AS1037"/>
      <c r="AT1037"/>
      <c r="AU1037"/>
      <c r="AV1037"/>
      <c r="AW1037"/>
      <c r="AX1037"/>
      <c r="AY1037"/>
    </row>
    <row r="1038" spans="36:51">
      <c r="AJ1038" s="22"/>
      <c r="AK1038" s="22"/>
      <c r="AL1038" s="22"/>
      <c r="AM1038" s="22"/>
      <c r="AN1038" s="22"/>
      <c r="AO1038" s="22"/>
      <c r="AP1038" s="22"/>
      <c r="AQ1038" s="22"/>
      <c r="AR1038"/>
      <c r="AS1038"/>
      <c r="AT1038"/>
      <c r="AU1038"/>
      <c r="AV1038"/>
      <c r="AW1038"/>
      <c r="AX1038"/>
      <c r="AY1038"/>
    </row>
    <row r="1039" spans="36:51">
      <c r="AJ1039" s="22"/>
      <c r="AK1039" s="22"/>
      <c r="AL1039" s="22"/>
      <c r="AM1039" s="22"/>
      <c r="AN1039" s="22"/>
      <c r="AO1039" s="22"/>
      <c r="AP1039" s="22"/>
      <c r="AQ1039" s="22"/>
      <c r="AR1039"/>
      <c r="AS1039"/>
      <c r="AT1039"/>
      <c r="AU1039"/>
      <c r="AV1039"/>
      <c r="AW1039"/>
      <c r="AX1039"/>
      <c r="AY1039"/>
    </row>
    <row r="1040" spans="36:51">
      <c r="AJ1040" s="22"/>
      <c r="AK1040" s="22"/>
      <c r="AL1040" s="22"/>
      <c r="AM1040" s="22"/>
      <c r="AN1040" s="22"/>
      <c r="AO1040" s="22"/>
      <c r="AP1040" s="22"/>
      <c r="AQ1040" s="22"/>
      <c r="AR1040"/>
      <c r="AS1040"/>
      <c r="AT1040"/>
      <c r="AU1040"/>
      <c r="AV1040"/>
      <c r="AW1040"/>
      <c r="AX1040"/>
      <c r="AY1040"/>
    </row>
    <row r="1041" spans="36:51">
      <c r="AJ1041" s="22"/>
      <c r="AK1041" s="22"/>
      <c r="AL1041" s="22"/>
      <c r="AM1041" s="22"/>
      <c r="AN1041" s="22"/>
      <c r="AO1041" s="22"/>
      <c r="AP1041" s="22"/>
      <c r="AQ1041" s="22"/>
      <c r="AR1041"/>
      <c r="AS1041"/>
      <c r="AT1041"/>
      <c r="AU1041"/>
      <c r="AV1041"/>
      <c r="AW1041"/>
      <c r="AX1041"/>
      <c r="AY1041"/>
    </row>
    <row r="1042" spans="36:51">
      <c r="AJ1042" s="22"/>
      <c r="AK1042" s="22"/>
      <c r="AL1042" s="22"/>
      <c r="AM1042" s="22"/>
      <c r="AN1042" s="22"/>
      <c r="AO1042" s="22"/>
      <c r="AP1042" s="22"/>
      <c r="AQ1042" s="22"/>
      <c r="AR1042"/>
      <c r="AS1042"/>
      <c r="AT1042"/>
      <c r="AU1042"/>
      <c r="AV1042"/>
      <c r="AW1042"/>
      <c r="AX1042"/>
      <c r="AY1042"/>
    </row>
    <row r="1043" spans="36:51">
      <c r="AJ1043" s="22"/>
      <c r="AK1043" s="22"/>
      <c r="AL1043" s="22"/>
      <c r="AM1043" s="22"/>
      <c r="AN1043" s="22"/>
      <c r="AO1043" s="22"/>
      <c r="AP1043" s="22"/>
      <c r="AQ1043" s="22"/>
      <c r="AR1043"/>
      <c r="AS1043"/>
      <c r="AT1043"/>
      <c r="AU1043"/>
      <c r="AV1043"/>
      <c r="AW1043"/>
      <c r="AX1043"/>
      <c r="AY1043"/>
    </row>
    <row r="1044" spans="36:51">
      <c r="AJ1044" s="22"/>
      <c r="AK1044" s="22"/>
      <c r="AL1044" s="22"/>
      <c r="AM1044" s="22"/>
      <c r="AN1044" s="22"/>
      <c r="AO1044" s="22"/>
      <c r="AP1044" s="22"/>
      <c r="AQ1044" s="22"/>
      <c r="AR1044"/>
      <c r="AS1044"/>
      <c r="AT1044"/>
      <c r="AU1044"/>
      <c r="AV1044"/>
      <c r="AW1044"/>
      <c r="AX1044"/>
      <c r="AY1044"/>
    </row>
    <row r="1045" spans="36:51">
      <c r="AJ1045" s="22"/>
      <c r="AK1045" s="22"/>
      <c r="AL1045" s="22"/>
      <c r="AM1045" s="22"/>
      <c r="AN1045" s="22"/>
      <c r="AO1045" s="22"/>
      <c r="AP1045" s="22"/>
      <c r="AQ1045" s="22"/>
      <c r="AR1045"/>
      <c r="AS1045"/>
      <c r="AT1045"/>
      <c r="AU1045"/>
      <c r="AV1045"/>
      <c r="AW1045"/>
      <c r="AX1045"/>
      <c r="AY1045"/>
    </row>
    <row r="1046" spans="36:51">
      <c r="AJ1046" s="22"/>
      <c r="AK1046" s="22"/>
      <c r="AL1046" s="22"/>
      <c r="AM1046" s="22"/>
      <c r="AN1046" s="22"/>
      <c r="AO1046" s="22"/>
      <c r="AP1046" s="22"/>
      <c r="AQ1046" s="22"/>
      <c r="AR1046"/>
      <c r="AS1046"/>
      <c r="AT1046"/>
      <c r="AU1046"/>
      <c r="AV1046"/>
      <c r="AW1046"/>
      <c r="AX1046"/>
      <c r="AY1046"/>
    </row>
    <row r="1047" spans="36:51">
      <c r="AJ1047" s="22"/>
      <c r="AK1047" s="22"/>
      <c r="AL1047" s="22"/>
      <c r="AM1047" s="22"/>
      <c r="AN1047" s="22"/>
      <c r="AO1047" s="22"/>
      <c r="AP1047" s="22"/>
      <c r="AQ1047" s="22"/>
      <c r="AR1047"/>
      <c r="AS1047"/>
      <c r="AT1047"/>
      <c r="AU1047"/>
      <c r="AV1047"/>
      <c r="AW1047"/>
      <c r="AX1047"/>
      <c r="AY1047"/>
    </row>
    <row r="1048" spans="36:51">
      <c r="AJ1048" s="22"/>
      <c r="AK1048" s="22"/>
      <c r="AL1048" s="22"/>
      <c r="AM1048" s="22"/>
      <c r="AN1048" s="22"/>
      <c r="AO1048" s="22"/>
      <c r="AP1048" s="22"/>
      <c r="AQ1048" s="22"/>
      <c r="AR1048"/>
      <c r="AS1048"/>
      <c r="AT1048"/>
      <c r="AU1048"/>
      <c r="AV1048"/>
      <c r="AW1048"/>
      <c r="AX1048"/>
      <c r="AY1048"/>
    </row>
    <row r="1049" spans="36:51">
      <c r="AJ1049" s="22"/>
      <c r="AK1049" s="22"/>
      <c r="AL1049" s="22"/>
      <c r="AM1049" s="22"/>
      <c r="AN1049" s="22"/>
      <c r="AO1049" s="22"/>
      <c r="AP1049" s="22"/>
      <c r="AQ1049" s="22"/>
      <c r="AR1049"/>
      <c r="AS1049"/>
      <c r="AT1049"/>
      <c r="AU1049"/>
      <c r="AV1049"/>
      <c r="AW1049"/>
      <c r="AX1049"/>
      <c r="AY1049"/>
    </row>
    <row r="1050" spans="36:51">
      <c r="AJ1050" s="22"/>
      <c r="AK1050" s="22"/>
      <c r="AL1050" s="22"/>
      <c r="AM1050" s="22"/>
      <c r="AN1050" s="22"/>
      <c r="AO1050" s="22"/>
      <c r="AP1050" s="22"/>
      <c r="AQ1050" s="22"/>
      <c r="AR1050"/>
      <c r="AS1050"/>
      <c r="AT1050"/>
      <c r="AU1050"/>
      <c r="AV1050"/>
      <c r="AW1050"/>
      <c r="AX1050"/>
      <c r="AY1050"/>
    </row>
    <row r="1051" spans="36:51">
      <c r="AJ1051" s="22"/>
      <c r="AK1051" s="22"/>
      <c r="AL1051" s="22"/>
      <c r="AM1051" s="22"/>
      <c r="AN1051" s="22"/>
      <c r="AO1051" s="22"/>
      <c r="AP1051" s="22"/>
      <c r="AQ1051" s="22"/>
      <c r="AR1051"/>
      <c r="AS1051"/>
      <c r="AT1051"/>
      <c r="AU1051"/>
      <c r="AV1051"/>
      <c r="AW1051"/>
      <c r="AX1051"/>
      <c r="AY1051"/>
    </row>
    <row r="1052" spans="36:51">
      <c r="AJ1052" s="22"/>
      <c r="AK1052" s="22"/>
      <c r="AL1052" s="22"/>
      <c r="AM1052" s="22"/>
      <c r="AN1052" s="22"/>
      <c r="AO1052" s="22"/>
      <c r="AP1052" s="22"/>
      <c r="AQ1052" s="22"/>
      <c r="AR1052"/>
      <c r="AS1052"/>
      <c r="AT1052"/>
      <c r="AU1052"/>
      <c r="AV1052"/>
      <c r="AW1052"/>
      <c r="AX1052"/>
      <c r="AY1052"/>
    </row>
    <row r="1053" spans="36:51">
      <c r="AJ1053" s="22"/>
      <c r="AK1053" s="22"/>
      <c r="AL1053" s="22"/>
      <c r="AM1053" s="22"/>
      <c r="AN1053" s="22"/>
      <c r="AO1053" s="22"/>
      <c r="AP1053" s="22"/>
      <c r="AQ1053" s="22"/>
      <c r="AR1053"/>
      <c r="AS1053"/>
      <c r="AT1053"/>
      <c r="AU1053"/>
      <c r="AV1053"/>
      <c r="AW1053"/>
      <c r="AX1053"/>
      <c r="AY1053"/>
    </row>
    <row r="1054" spans="36:51">
      <c r="AJ1054" s="22"/>
      <c r="AK1054" s="22"/>
      <c r="AL1054" s="22"/>
      <c r="AM1054" s="22"/>
      <c r="AN1054" s="22"/>
      <c r="AO1054" s="22"/>
      <c r="AP1054" s="22"/>
      <c r="AQ1054" s="22"/>
      <c r="AR1054"/>
      <c r="AS1054"/>
      <c r="AT1054"/>
      <c r="AU1054"/>
      <c r="AV1054"/>
      <c r="AW1054"/>
      <c r="AX1054"/>
      <c r="AY1054"/>
    </row>
    <row r="1055" spans="36:51">
      <c r="AJ1055" s="22"/>
      <c r="AK1055" s="22"/>
      <c r="AL1055" s="22"/>
      <c r="AM1055" s="22"/>
      <c r="AN1055" s="22"/>
      <c r="AO1055" s="22"/>
      <c r="AP1055" s="22"/>
      <c r="AQ1055" s="22"/>
      <c r="AR1055"/>
      <c r="AS1055"/>
      <c r="AT1055"/>
      <c r="AU1055"/>
      <c r="AV1055"/>
      <c r="AW1055"/>
      <c r="AX1055"/>
      <c r="AY1055"/>
    </row>
    <row r="1056" spans="36:51">
      <c r="AJ1056" s="22"/>
      <c r="AK1056" s="22"/>
      <c r="AL1056" s="22"/>
      <c r="AM1056" s="22"/>
      <c r="AN1056" s="22"/>
      <c r="AO1056" s="22"/>
      <c r="AP1056" s="22"/>
      <c r="AQ1056" s="22"/>
      <c r="AR1056"/>
      <c r="AS1056"/>
      <c r="AT1056"/>
      <c r="AU1056"/>
      <c r="AV1056"/>
      <c r="AW1056"/>
      <c r="AX1056"/>
      <c r="AY1056"/>
    </row>
    <row r="1057" spans="36:51">
      <c r="AJ1057" s="22"/>
      <c r="AK1057" s="22"/>
      <c r="AL1057" s="22"/>
      <c r="AM1057" s="22"/>
      <c r="AN1057" s="22"/>
      <c r="AO1057" s="22"/>
      <c r="AP1057" s="22"/>
      <c r="AQ1057" s="22"/>
      <c r="AR1057"/>
      <c r="AS1057"/>
      <c r="AT1057"/>
      <c r="AU1057"/>
      <c r="AV1057"/>
      <c r="AW1057"/>
      <c r="AX1057"/>
      <c r="AY1057"/>
    </row>
    <row r="1058" spans="36:51">
      <c r="AJ1058" s="22"/>
      <c r="AK1058" s="22"/>
      <c r="AL1058" s="22"/>
      <c r="AM1058" s="22"/>
      <c r="AN1058" s="22"/>
      <c r="AO1058" s="22"/>
      <c r="AP1058" s="22"/>
      <c r="AQ1058" s="22"/>
      <c r="AR1058"/>
      <c r="AS1058"/>
      <c r="AT1058"/>
      <c r="AU1058"/>
      <c r="AV1058"/>
      <c r="AW1058"/>
      <c r="AX1058"/>
      <c r="AY1058"/>
    </row>
    <row r="1059" spans="36:51">
      <c r="AJ1059" s="22"/>
      <c r="AK1059" s="22"/>
      <c r="AL1059" s="22"/>
      <c r="AM1059" s="22"/>
      <c r="AN1059" s="22"/>
      <c r="AO1059" s="22"/>
      <c r="AP1059" s="22"/>
      <c r="AQ1059" s="22"/>
      <c r="AR1059"/>
      <c r="AS1059"/>
      <c r="AT1059"/>
      <c r="AU1059"/>
      <c r="AV1059"/>
      <c r="AW1059"/>
      <c r="AX1059"/>
      <c r="AY1059"/>
    </row>
    <row r="1060" spans="36:51">
      <c r="AJ1060" s="22"/>
      <c r="AK1060" s="22"/>
      <c r="AL1060" s="22"/>
      <c r="AM1060" s="22"/>
      <c r="AN1060" s="22"/>
      <c r="AO1060" s="22"/>
      <c r="AP1060" s="22"/>
      <c r="AQ1060" s="22"/>
      <c r="AR1060"/>
      <c r="AS1060"/>
      <c r="AT1060"/>
      <c r="AU1060"/>
      <c r="AV1060"/>
      <c r="AW1060"/>
      <c r="AX1060"/>
      <c r="AY1060"/>
    </row>
    <row r="1061" spans="36:51">
      <c r="AJ1061" s="22"/>
      <c r="AK1061" s="22"/>
      <c r="AL1061" s="22"/>
      <c r="AM1061" s="22"/>
      <c r="AN1061" s="22"/>
      <c r="AO1061" s="22"/>
      <c r="AP1061" s="22"/>
      <c r="AQ1061" s="22"/>
      <c r="AR1061"/>
      <c r="AS1061"/>
      <c r="AT1061"/>
      <c r="AU1061"/>
      <c r="AV1061"/>
      <c r="AW1061"/>
      <c r="AX1061"/>
      <c r="AY1061"/>
    </row>
    <row r="1062" spans="36:51">
      <c r="AJ1062" s="22"/>
      <c r="AK1062" s="22"/>
      <c r="AL1062" s="22"/>
      <c r="AM1062" s="22"/>
      <c r="AN1062" s="22"/>
      <c r="AO1062" s="22"/>
      <c r="AP1062" s="22"/>
      <c r="AQ1062" s="22"/>
      <c r="AR1062"/>
      <c r="AS1062"/>
      <c r="AT1062"/>
      <c r="AU1062"/>
      <c r="AV1062"/>
      <c r="AW1062"/>
      <c r="AX1062"/>
      <c r="AY1062"/>
    </row>
    <row r="1063" spans="36:51">
      <c r="AJ1063" s="22"/>
      <c r="AK1063" s="22"/>
      <c r="AL1063" s="22"/>
      <c r="AM1063" s="22"/>
      <c r="AN1063" s="22"/>
      <c r="AO1063" s="22"/>
      <c r="AP1063" s="22"/>
      <c r="AQ1063" s="22"/>
      <c r="AR1063"/>
      <c r="AS1063"/>
      <c r="AT1063"/>
      <c r="AU1063"/>
      <c r="AV1063"/>
      <c r="AW1063"/>
      <c r="AX1063"/>
      <c r="AY1063"/>
    </row>
    <row r="1064" spans="36:51">
      <c r="AJ1064" s="22"/>
      <c r="AK1064" s="22"/>
      <c r="AL1064" s="22"/>
      <c r="AM1064" s="22"/>
      <c r="AN1064" s="22"/>
      <c r="AO1064" s="22"/>
      <c r="AP1064" s="22"/>
      <c r="AQ1064" s="22"/>
      <c r="AR1064"/>
      <c r="AS1064"/>
      <c r="AT1064"/>
      <c r="AU1064"/>
      <c r="AV1064"/>
      <c r="AW1064"/>
      <c r="AX1064"/>
      <c r="AY1064"/>
    </row>
    <row r="1065" spans="36:51">
      <c r="AJ1065" s="22"/>
      <c r="AK1065" s="22"/>
      <c r="AL1065" s="22"/>
      <c r="AM1065" s="22"/>
      <c r="AN1065" s="22"/>
      <c r="AO1065" s="22"/>
      <c r="AP1065" s="22"/>
      <c r="AQ1065" s="22"/>
      <c r="AR1065"/>
      <c r="AS1065"/>
      <c r="AT1065"/>
      <c r="AU1065"/>
      <c r="AV1065"/>
      <c r="AW1065"/>
      <c r="AX1065"/>
      <c r="AY1065"/>
    </row>
    <row r="1066" spans="36:51">
      <c r="AJ1066" s="22"/>
      <c r="AK1066" s="22"/>
      <c r="AL1066" s="22"/>
      <c r="AM1066" s="22"/>
      <c r="AN1066" s="22"/>
      <c r="AO1066" s="22"/>
      <c r="AP1066" s="22"/>
      <c r="AQ1066" s="22"/>
      <c r="AR1066"/>
      <c r="AS1066"/>
      <c r="AT1066"/>
      <c r="AU1066"/>
      <c r="AV1066"/>
      <c r="AW1066"/>
      <c r="AX1066"/>
      <c r="AY1066"/>
    </row>
    <row r="1067" spans="36:51">
      <c r="AJ1067" s="22"/>
      <c r="AK1067" s="22"/>
      <c r="AL1067" s="22"/>
      <c r="AM1067" s="22"/>
      <c r="AN1067" s="22"/>
      <c r="AO1067" s="22"/>
      <c r="AP1067" s="22"/>
      <c r="AQ1067" s="22"/>
      <c r="AR1067"/>
      <c r="AS1067"/>
      <c r="AT1067"/>
      <c r="AU1067"/>
      <c r="AV1067"/>
      <c r="AW1067"/>
      <c r="AX1067"/>
      <c r="AY1067"/>
    </row>
    <row r="1068" spans="36:51">
      <c r="AJ1068" s="22"/>
      <c r="AK1068" s="22"/>
      <c r="AL1068" s="22"/>
      <c r="AM1068" s="22"/>
      <c r="AN1068" s="22"/>
      <c r="AO1068" s="22"/>
      <c r="AP1068" s="22"/>
      <c r="AQ1068" s="22"/>
      <c r="AR1068"/>
      <c r="AS1068"/>
      <c r="AT1068"/>
      <c r="AU1068"/>
      <c r="AV1068"/>
      <c r="AW1068"/>
      <c r="AX1068"/>
      <c r="AY1068"/>
    </row>
    <row r="1069" spans="36:51">
      <c r="AJ1069" s="22"/>
      <c r="AK1069" s="22"/>
      <c r="AL1069" s="22"/>
      <c r="AM1069" s="22"/>
      <c r="AN1069" s="22"/>
      <c r="AO1069" s="22"/>
      <c r="AP1069" s="22"/>
      <c r="AQ1069" s="22"/>
      <c r="AR1069"/>
      <c r="AS1069"/>
      <c r="AT1069"/>
      <c r="AU1069"/>
      <c r="AV1069"/>
      <c r="AW1069"/>
      <c r="AX1069"/>
      <c r="AY1069"/>
    </row>
    <row r="1070" spans="36:51">
      <c r="AJ1070" s="22"/>
      <c r="AK1070" s="22"/>
      <c r="AL1070" s="22"/>
      <c r="AM1070" s="22"/>
      <c r="AN1070" s="22"/>
      <c r="AO1070" s="22"/>
      <c r="AP1070" s="22"/>
      <c r="AQ1070" s="22"/>
      <c r="AR1070"/>
      <c r="AS1070"/>
      <c r="AT1070"/>
      <c r="AU1070"/>
      <c r="AV1070"/>
      <c r="AW1070"/>
      <c r="AX1070"/>
      <c r="AY1070"/>
    </row>
    <row r="1071" spans="36:51">
      <c r="AJ1071" s="22"/>
      <c r="AK1071" s="22"/>
      <c r="AL1071" s="22"/>
      <c r="AM1071" s="22"/>
      <c r="AN1071" s="22"/>
      <c r="AO1071" s="22"/>
      <c r="AP1071" s="22"/>
      <c r="AQ1071" s="22"/>
      <c r="AR1071"/>
      <c r="AS1071"/>
      <c r="AT1071"/>
      <c r="AU1071"/>
      <c r="AV1071"/>
      <c r="AW1071"/>
      <c r="AX1071"/>
      <c r="AY1071"/>
    </row>
    <row r="1072" spans="36:51">
      <c r="AJ1072" s="22"/>
      <c r="AK1072" s="22"/>
      <c r="AL1072" s="22"/>
      <c r="AM1072" s="22"/>
      <c r="AN1072" s="22"/>
      <c r="AO1072" s="22"/>
      <c r="AP1072" s="22"/>
      <c r="AQ1072" s="22"/>
      <c r="AR1072"/>
      <c r="AS1072"/>
      <c r="AT1072"/>
      <c r="AU1072"/>
      <c r="AV1072"/>
      <c r="AW1072"/>
      <c r="AX1072"/>
      <c r="AY1072"/>
    </row>
    <row r="1073" spans="36:51">
      <c r="AJ1073" s="22"/>
      <c r="AK1073" s="22"/>
      <c r="AL1073" s="22"/>
      <c r="AM1073" s="22"/>
      <c r="AN1073" s="22"/>
      <c r="AO1073" s="22"/>
      <c r="AP1073" s="22"/>
      <c r="AQ1073" s="22"/>
      <c r="AR1073"/>
      <c r="AS1073"/>
      <c r="AT1073"/>
      <c r="AU1073"/>
      <c r="AV1073"/>
      <c r="AW1073"/>
      <c r="AX1073"/>
      <c r="AY1073"/>
    </row>
    <row r="1074" spans="36:51">
      <c r="AJ1074" s="22"/>
      <c r="AK1074" s="22"/>
      <c r="AL1074" s="22"/>
      <c r="AM1074" s="22"/>
      <c r="AN1074" s="22"/>
      <c r="AO1074" s="22"/>
      <c r="AP1074" s="22"/>
      <c r="AQ1074" s="22"/>
      <c r="AR1074"/>
      <c r="AS1074"/>
      <c r="AT1074"/>
      <c r="AU1074"/>
      <c r="AV1074"/>
      <c r="AW1074"/>
      <c r="AX1074"/>
      <c r="AY1074"/>
    </row>
    <row r="1075" spans="36:51">
      <c r="AJ1075" s="22"/>
      <c r="AK1075" s="22"/>
      <c r="AL1075" s="22"/>
      <c r="AM1075" s="22"/>
      <c r="AN1075" s="22"/>
      <c r="AO1075" s="22"/>
      <c r="AP1075" s="22"/>
      <c r="AQ1075" s="22"/>
      <c r="AR1075"/>
      <c r="AS1075"/>
      <c r="AT1075"/>
      <c r="AU1075"/>
      <c r="AV1075"/>
      <c r="AW1075"/>
      <c r="AX1075"/>
      <c r="AY1075"/>
    </row>
    <row r="1076" spans="36:51">
      <c r="AJ1076" s="22"/>
      <c r="AK1076" s="22"/>
      <c r="AL1076" s="22"/>
      <c r="AM1076" s="22"/>
      <c r="AN1076" s="22"/>
      <c r="AO1076" s="22"/>
      <c r="AP1076" s="22"/>
      <c r="AQ1076" s="22"/>
      <c r="AR1076"/>
      <c r="AS1076"/>
      <c r="AT1076"/>
      <c r="AU1076"/>
      <c r="AV1076"/>
      <c r="AW1076"/>
      <c r="AX1076"/>
      <c r="AY1076"/>
    </row>
    <row r="1077" spans="36:51">
      <c r="AJ1077" s="22"/>
      <c r="AK1077" s="22"/>
      <c r="AL1077" s="22"/>
      <c r="AM1077" s="22"/>
      <c r="AN1077" s="22"/>
      <c r="AO1077" s="22"/>
      <c r="AP1077" s="22"/>
      <c r="AQ1077" s="22"/>
      <c r="AR1077"/>
      <c r="AS1077"/>
      <c r="AT1077"/>
      <c r="AU1077"/>
      <c r="AV1077"/>
      <c r="AW1077"/>
      <c r="AX1077"/>
      <c r="AY1077"/>
    </row>
    <row r="1078" spans="36:51">
      <c r="AJ1078" s="22"/>
      <c r="AK1078" s="22"/>
      <c r="AL1078" s="22"/>
      <c r="AM1078" s="22"/>
      <c r="AN1078" s="22"/>
      <c r="AO1078" s="22"/>
      <c r="AP1078" s="22"/>
      <c r="AQ1078" s="22"/>
      <c r="AR1078"/>
      <c r="AS1078"/>
      <c r="AT1078"/>
      <c r="AU1078"/>
      <c r="AV1078"/>
      <c r="AW1078"/>
      <c r="AX1078"/>
      <c r="AY1078"/>
    </row>
    <row r="1079" spans="36:51">
      <c r="AJ1079" s="22"/>
      <c r="AK1079" s="22"/>
      <c r="AL1079" s="22"/>
      <c r="AM1079" s="22"/>
      <c r="AN1079" s="22"/>
      <c r="AO1079" s="22"/>
      <c r="AP1079" s="22"/>
      <c r="AQ1079" s="22"/>
      <c r="AR1079"/>
      <c r="AS1079"/>
      <c r="AT1079"/>
      <c r="AU1079"/>
      <c r="AV1079"/>
      <c r="AW1079"/>
      <c r="AX1079"/>
      <c r="AY1079"/>
    </row>
    <row r="1080" spans="36:51">
      <c r="AJ1080" s="22"/>
      <c r="AK1080" s="22"/>
      <c r="AL1080" s="22"/>
      <c r="AM1080" s="22"/>
      <c r="AN1080" s="22"/>
      <c r="AO1080" s="22"/>
      <c r="AP1080" s="22"/>
      <c r="AQ1080" s="22"/>
      <c r="AR1080"/>
      <c r="AS1080"/>
      <c r="AT1080"/>
      <c r="AU1080"/>
      <c r="AV1080"/>
      <c r="AW1080"/>
      <c r="AX1080"/>
      <c r="AY1080"/>
    </row>
    <row r="1081" spans="36:51">
      <c r="AJ1081" s="22"/>
      <c r="AK1081" s="22"/>
      <c r="AL1081" s="22"/>
      <c r="AM1081" s="22"/>
      <c r="AN1081" s="22"/>
      <c r="AO1081" s="22"/>
      <c r="AP1081" s="22"/>
      <c r="AQ1081" s="22"/>
      <c r="AR1081"/>
      <c r="AS1081"/>
      <c r="AT1081"/>
      <c r="AU1081"/>
      <c r="AV1081"/>
      <c r="AW1081"/>
      <c r="AX1081"/>
      <c r="AY1081"/>
    </row>
    <row r="1082" spans="36:51">
      <c r="AJ1082" s="22"/>
      <c r="AK1082" s="22"/>
      <c r="AL1082" s="22"/>
      <c r="AM1082" s="22"/>
      <c r="AN1082" s="22"/>
      <c r="AO1082" s="22"/>
      <c r="AP1082" s="22"/>
      <c r="AQ1082" s="22"/>
      <c r="AR1082"/>
      <c r="AS1082"/>
      <c r="AT1082"/>
      <c r="AU1082"/>
      <c r="AV1082"/>
      <c r="AW1082"/>
      <c r="AX1082"/>
      <c r="AY1082"/>
    </row>
    <row r="1083" spans="36:51">
      <c r="AJ1083" s="22"/>
      <c r="AK1083" s="22"/>
      <c r="AL1083" s="22"/>
      <c r="AM1083" s="22"/>
      <c r="AN1083" s="22"/>
      <c r="AO1083" s="22"/>
      <c r="AP1083" s="22"/>
      <c r="AQ1083" s="22"/>
      <c r="AR1083"/>
      <c r="AS1083"/>
      <c r="AT1083"/>
      <c r="AU1083"/>
      <c r="AV1083"/>
      <c r="AW1083"/>
      <c r="AX1083"/>
      <c r="AY1083"/>
    </row>
    <row r="1084" spans="36:51">
      <c r="AJ1084" s="22"/>
      <c r="AK1084" s="22"/>
      <c r="AL1084" s="22"/>
      <c r="AM1084" s="22"/>
      <c r="AN1084" s="22"/>
      <c r="AO1084" s="22"/>
      <c r="AP1084" s="22"/>
      <c r="AQ1084" s="22"/>
      <c r="AR1084"/>
      <c r="AS1084"/>
      <c r="AT1084"/>
      <c r="AU1084"/>
      <c r="AV1084"/>
      <c r="AW1084"/>
      <c r="AX1084"/>
      <c r="AY1084"/>
    </row>
    <row r="1085" spans="36:51">
      <c r="AJ1085" s="22"/>
      <c r="AK1085" s="22"/>
      <c r="AL1085" s="22"/>
      <c r="AM1085" s="22"/>
      <c r="AN1085" s="22"/>
      <c r="AO1085" s="22"/>
      <c r="AP1085" s="22"/>
      <c r="AQ1085" s="22"/>
      <c r="AR1085"/>
      <c r="AS1085"/>
      <c r="AT1085"/>
      <c r="AU1085"/>
      <c r="AV1085"/>
      <c r="AW1085"/>
      <c r="AX1085"/>
      <c r="AY1085"/>
    </row>
    <row r="1086" spans="36:51">
      <c r="AJ1086" s="22"/>
      <c r="AK1086" s="22"/>
      <c r="AL1086" s="22"/>
      <c r="AM1086" s="22"/>
      <c r="AN1086" s="22"/>
      <c r="AO1086" s="22"/>
      <c r="AP1086" s="22"/>
      <c r="AQ1086" s="22"/>
      <c r="AR1086"/>
      <c r="AS1086"/>
      <c r="AT1086"/>
      <c r="AU1086"/>
      <c r="AV1086"/>
      <c r="AW1086"/>
      <c r="AX1086"/>
      <c r="AY1086"/>
    </row>
    <row r="1087" spans="36:51">
      <c r="AJ1087" s="22"/>
      <c r="AK1087" s="22"/>
      <c r="AL1087" s="22"/>
      <c r="AM1087" s="22"/>
      <c r="AN1087" s="22"/>
      <c r="AO1087" s="22"/>
      <c r="AP1087" s="22"/>
      <c r="AQ1087" s="22"/>
      <c r="AR1087"/>
      <c r="AS1087"/>
      <c r="AT1087"/>
      <c r="AU1087"/>
      <c r="AV1087"/>
      <c r="AW1087"/>
      <c r="AX1087"/>
      <c r="AY1087"/>
    </row>
    <row r="1088" spans="36:51">
      <c r="AJ1088" s="22"/>
      <c r="AK1088" s="22"/>
      <c r="AL1088" s="22"/>
      <c r="AM1088" s="22"/>
      <c r="AN1088" s="22"/>
      <c r="AO1088" s="22"/>
      <c r="AP1088" s="22"/>
      <c r="AQ1088" s="22"/>
      <c r="AR1088"/>
      <c r="AS1088"/>
      <c r="AT1088"/>
      <c r="AU1088"/>
      <c r="AV1088"/>
      <c r="AW1088"/>
      <c r="AX1088"/>
      <c r="AY1088"/>
    </row>
    <row r="1089" spans="36:51">
      <c r="AJ1089" s="22"/>
      <c r="AK1089" s="22"/>
      <c r="AL1089" s="22"/>
      <c r="AM1089" s="22"/>
      <c r="AN1089" s="22"/>
      <c r="AO1089" s="22"/>
      <c r="AP1089" s="22"/>
      <c r="AQ1089" s="22"/>
      <c r="AR1089"/>
      <c r="AS1089"/>
      <c r="AT1089"/>
      <c r="AU1089"/>
      <c r="AV1089"/>
      <c r="AW1089"/>
      <c r="AX1089"/>
      <c r="AY1089"/>
    </row>
    <row r="1090" spans="36:51">
      <c r="AJ1090" s="22"/>
      <c r="AK1090" s="22"/>
      <c r="AL1090" s="22"/>
      <c r="AM1090" s="22"/>
      <c r="AN1090" s="22"/>
      <c r="AO1090" s="22"/>
      <c r="AP1090" s="22"/>
      <c r="AQ1090" s="22"/>
      <c r="AR1090"/>
      <c r="AS1090"/>
      <c r="AT1090"/>
      <c r="AU1090"/>
      <c r="AV1090"/>
      <c r="AW1090"/>
      <c r="AX1090"/>
      <c r="AY1090"/>
    </row>
    <row r="1091" spans="36:51">
      <c r="AJ1091" s="22"/>
      <c r="AK1091" s="22"/>
      <c r="AL1091" s="22"/>
      <c r="AM1091" s="22"/>
      <c r="AN1091" s="22"/>
      <c r="AO1091" s="22"/>
      <c r="AP1091" s="22"/>
      <c r="AQ1091" s="22"/>
      <c r="AR1091"/>
      <c r="AS1091"/>
      <c r="AT1091"/>
      <c r="AU1091"/>
      <c r="AV1091"/>
      <c r="AW1091"/>
      <c r="AX1091"/>
      <c r="AY1091"/>
    </row>
    <row r="1092" spans="36:51">
      <c r="AJ1092" s="22"/>
      <c r="AK1092" s="22"/>
      <c r="AL1092" s="22"/>
      <c r="AM1092" s="22"/>
      <c r="AN1092" s="22"/>
      <c r="AO1092" s="22"/>
      <c r="AP1092" s="22"/>
      <c r="AQ1092" s="22"/>
      <c r="AR1092"/>
      <c r="AS1092"/>
      <c r="AT1092"/>
      <c r="AU1092"/>
      <c r="AV1092"/>
      <c r="AW1092"/>
      <c r="AX1092"/>
      <c r="AY1092"/>
    </row>
    <row r="1093" spans="36:51">
      <c r="AJ1093" s="22"/>
      <c r="AK1093" s="22"/>
      <c r="AL1093" s="22"/>
      <c r="AM1093" s="22"/>
      <c r="AN1093" s="22"/>
      <c r="AO1093" s="22"/>
      <c r="AP1093" s="22"/>
      <c r="AQ1093" s="22"/>
      <c r="AR1093"/>
      <c r="AS1093"/>
      <c r="AT1093"/>
      <c r="AU1093"/>
      <c r="AV1093"/>
      <c r="AW1093"/>
      <c r="AX1093"/>
      <c r="AY1093"/>
    </row>
    <row r="1094" spans="36:51">
      <c r="AJ1094" s="22"/>
      <c r="AK1094" s="22"/>
      <c r="AL1094" s="22"/>
      <c r="AM1094" s="22"/>
      <c r="AN1094" s="22"/>
      <c r="AO1094" s="22"/>
      <c r="AP1094" s="22"/>
      <c r="AQ1094" s="22"/>
      <c r="AR1094"/>
      <c r="AS1094"/>
      <c r="AT1094"/>
      <c r="AU1094"/>
      <c r="AV1094"/>
      <c r="AW1094"/>
      <c r="AX1094"/>
      <c r="AY1094"/>
    </row>
    <row r="1095" spans="36:51">
      <c r="AJ1095" s="22"/>
      <c r="AK1095" s="22"/>
      <c r="AL1095" s="22"/>
      <c r="AM1095" s="22"/>
      <c r="AN1095" s="22"/>
      <c r="AO1095" s="22"/>
      <c r="AP1095" s="22"/>
      <c r="AQ1095" s="22"/>
      <c r="AR1095"/>
      <c r="AS1095"/>
      <c r="AT1095"/>
      <c r="AU1095"/>
      <c r="AV1095"/>
      <c r="AW1095"/>
      <c r="AX1095"/>
      <c r="AY1095"/>
    </row>
    <row r="1096" spans="36:51">
      <c r="AJ1096" s="22"/>
      <c r="AK1096" s="22"/>
      <c r="AL1096" s="22"/>
      <c r="AM1096" s="22"/>
      <c r="AN1096" s="22"/>
      <c r="AO1096" s="22"/>
      <c r="AP1096" s="22"/>
      <c r="AQ1096" s="22"/>
      <c r="AR1096"/>
      <c r="AS1096"/>
      <c r="AT1096"/>
      <c r="AU1096"/>
      <c r="AV1096"/>
      <c r="AW1096"/>
      <c r="AX1096"/>
      <c r="AY1096"/>
    </row>
    <row r="1097" spans="36:51">
      <c r="AJ1097" s="22"/>
      <c r="AK1097" s="22"/>
      <c r="AL1097" s="22"/>
      <c r="AM1097" s="22"/>
      <c r="AN1097" s="22"/>
      <c r="AO1097" s="22"/>
      <c r="AP1097" s="22"/>
      <c r="AQ1097" s="22"/>
      <c r="AR1097"/>
      <c r="AS1097"/>
      <c r="AT1097"/>
      <c r="AU1097"/>
      <c r="AV1097"/>
      <c r="AW1097"/>
      <c r="AX1097"/>
      <c r="AY1097"/>
    </row>
    <row r="1098" spans="36:51">
      <c r="AJ1098" s="22"/>
      <c r="AK1098" s="22"/>
      <c r="AL1098" s="22"/>
      <c r="AM1098" s="22"/>
      <c r="AN1098" s="22"/>
      <c r="AO1098" s="22"/>
      <c r="AP1098" s="22"/>
      <c r="AQ1098" s="22"/>
      <c r="AR1098"/>
      <c r="AS1098"/>
      <c r="AT1098"/>
      <c r="AU1098"/>
      <c r="AV1098"/>
      <c r="AW1098"/>
      <c r="AX1098"/>
      <c r="AY1098"/>
    </row>
    <row r="1099" spans="36:51">
      <c r="AJ1099" s="22"/>
      <c r="AK1099" s="22"/>
      <c r="AL1099" s="22"/>
      <c r="AM1099" s="22"/>
      <c r="AN1099" s="22"/>
      <c r="AO1099" s="22"/>
      <c r="AP1099" s="22"/>
      <c r="AQ1099" s="22"/>
      <c r="AR1099"/>
      <c r="AS1099"/>
      <c r="AT1099"/>
      <c r="AU1099"/>
      <c r="AV1099"/>
      <c r="AW1099"/>
      <c r="AX1099"/>
      <c r="AY1099"/>
    </row>
    <row r="1100" spans="36:51">
      <c r="AJ1100" s="22"/>
      <c r="AK1100" s="22"/>
      <c r="AL1100" s="22"/>
      <c r="AM1100" s="22"/>
      <c r="AN1100" s="22"/>
      <c r="AO1100" s="22"/>
      <c r="AP1100" s="22"/>
      <c r="AQ1100" s="22"/>
      <c r="AR1100"/>
      <c r="AS1100"/>
      <c r="AT1100"/>
      <c r="AU1100"/>
      <c r="AV1100"/>
      <c r="AW1100"/>
      <c r="AX1100"/>
      <c r="AY1100"/>
    </row>
    <row r="1101" spans="36:51">
      <c r="AJ1101" s="22"/>
      <c r="AK1101" s="22"/>
      <c r="AL1101" s="22"/>
      <c r="AM1101" s="22"/>
      <c r="AN1101" s="22"/>
      <c r="AO1101" s="22"/>
      <c r="AP1101" s="22"/>
      <c r="AQ1101" s="22"/>
      <c r="AR1101"/>
      <c r="AS1101"/>
      <c r="AT1101"/>
      <c r="AU1101"/>
      <c r="AV1101"/>
      <c r="AW1101"/>
      <c r="AX1101"/>
      <c r="AY1101"/>
    </row>
    <row r="1102" spans="36:51">
      <c r="AJ1102" s="22"/>
      <c r="AK1102" s="22"/>
      <c r="AL1102" s="22"/>
      <c r="AM1102" s="22"/>
      <c r="AN1102" s="22"/>
      <c r="AO1102" s="22"/>
      <c r="AP1102" s="22"/>
      <c r="AQ1102" s="22"/>
      <c r="AR1102"/>
      <c r="AS1102"/>
      <c r="AT1102"/>
      <c r="AU1102"/>
      <c r="AV1102"/>
      <c r="AW1102"/>
      <c r="AX1102"/>
      <c r="AY1102"/>
    </row>
    <row r="1103" spans="36:51">
      <c r="AJ1103" s="22"/>
      <c r="AK1103" s="22"/>
      <c r="AL1103" s="22"/>
      <c r="AM1103" s="22"/>
      <c r="AN1103" s="22"/>
      <c r="AO1103" s="22"/>
      <c r="AP1103" s="22"/>
      <c r="AQ1103" s="22"/>
      <c r="AR1103"/>
      <c r="AS1103"/>
      <c r="AT1103"/>
      <c r="AU1103"/>
      <c r="AV1103"/>
      <c r="AW1103"/>
      <c r="AX1103"/>
      <c r="AY1103"/>
    </row>
    <row r="1104" spans="36:51">
      <c r="AJ1104" s="22"/>
      <c r="AK1104" s="22"/>
      <c r="AL1104" s="22"/>
      <c r="AM1104" s="22"/>
      <c r="AN1104" s="22"/>
      <c r="AO1104" s="22"/>
      <c r="AP1104" s="22"/>
      <c r="AQ1104" s="22"/>
      <c r="AR1104"/>
      <c r="AS1104"/>
      <c r="AT1104"/>
      <c r="AU1104"/>
      <c r="AV1104"/>
      <c r="AW1104"/>
      <c r="AX1104"/>
      <c r="AY1104"/>
    </row>
    <row r="1105" spans="36:51">
      <c r="AJ1105" s="22"/>
      <c r="AK1105" s="22"/>
      <c r="AL1105" s="22"/>
      <c r="AM1105" s="22"/>
      <c r="AN1105" s="22"/>
      <c r="AO1105" s="22"/>
      <c r="AP1105" s="22"/>
      <c r="AQ1105" s="22"/>
      <c r="AR1105"/>
      <c r="AS1105"/>
      <c r="AT1105"/>
      <c r="AU1105"/>
      <c r="AV1105"/>
      <c r="AW1105"/>
      <c r="AX1105"/>
      <c r="AY1105"/>
    </row>
    <row r="1106" spans="36:51">
      <c r="AJ1106" s="22"/>
      <c r="AK1106" s="22"/>
      <c r="AL1106" s="22"/>
      <c r="AM1106" s="22"/>
      <c r="AN1106" s="22"/>
      <c r="AO1106" s="22"/>
      <c r="AP1106" s="22"/>
      <c r="AQ1106" s="22"/>
      <c r="AR1106"/>
      <c r="AS1106"/>
      <c r="AT1106"/>
      <c r="AU1106"/>
      <c r="AV1106"/>
      <c r="AW1106"/>
      <c r="AX1106"/>
      <c r="AY1106"/>
    </row>
    <row r="1107" spans="36:51">
      <c r="AJ1107" s="22"/>
      <c r="AK1107" s="22"/>
      <c r="AL1107" s="22"/>
      <c r="AM1107" s="22"/>
      <c r="AN1107" s="22"/>
      <c r="AO1107" s="22"/>
      <c r="AP1107" s="22"/>
      <c r="AQ1107" s="22"/>
      <c r="AR1107"/>
      <c r="AS1107"/>
      <c r="AT1107"/>
      <c r="AU1107"/>
      <c r="AV1107"/>
      <c r="AW1107"/>
      <c r="AX1107"/>
      <c r="AY1107"/>
    </row>
    <row r="1108" spans="36:51">
      <c r="AJ1108" s="22"/>
      <c r="AK1108" s="22"/>
      <c r="AL1108" s="22"/>
      <c r="AM1108" s="22"/>
      <c r="AN1108" s="22"/>
      <c r="AO1108" s="22"/>
      <c r="AP1108" s="22"/>
      <c r="AQ1108" s="22"/>
      <c r="AR1108"/>
      <c r="AS1108"/>
      <c r="AT1108"/>
      <c r="AU1108"/>
      <c r="AV1108"/>
      <c r="AW1108"/>
      <c r="AX1108"/>
      <c r="AY1108"/>
    </row>
    <row r="1109" spans="36:51">
      <c r="AJ1109" s="22"/>
      <c r="AK1109" s="22"/>
      <c r="AL1109" s="22"/>
      <c r="AM1109" s="22"/>
      <c r="AN1109" s="22"/>
      <c r="AO1109" s="22"/>
      <c r="AP1109" s="22"/>
      <c r="AQ1109" s="22"/>
      <c r="AR1109"/>
      <c r="AS1109"/>
      <c r="AT1109"/>
      <c r="AU1109"/>
      <c r="AV1109"/>
      <c r="AW1109"/>
      <c r="AX1109"/>
      <c r="AY1109"/>
    </row>
    <row r="1110" spans="36:51">
      <c r="AJ1110" s="22"/>
      <c r="AK1110" s="22"/>
      <c r="AL1110" s="22"/>
      <c r="AM1110" s="22"/>
      <c r="AN1110" s="22"/>
      <c r="AO1110" s="22"/>
      <c r="AP1110" s="22"/>
      <c r="AQ1110" s="22"/>
      <c r="AR1110"/>
      <c r="AS1110"/>
      <c r="AT1110"/>
      <c r="AU1110"/>
      <c r="AV1110"/>
      <c r="AW1110"/>
      <c r="AX1110"/>
      <c r="AY1110"/>
    </row>
    <row r="1111" spans="36:51">
      <c r="AJ1111" s="22"/>
      <c r="AK1111" s="22"/>
      <c r="AL1111" s="22"/>
      <c r="AM1111" s="22"/>
      <c r="AN1111" s="22"/>
      <c r="AO1111" s="22"/>
      <c r="AP1111" s="22"/>
      <c r="AQ1111" s="22"/>
      <c r="AR1111"/>
      <c r="AS1111"/>
      <c r="AT1111"/>
      <c r="AU1111"/>
      <c r="AV1111"/>
      <c r="AW1111"/>
      <c r="AX1111"/>
      <c r="AY1111"/>
    </row>
    <row r="1112" spans="36:51">
      <c r="AJ1112" s="22"/>
      <c r="AK1112" s="22"/>
      <c r="AL1112" s="22"/>
      <c r="AM1112" s="22"/>
      <c r="AN1112" s="22"/>
      <c r="AO1112" s="22"/>
      <c r="AP1112" s="22"/>
      <c r="AQ1112" s="22"/>
      <c r="AR1112"/>
      <c r="AS1112"/>
      <c r="AT1112"/>
      <c r="AU1112"/>
      <c r="AV1112"/>
      <c r="AW1112"/>
      <c r="AX1112"/>
      <c r="AY1112"/>
    </row>
    <row r="1113" spans="36:51">
      <c r="AJ1113" s="22"/>
      <c r="AK1113" s="22"/>
      <c r="AL1113" s="22"/>
      <c r="AM1113" s="22"/>
      <c r="AN1113" s="22"/>
      <c r="AO1113" s="22"/>
      <c r="AP1113" s="22"/>
      <c r="AQ1113" s="22"/>
      <c r="AR1113"/>
      <c r="AS1113"/>
      <c r="AT1113"/>
      <c r="AU1113"/>
      <c r="AV1113"/>
      <c r="AW1113"/>
      <c r="AX1113"/>
      <c r="AY1113"/>
    </row>
    <row r="1114" spans="36:51">
      <c r="AJ1114" s="22"/>
      <c r="AK1114" s="22"/>
      <c r="AL1114" s="22"/>
      <c r="AM1114" s="22"/>
      <c r="AN1114" s="22"/>
      <c r="AO1114" s="22"/>
      <c r="AP1114" s="22"/>
      <c r="AQ1114" s="22"/>
      <c r="AR1114"/>
      <c r="AS1114"/>
      <c r="AT1114"/>
      <c r="AU1114"/>
      <c r="AV1114"/>
      <c r="AW1114"/>
      <c r="AX1114"/>
      <c r="AY1114"/>
    </row>
    <row r="1115" spans="36:51">
      <c r="AJ1115" s="22"/>
      <c r="AK1115" s="22"/>
      <c r="AL1115" s="22"/>
      <c r="AM1115" s="22"/>
      <c r="AN1115" s="22"/>
      <c r="AO1115" s="22"/>
      <c r="AP1115" s="22"/>
      <c r="AQ1115" s="22"/>
      <c r="AR1115"/>
      <c r="AS1115"/>
      <c r="AT1115"/>
      <c r="AU1115"/>
      <c r="AV1115"/>
      <c r="AW1115"/>
      <c r="AX1115"/>
      <c r="AY1115"/>
    </row>
    <row r="1116" spans="36:51">
      <c r="AJ1116" s="22"/>
      <c r="AK1116" s="22"/>
      <c r="AL1116" s="22"/>
      <c r="AM1116" s="22"/>
      <c r="AN1116" s="22"/>
      <c r="AO1116" s="22"/>
      <c r="AP1116" s="22"/>
      <c r="AQ1116" s="22"/>
      <c r="AR1116"/>
      <c r="AS1116"/>
      <c r="AT1116"/>
      <c r="AU1116"/>
      <c r="AV1116"/>
      <c r="AW1116"/>
      <c r="AX1116"/>
      <c r="AY1116"/>
    </row>
    <row r="1117" spans="36:51">
      <c r="AJ1117" s="22"/>
      <c r="AK1117" s="22"/>
      <c r="AL1117" s="22"/>
      <c r="AM1117" s="22"/>
      <c r="AN1117" s="22"/>
      <c r="AO1117" s="22"/>
      <c r="AP1117" s="22"/>
      <c r="AQ1117" s="22"/>
      <c r="AR1117"/>
      <c r="AS1117"/>
      <c r="AT1117"/>
      <c r="AU1117"/>
      <c r="AV1117"/>
      <c r="AW1117"/>
      <c r="AX1117"/>
      <c r="AY1117"/>
    </row>
    <row r="1118" spans="36:51">
      <c r="AJ1118" s="22"/>
      <c r="AK1118" s="22"/>
      <c r="AL1118" s="22"/>
      <c r="AM1118" s="22"/>
      <c r="AN1118" s="22"/>
      <c r="AO1118" s="22"/>
      <c r="AP1118" s="22"/>
      <c r="AQ1118" s="22"/>
      <c r="AR1118"/>
      <c r="AS1118"/>
      <c r="AT1118"/>
      <c r="AU1118"/>
      <c r="AV1118"/>
      <c r="AW1118"/>
      <c r="AX1118"/>
      <c r="AY1118"/>
    </row>
    <row r="1119" spans="36:51">
      <c r="AJ1119" s="22"/>
      <c r="AK1119" s="22"/>
      <c r="AL1119" s="22"/>
      <c r="AM1119" s="22"/>
      <c r="AN1119" s="22"/>
      <c r="AO1119" s="22"/>
      <c r="AP1119" s="22"/>
      <c r="AQ1119" s="22"/>
      <c r="AR1119"/>
      <c r="AS1119"/>
      <c r="AT1119"/>
      <c r="AU1119"/>
      <c r="AV1119"/>
      <c r="AW1119"/>
      <c r="AX1119"/>
      <c r="AY1119"/>
    </row>
    <row r="1120" spans="36:51">
      <c r="AJ1120" s="22"/>
      <c r="AK1120" s="22"/>
      <c r="AL1120" s="22"/>
      <c r="AM1120" s="22"/>
      <c r="AN1120" s="22"/>
      <c r="AO1120" s="22"/>
      <c r="AP1120" s="22"/>
      <c r="AQ1120" s="22"/>
      <c r="AR1120"/>
      <c r="AS1120"/>
      <c r="AT1120"/>
      <c r="AU1120"/>
      <c r="AV1120"/>
      <c r="AW1120"/>
      <c r="AX1120"/>
      <c r="AY1120"/>
    </row>
    <row r="1121" spans="36:51">
      <c r="AJ1121" s="22"/>
      <c r="AK1121" s="22"/>
      <c r="AL1121" s="22"/>
      <c r="AM1121" s="22"/>
      <c r="AN1121" s="22"/>
      <c r="AO1121" s="22"/>
      <c r="AP1121" s="22"/>
      <c r="AQ1121" s="22"/>
      <c r="AR1121"/>
      <c r="AS1121"/>
      <c r="AT1121"/>
      <c r="AU1121"/>
      <c r="AV1121"/>
      <c r="AW1121"/>
      <c r="AX1121"/>
      <c r="AY1121"/>
    </row>
    <row r="1122" spans="36:51">
      <c r="AJ1122" s="22"/>
      <c r="AK1122" s="22"/>
      <c r="AL1122" s="22"/>
      <c r="AM1122" s="22"/>
      <c r="AN1122" s="22"/>
      <c r="AO1122" s="22"/>
      <c r="AP1122" s="22"/>
      <c r="AQ1122" s="22"/>
      <c r="AR1122"/>
      <c r="AS1122"/>
      <c r="AT1122"/>
      <c r="AU1122"/>
      <c r="AV1122"/>
      <c r="AW1122"/>
      <c r="AX1122"/>
      <c r="AY1122"/>
    </row>
    <row r="1123" spans="36:51">
      <c r="AJ1123" s="22"/>
      <c r="AK1123" s="22"/>
      <c r="AL1123" s="22"/>
      <c r="AM1123" s="22"/>
      <c r="AN1123" s="22"/>
      <c r="AO1123" s="22"/>
      <c r="AP1123" s="22"/>
      <c r="AQ1123" s="22"/>
      <c r="AR1123"/>
      <c r="AS1123"/>
      <c r="AT1123"/>
      <c r="AU1123"/>
      <c r="AV1123"/>
      <c r="AW1123"/>
      <c r="AX1123"/>
      <c r="AY1123"/>
    </row>
    <row r="1124" spans="36:51">
      <c r="AJ1124" s="22"/>
      <c r="AK1124" s="22"/>
      <c r="AL1124" s="22"/>
      <c r="AM1124" s="22"/>
      <c r="AN1124" s="22"/>
      <c r="AO1124" s="22"/>
      <c r="AP1124" s="22"/>
      <c r="AQ1124" s="22"/>
      <c r="AR1124"/>
      <c r="AS1124"/>
      <c r="AT1124"/>
      <c r="AU1124"/>
      <c r="AV1124"/>
      <c r="AW1124"/>
      <c r="AX1124"/>
      <c r="AY1124"/>
    </row>
    <row r="1125" spans="36:51">
      <c r="AJ1125" s="22"/>
      <c r="AK1125" s="22"/>
      <c r="AL1125" s="22"/>
      <c r="AM1125" s="22"/>
      <c r="AN1125" s="22"/>
      <c r="AO1125" s="22"/>
      <c r="AP1125" s="22"/>
      <c r="AQ1125" s="22"/>
      <c r="AR1125"/>
      <c r="AS1125"/>
      <c r="AT1125"/>
      <c r="AU1125"/>
      <c r="AV1125"/>
      <c r="AW1125"/>
      <c r="AX1125"/>
      <c r="AY1125"/>
    </row>
    <row r="1126" spans="36:51">
      <c r="AJ1126" s="22"/>
      <c r="AK1126" s="22"/>
      <c r="AL1126" s="22"/>
      <c r="AM1126" s="22"/>
      <c r="AN1126" s="22"/>
      <c r="AO1126" s="22"/>
      <c r="AP1126" s="22"/>
      <c r="AQ1126" s="22"/>
      <c r="AR1126"/>
      <c r="AS1126"/>
      <c r="AT1126"/>
      <c r="AU1126"/>
      <c r="AV1126"/>
      <c r="AW1126"/>
      <c r="AX1126"/>
      <c r="AY1126"/>
    </row>
    <row r="1127" spans="36:51">
      <c r="AJ1127" s="22"/>
      <c r="AK1127" s="22"/>
      <c r="AL1127" s="22"/>
      <c r="AM1127" s="22"/>
      <c r="AN1127" s="22"/>
      <c r="AO1127" s="22"/>
      <c r="AP1127" s="22"/>
      <c r="AQ1127" s="22"/>
      <c r="AR1127"/>
      <c r="AS1127"/>
      <c r="AT1127"/>
      <c r="AU1127"/>
      <c r="AV1127"/>
      <c r="AW1127"/>
      <c r="AX1127"/>
      <c r="AY1127"/>
    </row>
    <row r="1128" spans="36:51">
      <c r="AJ1128" s="22"/>
      <c r="AK1128" s="22"/>
      <c r="AL1128" s="22"/>
      <c r="AM1128" s="22"/>
      <c r="AN1128" s="22"/>
      <c r="AO1128" s="22"/>
      <c r="AP1128" s="22"/>
      <c r="AQ1128" s="22"/>
      <c r="AR1128"/>
      <c r="AS1128"/>
      <c r="AT1128"/>
      <c r="AU1128"/>
      <c r="AV1128"/>
      <c r="AW1128"/>
      <c r="AX1128"/>
      <c r="AY1128"/>
    </row>
    <row r="1129" spans="36:51">
      <c r="AJ1129" s="22"/>
      <c r="AK1129" s="22"/>
      <c r="AL1129" s="22"/>
      <c r="AM1129" s="22"/>
      <c r="AN1129" s="22"/>
      <c r="AO1129" s="22"/>
      <c r="AP1129" s="22"/>
      <c r="AQ1129" s="22"/>
      <c r="AR1129"/>
      <c r="AS1129"/>
      <c r="AT1129"/>
      <c r="AU1129"/>
      <c r="AV1129"/>
      <c r="AW1129"/>
      <c r="AX1129"/>
      <c r="AY1129"/>
    </row>
    <row r="1130" spans="36:51">
      <c r="AJ1130" s="22"/>
      <c r="AK1130" s="22"/>
      <c r="AL1130" s="22"/>
      <c r="AM1130" s="22"/>
      <c r="AN1130" s="22"/>
      <c r="AO1130" s="22"/>
      <c r="AP1130" s="22"/>
      <c r="AQ1130" s="22"/>
      <c r="AR1130"/>
      <c r="AS1130"/>
      <c r="AT1130"/>
      <c r="AU1130"/>
      <c r="AV1130"/>
      <c r="AW1130"/>
      <c r="AX1130"/>
      <c r="AY1130"/>
    </row>
    <row r="1131" spans="36:51">
      <c r="AJ1131" s="22"/>
      <c r="AK1131" s="22"/>
      <c r="AL1131" s="22"/>
      <c r="AM1131" s="22"/>
      <c r="AN1131" s="22"/>
      <c r="AO1131" s="22"/>
      <c r="AP1131" s="22"/>
      <c r="AQ1131" s="22"/>
      <c r="AR1131"/>
      <c r="AS1131"/>
      <c r="AT1131"/>
      <c r="AU1131"/>
      <c r="AV1131"/>
      <c r="AW1131"/>
      <c r="AX1131"/>
      <c r="AY1131"/>
    </row>
    <row r="1132" spans="36:51">
      <c r="AJ1132" s="22"/>
      <c r="AK1132" s="22"/>
      <c r="AL1132" s="22"/>
      <c r="AM1132" s="22"/>
      <c r="AN1132" s="22"/>
      <c r="AO1132" s="22"/>
      <c r="AP1132" s="22"/>
      <c r="AQ1132" s="22"/>
      <c r="AR1132"/>
      <c r="AS1132"/>
      <c r="AT1132"/>
      <c r="AU1132"/>
      <c r="AV1132"/>
      <c r="AW1132"/>
      <c r="AX1132"/>
      <c r="AY1132"/>
    </row>
    <row r="1133" spans="36:51">
      <c r="AJ1133" s="22"/>
      <c r="AK1133" s="22"/>
      <c r="AL1133" s="22"/>
      <c r="AM1133" s="22"/>
      <c r="AN1133" s="22"/>
      <c r="AO1133" s="22"/>
      <c r="AP1133" s="22"/>
      <c r="AQ1133" s="22"/>
      <c r="AR1133"/>
      <c r="AS1133"/>
      <c r="AT1133"/>
      <c r="AU1133"/>
      <c r="AV1133"/>
      <c r="AW1133"/>
      <c r="AX1133"/>
      <c r="AY1133"/>
    </row>
    <row r="1134" spans="36:51">
      <c r="AJ1134" s="22"/>
      <c r="AK1134" s="22"/>
      <c r="AL1134" s="22"/>
      <c r="AM1134" s="22"/>
      <c r="AN1134" s="22"/>
      <c r="AO1134" s="22"/>
      <c r="AP1134" s="22"/>
      <c r="AQ1134" s="22"/>
      <c r="AR1134"/>
      <c r="AS1134"/>
      <c r="AT1134"/>
      <c r="AU1134"/>
      <c r="AV1134"/>
      <c r="AW1134"/>
      <c r="AX1134"/>
      <c r="AY1134"/>
    </row>
    <row r="1135" spans="36:51">
      <c r="AJ1135" s="22"/>
      <c r="AK1135" s="22"/>
      <c r="AL1135" s="22"/>
      <c r="AM1135" s="22"/>
      <c r="AN1135" s="22"/>
      <c r="AO1135" s="22"/>
      <c r="AP1135" s="22"/>
      <c r="AQ1135" s="22"/>
      <c r="AR1135"/>
      <c r="AS1135"/>
      <c r="AT1135"/>
      <c r="AU1135"/>
      <c r="AV1135"/>
      <c r="AW1135"/>
      <c r="AX1135"/>
      <c r="AY1135"/>
    </row>
    <row r="1136" spans="36:51">
      <c r="AJ1136" s="22"/>
      <c r="AK1136" s="22"/>
      <c r="AL1136" s="22"/>
      <c r="AM1136" s="22"/>
      <c r="AN1136" s="22"/>
      <c r="AO1136" s="22"/>
      <c r="AP1136" s="22"/>
      <c r="AQ1136" s="22"/>
      <c r="AR1136"/>
      <c r="AS1136"/>
      <c r="AT1136"/>
      <c r="AU1136"/>
      <c r="AV1136"/>
      <c r="AW1136"/>
      <c r="AX1136"/>
      <c r="AY1136"/>
    </row>
    <row r="1137" spans="36:51">
      <c r="AJ1137" s="22"/>
      <c r="AK1137" s="22"/>
      <c r="AL1137" s="22"/>
      <c r="AM1137" s="22"/>
      <c r="AN1137" s="22"/>
      <c r="AO1137" s="22"/>
      <c r="AP1137" s="22"/>
      <c r="AQ1137" s="22"/>
      <c r="AR1137"/>
      <c r="AS1137"/>
      <c r="AT1137"/>
      <c r="AU1137"/>
      <c r="AV1137"/>
      <c r="AW1137"/>
      <c r="AX1137"/>
      <c r="AY1137"/>
    </row>
    <row r="1138" spans="36:51">
      <c r="AJ1138" s="22"/>
      <c r="AK1138" s="22"/>
      <c r="AL1138" s="22"/>
      <c r="AM1138" s="22"/>
      <c r="AN1138" s="22"/>
      <c r="AO1138" s="22"/>
      <c r="AP1138" s="22"/>
      <c r="AQ1138" s="22"/>
      <c r="AR1138"/>
      <c r="AS1138"/>
      <c r="AT1138"/>
      <c r="AU1138"/>
      <c r="AV1138"/>
      <c r="AW1138"/>
      <c r="AX1138"/>
      <c r="AY1138"/>
    </row>
    <row r="1139" spans="36:51">
      <c r="AJ1139" s="22"/>
      <c r="AK1139" s="22"/>
      <c r="AL1139" s="22"/>
      <c r="AM1139" s="22"/>
      <c r="AN1139" s="22"/>
      <c r="AO1139" s="22"/>
      <c r="AP1139" s="22"/>
      <c r="AQ1139" s="22"/>
      <c r="AR1139"/>
      <c r="AS1139"/>
      <c r="AT1139"/>
      <c r="AU1139"/>
      <c r="AV1139"/>
      <c r="AW1139"/>
      <c r="AX1139"/>
      <c r="AY1139"/>
    </row>
    <row r="1140" spans="36:51">
      <c r="AJ1140" s="22"/>
      <c r="AK1140" s="22"/>
      <c r="AL1140" s="22"/>
      <c r="AM1140" s="22"/>
      <c r="AN1140" s="22"/>
      <c r="AO1140" s="22"/>
      <c r="AP1140" s="22"/>
      <c r="AQ1140" s="22"/>
      <c r="AR1140"/>
      <c r="AS1140"/>
      <c r="AT1140"/>
      <c r="AU1140"/>
      <c r="AV1140"/>
      <c r="AW1140"/>
      <c r="AX1140"/>
      <c r="AY1140"/>
    </row>
    <row r="1141" spans="36:51">
      <c r="AJ1141" s="22"/>
      <c r="AK1141" s="22"/>
      <c r="AL1141" s="22"/>
      <c r="AM1141" s="22"/>
      <c r="AN1141" s="22"/>
      <c r="AO1141" s="22"/>
      <c r="AP1141" s="22"/>
      <c r="AQ1141" s="22"/>
      <c r="AR1141"/>
      <c r="AS1141"/>
      <c r="AT1141"/>
      <c r="AU1141"/>
      <c r="AV1141"/>
      <c r="AW1141"/>
      <c r="AX1141"/>
      <c r="AY1141"/>
    </row>
    <row r="1142" spans="36:51">
      <c r="AJ1142" s="22"/>
      <c r="AK1142" s="22"/>
      <c r="AL1142" s="22"/>
      <c r="AM1142" s="22"/>
      <c r="AN1142" s="22"/>
      <c r="AO1142" s="22"/>
      <c r="AP1142" s="22"/>
      <c r="AQ1142" s="22"/>
      <c r="AR1142"/>
      <c r="AS1142"/>
      <c r="AT1142"/>
      <c r="AU1142"/>
      <c r="AV1142"/>
      <c r="AW1142"/>
      <c r="AX1142"/>
      <c r="AY1142"/>
    </row>
    <row r="1143" spans="36:51">
      <c r="AJ1143" s="22"/>
      <c r="AK1143" s="22"/>
      <c r="AL1143" s="22"/>
      <c r="AM1143" s="22"/>
      <c r="AN1143" s="22"/>
      <c r="AO1143" s="22"/>
      <c r="AP1143" s="22"/>
      <c r="AQ1143" s="22"/>
      <c r="AR1143"/>
      <c r="AS1143"/>
      <c r="AT1143"/>
      <c r="AU1143"/>
      <c r="AV1143"/>
      <c r="AW1143"/>
      <c r="AX1143"/>
      <c r="AY1143"/>
    </row>
    <row r="1144" spans="36:51">
      <c r="AJ1144" s="22"/>
      <c r="AK1144" s="22"/>
      <c r="AL1144" s="22"/>
      <c r="AM1144" s="22"/>
      <c r="AN1144" s="22"/>
      <c r="AO1144" s="22"/>
      <c r="AP1144" s="22"/>
      <c r="AQ1144" s="22"/>
      <c r="AR1144"/>
      <c r="AS1144"/>
      <c r="AT1144"/>
      <c r="AU1144"/>
      <c r="AV1144"/>
      <c r="AW1144"/>
      <c r="AX1144"/>
      <c r="AY1144"/>
    </row>
    <row r="1145" spans="36:51">
      <c r="AJ1145" s="22"/>
      <c r="AK1145" s="22"/>
      <c r="AL1145" s="22"/>
      <c r="AM1145" s="22"/>
      <c r="AN1145" s="22"/>
      <c r="AO1145" s="22"/>
      <c r="AP1145" s="22"/>
      <c r="AQ1145" s="22"/>
      <c r="AR1145"/>
      <c r="AS1145"/>
      <c r="AT1145"/>
      <c r="AU1145"/>
      <c r="AV1145"/>
      <c r="AW1145"/>
      <c r="AX1145"/>
      <c r="AY1145"/>
    </row>
    <row r="1146" spans="36:51">
      <c r="AJ1146" s="22"/>
      <c r="AK1146" s="22"/>
      <c r="AL1146" s="22"/>
      <c r="AM1146" s="22"/>
      <c r="AN1146" s="22"/>
      <c r="AO1146" s="22"/>
      <c r="AP1146" s="22"/>
      <c r="AQ1146" s="22"/>
      <c r="AR1146"/>
      <c r="AS1146"/>
      <c r="AT1146"/>
      <c r="AU1146"/>
      <c r="AV1146"/>
      <c r="AW1146"/>
      <c r="AX1146"/>
      <c r="AY1146"/>
    </row>
    <row r="1147" spans="36:51">
      <c r="AJ1147" s="22"/>
      <c r="AK1147" s="22"/>
      <c r="AL1147" s="22"/>
      <c r="AM1147" s="22"/>
      <c r="AN1147" s="22"/>
      <c r="AO1147" s="22"/>
      <c r="AP1147" s="22"/>
      <c r="AQ1147" s="22"/>
      <c r="AR1147"/>
      <c r="AS1147"/>
      <c r="AT1147"/>
      <c r="AU1147"/>
      <c r="AV1147"/>
      <c r="AW1147"/>
      <c r="AX1147"/>
      <c r="AY1147"/>
    </row>
    <row r="1148" spans="36:51">
      <c r="AJ1148" s="22"/>
      <c r="AK1148" s="22"/>
      <c r="AL1148" s="22"/>
      <c r="AM1148" s="22"/>
      <c r="AN1148" s="22"/>
      <c r="AO1148" s="22"/>
      <c r="AP1148" s="22"/>
      <c r="AQ1148" s="22"/>
      <c r="AR1148"/>
      <c r="AS1148"/>
      <c r="AT1148"/>
      <c r="AU1148"/>
      <c r="AV1148"/>
      <c r="AW1148"/>
      <c r="AX1148"/>
      <c r="AY1148"/>
    </row>
    <row r="1149" spans="36:51">
      <c r="AJ1149" s="22"/>
      <c r="AK1149" s="22"/>
      <c r="AL1149" s="22"/>
      <c r="AM1149" s="22"/>
      <c r="AN1149" s="22"/>
      <c r="AO1149" s="22"/>
      <c r="AP1149" s="22"/>
      <c r="AQ1149" s="22"/>
      <c r="AR1149"/>
      <c r="AS1149"/>
      <c r="AT1149"/>
      <c r="AU1149"/>
      <c r="AV1149"/>
      <c r="AW1149"/>
      <c r="AX1149"/>
      <c r="AY1149"/>
    </row>
    <row r="1150" spans="36:51">
      <c r="AJ1150" s="22"/>
      <c r="AK1150" s="22"/>
      <c r="AL1150" s="22"/>
      <c r="AM1150" s="22"/>
      <c r="AN1150" s="22"/>
      <c r="AO1150" s="22"/>
      <c r="AP1150" s="22"/>
      <c r="AQ1150" s="22"/>
      <c r="AR1150"/>
      <c r="AS1150"/>
      <c r="AT1150"/>
      <c r="AU1150"/>
      <c r="AV1150"/>
      <c r="AW1150"/>
      <c r="AX1150"/>
      <c r="AY1150"/>
    </row>
    <row r="1151" spans="36:51">
      <c r="AJ1151" s="22"/>
      <c r="AK1151" s="22"/>
      <c r="AL1151" s="22"/>
      <c r="AM1151" s="22"/>
      <c r="AN1151" s="22"/>
      <c r="AO1151" s="22"/>
      <c r="AP1151" s="22"/>
      <c r="AQ1151" s="22"/>
      <c r="AR1151"/>
      <c r="AS1151"/>
      <c r="AT1151"/>
      <c r="AU1151"/>
      <c r="AV1151"/>
      <c r="AW1151"/>
      <c r="AX1151"/>
      <c r="AY1151"/>
    </row>
    <row r="1152" spans="36:51">
      <c r="AJ1152" s="22"/>
      <c r="AK1152" s="22"/>
      <c r="AL1152" s="22"/>
      <c r="AM1152" s="22"/>
      <c r="AN1152" s="22"/>
      <c r="AO1152" s="22"/>
      <c r="AP1152" s="22"/>
      <c r="AQ1152" s="22"/>
      <c r="AR1152"/>
      <c r="AS1152"/>
      <c r="AT1152"/>
      <c r="AU1152"/>
      <c r="AV1152"/>
      <c r="AW1152"/>
      <c r="AX1152"/>
      <c r="AY1152"/>
    </row>
    <row r="1153" spans="36:51">
      <c r="AJ1153" s="22"/>
      <c r="AK1153" s="22"/>
      <c r="AL1153" s="22"/>
      <c r="AM1153" s="22"/>
      <c r="AN1153" s="22"/>
      <c r="AO1153" s="22"/>
      <c r="AP1153" s="22"/>
      <c r="AQ1153" s="22"/>
      <c r="AR1153"/>
      <c r="AS1153"/>
      <c r="AT1153"/>
      <c r="AU1153"/>
      <c r="AV1153"/>
      <c r="AW1153"/>
      <c r="AX1153"/>
      <c r="AY1153"/>
    </row>
    <row r="1154" spans="36:51">
      <c r="AJ1154" s="22"/>
      <c r="AK1154" s="22"/>
      <c r="AL1154" s="22"/>
      <c r="AM1154" s="22"/>
      <c r="AN1154" s="22"/>
      <c r="AO1154" s="22"/>
      <c r="AP1154" s="22"/>
      <c r="AQ1154" s="22"/>
      <c r="AR1154"/>
      <c r="AS1154"/>
      <c r="AT1154"/>
      <c r="AU1154"/>
      <c r="AV1154"/>
      <c r="AW1154"/>
      <c r="AX1154"/>
      <c r="AY1154"/>
    </row>
    <row r="1155" spans="36:51">
      <c r="AJ1155" s="22"/>
      <c r="AK1155" s="22"/>
      <c r="AL1155" s="22"/>
      <c r="AM1155" s="22"/>
      <c r="AN1155" s="22"/>
      <c r="AO1155" s="22"/>
      <c r="AP1155" s="22"/>
      <c r="AQ1155" s="22"/>
      <c r="AR1155"/>
      <c r="AS1155"/>
      <c r="AT1155"/>
      <c r="AU1155"/>
      <c r="AV1155"/>
      <c r="AW1155"/>
      <c r="AX1155"/>
      <c r="AY1155"/>
    </row>
    <row r="1156" spans="36:51">
      <c r="AJ1156" s="22"/>
      <c r="AK1156" s="22"/>
      <c r="AL1156" s="22"/>
      <c r="AM1156" s="22"/>
      <c r="AN1156" s="22"/>
      <c r="AO1156" s="22"/>
      <c r="AP1156" s="22"/>
      <c r="AQ1156" s="22"/>
      <c r="AR1156"/>
      <c r="AS1156"/>
      <c r="AT1156"/>
      <c r="AU1156"/>
      <c r="AV1156"/>
      <c r="AW1156"/>
      <c r="AX1156"/>
      <c r="AY1156"/>
    </row>
    <row r="1157" spans="36:51">
      <c r="AJ1157" s="22"/>
      <c r="AK1157" s="22"/>
      <c r="AL1157" s="22"/>
      <c r="AM1157" s="22"/>
      <c r="AN1157" s="22"/>
      <c r="AO1157" s="22"/>
      <c r="AP1157" s="22"/>
      <c r="AQ1157" s="22"/>
      <c r="AR1157"/>
      <c r="AS1157"/>
      <c r="AT1157"/>
      <c r="AU1157"/>
      <c r="AV1157"/>
      <c r="AW1157"/>
      <c r="AX1157"/>
      <c r="AY1157"/>
    </row>
    <row r="1158" spans="36:51">
      <c r="AJ1158" s="22"/>
      <c r="AK1158" s="22"/>
      <c r="AL1158" s="22"/>
      <c r="AM1158" s="22"/>
      <c r="AN1158" s="22"/>
      <c r="AO1158" s="22"/>
      <c r="AP1158" s="22"/>
      <c r="AQ1158" s="22"/>
      <c r="AR1158"/>
      <c r="AS1158"/>
      <c r="AT1158"/>
      <c r="AU1158"/>
      <c r="AV1158"/>
      <c r="AW1158"/>
      <c r="AX1158"/>
      <c r="AY1158"/>
    </row>
    <row r="1159" spans="36:51">
      <c r="AJ1159" s="22"/>
      <c r="AK1159" s="22"/>
      <c r="AL1159" s="22"/>
      <c r="AM1159" s="22"/>
      <c r="AN1159" s="22"/>
      <c r="AO1159" s="22"/>
      <c r="AP1159" s="22"/>
      <c r="AQ1159" s="22"/>
      <c r="AR1159"/>
      <c r="AS1159"/>
      <c r="AT1159"/>
      <c r="AU1159"/>
      <c r="AV1159"/>
      <c r="AW1159"/>
      <c r="AX1159"/>
      <c r="AY1159"/>
    </row>
    <row r="1160" spans="36:51">
      <c r="AJ1160" s="22"/>
      <c r="AK1160" s="22"/>
      <c r="AL1160" s="22"/>
      <c r="AM1160" s="22"/>
      <c r="AN1160" s="22"/>
      <c r="AO1160" s="22"/>
      <c r="AP1160" s="22"/>
      <c r="AQ1160" s="22"/>
      <c r="AR1160"/>
      <c r="AS1160"/>
      <c r="AT1160"/>
      <c r="AU1160"/>
      <c r="AV1160"/>
      <c r="AW1160"/>
      <c r="AX1160"/>
      <c r="AY1160"/>
    </row>
    <row r="1161" spans="36:51">
      <c r="AJ1161" s="22"/>
      <c r="AK1161" s="22"/>
      <c r="AL1161" s="22"/>
      <c r="AM1161" s="22"/>
      <c r="AN1161" s="22"/>
      <c r="AO1161" s="22"/>
      <c r="AP1161" s="22"/>
      <c r="AQ1161" s="22"/>
      <c r="AR1161"/>
      <c r="AS1161"/>
      <c r="AT1161"/>
      <c r="AU1161"/>
      <c r="AV1161"/>
      <c r="AW1161"/>
      <c r="AX1161"/>
      <c r="AY1161"/>
    </row>
    <row r="1162" spans="36:51">
      <c r="AJ1162" s="22"/>
      <c r="AK1162" s="22"/>
      <c r="AL1162" s="22"/>
      <c r="AM1162" s="22"/>
      <c r="AN1162" s="22"/>
      <c r="AO1162" s="22"/>
      <c r="AP1162" s="22"/>
      <c r="AQ1162" s="22"/>
      <c r="AR1162"/>
      <c r="AS1162"/>
      <c r="AT1162"/>
      <c r="AU1162"/>
      <c r="AV1162"/>
      <c r="AW1162"/>
      <c r="AX1162"/>
      <c r="AY1162"/>
    </row>
    <row r="1163" spans="36:51">
      <c r="AJ1163" s="22"/>
      <c r="AK1163" s="22"/>
      <c r="AL1163" s="22"/>
      <c r="AM1163" s="22"/>
      <c r="AN1163" s="22"/>
      <c r="AO1163" s="22"/>
      <c r="AP1163" s="22"/>
      <c r="AQ1163" s="22"/>
      <c r="AR1163"/>
      <c r="AS1163"/>
      <c r="AT1163"/>
      <c r="AU1163"/>
      <c r="AV1163"/>
      <c r="AW1163"/>
      <c r="AX1163"/>
      <c r="AY1163"/>
    </row>
    <row r="1164" spans="36:51">
      <c r="AJ1164" s="22"/>
      <c r="AK1164" s="22"/>
      <c r="AL1164" s="22"/>
      <c r="AM1164" s="22"/>
      <c r="AN1164" s="22"/>
      <c r="AO1164" s="22"/>
      <c r="AP1164" s="22"/>
      <c r="AQ1164" s="22"/>
      <c r="AR1164"/>
      <c r="AS1164"/>
      <c r="AT1164"/>
      <c r="AU1164"/>
      <c r="AV1164"/>
      <c r="AW1164"/>
      <c r="AX1164"/>
      <c r="AY1164"/>
    </row>
    <row r="1165" spans="36:51">
      <c r="AJ1165" s="22"/>
      <c r="AK1165" s="22"/>
      <c r="AL1165" s="22"/>
      <c r="AM1165" s="22"/>
      <c r="AN1165" s="22"/>
      <c r="AO1165" s="22"/>
      <c r="AP1165" s="22"/>
      <c r="AQ1165" s="22"/>
      <c r="AR1165"/>
      <c r="AS1165"/>
      <c r="AT1165"/>
      <c r="AU1165"/>
      <c r="AV1165"/>
      <c r="AW1165"/>
      <c r="AX1165"/>
      <c r="AY1165"/>
    </row>
    <row r="1166" spans="36:51">
      <c r="AJ1166" s="22"/>
      <c r="AK1166" s="22"/>
      <c r="AL1166" s="22"/>
      <c r="AM1166" s="22"/>
      <c r="AN1166" s="22"/>
      <c r="AO1166" s="22"/>
      <c r="AP1166" s="22"/>
      <c r="AQ1166" s="22"/>
      <c r="AR1166"/>
      <c r="AS1166"/>
      <c r="AT1166"/>
      <c r="AU1166"/>
      <c r="AV1166"/>
      <c r="AW1166"/>
      <c r="AX1166"/>
      <c r="AY1166"/>
    </row>
    <row r="1167" spans="36:51">
      <c r="AJ1167" s="22"/>
      <c r="AK1167" s="22"/>
      <c r="AL1167" s="22"/>
      <c r="AM1167" s="22"/>
      <c r="AN1167" s="22"/>
      <c r="AO1167" s="22"/>
      <c r="AP1167" s="22"/>
      <c r="AQ1167" s="22"/>
      <c r="AR1167"/>
      <c r="AS1167"/>
      <c r="AT1167"/>
      <c r="AU1167"/>
      <c r="AV1167"/>
      <c r="AW1167"/>
      <c r="AX1167"/>
      <c r="AY1167"/>
    </row>
    <row r="1168" spans="36:51">
      <c r="AJ1168" s="22"/>
      <c r="AK1168" s="22"/>
      <c r="AL1168" s="22"/>
      <c r="AM1168" s="22"/>
      <c r="AN1168" s="22"/>
      <c r="AO1168" s="22"/>
      <c r="AP1168" s="22"/>
      <c r="AQ1168" s="22"/>
      <c r="AR1168"/>
      <c r="AS1168"/>
      <c r="AT1168"/>
      <c r="AU1168"/>
      <c r="AV1168"/>
      <c r="AW1168"/>
      <c r="AX1168"/>
      <c r="AY1168"/>
    </row>
    <row r="1169" spans="36:51">
      <c r="AJ1169" s="22"/>
      <c r="AK1169" s="22"/>
      <c r="AL1169" s="22"/>
      <c r="AM1169" s="22"/>
      <c r="AN1169" s="22"/>
      <c r="AO1169" s="22"/>
      <c r="AP1169" s="22"/>
      <c r="AQ1169" s="22"/>
      <c r="AR1169"/>
      <c r="AS1169"/>
      <c r="AT1169"/>
      <c r="AU1169"/>
      <c r="AV1169"/>
      <c r="AW1169"/>
      <c r="AX1169"/>
      <c r="AY1169"/>
    </row>
    <row r="1170" spans="36:51">
      <c r="AJ1170" s="22"/>
      <c r="AK1170" s="22"/>
      <c r="AL1170" s="22"/>
      <c r="AM1170" s="22"/>
      <c r="AN1170" s="22"/>
      <c r="AO1170" s="22"/>
      <c r="AP1170" s="22"/>
      <c r="AQ1170" s="22"/>
      <c r="AR1170"/>
      <c r="AS1170"/>
      <c r="AT1170"/>
      <c r="AU1170"/>
      <c r="AV1170"/>
      <c r="AW1170"/>
      <c r="AX1170"/>
      <c r="AY1170"/>
    </row>
    <row r="1171" spans="36:51">
      <c r="AJ1171" s="22"/>
      <c r="AK1171" s="22"/>
      <c r="AL1171" s="22"/>
      <c r="AM1171" s="22"/>
      <c r="AN1171" s="22"/>
      <c r="AO1171" s="22"/>
      <c r="AP1171" s="22"/>
      <c r="AQ1171" s="22"/>
      <c r="AR1171"/>
      <c r="AS1171"/>
      <c r="AT1171"/>
      <c r="AU1171"/>
      <c r="AV1171"/>
      <c r="AW1171"/>
      <c r="AX1171"/>
      <c r="AY1171"/>
    </row>
    <row r="1172" spans="36:51">
      <c r="AJ1172" s="22"/>
      <c r="AK1172" s="22"/>
      <c r="AL1172" s="22"/>
      <c r="AM1172" s="22"/>
      <c r="AN1172" s="22"/>
      <c r="AO1172" s="22"/>
      <c r="AP1172" s="22"/>
      <c r="AQ1172" s="22"/>
      <c r="AR1172"/>
      <c r="AS1172"/>
      <c r="AT1172"/>
      <c r="AU1172"/>
      <c r="AV1172"/>
      <c r="AW1172"/>
      <c r="AX1172"/>
      <c r="AY1172"/>
    </row>
    <row r="1173" spans="36:51">
      <c r="AJ1173" s="22"/>
      <c r="AK1173" s="22"/>
      <c r="AL1173" s="22"/>
      <c r="AM1173" s="22"/>
      <c r="AN1173" s="22"/>
      <c r="AO1173" s="22"/>
      <c r="AP1173" s="22"/>
      <c r="AQ1173" s="22"/>
      <c r="AR1173"/>
      <c r="AS1173"/>
      <c r="AT1173"/>
      <c r="AU1173"/>
      <c r="AV1173"/>
      <c r="AW1173"/>
      <c r="AX1173"/>
      <c r="AY1173"/>
    </row>
    <row r="1174" spans="36:51">
      <c r="AJ1174" s="22"/>
      <c r="AK1174" s="22"/>
      <c r="AL1174" s="22"/>
      <c r="AM1174" s="22"/>
      <c r="AN1174" s="22"/>
      <c r="AO1174" s="22"/>
      <c r="AP1174" s="22"/>
      <c r="AQ1174" s="22"/>
      <c r="AR1174"/>
      <c r="AS1174"/>
      <c r="AT1174"/>
      <c r="AU1174"/>
      <c r="AV1174"/>
      <c r="AW1174"/>
      <c r="AX1174"/>
      <c r="AY1174"/>
    </row>
    <row r="1175" spans="36:51">
      <c r="AJ1175" s="22"/>
      <c r="AK1175" s="22"/>
      <c r="AL1175" s="22"/>
      <c r="AM1175" s="22"/>
      <c r="AN1175" s="22"/>
      <c r="AO1175" s="22"/>
      <c r="AP1175" s="22"/>
      <c r="AQ1175" s="22"/>
      <c r="AR1175"/>
      <c r="AS1175"/>
      <c r="AT1175"/>
      <c r="AU1175"/>
      <c r="AV1175"/>
      <c r="AW1175"/>
      <c r="AX1175"/>
      <c r="AY1175"/>
    </row>
    <row r="1176" spans="36:51">
      <c r="AJ1176" s="22"/>
      <c r="AK1176" s="22"/>
      <c r="AL1176" s="22"/>
      <c r="AM1176" s="22"/>
      <c r="AN1176" s="22"/>
      <c r="AO1176" s="22"/>
      <c r="AP1176" s="22"/>
      <c r="AQ1176" s="22"/>
      <c r="AR1176"/>
      <c r="AS1176"/>
      <c r="AT1176"/>
      <c r="AU1176"/>
      <c r="AV1176"/>
      <c r="AW1176"/>
      <c r="AX1176"/>
      <c r="AY1176"/>
    </row>
    <row r="1177" spans="36:51">
      <c r="AJ1177" s="22"/>
      <c r="AK1177" s="22"/>
      <c r="AL1177" s="22"/>
      <c r="AM1177" s="22"/>
      <c r="AN1177" s="22"/>
      <c r="AO1177" s="22"/>
      <c r="AP1177" s="22"/>
      <c r="AQ1177" s="22"/>
      <c r="AR1177"/>
      <c r="AS1177"/>
      <c r="AT1177"/>
      <c r="AU1177"/>
      <c r="AV1177"/>
      <c r="AW1177"/>
      <c r="AX1177"/>
      <c r="AY1177"/>
    </row>
    <row r="1178" spans="36:51">
      <c r="AJ1178" s="22"/>
      <c r="AK1178" s="22"/>
      <c r="AL1178" s="22"/>
      <c r="AM1178" s="22"/>
      <c r="AN1178" s="22"/>
      <c r="AO1178" s="22"/>
      <c r="AP1178" s="22"/>
      <c r="AQ1178" s="22"/>
      <c r="AR1178"/>
      <c r="AS1178"/>
      <c r="AT1178"/>
      <c r="AU1178"/>
      <c r="AV1178"/>
      <c r="AW1178"/>
      <c r="AX1178"/>
      <c r="AY1178"/>
    </row>
    <row r="1179" spans="36:51">
      <c r="AJ1179" s="22"/>
      <c r="AK1179" s="22"/>
      <c r="AL1179" s="22"/>
      <c r="AM1179" s="22"/>
      <c r="AN1179" s="22"/>
      <c r="AO1179" s="22"/>
      <c r="AP1179" s="22"/>
      <c r="AQ1179" s="22"/>
      <c r="AR1179"/>
      <c r="AS1179"/>
      <c r="AT1179"/>
      <c r="AU1179"/>
      <c r="AV1179"/>
      <c r="AW1179"/>
      <c r="AX1179"/>
      <c r="AY1179"/>
    </row>
    <row r="1180" spans="36:51">
      <c r="AJ1180" s="22"/>
      <c r="AK1180" s="22"/>
      <c r="AL1180" s="22"/>
      <c r="AM1180" s="22"/>
      <c r="AN1180" s="22"/>
      <c r="AO1180" s="22"/>
      <c r="AP1180" s="22"/>
      <c r="AQ1180" s="22"/>
      <c r="AR1180"/>
      <c r="AS1180"/>
      <c r="AT1180"/>
      <c r="AU1180"/>
      <c r="AV1180"/>
      <c r="AW1180"/>
      <c r="AX1180"/>
      <c r="AY1180"/>
    </row>
    <row r="1181" spans="36:51">
      <c r="AJ1181" s="22"/>
      <c r="AK1181" s="22"/>
      <c r="AL1181" s="22"/>
      <c r="AM1181" s="22"/>
      <c r="AN1181" s="22"/>
      <c r="AO1181" s="22"/>
      <c r="AP1181" s="22"/>
      <c r="AQ1181" s="22"/>
      <c r="AR1181"/>
      <c r="AS1181"/>
      <c r="AT1181"/>
      <c r="AU1181"/>
      <c r="AV1181"/>
      <c r="AW1181"/>
      <c r="AX1181"/>
      <c r="AY1181"/>
    </row>
    <row r="1182" spans="36:51">
      <c r="AJ1182" s="22"/>
      <c r="AK1182" s="22"/>
      <c r="AL1182" s="22"/>
      <c r="AM1182" s="22"/>
      <c r="AN1182" s="22"/>
      <c r="AO1182" s="22"/>
      <c r="AP1182" s="22"/>
      <c r="AQ1182" s="22"/>
      <c r="AR1182"/>
      <c r="AS1182"/>
      <c r="AT1182"/>
      <c r="AU1182"/>
      <c r="AV1182"/>
      <c r="AW1182"/>
      <c r="AX1182"/>
      <c r="AY1182"/>
    </row>
    <row r="1183" spans="36:51">
      <c r="AJ1183" s="22"/>
      <c r="AK1183" s="22"/>
      <c r="AL1183" s="22"/>
      <c r="AM1183" s="22"/>
      <c r="AN1183" s="22"/>
      <c r="AO1183" s="22"/>
      <c r="AP1183" s="22"/>
      <c r="AQ1183" s="22"/>
      <c r="AR1183"/>
      <c r="AS1183"/>
      <c r="AT1183"/>
      <c r="AU1183"/>
      <c r="AV1183"/>
      <c r="AW1183"/>
      <c r="AX1183"/>
      <c r="AY1183"/>
    </row>
    <row r="1184" spans="36:51">
      <c r="AJ1184" s="22"/>
      <c r="AK1184" s="22"/>
      <c r="AL1184" s="22"/>
      <c r="AM1184" s="22"/>
      <c r="AN1184" s="22"/>
      <c r="AO1184" s="22"/>
      <c r="AP1184" s="22"/>
      <c r="AQ1184" s="22"/>
      <c r="AR1184"/>
      <c r="AS1184"/>
      <c r="AT1184"/>
      <c r="AU1184"/>
      <c r="AV1184"/>
      <c r="AW1184"/>
      <c r="AX1184"/>
      <c r="AY1184"/>
    </row>
    <row r="1185" spans="36:51">
      <c r="AJ1185" s="22"/>
      <c r="AK1185" s="22"/>
      <c r="AL1185" s="22"/>
      <c r="AM1185" s="22"/>
      <c r="AN1185" s="22"/>
      <c r="AO1185" s="22"/>
      <c r="AP1185" s="22"/>
      <c r="AQ1185" s="22"/>
      <c r="AR1185"/>
      <c r="AS1185"/>
      <c r="AT1185"/>
      <c r="AU1185"/>
      <c r="AV1185"/>
      <c r="AW1185"/>
      <c r="AX1185"/>
      <c r="AY1185"/>
    </row>
    <row r="1186" spans="36:51">
      <c r="AJ1186" s="22"/>
      <c r="AK1186" s="22"/>
      <c r="AL1186" s="22"/>
      <c r="AM1186" s="22"/>
      <c r="AN1186" s="22"/>
      <c r="AO1186" s="22"/>
      <c r="AP1186" s="22"/>
      <c r="AQ1186" s="22"/>
      <c r="AR1186"/>
      <c r="AS1186"/>
      <c r="AT1186"/>
      <c r="AU1186"/>
      <c r="AV1186"/>
      <c r="AW1186"/>
      <c r="AX1186"/>
      <c r="AY1186"/>
    </row>
    <row r="1187" spans="36:51">
      <c r="AJ1187" s="22"/>
      <c r="AK1187" s="22"/>
      <c r="AL1187" s="22"/>
      <c r="AM1187" s="22"/>
      <c r="AN1187" s="22"/>
      <c r="AO1187" s="22"/>
      <c r="AP1187" s="22"/>
      <c r="AQ1187" s="22"/>
      <c r="AR1187"/>
      <c r="AS1187"/>
      <c r="AT1187"/>
      <c r="AU1187"/>
      <c r="AV1187"/>
      <c r="AW1187"/>
      <c r="AX1187"/>
      <c r="AY1187"/>
    </row>
    <row r="1188" spans="36:51">
      <c r="AJ1188" s="22"/>
      <c r="AK1188" s="22"/>
      <c r="AL1188" s="22"/>
      <c r="AM1188" s="22"/>
      <c r="AN1188" s="22"/>
      <c r="AO1188" s="22"/>
      <c r="AP1188" s="22"/>
      <c r="AQ1188" s="22"/>
      <c r="AR1188"/>
      <c r="AS1188"/>
      <c r="AT1188"/>
      <c r="AU1188"/>
      <c r="AV1188"/>
      <c r="AW1188"/>
      <c r="AX1188"/>
      <c r="AY1188"/>
    </row>
    <row r="1189" spans="36:51">
      <c r="AJ1189" s="22"/>
      <c r="AK1189" s="22"/>
      <c r="AL1189" s="22"/>
      <c r="AM1189" s="22"/>
      <c r="AN1189" s="22"/>
      <c r="AO1189" s="22"/>
      <c r="AP1189" s="22"/>
      <c r="AQ1189" s="22"/>
      <c r="AR1189"/>
      <c r="AS1189"/>
      <c r="AT1189"/>
      <c r="AU1189"/>
      <c r="AV1189"/>
      <c r="AW1189"/>
      <c r="AX1189"/>
      <c r="AY1189"/>
    </row>
    <row r="1190" spans="36:51">
      <c r="AJ1190" s="22"/>
      <c r="AK1190" s="22"/>
      <c r="AL1190" s="22"/>
      <c r="AM1190" s="22"/>
      <c r="AN1190" s="22"/>
      <c r="AO1190" s="22"/>
      <c r="AP1190" s="22"/>
      <c r="AQ1190" s="22"/>
      <c r="AR1190"/>
      <c r="AS1190"/>
      <c r="AT1190"/>
      <c r="AU1190"/>
      <c r="AV1190"/>
      <c r="AW1190"/>
      <c r="AX1190"/>
      <c r="AY1190"/>
    </row>
    <row r="1191" spans="36:51">
      <c r="AJ1191" s="22"/>
      <c r="AK1191" s="22"/>
      <c r="AL1191" s="22"/>
      <c r="AM1191" s="22"/>
      <c r="AN1191" s="22"/>
      <c r="AO1191" s="22"/>
      <c r="AP1191" s="22"/>
      <c r="AQ1191" s="22"/>
      <c r="AR1191"/>
      <c r="AS1191"/>
      <c r="AT1191"/>
      <c r="AU1191"/>
      <c r="AV1191"/>
      <c r="AW1191"/>
      <c r="AX1191"/>
      <c r="AY1191"/>
    </row>
    <row r="1192" spans="36:51">
      <c r="AJ1192" s="22"/>
      <c r="AK1192" s="22"/>
      <c r="AL1192" s="22"/>
      <c r="AM1192" s="22"/>
      <c r="AN1192" s="22"/>
      <c r="AO1192" s="22"/>
      <c r="AP1192" s="22"/>
      <c r="AQ1192" s="22"/>
      <c r="AR1192"/>
      <c r="AS1192"/>
      <c r="AT1192"/>
      <c r="AU1192"/>
      <c r="AV1192"/>
      <c r="AW1192"/>
      <c r="AX1192"/>
      <c r="AY1192"/>
    </row>
    <row r="1193" spans="36:51">
      <c r="AJ1193" s="22"/>
      <c r="AK1193" s="22"/>
      <c r="AL1193" s="22"/>
      <c r="AM1193" s="22"/>
      <c r="AN1193" s="22"/>
      <c r="AO1193" s="22"/>
      <c r="AP1193" s="22"/>
      <c r="AQ1193" s="22"/>
      <c r="AR1193"/>
      <c r="AS1193"/>
      <c r="AT1193"/>
      <c r="AU1193"/>
      <c r="AV1193"/>
      <c r="AW1193"/>
      <c r="AX1193"/>
      <c r="AY1193"/>
    </row>
    <row r="1194" spans="36:51">
      <c r="AJ1194" s="22"/>
      <c r="AK1194" s="22"/>
      <c r="AL1194" s="22"/>
      <c r="AM1194" s="22"/>
      <c r="AN1194" s="22"/>
      <c r="AO1194" s="22"/>
      <c r="AP1194" s="22"/>
      <c r="AQ1194" s="22"/>
      <c r="AR1194"/>
      <c r="AS1194"/>
      <c r="AT1194"/>
      <c r="AU1194"/>
      <c r="AV1194"/>
      <c r="AW1194"/>
      <c r="AX1194"/>
      <c r="AY1194"/>
    </row>
    <row r="1195" spans="36:51">
      <c r="AJ1195" s="22"/>
      <c r="AK1195" s="22"/>
      <c r="AL1195" s="22"/>
      <c r="AM1195" s="22"/>
      <c r="AN1195" s="22"/>
      <c r="AO1195" s="22"/>
      <c r="AP1195" s="22"/>
      <c r="AQ1195" s="22"/>
      <c r="AR1195"/>
      <c r="AS1195"/>
      <c r="AT1195"/>
      <c r="AU1195"/>
      <c r="AV1195"/>
      <c r="AW1195"/>
      <c r="AX1195"/>
      <c r="AY1195"/>
    </row>
    <row r="1196" spans="36:51">
      <c r="AJ1196" s="22"/>
      <c r="AK1196" s="22"/>
      <c r="AL1196" s="22"/>
      <c r="AM1196" s="22"/>
      <c r="AN1196" s="22"/>
      <c r="AO1196" s="22"/>
      <c r="AP1196" s="22"/>
      <c r="AQ1196" s="22"/>
      <c r="AR1196"/>
      <c r="AS1196"/>
      <c r="AT1196"/>
      <c r="AU1196"/>
      <c r="AV1196"/>
      <c r="AW1196"/>
      <c r="AX1196"/>
      <c r="AY1196"/>
    </row>
    <row r="1197" spans="36:51">
      <c r="AJ1197" s="22"/>
      <c r="AK1197" s="22"/>
      <c r="AL1197" s="22"/>
      <c r="AM1197" s="22"/>
      <c r="AN1197" s="22"/>
      <c r="AO1197" s="22"/>
      <c r="AP1197" s="22"/>
      <c r="AQ1197" s="22"/>
      <c r="AR1197"/>
      <c r="AS1197"/>
      <c r="AT1197"/>
      <c r="AU1197"/>
      <c r="AV1197"/>
      <c r="AW1197"/>
      <c r="AX1197"/>
      <c r="AY1197"/>
    </row>
    <row r="1198" spans="36:51">
      <c r="AJ1198" s="22"/>
      <c r="AK1198" s="22"/>
      <c r="AL1198" s="22"/>
      <c r="AM1198" s="22"/>
      <c r="AN1198" s="22"/>
      <c r="AO1198" s="22"/>
      <c r="AP1198" s="22"/>
      <c r="AQ1198" s="22"/>
      <c r="AR1198"/>
      <c r="AS1198"/>
      <c r="AT1198"/>
      <c r="AU1198"/>
      <c r="AV1198"/>
      <c r="AW1198"/>
      <c r="AX1198"/>
      <c r="AY1198"/>
    </row>
    <row r="1199" spans="36:51">
      <c r="AJ1199" s="22"/>
      <c r="AK1199" s="22"/>
      <c r="AL1199" s="22"/>
      <c r="AM1199" s="22"/>
      <c r="AN1199" s="22"/>
      <c r="AO1199" s="22"/>
      <c r="AP1199" s="22"/>
      <c r="AQ1199" s="22"/>
      <c r="AR1199"/>
      <c r="AS1199"/>
      <c r="AT1199"/>
      <c r="AU1199"/>
      <c r="AV1199"/>
      <c r="AW1199"/>
      <c r="AX1199"/>
      <c r="AY1199"/>
    </row>
    <row r="1200" spans="36:51">
      <c r="AJ1200" s="22"/>
      <c r="AK1200" s="22"/>
      <c r="AL1200" s="22"/>
      <c r="AM1200" s="22"/>
      <c r="AN1200" s="22"/>
      <c r="AO1200" s="22"/>
      <c r="AP1200" s="22"/>
      <c r="AQ1200" s="22"/>
      <c r="AR1200"/>
      <c r="AS1200"/>
      <c r="AT1200"/>
      <c r="AU1200"/>
      <c r="AV1200"/>
      <c r="AW1200"/>
      <c r="AX1200"/>
      <c r="AY1200"/>
    </row>
    <row r="1201" spans="36:51">
      <c r="AJ1201" s="22"/>
      <c r="AK1201" s="22"/>
      <c r="AL1201" s="22"/>
      <c r="AM1201" s="22"/>
      <c r="AN1201" s="22"/>
      <c r="AO1201" s="22"/>
      <c r="AP1201" s="22"/>
      <c r="AQ1201" s="22"/>
      <c r="AR1201"/>
      <c r="AS1201"/>
      <c r="AT1201"/>
      <c r="AU1201"/>
      <c r="AV1201"/>
      <c r="AW1201"/>
      <c r="AX1201"/>
      <c r="AY1201"/>
    </row>
    <row r="1202" spans="36:51">
      <c r="AJ1202" s="22"/>
      <c r="AK1202" s="22"/>
      <c r="AL1202" s="22"/>
      <c r="AM1202" s="22"/>
      <c r="AN1202" s="22"/>
      <c r="AO1202" s="22"/>
      <c r="AP1202" s="22"/>
      <c r="AQ1202" s="22"/>
      <c r="AR1202"/>
      <c r="AS1202"/>
      <c r="AT1202"/>
      <c r="AU1202"/>
      <c r="AV1202"/>
      <c r="AW1202"/>
      <c r="AX1202"/>
      <c r="AY1202"/>
    </row>
    <row r="1203" spans="36:51">
      <c r="AJ1203" s="22"/>
      <c r="AK1203" s="22"/>
      <c r="AL1203" s="22"/>
      <c r="AM1203" s="22"/>
      <c r="AN1203" s="22"/>
      <c r="AO1203" s="22"/>
      <c r="AP1203" s="22"/>
      <c r="AQ1203" s="22"/>
      <c r="AR1203"/>
      <c r="AS1203"/>
      <c r="AT1203"/>
      <c r="AU1203"/>
      <c r="AV1203"/>
      <c r="AW1203"/>
      <c r="AX1203"/>
      <c r="AY1203"/>
    </row>
    <row r="1204" spans="36:51">
      <c r="AJ1204" s="22"/>
      <c r="AK1204" s="22"/>
      <c r="AL1204" s="22"/>
      <c r="AM1204" s="22"/>
      <c r="AN1204" s="22"/>
      <c r="AO1204" s="22"/>
      <c r="AP1204" s="22"/>
      <c r="AQ1204" s="22"/>
      <c r="AR1204"/>
      <c r="AS1204"/>
      <c r="AT1204"/>
      <c r="AU1204"/>
      <c r="AV1204"/>
      <c r="AW1204"/>
      <c r="AX1204"/>
      <c r="AY1204"/>
    </row>
    <row r="1205" spans="36:51">
      <c r="AJ1205" s="22"/>
      <c r="AK1205" s="22"/>
      <c r="AL1205" s="22"/>
      <c r="AM1205" s="22"/>
      <c r="AN1205" s="22"/>
      <c r="AO1205" s="22"/>
      <c r="AP1205" s="22"/>
      <c r="AQ1205" s="22"/>
      <c r="AR1205"/>
      <c r="AS1205"/>
      <c r="AT1205"/>
      <c r="AU1205"/>
      <c r="AV1205"/>
      <c r="AW1205"/>
      <c r="AX1205"/>
      <c r="AY1205"/>
    </row>
    <row r="1206" spans="36:51">
      <c r="AJ1206" s="22"/>
      <c r="AK1206" s="22"/>
      <c r="AL1206" s="22"/>
      <c r="AM1206" s="22"/>
      <c r="AN1206" s="22"/>
      <c r="AO1206" s="22"/>
      <c r="AP1206" s="22"/>
      <c r="AQ1206" s="22"/>
      <c r="AR1206"/>
      <c r="AS1206"/>
      <c r="AT1206"/>
      <c r="AU1206"/>
      <c r="AV1206"/>
      <c r="AW1206"/>
      <c r="AX1206"/>
      <c r="AY1206"/>
    </row>
    <row r="1207" spans="36:51">
      <c r="AJ1207" s="22"/>
      <c r="AK1207" s="22"/>
      <c r="AL1207" s="22"/>
      <c r="AM1207" s="22"/>
      <c r="AN1207" s="22"/>
      <c r="AO1207" s="22"/>
      <c r="AP1207" s="22"/>
      <c r="AQ1207" s="22"/>
      <c r="AR1207"/>
      <c r="AS1207"/>
      <c r="AT1207"/>
      <c r="AU1207"/>
      <c r="AV1207"/>
      <c r="AW1207"/>
      <c r="AX1207"/>
      <c r="AY1207"/>
    </row>
    <row r="1208" spans="36:51">
      <c r="AJ1208" s="22"/>
      <c r="AK1208" s="22"/>
      <c r="AL1208" s="22"/>
      <c r="AM1208" s="22"/>
      <c r="AN1208" s="22"/>
      <c r="AO1208" s="22"/>
      <c r="AP1208" s="22"/>
      <c r="AQ1208" s="22"/>
      <c r="AR1208"/>
      <c r="AS1208"/>
      <c r="AT1208"/>
      <c r="AU1208"/>
      <c r="AV1208"/>
      <c r="AW1208"/>
      <c r="AX1208"/>
      <c r="AY1208"/>
    </row>
    <row r="1209" spans="36:51">
      <c r="AJ1209" s="22"/>
      <c r="AK1209" s="22"/>
      <c r="AL1209" s="22"/>
      <c r="AM1209" s="22"/>
      <c r="AN1209" s="22"/>
      <c r="AO1209" s="22"/>
      <c r="AP1209" s="22"/>
      <c r="AQ1209" s="22"/>
      <c r="AR1209"/>
      <c r="AS1209"/>
      <c r="AT1209"/>
      <c r="AU1209"/>
      <c r="AV1209"/>
      <c r="AW1209"/>
      <c r="AX1209"/>
      <c r="AY1209"/>
    </row>
    <row r="1210" spans="36:51">
      <c r="AJ1210" s="22"/>
      <c r="AK1210" s="22"/>
      <c r="AL1210" s="22"/>
      <c r="AM1210" s="22"/>
      <c r="AN1210" s="22"/>
      <c r="AO1210" s="22"/>
      <c r="AP1210" s="22"/>
      <c r="AQ1210" s="22"/>
      <c r="AR1210"/>
      <c r="AS1210"/>
      <c r="AT1210"/>
      <c r="AU1210"/>
      <c r="AV1210"/>
      <c r="AW1210"/>
      <c r="AX1210"/>
      <c r="AY1210"/>
    </row>
    <row r="1211" spans="36:51">
      <c r="AJ1211" s="22"/>
      <c r="AK1211" s="22"/>
      <c r="AL1211" s="22"/>
      <c r="AM1211" s="22"/>
      <c r="AN1211" s="22"/>
      <c r="AO1211" s="22"/>
      <c r="AP1211" s="22"/>
      <c r="AQ1211" s="22"/>
      <c r="AR1211"/>
      <c r="AS1211"/>
      <c r="AT1211"/>
      <c r="AU1211"/>
      <c r="AV1211"/>
      <c r="AW1211"/>
      <c r="AX1211"/>
      <c r="AY1211"/>
    </row>
    <row r="1212" spans="36:51">
      <c r="AJ1212" s="22"/>
      <c r="AK1212" s="22"/>
      <c r="AL1212" s="22"/>
      <c r="AM1212" s="22"/>
      <c r="AN1212" s="22"/>
      <c r="AO1212" s="22"/>
      <c r="AP1212" s="22"/>
      <c r="AQ1212" s="22"/>
      <c r="AR1212"/>
      <c r="AS1212"/>
      <c r="AT1212"/>
      <c r="AU1212"/>
      <c r="AV1212"/>
      <c r="AW1212"/>
      <c r="AX1212"/>
      <c r="AY1212"/>
    </row>
    <row r="1213" spans="36:51">
      <c r="AJ1213" s="22"/>
      <c r="AK1213" s="22"/>
      <c r="AL1213" s="22"/>
      <c r="AM1213" s="22"/>
      <c r="AN1213" s="22"/>
      <c r="AO1213" s="22"/>
      <c r="AP1213" s="22"/>
      <c r="AQ1213" s="22"/>
      <c r="AR1213"/>
      <c r="AS1213"/>
      <c r="AT1213"/>
      <c r="AU1213"/>
      <c r="AV1213"/>
      <c r="AW1213"/>
      <c r="AX1213"/>
      <c r="AY1213"/>
    </row>
    <row r="1214" spans="36:51">
      <c r="AJ1214" s="22"/>
      <c r="AK1214" s="22"/>
      <c r="AL1214" s="22"/>
      <c r="AM1214" s="22"/>
      <c r="AN1214" s="22"/>
      <c r="AO1214" s="22"/>
      <c r="AP1214" s="22"/>
      <c r="AQ1214" s="22"/>
      <c r="AR1214"/>
      <c r="AS1214"/>
      <c r="AT1214"/>
      <c r="AU1214"/>
      <c r="AV1214"/>
      <c r="AW1214"/>
      <c r="AX1214"/>
      <c r="AY1214"/>
    </row>
    <row r="1215" spans="36:51">
      <c r="AJ1215" s="22"/>
      <c r="AK1215" s="22"/>
      <c r="AL1215" s="22"/>
      <c r="AM1215" s="22"/>
      <c r="AN1215" s="22"/>
      <c r="AO1215" s="22"/>
      <c r="AP1215" s="22"/>
      <c r="AQ1215" s="22"/>
      <c r="AR1215"/>
      <c r="AS1215"/>
      <c r="AT1215"/>
      <c r="AU1215"/>
      <c r="AV1215"/>
      <c r="AW1215"/>
      <c r="AX1215"/>
      <c r="AY1215"/>
    </row>
    <row r="1216" spans="36:51">
      <c r="AJ1216" s="22"/>
      <c r="AK1216" s="22"/>
      <c r="AL1216" s="22"/>
      <c r="AM1216" s="22"/>
      <c r="AN1216" s="22"/>
      <c r="AO1216" s="22"/>
      <c r="AP1216" s="22"/>
      <c r="AQ1216" s="22"/>
      <c r="AR1216"/>
      <c r="AS1216"/>
      <c r="AT1216"/>
      <c r="AU1216"/>
      <c r="AV1216"/>
      <c r="AW1216"/>
      <c r="AX1216"/>
      <c r="AY1216"/>
    </row>
    <row r="1217" spans="36:51">
      <c r="AJ1217" s="22"/>
      <c r="AK1217" s="22"/>
      <c r="AL1217" s="22"/>
      <c r="AM1217" s="22"/>
      <c r="AN1217" s="22"/>
      <c r="AO1217" s="22"/>
      <c r="AP1217" s="22"/>
      <c r="AQ1217" s="22"/>
      <c r="AR1217"/>
      <c r="AS1217"/>
      <c r="AT1217"/>
      <c r="AU1217"/>
      <c r="AV1217"/>
      <c r="AW1217"/>
      <c r="AX1217"/>
      <c r="AY1217"/>
    </row>
    <row r="1218" spans="36:51">
      <c r="AJ1218" s="22"/>
      <c r="AK1218" s="22"/>
      <c r="AL1218" s="22"/>
      <c r="AM1218" s="22"/>
      <c r="AN1218" s="22"/>
      <c r="AO1218" s="22"/>
      <c r="AP1218" s="22"/>
      <c r="AQ1218" s="22"/>
      <c r="AR1218"/>
      <c r="AS1218"/>
      <c r="AT1218"/>
      <c r="AU1218"/>
      <c r="AV1218"/>
      <c r="AW1218"/>
      <c r="AX1218"/>
      <c r="AY1218"/>
    </row>
    <row r="1219" spans="36:51">
      <c r="AJ1219" s="22"/>
      <c r="AK1219" s="22"/>
      <c r="AL1219" s="22"/>
      <c r="AM1219" s="22"/>
      <c r="AN1219" s="22"/>
      <c r="AO1219" s="22"/>
      <c r="AP1219" s="22"/>
      <c r="AQ1219" s="22"/>
      <c r="AR1219"/>
      <c r="AS1219"/>
      <c r="AT1219"/>
      <c r="AU1219"/>
      <c r="AV1219"/>
      <c r="AW1219"/>
      <c r="AX1219"/>
      <c r="AY1219"/>
    </row>
    <row r="1220" spans="36:51">
      <c r="AJ1220" s="22"/>
      <c r="AK1220" s="22"/>
      <c r="AL1220" s="22"/>
      <c r="AM1220" s="22"/>
      <c r="AN1220" s="22"/>
      <c r="AO1220" s="22"/>
      <c r="AP1220" s="22"/>
      <c r="AQ1220" s="22"/>
      <c r="AR1220"/>
      <c r="AS1220"/>
      <c r="AT1220"/>
      <c r="AU1220"/>
      <c r="AV1220"/>
      <c r="AW1220"/>
      <c r="AX1220"/>
      <c r="AY1220"/>
    </row>
    <row r="1221" spans="36:51">
      <c r="AJ1221" s="22"/>
      <c r="AK1221" s="22"/>
      <c r="AL1221" s="22"/>
      <c r="AM1221" s="22"/>
      <c r="AN1221" s="22"/>
      <c r="AO1221" s="22"/>
      <c r="AP1221" s="22"/>
      <c r="AQ1221" s="22"/>
      <c r="AR1221"/>
      <c r="AS1221"/>
      <c r="AT1221"/>
      <c r="AU1221"/>
      <c r="AV1221"/>
      <c r="AW1221"/>
      <c r="AX1221"/>
      <c r="AY1221"/>
    </row>
    <row r="1222" spans="36:51">
      <c r="AJ1222" s="22"/>
      <c r="AK1222" s="22"/>
      <c r="AL1222" s="22"/>
      <c r="AM1222" s="22"/>
      <c r="AN1222" s="22"/>
      <c r="AO1222" s="22"/>
      <c r="AP1222" s="22"/>
      <c r="AQ1222" s="22"/>
      <c r="AR1222"/>
      <c r="AS1222"/>
      <c r="AT1222"/>
      <c r="AU1222"/>
      <c r="AV1222"/>
      <c r="AW1222"/>
      <c r="AX1222"/>
      <c r="AY1222"/>
    </row>
    <row r="1223" spans="36:51">
      <c r="AJ1223" s="22"/>
      <c r="AK1223" s="22"/>
      <c r="AL1223" s="22"/>
      <c r="AM1223" s="22"/>
      <c r="AN1223" s="22"/>
      <c r="AO1223" s="22"/>
      <c r="AP1223" s="22"/>
      <c r="AQ1223" s="22"/>
      <c r="AR1223"/>
      <c r="AS1223"/>
      <c r="AT1223"/>
      <c r="AU1223"/>
      <c r="AV1223"/>
      <c r="AW1223"/>
      <c r="AX1223"/>
      <c r="AY1223"/>
    </row>
    <row r="1224" spans="36:51">
      <c r="AJ1224" s="22"/>
      <c r="AK1224" s="22"/>
      <c r="AL1224" s="22"/>
      <c r="AM1224" s="22"/>
      <c r="AN1224" s="22"/>
      <c r="AO1224" s="22"/>
      <c r="AP1224" s="22"/>
      <c r="AQ1224" s="22"/>
      <c r="AR1224"/>
      <c r="AS1224"/>
      <c r="AT1224"/>
      <c r="AU1224"/>
      <c r="AV1224"/>
      <c r="AW1224"/>
      <c r="AX1224"/>
      <c r="AY1224"/>
    </row>
    <row r="1225" spans="36:51">
      <c r="AJ1225" s="22"/>
      <c r="AK1225" s="22"/>
      <c r="AL1225" s="22"/>
      <c r="AM1225" s="22"/>
      <c r="AN1225" s="22"/>
      <c r="AO1225" s="22"/>
      <c r="AP1225" s="22"/>
      <c r="AQ1225" s="22"/>
      <c r="AR1225"/>
      <c r="AS1225"/>
      <c r="AT1225"/>
      <c r="AU1225"/>
      <c r="AV1225"/>
      <c r="AW1225"/>
      <c r="AX1225"/>
      <c r="AY1225"/>
    </row>
    <row r="1226" spans="36:51">
      <c r="AJ1226" s="22"/>
      <c r="AK1226" s="22"/>
      <c r="AL1226" s="22"/>
      <c r="AM1226" s="22"/>
      <c r="AN1226" s="22"/>
      <c r="AO1226" s="22"/>
      <c r="AP1226" s="22"/>
      <c r="AQ1226" s="22"/>
      <c r="AR1226"/>
      <c r="AS1226"/>
      <c r="AT1226"/>
      <c r="AU1226"/>
      <c r="AV1226"/>
      <c r="AW1226"/>
      <c r="AX1226"/>
      <c r="AY1226"/>
    </row>
    <row r="1227" spans="36:51">
      <c r="AJ1227" s="22"/>
      <c r="AK1227" s="22"/>
      <c r="AL1227" s="22"/>
      <c r="AM1227" s="22"/>
      <c r="AN1227" s="22"/>
      <c r="AO1227" s="22"/>
      <c r="AP1227" s="22"/>
      <c r="AQ1227" s="22"/>
      <c r="AR1227"/>
      <c r="AS1227"/>
      <c r="AT1227"/>
      <c r="AU1227"/>
      <c r="AV1227"/>
      <c r="AW1227"/>
      <c r="AX1227"/>
      <c r="AY1227"/>
    </row>
    <row r="1228" spans="36:51">
      <c r="AJ1228" s="22"/>
      <c r="AK1228" s="22"/>
      <c r="AL1228" s="22"/>
      <c r="AM1228" s="22"/>
      <c r="AN1228" s="22"/>
      <c r="AO1228" s="22"/>
      <c r="AP1228" s="22"/>
      <c r="AQ1228" s="22"/>
      <c r="AR1228"/>
      <c r="AS1228"/>
      <c r="AT1228"/>
      <c r="AU1228"/>
      <c r="AV1228"/>
      <c r="AW1228"/>
      <c r="AX1228"/>
      <c r="AY1228"/>
    </row>
    <row r="1229" spans="36:51">
      <c r="AJ1229" s="22"/>
      <c r="AK1229" s="22"/>
      <c r="AL1229" s="22"/>
      <c r="AM1229" s="22"/>
      <c r="AN1229" s="22"/>
      <c r="AO1229" s="22"/>
      <c r="AP1229" s="22"/>
      <c r="AQ1229" s="22"/>
      <c r="AR1229"/>
      <c r="AS1229"/>
      <c r="AT1229"/>
      <c r="AU1229"/>
      <c r="AV1229"/>
      <c r="AW1229"/>
      <c r="AX1229"/>
      <c r="AY1229"/>
    </row>
    <row r="1230" spans="36:51">
      <c r="AJ1230" s="22"/>
      <c r="AK1230" s="22"/>
      <c r="AL1230" s="22"/>
      <c r="AM1230" s="22"/>
      <c r="AN1230" s="22"/>
      <c r="AO1230" s="22"/>
      <c r="AP1230" s="22"/>
      <c r="AQ1230" s="22"/>
      <c r="AR1230"/>
      <c r="AS1230"/>
      <c r="AT1230"/>
      <c r="AU1230"/>
      <c r="AV1230"/>
      <c r="AW1230"/>
      <c r="AX1230"/>
      <c r="AY1230"/>
    </row>
    <row r="1231" spans="36:51">
      <c r="AJ1231" s="22"/>
      <c r="AK1231" s="22"/>
      <c r="AL1231" s="22"/>
      <c r="AM1231" s="22"/>
      <c r="AN1231" s="22"/>
      <c r="AO1231" s="22"/>
      <c r="AP1231" s="22"/>
      <c r="AQ1231" s="22"/>
      <c r="AR1231"/>
      <c r="AS1231"/>
      <c r="AT1231"/>
      <c r="AU1231"/>
      <c r="AV1231"/>
      <c r="AW1231"/>
      <c r="AX1231"/>
      <c r="AY1231"/>
    </row>
    <row r="1232" spans="36:51">
      <c r="AJ1232" s="22"/>
      <c r="AK1232" s="22"/>
      <c r="AL1232" s="22"/>
      <c r="AM1232" s="22"/>
      <c r="AN1232" s="22"/>
      <c r="AO1232" s="22"/>
      <c r="AP1232" s="22"/>
      <c r="AQ1232" s="22"/>
      <c r="AR1232"/>
      <c r="AS1232"/>
      <c r="AT1232"/>
      <c r="AU1232"/>
      <c r="AV1232"/>
      <c r="AW1232"/>
      <c r="AX1232"/>
      <c r="AY1232"/>
    </row>
    <row r="1233" spans="36:51">
      <c r="AJ1233" s="22"/>
      <c r="AK1233" s="22"/>
      <c r="AL1233" s="22"/>
      <c r="AM1233" s="22"/>
      <c r="AN1233" s="22"/>
      <c r="AO1233" s="22"/>
      <c r="AP1233" s="22"/>
      <c r="AQ1233" s="22"/>
      <c r="AR1233"/>
      <c r="AS1233"/>
      <c r="AT1233"/>
      <c r="AU1233"/>
      <c r="AV1233"/>
      <c r="AW1233"/>
      <c r="AX1233"/>
      <c r="AY1233"/>
    </row>
    <row r="1234" spans="36:51">
      <c r="AJ1234" s="22"/>
      <c r="AK1234" s="22"/>
      <c r="AL1234" s="22"/>
      <c r="AM1234" s="22"/>
      <c r="AN1234" s="22"/>
      <c r="AO1234" s="22"/>
      <c r="AP1234" s="22"/>
      <c r="AQ1234" s="22"/>
      <c r="AR1234"/>
      <c r="AS1234"/>
      <c r="AT1234"/>
      <c r="AU1234"/>
      <c r="AV1234"/>
      <c r="AW1234"/>
      <c r="AX1234"/>
      <c r="AY1234"/>
    </row>
    <row r="1235" spans="36:51">
      <c r="AJ1235" s="22"/>
      <c r="AK1235" s="22"/>
      <c r="AL1235" s="22"/>
      <c r="AM1235" s="22"/>
      <c r="AN1235" s="22"/>
      <c r="AO1235" s="22"/>
      <c r="AP1235" s="22"/>
      <c r="AQ1235" s="22"/>
      <c r="AR1235"/>
      <c r="AS1235"/>
      <c r="AT1235"/>
      <c r="AU1235"/>
      <c r="AV1235"/>
      <c r="AW1235"/>
      <c r="AX1235"/>
      <c r="AY1235"/>
    </row>
    <row r="1236" spans="36:51">
      <c r="AJ1236" s="22"/>
      <c r="AK1236" s="22"/>
      <c r="AL1236" s="22"/>
      <c r="AM1236" s="22"/>
      <c r="AN1236" s="22"/>
      <c r="AO1236" s="22"/>
      <c r="AP1236" s="22"/>
      <c r="AQ1236" s="22"/>
      <c r="AR1236"/>
      <c r="AS1236"/>
      <c r="AT1236"/>
      <c r="AU1236"/>
      <c r="AV1236"/>
      <c r="AW1236"/>
      <c r="AX1236"/>
      <c r="AY1236"/>
    </row>
    <row r="1237" spans="36:51">
      <c r="AJ1237" s="22"/>
      <c r="AK1237" s="22"/>
      <c r="AL1237" s="22"/>
      <c r="AM1237" s="22"/>
      <c r="AN1237" s="22"/>
      <c r="AO1237" s="22"/>
      <c r="AP1237" s="22"/>
      <c r="AQ1237" s="22"/>
      <c r="AR1237"/>
      <c r="AS1237"/>
      <c r="AT1237"/>
      <c r="AU1237"/>
      <c r="AV1237"/>
      <c r="AW1237"/>
      <c r="AX1237"/>
      <c r="AY1237"/>
    </row>
    <row r="1238" spans="36:51">
      <c r="AJ1238" s="22"/>
      <c r="AK1238" s="22"/>
      <c r="AL1238" s="22"/>
      <c r="AM1238" s="22"/>
      <c r="AN1238" s="22"/>
      <c r="AO1238" s="22"/>
      <c r="AP1238" s="22"/>
      <c r="AQ1238" s="22"/>
      <c r="AR1238"/>
      <c r="AS1238"/>
      <c r="AT1238"/>
      <c r="AU1238"/>
      <c r="AV1238"/>
      <c r="AW1238"/>
      <c r="AX1238"/>
      <c r="AY1238"/>
    </row>
    <row r="1239" spans="36:51">
      <c r="AJ1239" s="22"/>
      <c r="AK1239" s="22"/>
      <c r="AL1239" s="22"/>
      <c r="AM1239" s="22"/>
      <c r="AN1239" s="22"/>
      <c r="AO1239" s="22"/>
      <c r="AP1239" s="22"/>
      <c r="AQ1239" s="22"/>
      <c r="AR1239"/>
      <c r="AS1239"/>
      <c r="AT1239"/>
      <c r="AU1239"/>
      <c r="AV1239"/>
      <c r="AW1239"/>
      <c r="AX1239"/>
      <c r="AY1239"/>
    </row>
    <row r="1240" spans="36:51">
      <c r="AJ1240" s="22"/>
      <c r="AK1240" s="22"/>
      <c r="AL1240" s="22"/>
      <c r="AM1240" s="22"/>
      <c r="AN1240" s="22"/>
      <c r="AO1240" s="22"/>
      <c r="AP1240" s="22"/>
      <c r="AQ1240" s="22"/>
      <c r="AR1240"/>
      <c r="AS1240"/>
      <c r="AT1240"/>
      <c r="AU1240"/>
      <c r="AV1240"/>
      <c r="AW1240"/>
      <c r="AX1240"/>
      <c r="AY1240"/>
    </row>
    <row r="1241" spans="36:51">
      <c r="AJ1241" s="22"/>
      <c r="AK1241" s="22"/>
      <c r="AL1241" s="22"/>
      <c r="AM1241" s="22"/>
      <c r="AN1241" s="22"/>
      <c r="AO1241" s="22"/>
      <c r="AP1241" s="22"/>
      <c r="AQ1241" s="22"/>
      <c r="AR1241"/>
      <c r="AS1241"/>
      <c r="AT1241"/>
      <c r="AU1241"/>
      <c r="AV1241"/>
      <c r="AW1241"/>
      <c r="AX1241"/>
      <c r="AY1241"/>
    </row>
    <row r="1242" spans="36:51">
      <c r="AJ1242" s="22"/>
      <c r="AK1242" s="22"/>
      <c r="AL1242" s="22"/>
      <c r="AM1242" s="22"/>
      <c r="AN1242" s="22"/>
      <c r="AO1242" s="22"/>
      <c r="AP1242" s="22"/>
      <c r="AQ1242" s="22"/>
      <c r="AR1242"/>
      <c r="AS1242"/>
      <c r="AT1242"/>
      <c r="AU1242"/>
      <c r="AV1242"/>
      <c r="AW1242"/>
      <c r="AX1242"/>
      <c r="AY1242"/>
    </row>
    <row r="1243" spans="36:51">
      <c r="AJ1243" s="22"/>
      <c r="AK1243" s="22"/>
      <c r="AL1243" s="22"/>
      <c r="AM1243" s="22"/>
      <c r="AN1243" s="22"/>
      <c r="AO1243" s="22"/>
      <c r="AP1243" s="22"/>
      <c r="AQ1243" s="22"/>
      <c r="AR1243"/>
      <c r="AS1243"/>
      <c r="AT1243"/>
      <c r="AU1243"/>
      <c r="AV1243"/>
      <c r="AW1243"/>
      <c r="AX1243"/>
      <c r="AY1243"/>
    </row>
    <row r="1244" spans="36:51">
      <c r="AJ1244" s="22"/>
      <c r="AK1244" s="22"/>
      <c r="AL1244" s="22"/>
      <c r="AM1244" s="22"/>
      <c r="AN1244" s="22"/>
      <c r="AO1244" s="22"/>
      <c r="AP1244" s="22"/>
      <c r="AQ1244" s="22"/>
      <c r="AR1244"/>
      <c r="AS1244"/>
      <c r="AT1244"/>
      <c r="AU1244"/>
      <c r="AV1244"/>
      <c r="AW1244"/>
      <c r="AX1244"/>
      <c r="AY1244"/>
    </row>
    <row r="1245" spans="36:51">
      <c r="AJ1245" s="22"/>
      <c r="AK1245" s="22"/>
      <c r="AL1245" s="22"/>
      <c r="AM1245" s="22"/>
      <c r="AN1245" s="22"/>
      <c r="AO1245" s="22"/>
      <c r="AP1245" s="22"/>
      <c r="AQ1245" s="22"/>
      <c r="AR1245"/>
      <c r="AS1245"/>
      <c r="AT1245"/>
      <c r="AU1245"/>
      <c r="AV1245"/>
      <c r="AW1245"/>
      <c r="AX1245"/>
      <c r="AY1245"/>
    </row>
    <row r="1246" spans="36:51">
      <c r="AJ1246" s="22"/>
      <c r="AK1246" s="22"/>
      <c r="AL1246" s="22"/>
      <c r="AM1246" s="22"/>
      <c r="AN1246" s="22"/>
      <c r="AO1246" s="22"/>
      <c r="AP1246" s="22"/>
      <c r="AQ1246" s="22"/>
      <c r="AR1246"/>
      <c r="AS1246"/>
      <c r="AT1246"/>
      <c r="AU1246"/>
      <c r="AV1246"/>
      <c r="AW1246"/>
      <c r="AX1246"/>
      <c r="AY1246"/>
    </row>
    <row r="1247" spans="36:51">
      <c r="AJ1247" s="22"/>
      <c r="AK1247" s="22"/>
      <c r="AL1247" s="22"/>
      <c r="AM1247" s="22"/>
      <c r="AN1247" s="22"/>
      <c r="AO1247" s="22"/>
      <c r="AP1247" s="22"/>
      <c r="AQ1247" s="22"/>
      <c r="AR1247"/>
      <c r="AS1247"/>
      <c r="AT1247"/>
      <c r="AU1247"/>
      <c r="AV1247"/>
      <c r="AW1247"/>
      <c r="AX1247"/>
      <c r="AY1247"/>
    </row>
    <row r="1248" spans="36:51">
      <c r="AJ1248" s="22"/>
      <c r="AK1248" s="22"/>
      <c r="AL1248" s="22"/>
      <c r="AM1248" s="22"/>
      <c r="AN1248" s="22"/>
      <c r="AO1248" s="22"/>
      <c r="AP1248" s="22"/>
      <c r="AQ1248" s="22"/>
      <c r="AR1248"/>
      <c r="AS1248"/>
      <c r="AT1248"/>
      <c r="AU1248"/>
      <c r="AV1248"/>
      <c r="AW1248"/>
      <c r="AX1248"/>
      <c r="AY1248"/>
    </row>
    <row r="1249" spans="36:51">
      <c r="AJ1249" s="22"/>
      <c r="AK1249" s="22"/>
      <c r="AL1249" s="22"/>
      <c r="AM1249" s="22"/>
      <c r="AN1249" s="22"/>
      <c r="AO1249" s="22"/>
      <c r="AP1249" s="22"/>
      <c r="AQ1249" s="22"/>
      <c r="AR1249"/>
      <c r="AS1249"/>
      <c r="AT1249"/>
      <c r="AU1249"/>
      <c r="AV1249"/>
      <c r="AW1249"/>
      <c r="AX1249"/>
      <c r="AY1249"/>
    </row>
    <row r="1250" spans="36:51">
      <c r="AJ1250" s="22"/>
      <c r="AK1250" s="22"/>
      <c r="AL1250" s="22"/>
      <c r="AM1250" s="22"/>
      <c r="AN1250" s="22"/>
      <c r="AO1250" s="22"/>
      <c r="AP1250" s="22"/>
      <c r="AQ1250" s="22"/>
      <c r="AR1250"/>
      <c r="AS1250"/>
      <c r="AT1250"/>
      <c r="AU1250"/>
      <c r="AV1250"/>
      <c r="AW1250"/>
      <c r="AX1250"/>
      <c r="AY1250"/>
    </row>
    <row r="1251" spans="36:51">
      <c r="AJ1251" s="22"/>
      <c r="AK1251" s="22"/>
      <c r="AL1251" s="22"/>
      <c r="AM1251" s="22"/>
      <c r="AN1251" s="22"/>
      <c r="AO1251" s="22"/>
      <c r="AP1251" s="22"/>
      <c r="AQ1251" s="22"/>
      <c r="AR1251"/>
      <c r="AS1251"/>
      <c r="AT1251"/>
      <c r="AU1251"/>
      <c r="AV1251"/>
      <c r="AW1251"/>
      <c r="AX1251"/>
      <c r="AY1251"/>
    </row>
    <row r="1252" spans="36:51">
      <c r="AJ1252" s="22"/>
      <c r="AK1252" s="22"/>
      <c r="AL1252" s="22"/>
      <c r="AM1252" s="22"/>
      <c r="AN1252" s="22"/>
      <c r="AO1252" s="22"/>
      <c r="AP1252" s="22"/>
      <c r="AQ1252" s="22"/>
      <c r="AR1252"/>
      <c r="AS1252"/>
      <c r="AT1252"/>
      <c r="AU1252"/>
      <c r="AV1252"/>
      <c r="AW1252"/>
      <c r="AX1252"/>
      <c r="AY1252"/>
    </row>
    <row r="1253" spans="36:51">
      <c r="AJ1253" s="22"/>
      <c r="AK1253" s="22"/>
      <c r="AL1253" s="22"/>
      <c r="AM1253" s="22"/>
      <c r="AN1253" s="22"/>
      <c r="AO1253" s="22"/>
      <c r="AP1253" s="22"/>
      <c r="AQ1253" s="22"/>
      <c r="AR1253"/>
      <c r="AS1253"/>
      <c r="AT1253"/>
      <c r="AU1253"/>
      <c r="AV1253"/>
      <c r="AW1253"/>
      <c r="AX1253"/>
      <c r="AY1253"/>
    </row>
    <row r="1254" spans="36:51">
      <c r="AJ1254" s="22"/>
      <c r="AK1254" s="22"/>
      <c r="AL1254" s="22"/>
      <c r="AM1254" s="22"/>
      <c r="AN1254" s="22"/>
      <c r="AO1254" s="22"/>
      <c r="AP1254" s="22"/>
      <c r="AQ1254" s="22"/>
      <c r="AR1254"/>
      <c r="AS1254"/>
      <c r="AT1254"/>
      <c r="AU1254"/>
      <c r="AV1254"/>
      <c r="AW1254"/>
      <c r="AX1254"/>
      <c r="AY1254"/>
    </row>
    <row r="1255" spans="36:51">
      <c r="AJ1255" s="22"/>
      <c r="AK1255" s="22"/>
      <c r="AL1255" s="22"/>
      <c r="AM1255" s="22"/>
      <c r="AN1255" s="22"/>
      <c r="AO1255" s="22"/>
      <c r="AP1255" s="22"/>
      <c r="AQ1255" s="22"/>
      <c r="AR1255"/>
      <c r="AS1255"/>
      <c r="AT1255"/>
      <c r="AU1255"/>
      <c r="AV1255"/>
      <c r="AW1255"/>
      <c r="AX1255"/>
      <c r="AY1255"/>
    </row>
    <row r="1256" spans="36:51">
      <c r="AJ1256" s="22"/>
      <c r="AK1256" s="22"/>
      <c r="AL1256" s="22"/>
      <c r="AM1256" s="22"/>
      <c r="AN1256" s="22"/>
      <c r="AO1256" s="22"/>
      <c r="AP1256" s="22"/>
      <c r="AQ1256" s="22"/>
      <c r="AR1256"/>
      <c r="AS1256"/>
      <c r="AT1256"/>
      <c r="AU1256"/>
      <c r="AV1256"/>
      <c r="AW1256"/>
      <c r="AX1256"/>
      <c r="AY1256"/>
    </row>
    <row r="1257" spans="36:51">
      <c r="AJ1257" s="22"/>
      <c r="AK1257" s="22"/>
      <c r="AL1257" s="22"/>
      <c r="AM1257" s="22"/>
      <c r="AN1257" s="22"/>
      <c r="AO1257" s="22"/>
      <c r="AP1257" s="22"/>
      <c r="AQ1257" s="22"/>
      <c r="AR1257"/>
      <c r="AS1257"/>
      <c r="AT1257"/>
      <c r="AU1257"/>
      <c r="AV1257"/>
      <c r="AW1257"/>
      <c r="AX1257"/>
      <c r="AY1257"/>
    </row>
    <row r="1258" spans="36:51">
      <c r="AJ1258" s="22"/>
      <c r="AK1258" s="22"/>
      <c r="AL1258" s="22"/>
      <c r="AM1258" s="22"/>
      <c r="AN1258" s="22"/>
      <c r="AO1258" s="22"/>
      <c r="AP1258" s="22"/>
      <c r="AQ1258" s="22"/>
      <c r="AR1258"/>
      <c r="AS1258"/>
      <c r="AT1258"/>
      <c r="AU1258"/>
      <c r="AV1258"/>
      <c r="AW1258"/>
      <c r="AX1258"/>
      <c r="AY1258"/>
    </row>
    <row r="1259" spans="36:51">
      <c r="AJ1259" s="22"/>
      <c r="AK1259" s="22"/>
      <c r="AL1259" s="22"/>
      <c r="AM1259" s="22"/>
      <c r="AN1259" s="22"/>
      <c r="AO1259" s="22"/>
      <c r="AP1259" s="22"/>
      <c r="AQ1259" s="22"/>
      <c r="AR1259"/>
      <c r="AS1259"/>
      <c r="AT1259"/>
      <c r="AU1259"/>
      <c r="AV1259"/>
      <c r="AW1259"/>
      <c r="AX1259"/>
      <c r="AY1259"/>
    </row>
    <row r="1260" spans="36:51">
      <c r="AJ1260" s="22"/>
      <c r="AK1260" s="22"/>
      <c r="AL1260" s="22"/>
      <c r="AM1260" s="22"/>
      <c r="AN1260" s="22"/>
      <c r="AO1260" s="22"/>
      <c r="AP1260" s="22"/>
      <c r="AQ1260" s="22"/>
      <c r="AR1260"/>
      <c r="AS1260"/>
      <c r="AT1260"/>
      <c r="AU1260"/>
      <c r="AV1260"/>
      <c r="AW1260"/>
      <c r="AX1260"/>
      <c r="AY1260"/>
    </row>
    <row r="1261" spans="36:51">
      <c r="AJ1261" s="22"/>
      <c r="AK1261" s="22"/>
      <c r="AL1261" s="22"/>
      <c r="AM1261" s="22"/>
      <c r="AN1261" s="22"/>
      <c r="AO1261" s="22"/>
      <c r="AP1261" s="22"/>
      <c r="AQ1261" s="22"/>
      <c r="AR1261"/>
      <c r="AS1261"/>
      <c r="AT1261"/>
      <c r="AU1261"/>
      <c r="AV1261"/>
      <c r="AW1261"/>
      <c r="AX1261"/>
      <c r="AY1261"/>
    </row>
    <row r="1262" spans="36:51">
      <c r="AJ1262" s="22"/>
      <c r="AK1262" s="22"/>
      <c r="AL1262" s="22"/>
      <c r="AM1262" s="22"/>
      <c r="AN1262" s="22"/>
      <c r="AO1262" s="22"/>
      <c r="AP1262" s="22"/>
      <c r="AQ1262" s="22"/>
      <c r="AR1262"/>
      <c r="AS1262"/>
      <c r="AT1262"/>
      <c r="AU1262"/>
      <c r="AV1262"/>
      <c r="AW1262"/>
      <c r="AX1262"/>
      <c r="AY1262"/>
    </row>
    <row r="1263" spans="36:51">
      <c r="AJ1263" s="22"/>
      <c r="AK1263" s="22"/>
      <c r="AL1263" s="22"/>
      <c r="AM1263" s="22"/>
      <c r="AN1263" s="22"/>
      <c r="AO1263" s="22"/>
      <c r="AP1263" s="22"/>
      <c r="AQ1263" s="22"/>
      <c r="AR1263"/>
      <c r="AS1263"/>
      <c r="AT1263"/>
      <c r="AU1263"/>
      <c r="AV1263"/>
      <c r="AW1263"/>
      <c r="AX1263"/>
      <c r="AY1263"/>
    </row>
    <row r="1264" spans="36:51">
      <c r="AJ1264" s="22"/>
      <c r="AK1264" s="22"/>
      <c r="AL1264" s="22"/>
      <c r="AM1264" s="22"/>
      <c r="AN1264" s="22"/>
      <c r="AO1264" s="22"/>
      <c r="AP1264" s="22"/>
      <c r="AQ1264" s="22"/>
      <c r="AR1264"/>
      <c r="AS1264"/>
      <c r="AT1264"/>
      <c r="AU1264"/>
      <c r="AV1264"/>
      <c r="AW1264"/>
      <c r="AX1264"/>
      <c r="AY1264"/>
    </row>
    <row r="1265" spans="36:51">
      <c r="AJ1265" s="22"/>
      <c r="AK1265" s="22"/>
      <c r="AL1265" s="22"/>
      <c r="AM1265" s="22"/>
      <c r="AN1265" s="22"/>
      <c r="AO1265" s="22"/>
      <c r="AP1265" s="22"/>
      <c r="AQ1265" s="22"/>
      <c r="AR1265"/>
      <c r="AS1265"/>
      <c r="AT1265"/>
      <c r="AU1265"/>
      <c r="AV1265"/>
      <c r="AW1265"/>
      <c r="AX1265"/>
      <c r="AY1265"/>
    </row>
    <row r="1266" spans="36:51">
      <c r="AJ1266" s="22"/>
      <c r="AK1266" s="22"/>
      <c r="AL1266" s="22"/>
      <c r="AM1266" s="22"/>
      <c r="AN1266" s="22"/>
      <c r="AO1266" s="22"/>
      <c r="AP1266" s="22"/>
      <c r="AQ1266" s="22"/>
      <c r="AR1266"/>
      <c r="AS1266"/>
      <c r="AT1266"/>
      <c r="AU1266"/>
      <c r="AV1266"/>
      <c r="AW1266"/>
      <c r="AX1266"/>
      <c r="AY1266"/>
    </row>
    <row r="1267" spans="36:51">
      <c r="AJ1267" s="22"/>
      <c r="AK1267" s="22"/>
      <c r="AL1267" s="22"/>
      <c r="AM1267" s="22"/>
      <c r="AN1267" s="22"/>
      <c r="AO1267" s="22"/>
      <c r="AP1267" s="22"/>
      <c r="AQ1267" s="22"/>
      <c r="AR1267"/>
      <c r="AS1267"/>
      <c r="AT1267"/>
      <c r="AU1267"/>
      <c r="AV1267"/>
      <c r="AW1267"/>
      <c r="AX1267"/>
      <c r="AY1267"/>
    </row>
    <row r="1268" spans="36:51">
      <c r="AJ1268" s="22"/>
      <c r="AK1268" s="22"/>
      <c r="AL1268" s="22"/>
      <c r="AM1268" s="22"/>
      <c r="AN1268" s="22"/>
      <c r="AO1268" s="22"/>
      <c r="AP1268" s="22"/>
      <c r="AQ1268" s="22"/>
      <c r="AR1268"/>
      <c r="AS1268"/>
      <c r="AT1268"/>
      <c r="AU1268"/>
      <c r="AV1268"/>
      <c r="AW1268"/>
      <c r="AX1268"/>
      <c r="AY1268"/>
    </row>
    <row r="1269" spans="36:51">
      <c r="AJ1269" s="22"/>
      <c r="AK1269" s="22"/>
      <c r="AL1269" s="22"/>
      <c r="AM1269" s="22"/>
      <c r="AN1269" s="22"/>
      <c r="AO1269" s="22"/>
      <c r="AP1269" s="22"/>
      <c r="AQ1269" s="22"/>
      <c r="AR1269"/>
      <c r="AS1269"/>
      <c r="AT1269"/>
      <c r="AU1269"/>
      <c r="AV1269"/>
      <c r="AW1269"/>
      <c r="AX1269"/>
      <c r="AY1269"/>
    </row>
    <row r="1270" spans="36:51">
      <c r="AJ1270" s="22"/>
      <c r="AK1270" s="22"/>
      <c r="AL1270" s="22"/>
      <c r="AM1270" s="22"/>
      <c r="AN1270" s="22"/>
      <c r="AO1270" s="22"/>
      <c r="AP1270" s="22"/>
      <c r="AQ1270" s="22"/>
      <c r="AR1270"/>
      <c r="AS1270"/>
      <c r="AT1270"/>
      <c r="AU1270"/>
      <c r="AV1270"/>
      <c r="AW1270"/>
      <c r="AX1270"/>
      <c r="AY1270"/>
    </row>
    <row r="1271" spans="36:51">
      <c r="AJ1271" s="22"/>
      <c r="AK1271" s="22"/>
      <c r="AL1271" s="22"/>
      <c r="AM1271" s="22"/>
      <c r="AN1271" s="22"/>
      <c r="AO1271" s="22"/>
      <c r="AP1271" s="22"/>
      <c r="AQ1271" s="22"/>
      <c r="AR1271"/>
      <c r="AS1271"/>
      <c r="AT1271"/>
      <c r="AU1271"/>
      <c r="AV1271"/>
      <c r="AW1271"/>
      <c r="AX1271"/>
      <c r="AY1271"/>
    </row>
    <row r="1272" spans="36:51">
      <c r="AJ1272" s="22"/>
      <c r="AK1272" s="22"/>
      <c r="AL1272" s="22"/>
      <c r="AM1272" s="22"/>
      <c r="AN1272" s="22"/>
      <c r="AO1272" s="22"/>
      <c r="AP1272" s="22"/>
      <c r="AQ1272" s="22"/>
      <c r="AR1272"/>
      <c r="AS1272"/>
      <c r="AT1272"/>
      <c r="AU1272"/>
      <c r="AV1272"/>
      <c r="AW1272"/>
      <c r="AX1272"/>
      <c r="AY1272"/>
    </row>
    <row r="1273" spans="36:51">
      <c r="AJ1273" s="22"/>
      <c r="AK1273" s="22"/>
      <c r="AL1273" s="22"/>
      <c r="AM1273" s="22"/>
      <c r="AN1273" s="22"/>
      <c r="AO1273" s="22"/>
      <c r="AP1273" s="22"/>
      <c r="AQ1273" s="22"/>
      <c r="AR1273"/>
      <c r="AS1273"/>
      <c r="AT1273"/>
      <c r="AU1273"/>
      <c r="AV1273"/>
      <c r="AW1273"/>
      <c r="AX1273"/>
      <c r="AY1273"/>
    </row>
    <row r="1274" spans="36:51">
      <c r="AJ1274" s="22"/>
      <c r="AK1274" s="22"/>
      <c r="AL1274" s="22"/>
      <c r="AM1274" s="22"/>
      <c r="AN1274" s="22"/>
      <c r="AO1274" s="22"/>
      <c r="AP1274" s="22"/>
      <c r="AQ1274" s="22"/>
      <c r="AR1274"/>
      <c r="AS1274"/>
      <c r="AT1274"/>
      <c r="AU1274"/>
      <c r="AV1274"/>
      <c r="AW1274"/>
      <c r="AX1274"/>
      <c r="AY1274"/>
    </row>
    <row r="1275" spans="36:51">
      <c r="AJ1275" s="22"/>
      <c r="AK1275" s="22"/>
      <c r="AL1275" s="22"/>
      <c r="AM1275" s="22"/>
      <c r="AN1275" s="22"/>
      <c r="AO1275" s="22"/>
      <c r="AP1275" s="22"/>
      <c r="AQ1275" s="22"/>
      <c r="AR1275"/>
      <c r="AS1275"/>
      <c r="AT1275"/>
      <c r="AU1275"/>
      <c r="AV1275"/>
      <c r="AW1275"/>
      <c r="AX1275"/>
      <c r="AY1275"/>
    </row>
    <row r="1276" spans="36:51">
      <c r="AJ1276" s="22"/>
      <c r="AK1276" s="22"/>
      <c r="AL1276" s="22"/>
      <c r="AM1276" s="22"/>
      <c r="AN1276" s="22"/>
      <c r="AO1276" s="22"/>
      <c r="AP1276" s="22"/>
      <c r="AQ1276" s="22"/>
      <c r="AR1276"/>
      <c r="AS1276"/>
      <c r="AT1276"/>
      <c r="AU1276"/>
      <c r="AV1276"/>
      <c r="AW1276"/>
      <c r="AX1276"/>
      <c r="AY1276"/>
    </row>
    <row r="1277" spans="36:51">
      <c r="AJ1277" s="22"/>
      <c r="AK1277" s="22"/>
      <c r="AL1277" s="22"/>
      <c r="AM1277" s="22"/>
      <c r="AN1277" s="22"/>
      <c r="AO1277" s="22"/>
      <c r="AP1277" s="22"/>
      <c r="AQ1277" s="22"/>
      <c r="AR1277"/>
      <c r="AS1277"/>
      <c r="AT1277"/>
      <c r="AU1277"/>
      <c r="AV1277"/>
      <c r="AW1277"/>
      <c r="AX1277"/>
      <c r="AY1277"/>
    </row>
    <row r="1278" spans="36:51">
      <c r="AJ1278" s="22"/>
      <c r="AK1278" s="22"/>
      <c r="AL1278" s="22"/>
      <c r="AM1278" s="22"/>
      <c r="AN1278" s="22"/>
      <c r="AO1278" s="22"/>
      <c r="AP1278" s="22"/>
      <c r="AQ1278" s="22"/>
      <c r="AR1278"/>
      <c r="AS1278"/>
      <c r="AT1278"/>
      <c r="AU1278"/>
      <c r="AV1278"/>
      <c r="AW1278"/>
      <c r="AX1278"/>
      <c r="AY1278"/>
    </row>
    <row r="1279" spans="36:51">
      <c r="AJ1279" s="22"/>
      <c r="AK1279" s="22"/>
      <c r="AL1279" s="22"/>
      <c r="AM1279" s="22"/>
      <c r="AN1279" s="22"/>
      <c r="AO1279" s="22"/>
      <c r="AP1279" s="22"/>
      <c r="AQ1279" s="22"/>
      <c r="AR1279"/>
      <c r="AS1279"/>
      <c r="AT1279"/>
      <c r="AU1279"/>
      <c r="AV1279"/>
      <c r="AW1279"/>
      <c r="AX1279"/>
      <c r="AY1279"/>
    </row>
    <row r="1280" spans="36:51">
      <c r="AJ1280" s="22"/>
      <c r="AK1280" s="22"/>
      <c r="AL1280" s="22"/>
      <c r="AM1280" s="22"/>
      <c r="AN1280" s="22"/>
      <c r="AO1280" s="22"/>
      <c r="AP1280" s="22"/>
      <c r="AQ1280" s="22"/>
      <c r="AR1280"/>
      <c r="AS1280"/>
      <c r="AT1280"/>
      <c r="AU1280"/>
      <c r="AV1280"/>
      <c r="AW1280"/>
      <c r="AX1280"/>
      <c r="AY1280"/>
    </row>
    <row r="1281" spans="36:51">
      <c r="AJ1281" s="22"/>
      <c r="AK1281" s="22"/>
      <c r="AL1281" s="22"/>
      <c r="AM1281" s="22"/>
      <c r="AN1281" s="22"/>
      <c r="AO1281" s="22"/>
      <c r="AP1281" s="22"/>
      <c r="AQ1281" s="22"/>
      <c r="AR1281"/>
      <c r="AS1281"/>
      <c r="AT1281"/>
      <c r="AU1281"/>
      <c r="AV1281"/>
      <c r="AW1281"/>
      <c r="AX1281"/>
      <c r="AY1281"/>
    </row>
    <row r="1282" spans="36:51">
      <c r="AJ1282" s="22"/>
      <c r="AK1282" s="22"/>
      <c r="AL1282" s="22"/>
      <c r="AM1282" s="22"/>
      <c r="AN1282" s="22"/>
      <c r="AO1282" s="22"/>
      <c r="AP1282" s="22"/>
      <c r="AQ1282" s="22"/>
      <c r="AR1282"/>
      <c r="AS1282"/>
      <c r="AT1282"/>
      <c r="AU1282"/>
      <c r="AV1282"/>
      <c r="AW1282"/>
      <c r="AX1282"/>
      <c r="AY1282"/>
    </row>
    <row r="1283" spans="36:51">
      <c r="AJ1283" s="22"/>
      <c r="AK1283" s="22"/>
      <c r="AL1283" s="22"/>
      <c r="AM1283" s="22"/>
      <c r="AN1283" s="22"/>
      <c r="AO1283" s="22"/>
      <c r="AP1283" s="22"/>
      <c r="AQ1283" s="22"/>
      <c r="AR1283"/>
      <c r="AS1283"/>
      <c r="AT1283"/>
      <c r="AU1283"/>
      <c r="AV1283"/>
      <c r="AW1283"/>
      <c r="AX1283"/>
      <c r="AY1283"/>
    </row>
    <row r="1284" spans="36:51">
      <c r="AJ1284" s="22"/>
      <c r="AK1284" s="22"/>
      <c r="AL1284" s="22"/>
      <c r="AM1284" s="22"/>
      <c r="AN1284" s="22"/>
      <c r="AO1284" s="22"/>
      <c r="AP1284" s="22"/>
      <c r="AQ1284" s="22"/>
      <c r="AR1284"/>
      <c r="AS1284"/>
      <c r="AT1284"/>
      <c r="AU1284"/>
      <c r="AV1284"/>
      <c r="AW1284"/>
      <c r="AX1284"/>
      <c r="AY1284"/>
    </row>
    <row r="1285" spans="36:51">
      <c r="AJ1285" s="22"/>
      <c r="AK1285" s="22"/>
      <c r="AL1285" s="22"/>
      <c r="AM1285" s="22"/>
      <c r="AN1285" s="22"/>
      <c r="AO1285" s="22"/>
      <c r="AP1285" s="22"/>
      <c r="AQ1285" s="22"/>
      <c r="AR1285"/>
      <c r="AS1285"/>
      <c r="AT1285"/>
      <c r="AU1285"/>
      <c r="AV1285"/>
      <c r="AW1285"/>
      <c r="AX1285"/>
      <c r="AY1285"/>
    </row>
    <row r="1286" spans="36:51">
      <c r="AJ1286" s="22"/>
      <c r="AK1286" s="22"/>
      <c r="AL1286" s="22"/>
      <c r="AM1286" s="22"/>
      <c r="AN1286" s="22"/>
      <c r="AO1286" s="22"/>
      <c r="AP1286" s="22"/>
      <c r="AQ1286" s="22"/>
      <c r="AR1286"/>
      <c r="AS1286"/>
      <c r="AT1286"/>
      <c r="AU1286"/>
      <c r="AV1286"/>
      <c r="AW1286"/>
      <c r="AX1286"/>
      <c r="AY1286"/>
    </row>
    <row r="1287" spans="36:51">
      <c r="AJ1287" s="22"/>
      <c r="AK1287" s="22"/>
      <c r="AL1287" s="22"/>
      <c r="AM1287" s="22"/>
      <c r="AN1287" s="22"/>
      <c r="AO1287" s="22"/>
      <c r="AP1287" s="22"/>
      <c r="AQ1287" s="22"/>
      <c r="AR1287"/>
      <c r="AS1287"/>
      <c r="AT1287"/>
      <c r="AU1287"/>
      <c r="AV1287"/>
      <c r="AW1287"/>
      <c r="AX1287"/>
      <c r="AY1287"/>
    </row>
    <row r="1288" spans="36:51">
      <c r="AJ1288" s="22"/>
      <c r="AK1288" s="22"/>
      <c r="AL1288" s="22"/>
      <c r="AM1288" s="22"/>
      <c r="AN1288" s="22"/>
      <c r="AO1288" s="22"/>
      <c r="AP1288" s="22"/>
      <c r="AQ1288" s="22"/>
      <c r="AR1288"/>
      <c r="AS1288"/>
      <c r="AT1288"/>
      <c r="AU1288"/>
      <c r="AV1288"/>
      <c r="AW1288"/>
      <c r="AX1288"/>
      <c r="AY1288"/>
    </row>
    <row r="1289" spans="36:51">
      <c r="AJ1289" s="22"/>
      <c r="AK1289" s="22"/>
      <c r="AL1289" s="22"/>
      <c r="AM1289" s="22"/>
      <c r="AN1289" s="22"/>
      <c r="AO1289" s="22"/>
      <c r="AP1289" s="22"/>
      <c r="AQ1289" s="22"/>
      <c r="AR1289"/>
      <c r="AS1289"/>
      <c r="AT1289"/>
      <c r="AU1289"/>
      <c r="AV1289"/>
      <c r="AW1289"/>
      <c r="AX1289"/>
      <c r="AY1289"/>
    </row>
    <row r="1290" spans="36:51">
      <c r="AJ1290" s="22"/>
      <c r="AK1290" s="22"/>
      <c r="AL1290" s="22"/>
      <c r="AM1290" s="22"/>
      <c r="AN1290" s="22"/>
      <c r="AO1290" s="22"/>
      <c r="AP1290" s="22"/>
      <c r="AQ1290" s="22"/>
      <c r="AR1290"/>
      <c r="AS1290"/>
      <c r="AT1290"/>
      <c r="AU1290"/>
      <c r="AV1290"/>
      <c r="AW1290"/>
      <c r="AX1290"/>
      <c r="AY1290"/>
    </row>
    <row r="1291" spans="36:51">
      <c r="AJ1291" s="22"/>
      <c r="AK1291" s="22"/>
      <c r="AL1291" s="22"/>
      <c r="AM1291" s="22"/>
      <c r="AN1291" s="22"/>
      <c r="AO1291" s="22"/>
      <c r="AP1291" s="22"/>
      <c r="AQ1291" s="22"/>
      <c r="AR1291"/>
      <c r="AS1291"/>
      <c r="AT1291"/>
      <c r="AU1291"/>
      <c r="AV1291"/>
      <c r="AW1291"/>
      <c r="AX1291"/>
      <c r="AY1291"/>
    </row>
    <row r="1292" spans="36:51">
      <c r="AJ1292" s="22"/>
      <c r="AK1292" s="22"/>
      <c r="AL1292" s="22"/>
      <c r="AM1292" s="22"/>
      <c r="AN1292" s="22"/>
      <c r="AO1292" s="22"/>
      <c r="AP1292" s="22"/>
      <c r="AQ1292" s="22"/>
      <c r="AR1292"/>
      <c r="AS1292"/>
      <c r="AT1292"/>
      <c r="AU1292"/>
      <c r="AV1292"/>
      <c r="AW1292"/>
      <c r="AX1292"/>
      <c r="AY1292"/>
    </row>
    <row r="1293" spans="36:51">
      <c r="AJ1293" s="22"/>
      <c r="AK1293" s="22"/>
      <c r="AL1293" s="22"/>
      <c r="AM1293" s="22"/>
      <c r="AN1293" s="22"/>
      <c r="AO1293" s="22"/>
      <c r="AP1293" s="22"/>
      <c r="AQ1293" s="22"/>
      <c r="AR1293"/>
      <c r="AS1293"/>
      <c r="AT1293"/>
      <c r="AU1293"/>
      <c r="AV1293"/>
      <c r="AW1293"/>
      <c r="AX1293"/>
      <c r="AY1293"/>
    </row>
    <row r="1294" spans="36:51">
      <c r="AJ1294" s="22"/>
      <c r="AK1294" s="22"/>
      <c r="AL1294" s="22"/>
      <c r="AM1294" s="22"/>
      <c r="AN1294" s="22"/>
      <c r="AO1294" s="22"/>
      <c r="AP1294" s="22"/>
      <c r="AQ1294" s="22"/>
      <c r="AR1294"/>
      <c r="AS1294"/>
      <c r="AT1294"/>
      <c r="AU1294"/>
      <c r="AV1294"/>
      <c r="AW1294"/>
      <c r="AX1294"/>
      <c r="AY1294"/>
    </row>
    <row r="1295" spans="36:51">
      <c r="AJ1295" s="22"/>
      <c r="AK1295" s="22"/>
      <c r="AL1295" s="22"/>
      <c r="AM1295" s="22"/>
      <c r="AN1295" s="22"/>
      <c r="AO1295" s="22"/>
      <c r="AP1295" s="22"/>
      <c r="AQ1295" s="22"/>
      <c r="AR1295"/>
      <c r="AS1295"/>
      <c r="AT1295"/>
      <c r="AU1295"/>
      <c r="AV1295"/>
      <c r="AW1295"/>
      <c r="AX1295"/>
      <c r="AY1295"/>
    </row>
    <row r="1296" spans="36:51">
      <c r="AJ1296" s="22"/>
      <c r="AK1296" s="22"/>
      <c r="AL1296" s="22"/>
      <c r="AM1296" s="22"/>
      <c r="AN1296" s="22"/>
      <c r="AO1296" s="22"/>
      <c r="AP1296" s="22"/>
      <c r="AQ1296" s="22"/>
      <c r="AR1296"/>
      <c r="AS1296"/>
      <c r="AT1296"/>
      <c r="AU1296"/>
      <c r="AV1296"/>
      <c r="AW1296"/>
      <c r="AX1296"/>
      <c r="AY1296"/>
    </row>
    <row r="1297" spans="36:51">
      <c r="AJ1297" s="22"/>
      <c r="AK1297" s="22"/>
      <c r="AL1297" s="22"/>
      <c r="AM1297" s="22"/>
      <c r="AN1297" s="22"/>
      <c r="AO1297" s="22"/>
      <c r="AP1297" s="22"/>
      <c r="AQ1297" s="22"/>
      <c r="AR1297"/>
      <c r="AS1297"/>
      <c r="AT1297"/>
      <c r="AU1297"/>
      <c r="AV1297"/>
      <c r="AW1297"/>
      <c r="AX1297"/>
      <c r="AY1297"/>
    </row>
    <row r="1298" spans="36:51">
      <c r="AJ1298" s="22"/>
      <c r="AK1298" s="22"/>
      <c r="AL1298" s="22"/>
      <c r="AM1298" s="22"/>
      <c r="AN1298" s="22"/>
      <c r="AO1298" s="22"/>
      <c r="AP1298" s="22"/>
      <c r="AQ1298" s="22"/>
      <c r="AR1298"/>
      <c r="AS1298"/>
      <c r="AT1298"/>
      <c r="AU1298"/>
      <c r="AV1298"/>
      <c r="AW1298"/>
      <c r="AX1298"/>
      <c r="AY1298"/>
    </row>
    <row r="1299" spans="36:51">
      <c r="AJ1299" s="22"/>
      <c r="AK1299" s="22"/>
      <c r="AL1299" s="22"/>
      <c r="AM1299" s="22"/>
      <c r="AN1299" s="22"/>
      <c r="AO1299" s="22"/>
      <c r="AP1299" s="22"/>
      <c r="AQ1299" s="22"/>
      <c r="AR1299"/>
      <c r="AS1299"/>
      <c r="AT1299"/>
      <c r="AU1299"/>
      <c r="AV1299"/>
      <c r="AW1299"/>
      <c r="AX1299"/>
      <c r="AY1299"/>
    </row>
    <row r="1300" spans="36:51">
      <c r="AJ1300" s="22"/>
      <c r="AK1300" s="22"/>
      <c r="AL1300" s="22"/>
      <c r="AM1300" s="22"/>
      <c r="AN1300" s="22"/>
      <c r="AO1300" s="22"/>
      <c r="AP1300" s="22"/>
      <c r="AQ1300" s="22"/>
      <c r="AR1300"/>
      <c r="AS1300"/>
      <c r="AT1300"/>
      <c r="AU1300"/>
      <c r="AV1300"/>
      <c r="AW1300"/>
      <c r="AX1300"/>
      <c r="AY1300"/>
    </row>
    <row r="1301" spans="36:51">
      <c r="AJ1301" s="22"/>
      <c r="AK1301" s="22"/>
      <c r="AL1301" s="22"/>
      <c r="AM1301" s="22"/>
      <c r="AN1301" s="22"/>
      <c r="AO1301" s="22"/>
      <c r="AP1301" s="22"/>
      <c r="AQ1301" s="22"/>
      <c r="AR1301"/>
      <c r="AS1301"/>
      <c r="AT1301"/>
      <c r="AU1301"/>
      <c r="AV1301"/>
      <c r="AW1301"/>
      <c r="AX1301"/>
      <c r="AY1301"/>
    </row>
    <row r="1302" spans="36:51">
      <c r="AJ1302" s="22"/>
      <c r="AK1302" s="22"/>
      <c r="AL1302" s="22"/>
      <c r="AM1302" s="22"/>
      <c r="AN1302" s="22"/>
      <c r="AO1302" s="22"/>
      <c r="AP1302" s="22"/>
      <c r="AQ1302" s="22"/>
      <c r="AR1302"/>
      <c r="AS1302"/>
      <c r="AT1302"/>
      <c r="AU1302"/>
      <c r="AV1302"/>
      <c r="AW1302"/>
      <c r="AX1302"/>
      <c r="AY1302"/>
    </row>
    <row r="1303" spans="36:51">
      <c r="AJ1303" s="22"/>
      <c r="AK1303" s="22"/>
      <c r="AL1303" s="22"/>
      <c r="AM1303" s="22"/>
      <c r="AN1303" s="22"/>
      <c r="AO1303" s="22"/>
      <c r="AP1303" s="22"/>
      <c r="AQ1303" s="22"/>
      <c r="AR1303"/>
      <c r="AS1303"/>
      <c r="AT1303"/>
      <c r="AU1303"/>
      <c r="AV1303"/>
      <c r="AW1303"/>
      <c r="AX1303"/>
      <c r="AY1303"/>
    </row>
    <row r="1304" spans="36:51">
      <c r="AJ1304" s="22"/>
      <c r="AK1304" s="22"/>
      <c r="AL1304" s="22"/>
      <c r="AM1304" s="22"/>
      <c r="AN1304" s="22"/>
      <c r="AO1304" s="22"/>
      <c r="AP1304" s="22"/>
      <c r="AQ1304" s="22"/>
      <c r="AR1304"/>
      <c r="AS1304"/>
      <c r="AT1304"/>
      <c r="AU1304"/>
      <c r="AV1304"/>
      <c r="AW1304"/>
      <c r="AX1304"/>
      <c r="AY1304"/>
    </row>
    <row r="1305" spans="36:51">
      <c r="AJ1305" s="22"/>
      <c r="AK1305" s="22"/>
      <c r="AL1305" s="22"/>
      <c r="AM1305" s="22"/>
      <c r="AN1305" s="22"/>
      <c r="AO1305" s="22"/>
      <c r="AP1305" s="22"/>
      <c r="AQ1305" s="22"/>
      <c r="AR1305"/>
      <c r="AS1305"/>
      <c r="AT1305"/>
      <c r="AU1305"/>
      <c r="AV1305"/>
      <c r="AW1305"/>
      <c r="AX1305"/>
      <c r="AY1305"/>
    </row>
    <row r="1306" spans="36:51">
      <c r="AJ1306" s="22"/>
      <c r="AK1306" s="22"/>
      <c r="AL1306" s="22"/>
      <c r="AM1306" s="22"/>
      <c r="AN1306" s="22"/>
      <c r="AO1306" s="22"/>
      <c r="AP1306" s="22"/>
      <c r="AQ1306" s="22"/>
      <c r="AR1306"/>
      <c r="AS1306"/>
      <c r="AT1306"/>
      <c r="AU1306"/>
      <c r="AV1306"/>
      <c r="AW1306"/>
      <c r="AX1306"/>
      <c r="AY1306"/>
    </row>
    <row r="1307" spans="36:51">
      <c r="AJ1307" s="22"/>
      <c r="AK1307" s="22"/>
      <c r="AL1307" s="22"/>
      <c r="AM1307" s="22"/>
      <c r="AN1307" s="22"/>
      <c r="AO1307" s="22"/>
      <c r="AP1307" s="22"/>
      <c r="AQ1307" s="22"/>
      <c r="AR1307"/>
      <c r="AS1307"/>
      <c r="AT1307"/>
      <c r="AU1307"/>
      <c r="AV1307"/>
      <c r="AW1307"/>
      <c r="AX1307"/>
      <c r="AY1307"/>
    </row>
    <row r="1308" spans="36:51">
      <c r="AJ1308" s="22"/>
      <c r="AK1308" s="22"/>
      <c r="AL1308" s="22"/>
      <c r="AM1308" s="22"/>
      <c r="AN1308" s="22"/>
      <c r="AO1308" s="22"/>
      <c r="AP1308" s="22"/>
      <c r="AQ1308" s="22"/>
      <c r="AR1308"/>
      <c r="AS1308"/>
      <c r="AT1308"/>
      <c r="AU1308"/>
      <c r="AV1308"/>
      <c r="AW1308"/>
      <c r="AX1308"/>
      <c r="AY1308"/>
    </row>
    <row r="1309" spans="36:51">
      <c r="AJ1309" s="22"/>
      <c r="AK1309" s="22"/>
      <c r="AL1309" s="22"/>
      <c r="AM1309" s="22"/>
      <c r="AN1309" s="22"/>
      <c r="AO1309" s="22"/>
      <c r="AP1309" s="22"/>
      <c r="AQ1309" s="22"/>
      <c r="AR1309"/>
      <c r="AS1309"/>
      <c r="AT1309"/>
      <c r="AU1309"/>
      <c r="AV1309"/>
      <c r="AW1309"/>
      <c r="AX1309"/>
      <c r="AY1309"/>
    </row>
    <row r="1310" spans="36:51">
      <c r="AJ1310" s="22"/>
      <c r="AK1310" s="22"/>
      <c r="AL1310" s="22"/>
      <c r="AM1310" s="22"/>
      <c r="AN1310" s="22"/>
      <c r="AO1310" s="22"/>
      <c r="AP1310" s="22"/>
      <c r="AQ1310" s="22"/>
      <c r="AR1310"/>
      <c r="AS1310"/>
      <c r="AT1310"/>
      <c r="AU1310"/>
      <c r="AV1310"/>
      <c r="AW1310"/>
      <c r="AX1310"/>
      <c r="AY1310"/>
    </row>
    <row r="1311" spans="36:51">
      <c r="AJ1311" s="22"/>
      <c r="AK1311" s="22"/>
      <c r="AL1311" s="22"/>
      <c r="AM1311" s="22"/>
      <c r="AN1311" s="22"/>
      <c r="AO1311" s="22"/>
      <c r="AP1311" s="22"/>
      <c r="AQ1311" s="22"/>
      <c r="AR1311"/>
      <c r="AS1311"/>
      <c r="AT1311"/>
      <c r="AU1311"/>
      <c r="AV1311"/>
      <c r="AW1311"/>
      <c r="AX1311"/>
      <c r="AY1311"/>
    </row>
    <row r="1312" spans="36:51">
      <c r="AJ1312" s="22"/>
      <c r="AK1312" s="22"/>
      <c r="AL1312" s="22"/>
      <c r="AM1312" s="22"/>
      <c r="AN1312" s="22"/>
      <c r="AO1312" s="22"/>
      <c r="AP1312" s="22"/>
      <c r="AQ1312" s="22"/>
      <c r="AR1312"/>
      <c r="AS1312"/>
      <c r="AT1312"/>
      <c r="AU1312"/>
      <c r="AV1312"/>
      <c r="AW1312"/>
      <c r="AX1312"/>
      <c r="AY1312"/>
    </row>
    <row r="1313" spans="36:51">
      <c r="AJ1313" s="22"/>
      <c r="AK1313" s="22"/>
      <c r="AL1313" s="22"/>
      <c r="AM1313" s="22"/>
      <c r="AN1313" s="22"/>
      <c r="AO1313" s="22"/>
      <c r="AP1313" s="22"/>
      <c r="AQ1313" s="22"/>
      <c r="AR1313"/>
      <c r="AS1313"/>
      <c r="AT1313"/>
      <c r="AU1313"/>
      <c r="AV1313"/>
      <c r="AW1313"/>
      <c r="AX1313"/>
      <c r="AY1313"/>
    </row>
    <row r="1314" spans="36:51">
      <c r="AJ1314" s="22"/>
      <c r="AK1314" s="22"/>
      <c r="AL1314" s="22"/>
      <c r="AM1314" s="22"/>
      <c r="AN1314" s="22"/>
      <c r="AO1314" s="22"/>
      <c r="AP1314" s="22"/>
      <c r="AQ1314" s="22"/>
      <c r="AR1314"/>
      <c r="AS1314"/>
      <c r="AT1314"/>
      <c r="AU1314"/>
      <c r="AV1314"/>
      <c r="AW1314"/>
      <c r="AX1314"/>
      <c r="AY1314"/>
    </row>
    <row r="1315" spans="36:51">
      <c r="AJ1315" s="22"/>
      <c r="AK1315" s="22"/>
      <c r="AL1315" s="22"/>
      <c r="AM1315" s="22"/>
      <c r="AN1315" s="22"/>
      <c r="AO1315" s="22"/>
      <c r="AP1315" s="22"/>
      <c r="AQ1315" s="22"/>
      <c r="AR1315"/>
      <c r="AS1315"/>
      <c r="AT1315"/>
      <c r="AU1315"/>
      <c r="AV1315"/>
      <c r="AW1315"/>
      <c r="AX1315"/>
      <c r="AY1315"/>
    </row>
    <row r="1316" spans="36:51">
      <c r="AJ1316" s="22"/>
      <c r="AK1316" s="22"/>
      <c r="AL1316" s="22"/>
      <c r="AM1316" s="22"/>
      <c r="AN1316" s="22"/>
      <c r="AO1316" s="22"/>
      <c r="AP1316" s="22"/>
      <c r="AQ1316" s="22"/>
      <c r="AR1316"/>
      <c r="AS1316"/>
      <c r="AT1316"/>
      <c r="AU1316"/>
      <c r="AV1316"/>
      <c r="AW1316"/>
      <c r="AX1316"/>
      <c r="AY1316"/>
    </row>
    <row r="1317" spans="36:51">
      <c r="AJ1317" s="22"/>
      <c r="AK1317" s="22"/>
      <c r="AL1317" s="22"/>
      <c r="AM1317" s="22"/>
      <c r="AN1317" s="22"/>
      <c r="AO1317" s="22"/>
      <c r="AP1317" s="22"/>
      <c r="AQ1317" s="22"/>
      <c r="AR1317"/>
      <c r="AS1317"/>
      <c r="AT1317"/>
      <c r="AU1317"/>
      <c r="AV1317"/>
      <c r="AW1317"/>
      <c r="AX1317"/>
      <c r="AY1317"/>
    </row>
    <row r="1318" spans="36:51">
      <c r="AJ1318" s="22"/>
      <c r="AK1318" s="22"/>
      <c r="AL1318" s="22"/>
      <c r="AM1318" s="22"/>
      <c r="AN1318" s="22"/>
      <c r="AO1318" s="22"/>
      <c r="AP1318" s="22"/>
      <c r="AQ1318" s="22"/>
      <c r="AR1318"/>
      <c r="AS1318"/>
      <c r="AT1318"/>
      <c r="AU1318"/>
      <c r="AV1318"/>
      <c r="AW1318"/>
      <c r="AX1318"/>
      <c r="AY1318"/>
    </row>
    <row r="1319" spans="36:51">
      <c r="AJ1319" s="22"/>
      <c r="AK1319" s="22"/>
      <c r="AL1319" s="22"/>
      <c r="AM1319" s="22"/>
      <c r="AN1319" s="22"/>
      <c r="AO1319" s="22"/>
      <c r="AP1319" s="22"/>
      <c r="AQ1319" s="22"/>
      <c r="AR1319"/>
      <c r="AS1319"/>
      <c r="AT1319"/>
      <c r="AU1319"/>
      <c r="AV1319"/>
      <c r="AW1319"/>
      <c r="AX1319"/>
      <c r="AY1319"/>
    </row>
    <row r="1320" spans="36:51">
      <c r="AJ1320" s="22"/>
      <c r="AK1320" s="22"/>
      <c r="AL1320" s="22"/>
      <c r="AM1320" s="22"/>
      <c r="AN1320" s="22"/>
      <c r="AO1320" s="22"/>
      <c r="AP1320" s="22"/>
      <c r="AQ1320" s="22"/>
      <c r="AR1320"/>
      <c r="AS1320"/>
      <c r="AT1320"/>
      <c r="AU1320"/>
      <c r="AV1320"/>
      <c r="AW1320"/>
      <c r="AX1320"/>
      <c r="AY1320"/>
    </row>
    <row r="1321" spans="36:51">
      <c r="AJ1321" s="22"/>
      <c r="AK1321" s="22"/>
      <c r="AL1321" s="22"/>
      <c r="AM1321" s="22"/>
      <c r="AN1321" s="22"/>
      <c r="AO1321" s="22"/>
      <c r="AP1321" s="22"/>
      <c r="AQ1321" s="22"/>
      <c r="AR1321"/>
      <c r="AS1321"/>
      <c r="AT1321"/>
      <c r="AU1321"/>
      <c r="AV1321"/>
      <c r="AW1321"/>
      <c r="AX1321"/>
      <c r="AY1321"/>
    </row>
    <row r="1322" spans="36:51">
      <c r="AJ1322" s="22"/>
      <c r="AK1322" s="22"/>
      <c r="AL1322" s="22"/>
      <c r="AM1322" s="22"/>
      <c r="AN1322" s="22"/>
      <c r="AO1322" s="22"/>
      <c r="AP1322" s="22"/>
      <c r="AQ1322" s="22"/>
      <c r="AR1322"/>
      <c r="AS1322"/>
      <c r="AT1322"/>
      <c r="AU1322"/>
      <c r="AV1322"/>
      <c r="AW1322"/>
      <c r="AX1322"/>
      <c r="AY1322"/>
    </row>
    <row r="1323" spans="36:51">
      <c r="AJ1323" s="22"/>
      <c r="AK1323" s="22"/>
      <c r="AL1323" s="22"/>
      <c r="AM1323" s="22"/>
      <c r="AN1323" s="22"/>
      <c r="AO1323" s="22"/>
      <c r="AP1323" s="22"/>
      <c r="AQ1323" s="22"/>
      <c r="AR1323"/>
      <c r="AS1323"/>
      <c r="AT1323"/>
      <c r="AU1323"/>
      <c r="AV1323"/>
      <c r="AW1323"/>
      <c r="AX1323"/>
      <c r="AY1323"/>
    </row>
    <row r="1324" spans="36:51">
      <c r="AJ1324" s="22"/>
      <c r="AK1324" s="22"/>
      <c r="AL1324" s="22"/>
      <c r="AM1324" s="22"/>
      <c r="AN1324" s="22"/>
      <c r="AO1324" s="22"/>
      <c r="AP1324" s="22"/>
      <c r="AQ1324" s="22"/>
      <c r="AR1324"/>
      <c r="AS1324"/>
      <c r="AT1324"/>
      <c r="AU1324"/>
      <c r="AV1324"/>
      <c r="AW1324"/>
      <c r="AX1324"/>
      <c r="AY1324"/>
    </row>
    <row r="1325" spans="36:51">
      <c r="AJ1325" s="22"/>
      <c r="AK1325" s="22"/>
      <c r="AL1325" s="22"/>
      <c r="AM1325" s="22"/>
      <c r="AN1325" s="22"/>
      <c r="AO1325" s="22"/>
      <c r="AP1325" s="22"/>
      <c r="AQ1325" s="22"/>
      <c r="AR1325"/>
      <c r="AS1325"/>
      <c r="AT1325"/>
      <c r="AU1325"/>
      <c r="AV1325"/>
      <c r="AW1325"/>
      <c r="AX1325"/>
      <c r="AY1325"/>
    </row>
    <row r="1326" spans="36:51">
      <c r="AJ1326" s="22"/>
      <c r="AK1326" s="22"/>
      <c r="AL1326" s="22"/>
      <c r="AM1326" s="22"/>
      <c r="AN1326" s="22"/>
      <c r="AO1326" s="22"/>
      <c r="AP1326" s="22"/>
      <c r="AQ1326" s="22"/>
      <c r="AR1326"/>
      <c r="AS1326"/>
      <c r="AT1326"/>
      <c r="AU1326"/>
      <c r="AV1326"/>
      <c r="AW1326"/>
      <c r="AX1326"/>
      <c r="AY1326"/>
    </row>
    <row r="1327" spans="36:51">
      <c r="AJ1327" s="22"/>
      <c r="AK1327" s="22"/>
      <c r="AL1327" s="22"/>
      <c r="AM1327" s="22"/>
      <c r="AN1327" s="22"/>
      <c r="AO1327" s="22"/>
      <c r="AP1327" s="22"/>
      <c r="AQ1327" s="22"/>
      <c r="AR1327"/>
      <c r="AS1327"/>
      <c r="AT1327"/>
      <c r="AU1327"/>
      <c r="AV1327"/>
      <c r="AW1327"/>
      <c r="AX1327"/>
      <c r="AY1327"/>
    </row>
    <row r="1328" spans="36:51">
      <c r="AJ1328" s="22"/>
      <c r="AK1328" s="22"/>
      <c r="AL1328" s="22"/>
      <c r="AM1328" s="22"/>
      <c r="AN1328" s="22"/>
      <c r="AO1328" s="22"/>
      <c r="AP1328" s="22"/>
      <c r="AQ1328" s="22"/>
      <c r="AR1328"/>
      <c r="AS1328"/>
      <c r="AT1328"/>
      <c r="AU1328"/>
      <c r="AV1328"/>
      <c r="AW1328"/>
      <c r="AX1328"/>
      <c r="AY1328"/>
    </row>
    <row r="1329" spans="36:51">
      <c r="AJ1329" s="22"/>
      <c r="AK1329" s="22"/>
      <c r="AL1329" s="22"/>
      <c r="AM1329" s="22"/>
      <c r="AN1329" s="22"/>
      <c r="AO1329" s="22"/>
      <c r="AP1329" s="22"/>
      <c r="AQ1329" s="22"/>
      <c r="AR1329"/>
      <c r="AS1329"/>
      <c r="AT1329"/>
      <c r="AU1329"/>
      <c r="AV1329"/>
      <c r="AW1329"/>
      <c r="AX1329"/>
      <c r="AY1329"/>
    </row>
    <row r="1330" spans="36:51">
      <c r="AJ1330" s="22"/>
      <c r="AK1330" s="22"/>
      <c r="AL1330" s="22"/>
      <c r="AM1330" s="22"/>
      <c r="AN1330" s="22"/>
      <c r="AO1330" s="22"/>
      <c r="AP1330" s="22"/>
      <c r="AQ1330" s="22"/>
      <c r="AR1330"/>
      <c r="AS1330"/>
      <c r="AT1330"/>
      <c r="AU1330"/>
      <c r="AV1330"/>
      <c r="AW1330"/>
      <c r="AX1330"/>
      <c r="AY1330"/>
    </row>
    <row r="1331" spans="36:51">
      <c r="AJ1331" s="22"/>
      <c r="AK1331" s="22"/>
      <c r="AL1331" s="22"/>
      <c r="AM1331" s="22"/>
      <c r="AN1331" s="22"/>
      <c r="AO1331" s="22"/>
      <c r="AP1331" s="22"/>
      <c r="AQ1331" s="22"/>
      <c r="AR1331"/>
      <c r="AS1331"/>
      <c r="AT1331"/>
      <c r="AU1331"/>
      <c r="AV1331"/>
      <c r="AW1331"/>
      <c r="AX1331"/>
      <c r="AY1331"/>
    </row>
    <row r="1332" spans="36:51">
      <c r="AJ1332" s="22"/>
      <c r="AK1332" s="22"/>
      <c r="AL1332" s="22"/>
      <c r="AM1332" s="22"/>
      <c r="AN1332" s="22"/>
      <c r="AO1332" s="22"/>
      <c r="AP1332" s="22"/>
      <c r="AQ1332" s="22"/>
      <c r="AR1332"/>
      <c r="AS1332"/>
      <c r="AT1332"/>
      <c r="AU1332"/>
      <c r="AV1332"/>
      <c r="AW1332"/>
      <c r="AX1332"/>
      <c r="AY1332"/>
    </row>
    <row r="1333" spans="36:51">
      <c r="AJ1333" s="22"/>
      <c r="AK1333" s="22"/>
      <c r="AL1333" s="22"/>
      <c r="AM1333" s="22"/>
      <c r="AN1333" s="22"/>
      <c r="AO1333" s="22"/>
      <c r="AP1333" s="22"/>
      <c r="AQ1333" s="22"/>
      <c r="AR1333"/>
      <c r="AS1333"/>
      <c r="AT1333"/>
      <c r="AU1333"/>
      <c r="AV1333"/>
      <c r="AW1333"/>
      <c r="AX1333"/>
      <c r="AY1333"/>
    </row>
    <row r="1334" spans="36:51">
      <c r="AJ1334" s="22"/>
      <c r="AK1334" s="22"/>
      <c r="AL1334" s="22"/>
      <c r="AM1334" s="22"/>
      <c r="AN1334" s="22"/>
      <c r="AO1334" s="22"/>
      <c r="AP1334" s="22"/>
      <c r="AQ1334" s="22"/>
      <c r="AR1334"/>
      <c r="AS1334"/>
      <c r="AT1334"/>
      <c r="AU1334"/>
      <c r="AV1334"/>
      <c r="AW1334"/>
      <c r="AX1334"/>
      <c r="AY1334"/>
    </row>
    <row r="1335" spans="36:51">
      <c r="AJ1335" s="22"/>
      <c r="AK1335" s="22"/>
      <c r="AL1335" s="22"/>
      <c r="AM1335" s="22"/>
      <c r="AN1335" s="22"/>
      <c r="AO1335" s="22"/>
      <c r="AP1335" s="22"/>
      <c r="AQ1335" s="22"/>
      <c r="AR1335"/>
      <c r="AS1335"/>
      <c r="AT1335"/>
      <c r="AU1335"/>
      <c r="AV1335"/>
      <c r="AW1335"/>
      <c r="AX1335"/>
      <c r="AY1335"/>
    </row>
    <row r="1336" spans="36:51">
      <c r="AJ1336" s="22"/>
      <c r="AK1336" s="22"/>
      <c r="AL1336" s="22"/>
      <c r="AM1336" s="22"/>
      <c r="AN1336" s="22"/>
      <c r="AO1336" s="22"/>
      <c r="AP1336" s="22"/>
      <c r="AQ1336" s="22"/>
      <c r="AR1336"/>
      <c r="AS1336"/>
      <c r="AT1336"/>
      <c r="AU1336"/>
      <c r="AV1336"/>
      <c r="AW1336"/>
      <c r="AX1336"/>
      <c r="AY1336"/>
    </row>
    <row r="1337" spans="36:51">
      <c r="AJ1337" s="22"/>
      <c r="AK1337" s="22"/>
      <c r="AL1337" s="22"/>
      <c r="AM1337" s="22"/>
      <c r="AN1337" s="22"/>
      <c r="AO1337" s="22"/>
      <c r="AP1337" s="22"/>
      <c r="AQ1337" s="22"/>
      <c r="AR1337"/>
      <c r="AS1337"/>
      <c r="AT1337"/>
      <c r="AU1337"/>
      <c r="AV1337"/>
      <c r="AW1337"/>
      <c r="AX1337"/>
      <c r="AY1337"/>
    </row>
    <row r="1338" spans="36:51">
      <c r="AJ1338" s="22"/>
      <c r="AK1338" s="22"/>
      <c r="AL1338" s="22"/>
      <c r="AM1338" s="22"/>
      <c r="AN1338" s="22"/>
      <c r="AO1338" s="22"/>
      <c r="AP1338" s="22"/>
      <c r="AQ1338" s="22"/>
      <c r="AR1338"/>
      <c r="AS1338"/>
      <c r="AT1338"/>
      <c r="AU1338"/>
      <c r="AV1338"/>
      <c r="AW1338"/>
      <c r="AX1338"/>
      <c r="AY1338"/>
    </row>
    <row r="1339" spans="36:51">
      <c r="AJ1339" s="22"/>
      <c r="AK1339" s="22"/>
      <c r="AL1339" s="22"/>
      <c r="AM1339" s="22"/>
      <c r="AN1339" s="22"/>
      <c r="AO1339" s="22"/>
      <c r="AP1339" s="22"/>
      <c r="AQ1339" s="22"/>
      <c r="AR1339"/>
      <c r="AS1339"/>
      <c r="AT1339"/>
      <c r="AU1339"/>
      <c r="AV1339"/>
      <c r="AW1339"/>
      <c r="AX1339"/>
      <c r="AY1339"/>
    </row>
    <row r="1340" spans="36:51">
      <c r="AJ1340" s="22"/>
      <c r="AK1340" s="22"/>
      <c r="AL1340" s="22"/>
      <c r="AM1340" s="22"/>
      <c r="AN1340" s="22"/>
      <c r="AO1340" s="22"/>
      <c r="AP1340" s="22"/>
      <c r="AQ1340" s="22"/>
      <c r="AR1340"/>
      <c r="AS1340"/>
      <c r="AT1340"/>
      <c r="AU1340"/>
      <c r="AV1340"/>
      <c r="AW1340"/>
      <c r="AX1340"/>
      <c r="AY1340"/>
    </row>
    <row r="1341" spans="36:51">
      <c r="AJ1341" s="22"/>
      <c r="AK1341" s="22"/>
      <c r="AL1341" s="22"/>
      <c r="AM1341" s="22"/>
      <c r="AN1341" s="22"/>
      <c r="AO1341" s="22"/>
      <c r="AP1341" s="22"/>
      <c r="AQ1341" s="22"/>
      <c r="AR1341"/>
      <c r="AS1341"/>
      <c r="AT1341"/>
      <c r="AU1341"/>
      <c r="AV1341"/>
      <c r="AW1341"/>
      <c r="AX1341"/>
      <c r="AY1341"/>
    </row>
    <row r="1342" spans="36:51">
      <c r="AJ1342" s="22"/>
      <c r="AK1342" s="22"/>
      <c r="AL1342" s="22"/>
      <c r="AM1342" s="22"/>
      <c r="AN1342" s="22"/>
      <c r="AO1342" s="22"/>
      <c r="AP1342" s="22"/>
      <c r="AQ1342" s="22"/>
      <c r="AR1342"/>
      <c r="AS1342"/>
      <c r="AT1342"/>
      <c r="AU1342"/>
      <c r="AV1342"/>
      <c r="AW1342"/>
      <c r="AX1342"/>
      <c r="AY1342"/>
    </row>
    <row r="1343" spans="36:51">
      <c r="AJ1343" s="22"/>
      <c r="AK1343" s="22"/>
      <c r="AL1343" s="22"/>
      <c r="AM1343" s="22"/>
      <c r="AN1343" s="22"/>
      <c r="AO1343" s="22"/>
      <c r="AP1343" s="22"/>
      <c r="AQ1343" s="22"/>
      <c r="AR1343"/>
      <c r="AS1343"/>
      <c r="AT1343"/>
      <c r="AU1343"/>
      <c r="AV1343"/>
      <c r="AW1343"/>
      <c r="AX1343"/>
      <c r="AY1343"/>
    </row>
    <row r="1344" spans="36:51">
      <c r="AJ1344" s="22"/>
      <c r="AK1344" s="22"/>
      <c r="AL1344" s="22"/>
      <c r="AM1344" s="22"/>
      <c r="AN1344" s="22"/>
      <c r="AO1344" s="22"/>
      <c r="AP1344" s="22"/>
      <c r="AQ1344" s="22"/>
      <c r="AR1344"/>
      <c r="AS1344"/>
      <c r="AT1344"/>
      <c r="AU1344"/>
      <c r="AV1344"/>
      <c r="AW1344"/>
      <c r="AX1344"/>
      <c r="AY1344"/>
    </row>
    <row r="1345" spans="36:51">
      <c r="AJ1345" s="22"/>
      <c r="AK1345" s="22"/>
      <c r="AL1345" s="22"/>
      <c r="AM1345" s="22"/>
      <c r="AN1345" s="22"/>
      <c r="AO1345" s="22"/>
      <c r="AP1345" s="22"/>
      <c r="AQ1345" s="22"/>
      <c r="AR1345"/>
      <c r="AS1345"/>
      <c r="AT1345"/>
      <c r="AU1345"/>
      <c r="AV1345"/>
      <c r="AW1345"/>
      <c r="AX1345"/>
      <c r="AY1345"/>
    </row>
    <row r="1346" spans="36:51">
      <c r="AJ1346" s="22"/>
      <c r="AK1346" s="22"/>
      <c r="AL1346" s="22"/>
      <c r="AM1346" s="22"/>
      <c r="AN1346" s="22"/>
      <c r="AO1346" s="22"/>
      <c r="AP1346" s="22"/>
      <c r="AQ1346" s="22"/>
      <c r="AR1346"/>
      <c r="AS1346"/>
      <c r="AT1346"/>
      <c r="AU1346"/>
      <c r="AV1346"/>
      <c r="AW1346"/>
      <c r="AX1346"/>
      <c r="AY1346"/>
    </row>
    <row r="1347" spans="36:51">
      <c r="AJ1347" s="22"/>
      <c r="AK1347" s="22"/>
      <c r="AL1347" s="22"/>
      <c r="AM1347" s="22"/>
      <c r="AN1347" s="22"/>
      <c r="AO1347" s="22"/>
      <c r="AP1347" s="22"/>
      <c r="AQ1347" s="22"/>
      <c r="AR1347"/>
      <c r="AS1347"/>
      <c r="AT1347"/>
      <c r="AU1347"/>
      <c r="AV1347"/>
      <c r="AW1347"/>
      <c r="AX1347"/>
      <c r="AY1347"/>
    </row>
    <row r="1348" spans="36:51">
      <c r="AJ1348" s="22"/>
      <c r="AK1348" s="22"/>
      <c r="AL1348" s="22"/>
      <c r="AM1348" s="22"/>
      <c r="AN1348" s="22"/>
      <c r="AO1348" s="22"/>
      <c r="AP1348" s="22"/>
      <c r="AQ1348" s="22"/>
      <c r="AR1348"/>
      <c r="AS1348"/>
      <c r="AT1348"/>
      <c r="AU1348"/>
      <c r="AV1348"/>
      <c r="AW1348"/>
      <c r="AX1348"/>
      <c r="AY1348"/>
    </row>
    <row r="1349" spans="36:51">
      <c r="AJ1349" s="22"/>
      <c r="AK1349" s="22"/>
      <c r="AL1349" s="22"/>
      <c r="AM1349" s="22"/>
      <c r="AN1349" s="22"/>
      <c r="AO1349" s="22"/>
      <c r="AP1349" s="22"/>
      <c r="AQ1349" s="22"/>
      <c r="AR1349"/>
      <c r="AS1349"/>
      <c r="AT1349"/>
      <c r="AU1349"/>
      <c r="AV1349"/>
      <c r="AW1349"/>
      <c r="AX1349"/>
      <c r="AY1349"/>
    </row>
    <row r="1350" spans="36:51">
      <c r="AJ1350" s="22"/>
      <c r="AK1350" s="22"/>
      <c r="AL1350" s="22"/>
      <c r="AM1350" s="22"/>
      <c r="AN1350" s="22"/>
      <c r="AO1350" s="22"/>
      <c r="AP1350" s="22"/>
      <c r="AQ1350" s="22"/>
      <c r="AR1350"/>
      <c r="AS1350"/>
      <c r="AT1350"/>
      <c r="AU1350"/>
      <c r="AV1350"/>
      <c r="AW1350"/>
      <c r="AX1350"/>
      <c r="AY1350"/>
    </row>
    <row r="1351" spans="36:51">
      <c r="AJ1351" s="22"/>
      <c r="AK1351" s="22"/>
      <c r="AL1351" s="22"/>
      <c r="AM1351" s="22"/>
      <c r="AN1351" s="22"/>
      <c r="AO1351" s="22"/>
      <c r="AP1351" s="22"/>
      <c r="AQ1351" s="22"/>
      <c r="AR1351"/>
      <c r="AS1351"/>
      <c r="AT1351"/>
      <c r="AU1351"/>
      <c r="AV1351"/>
      <c r="AW1351"/>
      <c r="AX1351"/>
      <c r="AY1351"/>
    </row>
    <row r="1352" spans="36:51">
      <c r="AJ1352" s="22"/>
      <c r="AK1352" s="22"/>
      <c r="AL1352" s="22"/>
      <c r="AM1352" s="22"/>
      <c r="AN1352" s="22"/>
      <c r="AO1352" s="22"/>
      <c r="AP1352" s="22"/>
      <c r="AQ1352" s="22"/>
      <c r="AR1352"/>
      <c r="AS1352"/>
      <c r="AT1352"/>
      <c r="AU1352"/>
      <c r="AV1352"/>
      <c r="AW1352"/>
      <c r="AX1352"/>
      <c r="AY1352"/>
    </row>
    <row r="1353" spans="36:51">
      <c r="AJ1353" s="22"/>
      <c r="AK1353" s="22"/>
      <c r="AL1353" s="22"/>
      <c r="AM1353" s="22"/>
      <c r="AN1353" s="22"/>
      <c r="AO1353" s="22"/>
      <c r="AP1353" s="22"/>
      <c r="AQ1353" s="22"/>
      <c r="AR1353"/>
      <c r="AS1353"/>
      <c r="AT1353"/>
      <c r="AU1353"/>
      <c r="AV1353"/>
      <c r="AW1353"/>
      <c r="AX1353"/>
      <c r="AY1353"/>
    </row>
    <row r="1354" spans="36:51">
      <c r="AJ1354" s="22"/>
      <c r="AK1354" s="22"/>
      <c r="AL1354" s="22"/>
      <c r="AM1354" s="22"/>
      <c r="AN1354" s="22"/>
      <c r="AO1354" s="22"/>
      <c r="AP1354" s="22"/>
      <c r="AQ1354" s="22"/>
      <c r="AR1354"/>
      <c r="AS1354"/>
      <c r="AT1354"/>
      <c r="AU1354"/>
      <c r="AV1354"/>
      <c r="AW1354"/>
      <c r="AX1354"/>
      <c r="AY1354"/>
    </row>
    <row r="1355" spans="36:51">
      <c r="AJ1355" s="22"/>
      <c r="AK1355" s="22"/>
      <c r="AL1355" s="22"/>
      <c r="AM1355" s="22"/>
      <c r="AN1355" s="22"/>
      <c r="AO1355" s="22"/>
      <c r="AP1355" s="22"/>
      <c r="AQ1355" s="22"/>
      <c r="AR1355"/>
      <c r="AS1355"/>
      <c r="AT1355"/>
      <c r="AU1355"/>
      <c r="AV1355"/>
      <c r="AW1355"/>
      <c r="AX1355"/>
      <c r="AY1355"/>
    </row>
    <row r="1356" spans="36:51">
      <c r="AJ1356" s="22"/>
      <c r="AK1356" s="22"/>
      <c r="AL1356" s="22"/>
      <c r="AM1356" s="22"/>
      <c r="AN1356" s="22"/>
      <c r="AO1356" s="22"/>
      <c r="AP1356" s="22"/>
      <c r="AQ1356" s="22"/>
      <c r="AR1356"/>
      <c r="AS1356"/>
      <c r="AT1356"/>
      <c r="AU1356"/>
      <c r="AV1356"/>
      <c r="AW1356"/>
      <c r="AX1356"/>
      <c r="AY1356"/>
    </row>
    <row r="1357" spans="36:51">
      <c r="AJ1357" s="22"/>
      <c r="AK1357" s="22"/>
      <c r="AL1357" s="22"/>
      <c r="AM1357" s="22"/>
      <c r="AN1357" s="22"/>
      <c r="AO1357" s="22"/>
      <c r="AP1357" s="22"/>
      <c r="AQ1357" s="22"/>
      <c r="AR1357"/>
      <c r="AS1357"/>
      <c r="AT1357"/>
      <c r="AU1357"/>
      <c r="AV1357"/>
      <c r="AW1357"/>
      <c r="AX1357"/>
      <c r="AY1357"/>
    </row>
    <row r="1358" spans="36:51">
      <c r="AJ1358" s="22"/>
      <c r="AK1358" s="22"/>
      <c r="AL1358" s="22"/>
      <c r="AM1358" s="22"/>
      <c r="AN1358" s="22"/>
      <c r="AO1358" s="22"/>
      <c r="AP1358" s="22"/>
      <c r="AQ1358" s="22"/>
      <c r="AR1358"/>
      <c r="AS1358"/>
      <c r="AT1358"/>
      <c r="AU1358"/>
      <c r="AV1358"/>
      <c r="AW1358"/>
      <c r="AX1358"/>
      <c r="AY1358"/>
    </row>
    <row r="1359" spans="36:51">
      <c r="AJ1359" s="22"/>
      <c r="AK1359" s="22"/>
      <c r="AL1359" s="22"/>
      <c r="AM1359" s="22"/>
      <c r="AN1359" s="22"/>
      <c r="AO1359" s="22"/>
      <c r="AP1359" s="22"/>
      <c r="AQ1359" s="22"/>
      <c r="AR1359"/>
      <c r="AS1359"/>
      <c r="AT1359"/>
      <c r="AU1359"/>
      <c r="AV1359"/>
      <c r="AW1359"/>
      <c r="AX1359"/>
      <c r="AY1359"/>
    </row>
    <row r="1360" spans="36:51">
      <c r="AJ1360" s="22"/>
      <c r="AK1360" s="22"/>
      <c r="AL1360" s="22"/>
      <c r="AM1360" s="22"/>
      <c r="AN1360" s="22"/>
      <c r="AO1360" s="22"/>
      <c r="AP1360" s="22"/>
      <c r="AQ1360" s="22"/>
      <c r="AR1360"/>
      <c r="AS1360"/>
      <c r="AT1360"/>
      <c r="AU1360"/>
      <c r="AV1360"/>
      <c r="AW1360"/>
      <c r="AX1360"/>
      <c r="AY1360"/>
    </row>
    <row r="1361" spans="36:51">
      <c r="AJ1361" s="22"/>
      <c r="AK1361" s="22"/>
      <c r="AL1361" s="22"/>
      <c r="AM1361" s="22"/>
      <c r="AN1361" s="22"/>
      <c r="AO1361" s="22"/>
      <c r="AP1361" s="22"/>
      <c r="AQ1361" s="22"/>
      <c r="AR1361"/>
      <c r="AS1361"/>
      <c r="AT1361"/>
      <c r="AU1361"/>
      <c r="AV1361"/>
      <c r="AW1361"/>
      <c r="AX1361"/>
      <c r="AY1361"/>
    </row>
    <row r="1362" spans="36:51">
      <c r="AJ1362" s="22"/>
      <c r="AK1362" s="22"/>
      <c r="AL1362" s="22"/>
      <c r="AM1362" s="22"/>
      <c r="AN1362" s="22"/>
      <c r="AO1362" s="22"/>
      <c r="AP1362" s="22"/>
      <c r="AQ1362" s="22"/>
      <c r="AR1362"/>
      <c r="AS1362"/>
      <c r="AT1362"/>
      <c r="AU1362"/>
      <c r="AV1362"/>
      <c r="AW1362"/>
      <c r="AX1362"/>
      <c r="AY1362"/>
    </row>
    <row r="1363" spans="36:51">
      <c r="AJ1363" s="22"/>
      <c r="AK1363" s="22"/>
      <c r="AL1363" s="22"/>
      <c r="AM1363" s="22"/>
      <c r="AN1363" s="22"/>
      <c r="AO1363" s="22"/>
      <c r="AP1363" s="22"/>
      <c r="AQ1363" s="22"/>
      <c r="AR1363"/>
      <c r="AS1363"/>
      <c r="AT1363"/>
      <c r="AU1363"/>
      <c r="AV1363"/>
      <c r="AW1363"/>
      <c r="AX1363"/>
      <c r="AY1363"/>
    </row>
    <row r="1364" spans="36:51">
      <c r="AJ1364" s="22"/>
      <c r="AK1364" s="22"/>
      <c r="AL1364" s="22"/>
      <c r="AM1364" s="22"/>
      <c r="AN1364" s="22"/>
      <c r="AO1364" s="22"/>
      <c r="AP1364" s="22"/>
      <c r="AQ1364" s="22"/>
      <c r="AR1364"/>
      <c r="AS1364"/>
      <c r="AT1364"/>
      <c r="AU1364"/>
      <c r="AV1364"/>
      <c r="AW1364"/>
      <c r="AX1364"/>
      <c r="AY1364"/>
    </row>
    <row r="1365" spans="36:51">
      <c r="AJ1365" s="22"/>
      <c r="AK1365" s="22"/>
      <c r="AL1365" s="22"/>
      <c r="AM1365" s="22"/>
      <c r="AN1365" s="22"/>
      <c r="AO1365" s="22"/>
      <c r="AP1365" s="22"/>
      <c r="AQ1365" s="22"/>
      <c r="AR1365"/>
      <c r="AS1365"/>
      <c r="AT1365"/>
      <c r="AU1365"/>
      <c r="AV1365"/>
      <c r="AW1365"/>
      <c r="AX1365"/>
      <c r="AY1365"/>
    </row>
    <row r="1366" spans="36:51">
      <c r="AJ1366" s="22"/>
      <c r="AK1366" s="22"/>
      <c r="AL1366" s="22"/>
      <c r="AM1366" s="22"/>
      <c r="AN1366" s="22"/>
      <c r="AO1366" s="22"/>
      <c r="AP1366" s="22"/>
      <c r="AQ1366" s="22"/>
      <c r="AR1366"/>
      <c r="AS1366"/>
      <c r="AT1366"/>
      <c r="AU1366"/>
      <c r="AV1366"/>
      <c r="AW1366"/>
      <c r="AX1366"/>
      <c r="AY1366"/>
    </row>
    <row r="1367" spans="36:51">
      <c r="AJ1367" s="22"/>
      <c r="AK1367" s="22"/>
      <c r="AL1367" s="22"/>
      <c r="AM1367" s="22"/>
      <c r="AN1367" s="22"/>
      <c r="AO1367" s="22"/>
      <c r="AP1367" s="22"/>
      <c r="AQ1367" s="22"/>
      <c r="AR1367"/>
      <c r="AS1367"/>
      <c r="AT1367"/>
      <c r="AU1367"/>
      <c r="AV1367"/>
      <c r="AW1367"/>
      <c r="AX1367"/>
      <c r="AY1367"/>
    </row>
    <row r="1368" spans="36:51">
      <c r="AJ1368" s="22"/>
      <c r="AK1368" s="22"/>
      <c r="AL1368" s="22"/>
      <c r="AM1368" s="22"/>
      <c r="AN1368" s="22"/>
      <c r="AO1368" s="22"/>
      <c r="AP1368" s="22"/>
      <c r="AQ1368" s="22"/>
      <c r="AR1368"/>
      <c r="AS1368"/>
      <c r="AT1368"/>
      <c r="AU1368"/>
      <c r="AV1368"/>
      <c r="AW1368"/>
      <c r="AX1368"/>
      <c r="AY1368"/>
    </row>
    <row r="1369" spans="36:51">
      <c r="AJ1369" s="22"/>
      <c r="AK1369" s="22"/>
      <c r="AL1369" s="22"/>
      <c r="AM1369" s="22"/>
      <c r="AN1369" s="22"/>
      <c r="AO1369" s="22"/>
      <c r="AP1369" s="22"/>
      <c r="AQ1369" s="22"/>
      <c r="AR1369"/>
      <c r="AS1369"/>
      <c r="AT1369"/>
      <c r="AU1369"/>
      <c r="AV1369"/>
      <c r="AW1369"/>
      <c r="AX1369"/>
      <c r="AY1369"/>
    </row>
    <row r="1370" spans="36:51">
      <c r="AJ1370" s="22"/>
      <c r="AK1370" s="22"/>
      <c r="AL1370" s="22"/>
      <c r="AM1370" s="22"/>
      <c r="AN1370" s="22"/>
      <c r="AO1370" s="22"/>
      <c r="AP1370" s="22"/>
      <c r="AQ1370" s="22"/>
      <c r="AR1370"/>
      <c r="AS1370"/>
      <c r="AT1370"/>
      <c r="AU1370"/>
      <c r="AV1370"/>
      <c r="AW1370"/>
      <c r="AX1370"/>
      <c r="AY1370"/>
    </row>
    <row r="1371" spans="36:51">
      <c r="AJ1371" s="22"/>
      <c r="AK1371" s="22"/>
      <c r="AL1371" s="22"/>
      <c r="AM1371" s="22"/>
      <c r="AN1371" s="22"/>
      <c r="AO1371" s="22"/>
      <c r="AP1371" s="22"/>
      <c r="AQ1371" s="22"/>
      <c r="AR1371"/>
      <c r="AS1371"/>
      <c r="AT1371"/>
      <c r="AU1371"/>
      <c r="AV1371"/>
      <c r="AW1371"/>
      <c r="AX1371"/>
      <c r="AY1371"/>
    </row>
    <row r="1372" spans="36:51">
      <c r="AJ1372" s="22"/>
      <c r="AK1372" s="22"/>
      <c r="AL1372" s="22"/>
      <c r="AM1372" s="22"/>
      <c r="AN1372" s="22"/>
      <c r="AO1372" s="22"/>
      <c r="AP1372" s="22"/>
      <c r="AQ1372" s="22"/>
      <c r="AR1372"/>
      <c r="AS1372"/>
      <c r="AT1372"/>
      <c r="AU1372"/>
      <c r="AV1372"/>
      <c r="AW1372"/>
      <c r="AX1372"/>
      <c r="AY1372"/>
    </row>
    <row r="1373" spans="36:51">
      <c r="AJ1373" s="22"/>
      <c r="AK1373" s="22"/>
      <c r="AL1373" s="22"/>
      <c r="AM1373" s="22"/>
      <c r="AN1373" s="22"/>
      <c r="AO1373" s="22"/>
      <c r="AP1373" s="22"/>
      <c r="AQ1373" s="22"/>
      <c r="AR1373"/>
      <c r="AS1373"/>
      <c r="AT1373"/>
      <c r="AU1373"/>
      <c r="AV1373"/>
      <c r="AW1373"/>
      <c r="AX1373"/>
      <c r="AY1373"/>
    </row>
    <row r="1374" spans="36:51">
      <c r="AJ1374" s="22"/>
      <c r="AK1374" s="22"/>
      <c r="AL1374" s="22"/>
      <c r="AM1374" s="22"/>
      <c r="AN1374" s="22"/>
      <c r="AO1374" s="22"/>
      <c r="AP1374" s="22"/>
      <c r="AQ1374" s="22"/>
      <c r="AR1374"/>
      <c r="AS1374"/>
      <c r="AT1374"/>
      <c r="AU1374"/>
      <c r="AV1374"/>
      <c r="AW1374"/>
      <c r="AX1374"/>
      <c r="AY1374"/>
    </row>
    <row r="1375" spans="36:51">
      <c r="AJ1375" s="22"/>
      <c r="AK1375" s="22"/>
      <c r="AL1375" s="22"/>
      <c r="AM1375" s="22"/>
      <c r="AN1375" s="22"/>
      <c r="AO1375" s="22"/>
      <c r="AP1375" s="22"/>
      <c r="AQ1375" s="22"/>
      <c r="AR1375"/>
      <c r="AS1375"/>
      <c r="AT1375"/>
      <c r="AU1375"/>
      <c r="AV1375"/>
      <c r="AW1375"/>
      <c r="AX1375"/>
      <c r="AY1375"/>
    </row>
    <row r="1376" spans="36:51">
      <c r="AJ1376" s="22"/>
      <c r="AK1376" s="22"/>
      <c r="AL1376" s="22"/>
      <c r="AM1376" s="22"/>
      <c r="AN1376" s="22"/>
      <c r="AO1376" s="22"/>
      <c r="AP1376" s="22"/>
      <c r="AQ1376" s="22"/>
      <c r="AR1376"/>
      <c r="AS1376"/>
      <c r="AT1376"/>
      <c r="AU1376"/>
      <c r="AV1376"/>
      <c r="AW1376"/>
      <c r="AX1376"/>
      <c r="AY1376"/>
    </row>
    <row r="1377" spans="36:51">
      <c r="AJ1377" s="22"/>
      <c r="AK1377" s="22"/>
      <c r="AL1377" s="22"/>
      <c r="AM1377" s="22"/>
      <c r="AN1377" s="22"/>
      <c r="AO1377" s="22"/>
      <c r="AP1377" s="22"/>
      <c r="AQ1377" s="22"/>
      <c r="AR1377"/>
      <c r="AS1377"/>
      <c r="AT1377"/>
      <c r="AU1377"/>
      <c r="AV1377"/>
      <c r="AW1377"/>
      <c r="AX1377"/>
      <c r="AY1377"/>
    </row>
    <row r="1378" spans="36:51">
      <c r="AJ1378" s="22"/>
      <c r="AK1378" s="22"/>
      <c r="AL1378" s="22"/>
      <c r="AM1378" s="22"/>
      <c r="AN1378" s="22"/>
      <c r="AO1378" s="22"/>
      <c r="AP1378" s="22"/>
      <c r="AQ1378" s="22"/>
      <c r="AR1378"/>
      <c r="AS1378"/>
      <c r="AT1378"/>
      <c r="AU1378"/>
      <c r="AV1378"/>
      <c r="AW1378"/>
      <c r="AX1378"/>
      <c r="AY1378"/>
    </row>
    <row r="1379" spans="36:51">
      <c r="AJ1379" s="22"/>
      <c r="AK1379" s="22"/>
      <c r="AL1379" s="22"/>
      <c r="AM1379" s="22"/>
      <c r="AN1379" s="22"/>
      <c r="AO1379" s="22"/>
      <c r="AP1379" s="22"/>
      <c r="AQ1379" s="22"/>
      <c r="AR1379"/>
      <c r="AS1379"/>
      <c r="AT1379"/>
      <c r="AU1379"/>
      <c r="AV1379"/>
      <c r="AW1379"/>
      <c r="AX1379"/>
      <c r="AY1379"/>
    </row>
    <row r="1380" spans="36:51">
      <c r="AJ1380" s="22"/>
      <c r="AK1380" s="22"/>
      <c r="AL1380" s="22"/>
      <c r="AM1380" s="22"/>
      <c r="AN1380" s="22"/>
      <c r="AO1380" s="22"/>
      <c r="AP1380" s="22"/>
      <c r="AQ1380" s="22"/>
      <c r="AR1380"/>
      <c r="AS1380"/>
      <c r="AT1380"/>
      <c r="AU1380"/>
      <c r="AV1380"/>
      <c r="AW1380"/>
      <c r="AX1380"/>
      <c r="AY1380"/>
    </row>
    <row r="1381" spans="36:51">
      <c r="AJ1381" s="22"/>
      <c r="AK1381" s="22"/>
      <c r="AL1381" s="22"/>
      <c r="AM1381" s="22"/>
      <c r="AN1381" s="22"/>
      <c r="AO1381" s="22"/>
      <c r="AP1381" s="22"/>
      <c r="AQ1381" s="22"/>
      <c r="AR1381"/>
      <c r="AS1381"/>
      <c r="AT1381"/>
      <c r="AU1381"/>
      <c r="AV1381"/>
      <c r="AW1381"/>
      <c r="AX1381"/>
      <c r="AY1381"/>
    </row>
    <row r="1382" spans="36:51">
      <c r="AJ1382" s="22"/>
      <c r="AK1382" s="22"/>
      <c r="AL1382" s="22"/>
      <c r="AM1382" s="22"/>
      <c r="AN1382" s="22"/>
      <c r="AO1382" s="22"/>
      <c r="AP1382" s="22"/>
      <c r="AQ1382" s="22"/>
      <c r="AR1382"/>
      <c r="AS1382"/>
      <c r="AT1382"/>
      <c r="AU1382"/>
      <c r="AV1382"/>
      <c r="AW1382"/>
      <c r="AX1382"/>
      <c r="AY1382"/>
    </row>
    <row r="1383" spans="36:51">
      <c r="AJ1383" s="22"/>
      <c r="AK1383" s="22"/>
      <c r="AL1383" s="22"/>
      <c r="AM1383" s="22"/>
      <c r="AN1383" s="22"/>
      <c r="AO1383" s="22"/>
      <c r="AP1383" s="22"/>
      <c r="AQ1383" s="22"/>
      <c r="AR1383"/>
      <c r="AS1383"/>
      <c r="AT1383"/>
      <c r="AU1383"/>
      <c r="AV1383"/>
      <c r="AW1383"/>
      <c r="AX1383"/>
      <c r="AY1383"/>
    </row>
  </sheetData>
  <conditionalFormatting sqref="C63:H63 C65:H65 H64">
    <cfRule type="cellIs" dxfId="39" priority="22" operator="lessThan">
      <formula>0</formula>
    </cfRule>
  </conditionalFormatting>
  <conditionalFormatting sqref="B26">
    <cfRule type="cellIs" dxfId="38" priority="3" operator="lessThan">
      <formula>0</formula>
    </cfRule>
  </conditionalFormatting>
  <conditionalFormatting sqref="E17:E28">
    <cfRule type="cellIs" dxfId="37" priority="2" operator="lessThan">
      <formula>0</formula>
    </cfRule>
  </conditionalFormatting>
  <conditionalFormatting sqref="C17:C28">
    <cfRule type="cellIs" dxfId="36" priority="1" operator="lessThan">
      <formula>0</formula>
    </cfRule>
  </conditionalFormatting>
  <dataValidations count="1">
    <dataValidation allowBlank="1" showInputMessage="1" showErrorMessage="1" prompt="Pivot table are automatically updated every 2 hours" sqref="C38" xr:uid="{311CAF68-0F74-4C9C-95D3-DBC69F67941B}"/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7BB2-3FC9-40AB-B251-9B17B47FDB71}">
  <sheetPr codeName="Sheet6">
    <tabColor rgb="FFFFC000"/>
  </sheetPr>
  <dimension ref="A1:AK96"/>
  <sheetViews>
    <sheetView topLeftCell="AD1" workbookViewId="0">
      <selection activeCell="AD1" sqref="AD1"/>
    </sheetView>
  </sheetViews>
  <sheetFormatPr defaultRowHeight="14.5"/>
  <cols>
    <col min="1" max="1" width="16.81640625" customWidth="1"/>
    <col min="2" max="2" width="10.81640625" customWidth="1"/>
    <col min="3" max="3" width="10" customWidth="1"/>
    <col min="4" max="4" width="17.453125" customWidth="1"/>
    <col min="5" max="5" width="10.7265625" customWidth="1"/>
    <col min="6" max="6" width="14.81640625" customWidth="1"/>
    <col min="7" max="7" width="46" customWidth="1"/>
    <col min="8" max="8" width="20.54296875" customWidth="1"/>
    <col min="9" max="9" width="38.81640625" bestFit="1" customWidth="1"/>
    <col min="10" max="10" width="14" customWidth="1"/>
    <col min="11" max="11" width="13.54296875" customWidth="1"/>
    <col min="12" max="12" width="14.26953125" customWidth="1"/>
    <col min="13" max="13" width="17.453125" customWidth="1"/>
    <col min="14" max="14" width="21" customWidth="1"/>
    <col min="15" max="15" width="11.26953125" bestFit="1" customWidth="1"/>
    <col min="16" max="16" width="14.26953125" bestFit="1" customWidth="1"/>
    <col min="17" max="17" width="14.1796875" customWidth="1"/>
    <col min="18" max="18" width="11.26953125" customWidth="1"/>
    <col min="19" max="19" width="15.81640625" bestFit="1" customWidth="1"/>
    <col min="20" max="20" width="8.7265625" customWidth="1"/>
    <col min="21" max="21" width="13.81640625" customWidth="1"/>
    <col min="22" max="22" width="10.453125" bestFit="1" customWidth="1"/>
    <col min="23" max="23" width="12.54296875" customWidth="1"/>
    <col min="24" max="24" width="15.81640625" customWidth="1"/>
    <col min="25" max="25" width="14.7265625" customWidth="1"/>
    <col min="26" max="26" width="8.54296875" bestFit="1" customWidth="1"/>
    <col min="27" max="27" width="16.54296875" customWidth="1"/>
    <col min="28" max="28" width="14.7265625" style="100" bestFit="1" customWidth="1"/>
    <col min="29" max="29" width="8.7265625" style="100"/>
    <col min="30" max="30" width="31.81640625" style="100" bestFit="1" customWidth="1"/>
    <col min="31" max="31" width="36.54296875" style="100" bestFit="1" customWidth="1"/>
    <col min="32" max="32" width="11.81640625" style="100" bestFit="1" customWidth="1"/>
    <col min="33" max="33" width="8.7265625" style="100"/>
    <col min="36" max="36" width="12.453125" style="100" bestFit="1" customWidth="1"/>
    <col min="37" max="37" width="36.54296875" style="100" bestFit="1" customWidth="1"/>
  </cols>
  <sheetData>
    <row r="1" spans="1:37" ht="62">
      <c r="A1" s="1154" t="s">
        <v>12896</v>
      </c>
      <c r="B1" s="1154" t="s">
        <v>13033</v>
      </c>
      <c r="C1" s="1154" t="s">
        <v>13034</v>
      </c>
      <c r="D1" s="1155" t="s">
        <v>13035</v>
      </c>
      <c r="E1" s="1154" t="s">
        <v>13036</v>
      </c>
      <c r="F1" s="1154" t="s">
        <v>13037</v>
      </c>
      <c r="G1" s="1154" t="s">
        <v>13038</v>
      </c>
      <c r="H1" s="1154" t="s">
        <v>13039</v>
      </c>
      <c r="I1" s="1154" t="s">
        <v>13040</v>
      </c>
      <c r="J1" s="1154" t="s">
        <v>19</v>
      </c>
      <c r="K1" s="1154" t="s">
        <v>13041</v>
      </c>
      <c r="L1" s="1155" t="s">
        <v>13042</v>
      </c>
      <c r="M1" s="1155" t="s">
        <v>20</v>
      </c>
      <c r="N1" s="1155" t="s">
        <v>13043</v>
      </c>
      <c r="O1" s="1155" t="s">
        <v>13044</v>
      </c>
      <c r="P1" s="1154" t="s">
        <v>13045</v>
      </c>
      <c r="Q1" s="1155" t="s">
        <v>13046</v>
      </c>
      <c r="R1" s="1155" t="s">
        <v>13047</v>
      </c>
      <c r="S1" s="1154" t="s">
        <v>13048</v>
      </c>
      <c r="T1" s="1155" t="s">
        <v>13049</v>
      </c>
      <c r="U1" s="1155" t="s">
        <v>13050</v>
      </c>
      <c r="V1" s="1155" t="s">
        <v>13051</v>
      </c>
      <c r="W1" s="1154" t="s">
        <v>13052</v>
      </c>
      <c r="X1" s="1154" t="s">
        <v>13053</v>
      </c>
      <c r="Y1" s="1154" t="s">
        <v>13054</v>
      </c>
      <c r="Z1" s="1154" t="s">
        <v>13055</v>
      </c>
      <c r="AA1" s="1154" t="s">
        <v>13056</v>
      </c>
      <c r="AD1" s="1161" t="s">
        <v>13038</v>
      </c>
      <c r="AE1" s="100" t="s">
        <v>13108</v>
      </c>
      <c r="AJ1" s="1161" t="s">
        <v>13038</v>
      </c>
      <c r="AK1" s="100" t="s">
        <v>13108</v>
      </c>
    </row>
    <row r="2" spans="1:37" ht="25" customHeight="1">
      <c r="A2" s="1156" t="s">
        <v>13057</v>
      </c>
      <c r="B2" s="1156" t="s">
        <v>13058</v>
      </c>
      <c r="C2" s="1156" t="s">
        <v>13059</v>
      </c>
      <c r="D2" s="1157">
        <v>17676760.780000001</v>
      </c>
      <c r="E2" s="1158">
        <v>44734</v>
      </c>
      <c r="F2" s="1156" t="s">
        <v>13060</v>
      </c>
      <c r="G2" s="1156" t="s">
        <v>13061</v>
      </c>
      <c r="H2" s="1156" t="s">
        <v>13062</v>
      </c>
      <c r="I2" s="1156" t="s">
        <v>12910</v>
      </c>
      <c r="J2" s="1156" t="s">
        <v>13068</v>
      </c>
      <c r="K2" s="1156" t="s">
        <v>13069</v>
      </c>
      <c r="L2" s="1157">
        <v>28700</v>
      </c>
      <c r="M2" s="1159">
        <v>0</v>
      </c>
      <c r="N2" s="1157">
        <v>6753.46</v>
      </c>
      <c r="O2" s="1157">
        <v>0</v>
      </c>
      <c r="P2" s="1156" t="s">
        <v>2</v>
      </c>
      <c r="Q2" s="1157">
        <v>972184</v>
      </c>
      <c r="R2" s="1157">
        <v>0</v>
      </c>
      <c r="S2" s="1156" t="s">
        <v>125</v>
      </c>
      <c r="T2" s="1157">
        <v>-383.22</v>
      </c>
      <c r="U2" s="1160">
        <v>3.8205000000000003E-2</v>
      </c>
      <c r="V2" s="1160">
        <v>143.95345</v>
      </c>
      <c r="W2" s="1156" t="s">
        <v>132</v>
      </c>
      <c r="X2" s="1156" t="s">
        <v>13065</v>
      </c>
      <c r="Y2" s="1156" t="s">
        <v>13066</v>
      </c>
      <c r="Z2" s="1156" t="s">
        <v>1794</v>
      </c>
      <c r="AA2" s="1156" t="s">
        <v>13067</v>
      </c>
      <c r="AD2" s="1210" t="s">
        <v>13212</v>
      </c>
      <c r="AE2" s="1210"/>
      <c r="AJ2" s="1211" t="s">
        <v>13225</v>
      </c>
      <c r="AK2" s="1211"/>
    </row>
    <row r="3" spans="1:37" ht="25" customHeight="1">
      <c r="A3" s="1156" t="s">
        <v>13057</v>
      </c>
      <c r="B3" s="1156" t="s">
        <v>13058</v>
      </c>
      <c r="C3" s="1156" t="s">
        <v>13059</v>
      </c>
      <c r="D3" s="1157">
        <v>17676760.780000001</v>
      </c>
      <c r="E3" s="1158">
        <v>44734</v>
      </c>
      <c r="F3" s="1156" t="s">
        <v>13060</v>
      </c>
      <c r="G3" s="1156" t="s">
        <v>13061</v>
      </c>
      <c r="H3" s="1156" t="s">
        <v>13062</v>
      </c>
      <c r="I3" s="1156" t="s">
        <v>12911</v>
      </c>
      <c r="J3" s="1156" t="s">
        <v>13070</v>
      </c>
      <c r="K3" s="1156" t="s">
        <v>13071</v>
      </c>
      <c r="L3" s="1157">
        <v>22000</v>
      </c>
      <c r="M3" s="1159">
        <v>0</v>
      </c>
      <c r="N3" s="1157">
        <v>3235.55</v>
      </c>
      <c r="O3" s="1157">
        <v>0</v>
      </c>
      <c r="P3" s="1156" t="s">
        <v>2</v>
      </c>
      <c r="Q3" s="1157">
        <v>465768</v>
      </c>
      <c r="R3" s="1157">
        <v>0</v>
      </c>
      <c r="S3" s="1156" t="s">
        <v>125</v>
      </c>
      <c r="T3" s="1157">
        <v>-183.59</v>
      </c>
      <c r="U3" s="1160">
        <v>1.8304000000000001E-2</v>
      </c>
      <c r="V3" s="1160">
        <v>143.95345</v>
      </c>
      <c r="W3" s="1156" t="s">
        <v>132</v>
      </c>
      <c r="X3" s="1156" t="s">
        <v>13065</v>
      </c>
      <c r="Y3" s="1156" t="s">
        <v>13066</v>
      </c>
      <c r="Z3" s="1156" t="s">
        <v>1794</v>
      </c>
      <c r="AA3" s="1156" t="s">
        <v>13067</v>
      </c>
      <c r="AD3" s="1161" t="s">
        <v>12668</v>
      </c>
      <c r="AE3" s="100" t="s">
        <v>13214</v>
      </c>
      <c r="AF3" s="100" t="s">
        <v>13213</v>
      </c>
      <c r="AJ3" s="1161" t="s">
        <v>12668</v>
      </c>
      <c r="AK3" s="100" t="s">
        <v>13215</v>
      </c>
    </row>
    <row r="4" spans="1:37" ht="25" customHeight="1">
      <c r="A4" s="1156" t="s">
        <v>13057</v>
      </c>
      <c r="B4" s="1156" t="s">
        <v>13058</v>
      </c>
      <c r="C4" s="1156" t="s">
        <v>13059</v>
      </c>
      <c r="D4" s="1157">
        <v>17676760.780000001</v>
      </c>
      <c r="E4" s="1158">
        <v>44734</v>
      </c>
      <c r="F4" s="1156" t="s">
        <v>13060</v>
      </c>
      <c r="G4" s="1156" t="s">
        <v>13061</v>
      </c>
      <c r="H4" s="1156" t="s">
        <v>13062</v>
      </c>
      <c r="I4" s="1156" t="s">
        <v>12912</v>
      </c>
      <c r="J4" s="1156" t="s">
        <v>13072</v>
      </c>
      <c r="K4" s="1156" t="s">
        <v>13073</v>
      </c>
      <c r="L4" s="1157">
        <v>17000</v>
      </c>
      <c r="M4" s="1159">
        <v>0</v>
      </c>
      <c r="N4" s="1157">
        <v>1400.11</v>
      </c>
      <c r="O4" s="1157">
        <v>0</v>
      </c>
      <c r="P4" s="1156" t="s">
        <v>2</v>
      </c>
      <c r="Q4" s="1157">
        <v>201550</v>
      </c>
      <c r="R4" s="1157">
        <v>0</v>
      </c>
      <c r="S4" s="1156" t="s">
        <v>125</v>
      </c>
      <c r="T4" s="1157">
        <v>-79.44</v>
      </c>
      <c r="U4" s="1160">
        <v>7.9209999999999992E-3</v>
      </c>
      <c r="V4" s="1160">
        <v>143.95345</v>
      </c>
      <c r="W4" s="1156" t="s">
        <v>132</v>
      </c>
      <c r="X4" s="1156" t="s">
        <v>13065</v>
      </c>
      <c r="Y4" s="1156" t="s">
        <v>13066</v>
      </c>
      <c r="Z4" s="1156" t="s">
        <v>1794</v>
      </c>
      <c r="AA4" s="1156" t="s">
        <v>13067</v>
      </c>
      <c r="AD4" s="1162" t="s">
        <v>13109</v>
      </c>
      <c r="AE4" s="100">
        <v>84000</v>
      </c>
      <c r="AF4" s="100">
        <v>4.88</v>
      </c>
      <c r="AJ4" s="1162" t="s">
        <v>1069</v>
      </c>
      <c r="AK4" s="100">
        <v>1.5261</v>
      </c>
    </row>
    <row r="5" spans="1:37" ht="25" customHeight="1">
      <c r="A5" s="1156" t="s">
        <v>13057</v>
      </c>
      <c r="B5" s="1156" t="s">
        <v>13058</v>
      </c>
      <c r="C5" s="1156" t="s">
        <v>13059</v>
      </c>
      <c r="D5" s="1157">
        <v>17676760.780000001</v>
      </c>
      <c r="E5" s="1158">
        <v>44734</v>
      </c>
      <c r="F5" s="1156" t="s">
        <v>13060</v>
      </c>
      <c r="G5" s="1156" t="s">
        <v>13061</v>
      </c>
      <c r="H5" s="1156" t="s">
        <v>13062</v>
      </c>
      <c r="I5" s="1156" t="s">
        <v>12918</v>
      </c>
      <c r="J5" s="1156" t="s">
        <v>13082</v>
      </c>
      <c r="K5" s="1156" t="s">
        <v>13083</v>
      </c>
      <c r="L5" s="1157">
        <v>33000</v>
      </c>
      <c r="M5" s="1159">
        <v>0</v>
      </c>
      <c r="N5" s="1157">
        <v>28149.22</v>
      </c>
      <c r="O5" s="1157">
        <v>0</v>
      </c>
      <c r="P5" s="1156" t="s">
        <v>2</v>
      </c>
      <c r="Q5" s="1157">
        <v>4052177</v>
      </c>
      <c r="R5" s="1157">
        <v>0</v>
      </c>
      <c r="S5" s="1156" t="s">
        <v>125</v>
      </c>
      <c r="T5" s="1157">
        <v>-1597.28</v>
      </c>
      <c r="U5" s="1160">
        <v>0.159244</v>
      </c>
      <c r="V5" s="1160">
        <v>143.95345</v>
      </c>
      <c r="W5" s="1156" t="s">
        <v>132</v>
      </c>
      <c r="X5" s="1156" t="s">
        <v>13065</v>
      </c>
      <c r="Y5" s="1156" t="s">
        <v>13066</v>
      </c>
      <c r="Z5" s="1156" t="s">
        <v>1794</v>
      </c>
      <c r="AA5" s="1156" t="s">
        <v>13067</v>
      </c>
      <c r="AD5" s="1162" t="s">
        <v>13113</v>
      </c>
      <c r="AE5" s="100">
        <v>600000</v>
      </c>
      <c r="AF5" s="100">
        <v>1.1599999999999999</v>
      </c>
      <c r="AJ5" s="1162" t="s">
        <v>1068</v>
      </c>
      <c r="AK5" s="100">
        <v>1.3711</v>
      </c>
    </row>
    <row r="6" spans="1:37" ht="25" customHeight="1">
      <c r="A6" s="1156" t="s">
        <v>13057</v>
      </c>
      <c r="B6" s="1156" t="s">
        <v>13058</v>
      </c>
      <c r="C6" s="1156" t="s">
        <v>13059</v>
      </c>
      <c r="D6" s="1157">
        <v>17676760.780000001</v>
      </c>
      <c r="E6" s="1158">
        <v>44734</v>
      </c>
      <c r="F6" s="1156" t="s">
        <v>13060</v>
      </c>
      <c r="G6" s="1156" t="s">
        <v>13061</v>
      </c>
      <c r="H6" s="1156" t="s">
        <v>13062</v>
      </c>
      <c r="I6" s="1156" t="s">
        <v>12920</v>
      </c>
      <c r="J6" s="1156" t="s">
        <v>13086</v>
      </c>
      <c r="K6" s="1156" t="s">
        <v>13087</v>
      </c>
      <c r="L6" s="1157">
        <v>22000</v>
      </c>
      <c r="M6" s="1159">
        <v>0</v>
      </c>
      <c r="N6" s="1157">
        <v>4529.76</v>
      </c>
      <c r="O6" s="1157">
        <v>0</v>
      </c>
      <c r="P6" s="1156" t="s">
        <v>2</v>
      </c>
      <c r="Q6" s="1157">
        <v>652075</v>
      </c>
      <c r="R6" s="1157">
        <v>0</v>
      </c>
      <c r="S6" s="1156" t="s">
        <v>125</v>
      </c>
      <c r="T6" s="1157">
        <v>-257.04000000000002</v>
      </c>
      <c r="U6" s="1160">
        <v>2.5625999999999999E-2</v>
      </c>
      <c r="V6" s="1160">
        <v>143.95345</v>
      </c>
      <c r="W6" s="1156" t="s">
        <v>132</v>
      </c>
      <c r="X6" s="1156" t="s">
        <v>13065</v>
      </c>
      <c r="Y6" s="1156" t="s">
        <v>13066</v>
      </c>
      <c r="Z6" s="1156" t="s">
        <v>1794</v>
      </c>
      <c r="AA6" s="1156" t="s">
        <v>13067</v>
      </c>
      <c r="AD6" s="1162" t="s">
        <v>13115</v>
      </c>
      <c r="AE6" s="100">
        <v>24000</v>
      </c>
      <c r="AF6" s="100">
        <v>1.17</v>
      </c>
      <c r="AJ6" s="1162" t="s">
        <v>2</v>
      </c>
      <c r="AK6" s="100">
        <v>1</v>
      </c>
    </row>
    <row r="7" spans="1:37" ht="25" customHeight="1">
      <c r="A7" s="1156" t="s">
        <v>13057</v>
      </c>
      <c r="B7" s="1156" t="s">
        <v>13058</v>
      </c>
      <c r="C7" s="1156" t="s">
        <v>13059</v>
      </c>
      <c r="D7" s="1157">
        <v>17676760.780000001</v>
      </c>
      <c r="E7" s="1158">
        <v>44734</v>
      </c>
      <c r="F7" s="1156" t="s">
        <v>13060</v>
      </c>
      <c r="G7" s="1156" t="s">
        <v>13061</v>
      </c>
      <c r="H7" s="1156" t="s">
        <v>13062</v>
      </c>
      <c r="I7" s="1156" t="s">
        <v>12922</v>
      </c>
      <c r="J7" s="1156" t="s">
        <v>13088</v>
      </c>
      <c r="K7" s="1156" t="s">
        <v>13089</v>
      </c>
      <c r="L7" s="1157">
        <v>11000</v>
      </c>
      <c r="M7" s="1159">
        <v>0</v>
      </c>
      <c r="N7" s="1157">
        <v>2329.59</v>
      </c>
      <c r="O7" s="1157">
        <v>0</v>
      </c>
      <c r="P7" s="1156" t="s">
        <v>2</v>
      </c>
      <c r="Q7" s="1157">
        <v>335353</v>
      </c>
      <c r="R7" s="1157">
        <v>0</v>
      </c>
      <c r="S7" s="1156" t="s">
        <v>125</v>
      </c>
      <c r="T7" s="1157">
        <v>-132.19</v>
      </c>
      <c r="U7" s="1160">
        <v>1.3179E-2</v>
      </c>
      <c r="V7" s="1160">
        <v>143.95345</v>
      </c>
      <c r="W7" s="1156" t="s">
        <v>132</v>
      </c>
      <c r="X7" s="1156" t="s">
        <v>13065</v>
      </c>
      <c r="Y7" s="1156" t="s">
        <v>13066</v>
      </c>
      <c r="Z7" s="1156" t="s">
        <v>1794</v>
      </c>
      <c r="AA7" s="1156" t="s">
        <v>13067</v>
      </c>
      <c r="AD7" s="1162" t="s">
        <v>13118</v>
      </c>
      <c r="AE7" s="100">
        <v>1420000</v>
      </c>
      <c r="AF7" s="100">
        <v>2.58</v>
      </c>
      <c r="AJ7" s="1162" t="s">
        <v>1070</v>
      </c>
      <c r="AK7" s="100">
        <v>0.86085</v>
      </c>
    </row>
    <row r="8" spans="1:37" ht="25" customHeight="1">
      <c r="A8" s="1156" t="s">
        <v>13057</v>
      </c>
      <c r="B8" s="1156" t="s">
        <v>13058</v>
      </c>
      <c r="C8" s="1156" t="s">
        <v>13059</v>
      </c>
      <c r="D8" s="1157">
        <v>17676760.780000001</v>
      </c>
      <c r="E8" s="1158">
        <v>44734</v>
      </c>
      <c r="F8" s="1156" t="s">
        <v>13060</v>
      </c>
      <c r="G8" s="1156" t="s">
        <v>13061</v>
      </c>
      <c r="H8" s="1156" t="s">
        <v>13062</v>
      </c>
      <c r="I8" s="1156" t="s">
        <v>12927</v>
      </c>
      <c r="J8" s="1156" t="s">
        <v>13094</v>
      </c>
      <c r="K8" s="1156" t="s">
        <v>13095</v>
      </c>
      <c r="L8" s="1157">
        <v>22000</v>
      </c>
      <c r="M8" s="1159">
        <v>0</v>
      </c>
      <c r="N8" s="1157">
        <v>4529.76</v>
      </c>
      <c r="O8" s="1157">
        <v>0</v>
      </c>
      <c r="P8" s="1156" t="s">
        <v>2</v>
      </c>
      <c r="Q8" s="1157">
        <v>652075</v>
      </c>
      <c r="R8" s="1157">
        <v>0</v>
      </c>
      <c r="S8" s="1156" t="s">
        <v>125</v>
      </c>
      <c r="T8" s="1157">
        <v>-257.04000000000002</v>
      </c>
      <c r="U8" s="1160">
        <v>2.5625999999999999E-2</v>
      </c>
      <c r="V8" s="1160">
        <v>143.95345</v>
      </c>
      <c r="W8" s="1156" t="s">
        <v>132</v>
      </c>
      <c r="X8" s="1156" t="s">
        <v>13065</v>
      </c>
      <c r="Y8" s="1156" t="s">
        <v>13066</v>
      </c>
      <c r="Z8" s="1156" t="s">
        <v>1794</v>
      </c>
      <c r="AA8" s="1156" t="s">
        <v>13067</v>
      </c>
      <c r="AD8" s="1162" t="s">
        <v>13121</v>
      </c>
      <c r="AE8" s="100">
        <v>5000</v>
      </c>
      <c r="AF8" s="100">
        <v>70.84</v>
      </c>
      <c r="AJ8" s="1162" t="s">
        <v>1065</v>
      </c>
      <c r="AK8" s="100">
        <v>8.3182500000000008</v>
      </c>
    </row>
    <row r="9" spans="1:37" ht="25" customHeight="1">
      <c r="A9" s="1156" t="s">
        <v>13057</v>
      </c>
      <c r="B9" s="1156" t="s">
        <v>13058</v>
      </c>
      <c r="C9" s="1156" t="s">
        <v>13059</v>
      </c>
      <c r="D9" s="1157">
        <v>17676760.780000001</v>
      </c>
      <c r="E9" s="1158">
        <v>44734</v>
      </c>
      <c r="F9" s="1156" t="s">
        <v>13060</v>
      </c>
      <c r="G9" s="1156" t="s">
        <v>13061</v>
      </c>
      <c r="H9" s="1156" t="s">
        <v>13062</v>
      </c>
      <c r="I9" s="1156" t="s">
        <v>12929</v>
      </c>
      <c r="J9" s="1156" t="s">
        <v>13098</v>
      </c>
      <c r="K9" s="1156" t="s">
        <v>13099</v>
      </c>
      <c r="L9" s="1157">
        <v>17000</v>
      </c>
      <c r="M9" s="1159">
        <v>0</v>
      </c>
      <c r="N9" s="1157">
        <v>1500.12</v>
      </c>
      <c r="O9" s="1157">
        <v>0</v>
      </c>
      <c r="P9" s="1156" t="s">
        <v>2</v>
      </c>
      <c r="Q9" s="1157">
        <v>215947</v>
      </c>
      <c r="R9" s="1157">
        <v>0</v>
      </c>
      <c r="S9" s="1156" t="s">
        <v>125</v>
      </c>
      <c r="T9" s="1157">
        <v>-85.12</v>
      </c>
      <c r="U9" s="1160">
        <v>8.4860000000000005E-3</v>
      </c>
      <c r="V9" s="1160">
        <v>143.95345</v>
      </c>
      <c r="W9" s="1156" t="s">
        <v>132</v>
      </c>
      <c r="X9" s="1156" t="s">
        <v>13065</v>
      </c>
      <c r="Y9" s="1156" t="s">
        <v>13066</v>
      </c>
      <c r="Z9" s="1156" t="s">
        <v>1794</v>
      </c>
      <c r="AA9" s="1156" t="s">
        <v>13067</v>
      </c>
      <c r="AD9" s="1162" t="s">
        <v>13124</v>
      </c>
      <c r="AE9" s="100">
        <v>2270</v>
      </c>
      <c r="AF9" s="100">
        <v>144.4</v>
      </c>
      <c r="AJ9" s="1162" t="s">
        <v>125</v>
      </c>
      <c r="AK9" s="100">
        <v>143.95345</v>
      </c>
    </row>
    <row r="10" spans="1:37" ht="25" customHeight="1">
      <c r="A10" s="1156" t="s">
        <v>13057</v>
      </c>
      <c r="B10" s="1156" t="s">
        <v>13058</v>
      </c>
      <c r="C10" s="1156" t="s">
        <v>13059</v>
      </c>
      <c r="D10" s="1157">
        <v>17676760.780000001</v>
      </c>
      <c r="E10" s="1158">
        <v>44734</v>
      </c>
      <c r="F10" s="1156" t="s">
        <v>13060</v>
      </c>
      <c r="G10" s="1156" t="s">
        <v>13061</v>
      </c>
      <c r="H10" s="1156" t="s">
        <v>13062</v>
      </c>
      <c r="I10" s="1156" t="s">
        <v>12936</v>
      </c>
      <c r="J10" s="1156" t="s">
        <v>13173</v>
      </c>
      <c r="K10" s="1156" t="s">
        <v>13174</v>
      </c>
      <c r="L10" s="1157">
        <v>14000</v>
      </c>
      <c r="M10" s="1159">
        <v>0</v>
      </c>
      <c r="N10" s="1157">
        <v>92.48</v>
      </c>
      <c r="O10" s="1157">
        <v>0</v>
      </c>
      <c r="P10" s="1156" t="s">
        <v>2</v>
      </c>
      <c r="Q10" s="1157">
        <v>98</v>
      </c>
      <c r="R10" s="1157">
        <v>0</v>
      </c>
      <c r="S10" s="1156" t="s">
        <v>3</v>
      </c>
      <c r="T10" s="1157">
        <v>0.98</v>
      </c>
      <c r="U10" s="1160">
        <v>5.2300000000000003E-4</v>
      </c>
      <c r="V10" s="1160">
        <v>1.05965</v>
      </c>
      <c r="W10" s="1156" t="s">
        <v>132</v>
      </c>
      <c r="X10" s="1156" t="s">
        <v>13065</v>
      </c>
      <c r="Y10" s="1156" t="s">
        <v>13175</v>
      </c>
      <c r="Z10" s="1156" t="s">
        <v>1794</v>
      </c>
      <c r="AA10" s="1156" t="s">
        <v>13067</v>
      </c>
      <c r="AD10" s="1162" t="s">
        <v>13126</v>
      </c>
      <c r="AE10" s="100">
        <v>17400</v>
      </c>
      <c r="AF10" s="100">
        <v>42.06</v>
      </c>
      <c r="AJ10" s="1162" t="s">
        <v>123</v>
      </c>
      <c r="AK10" s="100">
        <v>1374.8959</v>
      </c>
    </row>
    <row r="11" spans="1:37" ht="25" customHeight="1">
      <c r="A11" s="1156" t="s">
        <v>13057</v>
      </c>
      <c r="B11" s="1156" t="s">
        <v>13058</v>
      </c>
      <c r="C11" s="1156" t="s">
        <v>13059</v>
      </c>
      <c r="D11" s="1157">
        <v>17676760.780000001</v>
      </c>
      <c r="E11" s="1158">
        <v>44734</v>
      </c>
      <c r="F11" s="1156" t="s">
        <v>13060</v>
      </c>
      <c r="G11" s="1156" t="s">
        <v>13105</v>
      </c>
      <c r="H11" s="1156" t="s">
        <v>13062</v>
      </c>
      <c r="I11" s="1156" t="s">
        <v>13241</v>
      </c>
      <c r="J11" s="1156" t="s">
        <v>13240</v>
      </c>
      <c r="K11" s="1156" t="s">
        <v>132</v>
      </c>
      <c r="L11" s="1157">
        <v>747077.06</v>
      </c>
      <c r="M11" s="1159">
        <v>1</v>
      </c>
      <c r="N11" s="1157">
        <v>705022.47</v>
      </c>
      <c r="O11" s="1157">
        <v>0</v>
      </c>
      <c r="P11" s="1156" t="s">
        <v>2</v>
      </c>
      <c r="Q11" s="1157">
        <v>747077.06</v>
      </c>
      <c r="R11" s="1157">
        <v>0</v>
      </c>
      <c r="S11" s="1156" t="s">
        <v>3</v>
      </c>
      <c r="T11" s="1157">
        <v>-12596.34</v>
      </c>
      <c r="U11" s="1160">
        <v>3.9884140000000001</v>
      </c>
      <c r="V11" s="1160">
        <v>1.05965</v>
      </c>
      <c r="W11" s="1158">
        <v>44820</v>
      </c>
      <c r="X11" s="1156" t="s">
        <v>13106</v>
      </c>
      <c r="Y11" s="1156" t="s">
        <v>132</v>
      </c>
      <c r="Z11" s="1156" t="s">
        <v>1794</v>
      </c>
      <c r="AA11" s="1156" t="s">
        <v>13107</v>
      </c>
      <c r="AD11" s="1162" t="s">
        <v>13128</v>
      </c>
      <c r="AE11" s="100">
        <v>4200</v>
      </c>
      <c r="AF11" s="100">
        <v>30.06</v>
      </c>
      <c r="AJ11" s="1162" t="s">
        <v>1067</v>
      </c>
      <c r="AK11" s="100">
        <v>10.656000000000001</v>
      </c>
    </row>
    <row r="12" spans="1:37" ht="25" customHeight="1">
      <c r="A12" s="1156" t="s">
        <v>13057</v>
      </c>
      <c r="B12" s="1156" t="s">
        <v>13058</v>
      </c>
      <c r="C12" s="1156" t="s">
        <v>13059</v>
      </c>
      <c r="D12" s="1157">
        <v>17676760.780000001</v>
      </c>
      <c r="E12" s="1158">
        <v>44734</v>
      </c>
      <c r="F12" s="1156" t="s">
        <v>13060</v>
      </c>
      <c r="G12" s="1156" t="s">
        <v>13105</v>
      </c>
      <c r="H12" s="1156" t="s">
        <v>13062</v>
      </c>
      <c r="I12" s="1156" t="s">
        <v>13239</v>
      </c>
      <c r="J12" s="1156" t="s">
        <v>13240</v>
      </c>
      <c r="K12" s="1156" t="s">
        <v>132</v>
      </c>
      <c r="L12" s="1157">
        <v>-100000000</v>
      </c>
      <c r="M12" s="1159">
        <v>7.4000000000000003E-3</v>
      </c>
      <c r="N12" s="1157">
        <v>-698631.23</v>
      </c>
      <c r="O12" s="1157">
        <v>0</v>
      </c>
      <c r="P12" s="1156" t="s">
        <v>2</v>
      </c>
      <c r="Q12" s="1157">
        <v>-100000000</v>
      </c>
      <c r="R12" s="1157">
        <v>0</v>
      </c>
      <c r="S12" s="1156" t="s">
        <v>125</v>
      </c>
      <c r="T12" s="1157">
        <v>18987.580000000002</v>
      </c>
      <c r="U12" s="1160">
        <v>-3.952258</v>
      </c>
      <c r="V12" s="1160">
        <v>1.05965</v>
      </c>
      <c r="W12" s="1158">
        <v>44820</v>
      </c>
      <c r="X12" s="1156" t="s">
        <v>13106</v>
      </c>
      <c r="Y12" s="1156" t="s">
        <v>132</v>
      </c>
      <c r="Z12" s="1156" t="s">
        <v>1794</v>
      </c>
      <c r="AA12" s="1156" t="s">
        <v>13107</v>
      </c>
      <c r="AD12" s="1162" t="s">
        <v>13131</v>
      </c>
      <c r="AE12" s="100">
        <v>1100</v>
      </c>
      <c r="AF12" s="100">
        <v>103.4</v>
      </c>
      <c r="AJ12" s="1162" t="s">
        <v>3</v>
      </c>
      <c r="AK12" s="100">
        <v>1.05965</v>
      </c>
    </row>
    <row r="13" spans="1:37" ht="25" customHeight="1">
      <c r="A13" s="1156" t="s">
        <v>13057</v>
      </c>
      <c r="B13" s="1156" t="s">
        <v>13058</v>
      </c>
      <c r="C13" s="1156" t="s">
        <v>13059</v>
      </c>
      <c r="D13" s="1157">
        <v>17676760.780000001</v>
      </c>
      <c r="E13" s="1158">
        <v>44734</v>
      </c>
      <c r="F13" s="1156" t="s">
        <v>13060</v>
      </c>
      <c r="G13" s="1156" t="s">
        <v>13105</v>
      </c>
      <c r="H13" s="1156" t="s">
        <v>13062</v>
      </c>
      <c r="I13" s="1156" t="s">
        <v>13242</v>
      </c>
      <c r="J13" s="1156" t="s">
        <v>13243</v>
      </c>
      <c r="K13" s="1156" t="s">
        <v>132</v>
      </c>
      <c r="L13" s="1157">
        <v>5232228.83</v>
      </c>
      <c r="M13" s="1159">
        <v>1</v>
      </c>
      <c r="N13" s="1157">
        <v>5232228.83</v>
      </c>
      <c r="O13" s="1157">
        <v>0</v>
      </c>
      <c r="P13" s="1156" t="s">
        <v>2</v>
      </c>
      <c r="Q13" s="1157">
        <v>5232228.83</v>
      </c>
      <c r="R13" s="1157">
        <v>0</v>
      </c>
      <c r="S13" s="1156" t="s">
        <v>2</v>
      </c>
      <c r="T13" s="1157">
        <v>-0.02</v>
      </c>
      <c r="U13" s="1160">
        <v>29.599477</v>
      </c>
      <c r="V13" s="1160">
        <v>1</v>
      </c>
      <c r="W13" s="1158">
        <v>44820</v>
      </c>
      <c r="X13" s="1156" t="s">
        <v>13106</v>
      </c>
      <c r="Y13" s="1156" t="s">
        <v>132</v>
      </c>
      <c r="Z13" s="1156" t="s">
        <v>1794</v>
      </c>
      <c r="AA13" s="1156" t="s">
        <v>13107</v>
      </c>
      <c r="AD13" s="1162" t="s">
        <v>13133</v>
      </c>
      <c r="AE13" s="100">
        <v>17000</v>
      </c>
      <c r="AF13" s="100">
        <v>26.135000000000002</v>
      </c>
    </row>
    <row r="14" spans="1:37" ht="25" customHeight="1">
      <c r="A14" s="1156" t="s">
        <v>13057</v>
      </c>
      <c r="B14" s="1156" t="s">
        <v>13058</v>
      </c>
      <c r="C14" s="1156" t="s">
        <v>13059</v>
      </c>
      <c r="D14" s="1157">
        <v>17676760.780000001</v>
      </c>
      <c r="E14" s="1158">
        <v>44734</v>
      </c>
      <c r="F14" s="1156" t="s">
        <v>13060</v>
      </c>
      <c r="G14" s="1156" t="s">
        <v>13105</v>
      </c>
      <c r="H14" s="1156" t="s">
        <v>13062</v>
      </c>
      <c r="I14" s="1156" t="s">
        <v>13244</v>
      </c>
      <c r="J14" s="1156" t="s">
        <v>13243</v>
      </c>
      <c r="K14" s="1156" t="s">
        <v>132</v>
      </c>
      <c r="L14" s="1157">
        <v>-739000000</v>
      </c>
      <c r="M14" s="1159">
        <v>6.8999999999999999E-3</v>
      </c>
      <c r="N14" s="1157">
        <v>-5132533.03</v>
      </c>
      <c r="O14" s="1157">
        <v>0</v>
      </c>
      <c r="P14" s="1156" t="s">
        <v>2</v>
      </c>
      <c r="Q14" s="1157">
        <v>-739000000</v>
      </c>
      <c r="R14" s="1157">
        <v>0</v>
      </c>
      <c r="S14" s="1156" t="s">
        <v>125</v>
      </c>
      <c r="T14" s="1157">
        <v>99695.82</v>
      </c>
      <c r="U14" s="1160">
        <v>-29.035484</v>
      </c>
      <c r="V14" s="1160">
        <v>1</v>
      </c>
      <c r="W14" s="1158">
        <v>44820</v>
      </c>
      <c r="X14" s="1156" t="s">
        <v>13106</v>
      </c>
      <c r="Y14" s="1156" t="s">
        <v>132</v>
      </c>
      <c r="Z14" s="1156" t="s">
        <v>1794</v>
      </c>
      <c r="AA14" s="1156" t="s">
        <v>13107</v>
      </c>
      <c r="AD14" s="1162" t="s">
        <v>13135</v>
      </c>
      <c r="AE14" s="100">
        <v>42000</v>
      </c>
      <c r="AF14" s="100">
        <v>20.03</v>
      </c>
    </row>
    <row r="15" spans="1:37" ht="25" customHeight="1">
      <c r="A15" s="1156" t="s">
        <v>13057</v>
      </c>
      <c r="B15" s="1156" t="s">
        <v>13058</v>
      </c>
      <c r="C15" s="1156" t="s">
        <v>13059</v>
      </c>
      <c r="D15" s="1157">
        <v>17676760.780000001</v>
      </c>
      <c r="E15" s="1158">
        <v>44734</v>
      </c>
      <c r="F15" s="1156" t="s">
        <v>13060</v>
      </c>
      <c r="G15" s="1156" t="s">
        <v>13108</v>
      </c>
      <c r="H15" s="1156" t="s">
        <v>13062</v>
      </c>
      <c r="I15" s="1156" t="s">
        <v>12897</v>
      </c>
      <c r="J15" s="1156" t="s">
        <v>13109</v>
      </c>
      <c r="K15" s="1156" t="s">
        <v>13110</v>
      </c>
      <c r="L15" s="1157">
        <v>84000</v>
      </c>
      <c r="M15" s="1159">
        <v>4.88</v>
      </c>
      <c r="N15" s="1157">
        <v>268606.25</v>
      </c>
      <c r="O15" s="1157">
        <v>0</v>
      </c>
      <c r="P15" s="1156" t="s">
        <v>2</v>
      </c>
      <c r="Q15" s="1157">
        <v>409920</v>
      </c>
      <c r="R15" s="1157">
        <v>0</v>
      </c>
      <c r="S15" s="1156" t="s">
        <v>1069</v>
      </c>
      <c r="T15" s="1157">
        <v>-11276</v>
      </c>
      <c r="U15" s="1160">
        <v>1.5195449999999999</v>
      </c>
      <c r="V15" s="1160">
        <v>1.5261</v>
      </c>
      <c r="W15" s="1158"/>
      <c r="X15" s="1156" t="s">
        <v>13111</v>
      </c>
      <c r="Y15" s="1156" t="s">
        <v>13112</v>
      </c>
      <c r="Z15" s="1156" t="s">
        <v>1794</v>
      </c>
      <c r="AA15" s="1156" t="s">
        <v>13067</v>
      </c>
      <c r="AD15" s="1162" t="s">
        <v>13137</v>
      </c>
      <c r="AE15" s="100">
        <v>420000</v>
      </c>
      <c r="AF15" s="100">
        <v>6.8000000000000005E-2</v>
      </c>
    </row>
    <row r="16" spans="1:37" ht="25" customHeight="1">
      <c r="A16" s="1156" t="s">
        <v>13057</v>
      </c>
      <c r="B16" s="1156" t="s">
        <v>13058</v>
      </c>
      <c r="C16" s="1156" t="s">
        <v>13059</v>
      </c>
      <c r="D16" s="1157">
        <v>17676760.780000001</v>
      </c>
      <c r="E16" s="1158">
        <v>44734</v>
      </c>
      <c r="F16" s="1156" t="s">
        <v>13060</v>
      </c>
      <c r="G16" s="1156" t="s">
        <v>13108</v>
      </c>
      <c r="H16" s="1156" t="s">
        <v>13062</v>
      </c>
      <c r="I16" s="1156" t="s">
        <v>12898</v>
      </c>
      <c r="J16" s="1156" t="s">
        <v>13113</v>
      </c>
      <c r="K16" s="1156" t="s">
        <v>13114</v>
      </c>
      <c r="L16" s="1157">
        <v>600000</v>
      </c>
      <c r="M16" s="1159">
        <v>1.1599999999999999</v>
      </c>
      <c r="N16" s="1157">
        <v>456064.48</v>
      </c>
      <c r="O16" s="1157">
        <v>0</v>
      </c>
      <c r="P16" s="1156" t="s">
        <v>2</v>
      </c>
      <c r="Q16" s="1157">
        <v>696000</v>
      </c>
      <c r="R16" s="1157">
        <v>0</v>
      </c>
      <c r="S16" s="1156" t="s">
        <v>1069</v>
      </c>
      <c r="T16" s="1157">
        <v>266594.65000000002</v>
      </c>
      <c r="U16" s="1160">
        <v>2.5800230000000002</v>
      </c>
      <c r="V16" s="1160">
        <v>1.5261</v>
      </c>
      <c r="W16" s="1158"/>
      <c r="X16" s="1156" t="s">
        <v>13111</v>
      </c>
      <c r="Y16" s="1156" t="s">
        <v>13112</v>
      </c>
      <c r="Z16" s="1156" t="s">
        <v>1794</v>
      </c>
      <c r="AA16" s="1156" t="s">
        <v>13067</v>
      </c>
      <c r="AD16" s="1162" t="s">
        <v>13140</v>
      </c>
      <c r="AE16" s="100">
        <v>22000</v>
      </c>
      <c r="AF16" s="100">
        <v>4.4935</v>
      </c>
    </row>
    <row r="17" spans="1:32" ht="25" customHeight="1">
      <c r="A17" s="1156" t="s">
        <v>13057</v>
      </c>
      <c r="B17" s="1156" t="s">
        <v>13058</v>
      </c>
      <c r="C17" s="1156" t="s">
        <v>13059</v>
      </c>
      <c r="D17" s="1157">
        <v>17676760.780000001</v>
      </c>
      <c r="E17" s="1158">
        <v>44734</v>
      </c>
      <c r="F17" s="1156" t="s">
        <v>13060</v>
      </c>
      <c r="G17" s="1156" t="s">
        <v>13108</v>
      </c>
      <c r="H17" s="1156" t="s">
        <v>13062</v>
      </c>
      <c r="I17" s="1156" t="s">
        <v>12899</v>
      </c>
      <c r="J17" s="1156" t="s">
        <v>13115</v>
      </c>
      <c r="K17" s="1156" t="s">
        <v>13116</v>
      </c>
      <c r="L17" s="1157">
        <v>24000</v>
      </c>
      <c r="M17" s="1159">
        <v>1.17</v>
      </c>
      <c r="N17" s="1157">
        <v>20479.91</v>
      </c>
      <c r="O17" s="1157">
        <v>0</v>
      </c>
      <c r="P17" s="1156" t="s">
        <v>2</v>
      </c>
      <c r="Q17" s="1157">
        <v>28080</v>
      </c>
      <c r="R17" s="1157">
        <v>0</v>
      </c>
      <c r="S17" s="1156" t="s">
        <v>1068</v>
      </c>
      <c r="T17" s="1157">
        <v>-36031.17</v>
      </c>
      <c r="U17" s="1160">
        <v>0.115858</v>
      </c>
      <c r="V17" s="1160">
        <v>1.3711</v>
      </c>
      <c r="W17" s="1158"/>
      <c r="X17" s="1156" t="s">
        <v>13111</v>
      </c>
      <c r="Y17" s="1156" t="s">
        <v>13117</v>
      </c>
      <c r="Z17" s="1156" t="s">
        <v>1794</v>
      </c>
      <c r="AA17" s="1156" t="s">
        <v>13067</v>
      </c>
      <c r="AD17" s="1162" t="s">
        <v>13063</v>
      </c>
      <c r="AE17" s="100">
        <v>11000</v>
      </c>
      <c r="AF17" s="100">
        <v>1041.5</v>
      </c>
    </row>
    <row r="18" spans="1:32" ht="25" customHeight="1">
      <c r="A18" s="1156" t="s">
        <v>13057</v>
      </c>
      <c r="B18" s="1156" t="s">
        <v>13058</v>
      </c>
      <c r="C18" s="1156" t="s">
        <v>13059</v>
      </c>
      <c r="D18" s="1157">
        <v>17676760.780000001</v>
      </c>
      <c r="E18" s="1158">
        <v>44734</v>
      </c>
      <c r="F18" s="1156" t="s">
        <v>13060</v>
      </c>
      <c r="G18" s="1156" t="s">
        <v>13108</v>
      </c>
      <c r="H18" s="1156" t="s">
        <v>13062</v>
      </c>
      <c r="I18" s="1156" t="s">
        <v>12908</v>
      </c>
      <c r="J18" s="1156" t="s">
        <v>13118</v>
      </c>
      <c r="K18" s="1156" t="s">
        <v>13119</v>
      </c>
      <c r="L18" s="1157">
        <v>1420000</v>
      </c>
      <c r="M18" s="1159">
        <v>2.58</v>
      </c>
      <c r="N18" s="1157">
        <v>440429.18</v>
      </c>
      <c r="O18" s="1157">
        <v>0</v>
      </c>
      <c r="P18" s="1156" t="s">
        <v>2</v>
      </c>
      <c r="Q18" s="1157">
        <v>3663600</v>
      </c>
      <c r="R18" s="1157">
        <v>0</v>
      </c>
      <c r="S18" s="1156" t="s">
        <v>1065</v>
      </c>
      <c r="T18" s="1157">
        <v>-18477.97</v>
      </c>
      <c r="U18" s="1160">
        <v>2.4915720000000001</v>
      </c>
      <c r="V18" s="1160">
        <v>8.3182500000000008</v>
      </c>
      <c r="W18" s="1158"/>
      <c r="X18" s="1156" t="s">
        <v>13111</v>
      </c>
      <c r="Y18" s="1156" t="s">
        <v>13120</v>
      </c>
      <c r="Z18" s="1156" t="s">
        <v>1794</v>
      </c>
      <c r="AA18" s="1156" t="s">
        <v>13067</v>
      </c>
      <c r="AD18" s="1162" t="s">
        <v>13068</v>
      </c>
      <c r="AE18" s="100">
        <v>4200</v>
      </c>
      <c r="AF18" s="100">
        <v>3810</v>
      </c>
    </row>
    <row r="19" spans="1:32" ht="25" customHeight="1">
      <c r="A19" s="1156" t="s">
        <v>13057</v>
      </c>
      <c r="B19" s="1156" t="s">
        <v>13058</v>
      </c>
      <c r="C19" s="1156" t="s">
        <v>13059</v>
      </c>
      <c r="D19" s="1157">
        <v>17676760.780000001</v>
      </c>
      <c r="E19" s="1158">
        <v>44734</v>
      </c>
      <c r="F19" s="1156" t="s">
        <v>13060</v>
      </c>
      <c r="G19" s="1156" t="s">
        <v>13108</v>
      </c>
      <c r="H19" s="1156" t="s">
        <v>13062</v>
      </c>
      <c r="I19" s="1156" t="s">
        <v>12900</v>
      </c>
      <c r="J19" s="1156" t="s">
        <v>13121</v>
      </c>
      <c r="K19" s="1156" t="s">
        <v>13122</v>
      </c>
      <c r="L19" s="1157">
        <v>5000</v>
      </c>
      <c r="M19" s="1159">
        <v>70.84</v>
      </c>
      <c r="N19" s="1157">
        <v>354200</v>
      </c>
      <c r="O19" s="1157">
        <v>0</v>
      </c>
      <c r="P19" s="1156" t="s">
        <v>2</v>
      </c>
      <c r="Q19" s="1157">
        <v>354200</v>
      </c>
      <c r="R19" s="1157">
        <v>0</v>
      </c>
      <c r="S19" s="1156" t="s">
        <v>2</v>
      </c>
      <c r="T19" s="1157">
        <v>-89031.44</v>
      </c>
      <c r="U19" s="1160">
        <v>2.0037609999999999</v>
      </c>
      <c r="V19" s="1160">
        <v>1</v>
      </c>
      <c r="W19" s="1158"/>
      <c r="X19" s="1156" t="s">
        <v>13111</v>
      </c>
      <c r="Y19" s="1156" t="s">
        <v>13123</v>
      </c>
      <c r="Z19" s="1156" t="s">
        <v>1794</v>
      </c>
      <c r="AA19" s="1156" t="s">
        <v>13067</v>
      </c>
      <c r="AD19" s="1162" t="s">
        <v>13070</v>
      </c>
      <c r="AE19" s="100">
        <v>22000</v>
      </c>
      <c r="AF19" s="100">
        <v>1256</v>
      </c>
    </row>
    <row r="20" spans="1:32" ht="25" customHeight="1">
      <c r="A20" s="1156" t="s">
        <v>13057</v>
      </c>
      <c r="B20" s="1156" t="s">
        <v>13058</v>
      </c>
      <c r="C20" s="1156" t="s">
        <v>13059</v>
      </c>
      <c r="D20" s="1157">
        <v>17676760.780000001</v>
      </c>
      <c r="E20" s="1158">
        <v>44734</v>
      </c>
      <c r="F20" s="1156" t="s">
        <v>13060</v>
      </c>
      <c r="G20" s="1156" t="s">
        <v>13108</v>
      </c>
      <c r="H20" s="1156" t="s">
        <v>13062</v>
      </c>
      <c r="I20" s="1156" t="s">
        <v>12937</v>
      </c>
      <c r="J20" s="1156" t="s">
        <v>13124</v>
      </c>
      <c r="K20" s="1156" t="s">
        <v>13125</v>
      </c>
      <c r="L20" s="1157">
        <v>2270</v>
      </c>
      <c r="M20" s="1159">
        <v>144.4</v>
      </c>
      <c r="N20" s="1157">
        <v>327788</v>
      </c>
      <c r="O20" s="1157">
        <v>0</v>
      </c>
      <c r="P20" s="1156" t="s">
        <v>2</v>
      </c>
      <c r="Q20" s="1157">
        <v>327788</v>
      </c>
      <c r="R20" s="1157">
        <v>0</v>
      </c>
      <c r="S20" s="1156" t="s">
        <v>2</v>
      </c>
      <c r="T20" s="1157">
        <v>-69310.53</v>
      </c>
      <c r="U20" s="1160">
        <v>1.854344</v>
      </c>
      <c r="V20" s="1160">
        <v>1</v>
      </c>
      <c r="W20" s="1158"/>
      <c r="X20" s="1156" t="s">
        <v>13111</v>
      </c>
      <c r="Y20" s="1156" t="s">
        <v>13123</v>
      </c>
      <c r="Z20" s="1156" t="s">
        <v>1794</v>
      </c>
      <c r="AA20" s="1156" t="s">
        <v>13067</v>
      </c>
      <c r="AD20" s="1162" t="s">
        <v>13072</v>
      </c>
      <c r="AE20" s="100">
        <v>17000</v>
      </c>
      <c r="AF20" s="100">
        <v>878</v>
      </c>
    </row>
    <row r="21" spans="1:32" ht="25" customHeight="1">
      <c r="A21" s="1156" t="s">
        <v>13057</v>
      </c>
      <c r="B21" s="1156" t="s">
        <v>13058</v>
      </c>
      <c r="C21" s="1156" t="s">
        <v>13059</v>
      </c>
      <c r="D21" s="1157">
        <v>17676760.780000001</v>
      </c>
      <c r="E21" s="1158">
        <v>44734</v>
      </c>
      <c r="F21" s="1156" t="s">
        <v>13060</v>
      </c>
      <c r="G21" s="1156" t="s">
        <v>13108</v>
      </c>
      <c r="H21" s="1156" t="s">
        <v>13062</v>
      </c>
      <c r="I21" s="1156" t="s">
        <v>12901</v>
      </c>
      <c r="J21" s="1156" t="s">
        <v>13126</v>
      </c>
      <c r="K21" s="1156" t="s">
        <v>13127</v>
      </c>
      <c r="L21" s="1157">
        <v>17400</v>
      </c>
      <c r="M21" s="1159">
        <v>42.06</v>
      </c>
      <c r="N21" s="1157">
        <v>731844</v>
      </c>
      <c r="O21" s="1157">
        <v>0</v>
      </c>
      <c r="P21" s="1156" t="s">
        <v>2</v>
      </c>
      <c r="Q21" s="1157">
        <v>731844</v>
      </c>
      <c r="R21" s="1157">
        <v>0</v>
      </c>
      <c r="S21" s="1156" t="s">
        <v>2</v>
      </c>
      <c r="T21" s="1157">
        <v>-80775.42</v>
      </c>
      <c r="U21" s="1160">
        <v>4.1401479999999999</v>
      </c>
      <c r="V21" s="1160">
        <v>1</v>
      </c>
      <c r="W21" s="1158"/>
      <c r="X21" s="1156" t="s">
        <v>13111</v>
      </c>
      <c r="Y21" s="1156" t="s">
        <v>13123</v>
      </c>
      <c r="Z21" s="1156" t="s">
        <v>1794</v>
      </c>
      <c r="AA21" s="1156" t="s">
        <v>13067</v>
      </c>
      <c r="AD21" s="1162" t="s">
        <v>13074</v>
      </c>
      <c r="AE21" s="100">
        <v>1670</v>
      </c>
      <c r="AF21" s="100">
        <v>9740</v>
      </c>
    </row>
    <row r="22" spans="1:32" ht="25" customHeight="1">
      <c r="A22" s="1156" t="s">
        <v>13057</v>
      </c>
      <c r="B22" s="1156" t="s">
        <v>13058</v>
      </c>
      <c r="C22" s="1156" t="s">
        <v>13059</v>
      </c>
      <c r="D22" s="1157">
        <v>17676760.780000001</v>
      </c>
      <c r="E22" s="1158">
        <v>44734</v>
      </c>
      <c r="F22" s="1156" t="s">
        <v>13060</v>
      </c>
      <c r="G22" s="1156" t="s">
        <v>13108</v>
      </c>
      <c r="H22" s="1156" t="s">
        <v>13062</v>
      </c>
      <c r="I22" s="1156" t="s">
        <v>12902</v>
      </c>
      <c r="J22" s="1156" t="s">
        <v>13128</v>
      </c>
      <c r="K22" s="1156" t="s">
        <v>13129</v>
      </c>
      <c r="L22" s="1157">
        <v>4200</v>
      </c>
      <c r="M22" s="1159">
        <v>30.06</v>
      </c>
      <c r="N22" s="1157">
        <v>126252</v>
      </c>
      <c r="O22" s="1157">
        <v>0</v>
      </c>
      <c r="P22" s="1156" t="s">
        <v>2</v>
      </c>
      <c r="Q22" s="1157">
        <v>126252</v>
      </c>
      <c r="R22" s="1157">
        <v>0</v>
      </c>
      <c r="S22" s="1156" t="s">
        <v>2</v>
      </c>
      <c r="T22" s="1157">
        <v>-27329.61</v>
      </c>
      <c r="U22" s="1160">
        <v>0.71422600000000003</v>
      </c>
      <c r="V22" s="1160">
        <v>1</v>
      </c>
      <c r="W22" s="1158"/>
      <c r="X22" s="1156" t="s">
        <v>13111</v>
      </c>
      <c r="Y22" s="1156" t="s">
        <v>13130</v>
      </c>
      <c r="Z22" s="1156" t="s">
        <v>1794</v>
      </c>
      <c r="AA22" s="1156" t="s">
        <v>13067</v>
      </c>
      <c r="AD22" s="1162" t="s">
        <v>13076</v>
      </c>
      <c r="AE22" s="100">
        <v>33900</v>
      </c>
      <c r="AF22" s="100">
        <v>888</v>
      </c>
    </row>
    <row r="23" spans="1:32" ht="25" customHeight="1">
      <c r="A23" s="1156" t="s">
        <v>13057</v>
      </c>
      <c r="B23" s="1156" t="s">
        <v>13058</v>
      </c>
      <c r="C23" s="1156" t="s">
        <v>13059</v>
      </c>
      <c r="D23" s="1157">
        <v>17676760.780000001</v>
      </c>
      <c r="E23" s="1158">
        <v>44734</v>
      </c>
      <c r="F23" s="1156" t="s">
        <v>13060</v>
      </c>
      <c r="G23" s="1156" t="s">
        <v>13108</v>
      </c>
      <c r="H23" s="1156" t="s">
        <v>13062</v>
      </c>
      <c r="I23" s="1156" t="s">
        <v>12903</v>
      </c>
      <c r="J23" s="1156" t="s">
        <v>13131</v>
      </c>
      <c r="K23" s="1156" t="s">
        <v>13132</v>
      </c>
      <c r="L23" s="1157">
        <v>1100</v>
      </c>
      <c r="M23" s="1159">
        <v>103.4</v>
      </c>
      <c r="N23" s="1157">
        <v>113740</v>
      </c>
      <c r="O23" s="1157">
        <v>0</v>
      </c>
      <c r="P23" s="1156" t="s">
        <v>2</v>
      </c>
      <c r="Q23" s="1157">
        <v>113740</v>
      </c>
      <c r="R23" s="1157">
        <v>0</v>
      </c>
      <c r="S23" s="1156" t="s">
        <v>2</v>
      </c>
      <c r="T23" s="1157">
        <v>65734.11</v>
      </c>
      <c r="U23" s="1160">
        <v>0.64344400000000002</v>
      </c>
      <c r="V23" s="1160">
        <v>1</v>
      </c>
      <c r="W23" s="1158"/>
      <c r="X23" s="1156" t="s">
        <v>13111</v>
      </c>
      <c r="Y23" s="1156" t="s">
        <v>13130</v>
      </c>
      <c r="Z23" s="1156" t="s">
        <v>1794</v>
      </c>
      <c r="AA23" s="1156" t="s">
        <v>13067</v>
      </c>
      <c r="AD23" s="1162" t="s">
        <v>13143</v>
      </c>
      <c r="AE23" s="100">
        <v>46200</v>
      </c>
      <c r="AF23" s="100">
        <v>2464</v>
      </c>
    </row>
    <row r="24" spans="1:32" ht="25" customHeight="1">
      <c r="A24" s="1156" t="s">
        <v>13057</v>
      </c>
      <c r="B24" s="1156" t="s">
        <v>13058</v>
      </c>
      <c r="C24" s="1156" t="s">
        <v>13059</v>
      </c>
      <c r="D24" s="1157">
        <v>17676760.780000001</v>
      </c>
      <c r="E24" s="1158">
        <v>44734</v>
      </c>
      <c r="F24" s="1156" t="s">
        <v>13060</v>
      </c>
      <c r="G24" s="1156" t="s">
        <v>13108</v>
      </c>
      <c r="H24" s="1156" t="s">
        <v>13062</v>
      </c>
      <c r="I24" s="1156" t="s">
        <v>12904</v>
      </c>
      <c r="J24" s="1156" t="s">
        <v>13133</v>
      </c>
      <c r="K24" s="1156" t="s">
        <v>13134</v>
      </c>
      <c r="L24" s="1157">
        <v>17000</v>
      </c>
      <c r="M24" s="1159">
        <v>26.135000000000002</v>
      </c>
      <c r="N24" s="1157">
        <v>444295</v>
      </c>
      <c r="O24" s="1157">
        <v>0</v>
      </c>
      <c r="P24" s="1156" t="s">
        <v>2</v>
      </c>
      <c r="Q24" s="1157">
        <v>444295</v>
      </c>
      <c r="R24" s="1157">
        <v>0</v>
      </c>
      <c r="S24" s="1156" t="s">
        <v>2</v>
      </c>
      <c r="T24" s="1157">
        <v>-45452.75</v>
      </c>
      <c r="U24" s="1160">
        <v>2.5134409999999998</v>
      </c>
      <c r="V24" s="1160">
        <v>1</v>
      </c>
      <c r="W24" s="1158"/>
      <c r="X24" s="1156" t="s">
        <v>13111</v>
      </c>
      <c r="Y24" s="1156" t="s">
        <v>13130</v>
      </c>
      <c r="Z24" s="1156" t="s">
        <v>1794</v>
      </c>
      <c r="AA24" s="1156" t="s">
        <v>13067</v>
      </c>
      <c r="AD24" s="1162" t="s">
        <v>13078</v>
      </c>
      <c r="AE24" s="100">
        <v>14200</v>
      </c>
      <c r="AF24" s="100">
        <v>2400</v>
      </c>
    </row>
    <row r="25" spans="1:32" ht="25" customHeight="1">
      <c r="A25" s="1156" t="s">
        <v>13057</v>
      </c>
      <c r="B25" s="1156" t="s">
        <v>13058</v>
      </c>
      <c r="C25" s="1156" t="s">
        <v>13059</v>
      </c>
      <c r="D25" s="1157">
        <v>17676760.780000001</v>
      </c>
      <c r="E25" s="1158">
        <v>44734</v>
      </c>
      <c r="F25" s="1156" t="s">
        <v>13060</v>
      </c>
      <c r="G25" s="1156" t="s">
        <v>13108</v>
      </c>
      <c r="H25" s="1156" t="s">
        <v>13062</v>
      </c>
      <c r="I25" s="1156" t="s">
        <v>12905</v>
      </c>
      <c r="J25" s="1156" t="s">
        <v>13135</v>
      </c>
      <c r="K25" s="1156" t="s">
        <v>13136</v>
      </c>
      <c r="L25" s="1157">
        <v>42000</v>
      </c>
      <c r="M25" s="1159">
        <v>20.03</v>
      </c>
      <c r="N25" s="1157">
        <v>841260</v>
      </c>
      <c r="O25" s="1157">
        <v>0</v>
      </c>
      <c r="P25" s="1156" t="s">
        <v>2</v>
      </c>
      <c r="Q25" s="1157">
        <v>841260</v>
      </c>
      <c r="R25" s="1157">
        <v>0</v>
      </c>
      <c r="S25" s="1156" t="s">
        <v>2</v>
      </c>
      <c r="T25" s="1157">
        <v>-155405.89000000001</v>
      </c>
      <c r="U25" s="1160">
        <v>4.7591299999999999</v>
      </c>
      <c r="V25" s="1160">
        <v>1</v>
      </c>
      <c r="W25" s="1158"/>
      <c r="X25" s="1156" t="s">
        <v>13111</v>
      </c>
      <c r="Y25" s="1156" t="s">
        <v>13130</v>
      </c>
      <c r="Z25" s="1156" t="s">
        <v>1794</v>
      </c>
      <c r="AA25" s="1156" t="s">
        <v>13067</v>
      </c>
      <c r="AD25" s="1162" t="s">
        <v>13080</v>
      </c>
      <c r="AE25" s="100">
        <v>31000</v>
      </c>
      <c r="AF25" s="100">
        <v>536</v>
      </c>
    </row>
    <row r="26" spans="1:32" ht="25" customHeight="1">
      <c r="A26" s="1156" t="s">
        <v>13057</v>
      </c>
      <c r="B26" s="1156" t="s">
        <v>13058</v>
      </c>
      <c r="C26" s="1156" t="s">
        <v>13059</v>
      </c>
      <c r="D26" s="1157">
        <v>17676760.780000001</v>
      </c>
      <c r="E26" s="1158">
        <v>44734</v>
      </c>
      <c r="F26" s="1156" t="s">
        <v>13060</v>
      </c>
      <c r="G26" s="1156" t="s">
        <v>13108</v>
      </c>
      <c r="H26" s="1156" t="s">
        <v>13062</v>
      </c>
      <c r="I26" s="1156" t="s">
        <v>12906</v>
      </c>
      <c r="J26" s="1156" t="s">
        <v>13137</v>
      </c>
      <c r="K26" s="1156" t="s">
        <v>13138</v>
      </c>
      <c r="L26" s="1157">
        <v>420000</v>
      </c>
      <c r="M26" s="1159">
        <v>6.8000000000000005E-2</v>
      </c>
      <c r="N26" s="1157">
        <v>33176.51</v>
      </c>
      <c r="O26" s="1157">
        <v>0</v>
      </c>
      <c r="P26" s="1156" t="s">
        <v>2</v>
      </c>
      <c r="Q26" s="1157">
        <v>28560</v>
      </c>
      <c r="R26" s="1157">
        <v>0</v>
      </c>
      <c r="S26" s="1156" t="s">
        <v>1070</v>
      </c>
      <c r="T26" s="1157">
        <v>-25885.99</v>
      </c>
      <c r="U26" s="1160">
        <v>0.18768399999999999</v>
      </c>
      <c r="V26" s="1160">
        <v>0.86085</v>
      </c>
      <c r="W26" s="1158"/>
      <c r="X26" s="1156" t="s">
        <v>13111</v>
      </c>
      <c r="Y26" s="1156" t="s">
        <v>13139</v>
      </c>
      <c r="Z26" s="1156" t="s">
        <v>1794</v>
      </c>
      <c r="AA26" s="1156" t="s">
        <v>13067</v>
      </c>
      <c r="AD26" s="1162" t="s">
        <v>13082</v>
      </c>
      <c r="AE26" s="100">
        <v>33000</v>
      </c>
      <c r="AF26" s="100">
        <v>4547</v>
      </c>
    </row>
    <row r="27" spans="1:32" ht="25" customHeight="1">
      <c r="A27" s="1156" t="s">
        <v>13057</v>
      </c>
      <c r="B27" s="1156" t="s">
        <v>13058</v>
      </c>
      <c r="C27" s="1156" t="s">
        <v>13059</v>
      </c>
      <c r="D27" s="1157">
        <v>17676760.780000001</v>
      </c>
      <c r="E27" s="1158">
        <v>44734</v>
      </c>
      <c r="F27" s="1156" t="s">
        <v>13060</v>
      </c>
      <c r="G27" s="1156" t="s">
        <v>13108</v>
      </c>
      <c r="H27" s="1156" t="s">
        <v>13062</v>
      </c>
      <c r="I27" s="1156" t="s">
        <v>12907</v>
      </c>
      <c r="J27" s="1156" t="s">
        <v>13140</v>
      </c>
      <c r="K27" s="1156" t="s">
        <v>13141</v>
      </c>
      <c r="L27" s="1157">
        <v>22000</v>
      </c>
      <c r="M27" s="1159">
        <v>4.4935</v>
      </c>
      <c r="N27" s="1157">
        <v>114836.5</v>
      </c>
      <c r="O27" s="1157">
        <v>0</v>
      </c>
      <c r="P27" s="1156" t="s">
        <v>2</v>
      </c>
      <c r="Q27" s="1157">
        <v>98857</v>
      </c>
      <c r="R27" s="1157">
        <v>0</v>
      </c>
      <c r="S27" s="1156" t="s">
        <v>1070</v>
      </c>
      <c r="T27" s="1157">
        <v>64788.959999999999</v>
      </c>
      <c r="U27" s="1160">
        <v>0.64964699999999997</v>
      </c>
      <c r="V27" s="1160">
        <v>0.86085</v>
      </c>
      <c r="W27" s="1158"/>
      <c r="X27" s="1156" t="s">
        <v>13111</v>
      </c>
      <c r="Y27" s="1156" t="s">
        <v>13142</v>
      </c>
      <c r="Z27" s="1156" t="s">
        <v>1794</v>
      </c>
      <c r="AA27" s="1156" t="s">
        <v>13067</v>
      </c>
      <c r="AD27" s="1162" t="s">
        <v>13084</v>
      </c>
      <c r="AE27" s="100">
        <v>11700</v>
      </c>
      <c r="AF27" s="100">
        <v>3045</v>
      </c>
    </row>
    <row r="28" spans="1:32" ht="25" customHeight="1">
      <c r="A28" s="1156" t="s">
        <v>13057</v>
      </c>
      <c r="B28" s="1156" t="s">
        <v>13058</v>
      </c>
      <c r="C28" s="1156" t="s">
        <v>13059</v>
      </c>
      <c r="D28" s="1157">
        <v>17676760.780000001</v>
      </c>
      <c r="E28" s="1158">
        <v>44734</v>
      </c>
      <c r="F28" s="1156" t="s">
        <v>13060</v>
      </c>
      <c r="G28" s="1156" t="s">
        <v>13108</v>
      </c>
      <c r="H28" s="1156" t="s">
        <v>13062</v>
      </c>
      <c r="I28" s="1156" t="s">
        <v>12909</v>
      </c>
      <c r="J28" s="1156" t="s">
        <v>13063</v>
      </c>
      <c r="K28" s="1156" t="s">
        <v>13064</v>
      </c>
      <c r="L28" s="1157">
        <v>11000</v>
      </c>
      <c r="M28" s="1159">
        <v>1041.5</v>
      </c>
      <c r="N28" s="1157">
        <v>79584.75</v>
      </c>
      <c r="O28" s="1157">
        <v>0</v>
      </c>
      <c r="P28" s="1156" t="s">
        <v>2</v>
      </c>
      <c r="Q28" s="1157">
        <v>11456500</v>
      </c>
      <c r="R28" s="1157">
        <v>0</v>
      </c>
      <c r="S28" s="1156" t="s">
        <v>125</v>
      </c>
      <c r="T28" s="1157">
        <v>-15414.58</v>
      </c>
      <c r="U28" s="1160">
        <v>0.45022200000000001</v>
      </c>
      <c r="V28" s="1160">
        <v>143.95345</v>
      </c>
      <c r="W28" s="1158"/>
      <c r="X28" s="1156" t="s">
        <v>13111</v>
      </c>
      <c r="Y28" s="1156" t="s">
        <v>13066</v>
      </c>
      <c r="Z28" s="1156" t="s">
        <v>1794</v>
      </c>
      <c r="AA28" s="1156" t="s">
        <v>13067</v>
      </c>
      <c r="AD28" s="1162" t="s">
        <v>13086</v>
      </c>
      <c r="AE28" s="100">
        <v>22000</v>
      </c>
      <c r="AF28" s="100">
        <v>1961</v>
      </c>
    </row>
    <row r="29" spans="1:32" ht="25" customHeight="1">
      <c r="A29" s="1156" t="s">
        <v>13057</v>
      </c>
      <c r="B29" s="1156" t="s">
        <v>13058</v>
      </c>
      <c r="C29" s="1156" t="s">
        <v>13059</v>
      </c>
      <c r="D29" s="1157">
        <v>17676760.780000001</v>
      </c>
      <c r="E29" s="1158">
        <v>44734</v>
      </c>
      <c r="F29" s="1156" t="s">
        <v>13060</v>
      </c>
      <c r="G29" s="1156" t="s">
        <v>13108</v>
      </c>
      <c r="H29" s="1156" t="s">
        <v>13062</v>
      </c>
      <c r="I29" s="1156" t="s">
        <v>12910</v>
      </c>
      <c r="J29" s="1156" t="s">
        <v>13068</v>
      </c>
      <c r="K29" s="1156" t="s">
        <v>13069</v>
      </c>
      <c r="L29" s="1157">
        <v>4200</v>
      </c>
      <c r="M29" s="1159">
        <v>3810</v>
      </c>
      <c r="N29" s="1157">
        <v>111160.93</v>
      </c>
      <c r="O29" s="1157">
        <v>0</v>
      </c>
      <c r="P29" s="1156" t="s">
        <v>2</v>
      </c>
      <c r="Q29" s="1157">
        <v>16002000</v>
      </c>
      <c r="R29" s="1157">
        <v>0</v>
      </c>
      <c r="S29" s="1156" t="s">
        <v>125</v>
      </c>
      <c r="T29" s="1157">
        <v>24052.92</v>
      </c>
      <c r="U29" s="1160">
        <v>0.62885400000000002</v>
      </c>
      <c r="V29" s="1160">
        <v>143.95345</v>
      </c>
      <c r="W29" s="1158"/>
      <c r="X29" s="1156" t="s">
        <v>13111</v>
      </c>
      <c r="Y29" s="1156" t="s">
        <v>13066</v>
      </c>
      <c r="Z29" s="1156" t="s">
        <v>1794</v>
      </c>
      <c r="AA29" s="1156" t="s">
        <v>13067</v>
      </c>
      <c r="AD29" s="1162" t="s">
        <v>13145</v>
      </c>
      <c r="AE29" s="100">
        <v>16900</v>
      </c>
      <c r="AF29" s="100">
        <v>1198</v>
      </c>
    </row>
    <row r="30" spans="1:32" ht="25" customHeight="1">
      <c r="A30" s="1156" t="s">
        <v>13057</v>
      </c>
      <c r="B30" s="1156" t="s">
        <v>13058</v>
      </c>
      <c r="C30" s="1156" t="s">
        <v>13059</v>
      </c>
      <c r="D30" s="1157">
        <v>17676760.780000001</v>
      </c>
      <c r="E30" s="1158">
        <v>44734</v>
      </c>
      <c r="F30" s="1156" t="s">
        <v>13060</v>
      </c>
      <c r="G30" s="1156" t="s">
        <v>13108</v>
      </c>
      <c r="H30" s="1156" t="s">
        <v>13062</v>
      </c>
      <c r="I30" s="1156" t="s">
        <v>12911</v>
      </c>
      <c r="J30" s="1156" t="s">
        <v>13070</v>
      </c>
      <c r="K30" s="1156" t="s">
        <v>13071</v>
      </c>
      <c r="L30" s="1157">
        <v>22000</v>
      </c>
      <c r="M30" s="1159">
        <v>1256</v>
      </c>
      <c r="N30" s="1157">
        <v>191950.94</v>
      </c>
      <c r="O30" s="1157">
        <v>0</v>
      </c>
      <c r="P30" s="1156" t="s">
        <v>2</v>
      </c>
      <c r="Q30" s="1157">
        <v>27632000</v>
      </c>
      <c r="R30" s="1157">
        <v>0</v>
      </c>
      <c r="S30" s="1156" t="s">
        <v>125</v>
      </c>
      <c r="T30" s="1157">
        <v>6284.84</v>
      </c>
      <c r="U30" s="1160">
        <v>1.0858939999999999</v>
      </c>
      <c r="V30" s="1160">
        <v>143.95345</v>
      </c>
      <c r="W30" s="1158"/>
      <c r="X30" s="1156" t="s">
        <v>13111</v>
      </c>
      <c r="Y30" s="1156" t="s">
        <v>13066</v>
      </c>
      <c r="Z30" s="1156" t="s">
        <v>1794</v>
      </c>
      <c r="AA30" s="1156" t="s">
        <v>13067</v>
      </c>
      <c r="AD30" s="1162" t="s">
        <v>13088</v>
      </c>
      <c r="AE30" s="100">
        <v>11000</v>
      </c>
      <c r="AF30" s="100">
        <v>4190</v>
      </c>
    </row>
    <row r="31" spans="1:32" ht="25" customHeight="1">
      <c r="A31" s="1156" t="s">
        <v>13057</v>
      </c>
      <c r="B31" s="1156" t="s">
        <v>13058</v>
      </c>
      <c r="C31" s="1156" t="s">
        <v>13059</v>
      </c>
      <c r="D31" s="1157">
        <v>17676760.780000001</v>
      </c>
      <c r="E31" s="1158">
        <v>44734</v>
      </c>
      <c r="F31" s="1156" t="s">
        <v>13060</v>
      </c>
      <c r="G31" s="1156" t="s">
        <v>13108</v>
      </c>
      <c r="H31" s="1156" t="s">
        <v>13062</v>
      </c>
      <c r="I31" s="1156" t="s">
        <v>12912</v>
      </c>
      <c r="J31" s="1156" t="s">
        <v>13072</v>
      </c>
      <c r="K31" s="1156" t="s">
        <v>13073</v>
      </c>
      <c r="L31" s="1157">
        <v>17000</v>
      </c>
      <c r="M31" s="1159">
        <v>878</v>
      </c>
      <c r="N31" s="1157">
        <v>103686.3</v>
      </c>
      <c r="O31" s="1157">
        <v>0</v>
      </c>
      <c r="P31" s="1156" t="s">
        <v>2</v>
      </c>
      <c r="Q31" s="1157">
        <v>14926000</v>
      </c>
      <c r="R31" s="1157">
        <v>0</v>
      </c>
      <c r="S31" s="1156" t="s">
        <v>125</v>
      </c>
      <c r="T31" s="1157">
        <v>-7502.21</v>
      </c>
      <c r="U31" s="1160">
        <v>0.58656799999999998</v>
      </c>
      <c r="V31" s="1160">
        <v>143.95345</v>
      </c>
      <c r="W31" s="1158"/>
      <c r="X31" s="1156" t="s">
        <v>13111</v>
      </c>
      <c r="Y31" s="1156" t="s">
        <v>13066</v>
      </c>
      <c r="Z31" s="1156" t="s">
        <v>1794</v>
      </c>
      <c r="AA31" s="1156" t="s">
        <v>13067</v>
      </c>
      <c r="AD31" s="1162" t="s">
        <v>13090</v>
      </c>
      <c r="AE31" s="100">
        <v>89000</v>
      </c>
      <c r="AF31" s="100">
        <v>1383</v>
      </c>
    </row>
    <row r="32" spans="1:32" ht="25" customHeight="1">
      <c r="A32" s="1156" t="s">
        <v>13057</v>
      </c>
      <c r="B32" s="1156" t="s">
        <v>13058</v>
      </c>
      <c r="C32" s="1156" t="s">
        <v>13059</v>
      </c>
      <c r="D32" s="1157">
        <v>17676760.780000001</v>
      </c>
      <c r="E32" s="1158">
        <v>44734</v>
      </c>
      <c r="F32" s="1156" t="s">
        <v>13060</v>
      </c>
      <c r="G32" s="1156" t="s">
        <v>13108</v>
      </c>
      <c r="H32" s="1156" t="s">
        <v>13062</v>
      </c>
      <c r="I32" s="1156" t="s">
        <v>12913</v>
      </c>
      <c r="J32" s="1156" t="s">
        <v>13074</v>
      </c>
      <c r="K32" s="1156" t="s">
        <v>13075</v>
      </c>
      <c r="L32" s="1157">
        <v>1670</v>
      </c>
      <c r="M32" s="1159">
        <v>9740</v>
      </c>
      <c r="N32" s="1157">
        <v>112993.47</v>
      </c>
      <c r="O32" s="1157">
        <v>0</v>
      </c>
      <c r="P32" s="1156" t="s">
        <v>2</v>
      </c>
      <c r="Q32" s="1157">
        <v>16265800</v>
      </c>
      <c r="R32" s="1157">
        <v>0</v>
      </c>
      <c r="S32" s="1156" t="s">
        <v>125</v>
      </c>
      <c r="T32" s="1157">
        <v>48045.21</v>
      </c>
      <c r="U32" s="1160">
        <v>0.63922000000000001</v>
      </c>
      <c r="V32" s="1160">
        <v>143.95345</v>
      </c>
      <c r="W32" s="1158"/>
      <c r="X32" s="1156" t="s">
        <v>13111</v>
      </c>
      <c r="Y32" s="1156" t="s">
        <v>13066</v>
      </c>
      <c r="Z32" s="1156" t="s">
        <v>1794</v>
      </c>
      <c r="AA32" s="1156" t="s">
        <v>13067</v>
      </c>
      <c r="AD32" s="1162" t="s">
        <v>13092</v>
      </c>
      <c r="AE32" s="100">
        <v>4200</v>
      </c>
      <c r="AF32" s="100">
        <v>5501</v>
      </c>
    </row>
    <row r="33" spans="1:32" ht="25" customHeight="1">
      <c r="A33" s="1156" t="s">
        <v>13057</v>
      </c>
      <c r="B33" s="1156" t="s">
        <v>13058</v>
      </c>
      <c r="C33" s="1156" t="s">
        <v>13059</v>
      </c>
      <c r="D33" s="1157">
        <v>17676760.780000001</v>
      </c>
      <c r="E33" s="1158">
        <v>44734</v>
      </c>
      <c r="F33" s="1156" t="s">
        <v>13060</v>
      </c>
      <c r="G33" s="1156" t="s">
        <v>13108</v>
      </c>
      <c r="H33" s="1156" t="s">
        <v>13062</v>
      </c>
      <c r="I33" s="1156" t="s">
        <v>12914</v>
      </c>
      <c r="J33" s="1156" t="s">
        <v>13076</v>
      </c>
      <c r="K33" s="1156" t="s">
        <v>13077</v>
      </c>
      <c r="L33" s="1157">
        <v>33900</v>
      </c>
      <c r="M33" s="1159">
        <v>888</v>
      </c>
      <c r="N33" s="1157">
        <v>209117.6</v>
      </c>
      <c r="O33" s="1157">
        <v>0</v>
      </c>
      <c r="P33" s="1156" t="s">
        <v>2</v>
      </c>
      <c r="Q33" s="1157">
        <v>30103200</v>
      </c>
      <c r="R33" s="1157">
        <v>0</v>
      </c>
      <c r="S33" s="1156" t="s">
        <v>125</v>
      </c>
      <c r="T33" s="1157">
        <v>-22953.61</v>
      </c>
      <c r="U33" s="1160">
        <v>1.183009</v>
      </c>
      <c r="V33" s="1160">
        <v>143.95345</v>
      </c>
      <c r="W33" s="1158"/>
      <c r="X33" s="1156" t="s">
        <v>13111</v>
      </c>
      <c r="Y33" s="1156" t="s">
        <v>13066</v>
      </c>
      <c r="Z33" s="1156" t="s">
        <v>1794</v>
      </c>
      <c r="AA33" s="1156" t="s">
        <v>13067</v>
      </c>
      <c r="AD33" s="1162" t="s">
        <v>13147</v>
      </c>
      <c r="AE33" s="100">
        <v>60200</v>
      </c>
      <c r="AF33" s="100">
        <v>2251</v>
      </c>
    </row>
    <row r="34" spans="1:32" ht="25" customHeight="1">
      <c r="A34" s="1156" t="s">
        <v>13057</v>
      </c>
      <c r="B34" s="1156" t="s">
        <v>13058</v>
      </c>
      <c r="C34" s="1156" t="s">
        <v>13059</v>
      </c>
      <c r="D34" s="1157">
        <v>17676760.780000001</v>
      </c>
      <c r="E34" s="1158">
        <v>44734</v>
      </c>
      <c r="F34" s="1156" t="s">
        <v>13060</v>
      </c>
      <c r="G34" s="1156" t="s">
        <v>13108</v>
      </c>
      <c r="H34" s="1156" t="s">
        <v>13062</v>
      </c>
      <c r="I34" s="1156" t="s">
        <v>12915</v>
      </c>
      <c r="J34" s="1156" t="s">
        <v>13143</v>
      </c>
      <c r="K34" s="1156" t="s">
        <v>13144</v>
      </c>
      <c r="L34" s="1157">
        <v>46200</v>
      </c>
      <c r="M34" s="1159">
        <v>2464</v>
      </c>
      <c r="N34" s="1157">
        <v>790788.97</v>
      </c>
      <c r="O34" s="1157">
        <v>0</v>
      </c>
      <c r="P34" s="1156" t="s">
        <v>2</v>
      </c>
      <c r="Q34" s="1157">
        <v>113836800</v>
      </c>
      <c r="R34" s="1157">
        <v>0</v>
      </c>
      <c r="S34" s="1156" t="s">
        <v>125</v>
      </c>
      <c r="T34" s="1157">
        <v>-98576.56</v>
      </c>
      <c r="U34" s="1160">
        <v>4.4736079999999996</v>
      </c>
      <c r="V34" s="1160">
        <v>143.95345</v>
      </c>
      <c r="W34" s="1158"/>
      <c r="X34" s="1156" t="s">
        <v>13111</v>
      </c>
      <c r="Y34" s="1156" t="s">
        <v>13066</v>
      </c>
      <c r="Z34" s="1156" t="s">
        <v>1794</v>
      </c>
      <c r="AA34" s="1156" t="s">
        <v>13067</v>
      </c>
      <c r="AD34" s="1162" t="s">
        <v>13149</v>
      </c>
      <c r="AE34" s="100">
        <v>3300</v>
      </c>
      <c r="AF34" s="100">
        <v>4575</v>
      </c>
    </row>
    <row r="35" spans="1:32" ht="25" customHeight="1">
      <c r="A35" s="1156" t="s">
        <v>13057</v>
      </c>
      <c r="B35" s="1156" t="s">
        <v>13058</v>
      </c>
      <c r="C35" s="1156" t="s">
        <v>13059</v>
      </c>
      <c r="D35" s="1157">
        <v>17676760.780000001</v>
      </c>
      <c r="E35" s="1158">
        <v>44734</v>
      </c>
      <c r="F35" s="1156" t="s">
        <v>13060</v>
      </c>
      <c r="G35" s="1156" t="s">
        <v>13108</v>
      </c>
      <c r="H35" s="1156" t="s">
        <v>13062</v>
      </c>
      <c r="I35" s="1156" t="s">
        <v>12916</v>
      </c>
      <c r="J35" s="1156" t="s">
        <v>13078</v>
      </c>
      <c r="K35" s="1156" t="s">
        <v>13079</v>
      </c>
      <c r="L35" s="1157">
        <v>14200</v>
      </c>
      <c r="M35" s="1159">
        <v>2400</v>
      </c>
      <c r="N35" s="1157">
        <v>236743.2</v>
      </c>
      <c r="O35" s="1157">
        <v>0</v>
      </c>
      <c r="P35" s="1156" t="s">
        <v>2</v>
      </c>
      <c r="Q35" s="1157">
        <v>34080000</v>
      </c>
      <c r="R35" s="1157">
        <v>0</v>
      </c>
      <c r="S35" s="1156" t="s">
        <v>125</v>
      </c>
      <c r="T35" s="1157">
        <v>-71448.039999999994</v>
      </c>
      <c r="U35" s="1160">
        <v>1.339291</v>
      </c>
      <c r="V35" s="1160">
        <v>143.95345</v>
      </c>
      <c r="W35" s="1158"/>
      <c r="X35" s="1156" t="s">
        <v>13111</v>
      </c>
      <c r="Y35" s="1156" t="s">
        <v>13066</v>
      </c>
      <c r="Z35" s="1156" t="s">
        <v>1794</v>
      </c>
      <c r="AA35" s="1156" t="s">
        <v>13067</v>
      </c>
      <c r="AD35" s="1162" t="s">
        <v>13151</v>
      </c>
      <c r="AE35" s="100">
        <v>3800</v>
      </c>
      <c r="AF35" s="100">
        <v>4120</v>
      </c>
    </row>
    <row r="36" spans="1:32" ht="25" customHeight="1">
      <c r="A36" s="1156" t="s">
        <v>13057</v>
      </c>
      <c r="B36" s="1156" t="s">
        <v>13058</v>
      </c>
      <c r="C36" s="1156" t="s">
        <v>13059</v>
      </c>
      <c r="D36" s="1157">
        <v>17676760.780000001</v>
      </c>
      <c r="E36" s="1158">
        <v>44734</v>
      </c>
      <c r="F36" s="1156" t="s">
        <v>13060</v>
      </c>
      <c r="G36" s="1156" t="s">
        <v>13108</v>
      </c>
      <c r="H36" s="1156" t="s">
        <v>13062</v>
      </c>
      <c r="I36" s="1156" t="s">
        <v>12917</v>
      </c>
      <c r="J36" s="1156" t="s">
        <v>13080</v>
      </c>
      <c r="K36" s="1156" t="s">
        <v>13081</v>
      </c>
      <c r="L36" s="1157">
        <v>31000</v>
      </c>
      <c r="M36" s="1159">
        <v>536</v>
      </c>
      <c r="N36" s="1157">
        <v>115426.2</v>
      </c>
      <c r="O36" s="1157">
        <v>0</v>
      </c>
      <c r="P36" s="1156" t="s">
        <v>2</v>
      </c>
      <c r="Q36" s="1157">
        <v>16616000</v>
      </c>
      <c r="R36" s="1157">
        <v>0</v>
      </c>
      <c r="S36" s="1156" t="s">
        <v>125</v>
      </c>
      <c r="T36" s="1157">
        <v>-8051.03</v>
      </c>
      <c r="U36" s="1160">
        <v>0.65298299999999998</v>
      </c>
      <c r="V36" s="1160">
        <v>143.95345</v>
      </c>
      <c r="W36" s="1158"/>
      <c r="X36" s="1156" t="s">
        <v>13111</v>
      </c>
      <c r="Y36" s="1156" t="s">
        <v>13066</v>
      </c>
      <c r="Z36" s="1156" t="s">
        <v>1794</v>
      </c>
      <c r="AA36" s="1156" t="s">
        <v>13067</v>
      </c>
      <c r="AD36" s="1162" t="s">
        <v>13094</v>
      </c>
      <c r="AE36" s="100">
        <v>22000</v>
      </c>
      <c r="AF36" s="100">
        <v>1947</v>
      </c>
    </row>
    <row r="37" spans="1:32" ht="25" customHeight="1">
      <c r="A37" s="1156" t="s">
        <v>13057</v>
      </c>
      <c r="B37" s="1156" t="s">
        <v>13058</v>
      </c>
      <c r="C37" s="1156" t="s">
        <v>13059</v>
      </c>
      <c r="D37" s="1157">
        <v>17676760.780000001</v>
      </c>
      <c r="E37" s="1158">
        <v>44734</v>
      </c>
      <c r="F37" s="1156" t="s">
        <v>13060</v>
      </c>
      <c r="G37" s="1156" t="s">
        <v>13108</v>
      </c>
      <c r="H37" s="1156" t="s">
        <v>13062</v>
      </c>
      <c r="I37" s="1156" t="s">
        <v>12918</v>
      </c>
      <c r="J37" s="1156" t="s">
        <v>13082</v>
      </c>
      <c r="K37" s="1156" t="s">
        <v>13083</v>
      </c>
      <c r="L37" s="1157">
        <v>33000</v>
      </c>
      <c r="M37" s="1159">
        <v>4547</v>
      </c>
      <c r="N37" s="1157">
        <v>1042357.79</v>
      </c>
      <c r="O37" s="1157">
        <v>0</v>
      </c>
      <c r="P37" s="1156" t="s">
        <v>2</v>
      </c>
      <c r="Q37" s="1157">
        <v>150051000</v>
      </c>
      <c r="R37" s="1157">
        <v>0</v>
      </c>
      <c r="S37" s="1156" t="s">
        <v>125</v>
      </c>
      <c r="T37" s="1157">
        <v>92233.98</v>
      </c>
      <c r="U37" s="1160">
        <v>5.8967689999999999</v>
      </c>
      <c r="V37" s="1160">
        <v>143.95345</v>
      </c>
      <c r="W37" s="1158"/>
      <c r="X37" s="1156" t="s">
        <v>13111</v>
      </c>
      <c r="Y37" s="1156" t="s">
        <v>13066</v>
      </c>
      <c r="Z37" s="1156" t="s">
        <v>1794</v>
      </c>
      <c r="AA37" s="1156" t="s">
        <v>13067</v>
      </c>
      <c r="AD37" s="1162" t="s">
        <v>13096</v>
      </c>
      <c r="AE37" s="100">
        <v>17000</v>
      </c>
      <c r="AF37" s="100">
        <v>1000</v>
      </c>
    </row>
    <row r="38" spans="1:32" ht="25" customHeight="1">
      <c r="A38" s="1156" t="s">
        <v>13057</v>
      </c>
      <c r="B38" s="1156" t="s">
        <v>13058</v>
      </c>
      <c r="C38" s="1156" t="s">
        <v>13059</v>
      </c>
      <c r="D38" s="1157">
        <v>17676760.780000001</v>
      </c>
      <c r="E38" s="1158">
        <v>44734</v>
      </c>
      <c r="F38" s="1156" t="s">
        <v>13060</v>
      </c>
      <c r="G38" s="1156" t="s">
        <v>13108</v>
      </c>
      <c r="H38" s="1156" t="s">
        <v>13062</v>
      </c>
      <c r="I38" s="1156" t="s">
        <v>12919</v>
      </c>
      <c r="J38" s="1156" t="s">
        <v>13084</v>
      </c>
      <c r="K38" s="1156" t="s">
        <v>13085</v>
      </c>
      <c r="L38" s="1157">
        <v>11700</v>
      </c>
      <c r="M38" s="1159">
        <v>3045</v>
      </c>
      <c r="N38" s="1157">
        <v>247486.25</v>
      </c>
      <c r="O38" s="1157">
        <v>0</v>
      </c>
      <c r="P38" s="1156" t="s">
        <v>2</v>
      </c>
      <c r="Q38" s="1157">
        <v>35626500</v>
      </c>
      <c r="R38" s="1157">
        <v>0</v>
      </c>
      <c r="S38" s="1156" t="s">
        <v>125</v>
      </c>
      <c r="T38" s="1157">
        <v>48419.07</v>
      </c>
      <c r="U38" s="1160">
        <v>1.400066</v>
      </c>
      <c r="V38" s="1160">
        <v>143.95345</v>
      </c>
      <c r="W38" s="1158"/>
      <c r="X38" s="1156" t="s">
        <v>13111</v>
      </c>
      <c r="Y38" s="1156" t="s">
        <v>13066</v>
      </c>
      <c r="Z38" s="1156" t="s">
        <v>1794</v>
      </c>
      <c r="AA38" s="1156" t="s">
        <v>13067</v>
      </c>
      <c r="AD38" s="1162" t="s">
        <v>13098</v>
      </c>
      <c r="AE38" s="100">
        <v>17000</v>
      </c>
      <c r="AF38" s="100">
        <v>1351</v>
      </c>
    </row>
    <row r="39" spans="1:32" ht="25" customHeight="1">
      <c r="A39" s="1156" t="s">
        <v>13057</v>
      </c>
      <c r="B39" s="1156" t="s">
        <v>13058</v>
      </c>
      <c r="C39" s="1156" t="s">
        <v>13059</v>
      </c>
      <c r="D39" s="1157">
        <v>17676760.780000001</v>
      </c>
      <c r="E39" s="1158">
        <v>44734</v>
      </c>
      <c r="F39" s="1156" t="s">
        <v>13060</v>
      </c>
      <c r="G39" s="1156" t="s">
        <v>13108</v>
      </c>
      <c r="H39" s="1156" t="s">
        <v>13062</v>
      </c>
      <c r="I39" s="1156" t="s">
        <v>12920</v>
      </c>
      <c r="J39" s="1156" t="s">
        <v>13086</v>
      </c>
      <c r="K39" s="1156" t="s">
        <v>13087</v>
      </c>
      <c r="L39" s="1157">
        <v>22000</v>
      </c>
      <c r="M39" s="1159">
        <v>1961</v>
      </c>
      <c r="N39" s="1157">
        <v>299694.09999999998</v>
      </c>
      <c r="O39" s="1157">
        <v>0</v>
      </c>
      <c r="P39" s="1156" t="s">
        <v>2</v>
      </c>
      <c r="Q39" s="1157">
        <v>43142000</v>
      </c>
      <c r="R39" s="1157">
        <v>0</v>
      </c>
      <c r="S39" s="1156" t="s">
        <v>125</v>
      </c>
      <c r="T39" s="1157">
        <v>-149788.47</v>
      </c>
      <c r="U39" s="1160">
        <v>1.6954130000000001</v>
      </c>
      <c r="V39" s="1160">
        <v>143.95345</v>
      </c>
      <c r="W39" s="1158"/>
      <c r="X39" s="1156" t="s">
        <v>13111</v>
      </c>
      <c r="Y39" s="1156" t="s">
        <v>13066</v>
      </c>
      <c r="Z39" s="1156" t="s">
        <v>1794</v>
      </c>
      <c r="AA39" s="1156" t="s">
        <v>13067</v>
      </c>
      <c r="AD39" s="1162" t="s">
        <v>13153</v>
      </c>
      <c r="AE39" s="100">
        <v>69000</v>
      </c>
      <c r="AF39" s="100">
        <v>345</v>
      </c>
    </row>
    <row r="40" spans="1:32" ht="25" customHeight="1">
      <c r="A40" s="1156" t="s">
        <v>13057</v>
      </c>
      <c r="B40" s="1156" t="s">
        <v>13058</v>
      </c>
      <c r="C40" s="1156" t="s">
        <v>13059</v>
      </c>
      <c r="D40" s="1157">
        <v>17676760.780000001</v>
      </c>
      <c r="E40" s="1158">
        <v>44734</v>
      </c>
      <c r="F40" s="1156" t="s">
        <v>13060</v>
      </c>
      <c r="G40" s="1156" t="s">
        <v>13108</v>
      </c>
      <c r="H40" s="1156" t="s">
        <v>13062</v>
      </c>
      <c r="I40" s="1156" t="s">
        <v>12921</v>
      </c>
      <c r="J40" s="1156" t="s">
        <v>13145</v>
      </c>
      <c r="K40" s="1156" t="s">
        <v>13146</v>
      </c>
      <c r="L40" s="1157">
        <v>16900</v>
      </c>
      <c r="M40" s="1159">
        <v>1198</v>
      </c>
      <c r="N40" s="1157">
        <v>140644.07999999999</v>
      </c>
      <c r="O40" s="1157">
        <v>0</v>
      </c>
      <c r="P40" s="1156" t="s">
        <v>2</v>
      </c>
      <c r="Q40" s="1157">
        <v>20246200</v>
      </c>
      <c r="R40" s="1157">
        <v>0</v>
      </c>
      <c r="S40" s="1156" t="s">
        <v>125</v>
      </c>
      <c r="T40" s="1157">
        <v>17079.68</v>
      </c>
      <c r="U40" s="1160">
        <v>0.79564400000000002</v>
      </c>
      <c r="V40" s="1160">
        <v>143.95345</v>
      </c>
      <c r="W40" s="1158"/>
      <c r="X40" s="1156" t="s">
        <v>13111</v>
      </c>
      <c r="Y40" s="1156" t="s">
        <v>13066</v>
      </c>
      <c r="Z40" s="1156" t="s">
        <v>1794</v>
      </c>
      <c r="AA40" s="1156" t="s">
        <v>13067</v>
      </c>
      <c r="AD40" s="1162" t="s">
        <v>13100</v>
      </c>
      <c r="AE40" s="100">
        <v>180000</v>
      </c>
      <c r="AF40" s="100">
        <v>1108</v>
      </c>
    </row>
    <row r="41" spans="1:32" ht="25" customHeight="1">
      <c r="A41" s="1156" t="s">
        <v>13057</v>
      </c>
      <c r="B41" s="1156" t="s">
        <v>13058</v>
      </c>
      <c r="C41" s="1156" t="s">
        <v>13059</v>
      </c>
      <c r="D41" s="1157">
        <v>17676760.780000001</v>
      </c>
      <c r="E41" s="1158">
        <v>44734</v>
      </c>
      <c r="F41" s="1156" t="s">
        <v>13060</v>
      </c>
      <c r="G41" s="1156" t="s">
        <v>13108</v>
      </c>
      <c r="H41" s="1156" t="s">
        <v>13062</v>
      </c>
      <c r="I41" s="1156" t="s">
        <v>12922</v>
      </c>
      <c r="J41" s="1156" t="s">
        <v>13088</v>
      </c>
      <c r="K41" s="1156" t="s">
        <v>13089</v>
      </c>
      <c r="L41" s="1157">
        <v>11000</v>
      </c>
      <c r="M41" s="1159">
        <v>4190</v>
      </c>
      <c r="N41" s="1157">
        <v>320172.94</v>
      </c>
      <c r="O41" s="1157">
        <v>0</v>
      </c>
      <c r="P41" s="1156" t="s">
        <v>2</v>
      </c>
      <c r="Q41" s="1157">
        <v>46090000</v>
      </c>
      <c r="R41" s="1157">
        <v>0</v>
      </c>
      <c r="S41" s="1156" t="s">
        <v>125</v>
      </c>
      <c r="T41" s="1157">
        <v>-18898.810000000001</v>
      </c>
      <c r="U41" s="1160">
        <v>1.8112649999999999</v>
      </c>
      <c r="V41" s="1160">
        <v>143.95345</v>
      </c>
      <c r="W41" s="1158"/>
      <c r="X41" s="1156" t="s">
        <v>13111</v>
      </c>
      <c r="Y41" s="1156" t="s">
        <v>13066</v>
      </c>
      <c r="Z41" s="1156" t="s">
        <v>1794</v>
      </c>
      <c r="AA41" s="1156" t="s">
        <v>13067</v>
      </c>
      <c r="AD41" s="1162" t="s">
        <v>13155</v>
      </c>
      <c r="AE41" s="100">
        <v>9000</v>
      </c>
      <c r="AF41" s="100">
        <v>1958</v>
      </c>
    </row>
    <row r="42" spans="1:32" ht="25" customHeight="1">
      <c r="A42" s="1156" t="s">
        <v>13057</v>
      </c>
      <c r="B42" s="1156" t="s">
        <v>13058</v>
      </c>
      <c r="C42" s="1156" t="s">
        <v>13059</v>
      </c>
      <c r="D42" s="1157">
        <v>17676760.780000001</v>
      </c>
      <c r="E42" s="1158">
        <v>44734</v>
      </c>
      <c r="F42" s="1156" t="s">
        <v>13060</v>
      </c>
      <c r="G42" s="1156" t="s">
        <v>13108</v>
      </c>
      <c r="H42" s="1156" t="s">
        <v>13062</v>
      </c>
      <c r="I42" s="1156" t="s">
        <v>12923</v>
      </c>
      <c r="J42" s="1156" t="s">
        <v>13090</v>
      </c>
      <c r="K42" s="1156" t="s">
        <v>13091</v>
      </c>
      <c r="L42" s="1157">
        <v>89000</v>
      </c>
      <c r="M42" s="1159">
        <v>1383</v>
      </c>
      <c r="N42" s="1157">
        <v>855047.24</v>
      </c>
      <c r="O42" s="1157">
        <v>0</v>
      </c>
      <c r="P42" s="1156" t="s">
        <v>2</v>
      </c>
      <c r="Q42" s="1157">
        <v>123087000</v>
      </c>
      <c r="R42" s="1157">
        <v>0</v>
      </c>
      <c r="S42" s="1156" t="s">
        <v>125</v>
      </c>
      <c r="T42" s="1157">
        <v>-366963.11</v>
      </c>
      <c r="U42" s="1160">
        <v>4.8371259999999996</v>
      </c>
      <c r="V42" s="1160">
        <v>143.95345</v>
      </c>
      <c r="W42" s="1158"/>
      <c r="X42" s="1156" t="s">
        <v>13111</v>
      </c>
      <c r="Y42" s="1156" t="s">
        <v>13066</v>
      </c>
      <c r="Z42" s="1156" t="s">
        <v>1794</v>
      </c>
      <c r="AA42" s="1156" t="s">
        <v>13067</v>
      </c>
      <c r="AD42" s="1162" t="s">
        <v>13102</v>
      </c>
      <c r="AE42" s="100">
        <v>3300</v>
      </c>
      <c r="AF42" s="100">
        <v>242500</v>
      </c>
    </row>
    <row r="43" spans="1:32" ht="25" customHeight="1">
      <c r="A43" s="1156" t="s">
        <v>13057</v>
      </c>
      <c r="B43" s="1156" t="s">
        <v>13058</v>
      </c>
      <c r="C43" s="1156" t="s">
        <v>13059</v>
      </c>
      <c r="D43" s="1157">
        <v>17676760.780000001</v>
      </c>
      <c r="E43" s="1158">
        <v>44734</v>
      </c>
      <c r="F43" s="1156" t="s">
        <v>13060</v>
      </c>
      <c r="G43" s="1156" t="s">
        <v>13108</v>
      </c>
      <c r="H43" s="1156" t="s">
        <v>13062</v>
      </c>
      <c r="I43" s="1156" t="s">
        <v>12924</v>
      </c>
      <c r="J43" s="1156" t="s">
        <v>13092</v>
      </c>
      <c r="K43" s="1156" t="s">
        <v>13093</v>
      </c>
      <c r="L43" s="1157">
        <v>4200</v>
      </c>
      <c r="M43" s="1159">
        <v>5501</v>
      </c>
      <c r="N43" s="1157">
        <v>160497.72</v>
      </c>
      <c r="O43" s="1157">
        <v>0</v>
      </c>
      <c r="P43" s="1156" t="s">
        <v>2</v>
      </c>
      <c r="Q43" s="1157">
        <v>23104200</v>
      </c>
      <c r="R43" s="1157">
        <v>0</v>
      </c>
      <c r="S43" s="1156" t="s">
        <v>125</v>
      </c>
      <c r="T43" s="1157">
        <v>50952.76</v>
      </c>
      <c r="U43" s="1160">
        <v>0.90795899999999996</v>
      </c>
      <c r="V43" s="1160">
        <v>143.95345</v>
      </c>
      <c r="W43" s="1158"/>
      <c r="X43" s="1156" t="s">
        <v>13111</v>
      </c>
      <c r="Y43" s="1156" t="s">
        <v>13066</v>
      </c>
      <c r="Z43" s="1156" t="s">
        <v>1794</v>
      </c>
      <c r="AA43" s="1156" t="s">
        <v>13067</v>
      </c>
      <c r="AD43" s="1162" t="s">
        <v>13157</v>
      </c>
      <c r="AE43" s="100">
        <v>690</v>
      </c>
      <c r="AF43" s="100">
        <v>277500</v>
      </c>
    </row>
    <row r="44" spans="1:32" ht="25" customHeight="1">
      <c r="A44" s="1156" t="s">
        <v>13057</v>
      </c>
      <c r="B44" s="1156" t="s">
        <v>13058</v>
      </c>
      <c r="C44" s="1156" t="s">
        <v>13059</v>
      </c>
      <c r="D44" s="1157">
        <v>17676760.780000001</v>
      </c>
      <c r="E44" s="1158">
        <v>44734</v>
      </c>
      <c r="F44" s="1156" t="s">
        <v>13060</v>
      </c>
      <c r="G44" s="1156" t="s">
        <v>13108</v>
      </c>
      <c r="H44" s="1156" t="s">
        <v>13062</v>
      </c>
      <c r="I44" s="1156" t="s">
        <v>12925</v>
      </c>
      <c r="J44" s="1156" t="s">
        <v>13147</v>
      </c>
      <c r="K44" s="1156" t="s">
        <v>13148</v>
      </c>
      <c r="L44" s="1157">
        <v>60200</v>
      </c>
      <c r="M44" s="1159">
        <v>2251</v>
      </c>
      <c r="N44" s="1157">
        <v>941347.36</v>
      </c>
      <c r="O44" s="1157">
        <v>0</v>
      </c>
      <c r="P44" s="1156" t="s">
        <v>2</v>
      </c>
      <c r="Q44" s="1157">
        <v>135510200</v>
      </c>
      <c r="R44" s="1157">
        <v>0</v>
      </c>
      <c r="S44" s="1156" t="s">
        <v>125</v>
      </c>
      <c r="T44" s="1157">
        <v>-177059.03</v>
      </c>
      <c r="U44" s="1160">
        <v>5.3253389999999996</v>
      </c>
      <c r="V44" s="1160">
        <v>143.95345</v>
      </c>
      <c r="W44" s="1158"/>
      <c r="X44" s="1156" t="s">
        <v>13111</v>
      </c>
      <c r="Y44" s="1156" t="s">
        <v>13066</v>
      </c>
      <c r="Z44" s="1156" t="s">
        <v>1794</v>
      </c>
      <c r="AA44" s="1156" t="s">
        <v>13067</v>
      </c>
      <c r="AD44" s="1162" t="s">
        <v>13159</v>
      </c>
      <c r="AE44" s="100">
        <v>15200</v>
      </c>
      <c r="AF44" s="100">
        <v>19500</v>
      </c>
    </row>
    <row r="45" spans="1:32" ht="25" customHeight="1">
      <c r="A45" s="1156" t="s">
        <v>13057</v>
      </c>
      <c r="B45" s="1156" t="s">
        <v>13058</v>
      </c>
      <c r="C45" s="1156" t="s">
        <v>13059</v>
      </c>
      <c r="D45" s="1157">
        <v>17676760.780000001</v>
      </c>
      <c r="E45" s="1158">
        <v>44734</v>
      </c>
      <c r="F45" s="1156" t="s">
        <v>13060</v>
      </c>
      <c r="G45" s="1156" t="s">
        <v>13108</v>
      </c>
      <c r="H45" s="1156" t="s">
        <v>13062</v>
      </c>
      <c r="I45" s="1156" t="s">
        <v>13020</v>
      </c>
      <c r="J45" s="1156" t="s">
        <v>13149</v>
      </c>
      <c r="K45" s="1156" t="s">
        <v>13150</v>
      </c>
      <c r="L45" s="1157">
        <v>3300</v>
      </c>
      <c r="M45" s="1159">
        <v>4575</v>
      </c>
      <c r="N45" s="1157">
        <v>104877.65</v>
      </c>
      <c r="O45" s="1157">
        <v>0</v>
      </c>
      <c r="P45" s="1156" t="s">
        <v>2</v>
      </c>
      <c r="Q45" s="1157">
        <v>15097500</v>
      </c>
      <c r="R45" s="1157">
        <v>0</v>
      </c>
      <c r="S45" s="1156" t="s">
        <v>125</v>
      </c>
      <c r="T45" s="1157">
        <v>-34628.57</v>
      </c>
      <c r="U45" s="1160">
        <v>0.59330799999999995</v>
      </c>
      <c r="V45" s="1160">
        <v>143.95345</v>
      </c>
      <c r="W45" s="1158"/>
      <c r="X45" s="1156" t="s">
        <v>13111</v>
      </c>
      <c r="Y45" s="1156" t="s">
        <v>13066</v>
      </c>
      <c r="Z45" s="1156" t="s">
        <v>1794</v>
      </c>
      <c r="AA45" s="1156" t="s">
        <v>13067</v>
      </c>
      <c r="AD45" s="1162" t="s">
        <v>13161</v>
      </c>
      <c r="AE45" s="100">
        <v>6700</v>
      </c>
      <c r="AF45" s="100">
        <v>257500</v>
      </c>
    </row>
    <row r="46" spans="1:32" ht="25" customHeight="1">
      <c r="A46" s="1156" t="s">
        <v>13057</v>
      </c>
      <c r="B46" s="1156" t="s">
        <v>13058</v>
      </c>
      <c r="C46" s="1156" t="s">
        <v>13059</v>
      </c>
      <c r="D46" s="1157">
        <v>17676760.780000001</v>
      </c>
      <c r="E46" s="1158">
        <v>44734</v>
      </c>
      <c r="F46" s="1156" t="s">
        <v>13060</v>
      </c>
      <c r="G46" s="1156" t="s">
        <v>13108</v>
      </c>
      <c r="H46" s="1156" t="s">
        <v>13062</v>
      </c>
      <c r="I46" s="1156" t="s">
        <v>12926</v>
      </c>
      <c r="J46" s="1156" t="s">
        <v>13151</v>
      </c>
      <c r="K46" s="1156" t="s">
        <v>13152</v>
      </c>
      <c r="L46" s="1157">
        <v>3800</v>
      </c>
      <c r="M46" s="1159">
        <v>4120</v>
      </c>
      <c r="N46" s="1157">
        <v>108757.38</v>
      </c>
      <c r="O46" s="1157">
        <v>0</v>
      </c>
      <c r="P46" s="1156" t="s">
        <v>2</v>
      </c>
      <c r="Q46" s="1157">
        <v>15656000</v>
      </c>
      <c r="R46" s="1157">
        <v>0</v>
      </c>
      <c r="S46" s="1156" t="s">
        <v>125</v>
      </c>
      <c r="T46" s="1157">
        <v>-15871.28</v>
      </c>
      <c r="U46" s="1160">
        <v>0.61525600000000003</v>
      </c>
      <c r="V46" s="1160">
        <v>143.95345</v>
      </c>
      <c r="W46" s="1158"/>
      <c r="X46" s="1156" t="s">
        <v>13111</v>
      </c>
      <c r="Y46" s="1156" t="s">
        <v>13066</v>
      </c>
      <c r="Z46" s="1156" t="s">
        <v>1794</v>
      </c>
      <c r="AA46" s="1156" t="s">
        <v>13067</v>
      </c>
      <c r="AD46" s="1162" t="s">
        <v>13163</v>
      </c>
      <c r="AE46" s="100">
        <v>16900</v>
      </c>
      <c r="AF46" s="100">
        <v>39550</v>
      </c>
    </row>
    <row r="47" spans="1:32" ht="25" customHeight="1">
      <c r="A47" s="1156" t="s">
        <v>13057</v>
      </c>
      <c r="B47" s="1156" t="s">
        <v>13058</v>
      </c>
      <c r="C47" s="1156" t="s">
        <v>13059</v>
      </c>
      <c r="D47" s="1157">
        <v>17676760.780000001</v>
      </c>
      <c r="E47" s="1158">
        <v>44734</v>
      </c>
      <c r="F47" s="1156" t="s">
        <v>13060</v>
      </c>
      <c r="G47" s="1156" t="s">
        <v>13108</v>
      </c>
      <c r="H47" s="1156" t="s">
        <v>13062</v>
      </c>
      <c r="I47" s="1156" t="s">
        <v>12927</v>
      </c>
      <c r="J47" s="1156" t="s">
        <v>13094</v>
      </c>
      <c r="K47" s="1156" t="s">
        <v>13095</v>
      </c>
      <c r="L47" s="1157">
        <v>22000</v>
      </c>
      <c r="M47" s="1159">
        <v>1947</v>
      </c>
      <c r="N47" s="1157">
        <v>297554.52</v>
      </c>
      <c r="O47" s="1157">
        <v>0</v>
      </c>
      <c r="P47" s="1156" t="s">
        <v>2</v>
      </c>
      <c r="Q47" s="1157">
        <v>42834000</v>
      </c>
      <c r="R47" s="1157">
        <v>0</v>
      </c>
      <c r="S47" s="1156" t="s">
        <v>125</v>
      </c>
      <c r="T47" s="1157">
        <v>-142138</v>
      </c>
      <c r="U47" s="1160">
        <v>1.6833089999999999</v>
      </c>
      <c r="V47" s="1160">
        <v>143.95345</v>
      </c>
      <c r="W47" s="1158"/>
      <c r="X47" s="1156" t="s">
        <v>13111</v>
      </c>
      <c r="Y47" s="1156" t="s">
        <v>13066</v>
      </c>
      <c r="Z47" s="1156" t="s">
        <v>1794</v>
      </c>
      <c r="AA47" s="1156" t="s">
        <v>13067</v>
      </c>
      <c r="AD47" s="1162" t="s">
        <v>13165</v>
      </c>
      <c r="AE47" s="100">
        <v>9000</v>
      </c>
      <c r="AF47" s="100">
        <v>41900</v>
      </c>
    </row>
    <row r="48" spans="1:32" ht="25" customHeight="1">
      <c r="A48" s="1156" t="s">
        <v>13057</v>
      </c>
      <c r="B48" s="1156" t="s">
        <v>13058</v>
      </c>
      <c r="C48" s="1156" t="s">
        <v>13059</v>
      </c>
      <c r="D48" s="1157">
        <v>17676760.780000001</v>
      </c>
      <c r="E48" s="1158">
        <v>44734</v>
      </c>
      <c r="F48" s="1156" t="s">
        <v>13060</v>
      </c>
      <c r="G48" s="1156" t="s">
        <v>13108</v>
      </c>
      <c r="H48" s="1156" t="s">
        <v>13062</v>
      </c>
      <c r="I48" s="1156" t="s">
        <v>12928</v>
      </c>
      <c r="J48" s="1156" t="s">
        <v>13096</v>
      </c>
      <c r="K48" s="1156" t="s">
        <v>13097</v>
      </c>
      <c r="L48" s="1157">
        <v>17000</v>
      </c>
      <c r="M48" s="1159">
        <v>1000</v>
      </c>
      <c r="N48" s="1157">
        <v>118093.73</v>
      </c>
      <c r="O48" s="1157">
        <v>0</v>
      </c>
      <c r="P48" s="1156" t="s">
        <v>2</v>
      </c>
      <c r="Q48" s="1157">
        <v>17000000</v>
      </c>
      <c r="R48" s="1157">
        <v>0</v>
      </c>
      <c r="S48" s="1156" t="s">
        <v>125</v>
      </c>
      <c r="T48" s="1157">
        <v>-36237.589999999997</v>
      </c>
      <c r="U48" s="1160">
        <v>0.66807300000000003</v>
      </c>
      <c r="V48" s="1160">
        <v>143.95345</v>
      </c>
      <c r="W48" s="1158"/>
      <c r="X48" s="1156" t="s">
        <v>13111</v>
      </c>
      <c r="Y48" s="1156" t="s">
        <v>13066</v>
      </c>
      <c r="Z48" s="1156" t="s">
        <v>1794</v>
      </c>
      <c r="AA48" s="1156" t="s">
        <v>13067</v>
      </c>
      <c r="AD48" s="1162" t="s">
        <v>13167</v>
      </c>
      <c r="AE48" s="100">
        <v>59</v>
      </c>
      <c r="AF48" s="100">
        <v>208500</v>
      </c>
    </row>
    <row r="49" spans="1:32" ht="62.5" customHeight="1">
      <c r="A49" s="1156" t="s">
        <v>13057</v>
      </c>
      <c r="B49" s="1156" t="s">
        <v>13058</v>
      </c>
      <c r="C49" s="1156" t="s">
        <v>13059</v>
      </c>
      <c r="D49" s="1157">
        <v>17676760.780000001</v>
      </c>
      <c r="E49" s="1158">
        <v>44734</v>
      </c>
      <c r="F49" s="1156" t="s">
        <v>13060</v>
      </c>
      <c r="G49" s="1156" t="s">
        <v>13108</v>
      </c>
      <c r="H49" s="1156" t="s">
        <v>13062</v>
      </c>
      <c r="I49" s="1156" t="s">
        <v>12929</v>
      </c>
      <c r="J49" s="1156" t="s">
        <v>13098</v>
      </c>
      <c r="K49" s="1156" t="s">
        <v>13099</v>
      </c>
      <c r="L49" s="1157">
        <v>17000</v>
      </c>
      <c r="M49" s="1159">
        <v>1351</v>
      </c>
      <c r="N49" s="1157">
        <v>159544.63</v>
      </c>
      <c r="O49" s="1157">
        <v>0</v>
      </c>
      <c r="P49" s="1156" t="s">
        <v>2</v>
      </c>
      <c r="Q49" s="1157">
        <v>22967000</v>
      </c>
      <c r="R49" s="1157">
        <v>0</v>
      </c>
      <c r="S49" s="1156" t="s">
        <v>125</v>
      </c>
      <c r="T49" s="1157">
        <v>-10183.73</v>
      </c>
      <c r="U49" s="1160">
        <v>0.90256700000000001</v>
      </c>
      <c r="V49" s="1160">
        <v>143.95345</v>
      </c>
      <c r="W49" s="1158"/>
      <c r="X49" s="1156" t="s">
        <v>13111</v>
      </c>
      <c r="Y49" s="1156" t="s">
        <v>13066</v>
      </c>
      <c r="Z49" s="1156" t="s">
        <v>1794</v>
      </c>
      <c r="AA49" s="1156" t="s">
        <v>13067</v>
      </c>
      <c r="AD49" s="1162" t="s">
        <v>13169</v>
      </c>
      <c r="AE49" s="100">
        <v>9200</v>
      </c>
      <c r="AF49" s="100">
        <v>128000</v>
      </c>
    </row>
    <row r="50" spans="1:32" ht="62.5" customHeight="1">
      <c r="A50" s="1156" t="s">
        <v>13057</v>
      </c>
      <c r="B50" s="1156" t="s">
        <v>13058</v>
      </c>
      <c r="C50" s="1156" t="s">
        <v>13059</v>
      </c>
      <c r="D50" s="1157">
        <v>17676760.780000001</v>
      </c>
      <c r="E50" s="1158">
        <v>44734</v>
      </c>
      <c r="F50" s="1156" t="s">
        <v>13060</v>
      </c>
      <c r="G50" s="1156" t="s">
        <v>13108</v>
      </c>
      <c r="H50" s="1156" t="s">
        <v>13062</v>
      </c>
      <c r="I50" s="1156" t="s">
        <v>12930</v>
      </c>
      <c r="J50" s="1156" t="s">
        <v>13153</v>
      </c>
      <c r="K50" s="1156" t="s">
        <v>13154</v>
      </c>
      <c r="L50" s="1157">
        <v>69000</v>
      </c>
      <c r="M50" s="1159">
        <v>345</v>
      </c>
      <c r="N50" s="1157">
        <v>165365.96</v>
      </c>
      <c r="O50" s="1157">
        <v>0</v>
      </c>
      <c r="P50" s="1156" t="s">
        <v>2</v>
      </c>
      <c r="Q50" s="1157">
        <v>23805000</v>
      </c>
      <c r="R50" s="1157">
        <v>0</v>
      </c>
      <c r="S50" s="1156" t="s">
        <v>125</v>
      </c>
      <c r="T50" s="1157">
        <v>11215.11</v>
      </c>
      <c r="U50" s="1160">
        <v>0.93549899999999997</v>
      </c>
      <c r="V50" s="1160">
        <v>143.95345</v>
      </c>
      <c r="W50" s="1158"/>
      <c r="X50" s="1156" t="s">
        <v>13111</v>
      </c>
      <c r="Y50" s="1156" t="s">
        <v>13066</v>
      </c>
      <c r="Z50" s="1156" t="s">
        <v>1794</v>
      </c>
      <c r="AA50" s="1156" t="s">
        <v>13067</v>
      </c>
      <c r="AD50" s="1162" t="s">
        <v>13171</v>
      </c>
      <c r="AE50" s="100">
        <v>341291</v>
      </c>
      <c r="AF50" s="100">
        <v>0.80800000000000005</v>
      </c>
    </row>
    <row r="51" spans="1:32" ht="62.5">
      <c r="A51" s="1156" t="s">
        <v>13057</v>
      </c>
      <c r="B51" s="1156" t="s">
        <v>13058</v>
      </c>
      <c r="C51" s="1156" t="s">
        <v>13059</v>
      </c>
      <c r="D51" s="1157">
        <v>17676760.780000001</v>
      </c>
      <c r="E51" s="1158">
        <v>44734</v>
      </c>
      <c r="F51" s="1156" t="s">
        <v>13060</v>
      </c>
      <c r="G51" s="1156" t="s">
        <v>13108</v>
      </c>
      <c r="H51" s="1156" t="s">
        <v>13062</v>
      </c>
      <c r="I51" s="1156" t="s">
        <v>13234</v>
      </c>
      <c r="J51" s="1156" t="s">
        <v>13235</v>
      </c>
      <c r="K51" s="1156" t="s">
        <v>13236</v>
      </c>
      <c r="L51" s="1157">
        <v>6900</v>
      </c>
      <c r="M51" s="1159">
        <v>2191</v>
      </c>
      <c r="N51" s="1157">
        <v>105019.37</v>
      </c>
      <c r="O51" s="1157">
        <v>0</v>
      </c>
      <c r="P51" s="1156" t="s">
        <v>2</v>
      </c>
      <c r="Q51" s="1157">
        <v>15117900</v>
      </c>
      <c r="R51" s="1157">
        <v>0</v>
      </c>
      <c r="S51" s="1156" t="s">
        <v>125</v>
      </c>
      <c r="T51" s="1157">
        <v>-6334.09</v>
      </c>
      <c r="U51" s="1160">
        <v>0.59411000000000003</v>
      </c>
      <c r="V51" s="1160">
        <v>143.95345</v>
      </c>
      <c r="W51" s="1158"/>
      <c r="X51" s="1156" t="s">
        <v>13111</v>
      </c>
      <c r="Y51" s="1156" t="s">
        <v>13066</v>
      </c>
      <c r="Z51" s="1156" t="s">
        <v>1794</v>
      </c>
      <c r="AA51" s="1156" t="s">
        <v>13067</v>
      </c>
      <c r="AD51" s="1162" t="s">
        <v>13173</v>
      </c>
      <c r="AE51" s="100">
        <v>14000</v>
      </c>
      <c r="AF51" s="100">
        <v>7.42</v>
      </c>
    </row>
    <row r="52" spans="1:32" ht="62.5">
      <c r="A52" s="1156" t="s">
        <v>13057</v>
      </c>
      <c r="B52" s="1156" t="s">
        <v>13058</v>
      </c>
      <c r="C52" s="1156" t="s">
        <v>13059</v>
      </c>
      <c r="D52" s="1157">
        <v>17676760.780000001</v>
      </c>
      <c r="E52" s="1158">
        <v>44734</v>
      </c>
      <c r="F52" s="1156" t="s">
        <v>13060</v>
      </c>
      <c r="G52" s="1156" t="s">
        <v>13108</v>
      </c>
      <c r="H52" s="1156" t="s">
        <v>13062</v>
      </c>
      <c r="I52" s="1156" t="s">
        <v>13021</v>
      </c>
      <c r="J52" s="1156" t="s">
        <v>13100</v>
      </c>
      <c r="K52" s="1156" t="s">
        <v>13101</v>
      </c>
      <c r="L52" s="1157">
        <v>180000</v>
      </c>
      <c r="M52" s="1159">
        <v>1108</v>
      </c>
      <c r="N52" s="1157">
        <v>1385447.87</v>
      </c>
      <c r="O52" s="1157">
        <v>0</v>
      </c>
      <c r="P52" s="1156" t="s">
        <v>2</v>
      </c>
      <c r="Q52" s="1157">
        <v>199440000</v>
      </c>
      <c r="R52" s="1157">
        <v>0</v>
      </c>
      <c r="S52" s="1156" t="s">
        <v>125</v>
      </c>
      <c r="T52" s="1157">
        <v>-181934.3</v>
      </c>
      <c r="U52" s="1160">
        <v>7.8376799999999998</v>
      </c>
      <c r="V52" s="1160">
        <v>143.95345</v>
      </c>
      <c r="W52" s="1158"/>
      <c r="X52" s="1156" t="s">
        <v>13111</v>
      </c>
      <c r="Y52" s="1156" t="s">
        <v>13066</v>
      </c>
      <c r="Z52" s="1156" t="s">
        <v>1794</v>
      </c>
      <c r="AA52" s="1156" t="s">
        <v>13067</v>
      </c>
      <c r="AD52" s="1162" t="s">
        <v>13176</v>
      </c>
      <c r="AE52" s="100">
        <v>17000</v>
      </c>
      <c r="AF52" s="100">
        <v>0</v>
      </c>
    </row>
    <row r="53" spans="1:32" ht="62.5">
      <c r="A53" s="1156" t="s">
        <v>13057</v>
      </c>
      <c r="B53" s="1156" t="s">
        <v>13058</v>
      </c>
      <c r="C53" s="1156" t="s">
        <v>13059</v>
      </c>
      <c r="D53" s="1157">
        <v>17676760.780000001</v>
      </c>
      <c r="E53" s="1158">
        <v>44734</v>
      </c>
      <c r="F53" s="1156" t="s">
        <v>13060</v>
      </c>
      <c r="G53" s="1156" t="s">
        <v>13108</v>
      </c>
      <c r="H53" s="1156" t="s">
        <v>13062</v>
      </c>
      <c r="I53" s="1156" t="s">
        <v>13022</v>
      </c>
      <c r="J53" s="1156" t="s">
        <v>13155</v>
      </c>
      <c r="K53" s="1156" t="s">
        <v>13156</v>
      </c>
      <c r="L53" s="1157">
        <v>9000</v>
      </c>
      <c r="M53" s="1159">
        <v>1958</v>
      </c>
      <c r="N53" s="1157">
        <v>122414.57</v>
      </c>
      <c r="O53" s="1157">
        <v>0</v>
      </c>
      <c r="P53" s="1156" t="s">
        <v>2</v>
      </c>
      <c r="Q53" s="1157">
        <v>17622000</v>
      </c>
      <c r="R53" s="1157">
        <v>0</v>
      </c>
      <c r="S53" s="1156" t="s">
        <v>125</v>
      </c>
      <c r="T53" s="1157">
        <v>-21699.11</v>
      </c>
      <c r="U53" s="1160">
        <v>0.69251700000000005</v>
      </c>
      <c r="V53" s="1160">
        <v>143.95345</v>
      </c>
      <c r="W53" s="1158"/>
      <c r="X53" s="1156" t="s">
        <v>13111</v>
      </c>
      <c r="Y53" s="1156" t="s">
        <v>13066</v>
      </c>
      <c r="Z53" s="1156" t="s">
        <v>1794</v>
      </c>
      <c r="AA53" s="1156" t="s">
        <v>13067</v>
      </c>
      <c r="AD53" s="1162" t="s">
        <v>13235</v>
      </c>
      <c r="AE53" s="100">
        <v>6900</v>
      </c>
      <c r="AF53" s="100">
        <v>2191</v>
      </c>
    </row>
    <row r="54" spans="1:32" ht="62.5">
      <c r="A54" s="1156" t="s">
        <v>13057</v>
      </c>
      <c r="B54" s="1156" t="s">
        <v>13058</v>
      </c>
      <c r="C54" s="1156" t="s">
        <v>13059</v>
      </c>
      <c r="D54" s="1157">
        <v>17676760.780000001</v>
      </c>
      <c r="E54" s="1158">
        <v>44734</v>
      </c>
      <c r="F54" s="1156" t="s">
        <v>13060</v>
      </c>
      <c r="G54" s="1156" t="s">
        <v>13108</v>
      </c>
      <c r="H54" s="1156" t="s">
        <v>13062</v>
      </c>
      <c r="I54" s="1156" t="s">
        <v>12949</v>
      </c>
      <c r="J54" s="1156" t="s">
        <v>13102</v>
      </c>
      <c r="K54" s="1156" t="s">
        <v>13103</v>
      </c>
      <c r="L54" s="1157">
        <v>3300</v>
      </c>
      <c r="M54" s="1159">
        <v>242500</v>
      </c>
      <c r="N54" s="1157">
        <v>582044.06999999995</v>
      </c>
      <c r="O54" s="1157">
        <v>0</v>
      </c>
      <c r="P54" s="1156" t="s">
        <v>2</v>
      </c>
      <c r="Q54" s="1157">
        <v>800250000</v>
      </c>
      <c r="R54" s="1157">
        <v>0</v>
      </c>
      <c r="S54" s="1156" t="s">
        <v>123</v>
      </c>
      <c r="T54" s="1157">
        <v>-24736.47</v>
      </c>
      <c r="U54" s="1160">
        <v>3.2927080000000002</v>
      </c>
      <c r="V54" s="1160">
        <v>1374.8959</v>
      </c>
      <c r="W54" s="1158"/>
      <c r="X54" s="1156" t="s">
        <v>13111</v>
      </c>
      <c r="Y54" s="1156" t="s">
        <v>13104</v>
      </c>
      <c r="Z54" s="1156" t="s">
        <v>1794</v>
      </c>
      <c r="AA54" s="1156" t="s">
        <v>13067</v>
      </c>
      <c r="AD54" s="1162" t="s">
        <v>12876</v>
      </c>
      <c r="AE54" s="100">
        <v>3849480</v>
      </c>
      <c r="AF54" s="100">
        <v>1281094.0044999998</v>
      </c>
    </row>
    <row r="55" spans="1:32" ht="62.5">
      <c r="A55" s="1156" t="s">
        <v>13057</v>
      </c>
      <c r="B55" s="1156" t="s">
        <v>13058</v>
      </c>
      <c r="C55" s="1156" t="s">
        <v>13059</v>
      </c>
      <c r="D55" s="1157">
        <v>17676760.780000001</v>
      </c>
      <c r="E55" s="1158">
        <v>44734</v>
      </c>
      <c r="F55" s="1156" t="s">
        <v>13060</v>
      </c>
      <c r="G55" s="1156" t="s">
        <v>13108</v>
      </c>
      <c r="H55" s="1156" t="s">
        <v>13062</v>
      </c>
      <c r="I55" s="1156" t="s">
        <v>12938</v>
      </c>
      <c r="J55" s="1156" t="s">
        <v>13157</v>
      </c>
      <c r="K55" s="1156" t="s">
        <v>13158</v>
      </c>
      <c r="L55" s="1157">
        <v>690</v>
      </c>
      <c r="M55" s="1159">
        <v>277500</v>
      </c>
      <c r="N55" s="1157">
        <v>139265.09</v>
      </c>
      <c r="O55" s="1157">
        <v>0</v>
      </c>
      <c r="P55" s="1156" t="s">
        <v>2</v>
      </c>
      <c r="Q55" s="1157">
        <v>191475000</v>
      </c>
      <c r="R55" s="1157">
        <v>0</v>
      </c>
      <c r="S55" s="1156" t="s">
        <v>123</v>
      </c>
      <c r="T55" s="1157">
        <v>91131.1</v>
      </c>
      <c r="U55" s="1160">
        <v>0.78784299999999996</v>
      </c>
      <c r="V55" s="1160">
        <v>1374.8959</v>
      </c>
      <c r="W55" s="1158"/>
      <c r="X55" s="1156" t="s">
        <v>13111</v>
      </c>
      <c r="Y55" s="1156" t="s">
        <v>13104</v>
      </c>
      <c r="Z55" s="1156" t="s">
        <v>1794</v>
      </c>
      <c r="AA55" s="1156" t="s">
        <v>13067</v>
      </c>
    </row>
    <row r="56" spans="1:32" ht="62.5">
      <c r="A56" s="1156" t="s">
        <v>13057</v>
      </c>
      <c r="B56" s="1156" t="s">
        <v>13058</v>
      </c>
      <c r="C56" s="1156" t="s">
        <v>13059</v>
      </c>
      <c r="D56" s="1157">
        <v>17676760.780000001</v>
      </c>
      <c r="E56" s="1158">
        <v>44734</v>
      </c>
      <c r="F56" s="1156" t="s">
        <v>13060</v>
      </c>
      <c r="G56" s="1156" t="s">
        <v>13108</v>
      </c>
      <c r="H56" s="1156" t="s">
        <v>13062</v>
      </c>
      <c r="I56" s="1156" t="s">
        <v>12931</v>
      </c>
      <c r="J56" s="1156" t="s">
        <v>13159</v>
      </c>
      <c r="K56" s="1156" t="s">
        <v>13160</v>
      </c>
      <c r="L56" s="1157">
        <v>15200</v>
      </c>
      <c r="M56" s="1159">
        <v>19500</v>
      </c>
      <c r="N56" s="1157">
        <v>215579.96</v>
      </c>
      <c r="O56" s="1157">
        <v>0</v>
      </c>
      <c r="P56" s="1156" t="s">
        <v>2</v>
      </c>
      <c r="Q56" s="1157">
        <v>296400000</v>
      </c>
      <c r="R56" s="1157">
        <v>0</v>
      </c>
      <c r="S56" s="1156" t="s">
        <v>123</v>
      </c>
      <c r="T56" s="1157">
        <v>-178501.38</v>
      </c>
      <c r="U56" s="1160">
        <v>1.2195670000000001</v>
      </c>
      <c r="V56" s="1160">
        <v>1374.8959</v>
      </c>
      <c r="W56" s="1158"/>
      <c r="X56" s="1156" t="s">
        <v>13111</v>
      </c>
      <c r="Y56" s="1156" t="s">
        <v>13104</v>
      </c>
      <c r="Z56" s="1156" t="s">
        <v>1794</v>
      </c>
      <c r="AA56" s="1156" t="s">
        <v>13067</v>
      </c>
    </row>
    <row r="57" spans="1:32" ht="62.5">
      <c r="A57" s="1156" t="s">
        <v>13057</v>
      </c>
      <c r="B57" s="1156" t="s">
        <v>13058</v>
      </c>
      <c r="C57" s="1156" t="s">
        <v>13059</v>
      </c>
      <c r="D57" s="1157">
        <v>17676760.780000001</v>
      </c>
      <c r="E57" s="1158">
        <v>44734</v>
      </c>
      <c r="F57" s="1156" t="s">
        <v>13060</v>
      </c>
      <c r="G57" s="1156" t="s">
        <v>13108</v>
      </c>
      <c r="H57" s="1156" t="s">
        <v>13062</v>
      </c>
      <c r="I57" s="1156" t="s">
        <v>12939</v>
      </c>
      <c r="J57" s="1156" t="s">
        <v>13161</v>
      </c>
      <c r="K57" s="1156" t="s">
        <v>13162</v>
      </c>
      <c r="L57" s="1157">
        <v>6700</v>
      </c>
      <c r="M57" s="1159">
        <v>257500</v>
      </c>
      <c r="N57" s="1157">
        <v>1254822.27</v>
      </c>
      <c r="O57" s="1157">
        <v>0</v>
      </c>
      <c r="P57" s="1156" t="s">
        <v>2</v>
      </c>
      <c r="Q57" s="1157">
        <v>1725250000</v>
      </c>
      <c r="R57" s="1157">
        <v>0</v>
      </c>
      <c r="S57" s="1156" t="s">
        <v>123</v>
      </c>
      <c r="T57" s="1157">
        <v>-155637.93</v>
      </c>
      <c r="U57" s="1160">
        <v>7.0987119999999999</v>
      </c>
      <c r="V57" s="1160">
        <v>1374.8959</v>
      </c>
      <c r="W57" s="1158"/>
      <c r="X57" s="1156" t="s">
        <v>13111</v>
      </c>
      <c r="Y57" s="1156" t="s">
        <v>13104</v>
      </c>
      <c r="Z57" s="1156" t="s">
        <v>1794</v>
      </c>
      <c r="AA57" s="1156" t="s">
        <v>13067</v>
      </c>
    </row>
    <row r="58" spans="1:32" ht="62.5">
      <c r="A58" s="1156" t="s">
        <v>13057</v>
      </c>
      <c r="B58" s="1156" t="s">
        <v>13058</v>
      </c>
      <c r="C58" s="1156" t="s">
        <v>13059</v>
      </c>
      <c r="D58" s="1157">
        <v>17676760.780000001</v>
      </c>
      <c r="E58" s="1158">
        <v>44734</v>
      </c>
      <c r="F58" s="1156" t="s">
        <v>13060</v>
      </c>
      <c r="G58" s="1156" t="s">
        <v>13108</v>
      </c>
      <c r="H58" s="1156" t="s">
        <v>13062</v>
      </c>
      <c r="I58" s="1156" t="s">
        <v>12932</v>
      </c>
      <c r="J58" s="1156" t="s">
        <v>13163</v>
      </c>
      <c r="K58" s="1156" t="s">
        <v>13164</v>
      </c>
      <c r="L58" s="1157">
        <v>16900</v>
      </c>
      <c r="M58" s="1159">
        <v>39550</v>
      </c>
      <c r="N58" s="1157">
        <v>486142.26</v>
      </c>
      <c r="O58" s="1157">
        <v>0</v>
      </c>
      <c r="P58" s="1156" t="s">
        <v>2</v>
      </c>
      <c r="Q58" s="1157">
        <v>668395000</v>
      </c>
      <c r="R58" s="1157">
        <v>0</v>
      </c>
      <c r="S58" s="1156" t="s">
        <v>123</v>
      </c>
      <c r="T58" s="1157">
        <v>7268.09</v>
      </c>
      <c r="U58" s="1160">
        <v>2.7501769999999999</v>
      </c>
      <c r="V58" s="1160">
        <v>1374.8959</v>
      </c>
      <c r="W58" s="1158"/>
      <c r="X58" s="1156" t="s">
        <v>13111</v>
      </c>
      <c r="Y58" s="1156" t="s">
        <v>13104</v>
      </c>
      <c r="Z58" s="1156" t="s">
        <v>1794</v>
      </c>
      <c r="AA58" s="1156" t="s">
        <v>13067</v>
      </c>
    </row>
    <row r="59" spans="1:32" ht="62.5">
      <c r="A59" s="1156" t="s">
        <v>13057</v>
      </c>
      <c r="B59" s="1156" t="s">
        <v>13058</v>
      </c>
      <c r="C59" s="1156" t="s">
        <v>13059</v>
      </c>
      <c r="D59" s="1157">
        <v>17676760.780000001</v>
      </c>
      <c r="E59" s="1158">
        <v>44734</v>
      </c>
      <c r="F59" s="1156" t="s">
        <v>13060</v>
      </c>
      <c r="G59" s="1156" t="s">
        <v>13108</v>
      </c>
      <c r="H59" s="1156" t="s">
        <v>13062</v>
      </c>
      <c r="I59" s="1156" t="s">
        <v>12933</v>
      </c>
      <c r="J59" s="1156" t="s">
        <v>13165</v>
      </c>
      <c r="K59" s="1156" t="s">
        <v>13166</v>
      </c>
      <c r="L59" s="1157">
        <v>9000</v>
      </c>
      <c r="M59" s="1159">
        <v>41900</v>
      </c>
      <c r="N59" s="1157">
        <v>274275.31</v>
      </c>
      <c r="O59" s="1157">
        <v>0</v>
      </c>
      <c r="P59" s="1156" t="s">
        <v>2</v>
      </c>
      <c r="Q59" s="1157">
        <v>377100000</v>
      </c>
      <c r="R59" s="1157">
        <v>0</v>
      </c>
      <c r="S59" s="1156" t="s">
        <v>123</v>
      </c>
      <c r="T59" s="1157">
        <v>-55126.64</v>
      </c>
      <c r="U59" s="1160">
        <v>1.551615</v>
      </c>
      <c r="V59" s="1160">
        <v>1374.8959</v>
      </c>
      <c r="W59" s="1158"/>
      <c r="X59" s="1156" t="s">
        <v>13111</v>
      </c>
      <c r="Y59" s="1156" t="s">
        <v>13104</v>
      </c>
      <c r="Z59" s="1156" t="s">
        <v>1794</v>
      </c>
      <c r="AA59" s="1156" t="s">
        <v>13067</v>
      </c>
    </row>
    <row r="60" spans="1:32" ht="62.5">
      <c r="A60" s="1156" t="s">
        <v>13057</v>
      </c>
      <c r="B60" s="1156" t="s">
        <v>13058</v>
      </c>
      <c r="C60" s="1156" t="s">
        <v>13059</v>
      </c>
      <c r="D60" s="1157">
        <v>17676760.780000001</v>
      </c>
      <c r="E60" s="1158">
        <v>44734</v>
      </c>
      <c r="F60" s="1156" t="s">
        <v>13060</v>
      </c>
      <c r="G60" s="1156" t="s">
        <v>13108</v>
      </c>
      <c r="H60" s="1156" t="s">
        <v>13062</v>
      </c>
      <c r="I60" s="1156" t="s">
        <v>13023</v>
      </c>
      <c r="J60" s="1156" t="s">
        <v>13167</v>
      </c>
      <c r="K60" s="1156" t="s">
        <v>13168</v>
      </c>
      <c r="L60" s="1157">
        <v>59</v>
      </c>
      <c r="M60" s="1159">
        <v>208500</v>
      </c>
      <c r="N60" s="1157">
        <v>8947.2199999999993</v>
      </c>
      <c r="O60" s="1157">
        <v>0</v>
      </c>
      <c r="P60" s="1156" t="s">
        <v>2</v>
      </c>
      <c r="Q60" s="1157">
        <v>12301500</v>
      </c>
      <c r="R60" s="1157">
        <v>0</v>
      </c>
      <c r="S60" s="1156" t="s">
        <v>123</v>
      </c>
      <c r="T60" s="1157">
        <v>8947.2199999999993</v>
      </c>
      <c r="U60" s="1160">
        <v>5.0616000000000001E-2</v>
      </c>
      <c r="V60" s="1160">
        <v>1374.8959</v>
      </c>
      <c r="W60" s="1158"/>
      <c r="X60" s="1156" t="s">
        <v>13111</v>
      </c>
      <c r="Y60" s="1156" t="s">
        <v>13104</v>
      </c>
      <c r="Z60" s="1156" t="s">
        <v>1794</v>
      </c>
      <c r="AA60" s="1156" t="s">
        <v>13067</v>
      </c>
    </row>
    <row r="61" spans="1:32" ht="62.5">
      <c r="A61" s="1156" t="s">
        <v>13057</v>
      </c>
      <c r="B61" s="1156" t="s">
        <v>13058</v>
      </c>
      <c r="C61" s="1156" t="s">
        <v>13059</v>
      </c>
      <c r="D61" s="1157">
        <v>17676760.780000001</v>
      </c>
      <c r="E61" s="1158">
        <v>44734</v>
      </c>
      <c r="F61" s="1156" t="s">
        <v>13060</v>
      </c>
      <c r="G61" s="1156" t="s">
        <v>13108</v>
      </c>
      <c r="H61" s="1156" t="s">
        <v>13062</v>
      </c>
      <c r="I61" s="1156" t="s">
        <v>12934</v>
      </c>
      <c r="J61" s="1156" t="s">
        <v>13169</v>
      </c>
      <c r="K61" s="1156" t="s">
        <v>13170</v>
      </c>
      <c r="L61" s="1157">
        <v>9200</v>
      </c>
      <c r="M61" s="1159">
        <v>128000</v>
      </c>
      <c r="N61" s="1157">
        <v>856501.21</v>
      </c>
      <c r="O61" s="1157">
        <v>0</v>
      </c>
      <c r="P61" s="1156" t="s">
        <v>2</v>
      </c>
      <c r="Q61" s="1157">
        <v>1177600000</v>
      </c>
      <c r="R61" s="1157">
        <v>0</v>
      </c>
      <c r="S61" s="1156" t="s">
        <v>123</v>
      </c>
      <c r="T61" s="1157">
        <v>-20081.990000000002</v>
      </c>
      <c r="U61" s="1160">
        <v>4.8453520000000001</v>
      </c>
      <c r="V61" s="1160">
        <v>1374.8959</v>
      </c>
      <c r="W61" s="1158"/>
      <c r="X61" s="1156" t="s">
        <v>13111</v>
      </c>
      <c r="Y61" s="1156" t="s">
        <v>13104</v>
      </c>
      <c r="Z61" s="1156" t="s">
        <v>1794</v>
      </c>
      <c r="AA61" s="1156" t="s">
        <v>13067</v>
      </c>
    </row>
    <row r="62" spans="1:32" ht="62.5">
      <c r="A62" s="1156" t="s">
        <v>13057</v>
      </c>
      <c r="B62" s="1156" t="s">
        <v>13058</v>
      </c>
      <c r="C62" s="1156" t="s">
        <v>13059</v>
      </c>
      <c r="D62" s="1157">
        <v>17676760.780000001</v>
      </c>
      <c r="E62" s="1158">
        <v>44734</v>
      </c>
      <c r="F62" s="1156" t="s">
        <v>13060</v>
      </c>
      <c r="G62" s="1156" t="s">
        <v>13108</v>
      </c>
      <c r="H62" s="1156" t="s">
        <v>13062</v>
      </c>
      <c r="I62" s="1156" t="s">
        <v>12935</v>
      </c>
      <c r="J62" s="1156" t="s">
        <v>13171</v>
      </c>
      <c r="K62" s="1156" t="s">
        <v>13172</v>
      </c>
      <c r="L62" s="1157">
        <v>341291</v>
      </c>
      <c r="M62" s="1159">
        <v>0.80800000000000005</v>
      </c>
      <c r="N62" s="1157">
        <v>25878.67</v>
      </c>
      <c r="O62" s="1157">
        <v>0</v>
      </c>
      <c r="P62" s="1156" t="s">
        <v>2</v>
      </c>
      <c r="Q62" s="1157">
        <v>275763.13</v>
      </c>
      <c r="R62" s="1157">
        <v>0</v>
      </c>
      <c r="S62" s="1156" t="s">
        <v>1067</v>
      </c>
      <c r="T62" s="1157">
        <v>-9642.9699999999993</v>
      </c>
      <c r="U62" s="1160">
        <v>0.146399</v>
      </c>
      <c r="V62" s="1160">
        <v>10.656000000000001</v>
      </c>
      <c r="W62" s="1158"/>
      <c r="X62" s="1156" t="s">
        <v>13111</v>
      </c>
      <c r="Y62" s="1156" t="s">
        <v>13139</v>
      </c>
      <c r="Z62" s="1156" t="s">
        <v>1794</v>
      </c>
      <c r="AA62" s="1156" t="s">
        <v>13067</v>
      </c>
    </row>
    <row r="63" spans="1:32" ht="62.5">
      <c r="A63" s="1156" t="s">
        <v>13057</v>
      </c>
      <c r="B63" s="1156" t="s">
        <v>13058</v>
      </c>
      <c r="C63" s="1156" t="s">
        <v>13059</v>
      </c>
      <c r="D63" s="1157">
        <v>17676760.780000001</v>
      </c>
      <c r="E63" s="1158">
        <v>44734</v>
      </c>
      <c r="F63" s="1156" t="s">
        <v>13060</v>
      </c>
      <c r="G63" s="1156" t="s">
        <v>13108</v>
      </c>
      <c r="H63" s="1156" t="s">
        <v>13062</v>
      </c>
      <c r="I63" s="1156" t="s">
        <v>12936</v>
      </c>
      <c r="J63" s="1156" t="s">
        <v>13173</v>
      </c>
      <c r="K63" s="1156" t="s">
        <v>13174</v>
      </c>
      <c r="L63" s="1157">
        <v>14000</v>
      </c>
      <c r="M63" s="1159">
        <v>7.42</v>
      </c>
      <c r="N63" s="1157">
        <v>98032.37</v>
      </c>
      <c r="O63" s="1157">
        <v>0</v>
      </c>
      <c r="P63" s="1156" t="s">
        <v>2</v>
      </c>
      <c r="Q63" s="1157">
        <v>103880</v>
      </c>
      <c r="R63" s="1157">
        <v>0</v>
      </c>
      <c r="S63" s="1156" t="s">
        <v>3</v>
      </c>
      <c r="T63" s="1157">
        <v>-25634.02</v>
      </c>
      <c r="U63" s="1160">
        <v>0.55458300000000005</v>
      </c>
      <c r="V63" s="1160">
        <v>1.05965</v>
      </c>
      <c r="W63" s="1158"/>
      <c r="X63" s="1156" t="s">
        <v>13111</v>
      </c>
      <c r="Y63" s="1156" t="s">
        <v>13175</v>
      </c>
      <c r="Z63" s="1156" t="s">
        <v>1794</v>
      </c>
      <c r="AA63" s="1156" t="s">
        <v>13067</v>
      </c>
    </row>
    <row r="64" spans="1:32" ht="62.5">
      <c r="A64" s="1156" t="s">
        <v>13057</v>
      </c>
      <c r="B64" s="1156" t="s">
        <v>13058</v>
      </c>
      <c r="C64" s="1156" t="s">
        <v>13059</v>
      </c>
      <c r="D64" s="1157">
        <v>17676760.780000001</v>
      </c>
      <c r="E64" s="1158">
        <v>44734</v>
      </c>
      <c r="F64" s="1156" t="s">
        <v>13060</v>
      </c>
      <c r="G64" s="1156" t="s">
        <v>13108</v>
      </c>
      <c r="H64" s="1156" t="s">
        <v>13062</v>
      </c>
      <c r="I64" s="1156" t="s">
        <v>13029</v>
      </c>
      <c r="J64" s="1156" t="s">
        <v>13176</v>
      </c>
      <c r="K64" s="1156" t="s">
        <v>13177</v>
      </c>
      <c r="L64" s="1157">
        <v>17000</v>
      </c>
      <c r="M64" s="1159">
        <v>0</v>
      </c>
      <c r="N64" s="1157">
        <v>0</v>
      </c>
      <c r="O64" s="1157">
        <v>0</v>
      </c>
      <c r="P64" s="1156" t="s">
        <v>2</v>
      </c>
      <c r="Q64" s="1157">
        <v>0</v>
      </c>
      <c r="R64" s="1157">
        <v>0</v>
      </c>
      <c r="S64" s="1156" t="s">
        <v>3</v>
      </c>
      <c r="T64" s="1157">
        <v>-400111.83</v>
      </c>
      <c r="U64" s="1160">
        <v>0</v>
      </c>
      <c r="V64" s="1160">
        <v>1.05965</v>
      </c>
      <c r="W64" s="1158"/>
      <c r="X64" s="1156" t="s">
        <v>13111</v>
      </c>
      <c r="Y64" s="1156" t="s">
        <v>13178</v>
      </c>
      <c r="Z64" s="1156" t="s">
        <v>1794</v>
      </c>
      <c r="AA64" s="1156" t="s">
        <v>13067</v>
      </c>
    </row>
    <row r="65" spans="1:27" ht="62.5">
      <c r="A65" s="1156" t="s">
        <v>13057</v>
      </c>
      <c r="B65" s="1156" t="s">
        <v>13058</v>
      </c>
      <c r="C65" s="1156" t="s">
        <v>13059</v>
      </c>
      <c r="D65" s="1157">
        <v>17676760.780000001</v>
      </c>
      <c r="E65" s="1158">
        <v>44734</v>
      </c>
      <c r="F65" s="1156" t="s">
        <v>13060</v>
      </c>
      <c r="G65" s="1156" t="s">
        <v>13179</v>
      </c>
      <c r="H65" s="1156" t="s">
        <v>13062</v>
      </c>
      <c r="I65" s="1156" t="s">
        <v>13180</v>
      </c>
      <c r="J65" s="1156" t="s">
        <v>13181</v>
      </c>
      <c r="K65" s="1156" t="s">
        <v>132</v>
      </c>
      <c r="L65" s="1157">
        <v>-12896.37</v>
      </c>
      <c r="M65" s="1159">
        <v>1</v>
      </c>
      <c r="N65" s="1157">
        <v>-12896.37</v>
      </c>
      <c r="O65" s="1157">
        <v>0</v>
      </c>
      <c r="P65" s="1156" t="s">
        <v>2</v>
      </c>
      <c r="Q65" s="1157">
        <v>-12896.37</v>
      </c>
      <c r="R65" s="1157">
        <v>0</v>
      </c>
      <c r="S65" s="1156" t="s">
        <v>2</v>
      </c>
      <c r="T65" s="1157">
        <v>0</v>
      </c>
      <c r="U65" s="1160">
        <v>-7.2956999999999994E-2</v>
      </c>
      <c r="V65" s="1160">
        <v>1</v>
      </c>
      <c r="W65" s="1158"/>
      <c r="X65" s="1156" t="s">
        <v>13182</v>
      </c>
      <c r="Y65" s="1156" t="s">
        <v>132</v>
      </c>
      <c r="Z65" s="1156" t="s">
        <v>132</v>
      </c>
      <c r="AA65" s="1156" t="s">
        <v>132</v>
      </c>
    </row>
    <row r="66" spans="1:27" ht="62.5">
      <c r="A66" s="1156" t="s">
        <v>13057</v>
      </c>
      <c r="B66" s="1156" t="s">
        <v>13058</v>
      </c>
      <c r="C66" s="1156" t="s">
        <v>13059</v>
      </c>
      <c r="D66" s="1157">
        <v>17676760.780000001</v>
      </c>
      <c r="E66" s="1158">
        <v>44734</v>
      </c>
      <c r="F66" s="1156" t="s">
        <v>13060</v>
      </c>
      <c r="G66" s="1156" t="s">
        <v>13179</v>
      </c>
      <c r="H66" s="1156" t="s">
        <v>13062</v>
      </c>
      <c r="I66" s="1156" t="s">
        <v>13183</v>
      </c>
      <c r="J66" s="1156" t="s">
        <v>13184</v>
      </c>
      <c r="K66" s="1156" t="s">
        <v>132</v>
      </c>
      <c r="L66" s="1157">
        <v>975889.1</v>
      </c>
      <c r="M66" s="1159">
        <v>1</v>
      </c>
      <c r="N66" s="1157">
        <v>975889.1</v>
      </c>
      <c r="O66" s="1157">
        <v>-207.43</v>
      </c>
      <c r="P66" s="1156" t="s">
        <v>2</v>
      </c>
      <c r="Q66" s="1157">
        <v>975889.1</v>
      </c>
      <c r="R66" s="1157">
        <v>-207.43</v>
      </c>
      <c r="S66" s="1156" t="s">
        <v>2</v>
      </c>
      <c r="T66" s="1157">
        <v>0</v>
      </c>
      <c r="U66" s="1160">
        <v>5.5195730000000003</v>
      </c>
      <c r="V66" s="1160">
        <v>1</v>
      </c>
      <c r="W66" s="1158"/>
      <c r="X66" s="1156" t="s">
        <v>13185</v>
      </c>
      <c r="Y66" s="1156" t="s">
        <v>132</v>
      </c>
      <c r="Z66" s="1156" t="s">
        <v>1794</v>
      </c>
      <c r="AA66" s="1156" t="s">
        <v>13067</v>
      </c>
    </row>
    <row r="67" spans="1:27" ht="62.5">
      <c r="A67" s="1156" t="s">
        <v>13057</v>
      </c>
      <c r="B67" s="1156" t="s">
        <v>13058</v>
      </c>
      <c r="C67" s="1156" t="s">
        <v>13059</v>
      </c>
      <c r="D67" s="1157">
        <v>17676760.780000001</v>
      </c>
      <c r="E67" s="1158">
        <v>44734</v>
      </c>
      <c r="F67" s="1156" t="s">
        <v>13060</v>
      </c>
      <c r="G67" s="1156" t="s">
        <v>13179</v>
      </c>
      <c r="H67" s="1156" t="s">
        <v>13062</v>
      </c>
      <c r="I67" s="1156" t="s">
        <v>13183</v>
      </c>
      <c r="J67" s="1156" t="s">
        <v>13229</v>
      </c>
      <c r="K67" s="1156" t="s">
        <v>132</v>
      </c>
      <c r="L67" s="1157">
        <v>0</v>
      </c>
      <c r="M67" s="1159">
        <v>6.8999999999999999E-3</v>
      </c>
      <c r="N67" s="1157">
        <v>0</v>
      </c>
      <c r="O67" s="1157">
        <v>7.0000000000000007E-2</v>
      </c>
      <c r="P67" s="1156" t="s">
        <v>2</v>
      </c>
      <c r="Q67" s="1157">
        <v>0</v>
      </c>
      <c r="R67" s="1157">
        <v>10</v>
      </c>
      <c r="S67" s="1156" t="s">
        <v>125</v>
      </c>
      <c r="T67" s="1157">
        <v>0</v>
      </c>
      <c r="U67" s="1160">
        <v>0</v>
      </c>
      <c r="V67" s="1160">
        <v>143.95345</v>
      </c>
      <c r="W67" s="1158"/>
      <c r="X67" s="1156" t="s">
        <v>13185</v>
      </c>
      <c r="Y67" s="1156" t="s">
        <v>132</v>
      </c>
      <c r="Z67" s="1156" t="s">
        <v>1794</v>
      </c>
      <c r="AA67" s="1156" t="s">
        <v>13067</v>
      </c>
    </row>
    <row r="68" spans="1:27" ht="25" customHeight="1">
      <c r="A68" s="1156" t="s">
        <v>13057</v>
      </c>
      <c r="B68" s="1156" t="s">
        <v>13058</v>
      </c>
      <c r="C68" s="1156" t="s">
        <v>13059</v>
      </c>
      <c r="D68" s="1157">
        <v>17676760.780000001</v>
      </c>
      <c r="E68" s="1158">
        <v>44734</v>
      </c>
      <c r="F68" s="1156" t="s">
        <v>13060</v>
      </c>
      <c r="G68" s="1156" t="s">
        <v>13179</v>
      </c>
      <c r="H68" s="1156" t="s">
        <v>13062</v>
      </c>
      <c r="I68" s="1156" t="s">
        <v>13183</v>
      </c>
      <c r="J68" s="1156" t="s">
        <v>13186</v>
      </c>
      <c r="K68" s="1156" t="s">
        <v>132</v>
      </c>
      <c r="L68" s="1157">
        <v>80.930000000000007</v>
      </c>
      <c r="M68" s="1159">
        <v>0.94369999999999998</v>
      </c>
      <c r="N68" s="1157">
        <v>76.37</v>
      </c>
      <c r="O68" s="1157">
        <v>-0.12</v>
      </c>
      <c r="P68" s="1156" t="s">
        <v>2</v>
      </c>
      <c r="Q68" s="1157">
        <v>80.930000000000007</v>
      </c>
      <c r="R68" s="1157">
        <v>-0.13</v>
      </c>
      <c r="S68" s="1156" t="s">
        <v>3</v>
      </c>
      <c r="T68" s="1157">
        <v>-1.02</v>
      </c>
      <c r="U68" s="1160">
        <v>4.3100000000000001E-4</v>
      </c>
      <c r="V68" s="1160">
        <v>1.05965</v>
      </c>
      <c r="W68" s="1158"/>
      <c r="X68" s="1156" t="s">
        <v>13185</v>
      </c>
      <c r="Y68" s="1156" t="s">
        <v>132</v>
      </c>
      <c r="Z68" s="1156" t="s">
        <v>1794</v>
      </c>
      <c r="AA68" s="1156" t="s">
        <v>13067</v>
      </c>
    </row>
    <row r="69" spans="1:27" ht="25" customHeight="1">
      <c r="A69" s="1156" t="s">
        <v>13057</v>
      </c>
      <c r="B69" s="1156" t="s">
        <v>13058</v>
      </c>
      <c r="C69" s="1156" t="s">
        <v>13059</v>
      </c>
      <c r="D69" s="1157">
        <v>17676760.780000001</v>
      </c>
      <c r="E69" s="1158">
        <v>44734</v>
      </c>
      <c r="F69" s="1156" t="s">
        <v>13060</v>
      </c>
      <c r="G69" s="1156" t="s">
        <v>13179</v>
      </c>
      <c r="H69" s="1156" t="s">
        <v>13062</v>
      </c>
      <c r="I69" s="1156" t="s">
        <v>13187</v>
      </c>
      <c r="J69" s="1156" t="s">
        <v>13188</v>
      </c>
      <c r="K69" s="1156" t="s">
        <v>132</v>
      </c>
      <c r="L69" s="1157">
        <v>22428</v>
      </c>
      <c r="M69" s="1159">
        <v>1</v>
      </c>
      <c r="N69" s="1157">
        <v>22428</v>
      </c>
      <c r="O69" s="1157">
        <v>0</v>
      </c>
      <c r="P69" s="1156" t="s">
        <v>2</v>
      </c>
      <c r="Q69" s="1157">
        <v>22428</v>
      </c>
      <c r="R69" s="1157">
        <v>0</v>
      </c>
      <c r="S69" s="1156" t="s">
        <v>2</v>
      </c>
      <c r="T69" s="1157">
        <v>0</v>
      </c>
      <c r="U69" s="1160">
        <v>0.12687799999999999</v>
      </c>
      <c r="V69" s="1160">
        <v>1</v>
      </c>
      <c r="W69" s="1158"/>
      <c r="X69" s="1156" t="s">
        <v>13182</v>
      </c>
      <c r="Y69" s="1156" t="s">
        <v>132</v>
      </c>
      <c r="Z69" s="1156" t="s">
        <v>132</v>
      </c>
      <c r="AA69" s="1156" t="s">
        <v>132</v>
      </c>
    </row>
    <row r="70" spans="1:27" ht="25" customHeight="1">
      <c r="A70" s="1156" t="s">
        <v>13057</v>
      </c>
      <c r="B70" s="1156" t="s">
        <v>13058</v>
      </c>
      <c r="C70" s="1156" t="s">
        <v>13059</v>
      </c>
      <c r="D70" s="1157">
        <v>17676760.780000001</v>
      </c>
      <c r="E70" s="1158">
        <v>44734</v>
      </c>
      <c r="F70" s="1156" t="s">
        <v>13060</v>
      </c>
      <c r="G70" s="1156" t="s">
        <v>13179</v>
      </c>
      <c r="H70" s="1156" t="s">
        <v>13062</v>
      </c>
      <c r="I70" s="1156" t="s">
        <v>13189</v>
      </c>
      <c r="J70" s="1156" t="s">
        <v>13190</v>
      </c>
      <c r="K70" s="1156" t="s">
        <v>132</v>
      </c>
      <c r="L70" s="1157">
        <v>-779.75</v>
      </c>
      <c r="M70" s="1159">
        <v>1</v>
      </c>
      <c r="N70" s="1157">
        <v>-779.75</v>
      </c>
      <c r="O70" s="1157">
        <v>0</v>
      </c>
      <c r="P70" s="1156" t="s">
        <v>2</v>
      </c>
      <c r="Q70" s="1157">
        <v>-779.75</v>
      </c>
      <c r="R70" s="1157">
        <v>0</v>
      </c>
      <c r="S70" s="1156" t="s">
        <v>2</v>
      </c>
      <c r="T70" s="1157">
        <v>0</v>
      </c>
      <c r="U70" s="1160">
        <v>-4.411E-3</v>
      </c>
      <c r="V70" s="1160">
        <v>1</v>
      </c>
      <c r="W70" s="1158"/>
      <c r="X70" s="1156" t="s">
        <v>13182</v>
      </c>
      <c r="Y70" s="1156" t="s">
        <v>132</v>
      </c>
      <c r="Z70" s="1156" t="s">
        <v>132</v>
      </c>
      <c r="AA70" s="1156" t="s">
        <v>132</v>
      </c>
    </row>
    <row r="71" spans="1:27" ht="25" customHeight="1">
      <c r="A71" s="1156" t="s">
        <v>13057</v>
      </c>
      <c r="B71" s="1156" t="s">
        <v>13058</v>
      </c>
      <c r="C71" s="1156" t="s">
        <v>13059</v>
      </c>
      <c r="D71" s="1157">
        <v>17676760.780000001</v>
      </c>
      <c r="E71" s="1158">
        <v>44734</v>
      </c>
      <c r="F71" s="1156" t="s">
        <v>13060</v>
      </c>
      <c r="G71" s="1156" t="s">
        <v>13179</v>
      </c>
      <c r="H71" s="1156" t="s">
        <v>13062</v>
      </c>
      <c r="I71" s="1156" t="s">
        <v>13191</v>
      </c>
      <c r="J71" s="1156" t="s">
        <v>13192</v>
      </c>
      <c r="K71" s="1156" t="s">
        <v>132</v>
      </c>
      <c r="L71" s="1157">
        <v>-1367.98</v>
      </c>
      <c r="M71" s="1159">
        <v>1</v>
      </c>
      <c r="N71" s="1157">
        <v>-1367.98</v>
      </c>
      <c r="O71" s="1157">
        <v>0</v>
      </c>
      <c r="P71" s="1156" t="s">
        <v>2</v>
      </c>
      <c r="Q71" s="1157">
        <v>-1367.98</v>
      </c>
      <c r="R71" s="1157">
        <v>0</v>
      </c>
      <c r="S71" s="1156" t="s">
        <v>2</v>
      </c>
      <c r="T71" s="1157">
        <v>0</v>
      </c>
      <c r="U71" s="1160">
        <v>-7.7390000000000002E-3</v>
      </c>
      <c r="V71" s="1160">
        <v>1</v>
      </c>
      <c r="W71" s="1158"/>
      <c r="X71" s="1156" t="s">
        <v>13182</v>
      </c>
      <c r="Y71" s="1156" t="s">
        <v>132</v>
      </c>
      <c r="Z71" s="1156" t="s">
        <v>132</v>
      </c>
      <c r="AA71" s="1156" t="s">
        <v>132</v>
      </c>
    </row>
    <row r="72" spans="1:27" ht="25" customHeight="1">
      <c r="A72" s="1156" t="s">
        <v>13057</v>
      </c>
      <c r="B72" s="1156" t="s">
        <v>13058</v>
      </c>
      <c r="C72" s="1156" t="s">
        <v>13059</v>
      </c>
      <c r="D72" s="1157">
        <v>17676760.780000001</v>
      </c>
      <c r="E72" s="1158">
        <v>44734</v>
      </c>
      <c r="F72" s="1156" t="s">
        <v>13060</v>
      </c>
      <c r="G72" s="1156" t="s">
        <v>13179</v>
      </c>
      <c r="H72" s="1156" t="s">
        <v>13062</v>
      </c>
      <c r="I72" s="1156" t="s">
        <v>13193</v>
      </c>
      <c r="J72" s="1156" t="s">
        <v>13194</v>
      </c>
      <c r="K72" s="1156" t="s">
        <v>132</v>
      </c>
      <c r="L72" s="1157">
        <v>-32568.58</v>
      </c>
      <c r="M72" s="1159">
        <v>1</v>
      </c>
      <c r="N72" s="1157">
        <v>-32568.58</v>
      </c>
      <c r="O72" s="1157">
        <v>0</v>
      </c>
      <c r="P72" s="1156" t="s">
        <v>2</v>
      </c>
      <c r="Q72" s="1157">
        <v>-32568.58</v>
      </c>
      <c r="R72" s="1157">
        <v>0</v>
      </c>
      <c r="S72" s="1156" t="s">
        <v>2</v>
      </c>
      <c r="T72" s="1157">
        <v>0</v>
      </c>
      <c r="U72" s="1160">
        <v>-0.18424499999999999</v>
      </c>
      <c r="V72" s="1160">
        <v>1</v>
      </c>
      <c r="W72" s="1158"/>
      <c r="X72" s="1156" t="s">
        <v>13182</v>
      </c>
      <c r="Y72" s="1156" t="s">
        <v>132</v>
      </c>
      <c r="Z72" s="1156" t="s">
        <v>132</v>
      </c>
      <c r="AA72" s="1156" t="s">
        <v>132</v>
      </c>
    </row>
    <row r="73" spans="1:27" ht="25" customHeight="1">
      <c r="A73" s="1156" t="s">
        <v>13057</v>
      </c>
      <c r="B73" s="1156" t="s">
        <v>13058</v>
      </c>
      <c r="C73" s="1156" t="s">
        <v>13059</v>
      </c>
      <c r="D73" s="1157">
        <v>17676760.780000001</v>
      </c>
      <c r="E73" s="1158">
        <v>44734</v>
      </c>
      <c r="F73" s="1156" t="s">
        <v>13060</v>
      </c>
      <c r="G73" s="1156" t="s">
        <v>13179</v>
      </c>
      <c r="H73" s="1156" t="s">
        <v>13062</v>
      </c>
      <c r="I73" s="1156" t="s">
        <v>13193</v>
      </c>
      <c r="J73" s="1156" t="s">
        <v>13195</v>
      </c>
      <c r="K73" s="1156" t="s">
        <v>132</v>
      </c>
      <c r="L73" s="1157">
        <v>-13431.87</v>
      </c>
      <c r="M73" s="1159">
        <v>1</v>
      </c>
      <c r="N73" s="1157">
        <v>-13431.87</v>
      </c>
      <c r="O73" s="1157">
        <v>0</v>
      </c>
      <c r="P73" s="1156" t="s">
        <v>2</v>
      </c>
      <c r="Q73" s="1157">
        <v>-13431.87</v>
      </c>
      <c r="R73" s="1157">
        <v>0</v>
      </c>
      <c r="S73" s="1156" t="s">
        <v>2</v>
      </c>
      <c r="T73" s="1157">
        <v>0</v>
      </c>
      <c r="U73" s="1160">
        <v>-7.5985999999999998E-2</v>
      </c>
      <c r="V73" s="1160">
        <v>1</v>
      </c>
      <c r="W73" s="1158"/>
      <c r="X73" s="1156" t="s">
        <v>13182</v>
      </c>
      <c r="Y73" s="1156" t="s">
        <v>132</v>
      </c>
      <c r="Z73" s="1156" t="s">
        <v>132</v>
      </c>
      <c r="AA73" s="1156" t="s">
        <v>132</v>
      </c>
    </row>
    <row r="74" spans="1:27" ht="25" customHeight="1">
      <c r="A74" s="1156" t="s">
        <v>13057</v>
      </c>
      <c r="B74" s="1156" t="s">
        <v>13058</v>
      </c>
      <c r="C74" s="1156" t="s">
        <v>13059</v>
      </c>
      <c r="D74" s="1157">
        <v>17676760.780000001</v>
      </c>
      <c r="E74" s="1158">
        <v>44734</v>
      </c>
      <c r="F74" s="1156" t="s">
        <v>13060</v>
      </c>
      <c r="G74" s="1156" t="s">
        <v>13179</v>
      </c>
      <c r="H74" s="1156" t="s">
        <v>13062</v>
      </c>
      <c r="I74" s="1156" t="s">
        <v>13193</v>
      </c>
      <c r="J74" s="1156" t="s">
        <v>13196</v>
      </c>
      <c r="K74" s="1156" t="s">
        <v>132</v>
      </c>
      <c r="L74" s="1157">
        <v>-7681.26</v>
      </c>
      <c r="M74" s="1159">
        <v>1</v>
      </c>
      <c r="N74" s="1157">
        <v>-7681.26</v>
      </c>
      <c r="O74" s="1157">
        <v>0</v>
      </c>
      <c r="P74" s="1156" t="s">
        <v>2</v>
      </c>
      <c r="Q74" s="1157">
        <v>-7681.26</v>
      </c>
      <c r="R74" s="1157">
        <v>0</v>
      </c>
      <c r="S74" s="1156" t="s">
        <v>2</v>
      </c>
      <c r="T74" s="1157">
        <v>0</v>
      </c>
      <c r="U74" s="1160">
        <v>-4.3454E-2</v>
      </c>
      <c r="V74" s="1160">
        <v>1</v>
      </c>
      <c r="W74" s="1158"/>
      <c r="X74" s="1156" t="s">
        <v>13182</v>
      </c>
      <c r="Y74" s="1156" t="s">
        <v>132</v>
      </c>
      <c r="Z74" s="1156" t="s">
        <v>132</v>
      </c>
      <c r="AA74" s="1156" t="s">
        <v>132</v>
      </c>
    </row>
    <row r="75" spans="1:27" ht="25" customHeight="1">
      <c r="A75" s="1156" t="s">
        <v>13057</v>
      </c>
      <c r="B75" s="1156" t="s">
        <v>13058</v>
      </c>
      <c r="C75" s="1156" t="s">
        <v>13059</v>
      </c>
      <c r="D75" s="1157">
        <v>17676760.780000001</v>
      </c>
      <c r="E75" s="1158">
        <v>44734</v>
      </c>
      <c r="F75" s="1156" t="s">
        <v>13060</v>
      </c>
      <c r="G75" s="1156" t="s">
        <v>13179</v>
      </c>
      <c r="H75" s="1156" t="s">
        <v>13062</v>
      </c>
      <c r="I75" s="1156" t="s">
        <v>13197</v>
      </c>
      <c r="J75" s="1156" t="s">
        <v>13198</v>
      </c>
      <c r="K75" s="1156" t="s">
        <v>132</v>
      </c>
      <c r="L75" s="1157">
        <v>-114.28</v>
      </c>
      <c r="M75" s="1159">
        <v>1</v>
      </c>
      <c r="N75" s="1157">
        <v>-114.28</v>
      </c>
      <c r="O75" s="1157">
        <v>0</v>
      </c>
      <c r="P75" s="1156" t="s">
        <v>2</v>
      </c>
      <c r="Q75" s="1157">
        <v>-114.28</v>
      </c>
      <c r="R75" s="1157">
        <v>0</v>
      </c>
      <c r="S75" s="1156" t="s">
        <v>2</v>
      </c>
      <c r="T75" s="1157">
        <v>0</v>
      </c>
      <c r="U75" s="1160">
        <v>-6.4700000000000001E-4</v>
      </c>
      <c r="V75" s="1160">
        <v>1</v>
      </c>
      <c r="W75" s="1158"/>
      <c r="X75" s="1156" t="s">
        <v>13182</v>
      </c>
      <c r="Y75" s="1156" t="s">
        <v>132</v>
      </c>
      <c r="Z75" s="1156" t="s">
        <v>132</v>
      </c>
      <c r="AA75" s="1156" t="s">
        <v>132</v>
      </c>
    </row>
    <row r="76" spans="1:27" ht="25" customHeight="1">
      <c r="A76" s="1156" t="s">
        <v>13057</v>
      </c>
      <c r="B76" s="1156" t="s">
        <v>13058</v>
      </c>
      <c r="C76" s="1156" t="s">
        <v>13059</v>
      </c>
      <c r="D76" s="1157">
        <v>17676760.780000001</v>
      </c>
      <c r="E76" s="1158">
        <v>44734</v>
      </c>
      <c r="F76" s="1156" t="s">
        <v>13060</v>
      </c>
      <c r="G76" s="1156" t="s">
        <v>13179</v>
      </c>
      <c r="H76" s="1156" t="s">
        <v>13062</v>
      </c>
      <c r="I76" s="1156" t="s">
        <v>13199</v>
      </c>
      <c r="J76" s="1156" t="s">
        <v>13200</v>
      </c>
      <c r="K76" s="1156" t="s">
        <v>132</v>
      </c>
      <c r="L76" s="1157">
        <v>-88.1</v>
      </c>
      <c r="M76" s="1159">
        <v>1</v>
      </c>
      <c r="N76" s="1157">
        <v>-88.1</v>
      </c>
      <c r="O76" s="1157">
        <v>0</v>
      </c>
      <c r="P76" s="1156" t="s">
        <v>2</v>
      </c>
      <c r="Q76" s="1157">
        <v>-88.1</v>
      </c>
      <c r="R76" s="1157">
        <v>0</v>
      </c>
      <c r="S76" s="1156" t="s">
        <v>2</v>
      </c>
      <c r="T76" s="1157">
        <v>0</v>
      </c>
      <c r="U76" s="1160">
        <v>-4.9799999999999996E-4</v>
      </c>
      <c r="V76" s="1160">
        <v>1</v>
      </c>
      <c r="W76" s="1158"/>
      <c r="X76" s="1156" t="s">
        <v>13182</v>
      </c>
      <c r="Y76" s="1156" t="s">
        <v>132</v>
      </c>
      <c r="Z76" s="1156" t="s">
        <v>132</v>
      </c>
      <c r="AA76" s="1156" t="s">
        <v>132</v>
      </c>
    </row>
    <row r="77" spans="1:27" ht="25" customHeight="1">
      <c r="A77" s="1156" t="s">
        <v>13057</v>
      </c>
      <c r="B77" s="1156" t="s">
        <v>13058</v>
      </c>
      <c r="C77" s="1156" t="s">
        <v>13059</v>
      </c>
      <c r="D77" s="1157">
        <v>17676760.780000001</v>
      </c>
      <c r="E77" s="1158">
        <v>44734</v>
      </c>
      <c r="F77" s="1156" t="s">
        <v>13060</v>
      </c>
      <c r="G77" s="1156" t="s">
        <v>13179</v>
      </c>
      <c r="H77" s="1156" t="s">
        <v>13062</v>
      </c>
      <c r="I77" s="1156" t="s">
        <v>13201</v>
      </c>
      <c r="J77" s="1156" t="s">
        <v>13202</v>
      </c>
      <c r="K77" s="1156" t="s">
        <v>132</v>
      </c>
      <c r="L77" s="1157">
        <v>-2892.55</v>
      </c>
      <c r="M77" s="1159">
        <v>1</v>
      </c>
      <c r="N77" s="1157">
        <v>-2892.55</v>
      </c>
      <c r="O77" s="1157">
        <v>0</v>
      </c>
      <c r="P77" s="1156" t="s">
        <v>2</v>
      </c>
      <c r="Q77" s="1157">
        <v>-2892.55</v>
      </c>
      <c r="R77" s="1157">
        <v>0</v>
      </c>
      <c r="S77" s="1156" t="s">
        <v>2</v>
      </c>
      <c r="T77" s="1157">
        <v>0</v>
      </c>
      <c r="U77" s="1160">
        <v>-1.6364E-2</v>
      </c>
      <c r="V77" s="1160">
        <v>1</v>
      </c>
      <c r="W77" s="1158"/>
      <c r="X77" s="1156" t="s">
        <v>13182</v>
      </c>
      <c r="Y77" s="1156" t="s">
        <v>132</v>
      </c>
      <c r="Z77" s="1156" t="s">
        <v>132</v>
      </c>
      <c r="AA77" s="1156" t="s">
        <v>132</v>
      </c>
    </row>
    <row r="78" spans="1:27" ht="25" customHeight="1">
      <c r="A78" s="1156" t="s">
        <v>13057</v>
      </c>
      <c r="B78" s="1156" t="s">
        <v>13058</v>
      </c>
      <c r="C78" s="1156" t="s">
        <v>13059</v>
      </c>
      <c r="D78" s="1157">
        <v>17676760.780000001</v>
      </c>
      <c r="E78" s="1158">
        <v>44734</v>
      </c>
      <c r="F78" s="1156" t="s">
        <v>13060</v>
      </c>
      <c r="G78" s="1156" t="s">
        <v>13179</v>
      </c>
      <c r="H78" s="1156" t="s">
        <v>13062</v>
      </c>
      <c r="I78" s="1156" t="s">
        <v>13203</v>
      </c>
      <c r="J78" s="1156" t="s">
        <v>13204</v>
      </c>
      <c r="K78" s="1156" t="s">
        <v>132</v>
      </c>
      <c r="L78" s="1157">
        <v>-754.26</v>
      </c>
      <c r="M78" s="1159">
        <v>1</v>
      </c>
      <c r="N78" s="1157">
        <v>-754.26</v>
      </c>
      <c r="O78" s="1157">
        <v>0</v>
      </c>
      <c r="P78" s="1156" t="s">
        <v>2</v>
      </c>
      <c r="Q78" s="1157">
        <v>-754.26</v>
      </c>
      <c r="R78" s="1157">
        <v>0</v>
      </c>
      <c r="S78" s="1156" t="s">
        <v>2</v>
      </c>
      <c r="T78" s="1157">
        <v>0</v>
      </c>
      <c r="U78" s="1160">
        <v>-4.267E-3</v>
      </c>
      <c r="V78" s="1160">
        <v>1</v>
      </c>
      <c r="W78" s="1158"/>
      <c r="X78" s="1156" t="s">
        <v>13182</v>
      </c>
      <c r="Y78" s="1156" t="s">
        <v>132</v>
      </c>
      <c r="Z78" s="1156" t="s">
        <v>132</v>
      </c>
      <c r="AA78" s="1156" t="s">
        <v>132</v>
      </c>
    </row>
    <row r="79" spans="1:27" ht="25" customHeight="1">
      <c r="A79" s="1156" t="s">
        <v>13057</v>
      </c>
      <c r="B79" s="1156" t="s">
        <v>13058</v>
      </c>
      <c r="C79" s="1156" t="s">
        <v>13059</v>
      </c>
      <c r="D79" s="1157">
        <v>17676760.780000001</v>
      </c>
      <c r="E79" s="1158">
        <v>44734</v>
      </c>
      <c r="F79" s="1156" t="s">
        <v>13060</v>
      </c>
      <c r="G79" s="1156" t="s">
        <v>13179</v>
      </c>
      <c r="H79" s="1156" t="s">
        <v>13062</v>
      </c>
      <c r="I79" s="1156" t="s">
        <v>13203</v>
      </c>
      <c r="J79" s="1156" t="s">
        <v>13205</v>
      </c>
      <c r="K79" s="1156" t="s">
        <v>132</v>
      </c>
      <c r="L79" s="1157">
        <v>-168.61</v>
      </c>
      <c r="M79" s="1159">
        <v>1</v>
      </c>
      <c r="N79" s="1157">
        <v>-168.61</v>
      </c>
      <c r="O79" s="1157">
        <v>0</v>
      </c>
      <c r="P79" s="1156" t="s">
        <v>2</v>
      </c>
      <c r="Q79" s="1157">
        <v>-168.61</v>
      </c>
      <c r="R79" s="1157">
        <v>0</v>
      </c>
      <c r="S79" s="1156" t="s">
        <v>2</v>
      </c>
      <c r="T79" s="1157">
        <v>0</v>
      </c>
      <c r="U79" s="1160">
        <v>-9.5399999999999999E-4</v>
      </c>
      <c r="V79" s="1160">
        <v>1</v>
      </c>
      <c r="W79" s="1158"/>
      <c r="X79" s="1156" t="s">
        <v>13182</v>
      </c>
      <c r="Y79" s="1156" t="s">
        <v>132</v>
      </c>
      <c r="Z79" s="1156" t="s">
        <v>132</v>
      </c>
      <c r="AA79" s="1156" t="s">
        <v>132</v>
      </c>
    </row>
    <row r="80" spans="1:27" ht="25" customHeight="1">
      <c r="A80" s="1156" t="s">
        <v>13057</v>
      </c>
      <c r="B80" s="1156" t="s">
        <v>13058</v>
      </c>
      <c r="C80" s="1156" t="s">
        <v>13059</v>
      </c>
      <c r="D80" s="1157">
        <v>17676760.780000001</v>
      </c>
      <c r="E80" s="1158">
        <v>44734</v>
      </c>
      <c r="F80" s="1156" t="s">
        <v>13060</v>
      </c>
      <c r="G80" s="1156" t="s">
        <v>13179</v>
      </c>
      <c r="H80" s="1156" t="s">
        <v>13062</v>
      </c>
      <c r="I80" s="1156" t="s">
        <v>13203</v>
      </c>
      <c r="J80" s="1156" t="s">
        <v>13206</v>
      </c>
      <c r="K80" s="1156" t="s">
        <v>132</v>
      </c>
      <c r="L80" s="1157">
        <v>-415.96</v>
      </c>
      <c r="M80" s="1159">
        <v>1</v>
      </c>
      <c r="N80" s="1157">
        <v>-415.96</v>
      </c>
      <c r="O80" s="1157">
        <v>0</v>
      </c>
      <c r="P80" s="1156" t="s">
        <v>2</v>
      </c>
      <c r="Q80" s="1157">
        <v>-415.96</v>
      </c>
      <c r="R80" s="1157">
        <v>0</v>
      </c>
      <c r="S80" s="1156" t="s">
        <v>2</v>
      </c>
      <c r="T80" s="1157">
        <v>0</v>
      </c>
      <c r="U80" s="1160">
        <v>-2.3530000000000001E-3</v>
      </c>
      <c r="V80" s="1160">
        <v>1</v>
      </c>
      <c r="W80" s="1158"/>
      <c r="X80" s="1156" t="s">
        <v>13182</v>
      </c>
      <c r="Y80" s="1156" t="s">
        <v>132</v>
      </c>
      <c r="Z80" s="1156" t="s">
        <v>132</v>
      </c>
      <c r="AA80" s="1156" t="s">
        <v>132</v>
      </c>
    </row>
    <row r="81" spans="1:27" ht="25" customHeight="1">
      <c r="A81" s="1156" t="s">
        <v>13057</v>
      </c>
      <c r="B81" s="1156" t="s">
        <v>13058</v>
      </c>
      <c r="C81" s="1156" t="s">
        <v>13059</v>
      </c>
      <c r="D81" s="1157">
        <v>17676760.780000001</v>
      </c>
      <c r="E81" s="1158">
        <v>44734</v>
      </c>
      <c r="F81" s="1156" t="s">
        <v>13060</v>
      </c>
      <c r="G81" s="1156" t="s">
        <v>13179</v>
      </c>
      <c r="H81" s="1156" t="s">
        <v>13062</v>
      </c>
      <c r="I81" s="1156" t="s">
        <v>13207</v>
      </c>
      <c r="J81" s="1156" t="s">
        <v>13208</v>
      </c>
      <c r="K81" s="1156" t="s">
        <v>132</v>
      </c>
      <c r="L81" s="1157">
        <v>-13330.52</v>
      </c>
      <c r="M81" s="1159">
        <v>1</v>
      </c>
      <c r="N81" s="1157">
        <v>-13330.52</v>
      </c>
      <c r="O81" s="1157">
        <v>0</v>
      </c>
      <c r="P81" s="1156" t="s">
        <v>2</v>
      </c>
      <c r="Q81" s="1157">
        <v>-13330.52</v>
      </c>
      <c r="R81" s="1157">
        <v>0</v>
      </c>
      <c r="S81" s="1156" t="s">
        <v>2</v>
      </c>
      <c r="T81" s="1157">
        <v>0</v>
      </c>
      <c r="U81" s="1160">
        <v>-7.5412999999999994E-2</v>
      </c>
      <c r="V81" s="1160">
        <v>1</v>
      </c>
      <c r="W81" s="1158"/>
      <c r="X81" s="1156" t="s">
        <v>13182</v>
      </c>
      <c r="Y81" s="1156" t="s">
        <v>132</v>
      </c>
      <c r="Z81" s="1156" t="s">
        <v>132</v>
      </c>
      <c r="AA81" s="1156" t="s">
        <v>132</v>
      </c>
    </row>
    <row r="82" spans="1:27" ht="25" customHeight="1">
      <c r="A82" s="1156" t="s">
        <v>13057</v>
      </c>
      <c r="B82" s="1156" t="s">
        <v>13058</v>
      </c>
      <c r="C82" s="1156" t="s">
        <v>13059</v>
      </c>
      <c r="D82" s="1157">
        <v>17676760.780000001</v>
      </c>
      <c r="E82" s="1158">
        <v>44734</v>
      </c>
      <c r="F82" s="1156" t="s">
        <v>13060</v>
      </c>
      <c r="G82" s="1156" t="s">
        <v>13179</v>
      </c>
      <c r="H82" s="1156" t="s">
        <v>13062</v>
      </c>
      <c r="I82" s="1156" t="s">
        <v>13209</v>
      </c>
      <c r="J82" s="1156" t="s">
        <v>13210</v>
      </c>
      <c r="K82" s="1156" t="s">
        <v>132</v>
      </c>
      <c r="L82" s="1157">
        <v>-110000</v>
      </c>
      <c r="M82" s="1159">
        <v>1</v>
      </c>
      <c r="N82" s="1157">
        <v>-110000</v>
      </c>
      <c r="O82" s="1157">
        <v>0</v>
      </c>
      <c r="P82" s="1156" t="s">
        <v>2</v>
      </c>
      <c r="Q82" s="1157">
        <v>-110000</v>
      </c>
      <c r="R82" s="1157">
        <v>0</v>
      </c>
      <c r="S82" s="1156" t="s">
        <v>2</v>
      </c>
      <c r="T82" s="1157">
        <v>0</v>
      </c>
      <c r="U82" s="1160">
        <v>-0.62228600000000001</v>
      </c>
      <c r="V82" s="1160">
        <v>1</v>
      </c>
      <c r="W82" s="1158"/>
      <c r="X82" s="1156" t="s">
        <v>13185</v>
      </c>
      <c r="Y82" s="1156" t="s">
        <v>132</v>
      </c>
      <c r="Z82" s="1156" t="s">
        <v>1794</v>
      </c>
      <c r="AA82" s="1156" t="s">
        <v>13067</v>
      </c>
    </row>
    <row r="83" spans="1:27" ht="25" customHeight="1">
      <c r="A83" s="1156" t="s">
        <v>13057</v>
      </c>
      <c r="B83" s="1156" t="s">
        <v>13058</v>
      </c>
      <c r="C83" s="1156" t="s">
        <v>13059</v>
      </c>
      <c r="D83" s="1157">
        <v>17676760.780000001</v>
      </c>
      <c r="E83" s="1158">
        <v>44734</v>
      </c>
      <c r="F83" s="1156" t="s">
        <v>13060</v>
      </c>
      <c r="G83" s="1156" t="s">
        <v>13179</v>
      </c>
      <c r="H83" s="1156" t="s">
        <v>13062</v>
      </c>
      <c r="I83" s="1156" t="s">
        <v>13237</v>
      </c>
      <c r="J83" s="1156" t="s">
        <v>13238</v>
      </c>
      <c r="K83" s="1156" t="s">
        <v>132</v>
      </c>
      <c r="L83" s="1157">
        <v>-23806.799999999999</v>
      </c>
      <c r="M83" s="1159">
        <v>1</v>
      </c>
      <c r="N83" s="1157">
        <v>-23806.799999999999</v>
      </c>
      <c r="O83" s="1157">
        <v>0</v>
      </c>
      <c r="P83" s="1156" t="s">
        <v>2</v>
      </c>
      <c r="Q83" s="1157">
        <v>-23806.799999999999</v>
      </c>
      <c r="R83" s="1157">
        <v>0</v>
      </c>
      <c r="S83" s="1156" t="s">
        <v>2</v>
      </c>
      <c r="T83" s="1157">
        <v>0</v>
      </c>
      <c r="U83" s="1160">
        <v>-0.13467899999999999</v>
      </c>
      <c r="V83" s="1160">
        <v>1</v>
      </c>
      <c r="W83" s="1158"/>
      <c r="X83" s="1156" t="s">
        <v>13211</v>
      </c>
      <c r="Y83" s="1156" t="s">
        <v>132</v>
      </c>
      <c r="Z83" s="1156" t="s">
        <v>132</v>
      </c>
      <c r="AA83" s="1156" t="s">
        <v>132</v>
      </c>
    </row>
    <row r="84" spans="1:27" ht="25" customHeight="1">
      <c r="A84" s="1156" t="s">
        <v>13057</v>
      </c>
      <c r="B84" s="1156" t="s">
        <v>13058</v>
      </c>
      <c r="C84" s="1156" t="s">
        <v>13059</v>
      </c>
      <c r="D84" s="1157">
        <v>17676760.780000001</v>
      </c>
      <c r="E84" s="1158">
        <v>44734</v>
      </c>
      <c r="F84" s="1156" t="s">
        <v>13060</v>
      </c>
      <c r="G84" s="1156" t="s">
        <v>13179</v>
      </c>
      <c r="H84" s="1156" t="s">
        <v>13062</v>
      </c>
      <c r="I84" s="1156" t="s">
        <v>13245</v>
      </c>
      <c r="J84" s="1156" t="s">
        <v>13246</v>
      </c>
      <c r="K84" s="1156" t="s">
        <v>132</v>
      </c>
      <c r="L84" s="1157">
        <v>-972183</v>
      </c>
      <c r="M84" s="1159">
        <v>6.8999999999999999E-3</v>
      </c>
      <c r="N84" s="1157">
        <v>-6753.45</v>
      </c>
      <c r="O84" s="1157">
        <v>0</v>
      </c>
      <c r="P84" s="1156" t="s">
        <v>2</v>
      </c>
      <c r="Q84" s="1157">
        <v>-972183</v>
      </c>
      <c r="R84" s="1157">
        <v>0</v>
      </c>
      <c r="S84" s="1156" t="s">
        <v>125</v>
      </c>
      <c r="T84" s="1157">
        <v>28.81</v>
      </c>
      <c r="U84" s="1160">
        <v>-3.8205000000000003E-2</v>
      </c>
      <c r="V84" s="1160">
        <v>143.95345</v>
      </c>
      <c r="W84" s="1158"/>
      <c r="X84" s="1156" t="s">
        <v>13211</v>
      </c>
      <c r="Y84" s="1156" t="s">
        <v>132</v>
      </c>
      <c r="Z84" s="1156" t="s">
        <v>132</v>
      </c>
      <c r="AA84" s="1156" t="s">
        <v>132</v>
      </c>
    </row>
    <row r="85" spans="1:27" ht="25" customHeight="1">
      <c r="A85" s="1156" t="s">
        <v>13057</v>
      </c>
      <c r="B85" s="1156" t="s">
        <v>13058</v>
      </c>
      <c r="C85" s="1156" t="s">
        <v>13059</v>
      </c>
      <c r="D85" s="1157">
        <v>17676760.780000001</v>
      </c>
      <c r="E85" s="1158">
        <v>44734</v>
      </c>
      <c r="F85" s="1156" t="s">
        <v>13060</v>
      </c>
      <c r="G85" s="1156" t="s">
        <v>13179</v>
      </c>
      <c r="H85" s="1156" t="s">
        <v>13062</v>
      </c>
      <c r="I85" s="1156" t="s">
        <v>13247</v>
      </c>
      <c r="J85" s="1156" t="s">
        <v>13248</v>
      </c>
      <c r="K85" s="1156" t="s">
        <v>132</v>
      </c>
      <c r="L85" s="1157">
        <v>6782.26</v>
      </c>
      <c r="M85" s="1159">
        <v>1</v>
      </c>
      <c r="N85" s="1157">
        <v>6782.26</v>
      </c>
      <c r="O85" s="1157">
        <v>0</v>
      </c>
      <c r="P85" s="1156" t="s">
        <v>2</v>
      </c>
      <c r="Q85" s="1157">
        <v>6782.26</v>
      </c>
      <c r="R85" s="1157">
        <v>0</v>
      </c>
      <c r="S85" s="1156" t="s">
        <v>2</v>
      </c>
      <c r="T85" s="1157">
        <v>0</v>
      </c>
      <c r="U85" s="1160">
        <v>3.8367999999999999E-2</v>
      </c>
      <c r="V85" s="1160">
        <v>1</v>
      </c>
      <c r="W85" s="1158"/>
      <c r="X85" s="1156" t="s">
        <v>13249</v>
      </c>
      <c r="Y85" s="1156" t="s">
        <v>132</v>
      </c>
      <c r="Z85" s="1156" t="s">
        <v>132</v>
      </c>
      <c r="AA85" s="1156" t="s">
        <v>132</v>
      </c>
    </row>
    <row r="86" spans="1:27" ht="25" customHeight="1">
      <c r="A86" s="1156"/>
      <c r="B86" s="1156"/>
      <c r="C86" s="1156"/>
      <c r="D86" s="1157"/>
      <c r="E86" s="1158"/>
      <c r="F86" s="1156"/>
      <c r="G86" s="1156"/>
      <c r="H86" s="1156"/>
      <c r="I86" s="1156"/>
      <c r="J86" s="1156"/>
      <c r="K86" s="1156"/>
      <c r="L86" s="1157"/>
      <c r="M86" s="1159"/>
      <c r="N86" s="1157"/>
      <c r="O86" s="1157"/>
      <c r="P86" s="1156"/>
      <c r="Q86" s="1157"/>
      <c r="R86" s="1157"/>
      <c r="S86" s="1156"/>
      <c r="T86" s="1157"/>
      <c r="U86" s="1160"/>
      <c r="V86" s="1160"/>
      <c r="W86" s="1158"/>
      <c r="X86" s="1156"/>
      <c r="Y86" s="1156"/>
      <c r="Z86" s="1156"/>
      <c r="AA86" s="1156"/>
    </row>
    <row r="87" spans="1:27" ht="25" customHeight="1">
      <c r="A87" s="1156"/>
      <c r="B87" s="1156"/>
      <c r="C87" s="1156"/>
      <c r="D87" s="1157"/>
      <c r="E87" s="1158"/>
      <c r="F87" s="1156"/>
      <c r="G87" s="1156"/>
      <c r="H87" s="1156"/>
      <c r="I87" s="1156"/>
      <c r="J87" s="1156"/>
      <c r="K87" s="1156"/>
      <c r="L87" s="1157"/>
      <c r="M87" s="1159"/>
      <c r="N87" s="1157"/>
      <c r="O87" s="1157"/>
      <c r="P87" s="1156"/>
      <c r="Q87" s="1157"/>
      <c r="R87" s="1157"/>
      <c r="S87" s="1156"/>
      <c r="T87" s="1157"/>
      <c r="U87" s="1160"/>
      <c r="V87" s="1160"/>
      <c r="W87" s="1158"/>
      <c r="X87" s="1156"/>
      <c r="Y87" s="1156"/>
      <c r="Z87" s="1156"/>
      <c r="AA87" s="1156"/>
    </row>
    <row r="88" spans="1:27" ht="25" customHeight="1">
      <c r="A88" s="1156"/>
      <c r="B88" s="1156"/>
      <c r="C88" s="1156"/>
      <c r="D88" s="1157"/>
      <c r="E88" s="1158"/>
      <c r="F88" s="1156"/>
      <c r="G88" s="1156"/>
      <c r="H88" s="1156"/>
      <c r="I88" s="1156"/>
      <c r="J88" s="1156"/>
      <c r="K88" s="1156"/>
      <c r="L88" s="1157"/>
      <c r="M88" s="1159"/>
      <c r="N88" s="1157"/>
      <c r="O88" s="1157"/>
      <c r="P88" s="1156"/>
      <c r="Q88" s="1157"/>
      <c r="R88" s="1157"/>
      <c r="S88" s="1156"/>
      <c r="T88" s="1157"/>
      <c r="U88" s="1160"/>
      <c r="V88" s="1160"/>
      <c r="W88" s="1158"/>
      <c r="X88" s="1156"/>
      <c r="Y88" s="1156"/>
      <c r="Z88" s="1156"/>
      <c r="AA88" s="1156"/>
    </row>
    <row r="89" spans="1:27" ht="25" customHeight="1">
      <c r="A89" s="1156"/>
      <c r="B89" s="1156"/>
      <c r="C89" s="1156"/>
      <c r="D89" s="1157"/>
      <c r="E89" s="1158"/>
      <c r="F89" s="1156"/>
      <c r="G89" s="1156"/>
      <c r="H89" s="1156"/>
      <c r="I89" s="1156"/>
      <c r="J89" s="1156"/>
      <c r="K89" s="1156"/>
      <c r="L89" s="1157"/>
      <c r="M89" s="1159"/>
      <c r="N89" s="1157"/>
      <c r="O89" s="1157"/>
      <c r="P89" s="1156"/>
      <c r="Q89" s="1157"/>
      <c r="R89" s="1157"/>
      <c r="S89" s="1156"/>
      <c r="T89" s="1157"/>
      <c r="U89" s="1160"/>
      <c r="V89" s="1160"/>
      <c r="W89" s="1158"/>
      <c r="X89" s="1156"/>
      <c r="Y89" s="1156"/>
      <c r="Z89" s="1156"/>
      <c r="AA89" s="1156"/>
    </row>
    <row r="90" spans="1:27" ht="25" customHeight="1">
      <c r="A90" s="1156"/>
      <c r="B90" s="1156"/>
      <c r="C90" s="1156"/>
      <c r="D90" s="1157"/>
      <c r="E90" s="1158"/>
      <c r="F90" s="1156"/>
      <c r="G90" s="1156"/>
      <c r="H90" s="1156"/>
      <c r="I90" s="1156"/>
      <c r="J90" s="1156"/>
      <c r="K90" s="1156"/>
      <c r="L90" s="1157"/>
      <c r="M90" s="1159"/>
      <c r="N90" s="1157"/>
      <c r="O90" s="1157"/>
      <c r="P90" s="1156"/>
      <c r="Q90" s="1157"/>
      <c r="R90" s="1157"/>
      <c r="S90" s="1156"/>
      <c r="T90" s="1157"/>
      <c r="U90" s="1160"/>
      <c r="V90" s="1160"/>
      <c r="W90" s="1158"/>
      <c r="X90" s="1156"/>
      <c r="Y90" s="1156"/>
      <c r="Z90" s="1156"/>
      <c r="AA90" s="1156"/>
    </row>
    <row r="91" spans="1:27" ht="25" customHeight="1">
      <c r="A91" s="1156"/>
      <c r="B91" s="1156"/>
      <c r="C91" s="1156"/>
      <c r="D91" s="1157"/>
      <c r="E91" s="1158"/>
      <c r="F91" s="1156"/>
      <c r="G91" s="1156"/>
      <c r="H91" s="1156"/>
      <c r="I91" s="1156"/>
      <c r="J91" s="1156"/>
      <c r="K91" s="1156"/>
      <c r="L91" s="1157"/>
      <c r="M91" s="1159"/>
      <c r="N91" s="1157"/>
      <c r="O91" s="1157"/>
      <c r="P91" s="1156"/>
      <c r="Q91" s="1157"/>
      <c r="R91" s="1157"/>
      <c r="S91" s="1156"/>
      <c r="T91" s="1157"/>
      <c r="U91" s="1160"/>
      <c r="V91" s="1160"/>
      <c r="W91" s="1158"/>
      <c r="X91" s="1156"/>
      <c r="Y91" s="1156"/>
      <c r="Z91" s="1156"/>
      <c r="AA91" s="1156"/>
    </row>
    <row r="92" spans="1:27" ht="25" customHeight="1">
      <c r="A92" s="1156"/>
      <c r="B92" s="1156"/>
      <c r="C92" s="1156"/>
      <c r="D92" s="1157"/>
      <c r="E92" s="1158"/>
      <c r="F92" s="1156"/>
      <c r="G92" s="1156"/>
      <c r="H92" s="1156"/>
      <c r="I92" s="1156"/>
      <c r="J92" s="1156"/>
      <c r="K92" s="1156"/>
      <c r="L92" s="1157"/>
      <c r="M92" s="1159"/>
      <c r="N92" s="1157"/>
      <c r="O92" s="1157"/>
      <c r="P92" s="1156"/>
      <c r="Q92" s="1157"/>
      <c r="R92" s="1157"/>
      <c r="S92" s="1156"/>
      <c r="T92" s="1157"/>
      <c r="U92" s="1160"/>
      <c r="V92" s="1160"/>
      <c r="W92" s="1158"/>
      <c r="X92" s="1156"/>
      <c r="Y92" s="1156"/>
      <c r="Z92" s="1156"/>
      <c r="AA92" s="1156"/>
    </row>
    <row r="93" spans="1:27" ht="25" customHeight="1">
      <c r="A93" s="1156"/>
      <c r="B93" s="1156"/>
      <c r="C93" s="1156"/>
      <c r="D93" s="1157"/>
      <c r="E93" s="1158"/>
      <c r="F93" s="1156"/>
      <c r="G93" s="1156"/>
      <c r="H93" s="1156"/>
      <c r="I93" s="1156"/>
      <c r="J93" s="1156"/>
      <c r="K93" s="1156"/>
      <c r="L93" s="1157"/>
      <c r="M93" s="1159"/>
      <c r="N93" s="1157"/>
      <c r="O93" s="1157"/>
      <c r="P93" s="1156"/>
      <c r="Q93" s="1157"/>
      <c r="R93" s="1157"/>
      <c r="S93" s="1156"/>
      <c r="T93" s="1157"/>
      <c r="U93" s="1160"/>
      <c r="V93" s="1160"/>
      <c r="W93" s="1158"/>
      <c r="X93" s="1156"/>
      <c r="Y93" s="1156"/>
      <c r="Z93" s="1156"/>
      <c r="AA93" s="1156"/>
    </row>
    <row r="94" spans="1:27" ht="25" customHeight="1">
      <c r="A94" s="1156"/>
      <c r="B94" s="1156"/>
      <c r="C94" s="1156"/>
      <c r="D94" s="1157"/>
      <c r="E94" s="1158"/>
      <c r="F94" s="1156"/>
      <c r="G94" s="1156"/>
      <c r="H94" s="1156"/>
      <c r="I94" s="1156"/>
      <c r="J94" s="1156"/>
      <c r="K94" s="1156"/>
      <c r="L94" s="1157"/>
      <c r="M94" s="1159"/>
      <c r="N94" s="1157"/>
      <c r="O94" s="1157"/>
      <c r="P94" s="1156"/>
      <c r="Q94" s="1157"/>
      <c r="R94" s="1157"/>
      <c r="S94" s="1156"/>
      <c r="T94" s="1157"/>
      <c r="U94" s="1160"/>
      <c r="V94" s="1160"/>
      <c r="W94" s="1158"/>
      <c r="X94" s="1156"/>
      <c r="Y94" s="1156"/>
      <c r="Z94" s="1156"/>
      <c r="AA94" s="1156"/>
    </row>
    <row r="95" spans="1:27" ht="25" customHeight="1">
      <c r="A95" s="1156"/>
      <c r="B95" s="1156"/>
      <c r="C95" s="1156"/>
      <c r="D95" s="1157"/>
      <c r="E95" s="1158"/>
      <c r="F95" s="1156"/>
      <c r="G95" s="1156"/>
      <c r="H95" s="1156"/>
      <c r="I95" s="1156"/>
      <c r="J95" s="1156"/>
      <c r="K95" s="1156"/>
      <c r="L95" s="1157"/>
      <c r="M95" s="1159"/>
      <c r="N95" s="1157"/>
      <c r="O95" s="1157"/>
      <c r="P95" s="1156"/>
      <c r="Q95" s="1157"/>
      <c r="R95" s="1157"/>
      <c r="S95" s="1156"/>
      <c r="T95" s="1157"/>
      <c r="U95" s="1160"/>
      <c r="V95" s="1160"/>
      <c r="W95" s="1158"/>
      <c r="X95" s="1156"/>
      <c r="Y95" s="1156"/>
      <c r="Z95" s="1156"/>
      <c r="AA95" s="1156"/>
    </row>
    <row r="96" spans="1:27">
      <c r="A96" s="1156"/>
      <c r="B96" s="1156"/>
      <c r="C96" s="1156"/>
      <c r="D96" s="1157"/>
      <c r="E96" s="1158"/>
      <c r="F96" s="1156"/>
      <c r="G96" s="1156"/>
      <c r="H96" s="1156"/>
      <c r="I96" s="1156"/>
      <c r="J96" s="1156"/>
      <c r="K96" s="1156"/>
      <c r="L96" s="1157"/>
      <c r="M96" s="1159"/>
      <c r="N96" s="1157"/>
      <c r="O96" s="1157"/>
      <c r="P96" s="1156"/>
      <c r="Q96" s="1157"/>
      <c r="R96" s="1157"/>
      <c r="S96" s="1156"/>
      <c r="T96" s="1157"/>
      <c r="U96" s="1160"/>
      <c r="V96" s="1160"/>
      <c r="W96" s="1158"/>
      <c r="X96" s="1156"/>
      <c r="Y96" s="1156"/>
      <c r="Z96" s="1156"/>
      <c r="AA96" s="1156"/>
    </row>
  </sheetData>
  <mergeCells count="2">
    <mergeCell ref="AD2:AE2"/>
    <mergeCell ref="AJ2:AK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FEAE-B627-433F-8A7A-E2932D1DA774}">
  <sheetPr codeName="Foglio27">
    <tabColor rgb="FF00B0F0"/>
  </sheetPr>
  <dimension ref="A1:F217"/>
  <sheetViews>
    <sheetView workbookViewId="0">
      <selection activeCell="A3" sqref="A3:C146"/>
    </sheetView>
  </sheetViews>
  <sheetFormatPr defaultRowHeight="14.5"/>
  <cols>
    <col min="1" max="1" width="14.81640625" customWidth="1"/>
    <col min="2" max="2" width="12" customWidth="1"/>
    <col min="3" max="3" width="12.26953125" customWidth="1"/>
    <col min="4" max="4" width="14.81640625" customWidth="1"/>
    <col min="5" max="5" width="11.81640625" customWidth="1"/>
    <col min="6" max="6" width="11" customWidth="1"/>
  </cols>
  <sheetData>
    <row r="1" spans="1:6">
      <c r="A1" s="391" t="s">
        <v>2042</v>
      </c>
      <c r="B1" s="391" t="s">
        <v>1940</v>
      </c>
      <c r="C1" s="391" t="s">
        <v>1943</v>
      </c>
      <c r="D1" s="392" t="s">
        <v>2043</v>
      </c>
      <c r="E1" s="392" t="s">
        <v>2044</v>
      </c>
      <c r="F1" s="392" t="s">
        <v>2047</v>
      </c>
    </row>
    <row r="3" spans="1:6">
      <c r="A3" t="e">
        <f ca="1">PosAggregate!A13</f>
        <v>#NAME?</v>
      </c>
      <c r="B3" s="276">
        <f ca="1">PosAggregate!L13</f>
        <v>-1463572</v>
      </c>
      <c r="C3" s="276" t="e">
        <f ca="1">IF(OR(LEFT(A3,2)="JE",LEFT(A3,2)="GG",LEFT(A3,2)="GB"),PosAggregate!AA13/100,PosAggregate!AA13)</f>
        <v>#NAME?</v>
      </c>
      <c r="D3" s="442" t="e">
        <f ca="1">VLOOKUP(A3,POSNAV!A:C,1,FALSE)</f>
        <v>#NAME?</v>
      </c>
      <c r="E3" s="276" t="e">
        <f ca="1">VLOOKUP(A3,POSNAV!A:C,2,FALSE)</f>
        <v>#NAME?</v>
      </c>
      <c r="F3" s="276" t="e">
        <f t="shared" ref="F3:F65" ca="1" si="0">B3-E3</f>
        <v>#NAME?</v>
      </c>
    </row>
    <row r="4" spans="1:6">
      <c r="A4" t="e">
        <f ca="1">PosAggregate!A14</f>
        <v>#NAME?</v>
      </c>
      <c r="B4" s="276">
        <f ca="1">PosAggregate!L14</f>
        <v>-1463572</v>
      </c>
      <c r="C4" s="276" t="e">
        <f ca="1">IF(OR(LEFT(A4,2)="JE",LEFT(A4,2)="GG",LEFT(A4,2)="GB"),PosAggregate!AA14/100,PosAggregate!AA14)</f>
        <v>#NAME?</v>
      </c>
      <c r="D4" s="442" t="e">
        <f ca="1">VLOOKUP(A4,POSNAV!A:C,1,FALSE)</f>
        <v>#NAME?</v>
      </c>
      <c r="E4" s="276" t="e">
        <f ca="1">VLOOKUP(A4,POSNAV!A:C,2,FALSE)</f>
        <v>#NAME?</v>
      </c>
      <c r="F4" s="276" t="e">
        <f t="shared" ca="1" si="0"/>
        <v>#NAME?</v>
      </c>
    </row>
    <row r="5" spans="1:6">
      <c r="A5" t="e">
        <f ca="1">PosAggregate!A15</f>
        <v>#NAME?</v>
      </c>
      <c r="B5" s="276">
        <f ca="1">PosAggregate!L15</f>
        <v>-1463572</v>
      </c>
      <c r="C5" s="276" t="e">
        <f ca="1">IF(OR(LEFT(A5,2)="JE",LEFT(A5,2)="GG",LEFT(A5,2)="GB"),PosAggregate!AA15/100,PosAggregate!AA15)</f>
        <v>#NAME?</v>
      </c>
      <c r="D5" s="442" t="e">
        <f ca="1">VLOOKUP(A5,POSNAV!A:C,1,FALSE)</f>
        <v>#NAME?</v>
      </c>
      <c r="E5" s="276" t="e">
        <f ca="1">VLOOKUP(A5,POSNAV!A:C,2,FALSE)</f>
        <v>#NAME?</v>
      </c>
      <c r="F5" s="276" t="e">
        <f t="shared" ca="1" si="0"/>
        <v>#NAME?</v>
      </c>
    </row>
    <row r="6" spans="1:6">
      <c r="A6" t="e">
        <f ca="1">PosAggregate!A16</f>
        <v>#NAME?</v>
      </c>
      <c r="B6" s="276">
        <f ca="1">PosAggregate!L16</f>
        <v>-1463572</v>
      </c>
      <c r="C6" s="276" t="e">
        <f ca="1">IF(OR(LEFT(A6,2)="JE",LEFT(A6,2)="GG",LEFT(A6,2)="GB"),PosAggregate!AA16/100,PosAggregate!AA16)</f>
        <v>#NAME?</v>
      </c>
      <c r="D6" s="442" t="e">
        <f ca="1">VLOOKUP(A6,POSNAV!A:C,1,FALSE)</f>
        <v>#NAME?</v>
      </c>
      <c r="E6" s="276" t="e">
        <f ca="1">VLOOKUP(A6,POSNAV!A:C,2,FALSE)</f>
        <v>#NAME?</v>
      </c>
      <c r="F6" s="276" t="e">
        <f t="shared" ca="1" si="0"/>
        <v>#NAME?</v>
      </c>
    </row>
    <row r="7" spans="1:6">
      <c r="A7" t="e">
        <f ca="1">PosAggregate!A17</f>
        <v>#NAME?</v>
      </c>
      <c r="B7" s="276">
        <f ca="1">PosAggregate!L17</f>
        <v>-1463572</v>
      </c>
      <c r="C7" s="276" t="e">
        <f ca="1">IF(OR(LEFT(A7,2)="JE",LEFT(A7,2)="GG",LEFT(A7,2)="GB"),PosAggregate!AA17/100,PosAggregate!AA17)</f>
        <v>#NAME?</v>
      </c>
      <c r="D7" s="442" t="e">
        <f ca="1">VLOOKUP(A7,POSNAV!A:C,1,FALSE)</f>
        <v>#NAME?</v>
      </c>
      <c r="E7" s="276" t="e">
        <f ca="1">VLOOKUP(A7,POSNAV!A:C,2,FALSE)</f>
        <v>#NAME?</v>
      </c>
      <c r="F7" s="276" t="e">
        <f t="shared" ca="1" si="0"/>
        <v>#NAME?</v>
      </c>
    </row>
    <row r="8" spans="1:6">
      <c r="A8" t="e">
        <f ca="1">PosAggregate!A18</f>
        <v>#NAME?</v>
      </c>
      <c r="B8" s="276">
        <f ca="1">PosAggregate!L18</f>
        <v>-1463572</v>
      </c>
      <c r="C8" s="276" t="e">
        <f ca="1">IF(OR(LEFT(A8,2)="JE",LEFT(A8,2)="GG",LEFT(A8,2)="GB"),PosAggregate!AA18/100,PosAggregate!AA18)</f>
        <v>#NAME?</v>
      </c>
      <c r="D8" s="442" t="e">
        <f ca="1">VLOOKUP(A8,POSNAV!A:C,1,FALSE)</f>
        <v>#NAME?</v>
      </c>
      <c r="E8" s="276" t="e">
        <f ca="1">VLOOKUP(A8,POSNAV!A:C,2,FALSE)</f>
        <v>#NAME?</v>
      </c>
      <c r="F8" s="276" t="e">
        <f t="shared" ca="1" si="0"/>
        <v>#NAME?</v>
      </c>
    </row>
    <row r="9" spans="1:6">
      <c r="A9" t="e">
        <f ca="1">PosAggregate!A19</f>
        <v>#NAME?</v>
      </c>
      <c r="B9" s="276">
        <f ca="1">PosAggregate!L19</f>
        <v>-1463572</v>
      </c>
      <c r="C9" s="276" t="e">
        <f ca="1">IF(OR(LEFT(A9,2)="JE",LEFT(A9,2)="GG",LEFT(A9,2)="GB"),PosAggregate!AA19/100,PosAggregate!AA19)</f>
        <v>#NAME?</v>
      </c>
      <c r="D9" s="442" t="e">
        <f ca="1">VLOOKUP(A9,POSNAV!A:C,1,FALSE)</f>
        <v>#NAME?</v>
      </c>
      <c r="E9" s="276" t="e">
        <f ca="1">VLOOKUP(A9,POSNAV!A:C,2,FALSE)</f>
        <v>#NAME?</v>
      </c>
      <c r="F9" s="276" t="e">
        <f t="shared" ca="1" si="0"/>
        <v>#NAME?</v>
      </c>
    </row>
    <row r="10" spans="1:6">
      <c r="A10" t="e">
        <f ca="1">PosAggregate!A20</f>
        <v>#NAME?</v>
      </c>
      <c r="B10" s="276">
        <f ca="1">PosAggregate!L20</f>
        <v>-1463572</v>
      </c>
      <c r="C10" s="276" t="e">
        <f ca="1">IF(OR(LEFT(A10,2)="JE",LEFT(A10,2)="GG",LEFT(A10,2)="GB"),PosAggregate!AA20/100,PosAggregate!AA20)</f>
        <v>#NAME?</v>
      </c>
      <c r="D10" s="442" t="e">
        <f ca="1">VLOOKUP(A10,POSNAV!A:C,1,FALSE)</f>
        <v>#NAME?</v>
      </c>
      <c r="E10" s="276" t="e">
        <f ca="1">VLOOKUP(A10,POSNAV!A:C,2,FALSE)</f>
        <v>#NAME?</v>
      </c>
      <c r="F10" s="276" t="e">
        <f t="shared" ca="1" si="0"/>
        <v>#NAME?</v>
      </c>
    </row>
    <row r="11" spans="1:6">
      <c r="A11" t="e">
        <f ca="1">PosAggregate!A21</f>
        <v>#NAME?</v>
      </c>
      <c r="B11" s="276">
        <f ca="1">PosAggregate!L21</f>
        <v>-1463572</v>
      </c>
      <c r="C11" s="276" t="e">
        <f ca="1">IF(OR(LEFT(A11,2)="JE",LEFT(A11,2)="GG",LEFT(A11,2)="GB"),PosAggregate!AA21/100,PosAggregate!AA21)</f>
        <v>#NAME?</v>
      </c>
      <c r="D11" s="442" t="e">
        <f ca="1">VLOOKUP(A11,POSNAV!A:C,1,FALSE)</f>
        <v>#NAME?</v>
      </c>
      <c r="E11" s="276" t="e">
        <f ca="1">VLOOKUP(A11,POSNAV!A:C,2,FALSE)</f>
        <v>#NAME?</v>
      </c>
      <c r="F11" s="276" t="e">
        <f t="shared" ca="1" si="0"/>
        <v>#NAME?</v>
      </c>
    </row>
    <row r="12" spans="1:6">
      <c r="A12" t="e">
        <f ca="1">PosAggregate!A22</f>
        <v>#NAME?</v>
      </c>
      <c r="B12" s="276">
        <f ca="1">PosAggregate!L22</f>
        <v>-1463572</v>
      </c>
      <c r="C12" s="276" t="e">
        <f ca="1">IF(OR(LEFT(A12,2)="JE",LEFT(A12,2)="GG",LEFT(A12,2)="GB"),PosAggregate!AA22/100,PosAggregate!AA22)</f>
        <v>#NAME?</v>
      </c>
      <c r="D12" s="442" t="e">
        <f ca="1">VLOOKUP(A12,POSNAV!A:C,1,FALSE)</f>
        <v>#NAME?</v>
      </c>
      <c r="E12" s="276" t="e">
        <f ca="1">VLOOKUP(A12,POSNAV!A:C,2,FALSE)</f>
        <v>#NAME?</v>
      </c>
      <c r="F12" s="276" t="e">
        <f t="shared" ca="1" si="0"/>
        <v>#NAME?</v>
      </c>
    </row>
    <row r="13" spans="1:6">
      <c r="A13" t="e">
        <f ca="1">PosAggregate!A23</f>
        <v>#NAME?</v>
      </c>
      <c r="B13" s="276">
        <f ca="1">PosAggregate!L23</f>
        <v>-1463572</v>
      </c>
      <c r="C13" s="276" t="e">
        <f ca="1">IF(OR(LEFT(A13,2)="JE",LEFT(A13,2)="GG",LEFT(A13,2)="GB"),PosAggregate!AA23/100,PosAggregate!AA23)</f>
        <v>#NAME?</v>
      </c>
      <c r="D13" s="442" t="e">
        <f ca="1">VLOOKUP(A13,POSNAV!A:C,1,FALSE)</f>
        <v>#NAME?</v>
      </c>
      <c r="E13" s="276" t="e">
        <f ca="1">VLOOKUP(A13,POSNAV!A:C,2,FALSE)</f>
        <v>#NAME?</v>
      </c>
      <c r="F13" s="276" t="e">
        <f t="shared" ca="1" si="0"/>
        <v>#NAME?</v>
      </c>
    </row>
    <row r="14" spans="1:6">
      <c r="A14" t="e">
        <f ca="1">PosAggregate!A24</f>
        <v>#NAME?</v>
      </c>
      <c r="B14" s="276">
        <f ca="1">PosAggregate!L24</f>
        <v>-1463572</v>
      </c>
      <c r="C14" s="276" t="e">
        <f ca="1">IF(OR(LEFT(A14,2)="JE",LEFT(A14,2)="GG",LEFT(A14,2)="GB"),PosAggregate!AA24/100,PosAggregate!AA24)</f>
        <v>#NAME?</v>
      </c>
      <c r="D14" s="442" t="e">
        <f ca="1">VLOOKUP(A14,POSNAV!A:C,1,FALSE)</f>
        <v>#NAME?</v>
      </c>
      <c r="E14" s="276" t="e">
        <f ca="1">VLOOKUP(A14,POSNAV!A:C,2,FALSE)</f>
        <v>#NAME?</v>
      </c>
      <c r="F14" s="276" t="e">
        <f t="shared" ca="1" si="0"/>
        <v>#NAME?</v>
      </c>
    </row>
    <row r="15" spans="1:6">
      <c r="A15" t="e">
        <f ca="1">PosAggregate!A25</f>
        <v>#NAME?</v>
      </c>
      <c r="B15" s="276">
        <f ca="1">PosAggregate!L25</f>
        <v>-1463572</v>
      </c>
      <c r="C15" s="276" t="e">
        <f ca="1">IF(OR(LEFT(A15,2)="JE",LEFT(A15,2)="GG",LEFT(A15,2)="GB"),PosAggregate!AA25/100,PosAggregate!AA25)</f>
        <v>#NAME?</v>
      </c>
      <c r="D15" s="442" t="e">
        <f ca="1">VLOOKUP(A15,POSNAV!A:C,1,FALSE)</f>
        <v>#NAME?</v>
      </c>
      <c r="E15" s="276" t="e">
        <f ca="1">VLOOKUP(A15,POSNAV!A:C,2,FALSE)</f>
        <v>#NAME?</v>
      </c>
      <c r="F15" s="276" t="e">
        <f t="shared" ca="1" si="0"/>
        <v>#NAME?</v>
      </c>
    </row>
    <row r="16" spans="1:6">
      <c r="A16" t="e">
        <f ca="1">PosAggregate!A26</f>
        <v>#NAME?</v>
      </c>
      <c r="B16" s="276">
        <f ca="1">PosAggregate!L26</f>
        <v>-1463572</v>
      </c>
      <c r="C16" s="276" t="e">
        <f ca="1">IF(OR(LEFT(A16,2)="JE",LEFT(A16,2)="GG",LEFT(A16,2)="GB"),PosAggregate!AA26/100,PosAggregate!AA26)</f>
        <v>#NAME?</v>
      </c>
      <c r="D16" s="442" t="e">
        <f ca="1">VLOOKUP(A16,POSNAV!A:C,1,FALSE)</f>
        <v>#NAME?</v>
      </c>
      <c r="E16" s="276" t="e">
        <f ca="1">VLOOKUP(A16,POSNAV!A:C,2,FALSE)</f>
        <v>#NAME?</v>
      </c>
      <c r="F16" s="276" t="e">
        <f t="shared" ca="1" si="0"/>
        <v>#NAME?</v>
      </c>
    </row>
    <row r="17" spans="1:6">
      <c r="A17" t="e">
        <f ca="1">PosAggregate!A27</f>
        <v>#NAME?</v>
      </c>
      <c r="B17" s="276">
        <f ca="1">PosAggregate!L27</f>
        <v>-1463572</v>
      </c>
      <c r="C17" s="276" t="e">
        <f ca="1">IF(OR(LEFT(A17,2)="JE",LEFT(A17,2)="GG",LEFT(A17,2)="GB"),PosAggregate!AA27/100,PosAggregate!AA27)</f>
        <v>#NAME?</v>
      </c>
      <c r="D17" s="442" t="e">
        <f ca="1">VLOOKUP(A17,POSNAV!A:C,1,FALSE)</f>
        <v>#NAME?</v>
      </c>
      <c r="E17" s="276" t="e">
        <f ca="1">VLOOKUP(A17,POSNAV!A:C,2,FALSE)</f>
        <v>#NAME?</v>
      </c>
      <c r="F17" s="276" t="e">
        <f t="shared" ca="1" si="0"/>
        <v>#NAME?</v>
      </c>
    </row>
    <row r="18" spans="1:6">
      <c r="A18" t="e">
        <f ca="1">PosAggregate!A28</f>
        <v>#NAME?</v>
      </c>
      <c r="B18" s="276">
        <f ca="1">PosAggregate!L28</f>
        <v>-1463572</v>
      </c>
      <c r="C18" s="276" t="e">
        <f ca="1">IF(OR(LEFT(A18,2)="JE",LEFT(A18,2)="GG",LEFT(A18,2)="GB"),PosAggregate!AA28/100,PosAggregate!AA28)</f>
        <v>#NAME?</v>
      </c>
      <c r="D18" s="442" t="e">
        <f ca="1">VLOOKUP(A18,POSNAV!A:C,1,FALSE)</f>
        <v>#NAME?</v>
      </c>
      <c r="E18" s="276" t="e">
        <f ca="1">VLOOKUP(A18,POSNAV!A:C,2,FALSE)</f>
        <v>#NAME?</v>
      </c>
      <c r="F18" s="276" t="e">
        <f t="shared" ca="1" si="0"/>
        <v>#NAME?</v>
      </c>
    </row>
    <row r="19" spans="1:6">
      <c r="A19" t="e">
        <f ca="1">PosAggregate!A29</f>
        <v>#NAME?</v>
      </c>
      <c r="B19" s="276">
        <f ca="1">PosAggregate!L29</f>
        <v>-1463572</v>
      </c>
      <c r="C19" s="276" t="e">
        <f ca="1">IF(OR(LEFT(A19,2)="JE",LEFT(A19,2)="GG",LEFT(A19,2)="GB"),PosAggregate!AA29/100,PosAggregate!AA29)</f>
        <v>#NAME?</v>
      </c>
      <c r="D19" s="442" t="e">
        <f ca="1">VLOOKUP(A19,POSNAV!A:C,1,FALSE)</f>
        <v>#NAME?</v>
      </c>
      <c r="E19" s="276" t="e">
        <f ca="1">VLOOKUP(A19,POSNAV!A:C,2,FALSE)</f>
        <v>#NAME?</v>
      </c>
      <c r="F19" s="276" t="e">
        <f t="shared" ca="1" si="0"/>
        <v>#NAME?</v>
      </c>
    </row>
    <row r="20" spans="1:6">
      <c r="A20" t="e">
        <f ca="1">PosAggregate!A30</f>
        <v>#NAME?</v>
      </c>
      <c r="B20" s="276">
        <f ca="1">PosAggregate!L30</f>
        <v>-1463572</v>
      </c>
      <c r="C20" s="276" t="e">
        <f ca="1">IF(OR(LEFT(A20,2)="JE",LEFT(A20,2)="GG",LEFT(A20,2)="GB"),PosAggregate!AA30/100,PosAggregate!AA30)</f>
        <v>#NAME?</v>
      </c>
      <c r="D20" s="442" t="e">
        <f ca="1">VLOOKUP(A20,POSNAV!A:C,1,FALSE)</f>
        <v>#NAME?</v>
      </c>
      <c r="E20" s="276" t="e">
        <f ca="1">VLOOKUP(A20,POSNAV!A:C,2,FALSE)</f>
        <v>#NAME?</v>
      </c>
      <c r="F20" s="276" t="e">
        <f t="shared" ca="1" si="0"/>
        <v>#NAME?</v>
      </c>
    </row>
    <row r="21" spans="1:6">
      <c r="A21" t="e">
        <f ca="1">PosAggregate!A31</f>
        <v>#NAME?</v>
      </c>
      <c r="B21" s="276">
        <f ca="1">PosAggregate!L31</f>
        <v>-1463572</v>
      </c>
      <c r="C21" s="276" t="e">
        <f ca="1">IF(OR(LEFT(A21,2)="JE",LEFT(A21,2)="GG",LEFT(A21,2)="GB"),PosAggregate!AA31/100,PosAggregate!AA31)</f>
        <v>#NAME?</v>
      </c>
      <c r="D21" s="442" t="e">
        <f ca="1">VLOOKUP(A21,POSNAV!A:C,1,FALSE)</f>
        <v>#NAME?</v>
      </c>
      <c r="E21" s="276" t="e">
        <f ca="1">VLOOKUP(A21,POSNAV!A:C,2,FALSE)</f>
        <v>#NAME?</v>
      </c>
      <c r="F21" s="276" t="e">
        <f t="shared" ca="1" si="0"/>
        <v>#NAME?</v>
      </c>
    </row>
    <row r="22" spans="1:6">
      <c r="A22" t="e">
        <f ca="1">PosAggregate!A32</f>
        <v>#NAME?</v>
      </c>
      <c r="B22" s="276">
        <f ca="1">PosAggregate!L32</f>
        <v>-1463572</v>
      </c>
      <c r="C22" s="276" t="e">
        <f ca="1">IF(OR(LEFT(A22,2)="JE",LEFT(A22,2)="GG",LEFT(A22,2)="GB"),PosAggregate!AA32/100,PosAggregate!AA32)</f>
        <v>#NAME?</v>
      </c>
      <c r="D22" s="442" t="e">
        <f ca="1">VLOOKUP(A22,POSNAV!A:C,1,FALSE)</f>
        <v>#NAME?</v>
      </c>
      <c r="E22" s="276" t="e">
        <f ca="1">VLOOKUP(A22,POSNAV!A:C,2,FALSE)</f>
        <v>#NAME?</v>
      </c>
      <c r="F22" s="276" t="e">
        <f t="shared" ca="1" si="0"/>
        <v>#NAME?</v>
      </c>
    </row>
    <row r="23" spans="1:6">
      <c r="A23" t="e">
        <f ca="1">PosAggregate!A33</f>
        <v>#NAME?</v>
      </c>
      <c r="B23" s="276">
        <f ca="1">PosAggregate!L33</f>
        <v>-1463572</v>
      </c>
      <c r="C23" s="276" t="e">
        <f ca="1">IF(OR(LEFT(A23,2)="JE",LEFT(A23,2)="GG",LEFT(A23,2)="GB"),PosAggregate!AA33/100,PosAggregate!AA33)</f>
        <v>#NAME?</v>
      </c>
      <c r="D23" s="442" t="e">
        <f ca="1">VLOOKUP(A23,POSNAV!A:C,1,FALSE)</f>
        <v>#NAME?</v>
      </c>
      <c r="E23" s="276" t="e">
        <f ca="1">VLOOKUP(A23,POSNAV!A:C,2,FALSE)</f>
        <v>#NAME?</v>
      </c>
      <c r="F23" s="276" t="e">
        <f t="shared" ca="1" si="0"/>
        <v>#NAME?</v>
      </c>
    </row>
    <row r="24" spans="1:6">
      <c r="A24" t="e">
        <f ca="1">PosAggregate!A34</f>
        <v>#NAME?</v>
      </c>
      <c r="B24" s="276">
        <f ca="1">PosAggregate!L34</f>
        <v>-1463572</v>
      </c>
      <c r="C24" s="276" t="e">
        <f ca="1">IF(OR(LEFT(A24,2)="JE",LEFT(A24,2)="GG",LEFT(A24,2)="GB"),PosAggregate!AA34/100,PosAggregate!AA34)</f>
        <v>#NAME?</v>
      </c>
      <c r="D24" s="442" t="e">
        <f ca="1">VLOOKUP(A24,POSNAV!A:C,1,FALSE)</f>
        <v>#NAME?</v>
      </c>
      <c r="E24" s="276" t="e">
        <f ca="1">VLOOKUP(A24,POSNAV!A:C,2,FALSE)</f>
        <v>#NAME?</v>
      </c>
      <c r="F24" s="276" t="e">
        <f t="shared" ca="1" si="0"/>
        <v>#NAME?</v>
      </c>
    </row>
    <row r="25" spans="1:6">
      <c r="A25" t="e">
        <f ca="1">PosAggregate!A35</f>
        <v>#NAME?</v>
      </c>
      <c r="B25" s="276">
        <f ca="1">PosAggregate!L35</f>
        <v>-1463572</v>
      </c>
      <c r="C25" s="276" t="e">
        <f ca="1">IF(OR(LEFT(A25,2)="JE",LEFT(A25,2)="GG",LEFT(A25,2)="GB"),PosAggregate!AA35/100,PosAggregate!AA35)</f>
        <v>#NAME?</v>
      </c>
      <c r="D25" s="442" t="e">
        <f ca="1">VLOOKUP(A25,POSNAV!A:C,1,FALSE)</f>
        <v>#NAME?</v>
      </c>
      <c r="E25" s="276" t="e">
        <f ca="1">VLOOKUP(A25,POSNAV!A:C,2,FALSE)</f>
        <v>#NAME?</v>
      </c>
      <c r="F25" s="276" t="e">
        <f t="shared" ca="1" si="0"/>
        <v>#NAME?</v>
      </c>
    </row>
    <row r="26" spans="1:6">
      <c r="A26" t="e">
        <f ca="1">PosAggregate!A36</f>
        <v>#NAME?</v>
      </c>
      <c r="B26" s="276">
        <f ca="1">PosAggregate!L36</f>
        <v>-1463572</v>
      </c>
      <c r="C26" s="276" t="e">
        <f ca="1">IF(OR(LEFT(A26,2)="JE",LEFT(A26,2)="GG",LEFT(A26,2)="GB"),PosAggregate!AA36/100,PosAggregate!AA36)</f>
        <v>#NAME?</v>
      </c>
      <c r="D26" s="442" t="e">
        <f ca="1">VLOOKUP(A26,POSNAV!A:C,1,FALSE)</f>
        <v>#NAME?</v>
      </c>
      <c r="E26" s="276" t="e">
        <f ca="1">VLOOKUP(A26,POSNAV!A:C,2,FALSE)</f>
        <v>#NAME?</v>
      </c>
      <c r="F26" s="276" t="e">
        <f t="shared" ca="1" si="0"/>
        <v>#NAME?</v>
      </c>
    </row>
    <row r="27" spans="1:6">
      <c r="A27" t="e">
        <f ca="1">PosAggregate!A37</f>
        <v>#NAME?</v>
      </c>
      <c r="B27" s="276">
        <f ca="1">PosAggregate!L37</f>
        <v>-1463572</v>
      </c>
      <c r="C27" s="276" t="e">
        <f ca="1">IF(OR(LEFT(A27,2)="JE",LEFT(A27,2)="GG",LEFT(A27,2)="GB"),PosAggregate!AA37/100,PosAggregate!AA37)</f>
        <v>#NAME?</v>
      </c>
      <c r="D27" s="442" t="e">
        <f ca="1">VLOOKUP(A27,POSNAV!A:C,1,FALSE)</f>
        <v>#NAME?</v>
      </c>
      <c r="E27" s="276" t="e">
        <f ca="1">VLOOKUP(A27,POSNAV!A:C,2,FALSE)</f>
        <v>#NAME?</v>
      </c>
      <c r="F27" s="276" t="e">
        <f t="shared" ca="1" si="0"/>
        <v>#NAME?</v>
      </c>
    </row>
    <row r="28" spans="1:6">
      <c r="A28" t="e">
        <f ca="1">PosAggregate!A38</f>
        <v>#NAME?</v>
      </c>
      <c r="B28" s="276">
        <f ca="1">PosAggregate!L38</f>
        <v>-1463572</v>
      </c>
      <c r="C28" s="276" t="e">
        <f ca="1">IF(OR(LEFT(A28,2)="JE",LEFT(A28,2)="GG",LEFT(A28,2)="GB"),PosAggregate!AA38/100,PosAggregate!AA38)</f>
        <v>#NAME?</v>
      </c>
      <c r="D28" s="442" t="e">
        <f ca="1">VLOOKUP(A28,POSNAV!A:C,1,FALSE)</f>
        <v>#NAME?</v>
      </c>
      <c r="E28" s="276" t="e">
        <f ca="1">VLOOKUP(A28,POSNAV!A:C,2,FALSE)</f>
        <v>#NAME?</v>
      </c>
      <c r="F28" s="276" t="e">
        <f t="shared" ca="1" si="0"/>
        <v>#NAME?</v>
      </c>
    </row>
    <row r="29" spans="1:6">
      <c r="A29" t="e">
        <f ca="1">PosAggregate!A39</f>
        <v>#NAME?</v>
      </c>
      <c r="B29" s="276">
        <f ca="1">PosAggregate!L39</f>
        <v>-1463572</v>
      </c>
      <c r="C29" s="276" t="e">
        <f ca="1">IF(OR(LEFT(A29,2)="JE",LEFT(A29,2)="GG",LEFT(A29,2)="GB"),PosAggregate!AA39/100,PosAggregate!AA39)</f>
        <v>#NAME?</v>
      </c>
      <c r="D29" s="442" t="e">
        <f ca="1">VLOOKUP(A29,POSNAV!A:C,1,FALSE)</f>
        <v>#NAME?</v>
      </c>
      <c r="E29" s="276" t="e">
        <f ca="1">VLOOKUP(A29,POSNAV!A:C,2,FALSE)</f>
        <v>#NAME?</v>
      </c>
      <c r="F29" s="276" t="e">
        <f t="shared" ca="1" si="0"/>
        <v>#NAME?</v>
      </c>
    </row>
    <row r="30" spans="1:6">
      <c r="A30" t="e">
        <f ca="1">PosAggregate!A40</f>
        <v>#NAME?</v>
      </c>
      <c r="B30" s="276">
        <f ca="1">PosAggregate!L40</f>
        <v>-1463572</v>
      </c>
      <c r="C30" s="276" t="e">
        <f ca="1">IF(OR(LEFT(A30,2)="JE",LEFT(A30,2)="GG",LEFT(A30,2)="GB"),PosAggregate!AA40/100,PosAggregate!AA40)</f>
        <v>#NAME?</v>
      </c>
      <c r="D30" s="442" t="e">
        <f ca="1">VLOOKUP(A30,POSNAV!A:C,1,FALSE)</f>
        <v>#NAME?</v>
      </c>
      <c r="E30" s="276" t="e">
        <f ca="1">VLOOKUP(A30,POSNAV!A:C,2,FALSE)</f>
        <v>#NAME?</v>
      </c>
      <c r="F30" s="276" t="e">
        <f t="shared" ca="1" si="0"/>
        <v>#NAME?</v>
      </c>
    </row>
    <row r="31" spans="1:6">
      <c r="A31" t="e">
        <f ca="1">PosAggregate!A41</f>
        <v>#NAME?</v>
      </c>
      <c r="B31" s="276">
        <f ca="1">PosAggregate!L41</f>
        <v>-1463572</v>
      </c>
      <c r="C31" s="276" t="e">
        <f ca="1">IF(OR(LEFT(A31,2)="JE",LEFT(A31,2)="GG",LEFT(A31,2)="GB"),PosAggregate!AA41/100,PosAggregate!AA41)</f>
        <v>#NAME?</v>
      </c>
      <c r="D31" s="442" t="e">
        <f ca="1">VLOOKUP(A31,POSNAV!A:C,1,FALSE)</f>
        <v>#NAME?</v>
      </c>
      <c r="E31" s="276" t="e">
        <f ca="1">VLOOKUP(A31,POSNAV!A:C,2,FALSE)</f>
        <v>#NAME?</v>
      </c>
      <c r="F31" s="276" t="e">
        <f t="shared" ca="1" si="0"/>
        <v>#NAME?</v>
      </c>
    </row>
    <row r="32" spans="1:6">
      <c r="A32" t="e">
        <f ca="1">PosAggregate!A42</f>
        <v>#NAME?</v>
      </c>
      <c r="B32" s="276">
        <f ca="1">PosAggregate!L42</f>
        <v>-1463572</v>
      </c>
      <c r="C32" s="276" t="e">
        <f ca="1">IF(OR(LEFT(A32,2)="JE",LEFT(A32,2)="GG",LEFT(A32,2)="GB"),PosAggregate!AA42/100,PosAggregate!AA42)</f>
        <v>#NAME?</v>
      </c>
      <c r="D32" s="442" t="e">
        <f ca="1">VLOOKUP(A32,POSNAV!A:C,1,FALSE)</f>
        <v>#NAME?</v>
      </c>
      <c r="E32" s="276" t="e">
        <f ca="1">VLOOKUP(A32,POSNAV!A:C,2,FALSE)</f>
        <v>#NAME?</v>
      </c>
      <c r="F32" s="276" t="e">
        <f t="shared" ca="1" si="0"/>
        <v>#NAME?</v>
      </c>
    </row>
    <row r="33" spans="1:6">
      <c r="A33" t="e">
        <f ca="1">PosAggregate!A43</f>
        <v>#NAME?</v>
      </c>
      <c r="B33" s="276">
        <f ca="1">PosAggregate!L43</f>
        <v>-1463572</v>
      </c>
      <c r="C33" s="276" t="e">
        <f ca="1">IF(OR(LEFT(A33,2)="JE",LEFT(A33,2)="GG",LEFT(A33,2)="GB"),PosAggregate!AA43/100,PosAggregate!AA43)</f>
        <v>#NAME?</v>
      </c>
      <c r="D33" s="442" t="e">
        <f ca="1">VLOOKUP(A33,POSNAV!A:C,1,FALSE)</f>
        <v>#NAME?</v>
      </c>
      <c r="E33" s="276" t="e">
        <f ca="1">VLOOKUP(A33,POSNAV!A:C,2,FALSE)</f>
        <v>#NAME?</v>
      </c>
      <c r="F33" s="276" t="e">
        <f t="shared" ca="1" si="0"/>
        <v>#NAME?</v>
      </c>
    </row>
    <row r="34" spans="1:6">
      <c r="A34" t="e">
        <f ca="1">PosAggregate!A44</f>
        <v>#NAME?</v>
      </c>
      <c r="B34" s="276">
        <f ca="1">PosAggregate!L44</f>
        <v>-1463572</v>
      </c>
      <c r="C34" s="276" t="e">
        <f ca="1">IF(OR(LEFT(A34,2)="JE",LEFT(A34,2)="GG",LEFT(A34,2)="GB"),PosAggregate!AA44/100,PosAggregate!AA44)</f>
        <v>#NAME?</v>
      </c>
      <c r="D34" s="442" t="e">
        <f ca="1">VLOOKUP(A34,POSNAV!A:C,1,FALSE)</f>
        <v>#NAME?</v>
      </c>
      <c r="E34" s="276" t="e">
        <f ca="1">VLOOKUP(A34,POSNAV!A:C,2,FALSE)</f>
        <v>#NAME?</v>
      </c>
      <c r="F34" s="276" t="e">
        <f t="shared" ca="1" si="0"/>
        <v>#NAME?</v>
      </c>
    </row>
    <row r="35" spans="1:6">
      <c r="A35" t="e">
        <f ca="1">PosAggregate!A45</f>
        <v>#NAME?</v>
      </c>
      <c r="B35" s="276">
        <f ca="1">PosAggregate!L45</f>
        <v>-1463572</v>
      </c>
      <c r="C35" s="276" t="e">
        <f ca="1">IF(OR(LEFT(A35,2)="JE",LEFT(A35,2)="GG",LEFT(A35,2)="GB"),PosAggregate!AA45/100,PosAggregate!AA45)</f>
        <v>#NAME?</v>
      </c>
      <c r="D35" s="442" t="e">
        <f ca="1">VLOOKUP(A35,POSNAV!A:C,1,FALSE)</f>
        <v>#NAME?</v>
      </c>
      <c r="E35" s="276" t="e">
        <f ca="1">VLOOKUP(A35,POSNAV!A:C,2,FALSE)</f>
        <v>#NAME?</v>
      </c>
      <c r="F35" s="276" t="e">
        <f t="shared" ca="1" si="0"/>
        <v>#NAME?</v>
      </c>
    </row>
    <row r="36" spans="1:6">
      <c r="A36" t="e">
        <f ca="1">PosAggregate!A46</f>
        <v>#NAME?</v>
      </c>
      <c r="B36" s="276">
        <f ca="1">PosAggregate!L46</f>
        <v>-1463572</v>
      </c>
      <c r="C36" s="276" t="e">
        <f ca="1">IF(OR(LEFT(A36,2)="JE",LEFT(A36,2)="GG",LEFT(A36,2)="GB"),PosAggregate!AA46/100,PosAggregate!AA46)</f>
        <v>#NAME?</v>
      </c>
      <c r="D36" s="442" t="e">
        <f ca="1">VLOOKUP(A36,POSNAV!A:C,1,FALSE)</f>
        <v>#NAME?</v>
      </c>
      <c r="E36" s="276" t="e">
        <f ca="1">VLOOKUP(A36,POSNAV!A:C,2,FALSE)</f>
        <v>#NAME?</v>
      </c>
      <c r="F36" s="276" t="e">
        <f t="shared" ca="1" si="0"/>
        <v>#NAME?</v>
      </c>
    </row>
    <row r="37" spans="1:6">
      <c r="A37" t="e">
        <f ca="1">PosAggregate!A47</f>
        <v>#NAME?</v>
      </c>
      <c r="B37" s="276">
        <f ca="1">PosAggregate!L47</f>
        <v>-1463572</v>
      </c>
      <c r="C37" s="276" t="e">
        <f ca="1">IF(OR(LEFT(A37,2)="JE",LEFT(A37,2)="GG",LEFT(A37,2)="GB"),PosAggregate!AA47/100,PosAggregate!AA47)</f>
        <v>#NAME?</v>
      </c>
      <c r="D37" s="442" t="e">
        <f ca="1">VLOOKUP(A37,POSNAV!A:C,1,FALSE)</f>
        <v>#NAME?</v>
      </c>
      <c r="E37" s="276" t="e">
        <f ca="1">VLOOKUP(A37,POSNAV!A:C,2,FALSE)</f>
        <v>#NAME?</v>
      </c>
      <c r="F37" s="276" t="e">
        <f t="shared" ca="1" si="0"/>
        <v>#NAME?</v>
      </c>
    </row>
    <row r="38" spans="1:6">
      <c r="A38" t="e">
        <f ca="1">PosAggregate!A48</f>
        <v>#NAME?</v>
      </c>
      <c r="B38" s="276">
        <f ca="1">PosAggregate!L48</f>
        <v>-1463572</v>
      </c>
      <c r="C38" s="276" t="e">
        <f ca="1">IF(OR(LEFT(A38,2)="JE",LEFT(A38,2)="GG",LEFT(A38,2)="GB"),PosAggregate!AA48/100,PosAggregate!AA48)</f>
        <v>#NAME?</v>
      </c>
      <c r="D38" s="442" t="e">
        <f ca="1">VLOOKUP(A38,POSNAV!A:C,1,FALSE)</f>
        <v>#NAME?</v>
      </c>
      <c r="E38" s="276" t="e">
        <f ca="1">VLOOKUP(A38,POSNAV!A:C,2,FALSE)</f>
        <v>#NAME?</v>
      </c>
      <c r="F38" s="276" t="e">
        <f t="shared" ca="1" si="0"/>
        <v>#NAME?</v>
      </c>
    </row>
    <row r="39" spans="1:6">
      <c r="A39" t="e">
        <f ca="1">PosAggregate!A49</f>
        <v>#NAME?</v>
      </c>
      <c r="B39" s="276">
        <f ca="1">PosAggregate!L49</f>
        <v>-1463572</v>
      </c>
      <c r="C39" s="276" t="e">
        <f ca="1">IF(OR(LEFT(A39,2)="JE",LEFT(A39,2)="GG",LEFT(A39,2)="GB"),PosAggregate!AA49/100,PosAggregate!AA49)</f>
        <v>#NAME?</v>
      </c>
      <c r="D39" s="442" t="e">
        <f ca="1">VLOOKUP(A39,POSNAV!A:C,1,FALSE)</f>
        <v>#NAME?</v>
      </c>
      <c r="E39" s="276" t="e">
        <f ca="1">VLOOKUP(A39,POSNAV!A:C,2,FALSE)</f>
        <v>#NAME?</v>
      </c>
      <c r="F39" s="276" t="e">
        <f t="shared" ca="1" si="0"/>
        <v>#NAME?</v>
      </c>
    </row>
    <row r="40" spans="1:6">
      <c r="A40" t="e">
        <f ca="1">PosAggregate!A50</f>
        <v>#NAME?</v>
      </c>
      <c r="B40" s="276">
        <f ca="1">PosAggregate!L50</f>
        <v>-1463572</v>
      </c>
      <c r="C40" s="276" t="e">
        <f ca="1">IF(OR(LEFT(A40,2)="JE",LEFT(A40,2)="GG",LEFT(A40,2)="GB"),PosAggregate!AA50/100,PosAggregate!AA50)</f>
        <v>#NAME?</v>
      </c>
      <c r="D40" s="442" t="e">
        <f ca="1">VLOOKUP(A40,POSNAV!A:C,1,FALSE)</f>
        <v>#NAME?</v>
      </c>
      <c r="E40" s="276" t="e">
        <f ca="1">VLOOKUP(A40,POSNAV!A:C,2,FALSE)</f>
        <v>#NAME?</v>
      </c>
      <c r="F40" s="276" t="e">
        <f t="shared" ca="1" si="0"/>
        <v>#NAME?</v>
      </c>
    </row>
    <row r="41" spans="1:6">
      <c r="A41" t="e">
        <f ca="1">PosAggregate!A51</f>
        <v>#NAME?</v>
      </c>
      <c r="B41" s="276">
        <f ca="1">PosAggregate!L51</f>
        <v>-1463572</v>
      </c>
      <c r="C41" s="276" t="e">
        <f ca="1">IF(OR(LEFT(A41,2)="JE",LEFT(A41,2)="GG",LEFT(A41,2)="GB"),PosAggregate!AA51/100,PosAggregate!AA51)</f>
        <v>#NAME?</v>
      </c>
      <c r="D41" s="442" t="e">
        <f ca="1">VLOOKUP(A41,POSNAV!A:C,1,FALSE)</f>
        <v>#NAME?</v>
      </c>
      <c r="E41" s="276" t="e">
        <f ca="1">VLOOKUP(A41,POSNAV!A:C,2,FALSE)</f>
        <v>#NAME?</v>
      </c>
      <c r="F41" s="276" t="e">
        <f t="shared" ca="1" si="0"/>
        <v>#NAME?</v>
      </c>
    </row>
    <row r="42" spans="1:6">
      <c r="A42" t="e">
        <f ca="1">PosAggregate!A52</f>
        <v>#NAME?</v>
      </c>
      <c r="B42" s="276">
        <f ca="1">PosAggregate!L52</f>
        <v>-1463572</v>
      </c>
      <c r="C42" s="276" t="e">
        <f ca="1">IF(OR(LEFT(A42,2)="JE",LEFT(A42,2)="GG",LEFT(A42,2)="GB"),PosAggregate!AA52/100,PosAggregate!AA52)</f>
        <v>#NAME?</v>
      </c>
      <c r="D42" s="442" t="e">
        <f ca="1">VLOOKUP(A42,POSNAV!A:C,1,FALSE)</f>
        <v>#NAME?</v>
      </c>
      <c r="E42" s="276" t="e">
        <f ca="1">VLOOKUP(A42,POSNAV!A:C,2,FALSE)</f>
        <v>#NAME?</v>
      </c>
      <c r="F42" s="276" t="e">
        <f t="shared" ca="1" si="0"/>
        <v>#NAME?</v>
      </c>
    </row>
    <row r="43" spans="1:6">
      <c r="A43" t="e">
        <f ca="1">PosAggregate!A53</f>
        <v>#NAME?</v>
      </c>
      <c r="B43" s="276">
        <f ca="1">PosAggregate!L53</f>
        <v>-1463572</v>
      </c>
      <c r="C43" s="276" t="e">
        <f ca="1">IF(OR(LEFT(A43,2)="JE",LEFT(A43,2)="GG",LEFT(A43,2)="GB"),PosAggregate!AA53/100,PosAggregate!AA53)</f>
        <v>#NAME?</v>
      </c>
      <c r="D43" s="442" t="e">
        <f ca="1">VLOOKUP(A43,POSNAV!A:C,1,FALSE)</f>
        <v>#NAME?</v>
      </c>
      <c r="E43" s="276" t="e">
        <f ca="1">VLOOKUP(A43,POSNAV!A:C,2,FALSE)</f>
        <v>#NAME?</v>
      </c>
      <c r="F43" s="276" t="e">
        <f t="shared" ca="1" si="0"/>
        <v>#NAME?</v>
      </c>
    </row>
    <row r="44" spans="1:6">
      <c r="A44" t="e">
        <f ca="1">PosAggregate!A54</f>
        <v>#NAME?</v>
      </c>
      <c r="B44" s="276">
        <f ca="1">PosAggregate!L54</f>
        <v>-1463572</v>
      </c>
      <c r="C44" s="276" t="e">
        <f ca="1">IF(OR(LEFT(A44,2)="JE",LEFT(A44,2)="GG",LEFT(A44,2)="GB"),PosAggregate!AA54/100,PosAggregate!AA54)</f>
        <v>#NAME?</v>
      </c>
      <c r="D44" s="442" t="e">
        <f ca="1">VLOOKUP(A44,POSNAV!A:C,1,FALSE)</f>
        <v>#NAME?</v>
      </c>
      <c r="E44" s="276" t="e">
        <f ca="1">VLOOKUP(A44,POSNAV!A:C,2,FALSE)</f>
        <v>#NAME?</v>
      </c>
      <c r="F44" s="276" t="e">
        <f t="shared" ca="1" si="0"/>
        <v>#NAME?</v>
      </c>
    </row>
    <row r="45" spans="1:6">
      <c r="A45" t="e">
        <f ca="1">PosAggregate!A55</f>
        <v>#NAME?</v>
      </c>
      <c r="B45" s="276">
        <f ca="1">PosAggregate!L55</f>
        <v>-1463572</v>
      </c>
      <c r="C45" s="276" t="e">
        <f ca="1">IF(OR(LEFT(A45,2)="JE",LEFT(A45,2)="GG",LEFT(A45,2)="GB"),PosAggregate!AA55/100,PosAggregate!AA55)</f>
        <v>#NAME?</v>
      </c>
      <c r="D45" s="442" t="e">
        <f ca="1">VLOOKUP(A45,POSNAV!A:C,1,FALSE)</f>
        <v>#NAME?</v>
      </c>
      <c r="E45" s="276" t="e">
        <f ca="1">VLOOKUP(A45,POSNAV!A:C,2,FALSE)</f>
        <v>#NAME?</v>
      </c>
      <c r="F45" s="276" t="e">
        <f t="shared" ca="1" si="0"/>
        <v>#NAME?</v>
      </c>
    </row>
    <row r="46" spans="1:6">
      <c r="A46" t="e">
        <f ca="1">PosAggregate!A56</f>
        <v>#NAME?</v>
      </c>
      <c r="B46" s="276">
        <f ca="1">PosAggregate!L56</f>
        <v>-1463572</v>
      </c>
      <c r="C46" s="276" t="e">
        <f ca="1">IF(OR(LEFT(A46,2)="JE",LEFT(A46,2)="GG",LEFT(A46,2)="GB"),PosAggregate!AA56/100,PosAggregate!AA56)</f>
        <v>#NAME?</v>
      </c>
      <c r="D46" s="442" t="e">
        <f ca="1">VLOOKUP(A46,POSNAV!A:C,1,FALSE)</f>
        <v>#NAME?</v>
      </c>
      <c r="E46" s="276" t="e">
        <f ca="1">VLOOKUP(A46,POSNAV!A:C,2,FALSE)</f>
        <v>#NAME?</v>
      </c>
      <c r="F46" s="276" t="e">
        <f t="shared" ca="1" si="0"/>
        <v>#NAME?</v>
      </c>
    </row>
    <row r="47" spans="1:6">
      <c r="A47" t="e">
        <f ca="1">PosAggregate!A57</f>
        <v>#NAME?</v>
      </c>
      <c r="B47" s="276">
        <f ca="1">PosAggregate!L57</f>
        <v>-1463572</v>
      </c>
      <c r="C47" s="276" t="e">
        <f ca="1">IF(OR(LEFT(A47,2)="JE",LEFT(A47,2)="GG",LEFT(A47,2)="GB"),PosAggregate!AA57/100,PosAggregate!AA57)</f>
        <v>#NAME?</v>
      </c>
      <c r="D47" s="442" t="e">
        <f ca="1">VLOOKUP(A47,POSNAV!A:C,1,FALSE)</f>
        <v>#NAME?</v>
      </c>
      <c r="E47" s="276" t="e">
        <f ca="1">VLOOKUP(A47,POSNAV!A:C,2,FALSE)</f>
        <v>#NAME?</v>
      </c>
      <c r="F47" s="276" t="e">
        <f t="shared" ca="1" si="0"/>
        <v>#NAME?</v>
      </c>
    </row>
    <row r="48" spans="1:6">
      <c r="A48" t="e">
        <f ca="1">PosAggregate!A58</f>
        <v>#NAME?</v>
      </c>
      <c r="B48" s="276">
        <f ca="1">PosAggregate!L58</f>
        <v>-1463572</v>
      </c>
      <c r="C48" s="276" t="e">
        <f ca="1">IF(OR(LEFT(A48,2)="JE",LEFT(A48,2)="GG",LEFT(A48,2)="GB"),PosAggregate!AA58/100,PosAggregate!AA58)</f>
        <v>#NAME?</v>
      </c>
      <c r="D48" s="442" t="e">
        <f ca="1">VLOOKUP(A48,POSNAV!A:C,1,FALSE)</f>
        <v>#NAME?</v>
      </c>
      <c r="E48" s="276" t="e">
        <f ca="1">VLOOKUP(A48,POSNAV!A:C,2,FALSE)</f>
        <v>#NAME?</v>
      </c>
      <c r="F48" s="276" t="e">
        <f t="shared" ca="1" si="0"/>
        <v>#NAME?</v>
      </c>
    </row>
    <row r="49" spans="1:6">
      <c r="A49" t="e">
        <f ca="1">PosAggregate!A59</f>
        <v>#NAME?</v>
      </c>
      <c r="B49" s="276">
        <f ca="1">PosAggregate!L59</f>
        <v>-1463572</v>
      </c>
      <c r="C49" s="276" t="e">
        <f ca="1">IF(OR(LEFT(A49,2)="JE",LEFT(A49,2)="GG",LEFT(A49,2)="GB"),PosAggregate!AA59/100,PosAggregate!AA59)</f>
        <v>#NAME?</v>
      </c>
      <c r="D49" s="442" t="e">
        <f ca="1">VLOOKUP(A49,POSNAV!A:C,1,FALSE)</f>
        <v>#NAME?</v>
      </c>
      <c r="E49" s="276" t="e">
        <f ca="1">VLOOKUP(A49,POSNAV!A:C,2,FALSE)</f>
        <v>#NAME?</v>
      </c>
      <c r="F49" s="276" t="e">
        <f t="shared" ca="1" si="0"/>
        <v>#NAME?</v>
      </c>
    </row>
    <row r="50" spans="1:6">
      <c r="A50" t="e">
        <f ca="1">PosAggregate!A60</f>
        <v>#NAME?</v>
      </c>
      <c r="B50" s="276">
        <f ca="1">PosAggregate!L60</f>
        <v>-1463572</v>
      </c>
      <c r="C50" s="276" t="e">
        <f ca="1">IF(OR(LEFT(A50,2)="JE",LEFT(A50,2)="GG",LEFT(A50,2)="GB"),PosAggregate!AA60/100,PosAggregate!AA60)</f>
        <v>#NAME?</v>
      </c>
      <c r="D50" s="442" t="e">
        <f ca="1">VLOOKUP(A50,POSNAV!A:C,1,FALSE)</f>
        <v>#NAME?</v>
      </c>
      <c r="E50" s="276" t="e">
        <f ca="1">VLOOKUP(A50,POSNAV!A:C,2,FALSE)</f>
        <v>#NAME?</v>
      </c>
      <c r="F50" s="276" t="e">
        <f t="shared" ca="1" si="0"/>
        <v>#NAME?</v>
      </c>
    </row>
    <row r="51" spans="1:6">
      <c r="A51" t="e">
        <f ca="1">PosAggregate!A61</f>
        <v>#NAME?</v>
      </c>
      <c r="B51" s="276">
        <f ca="1">PosAggregate!L61</f>
        <v>-1463572</v>
      </c>
      <c r="C51" s="276" t="e">
        <f ca="1">IF(OR(LEFT(A51,2)="JE",LEFT(A51,2)="GG",LEFT(A51,2)="GB"),PosAggregate!AA61/100,PosAggregate!AA61)</f>
        <v>#NAME?</v>
      </c>
      <c r="D51" s="442" t="e">
        <f ca="1">VLOOKUP(A51,POSNAV!A:C,1,FALSE)</f>
        <v>#NAME?</v>
      </c>
      <c r="E51" s="276" t="e">
        <f ca="1">VLOOKUP(A51,POSNAV!A:C,2,FALSE)</f>
        <v>#NAME?</v>
      </c>
      <c r="F51" s="276" t="e">
        <f t="shared" ca="1" si="0"/>
        <v>#NAME?</v>
      </c>
    </row>
    <row r="52" spans="1:6">
      <c r="A52" t="e">
        <f ca="1">PosAggregate!A62</f>
        <v>#NAME?</v>
      </c>
      <c r="B52" s="276">
        <f ca="1">PosAggregate!L62</f>
        <v>-1463572</v>
      </c>
      <c r="C52" s="276" t="e">
        <f ca="1">IF(OR(LEFT(A52,2)="JE",LEFT(A52,2)="GG",LEFT(A52,2)="GB"),PosAggregate!AA62/100,PosAggregate!AA62)</f>
        <v>#NAME?</v>
      </c>
      <c r="D52" s="442" t="e">
        <f ca="1">VLOOKUP(A52,POSNAV!A:C,1,FALSE)</f>
        <v>#NAME?</v>
      </c>
      <c r="E52" s="276" t="e">
        <f ca="1">VLOOKUP(A52,POSNAV!A:C,2,FALSE)</f>
        <v>#NAME?</v>
      </c>
      <c r="F52" s="276" t="e">
        <f t="shared" ca="1" si="0"/>
        <v>#NAME?</v>
      </c>
    </row>
    <row r="53" spans="1:6">
      <c r="A53" t="e">
        <f ca="1">PosAggregate!A63</f>
        <v>#NAME?</v>
      </c>
      <c r="B53" s="276">
        <f ca="1">PosAggregate!L63</f>
        <v>-1463572</v>
      </c>
      <c r="C53" s="276" t="e">
        <f ca="1">IF(OR(LEFT(A53,2)="JE",LEFT(A53,2)="GG",LEFT(A53,2)="GB"),PosAggregate!AA63/100,PosAggregate!AA63)</f>
        <v>#NAME?</v>
      </c>
      <c r="D53" s="442" t="e">
        <f ca="1">VLOOKUP(A53,POSNAV!A:C,1,FALSE)</f>
        <v>#NAME?</v>
      </c>
      <c r="E53" s="276" t="e">
        <f ca="1">VLOOKUP(A53,POSNAV!A:C,2,FALSE)</f>
        <v>#NAME?</v>
      </c>
      <c r="F53" s="276" t="e">
        <f t="shared" ca="1" si="0"/>
        <v>#NAME?</v>
      </c>
    </row>
    <row r="54" spans="1:6">
      <c r="A54">
        <f>PosAggregate!A64</f>
        <v>0</v>
      </c>
      <c r="B54" s="276">
        <f>PosAggregate!L64</f>
        <v>0</v>
      </c>
      <c r="C54" s="276">
        <f>IF(OR(LEFT(A54,2)="JE",LEFT(A54,2)="GG",LEFT(A54,2)="GB"),PosAggregate!AA64/100,PosAggregate!AA64)</f>
        <v>0</v>
      </c>
      <c r="D54" s="442" t="e">
        <f>VLOOKUP(A54,POSNAV!A:C,1,FALSE)</f>
        <v>#N/A</v>
      </c>
      <c r="E54" s="276" t="e">
        <f>VLOOKUP(A54,POSNAV!A:C,2,FALSE)</f>
        <v>#N/A</v>
      </c>
      <c r="F54" s="276" t="e">
        <f t="shared" si="0"/>
        <v>#N/A</v>
      </c>
    </row>
    <row r="55" spans="1:6">
      <c r="A55">
        <f>PosAggregate!A65</f>
        <v>0</v>
      </c>
      <c r="B55" s="276">
        <f>PosAggregate!L65</f>
        <v>0</v>
      </c>
      <c r="C55" s="276">
        <f>IF(OR(LEFT(A55,2)="JE",LEFT(A55,2)="GG",LEFT(A55,2)="GB"),PosAggregate!AA65/100,PosAggregate!AA65)</f>
        <v>0</v>
      </c>
      <c r="D55" s="442" t="e">
        <f>VLOOKUP(A55,POSNAV!A:C,1,FALSE)</f>
        <v>#N/A</v>
      </c>
      <c r="E55" s="276" t="e">
        <f>VLOOKUP(A55,POSNAV!A:C,2,FALSE)</f>
        <v>#N/A</v>
      </c>
      <c r="F55" s="276" t="e">
        <f t="shared" si="0"/>
        <v>#N/A</v>
      </c>
    </row>
    <row r="56" spans="1:6">
      <c r="A56">
        <f>PosAggregate!A66</f>
        <v>0</v>
      </c>
      <c r="B56" s="276">
        <f>PosAggregate!L66</f>
        <v>0</v>
      </c>
      <c r="C56" s="276">
        <f>IF(OR(LEFT(A56,2)="JE",LEFT(A56,2)="GG",LEFT(A56,2)="GB"),PosAggregate!AA66/100,PosAggregate!AA66)</f>
        <v>0</v>
      </c>
      <c r="D56" s="442" t="e">
        <f>VLOOKUP(A56,POSNAV!A:C,1,FALSE)</f>
        <v>#N/A</v>
      </c>
      <c r="E56" s="276" t="e">
        <f>VLOOKUP(A56,POSNAV!A:C,2,FALSE)</f>
        <v>#N/A</v>
      </c>
      <c r="F56" s="276" t="e">
        <f t="shared" si="0"/>
        <v>#N/A</v>
      </c>
    </row>
    <row r="57" spans="1:6">
      <c r="A57">
        <f>PosAggregate!A67</f>
        <v>0</v>
      </c>
      <c r="B57" s="276">
        <f>PosAggregate!L67</f>
        <v>0</v>
      </c>
      <c r="C57" s="276">
        <f>IF(OR(LEFT(A57,2)="JE",LEFT(A57,2)="GG",LEFT(A57,2)="GB"),PosAggregate!AA67/100,PosAggregate!AA67)</f>
        <v>0</v>
      </c>
      <c r="D57" s="442" t="e">
        <f>VLOOKUP(A57,POSNAV!A:C,1,FALSE)</f>
        <v>#N/A</v>
      </c>
      <c r="E57" s="276" t="e">
        <f>VLOOKUP(A57,POSNAV!A:C,2,FALSE)</f>
        <v>#N/A</v>
      </c>
      <c r="F57" s="276" t="e">
        <f t="shared" si="0"/>
        <v>#N/A</v>
      </c>
    </row>
    <row r="58" spans="1:6">
      <c r="A58">
        <f>PosAggregate!A68</f>
        <v>0</v>
      </c>
      <c r="B58" s="276">
        <f>PosAggregate!L68</f>
        <v>0</v>
      </c>
      <c r="C58" s="276">
        <f>IF(OR(LEFT(A58,2)="JE",LEFT(A58,2)="GG",LEFT(A58,2)="GB"),PosAggregate!AA68/100,PosAggregate!AA68)</f>
        <v>0</v>
      </c>
      <c r="D58" s="442" t="e">
        <f>VLOOKUP(A58,POSNAV!A:C,1,FALSE)</f>
        <v>#N/A</v>
      </c>
      <c r="E58" s="276" t="e">
        <f>VLOOKUP(A58,POSNAV!A:C,2,FALSE)</f>
        <v>#N/A</v>
      </c>
      <c r="F58" s="276" t="e">
        <f t="shared" si="0"/>
        <v>#N/A</v>
      </c>
    </row>
    <row r="59" spans="1:6" ht="12.75" customHeight="1">
      <c r="A59">
        <f>PosAggregate!A69</f>
        <v>0</v>
      </c>
      <c r="B59" s="276">
        <f>PosAggregate!L69</f>
        <v>0</v>
      </c>
      <c r="C59" s="276">
        <f>IF(OR(LEFT(A59,2)="JE",LEFT(A59,2)="GG",LEFT(A59,2)="GB"),PosAggregate!AA69/100,PosAggregate!AA69)</f>
        <v>0</v>
      </c>
      <c r="D59" s="442" t="e">
        <f>VLOOKUP(A59,POSNAV!A:C,1,FALSE)</f>
        <v>#N/A</v>
      </c>
      <c r="E59" s="276" t="e">
        <f>VLOOKUP(A59,POSNAV!A:C,2,FALSE)</f>
        <v>#N/A</v>
      </c>
      <c r="F59" s="276" t="e">
        <f t="shared" si="0"/>
        <v>#N/A</v>
      </c>
    </row>
    <row r="60" spans="1:6">
      <c r="A60">
        <f>PosAggregate!A70</f>
        <v>0</v>
      </c>
      <c r="B60" s="276">
        <f>PosAggregate!L70</f>
        <v>0</v>
      </c>
      <c r="C60" s="276">
        <f>IF(OR(LEFT(A60,2)="JE",LEFT(A60,2)="GG",LEFT(A60,2)="GB"),PosAggregate!AA70/100,PosAggregate!AA70)</f>
        <v>0</v>
      </c>
      <c r="D60" s="442" t="e">
        <f>VLOOKUP(A60,POSNAV!A:C,1,FALSE)</f>
        <v>#N/A</v>
      </c>
      <c r="E60" s="276" t="e">
        <f>VLOOKUP(A60,POSNAV!A:C,2,FALSE)</f>
        <v>#N/A</v>
      </c>
      <c r="F60" s="276" t="e">
        <f t="shared" si="0"/>
        <v>#N/A</v>
      </c>
    </row>
    <row r="61" spans="1:6">
      <c r="A61">
        <f>PosAggregate!A71</f>
        <v>0</v>
      </c>
      <c r="B61" s="276">
        <f>PosAggregate!L71</f>
        <v>0</v>
      </c>
      <c r="C61" s="276">
        <f>IF(OR(LEFT(A61,2)="JE",LEFT(A61,2)="GG",LEFT(A61,2)="GB"),PosAggregate!AA71/100,PosAggregate!AA71)</f>
        <v>0</v>
      </c>
      <c r="D61" s="442" t="e">
        <f>VLOOKUP(A61,POSNAV!A:C,1,FALSE)</f>
        <v>#N/A</v>
      </c>
      <c r="E61" s="276" t="e">
        <f>VLOOKUP(A61,POSNAV!A:C,2,FALSE)</f>
        <v>#N/A</v>
      </c>
      <c r="F61" s="276" t="e">
        <f t="shared" si="0"/>
        <v>#N/A</v>
      </c>
    </row>
    <row r="62" spans="1:6">
      <c r="A62">
        <f>PosAggregate!A72</f>
        <v>0</v>
      </c>
      <c r="B62" s="276">
        <f>PosAggregate!L72</f>
        <v>0</v>
      </c>
      <c r="C62" s="276">
        <f>IF(OR(LEFT(A62,2)="JE",LEFT(A62,2)="GG",LEFT(A62,2)="GB"),PosAggregate!AA72/100,PosAggregate!AA72)</f>
        <v>0</v>
      </c>
      <c r="D62" s="442" t="e">
        <f>VLOOKUP(A62,POSNAV!A:C,1,FALSE)</f>
        <v>#N/A</v>
      </c>
      <c r="E62" s="276" t="e">
        <f>VLOOKUP(A62,POSNAV!A:C,2,FALSE)</f>
        <v>#N/A</v>
      </c>
      <c r="F62" s="276" t="e">
        <f t="shared" si="0"/>
        <v>#N/A</v>
      </c>
    </row>
    <row r="63" spans="1:6">
      <c r="A63">
        <f>PosAggregate!A73</f>
        <v>0</v>
      </c>
      <c r="B63" s="276">
        <f>PosAggregate!L73</f>
        <v>0</v>
      </c>
      <c r="C63" s="276">
        <f>IF(OR(LEFT(A63,2)="JE",LEFT(A63,2)="GG",LEFT(A63,2)="GB"),PosAggregate!AA73/100,PosAggregate!AA73)</f>
        <v>0</v>
      </c>
      <c r="D63" s="442" t="e">
        <f>VLOOKUP(A63,POSNAV!A:C,1,FALSE)</f>
        <v>#N/A</v>
      </c>
      <c r="E63" s="276" t="e">
        <f>VLOOKUP(A63,POSNAV!A:C,2,FALSE)</f>
        <v>#N/A</v>
      </c>
      <c r="F63" s="276" t="e">
        <f t="shared" si="0"/>
        <v>#N/A</v>
      </c>
    </row>
    <row r="64" spans="1:6">
      <c r="A64">
        <f>PosAggregate!A74</f>
        <v>0</v>
      </c>
      <c r="B64" s="276">
        <f>PosAggregate!L74</f>
        <v>0</v>
      </c>
      <c r="C64" s="276">
        <f>IF(OR(LEFT(A64,2)="JE",LEFT(A64,2)="GG",LEFT(A64,2)="GB"),PosAggregate!AA74/100,PosAggregate!AA74)</f>
        <v>0</v>
      </c>
      <c r="D64" s="442" t="e">
        <f>VLOOKUP(A64,POSNAV!A:C,1,FALSE)</f>
        <v>#N/A</v>
      </c>
      <c r="E64" s="276" t="e">
        <f>VLOOKUP(A64,POSNAV!A:C,2,FALSE)</f>
        <v>#N/A</v>
      </c>
      <c r="F64" s="276" t="e">
        <f t="shared" si="0"/>
        <v>#N/A</v>
      </c>
    </row>
    <row r="65" spans="1:6">
      <c r="A65">
        <f>PosAggregate!A75</f>
        <v>0</v>
      </c>
      <c r="B65" s="276">
        <f>PosAggregate!L75</f>
        <v>0</v>
      </c>
      <c r="C65" s="276">
        <f>IF(OR(LEFT(A65,2)="JE",LEFT(A65,2)="GG",LEFT(A65,2)="GB"),PosAggregate!AA75/100,PosAggregate!AA75)</f>
        <v>0</v>
      </c>
      <c r="D65" s="442" t="e">
        <f>VLOOKUP(A65,POSNAV!A:C,1,FALSE)</f>
        <v>#N/A</v>
      </c>
      <c r="E65" s="276" t="e">
        <f>VLOOKUP(A65,POSNAV!A:C,2,FALSE)</f>
        <v>#N/A</v>
      </c>
      <c r="F65" s="276" t="e">
        <f t="shared" si="0"/>
        <v>#N/A</v>
      </c>
    </row>
    <row r="66" spans="1:6">
      <c r="A66">
        <f>PosAggregate!A76</f>
        <v>0</v>
      </c>
      <c r="B66" s="276">
        <f>PosAggregate!L76</f>
        <v>0</v>
      </c>
      <c r="C66" s="276">
        <f>IF(OR(LEFT(A66,2)="JE",LEFT(A66,2)="GG",LEFT(A66,2)="GB"),PosAggregate!AA76/100,PosAggregate!AA76)</f>
        <v>0</v>
      </c>
      <c r="D66" s="442" t="e">
        <f>VLOOKUP(A66,POSNAV!A:C,1,FALSE)</f>
        <v>#N/A</v>
      </c>
      <c r="E66" s="276" t="e">
        <f>VLOOKUP(A66,POSNAV!A:C,2,FALSE)</f>
        <v>#N/A</v>
      </c>
      <c r="F66" s="276" t="e">
        <f t="shared" ref="F66:F129" si="1">B66-E66</f>
        <v>#N/A</v>
      </c>
    </row>
    <row r="67" spans="1:6">
      <c r="A67">
        <f>PosAggregate!A77</f>
        <v>0</v>
      </c>
      <c r="B67" s="276">
        <f>PosAggregate!L77</f>
        <v>0</v>
      </c>
      <c r="C67" s="276">
        <f>IF(OR(LEFT(A67,2)="JE",LEFT(A67,2)="GG",LEFT(A67,2)="GB"),PosAggregate!AA77/100,PosAggregate!AA77)</f>
        <v>0</v>
      </c>
      <c r="D67" s="442" t="e">
        <f>VLOOKUP(A67,POSNAV!A:C,1,FALSE)</f>
        <v>#N/A</v>
      </c>
      <c r="E67" s="276" t="e">
        <f>VLOOKUP(A67,POSNAV!A:C,2,FALSE)</f>
        <v>#N/A</v>
      </c>
      <c r="F67" s="276" t="e">
        <f t="shared" si="1"/>
        <v>#N/A</v>
      </c>
    </row>
    <row r="68" spans="1:6">
      <c r="A68">
        <f>PosAggregate!A78</f>
        <v>0</v>
      </c>
      <c r="B68" s="276">
        <f>PosAggregate!L78</f>
        <v>0</v>
      </c>
      <c r="C68" s="276">
        <f>IF(OR(LEFT(A68,2)="JE",LEFT(A68,2)="GG",LEFT(A68,2)="GB"),PosAggregate!AA78/100,PosAggregate!AA78)</f>
        <v>0</v>
      </c>
      <c r="D68" s="442" t="e">
        <f>VLOOKUP(A68,POSNAV!A:C,1,FALSE)</f>
        <v>#N/A</v>
      </c>
      <c r="E68" s="276" t="e">
        <f>VLOOKUP(A68,POSNAV!A:C,2,FALSE)</f>
        <v>#N/A</v>
      </c>
      <c r="F68" s="276" t="e">
        <f t="shared" si="1"/>
        <v>#N/A</v>
      </c>
    </row>
    <row r="69" spans="1:6">
      <c r="A69">
        <f>PosAggregate!A79</f>
        <v>0</v>
      </c>
      <c r="B69" s="276">
        <f>PosAggregate!L79</f>
        <v>0</v>
      </c>
      <c r="C69" s="276">
        <f>IF(OR(LEFT(A69,2)="JE",LEFT(A69,2)="GG",LEFT(A69,2)="GB"),PosAggregate!AA79/100,PosAggregate!AA79)</f>
        <v>0</v>
      </c>
      <c r="D69" s="442" t="e">
        <f>VLOOKUP(A69,POSNAV!A:C,1,FALSE)</f>
        <v>#N/A</v>
      </c>
      <c r="E69" s="276" t="e">
        <f>VLOOKUP(A69,POSNAV!A:C,2,FALSE)</f>
        <v>#N/A</v>
      </c>
      <c r="F69" s="276" t="e">
        <f t="shared" si="1"/>
        <v>#N/A</v>
      </c>
    </row>
    <row r="70" spans="1:6">
      <c r="A70">
        <f>PosAggregate!A80</f>
        <v>0</v>
      </c>
      <c r="B70" s="276">
        <f>PosAggregate!L80</f>
        <v>0</v>
      </c>
      <c r="C70" s="276">
        <f>IF(OR(LEFT(A70,2)="JE",LEFT(A70,2)="GG",LEFT(A70,2)="GB"),PosAggregate!AA80/100,PosAggregate!AA80)</f>
        <v>0</v>
      </c>
      <c r="D70" s="442" t="e">
        <f>VLOOKUP(A70,POSNAV!A:C,1,FALSE)</f>
        <v>#N/A</v>
      </c>
      <c r="E70" s="276" t="e">
        <f>VLOOKUP(A70,POSNAV!A:C,2,FALSE)</f>
        <v>#N/A</v>
      </c>
      <c r="F70" s="276" t="e">
        <f t="shared" si="1"/>
        <v>#N/A</v>
      </c>
    </row>
    <row r="71" spans="1:6">
      <c r="A71">
        <f>PosAggregate!A81</f>
        <v>0</v>
      </c>
      <c r="B71" s="276">
        <f>PosAggregate!L81</f>
        <v>0</v>
      </c>
      <c r="C71" s="276">
        <f>IF(OR(LEFT(A71,2)="JE",LEFT(A71,2)="GG",LEFT(A71,2)="GB"),PosAggregate!AA81/100,PosAggregate!AA81)</f>
        <v>0</v>
      </c>
      <c r="D71" s="442" t="e">
        <f>VLOOKUP(A71,POSNAV!A:C,1,FALSE)</f>
        <v>#N/A</v>
      </c>
      <c r="E71" s="276" t="e">
        <f>VLOOKUP(A71,POSNAV!A:C,2,FALSE)</f>
        <v>#N/A</v>
      </c>
      <c r="F71" s="276" t="e">
        <f t="shared" si="1"/>
        <v>#N/A</v>
      </c>
    </row>
    <row r="72" spans="1:6">
      <c r="A72">
        <f>PosAggregate!A82</f>
        <v>0</v>
      </c>
      <c r="B72" s="276">
        <f>PosAggregate!L82</f>
        <v>0</v>
      </c>
      <c r="C72" s="276">
        <f>IF(OR(LEFT(A72,2)="JE",LEFT(A72,2)="GG",LEFT(A72,2)="GB"),PosAggregate!AA82/100,PosAggregate!AA82)</f>
        <v>0</v>
      </c>
      <c r="D72" s="442" t="e">
        <f>VLOOKUP(A72,POSNAV!A:C,1,FALSE)</f>
        <v>#N/A</v>
      </c>
      <c r="E72" s="276" t="e">
        <f>VLOOKUP(A72,POSNAV!A:C,2,FALSE)</f>
        <v>#N/A</v>
      </c>
      <c r="F72" s="276" t="e">
        <f t="shared" si="1"/>
        <v>#N/A</v>
      </c>
    </row>
    <row r="73" spans="1:6">
      <c r="A73">
        <f>PosAggregate!A83</f>
        <v>0</v>
      </c>
      <c r="B73" s="276">
        <f>PosAggregate!L83</f>
        <v>0</v>
      </c>
      <c r="C73" s="276">
        <f>IF(OR(LEFT(A73,2)="JE",LEFT(A73,2)="GG",LEFT(A73,2)="GB"),PosAggregate!AA83/100,PosAggregate!AA83)</f>
        <v>0</v>
      </c>
      <c r="D73" s="442" t="e">
        <f>VLOOKUP(A73,POSNAV!A:C,1,FALSE)</f>
        <v>#N/A</v>
      </c>
      <c r="E73" s="276" t="e">
        <f>VLOOKUP(A73,POSNAV!A:C,2,FALSE)</f>
        <v>#N/A</v>
      </c>
      <c r="F73" s="276" t="e">
        <f t="shared" si="1"/>
        <v>#N/A</v>
      </c>
    </row>
    <row r="74" spans="1:6">
      <c r="A74">
        <f>PosAggregate!A84</f>
        <v>0</v>
      </c>
      <c r="B74" s="276">
        <f>PosAggregate!L84</f>
        <v>0</v>
      </c>
      <c r="C74" s="276">
        <f>IF(OR(LEFT(A74,2)="JE",LEFT(A74,2)="GG",LEFT(A74,2)="GB"),PosAggregate!AA84/100,PosAggregate!AA84)</f>
        <v>0</v>
      </c>
      <c r="D74" s="442" t="e">
        <f>VLOOKUP(A74,POSNAV!A:C,1,FALSE)</f>
        <v>#N/A</v>
      </c>
      <c r="E74" s="276" t="e">
        <f>VLOOKUP(A74,POSNAV!A:C,2,FALSE)</f>
        <v>#N/A</v>
      </c>
      <c r="F74" s="276" t="e">
        <f t="shared" si="1"/>
        <v>#N/A</v>
      </c>
    </row>
    <row r="75" spans="1:6">
      <c r="A75">
        <f>PosAggregate!A85</f>
        <v>0</v>
      </c>
      <c r="B75" s="276">
        <f>PosAggregate!L85</f>
        <v>0</v>
      </c>
      <c r="C75" s="276">
        <f>IF(OR(LEFT(A75,2)="JE",LEFT(A75,2)="GG",LEFT(A75,2)="GB"),PosAggregate!AA85/100,PosAggregate!AA85)</f>
        <v>0</v>
      </c>
      <c r="D75" s="442" t="e">
        <f>VLOOKUP(A75,POSNAV!A:C,1,FALSE)</f>
        <v>#N/A</v>
      </c>
      <c r="E75" s="276" t="e">
        <f>VLOOKUP(A75,POSNAV!A:C,2,FALSE)</f>
        <v>#N/A</v>
      </c>
      <c r="F75" s="276" t="e">
        <f t="shared" si="1"/>
        <v>#N/A</v>
      </c>
    </row>
    <row r="76" spans="1:6">
      <c r="A76">
        <f>PosAggregate!A86</f>
        <v>0</v>
      </c>
      <c r="B76" s="276">
        <f>PosAggregate!L86</f>
        <v>0</v>
      </c>
      <c r="C76" s="276">
        <f>IF(OR(LEFT(A76,2)="JE",LEFT(A76,2)="GG",LEFT(A76,2)="GB"),PosAggregate!AA86/100,PosAggregate!AA86)</f>
        <v>0</v>
      </c>
      <c r="D76" s="442" t="e">
        <f>VLOOKUP(A76,POSNAV!A:C,1,FALSE)</f>
        <v>#N/A</v>
      </c>
      <c r="E76" s="276" t="e">
        <f>VLOOKUP(A76,POSNAV!A:C,2,FALSE)</f>
        <v>#N/A</v>
      </c>
      <c r="F76" s="276" t="e">
        <f t="shared" si="1"/>
        <v>#N/A</v>
      </c>
    </row>
    <row r="77" spans="1:6">
      <c r="A77">
        <f>PosAggregate!A87</f>
        <v>0</v>
      </c>
      <c r="B77" s="276">
        <f>PosAggregate!L87</f>
        <v>0</v>
      </c>
      <c r="C77" s="276">
        <f>IF(OR(LEFT(A77,2)="JE",LEFT(A77,2)="GG",LEFT(A77,2)="GB"),PosAggregate!AA87/100,PosAggregate!AA87)</f>
        <v>0</v>
      </c>
      <c r="D77" s="442" t="e">
        <f>VLOOKUP(A77,POSNAV!A:C,1,FALSE)</f>
        <v>#N/A</v>
      </c>
      <c r="E77" s="276" t="e">
        <f>VLOOKUP(A77,POSNAV!A:C,2,FALSE)</f>
        <v>#N/A</v>
      </c>
      <c r="F77" s="276" t="e">
        <f t="shared" si="1"/>
        <v>#N/A</v>
      </c>
    </row>
    <row r="78" spans="1:6">
      <c r="A78">
        <f>PosAggregate!A88</f>
        <v>0</v>
      </c>
      <c r="B78" s="276">
        <f>PosAggregate!L88</f>
        <v>0</v>
      </c>
      <c r="C78" s="276">
        <f>IF(OR(LEFT(A78,2)="JE",LEFT(A78,2)="GG",LEFT(A78,2)="GB"),PosAggregate!AA88/100,PosAggregate!AA88)</f>
        <v>0</v>
      </c>
      <c r="D78" s="442" t="e">
        <f>VLOOKUP(A78,POSNAV!A:C,1,FALSE)</f>
        <v>#N/A</v>
      </c>
      <c r="E78" s="276" t="e">
        <f>VLOOKUP(A78,POSNAV!A:C,2,FALSE)</f>
        <v>#N/A</v>
      </c>
      <c r="F78" s="276" t="e">
        <f t="shared" si="1"/>
        <v>#N/A</v>
      </c>
    </row>
    <row r="79" spans="1:6">
      <c r="A79">
        <f>PosAggregate!A89</f>
        <v>0</v>
      </c>
      <c r="B79" s="276">
        <f>PosAggregate!L89</f>
        <v>0</v>
      </c>
      <c r="C79" s="276">
        <f>IF(OR(LEFT(A79,2)="JE",LEFT(A79,2)="GG",LEFT(A79,2)="GB"),PosAggregate!AA89/100,PosAggregate!AA89)</f>
        <v>0</v>
      </c>
      <c r="D79" s="442" t="e">
        <f>VLOOKUP(A79,POSNAV!A:C,1,FALSE)</f>
        <v>#N/A</v>
      </c>
      <c r="E79" s="276" t="e">
        <f>VLOOKUP(A79,POSNAV!A:C,2,FALSE)</f>
        <v>#N/A</v>
      </c>
      <c r="F79" s="276" t="e">
        <f t="shared" si="1"/>
        <v>#N/A</v>
      </c>
    </row>
    <row r="80" spans="1:6">
      <c r="A80">
        <f>PosAggregate!A90</f>
        <v>0</v>
      </c>
      <c r="B80" s="276">
        <f>PosAggregate!L90</f>
        <v>0</v>
      </c>
      <c r="C80" s="276">
        <f>IF(OR(LEFT(A80,2)="JE",LEFT(A80,2)="GG",LEFT(A80,2)="GB"),PosAggregate!AA90/100,PosAggregate!AA90)</f>
        <v>0</v>
      </c>
      <c r="D80" s="442" t="e">
        <f>VLOOKUP(A80,POSNAV!A:C,1,FALSE)</f>
        <v>#N/A</v>
      </c>
      <c r="E80" s="276" t="e">
        <f>VLOOKUP(A80,POSNAV!A:C,2,FALSE)</f>
        <v>#N/A</v>
      </c>
      <c r="F80" s="276" t="e">
        <f t="shared" si="1"/>
        <v>#N/A</v>
      </c>
    </row>
    <row r="81" spans="1:6">
      <c r="A81">
        <f>PosAggregate!A91</f>
        <v>0</v>
      </c>
      <c r="B81" s="276">
        <f>PosAggregate!L91</f>
        <v>0</v>
      </c>
      <c r="C81" s="276">
        <f>IF(OR(LEFT(A81,2)="JE",LEFT(A81,2)="GG",LEFT(A81,2)="GB"),PosAggregate!AA91/100,PosAggregate!AA91)</f>
        <v>0</v>
      </c>
      <c r="D81" s="442" t="e">
        <f>VLOOKUP(A81,POSNAV!A:C,1,FALSE)</f>
        <v>#N/A</v>
      </c>
      <c r="E81" s="276" t="e">
        <f>VLOOKUP(A81,POSNAV!A:C,2,FALSE)</f>
        <v>#N/A</v>
      </c>
      <c r="F81" s="276" t="e">
        <f t="shared" si="1"/>
        <v>#N/A</v>
      </c>
    </row>
    <row r="82" spans="1:6">
      <c r="A82">
        <f>PosAggregate!A92</f>
        <v>0</v>
      </c>
      <c r="B82" s="276">
        <f>PosAggregate!L92</f>
        <v>0</v>
      </c>
      <c r="C82" s="276">
        <f>IF(OR(LEFT(A82,2)="JE",LEFT(A82,2)="GG",LEFT(A82,2)="GB"),PosAggregate!AA92/100,PosAggregate!AA92)</f>
        <v>0</v>
      </c>
      <c r="D82" s="442" t="e">
        <f>VLOOKUP(A82,POSNAV!A:C,1,FALSE)</f>
        <v>#N/A</v>
      </c>
      <c r="E82" s="276" t="e">
        <f>VLOOKUP(A82,POSNAV!A:C,2,FALSE)</f>
        <v>#N/A</v>
      </c>
      <c r="F82" s="276" t="e">
        <f t="shared" si="1"/>
        <v>#N/A</v>
      </c>
    </row>
    <row r="83" spans="1:6">
      <c r="A83">
        <f>PosAggregate!A93</f>
        <v>0</v>
      </c>
      <c r="B83" s="276">
        <f>PosAggregate!L93</f>
        <v>0</v>
      </c>
      <c r="C83" s="276">
        <f>IF(OR(LEFT(A83,2)="JE",LEFT(A83,2)="GG",LEFT(A83,2)="GB"),PosAggregate!AA93/100,PosAggregate!AA93)</f>
        <v>0</v>
      </c>
      <c r="D83" s="442" t="e">
        <f>VLOOKUP(A83,POSNAV!A:C,1,FALSE)</f>
        <v>#N/A</v>
      </c>
      <c r="E83" s="276" t="e">
        <f>VLOOKUP(A83,POSNAV!A:C,2,FALSE)</f>
        <v>#N/A</v>
      </c>
      <c r="F83" s="276" t="e">
        <f t="shared" si="1"/>
        <v>#N/A</v>
      </c>
    </row>
    <row r="84" spans="1:6">
      <c r="A84">
        <f>PosAggregate!A94</f>
        <v>0</v>
      </c>
      <c r="B84" s="276">
        <f>PosAggregate!L94</f>
        <v>0</v>
      </c>
      <c r="C84" s="276">
        <f>IF(OR(LEFT(A84,2)="JE",LEFT(A84,2)="GG",LEFT(A84,2)="GB"),PosAggregate!AA94/100,PosAggregate!AA94)</f>
        <v>0</v>
      </c>
      <c r="D84" s="442" t="e">
        <f>VLOOKUP(A84,POSNAV!A:C,1,FALSE)</f>
        <v>#N/A</v>
      </c>
      <c r="E84" s="276" t="e">
        <f>VLOOKUP(A84,POSNAV!A:C,2,FALSE)</f>
        <v>#N/A</v>
      </c>
      <c r="F84" s="276" t="e">
        <f t="shared" si="1"/>
        <v>#N/A</v>
      </c>
    </row>
    <row r="85" spans="1:6">
      <c r="A85">
        <f>PosAggregate!A95</f>
        <v>0</v>
      </c>
      <c r="B85" s="276">
        <f>PosAggregate!L95</f>
        <v>0</v>
      </c>
      <c r="C85" s="276">
        <f>IF(OR(LEFT(A85,2)="JE",LEFT(A85,2)="GG",LEFT(A85,2)="GB"),PosAggregate!AA95/100,PosAggregate!AA95)</f>
        <v>0</v>
      </c>
      <c r="D85" s="442" t="e">
        <f>VLOOKUP(A85,POSNAV!A:C,1,FALSE)</f>
        <v>#N/A</v>
      </c>
      <c r="E85" s="276" t="e">
        <f>VLOOKUP(A85,POSNAV!A:C,2,FALSE)</f>
        <v>#N/A</v>
      </c>
      <c r="F85" s="276" t="e">
        <f t="shared" si="1"/>
        <v>#N/A</v>
      </c>
    </row>
    <row r="86" spans="1:6">
      <c r="A86">
        <f>PosAggregate!A96</f>
        <v>0</v>
      </c>
      <c r="B86" s="276">
        <f>PosAggregate!L96</f>
        <v>0</v>
      </c>
      <c r="C86" s="276">
        <f>IF(OR(LEFT(A86,2)="JE",LEFT(A86,2)="GG",LEFT(A86,2)="GB"),PosAggregate!AA96/100,PosAggregate!AA96)</f>
        <v>0</v>
      </c>
      <c r="D86" s="442" t="e">
        <f>VLOOKUP(A86,POSNAV!A:C,1,FALSE)</f>
        <v>#N/A</v>
      </c>
      <c r="E86" s="276" t="e">
        <f>VLOOKUP(A86,POSNAV!A:C,2,FALSE)</f>
        <v>#N/A</v>
      </c>
      <c r="F86" s="276" t="e">
        <f t="shared" si="1"/>
        <v>#N/A</v>
      </c>
    </row>
    <row r="87" spans="1:6">
      <c r="A87">
        <f>PosAggregate!A97</f>
        <v>0</v>
      </c>
      <c r="B87" s="276">
        <f>PosAggregate!L97</f>
        <v>0</v>
      </c>
      <c r="C87" s="276">
        <f>IF(OR(LEFT(A87,2)="JE",LEFT(A87,2)="GG",LEFT(A87,2)="GB"),PosAggregate!AA97/100,PosAggregate!AA97)</f>
        <v>0</v>
      </c>
      <c r="D87" s="442" t="e">
        <f>VLOOKUP(A87,POSNAV!A:C,1,FALSE)</f>
        <v>#N/A</v>
      </c>
      <c r="E87" s="276" t="e">
        <f>VLOOKUP(A87,POSNAV!A:C,2,FALSE)</f>
        <v>#N/A</v>
      </c>
      <c r="F87" s="276" t="e">
        <f t="shared" si="1"/>
        <v>#N/A</v>
      </c>
    </row>
    <row r="88" spans="1:6">
      <c r="A88">
        <f>PosAggregate!A98</f>
        <v>0</v>
      </c>
      <c r="B88" s="276">
        <f>PosAggregate!L98</f>
        <v>0</v>
      </c>
      <c r="C88" s="276">
        <f>IF(OR(LEFT(A88,2)="JE",LEFT(A88,2)="GG",LEFT(A88,2)="GB"),PosAggregate!AA98/100,PosAggregate!AA98)</f>
        <v>0</v>
      </c>
      <c r="D88" s="442" t="e">
        <f>VLOOKUP(A88,POSNAV!A:C,1,FALSE)</f>
        <v>#N/A</v>
      </c>
      <c r="E88" s="276" t="e">
        <f>VLOOKUP(A88,POSNAV!A:C,2,FALSE)</f>
        <v>#N/A</v>
      </c>
      <c r="F88" s="276" t="e">
        <f t="shared" si="1"/>
        <v>#N/A</v>
      </c>
    </row>
    <row r="89" spans="1:6">
      <c r="A89">
        <f>PosAggregate!A99</f>
        <v>0</v>
      </c>
      <c r="B89" s="276">
        <f>PosAggregate!L99</f>
        <v>0</v>
      </c>
      <c r="C89" s="276">
        <f>IF(OR(LEFT(A89,2)="JE",LEFT(A89,2)="GG",LEFT(A89,2)="GB"),PosAggregate!AA99/100,PosAggregate!AA99)</f>
        <v>0</v>
      </c>
      <c r="D89" s="442" t="e">
        <f>VLOOKUP(A89,POSNAV!A:C,1,FALSE)</f>
        <v>#N/A</v>
      </c>
      <c r="E89" s="276" t="e">
        <f>VLOOKUP(A89,POSNAV!A:C,2,FALSE)</f>
        <v>#N/A</v>
      </c>
      <c r="F89" s="276" t="e">
        <f t="shared" si="1"/>
        <v>#N/A</v>
      </c>
    </row>
    <row r="90" spans="1:6">
      <c r="A90">
        <f>PosAggregate!A100</f>
        <v>0</v>
      </c>
      <c r="B90" s="276">
        <f>PosAggregate!L100</f>
        <v>0</v>
      </c>
      <c r="C90" s="276">
        <f>IF(OR(LEFT(A90,2)="JE",LEFT(A90,2)="GG",LEFT(A90,2)="GB"),PosAggregate!AA100/100,PosAggregate!AA100)</f>
        <v>0</v>
      </c>
      <c r="D90" s="442" t="e">
        <f>VLOOKUP(A90,POSNAV!A:C,1,FALSE)</f>
        <v>#N/A</v>
      </c>
      <c r="E90" s="276" t="e">
        <f>VLOOKUP(A90,POSNAV!A:C,2,FALSE)</f>
        <v>#N/A</v>
      </c>
      <c r="F90" s="276" t="e">
        <f t="shared" si="1"/>
        <v>#N/A</v>
      </c>
    </row>
    <row r="91" spans="1:6">
      <c r="A91">
        <f>PosAggregate!A101</f>
        <v>0</v>
      </c>
      <c r="B91" s="276">
        <f>PosAggregate!L101</f>
        <v>0</v>
      </c>
      <c r="C91" s="276">
        <f>IF(OR(LEFT(A91,2)="JE",LEFT(A91,2)="GG",LEFT(A91,2)="GB"),PosAggregate!AA101/100,PosAggregate!AA101)</f>
        <v>0</v>
      </c>
      <c r="D91" s="442" t="e">
        <f>VLOOKUP(A91,POSNAV!A:C,1,FALSE)</f>
        <v>#N/A</v>
      </c>
      <c r="E91" s="276" t="e">
        <f>VLOOKUP(A91,POSNAV!A:C,2,FALSE)</f>
        <v>#N/A</v>
      </c>
      <c r="F91" s="276" t="e">
        <f t="shared" si="1"/>
        <v>#N/A</v>
      </c>
    </row>
    <row r="92" spans="1:6">
      <c r="A92">
        <f>PosAggregate!A102</f>
        <v>0</v>
      </c>
      <c r="B92" s="276">
        <f>PosAggregate!L102</f>
        <v>0</v>
      </c>
      <c r="C92" s="276">
        <f>IF(OR(LEFT(A92,2)="JE",LEFT(A92,2)="GG",LEFT(A92,2)="GB"),PosAggregate!AA102/100,PosAggregate!AA102)</f>
        <v>0</v>
      </c>
      <c r="D92" s="442" t="e">
        <f>VLOOKUP(A92,POSNAV!A:C,1,FALSE)</f>
        <v>#N/A</v>
      </c>
      <c r="E92" s="276" t="e">
        <f>VLOOKUP(A92,POSNAV!A:C,2,FALSE)</f>
        <v>#N/A</v>
      </c>
      <c r="F92" s="276" t="e">
        <f t="shared" si="1"/>
        <v>#N/A</v>
      </c>
    </row>
    <row r="93" spans="1:6">
      <c r="A93">
        <f>PosAggregate!A103</f>
        <v>0</v>
      </c>
      <c r="B93" s="276">
        <f>PosAggregate!L103</f>
        <v>0</v>
      </c>
      <c r="C93" s="276">
        <f>IF(OR(LEFT(A93,2)="JE",LEFT(A93,2)="GG",LEFT(A93,2)="GB"),PosAggregate!AA103/100,PosAggregate!AA103)</f>
        <v>0</v>
      </c>
      <c r="D93" s="442" t="e">
        <f>VLOOKUP(A93,POSNAV!A:C,1,FALSE)</f>
        <v>#N/A</v>
      </c>
      <c r="E93" s="276" t="e">
        <f>VLOOKUP(A93,POSNAV!A:C,2,FALSE)</f>
        <v>#N/A</v>
      </c>
      <c r="F93" s="276" t="e">
        <f t="shared" si="1"/>
        <v>#N/A</v>
      </c>
    </row>
    <row r="94" spans="1:6">
      <c r="A94">
        <f>PosAggregate!A104</f>
        <v>0</v>
      </c>
      <c r="B94" s="276">
        <f>PosAggregate!L104</f>
        <v>0</v>
      </c>
      <c r="C94" s="276">
        <f>IF(OR(LEFT(A94,2)="JE",LEFT(A94,2)="GG",LEFT(A94,2)="GB"),PosAggregate!AA104/100,PosAggregate!AA104)</f>
        <v>0</v>
      </c>
      <c r="D94" s="442" t="e">
        <f>VLOOKUP(A94,POSNAV!A:C,1,FALSE)</f>
        <v>#N/A</v>
      </c>
      <c r="E94" s="276" t="e">
        <f>VLOOKUP(A94,POSNAV!A:C,2,FALSE)</f>
        <v>#N/A</v>
      </c>
      <c r="F94" s="276" t="e">
        <f t="shared" si="1"/>
        <v>#N/A</v>
      </c>
    </row>
    <row r="95" spans="1:6">
      <c r="A95">
        <f>PosAggregate!A105</f>
        <v>0</v>
      </c>
      <c r="B95" s="276">
        <f>PosAggregate!L105</f>
        <v>0</v>
      </c>
      <c r="C95" s="276">
        <f>IF(OR(LEFT(A95,2)="JE",LEFT(A95,2)="GG",LEFT(A95,2)="GB"),PosAggregate!AA105/100,PosAggregate!AA105)</f>
        <v>0</v>
      </c>
      <c r="D95" s="442" t="e">
        <f>VLOOKUP(A95,POSNAV!A:C,1,FALSE)</f>
        <v>#N/A</v>
      </c>
      <c r="E95" s="276" t="e">
        <f>VLOOKUP(A95,POSNAV!A:C,2,FALSE)</f>
        <v>#N/A</v>
      </c>
      <c r="F95" s="276" t="e">
        <f t="shared" si="1"/>
        <v>#N/A</v>
      </c>
    </row>
    <row r="96" spans="1:6">
      <c r="A96">
        <f>PosAggregate!A106</f>
        <v>0</v>
      </c>
      <c r="B96" s="276">
        <f>PosAggregate!L106</f>
        <v>0</v>
      </c>
      <c r="C96" s="276">
        <f>IF(OR(LEFT(A96,2)="JE",LEFT(A96,2)="GG",LEFT(A96,2)="GB"),PosAggregate!AA106/100,PosAggregate!AA106)</f>
        <v>0</v>
      </c>
      <c r="D96" s="442" t="e">
        <f>VLOOKUP(A96,POSNAV!A:C,1,FALSE)</f>
        <v>#N/A</v>
      </c>
      <c r="E96" s="276" t="e">
        <f>VLOOKUP(A96,POSNAV!A:C,2,FALSE)</f>
        <v>#N/A</v>
      </c>
      <c r="F96" s="276" t="e">
        <f t="shared" si="1"/>
        <v>#N/A</v>
      </c>
    </row>
    <row r="97" spans="1:6">
      <c r="A97">
        <f>PosAggregate!A107</f>
        <v>0</v>
      </c>
      <c r="B97" s="276">
        <f>PosAggregate!L107</f>
        <v>0</v>
      </c>
      <c r="C97" s="276">
        <f>IF(OR(LEFT(A97,2)="JE",LEFT(A97,2)="GG",LEFT(A97,2)="GB"),PosAggregate!AA107/100,PosAggregate!AA107)</f>
        <v>0</v>
      </c>
      <c r="D97" s="442" t="e">
        <f>VLOOKUP(A97,POSNAV!A:C,1,FALSE)</f>
        <v>#N/A</v>
      </c>
      <c r="E97" s="276" t="e">
        <f>VLOOKUP(A97,POSNAV!A:C,2,FALSE)</f>
        <v>#N/A</v>
      </c>
      <c r="F97" s="276" t="e">
        <f t="shared" si="1"/>
        <v>#N/A</v>
      </c>
    </row>
    <row r="98" spans="1:6">
      <c r="A98">
        <f>PosAggregate!A108</f>
        <v>0</v>
      </c>
      <c r="B98" s="276">
        <f>PosAggregate!L108</f>
        <v>0</v>
      </c>
      <c r="C98" s="276">
        <f>IF(OR(LEFT(A98,2)="JE",LEFT(A98,2)="GG",LEFT(A98,2)="GB"),PosAggregate!AA108/100,PosAggregate!AA108)</f>
        <v>0</v>
      </c>
      <c r="D98" s="442" t="e">
        <f>VLOOKUP(A98,POSNAV!A:C,1,FALSE)</f>
        <v>#N/A</v>
      </c>
      <c r="E98" s="276" t="e">
        <f>VLOOKUP(A98,POSNAV!A:C,2,FALSE)</f>
        <v>#N/A</v>
      </c>
      <c r="F98" s="276" t="e">
        <f t="shared" si="1"/>
        <v>#N/A</v>
      </c>
    </row>
    <row r="99" spans="1:6">
      <c r="A99">
        <f>PosAggregate!A109</f>
        <v>0</v>
      </c>
      <c r="B99" s="276">
        <f>PosAggregate!L109</f>
        <v>0</v>
      </c>
      <c r="C99" s="276">
        <f>IF(OR(LEFT(A99,2)="JE",LEFT(A99,2)="GG",LEFT(A99,2)="GB"),PosAggregate!AA109/100,PosAggregate!AA109)</f>
        <v>0</v>
      </c>
      <c r="D99" s="442" t="e">
        <f>VLOOKUP(A99,POSNAV!A:C,1,FALSE)</f>
        <v>#N/A</v>
      </c>
      <c r="E99" s="276" t="e">
        <f>VLOOKUP(A99,POSNAV!A:C,2,FALSE)</f>
        <v>#N/A</v>
      </c>
      <c r="F99" s="276" t="e">
        <f t="shared" si="1"/>
        <v>#N/A</v>
      </c>
    </row>
    <row r="100" spans="1:6">
      <c r="A100">
        <f>PosAggregate!A110</f>
        <v>0</v>
      </c>
      <c r="B100" s="276">
        <f>PosAggregate!L110</f>
        <v>0</v>
      </c>
      <c r="C100" s="276">
        <f>IF(OR(LEFT(A100,2)="JE",LEFT(A100,2)="GG",LEFT(A100,2)="GB"),PosAggregate!AA110/100,PosAggregate!AA110)</f>
        <v>0</v>
      </c>
      <c r="D100" s="442" t="e">
        <f>VLOOKUP(A100,POSNAV!A:C,1,FALSE)</f>
        <v>#N/A</v>
      </c>
      <c r="E100" s="276" t="e">
        <f>VLOOKUP(A100,POSNAV!A:C,2,FALSE)</f>
        <v>#N/A</v>
      </c>
      <c r="F100" s="276" t="e">
        <f t="shared" si="1"/>
        <v>#N/A</v>
      </c>
    </row>
    <row r="101" spans="1:6">
      <c r="A101">
        <f>PosAggregate!A111</f>
        <v>0</v>
      </c>
      <c r="B101" s="276">
        <f>PosAggregate!L111</f>
        <v>0</v>
      </c>
      <c r="C101" s="276">
        <f>IF(OR(LEFT(A101,2)="JE",LEFT(A101,2)="GG",LEFT(A101,2)="GB"),PosAggregate!AA111/100,PosAggregate!AA111)</f>
        <v>0</v>
      </c>
      <c r="D101" s="442" t="e">
        <f>VLOOKUP(A101,POSNAV!A:C,1,FALSE)</f>
        <v>#N/A</v>
      </c>
      <c r="E101" s="276" t="e">
        <f>VLOOKUP(A101,POSNAV!A:C,2,FALSE)</f>
        <v>#N/A</v>
      </c>
      <c r="F101" s="276" t="e">
        <f t="shared" si="1"/>
        <v>#N/A</v>
      </c>
    </row>
    <row r="102" spans="1:6">
      <c r="A102">
        <f>PosAggregate!A112</f>
        <v>0</v>
      </c>
      <c r="B102" s="276">
        <f>PosAggregate!L112</f>
        <v>0</v>
      </c>
      <c r="C102" s="276">
        <f>IF(OR(LEFT(A102,2)="JE",LEFT(A102,2)="GG",LEFT(A102,2)="GB"),PosAggregate!AA112/100,PosAggregate!AA112)</f>
        <v>0</v>
      </c>
      <c r="D102" s="442" t="e">
        <f>VLOOKUP(A102,POSNAV!A:C,1,FALSE)</f>
        <v>#N/A</v>
      </c>
      <c r="E102" s="276" t="e">
        <f>VLOOKUP(A102,POSNAV!A:C,2,FALSE)</f>
        <v>#N/A</v>
      </c>
      <c r="F102" s="276" t="e">
        <f t="shared" si="1"/>
        <v>#N/A</v>
      </c>
    </row>
    <row r="103" spans="1:6">
      <c r="A103">
        <f>PosAggregate!A113</f>
        <v>0</v>
      </c>
      <c r="B103" s="276">
        <f>PosAggregate!L113</f>
        <v>0</v>
      </c>
      <c r="C103" s="276">
        <f>IF(OR(LEFT(A103,2)="JE",LEFT(A103,2)="GG",LEFT(A103,2)="GB"),PosAggregate!AA113/100,PosAggregate!AA113)</f>
        <v>0</v>
      </c>
      <c r="D103" s="442" t="e">
        <f>VLOOKUP(A103,POSNAV!A:C,1,FALSE)</f>
        <v>#N/A</v>
      </c>
      <c r="E103" s="276" t="e">
        <f>VLOOKUP(A103,POSNAV!A:C,2,FALSE)</f>
        <v>#N/A</v>
      </c>
      <c r="F103" s="276" t="e">
        <f t="shared" si="1"/>
        <v>#N/A</v>
      </c>
    </row>
    <row r="104" spans="1:6">
      <c r="A104">
        <f>PosAggregate!A114</f>
        <v>0</v>
      </c>
      <c r="B104" s="276">
        <f>PosAggregate!L114</f>
        <v>0</v>
      </c>
      <c r="C104" s="276">
        <f>IF(OR(LEFT(A104,2)="JE",LEFT(A104,2)="GG",LEFT(A104,2)="GB"),PosAggregate!AA114/100,PosAggregate!AA114)</f>
        <v>0</v>
      </c>
      <c r="D104" s="442" t="e">
        <f>VLOOKUP(A104,POSNAV!A:C,1,FALSE)</f>
        <v>#N/A</v>
      </c>
      <c r="E104" s="276" t="e">
        <f>VLOOKUP(A104,POSNAV!A:C,2,FALSE)</f>
        <v>#N/A</v>
      </c>
      <c r="F104" s="276" t="e">
        <f t="shared" si="1"/>
        <v>#N/A</v>
      </c>
    </row>
    <row r="105" spans="1:6">
      <c r="A105">
        <f>PosAggregate!A115</f>
        <v>0</v>
      </c>
      <c r="B105" s="276">
        <f>PosAggregate!L115</f>
        <v>0</v>
      </c>
      <c r="C105" s="276">
        <f>IF(OR(LEFT(A105,2)="JE",LEFT(A105,2)="GG",LEFT(A105,2)="GB"),PosAggregate!AA115/100,PosAggregate!AA115)</f>
        <v>0</v>
      </c>
      <c r="D105" s="442" t="e">
        <f>VLOOKUP(A105,POSNAV!A:C,1,FALSE)</f>
        <v>#N/A</v>
      </c>
      <c r="E105" s="276" t="e">
        <f>VLOOKUP(A105,POSNAV!A:C,2,FALSE)</f>
        <v>#N/A</v>
      </c>
      <c r="F105" s="276" t="e">
        <f t="shared" si="1"/>
        <v>#N/A</v>
      </c>
    </row>
    <row r="106" spans="1:6">
      <c r="A106">
        <f>PosAggregate!A116</f>
        <v>0</v>
      </c>
      <c r="B106" s="276">
        <f>PosAggregate!L116</f>
        <v>0</v>
      </c>
      <c r="C106" s="276">
        <f>IF(OR(LEFT(A106,2)="JE",LEFT(A106,2)="GG",LEFT(A106,2)="GB"),PosAggregate!AA116/100,PosAggregate!AA116)</f>
        <v>0</v>
      </c>
      <c r="D106" s="442" t="e">
        <f>VLOOKUP(A106,POSNAV!A:C,1,FALSE)</f>
        <v>#N/A</v>
      </c>
      <c r="E106" s="276" t="e">
        <f>VLOOKUP(A106,POSNAV!A:C,2,FALSE)</f>
        <v>#N/A</v>
      </c>
      <c r="F106" s="276" t="e">
        <f t="shared" si="1"/>
        <v>#N/A</v>
      </c>
    </row>
    <row r="107" spans="1:6">
      <c r="A107">
        <f>PosAggregate!A117</f>
        <v>0</v>
      </c>
      <c r="B107" s="276">
        <f>PosAggregate!L117</f>
        <v>0</v>
      </c>
      <c r="C107" s="276">
        <f>IF(OR(LEFT(A107,2)="JE",LEFT(A107,2)="GG",LEFT(A107,2)="GB"),PosAggregate!AA117/100,PosAggregate!AA117)</f>
        <v>0</v>
      </c>
      <c r="D107" s="442" t="e">
        <f>VLOOKUP(A107,POSNAV!A:C,1,FALSE)</f>
        <v>#N/A</v>
      </c>
      <c r="E107" s="276" t="e">
        <f>VLOOKUP(A107,POSNAV!A:C,2,FALSE)</f>
        <v>#N/A</v>
      </c>
      <c r="F107" s="276" t="e">
        <f t="shared" si="1"/>
        <v>#N/A</v>
      </c>
    </row>
    <row r="108" spans="1:6">
      <c r="A108">
        <f>PosAggregate!A118</f>
        <v>0</v>
      </c>
      <c r="B108" s="276">
        <f>PosAggregate!L118</f>
        <v>0</v>
      </c>
      <c r="C108" s="276">
        <f>IF(OR(LEFT(A108,2)="JE",LEFT(A108,2)="GG",LEFT(A108,2)="GB"),PosAggregate!AA118/100,PosAggregate!AA118)</f>
        <v>0</v>
      </c>
      <c r="D108" s="442" t="e">
        <f>VLOOKUP(A108,POSNAV!A:C,1,FALSE)</f>
        <v>#N/A</v>
      </c>
      <c r="E108" s="276" t="e">
        <f>VLOOKUP(A108,POSNAV!A:C,2,FALSE)</f>
        <v>#N/A</v>
      </c>
      <c r="F108" s="276" t="e">
        <f t="shared" si="1"/>
        <v>#N/A</v>
      </c>
    </row>
    <row r="109" spans="1:6">
      <c r="A109">
        <f>PosAggregate!A119</f>
        <v>0</v>
      </c>
      <c r="B109" s="276">
        <f>PosAggregate!L119</f>
        <v>0</v>
      </c>
      <c r="C109" s="276">
        <f>IF(OR(LEFT(A109,2)="JE",LEFT(A109,2)="GG",LEFT(A109,2)="GB"),PosAggregate!AA119/100,PosAggregate!AA119)</f>
        <v>0</v>
      </c>
      <c r="D109" s="442" t="e">
        <f>VLOOKUP(A109,POSNAV!A:C,1,FALSE)</f>
        <v>#N/A</v>
      </c>
      <c r="E109" s="276" t="e">
        <f>VLOOKUP(A109,POSNAV!A:C,2,FALSE)</f>
        <v>#N/A</v>
      </c>
      <c r="F109" s="276" t="e">
        <f t="shared" si="1"/>
        <v>#N/A</v>
      </c>
    </row>
    <row r="110" spans="1:6">
      <c r="A110">
        <f>PosAggregate!A120</f>
        <v>0</v>
      </c>
      <c r="B110" s="276">
        <f>PosAggregate!L120</f>
        <v>0</v>
      </c>
      <c r="C110" s="276">
        <f>IF(OR(LEFT(A110,2)="JE",LEFT(A110,2)="GG",LEFT(A110,2)="GB"),PosAggregate!AA120/100,PosAggregate!AA120)</f>
        <v>0</v>
      </c>
      <c r="D110" s="442" t="e">
        <f>VLOOKUP(A110,POSNAV!A:C,1,FALSE)</f>
        <v>#N/A</v>
      </c>
      <c r="E110" s="276" t="e">
        <f>VLOOKUP(A110,POSNAV!A:C,2,FALSE)</f>
        <v>#N/A</v>
      </c>
      <c r="F110" s="276" t="e">
        <f t="shared" si="1"/>
        <v>#N/A</v>
      </c>
    </row>
    <row r="111" spans="1:6">
      <c r="A111">
        <f>PosAggregate!A121</f>
        <v>0</v>
      </c>
      <c r="B111" s="276">
        <f>PosAggregate!L121</f>
        <v>0</v>
      </c>
      <c r="C111" s="276">
        <f>IF(OR(LEFT(A111,2)="JE",LEFT(A111,2)="GG",LEFT(A111,2)="GB"),PosAggregate!AA121/100,PosAggregate!AA121)</f>
        <v>0</v>
      </c>
      <c r="D111" s="442" t="e">
        <f>VLOOKUP(A111,POSNAV!A:C,1,FALSE)</f>
        <v>#N/A</v>
      </c>
      <c r="E111" s="276" t="e">
        <f>VLOOKUP(A111,POSNAV!A:C,2,FALSE)</f>
        <v>#N/A</v>
      </c>
      <c r="F111" s="276" t="e">
        <f t="shared" si="1"/>
        <v>#N/A</v>
      </c>
    </row>
    <row r="112" spans="1:6">
      <c r="A112">
        <f>PosAggregate!A122</f>
        <v>0</v>
      </c>
      <c r="B112" s="276">
        <f>PosAggregate!L122</f>
        <v>0</v>
      </c>
      <c r="C112" s="276">
        <f>IF(OR(LEFT(A112,2)="JE",LEFT(A112,2)="GG",LEFT(A112,2)="GB"),PosAggregate!AA122/100,PosAggregate!AA122)</f>
        <v>0</v>
      </c>
      <c r="D112" s="442" t="e">
        <f>VLOOKUP(A112,POSNAV!A:C,1,FALSE)</f>
        <v>#N/A</v>
      </c>
      <c r="E112" s="276" t="e">
        <f>VLOOKUP(A112,POSNAV!A:C,2,FALSE)</f>
        <v>#N/A</v>
      </c>
      <c r="F112" s="276" t="e">
        <f t="shared" si="1"/>
        <v>#N/A</v>
      </c>
    </row>
    <row r="113" spans="1:6">
      <c r="A113">
        <f>PosAggregate!A123</f>
        <v>0</v>
      </c>
      <c r="B113" s="276">
        <f>PosAggregate!L123</f>
        <v>0</v>
      </c>
      <c r="C113" s="276">
        <f>IF(OR(LEFT(A113,2)="JE",LEFT(A113,2)="GG",LEFT(A113,2)="GB"),PosAggregate!AA123/100,PosAggregate!AA123)</f>
        <v>0</v>
      </c>
      <c r="D113" s="442" t="e">
        <f>VLOOKUP(A113,POSNAV!A:C,1,FALSE)</f>
        <v>#N/A</v>
      </c>
      <c r="E113" s="276" t="e">
        <f>VLOOKUP(A113,POSNAV!A:C,2,FALSE)</f>
        <v>#N/A</v>
      </c>
      <c r="F113" s="276" t="e">
        <f t="shared" si="1"/>
        <v>#N/A</v>
      </c>
    </row>
    <row r="114" spans="1:6">
      <c r="A114">
        <f>PosAggregate!A124</f>
        <v>0</v>
      </c>
      <c r="B114" s="276">
        <f>PosAggregate!L124</f>
        <v>0</v>
      </c>
      <c r="C114" s="276">
        <f>IF(OR(LEFT(A114,2)="JE",LEFT(A114,2)="GG",LEFT(A114,2)="GB"),PosAggregate!AA124/100,PosAggregate!AA124)</f>
        <v>0</v>
      </c>
      <c r="D114" s="442" t="e">
        <f>VLOOKUP(A114,POSNAV!A:C,1,FALSE)</f>
        <v>#N/A</v>
      </c>
      <c r="E114" s="276" t="e">
        <f>VLOOKUP(A114,POSNAV!A:C,2,FALSE)</f>
        <v>#N/A</v>
      </c>
      <c r="F114" s="276" t="e">
        <f t="shared" si="1"/>
        <v>#N/A</v>
      </c>
    </row>
    <row r="115" spans="1:6">
      <c r="A115">
        <f>PosAggregate!A125</f>
        <v>0</v>
      </c>
      <c r="B115" s="276">
        <f>PosAggregate!L125</f>
        <v>0</v>
      </c>
      <c r="C115" s="276">
        <f>IF(OR(LEFT(A115,2)="JE",LEFT(A115,2)="GG",LEFT(A115,2)="GB"),PosAggregate!AA125/100,PosAggregate!AA125)</f>
        <v>0</v>
      </c>
      <c r="D115" s="442" t="e">
        <f>VLOOKUP(A115,POSNAV!A:C,1,FALSE)</f>
        <v>#N/A</v>
      </c>
      <c r="E115" s="276" t="e">
        <f>VLOOKUP(A115,POSNAV!A:C,2,FALSE)</f>
        <v>#N/A</v>
      </c>
      <c r="F115" s="276" t="e">
        <f t="shared" si="1"/>
        <v>#N/A</v>
      </c>
    </row>
    <row r="116" spans="1:6">
      <c r="A116">
        <f>PosAggregate!A126</f>
        <v>0</v>
      </c>
      <c r="B116" s="276">
        <f>PosAggregate!L126</f>
        <v>0</v>
      </c>
      <c r="C116" s="276">
        <f>IF(OR(LEFT(A116,2)="JE",LEFT(A116,2)="GG",LEFT(A116,2)="GB"),PosAggregate!AA126/100,PosAggregate!AA126)</f>
        <v>0</v>
      </c>
      <c r="D116" s="442" t="e">
        <f>VLOOKUP(A116,POSNAV!A:C,1,FALSE)</f>
        <v>#N/A</v>
      </c>
      <c r="E116" s="276" t="e">
        <f>VLOOKUP(A116,POSNAV!A:C,2,FALSE)</f>
        <v>#N/A</v>
      </c>
      <c r="F116" s="276" t="e">
        <f t="shared" si="1"/>
        <v>#N/A</v>
      </c>
    </row>
    <row r="117" spans="1:6">
      <c r="A117">
        <f>PosAggregate!A127</f>
        <v>0</v>
      </c>
      <c r="B117" s="276">
        <f>PosAggregate!L127</f>
        <v>0</v>
      </c>
      <c r="C117" s="276">
        <f>IF(OR(LEFT(A117,2)="JE",LEFT(A117,2)="GG",LEFT(A117,2)="GB"),PosAggregate!AA127/100,PosAggregate!AA127)</f>
        <v>0</v>
      </c>
      <c r="D117" s="442" t="e">
        <f>VLOOKUP(A117,POSNAV!A:C,1,FALSE)</f>
        <v>#N/A</v>
      </c>
      <c r="E117" s="276" t="e">
        <f>VLOOKUP(A117,POSNAV!A:C,2,FALSE)</f>
        <v>#N/A</v>
      </c>
      <c r="F117" s="276" t="e">
        <f t="shared" si="1"/>
        <v>#N/A</v>
      </c>
    </row>
    <row r="118" spans="1:6">
      <c r="A118">
        <f>PosAggregate!A128</f>
        <v>0</v>
      </c>
      <c r="B118" s="276">
        <f>PosAggregate!L128</f>
        <v>0</v>
      </c>
      <c r="C118" s="276">
        <f>IF(OR(LEFT(A118,2)="JE",LEFT(A118,2)="GG",LEFT(A118,2)="GB"),PosAggregate!AA128/100,PosAggregate!AA128)</f>
        <v>0</v>
      </c>
      <c r="D118" s="442" t="e">
        <f>VLOOKUP(A118,POSNAV!A:C,1,FALSE)</f>
        <v>#N/A</v>
      </c>
      <c r="E118" s="276" t="e">
        <f>VLOOKUP(A118,POSNAV!A:C,2,FALSE)</f>
        <v>#N/A</v>
      </c>
      <c r="F118" s="276" t="e">
        <f t="shared" si="1"/>
        <v>#N/A</v>
      </c>
    </row>
    <row r="119" spans="1:6">
      <c r="A119">
        <f>PosAggregate!A129</f>
        <v>0</v>
      </c>
      <c r="B119" s="276">
        <f>PosAggregate!L129</f>
        <v>0</v>
      </c>
      <c r="C119" s="276">
        <f>IF(OR(LEFT(A119,2)="JE",LEFT(A119,2)="GG",LEFT(A119,2)="GB"),PosAggregate!AA129/100,PosAggregate!AA129)</f>
        <v>0</v>
      </c>
      <c r="D119" s="442" t="e">
        <f>VLOOKUP(A119,POSNAV!A:C,1,FALSE)</f>
        <v>#N/A</v>
      </c>
      <c r="E119" s="276" t="e">
        <f>VLOOKUP(A119,POSNAV!A:C,2,FALSE)</f>
        <v>#N/A</v>
      </c>
      <c r="F119" s="276" t="e">
        <f t="shared" si="1"/>
        <v>#N/A</v>
      </c>
    </row>
    <row r="120" spans="1:6">
      <c r="A120">
        <f>PosAggregate!A130</f>
        <v>0</v>
      </c>
      <c r="B120" s="276">
        <f>PosAggregate!L130</f>
        <v>0</v>
      </c>
      <c r="C120" s="276">
        <f>IF(OR(LEFT(A120,2)="JE",LEFT(A120,2)="GG",LEFT(A120,2)="GB"),PosAggregate!AA130/100,PosAggregate!AA130)</f>
        <v>0</v>
      </c>
      <c r="D120" s="442" t="e">
        <f>VLOOKUP(A120,POSNAV!A:C,1,FALSE)</f>
        <v>#N/A</v>
      </c>
      <c r="E120" s="276" t="e">
        <f>VLOOKUP(A120,POSNAV!A:C,2,FALSE)</f>
        <v>#N/A</v>
      </c>
      <c r="F120" s="276" t="e">
        <f t="shared" si="1"/>
        <v>#N/A</v>
      </c>
    </row>
    <row r="121" spans="1:6">
      <c r="A121">
        <f>PosAggregate!A131</f>
        <v>0</v>
      </c>
      <c r="B121" s="276">
        <f>PosAggregate!L131</f>
        <v>0</v>
      </c>
      <c r="C121" s="276">
        <f>IF(OR(LEFT(A121,2)="JE",LEFT(A121,2)="GG",LEFT(A121,2)="GB"),PosAggregate!AA131/100,PosAggregate!AA131)</f>
        <v>0</v>
      </c>
      <c r="D121" s="442" t="e">
        <f>VLOOKUP(A121,POSNAV!A:C,1,FALSE)</f>
        <v>#N/A</v>
      </c>
      <c r="E121" s="276" t="e">
        <f>VLOOKUP(A121,POSNAV!A:C,2,FALSE)</f>
        <v>#N/A</v>
      </c>
      <c r="F121" s="276" t="e">
        <f t="shared" si="1"/>
        <v>#N/A</v>
      </c>
    </row>
    <row r="122" spans="1:6">
      <c r="A122">
        <f>PosAggregate!A132</f>
        <v>0</v>
      </c>
      <c r="B122" s="276">
        <f>PosAggregate!L132</f>
        <v>0</v>
      </c>
      <c r="C122" s="276">
        <f>IF(OR(LEFT(A122,2)="JE",LEFT(A122,2)="GG",LEFT(A122,2)="GB"),PosAggregate!AA132/100,PosAggregate!AA132)</f>
        <v>0</v>
      </c>
      <c r="D122" s="442" t="e">
        <f>VLOOKUP(A122,POSNAV!A:C,1,FALSE)</f>
        <v>#N/A</v>
      </c>
      <c r="E122" s="276" t="e">
        <f>VLOOKUP(A122,POSNAV!A:C,2,FALSE)</f>
        <v>#N/A</v>
      </c>
      <c r="F122" s="276" t="e">
        <f t="shared" si="1"/>
        <v>#N/A</v>
      </c>
    </row>
    <row r="123" spans="1:6">
      <c r="A123">
        <f>PosAggregate!A133</f>
        <v>0</v>
      </c>
      <c r="B123" s="276">
        <f>PosAggregate!L133</f>
        <v>0</v>
      </c>
      <c r="C123" s="276">
        <f>IF(OR(LEFT(A123,2)="JE",LEFT(A123,2)="GG",LEFT(A123,2)="GB"),PosAggregate!AA133/100,PosAggregate!AA133)</f>
        <v>0</v>
      </c>
      <c r="D123" s="442" t="e">
        <f>VLOOKUP(A123,POSNAV!A:C,1,FALSE)</f>
        <v>#N/A</v>
      </c>
      <c r="E123" s="276" t="e">
        <f>VLOOKUP(A123,POSNAV!A:C,2,FALSE)</f>
        <v>#N/A</v>
      </c>
      <c r="F123" s="276" t="e">
        <f t="shared" si="1"/>
        <v>#N/A</v>
      </c>
    </row>
    <row r="124" spans="1:6">
      <c r="A124">
        <f>PosAggregate!A134</f>
        <v>0</v>
      </c>
      <c r="B124" s="276">
        <f>PosAggregate!L134</f>
        <v>0</v>
      </c>
      <c r="C124" s="276">
        <f>IF(OR(LEFT(A124,2)="JE",LEFT(A124,2)="GG",LEFT(A124,2)="GB"),PosAggregate!AA134/100,PosAggregate!AA134)</f>
        <v>0</v>
      </c>
      <c r="D124" s="442" t="e">
        <f>VLOOKUP(A124,POSNAV!A:C,1,FALSE)</f>
        <v>#N/A</v>
      </c>
      <c r="E124" s="276" t="e">
        <f>VLOOKUP(A124,POSNAV!A:C,2,FALSE)</f>
        <v>#N/A</v>
      </c>
      <c r="F124" s="276" t="e">
        <f t="shared" si="1"/>
        <v>#N/A</v>
      </c>
    </row>
    <row r="125" spans="1:6">
      <c r="A125">
        <f>PosAggregate!A135</f>
        <v>0</v>
      </c>
      <c r="B125" s="276">
        <f>PosAggregate!L135</f>
        <v>0</v>
      </c>
      <c r="C125" s="276">
        <f>IF(OR(LEFT(A125,2)="JE",LEFT(A125,2)="GG",LEFT(A125,2)="GB"),PosAggregate!AA135/100,PosAggregate!AA135)</f>
        <v>0</v>
      </c>
      <c r="D125" s="442" t="e">
        <f>VLOOKUP(A125,POSNAV!A:C,1,FALSE)</f>
        <v>#N/A</v>
      </c>
      <c r="E125" s="276" t="e">
        <f>VLOOKUP(A125,POSNAV!A:C,2,FALSE)</f>
        <v>#N/A</v>
      </c>
      <c r="F125" s="276" t="e">
        <f t="shared" si="1"/>
        <v>#N/A</v>
      </c>
    </row>
    <row r="126" spans="1:6">
      <c r="A126">
        <f>PosAggregate!A136</f>
        <v>0</v>
      </c>
      <c r="B126" s="276">
        <f>PosAggregate!L136</f>
        <v>0</v>
      </c>
      <c r="C126" s="276">
        <f>IF(OR(LEFT(A126,2)="JE",LEFT(A126,2)="GG",LEFT(A126,2)="GB"),PosAggregate!AA136/100,PosAggregate!AA136)</f>
        <v>0</v>
      </c>
      <c r="D126" s="442" t="e">
        <f>VLOOKUP(A126,POSNAV!A:C,1,FALSE)</f>
        <v>#N/A</v>
      </c>
      <c r="E126" s="276" t="e">
        <f>VLOOKUP(A126,POSNAV!A:C,2,FALSE)</f>
        <v>#N/A</v>
      </c>
      <c r="F126" s="276" t="e">
        <f t="shared" si="1"/>
        <v>#N/A</v>
      </c>
    </row>
    <row r="127" spans="1:6">
      <c r="A127">
        <f>PosAggregate!A137</f>
        <v>0</v>
      </c>
      <c r="B127" s="276">
        <f>PosAggregate!L137</f>
        <v>0</v>
      </c>
      <c r="C127" s="276">
        <f>IF(OR(LEFT(A127,2)="JE",LEFT(A127,2)="GG",LEFT(A127,2)="GB"),PosAggregate!AA137/100,PosAggregate!AA137)</f>
        <v>0</v>
      </c>
      <c r="D127" s="442" t="e">
        <f>VLOOKUP(A127,POSNAV!A:C,1,FALSE)</f>
        <v>#N/A</v>
      </c>
      <c r="E127" s="276" t="e">
        <f>VLOOKUP(A127,POSNAV!A:C,2,FALSE)</f>
        <v>#N/A</v>
      </c>
      <c r="F127" s="276" t="e">
        <f t="shared" si="1"/>
        <v>#N/A</v>
      </c>
    </row>
    <row r="128" spans="1:6">
      <c r="A128" t="str">
        <f>PosAggregate!A138</f>
        <v>IE00B4613386</v>
      </c>
      <c r="B128" s="276">
        <f>PosAggregate!L138</f>
        <v>0</v>
      </c>
      <c r="C128" s="276" t="e">
        <f ca="1">IF(OR(LEFT(A128,2)="JE",LEFT(A128,2)="GG",LEFT(A128,2)="GB"),PosAggregate!AA138/100,PosAggregate!AA138)</f>
        <v>#NAME?</v>
      </c>
      <c r="D128" s="442" t="e">
        <f>VLOOKUP(A128,POSNAV!A:C,1,FALSE)</f>
        <v>#N/A</v>
      </c>
      <c r="E128" s="276" t="e">
        <f>VLOOKUP(A128,POSNAV!A:C,2,FALSE)</f>
        <v>#N/A</v>
      </c>
      <c r="F128" s="276" t="e">
        <f t="shared" si="1"/>
        <v>#N/A</v>
      </c>
    </row>
    <row r="129" spans="1:6">
      <c r="A129">
        <f>PosAggregate!A139</f>
        <v>0</v>
      </c>
      <c r="B129" s="276">
        <f>PosAggregate!L139</f>
        <v>0</v>
      </c>
      <c r="C129" s="276">
        <f>IF(OR(LEFT(A129,2)="JE",LEFT(A129,2)="GG",LEFT(A129,2)="GB"),PosAggregate!AA139/100,PosAggregate!AA139)</f>
        <v>0</v>
      </c>
      <c r="D129" s="442" t="e">
        <f>VLOOKUP(A129,POSNAV!A:C,1,FALSE)</f>
        <v>#N/A</v>
      </c>
      <c r="E129" s="276" t="e">
        <f>VLOOKUP(A129,POSNAV!A:C,2,FALSE)</f>
        <v>#N/A</v>
      </c>
      <c r="F129" s="276" t="e">
        <f t="shared" si="1"/>
        <v>#N/A</v>
      </c>
    </row>
    <row r="130" spans="1:6">
      <c r="A130">
        <f>PosAggregate!A140</f>
        <v>0</v>
      </c>
      <c r="B130" s="276">
        <f>PosAggregate!L140</f>
        <v>0</v>
      </c>
      <c r="C130" s="276">
        <f>IF(OR(LEFT(A130,2)="JE",LEFT(A130,2)="GG",LEFT(A130,2)="GB"),PosAggregate!AA140/100,PosAggregate!AA140)</f>
        <v>0</v>
      </c>
      <c r="D130" s="442" t="e">
        <f>VLOOKUP(A130,POSNAV!A:C,1,FALSE)</f>
        <v>#N/A</v>
      </c>
      <c r="E130" s="276" t="e">
        <f>VLOOKUP(A130,POSNAV!A:C,2,FALSE)</f>
        <v>#N/A</v>
      </c>
      <c r="F130" s="276" t="e">
        <f t="shared" ref="F130:F146" si="2">B130-E130</f>
        <v>#N/A</v>
      </c>
    </row>
    <row r="131" spans="1:6">
      <c r="A131">
        <f>PosAggregate!A141</f>
        <v>0</v>
      </c>
      <c r="B131" s="276">
        <f>PosAggregate!L141</f>
        <v>0</v>
      </c>
      <c r="C131" s="276">
        <f>IF(OR(LEFT(A131,2)="JE",LEFT(A131,2)="GG",LEFT(A131,2)="GB"),PosAggregate!AA141/100,PosAggregate!AA141)</f>
        <v>0</v>
      </c>
      <c r="D131" s="442" t="e">
        <f>VLOOKUP(A131,POSNAV!A:C,1,FALSE)</f>
        <v>#N/A</v>
      </c>
      <c r="E131" s="276" t="e">
        <f>VLOOKUP(A131,POSNAV!A:C,2,FALSE)</f>
        <v>#N/A</v>
      </c>
      <c r="F131" s="276" t="e">
        <f t="shared" si="2"/>
        <v>#N/A</v>
      </c>
    </row>
    <row r="132" spans="1:6">
      <c r="A132">
        <f>PosAggregate!A142</f>
        <v>0</v>
      </c>
      <c r="B132" s="276">
        <f>PosAggregate!L142</f>
        <v>0</v>
      </c>
      <c r="C132" s="276">
        <f>IF(OR(LEFT(A132,2)="JE",LEFT(A132,2)="GG",LEFT(A132,2)="GB"),PosAggregate!AA142/100,PosAggregate!AA142)</f>
        <v>0</v>
      </c>
      <c r="D132" s="442" t="e">
        <f>VLOOKUP(A132,POSNAV!A:C,1,FALSE)</f>
        <v>#N/A</v>
      </c>
      <c r="E132" s="276" t="e">
        <f>VLOOKUP(A132,POSNAV!A:C,2,FALSE)</f>
        <v>#N/A</v>
      </c>
      <c r="F132" s="276" t="e">
        <f t="shared" si="2"/>
        <v>#N/A</v>
      </c>
    </row>
    <row r="133" spans="1:6">
      <c r="A133">
        <f>PosAggregate!A143</f>
        <v>0</v>
      </c>
      <c r="B133" s="276">
        <f>PosAggregate!L143</f>
        <v>0</v>
      </c>
      <c r="C133" s="276">
        <f>IF(OR(LEFT(A133,2)="JE",LEFT(A133,2)="GG",LEFT(A133,2)="GB"),PosAggregate!AA143/100,PosAggregate!AA143)</f>
        <v>0</v>
      </c>
      <c r="D133" s="442" t="e">
        <f>VLOOKUP(A133,POSNAV!A:C,1,FALSE)</f>
        <v>#N/A</v>
      </c>
      <c r="E133" s="276" t="e">
        <f>VLOOKUP(A133,POSNAV!A:C,2,FALSE)</f>
        <v>#N/A</v>
      </c>
      <c r="F133" s="276" t="e">
        <f t="shared" si="2"/>
        <v>#N/A</v>
      </c>
    </row>
    <row r="134" spans="1:6">
      <c r="A134">
        <f>PosAggregate!A144</f>
        <v>0</v>
      </c>
      <c r="B134" s="276">
        <f>PosAggregate!L144</f>
        <v>0</v>
      </c>
      <c r="C134" s="276">
        <f>IF(OR(LEFT(A134,2)="JE",LEFT(A134,2)="GG",LEFT(A134,2)="GB"),PosAggregate!AA144/100,PosAggregate!AA144)</f>
        <v>0</v>
      </c>
      <c r="D134" s="442" t="e">
        <f>VLOOKUP(A134,POSNAV!A:C,1,FALSE)</f>
        <v>#N/A</v>
      </c>
      <c r="E134" s="276" t="e">
        <f>VLOOKUP(A134,POSNAV!A:C,2,FALSE)</f>
        <v>#N/A</v>
      </c>
      <c r="F134" s="276" t="e">
        <f t="shared" si="2"/>
        <v>#N/A</v>
      </c>
    </row>
    <row r="135" spans="1:6">
      <c r="A135">
        <f>PosAggregate!A145</f>
        <v>0</v>
      </c>
      <c r="B135" s="276">
        <f>PosAggregate!L145</f>
        <v>0</v>
      </c>
      <c r="C135" s="276">
        <f>IF(OR(LEFT(A135,2)="JE",LEFT(A135,2)="GG",LEFT(A135,2)="GB"),PosAggregate!AA145/100,PosAggregate!AA145)</f>
        <v>0</v>
      </c>
      <c r="D135" s="442" t="e">
        <f>VLOOKUP(A135,POSNAV!A:C,1,FALSE)</f>
        <v>#N/A</v>
      </c>
      <c r="E135" s="276" t="e">
        <f>VLOOKUP(A135,POSNAV!A:C,2,FALSE)</f>
        <v>#N/A</v>
      </c>
      <c r="F135" s="276" t="e">
        <f t="shared" si="2"/>
        <v>#N/A</v>
      </c>
    </row>
    <row r="136" spans="1:6">
      <c r="A136">
        <f>PosAggregate!A146</f>
        <v>0</v>
      </c>
      <c r="B136" s="276">
        <f>PosAggregate!L146</f>
        <v>0</v>
      </c>
      <c r="C136" s="276">
        <f>IF(OR(LEFT(A136,2)="JE",LEFT(A136,2)="GG",LEFT(A136,2)="GB"),PosAggregate!AA146/100,PosAggregate!AA146)</f>
        <v>0</v>
      </c>
      <c r="D136" s="442" t="e">
        <f>VLOOKUP(A136,POSNAV!A:C,1,FALSE)</f>
        <v>#N/A</v>
      </c>
      <c r="E136" s="276" t="e">
        <f>VLOOKUP(A136,POSNAV!A:C,2,FALSE)</f>
        <v>#N/A</v>
      </c>
      <c r="F136" s="276" t="e">
        <f t="shared" si="2"/>
        <v>#N/A</v>
      </c>
    </row>
    <row r="137" spans="1:6">
      <c r="A137">
        <f>PosAggregate!A147</f>
        <v>0</v>
      </c>
      <c r="B137" s="276">
        <f>PosAggregate!L147</f>
        <v>0</v>
      </c>
      <c r="C137" s="276">
        <f>IF(OR(LEFT(A137,2)="JE",LEFT(A137,2)="GG",LEFT(A137,2)="GB"),PosAggregate!AA147/100,PosAggregate!AA147)</f>
        <v>0</v>
      </c>
      <c r="D137" s="442" t="e">
        <f>VLOOKUP(A137,POSNAV!A:C,1,FALSE)</f>
        <v>#N/A</v>
      </c>
      <c r="E137" s="276" t="e">
        <f>VLOOKUP(A137,POSNAV!A:C,2,FALSE)</f>
        <v>#N/A</v>
      </c>
      <c r="F137" s="276" t="e">
        <f t="shared" si="2"/>
        <v>#N/A</v>
      </c>
    </row>
    <row r="138" spans="1:6">
      <c r="A138">
        <f>PosAggregate!A148</f>
        <v>0</v>
      </c>
      <c r="B138" s="276">
        <f>PosAggregate!L148</f>
        <v>0</v>
      </c>
      <c r="C138" s="276">
        <f>IF(OR(LEFT(A138,2)="JE",LEFT(A138,2)="GG",LEFT(A138,2)="GB"),PosAggregate!AA148/100,PosAggregate!AA148)</f>
        <v>0</v>
      </c>
      <c r="D138" s="442" t="e">
        <f>VLOOKUP(A138,POSNAV!A:C,1,FALSE)</f>
        <v>#N/A</v>
      </c>
      <c r="E138" s="276" t="e">
        <f>VLOOKUP(A138,POSNAV!A:C,2,FALSE)</f>
        <v>#N/A</v>
      </c>
      <c r="F138" s="276" t="e">
        <f t="shared" si="2"/>
        <v>#N/A</v>
      </c>
    </row>
    <row r="139" spans="1:6">
      <c r="A139">
        <f>PosAggregate!A149</f>
        <v>0</v>
      </c>
      <c r="B139" s="276">
        <f>PosAggregate!L149</f>
        <v>0</v>
      </c>
      <c r="C139" s="276">
        <f>IF(OR(LEFT(A139,2)="JE",LEFT(A139,2)="GG",LEFT(A139,2)="GB"),PosAggregate!AA149/100,PosAggregate!AA149)</f>
        <v>0</v>
      </c>
      <c r="D139" s="442" t="e">
        <f>VLOOKUP(A139,POSNAV!A:C,1,FALSE)</f>
        <v>#N/A</v>
      </c>
      <c r="E139" s="276" t="e">
        <f>VLOOKUP(A139,POSNAV!A:C,2,FALSE)</f>
        <v>#N/A</v>
      </c>
      <c r="F139" s="276" t="e">
        <f t="shared" si="2"/>
        <v>#N/A</v>
      </c>
    </row>
    <row r="140" spans="1:6">
      <c r="A140">
        <f>PosAggregate!A150</f>
        <v>0</v>
      </c>
      <c r="B140" s="276">
        <f>PosAggregate!L150</f>
        <v>0</v>
      </c>
      <c r="C140" s="276">
        <f>IF(OR(LEFT(A140,2)="JE",LEFT(A140,2)="GG",LEFT(A140,2)="GB"),PosAggregate!AA150/100,PosAggregate!AA150)</f>
        <v>0</v>
      </c>
      <c r="D140" s="442" t="e">
        <f>VLOOKUP(A140,POSNAV!A:C,1,FALSE)</f>
        <v>#N/A</v>
      </c>
      <c r="E140" s="276" t="e">
        <f>VLOOKUP(A140,POSNAV!A:C,2,FALSE)</f>
        <v>#N/A</v>
      </c>
      <c r="F140" s="276" t="e">
        <f t="shared" si="2"/>
        <v>#N/A</v>
      </c>
    </row>
    <row r="141" spans="1:6">
      <c r="A141" t="str">
        <f>PosAggregate!A151</f>
        <v>› Cash &amp; Trades to settle</v>
      </c>
      <c r="B141" s="276">
        <f>PosAggregate!L151</f>
        <v>0</v>
      </c>
      <c r="C141" s="276">
        <f>IF(OR(LEFT(A141,2)="JE",LEFT(A141,2)="GG",LEFT(A141,2)="GB"),PosAggregate!AA151/100,PosAggregate!AA151)</f>
        <v>0</v>
      </c>
      <c r="D141" s="442" t="e">
        <f>VLOOKUP(A141,POSNAV!A:C,1,FALSE)</f>
        <v>#N/A</v>
      </c>
      <c r="E141" s="276" t="e">
        <f>VLOOKUP(A141,POSNAV!A:C,2,FALSE)</f>
        <v>#N/A</v>
      </c>
      <c r="F141" s="276" t="e">
        <f t="shared" si="2"/>
        <v>#N/A</v>
      </c>
    </row>
    <row r="142" spans="1:6">
      <c r="A142">
        <f>PosAggregate!A152</f>
        <v>0</v>
      </c>
      <c r="B142" s="276">
        <f>PosAggregate!L152</f>
        <v>0</v>
      </c>
      <c r="C142" s="276">
        <f>IF(OR(LEFT(A142,2)="JE",LEFT(A142,2)="GG",LEFT(A142,2)="GB"),PosAggregate!AA152/100,PosAggregate!AA152)</f>
        <v>0</v>
      </c>
      <c r="D142" s="442" t="e">
        <f>VLOOKUP(A142,POSNAV!A:C,1,FALSE)</f>
        <v>#N/A</v>
      </c>
      <c r="E142" s="276" t="e">
        <f>VLOOKUP(A142,POSNAV!A:C,2,FALSE)</f>
        <v>#N/A</v>
      </c>
      <c r="F142" s="276" t="e">
        <f t="shared" si="2"/>
        <v>#N/A</v>
      </c>
    </row>
    <row r="143" spans="1:6">
      <c r="A143">
        <f>PosAggregate!A153</f>
        <v>0</v>
      </c>
      <c r="B143" s="276">
        <f>PosAggregate!L153</f>
        <v>0</v>
      </c>
      <c r="C143" s="276">
        <f>IF(OR(LEFT(A143,2)="JE",LEFT(A143,2)="GG",LEFT(A143,2)="GB"),PosAggregate!AA153/100,PosAggregate!AA153)</f>
        <v>0</v>
      </c>
      <c r="D143" s="442" t="e">
        <f>VLOOKUP(A143,POSNAV!A:C,1,FALSE)</f>
        <v>#N/A</v>
      </c>
      <c r="E143" s="276" t="e">
        <f>VLOOKUP(A143,POSNAV!A:C,2,FALSE)</f>
        <v>#N/A</v>
      </c>
      <c r="F143" s="276" t="e">
        <f t="shared" si="2"/>
        <v>#N/A</v>
      </c>
    </row>
    <row r="144" spans="1:6">
      <c r="A144">
        <f>PosAggregate!A154</f>
        <v>0</v>
      </c>
      <c r="B144" s="276">
        <f>PosAggregate!L154</f>
        <v>0</v>
      </c>
      <c r="C144" s="276">
        <f>IF(OR(LEFT(A144,2)="JE",LEFT(A144,2)="GG",LEFT(A144,2)="GB"),PosAggregate!AA154/100,PosAggregate!AA154)</f>
        <v>0</v>
      </c>
      <c r="D144" s="442" t="e">
        <f>VLOOKUP(A144,POSNAV!A:C,1,FALSE)</f>
        <v>#N/A</v>
      </c>
      <c r="E144" s="276" t="e">
        <f>VLOOKUP(A144,POSNAV!A:C,2,FALSE)</f>
        <v>#N/A</v>
      </c>
      <c r="F144" s="276" t="e">
        <f t="shared" si="2"/>
        <v>#N/A</v>
      </c>
    </row>
    <row r="145" spans="1:6">
      <c r="A145">
        <f>PosAggregate!A155</f>
        <v>0</v>
      </c>
      <c r="B145" s="276">
        <f>PosAggregate!L155</f>
        <v>0</v>
      </c>
      <c r="C145" s="276">
        <f>IF(OR(LEFT(A145,2)="JE",LEFT(A145,2)="GG",LEFT(A145,2)="GB"),PosAggregate!AA155/100,PosAggregate!AA155)</f>
        <v>0</v>
      </c>
      <c r="D145" s="442" t="e">
        <f>VLOOKUP(A145,POSNAV!A:C,1,FALSE)</f>
        <v>#N/A</v>
      </c>
      <c r="E145" s="276" t="e">
        <f>VLOOKUP(A145,POSNAV!A:C,2,FALSE)</f>
        <v>#N/A</v>
      </c>
      <c r="F145" s="276" t="e">
        <f t="shared" si="2"/>
        <v>#N/A</v>
      </c>
    </row>
    <row r="146" spans="1:6">
      <c r="A146" t="str">
        <f>PosAggregate!A156</f>
        <v>Portfolio breakdwon by asset class</v>
      </c>
      <c r="B146" s="276">
        <f>PosAggregate!L156</f>
        <v>0</v>
      </c>
      <c r="C146" s="276">
        <f>IF(OR(LEFT(A146,2)="JE",LEFT(A146,2)="GG",LEFT(A146,2)="GB"),PosAggregate!AA156/100,PosAggregate!AA156)</f>
        <v>0</v>
      </c>
      <c r="D146" s="442" t="e">
        <f>VLOOKUP(A146,POSNAV!A:C,1,FALSE)</f>
        <v>#N/A</v>
      </c>
      <c r="E146" s="276" t="e">
        <f>VLOOKUP(A146,POSNAV!A:C,2,FALSE)</f>
        <v>#N/A</v>
      </c>
      <c r="F146" s="276" t="e">
        <f t="shared" si="2"/>
        <v>#N/A</v>
      </c>
    </row>
    <row r="217" spans="1:1">
      <c r="A217" t="s">
        <v>2105</v>
      </c>
    </row>
  </sheetData>
  <phoneticPr fontId="77" type="noConversion"/>
  <conditionalFormatting sqref="A1:A1048576">
    <cfRule type="duplicateValues" dxfId="22" priority="1"/>
  </conditionalFormatting>
  <conditionalFormatting sqref="A2:A146">
    <cfRule type="duplicateValues" dxfId="21" priority="925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B0607-A29E-4D7A-9864-AB579B2F3D9C}">
  <sheetPr codeName="Foglio28">
    <tabColor rgb="FF0070C0"/>
  </sheetPr>
  <dimension ref="A1:O71"/>
  <sheetViews>
    <sheetView zoomScale="84" zoomScaleNormal="84" workbookViewId="0">
      <selection activeCell="F23" sqref="F23"/>
    </sheetView>
  </sheetViews>
  <sheetFormatPr defaultColWidth="8.7265625" defaultRowHeight="14.5"/>
  <cols>
    <col min="1" max="1" width="16.26953125" style="440" customWidth="1"/>
    <col min="2" max="2" width="18.54296875" style="440" customWidth="1"/>
    <col min="3" max="3" width="17.453125" style="440" customWidth="1"/>
    <col min="4" max="4" width="18.54296875" style="437" customWidth="1"/>
    <col min="5" max="5" width="16.26953125" style="437" customWidth="1"/>
    <col min="6" max="6" width="20" style="437" customWidth="1"/>
    <col min="7" max="7" width="12" style="437" customWidth="1"/>
    <col min="8" max="8" width="13.81640625" style="437" customWidth="1"/>
    <col min="9" max="9" width="14.1796875" style="437" customWidth="1"/>
    <col min="10" max="14" width="8.7265625" style="437"/>
    <col min="15" max="15" width="21.54296875" style="437" customWidth="1"/>
    <col min="16" max="16384" width="8.7265625" style="437"/>
  </cols>
  <sheetData>
    <row r="1" spans="1:15">
      <c r="A1" s="1163" t="s">
        <v>19</v>
      </c>
      <c r="B1" s="1163" t="s">
        <v>13042</v>
      </c>
      <c r="C1" s="1163" t="s">
        <v>20</v>
      </c>
      <c r="D1" s="436" t="s">
        <v>2045</v>
      </c>
      <c r="E1" s="436" t="s">
        <v>2044</v>
      </c>
      <c r="F1" s="436" t="s">
        <v>2046</v>
      </c>
      <c r="G1" s="436" t="s">
        <v>2047</v>
      </c>
      <c r="H1" s="436" t="s">
        <v>2048</v>
      </c>
    </row>
    <row r="2" spans="1:15">
      <c r="A2" s="1153" t="str">
        <f>TRIM(NAV!AD4)</f>
        <v>AU000000SFR8</v>
      </c>
      <c r="B2" s="1153">
        <f>NAV!AE4</f>
        <v>84000</v>
      </c>
      <c r="C2" s="1153">
        <f>NAV!AF4</f>
        <v>4.88</v>
      </c>
      <c r="D2" s="438" t="e">
        <f ca="1">VLOOKUP(A2,POSIMS!A:C,1,FALSE)</f>
        <v>#N/A</v>
      </c>
      <c r="E2" s="439" t="e">
        <f ca="1">VLOOKUP(A2,POSIMS!A:C,2,FALSE)</f>
        <v>#N/A</v>
      </c>
      <c r="F2" s="439" t="e">
        <f ca="1">VLOOKUP(A2,POSIMS!A:C,3,FALSE)</f>
        <v>#N/A</v>
      </c>
      <c r="G2" s="439" t="e">
        <f ca="1">B2-E2</f>
        <v>#N/A</v>
      </c>
      <c r="H2" s="439" t="e">
        <f ca="1">C2-F2</f>
        <v>#N/A</v>
      </c>
      <c r="K2" s="439"/>
      <c r="L2" s="439"/>
      <c r="N2" s="439"/>
      <c r="O2" s="439"/>
    </row>
    <row r="3" spans="1:15">
      <c r="A3" s="1153" t="str">
        <f>TRIM(NAV!AD5)</f>
        <v>AU000000SYR9</v>
      </c>
      <c r="B3" s="1153">
        <f>NAV!AE5</f>
        <v>600000</v>
      </c>
      <c r="C3" s="1153">
        <f>NAV!AF5</f>
        <v>1.1599999999999999</v>
      </c>
      <c r="D3" s="438" t="e">
        <f ca="1">VLOOKUP(A3,POSIMS!A:C,1,FALSE)</f>
        <v>#N/A</v>
      </c>
      <c r="E3" s="439" t="e">
        <f ca="1">VLOOKUP(A3,POSIMS!A:C,2,FALSE)</f>
        <v>#N/A</v>
      </c>
      <c r="F3" s="439" t="e">
        <f ca="1">VLOOKUP(A3,POSIMS!A:C,3,FALSE)</f>
        <v>#N/A</v>
      </c>
      <c r="G3" s="439" t="e">
        <f ca="1">B3-E3</f>
        <v>#N/A</v>
      </c>
      <c r="H3" s="439" t="e">
        <f t="shared" ref="H3:H50" ca="1" si="0">C3-F3</f>
        <v>#N/A</v>
      </c>
      <c r="K3" s="439"/>
      <c r="L3" s="439"/>
      <c r="N3" s="439"/>
      <c r="O3" s="439"/>
    </row>
    <row r="4" spans="1:15">
      <c r="A4" s="1153" t="str">
        <f>TRIM(NAV!AD6)</f>
        <v>CA65401N1078</v>
      </c>
      <c r="B4" s="1153">
        <f>NAV!AE6</f>
        <v>24000</v>
      </c>
      <c r="C4" s="1153">
        <f>NAV!AF6</f>
        <v>1.17</v>
      </c>
      <c r="D4" s="438" t="e">
        <f ca="1">VLOOKUP(A4,POSIMS!A:C,1,FALSE)</f>
        <v>#N/A</v>
      </c>
      <c r="E4" s="439" t="e">
        <f ca="1">VLOOKUP(A4,POSIMS!A:C,2,FALSE)</f>
        <v>#N/A</v>
      </c>
      <c r="F4" s="439" t="e">
        <f ca="1">VLOOKUP(A4,POSIMS!A:C,3,FALSE)</f>
        <v>#N/A</v>
      </c>
      <c r="G4" s="439" t="e">
        <f t="shared" ref="G4:G50" ca="1" si="1">B4-E4</f>
        <v>#N/A</v>
      </c>
      <c r="H4" s="439" t="e">
        <f t="shared" ca="1" si="0"/>
        <v>#N/A</v>
      </c>
    </row>
    <row r="5" spans="1:15">
      <c r="A5" s="1153" t="str">
        <f>TRIM(NAV!AD7)</f>
        <v>CNE100001TJ4</v>
      </c>
      <c r="B5" s="1153">
        <f>NAV!AE7</f>
        <v>1420000</v>
      </c>
      <c r="C5" s="1153">
        <f>NAV!AF7</f>
        <v>2.58</v>
      </c>
      <c r="D5" s="438" t="e">
        <f ca="1">VLOOKUP(A5,POSIMS!A:C,1,FALSE)</f>
        <v>#N/A</v>
      </c>
      <c r="E5" s="439" t="e">
        <f ca="1">VLOOKUP(A5,POSIMS!A:C,2,FALSE)</f>
        <v>#N/A</v>
      </c>
      <c r="F5" s="439" t="e">
        <f ca="1">VLOOKUP(A5,POSIMS!A:C,3,FALSE)</f>
        <v>#N/A</v>
      </c>
      <c r="G5" s="439" t="e">
        <f t="shared" ca="1" si="1"/>
        <v>#N/A</v>
      </c>
      <c r="H5" s="439" t="e">
        <f t="shared" ca="1" si="0"/>
        <v>#N/A</v>
      </c>
    </row>
    <row r="6" spans="1:15">
      <c r="A6" s="1153" t="str">
        <f>TRIM(NAV!AD8)</f>
        <v>DE0005439004</v>
      </c>
      <c r="B6" s="1153">
        <f>NAV!AE8</f>
        <v>5000</v>
      </c>
      <c r="C6" s="1153">
        <f>NAV!AF8</f>
        <v>70.84</v>
      </c>
      <c r="D6" s="438" t="e">
        <f ca="1">VLOOKUP(A6,POSIMS!A:C,1,FALSE)</f>
        <v>#N/A</v>
      </c>
      <c r="E6" s="439" t="e">
        <f ca="1">VLOOKUP(A6,POSIMS!A:C,2,FALSE)</f>
        <v>#N/A</v>
      </c>
      <c r="F6" s="439" t="e">
        <f ca="1">VLOOKUP(A6,POSIMS!A:C,3,FALSE)</f>
        <v>#N/A</v>
      </c>
      <c r="G6" s="439" t="e">
        <f t="shared" ca="1" si="1"/>
        <v>#N/A</v>
      </c>
      <c r="H6" s="439" t="e">
        <f t="shared" ca="1" si="0"/>
        <v>#N/A</v>
      </c>
    </row>
    <row r="7" spans="1:15">
      <c r="A7" s="1153" t="str">
        <f>TRIM(NAV!AD9)</f>
        <v>DE0007664039</v>
      </c>
      <c r="B7" s="1153">
        <f>NAV!AE9</f>
        <v>2270</v>
      </c>
      <c r="C7" s="1153">
        <f>NAV!AF9</f>
        <v>144.4</v>
      </c>
      <c r="D7" s="438" t="e">
        <f ca="1">VLOOKUP(A7,POSIMS!A:C,1,FALSE)</f>
        <v>#N/A</v>
      </c>
      <c r="E7" s="439" t="e">
        <f ca="1">VLOOKUP(A7,POSIMS!A:C,2,FALSE)</f>
        <v>#N/A</v>
      </c>
      <c r="F7" s="439" t="e">
        <f ca="1">VLOOKUP(A7,POSIMS!A:C,3,FALSE)</f>
        <v>#N/A</v>
      </c>
      <c r="G7" s="439" t="e">
        <f t="shared" ca="1" si="1"/>
        <v>#N/A</v>
      </c>
      <c r="H7" s="439" t="e">
        <f t="shared" ca="1" si="0"/>
        <v>#N/A</v>
      </c>
      <c r="I7" s="408"/>
    </row>
    <row r="8" spans="1:15">
      <c r="A8" s="1153" t="str">
        <f>TRIM(NAV!AD10)</f>
        <v>DE000VTSC017</v>
      </c>
      <c r="B8" s="1153">
        <f>NAV!AE10</f>
        <v>17400</v>
      </c>
      <c r="C8" s="1153">
        <f>NAV!AF10</f>
        <v>42.06</v>
      </c>
      <c r="D8" s="438" t="e">
        <f ca="1">VLOOKUP(A8,POSIMS!A:C,1,FALSE)</f>
        <v>#N/A</v>
      </c>
      <c r="E8" s="439" t="e">
        <f ca="1">VLOOKUP(A8,POSIMS!A:C,2,FALSE)</f>
        <v>#N/A</v>
      </c>
      <c r="F8" s="439" t="e">
        <f ca="1">VLOOKUP(A8,POSIMS!A:C,3,FALSE)</f>
        <v>#N/A</v>
      </c>
      <c r="G8" s="439" t="e">
        <f t="shared" ca="1" si="1"/>
        <v>#N/A</v>
      </c>
      <c r="H8" s="439" t="e">
        <f t="shared" ca="1" si="0"/>
        <v>#N/A</v>
      </c>
    </row>
    <row r="9" spans="1:15">
      <c r="A9" s="1153" t="str">
        <f>TRIM(NAV!AD11)</f>
        <v>FR0000120859</v>
      </c>
      <c r="B9" s="1153">
        <f>NAV!AE11</f>
        <v>4200</v>
      </c>
      <c r="C9" s="1153">
        <f>NAV!AF11</f>
        <v>30.06</v>
      </c>
      <c r="D9" s="438" t="e">
        <f ca="1">VLOOKUP(A9,POSIMS!A:C,1,FALSE)</f>
        <v>#N/A</v>
      </c>
      <c r="E9" s="439" t="e">
        <f ca="1">VLOOKUP(A9,POSIMS!A:C,2,FALSE)</f>
        <v>#N/A</v>
      </c>
      <c r="F9" s="439" t="e">
        <f ca="1">VLOOKUP(A9,POSIMS!A:C,3,FALSE)</f>
        <v>#N/A</v>
      </c>
      <c r="G9" s="439" t="e">
        <f t="shared" ca="1" si="1"/>
        <v>#N/A</v>
      </c>
      <c r="H9" s="439" t="e">
        <f t="shared" ca="1" si="0"/>
        <v>#N/A</v>
      </c>
    </row>
    <row r="10" spans="1:15">
      <c r="A10" s="1153" t="str">
        <f>TRIM(NAV!AD12)</f>
        <v>FR0000131757</v>
      </c>
      <c r="B10" s="1153">
        <f>NAV!AE12</f>
        <v>1100</v>
      </c>
      <c r="C10" s="1153">
        <f>NAV!AF12</f>
        <v>103.4</v>
      </c>
      <c r="D10" s="438" t="e">
        <f ca="1">VLOOKUP(A10,POSIMS!A:C,1,FALSE)</f>
        <v>#N/A</v>
      </c>
      <c r="E10" s="439" t="e">
        <f ca="1">VLOOKUP(A10,POSIMS!A:C,2,FALSE)</f>
        <v>#N/A</v>
      </c>
      <c r="F10" s="439" t="e">
        <f ca="1">VLOOKUP(A10,POSIMS!A:C,3,FALSE)</f>
        <v>#N/A</v>
      </c>
      <c r="G10" s="439" t="e">
        <f t="shared" ca="1" si="1"/>
        <v>#N/A</v>
      </c>
      <c r="H10" s="439" t="e">
        <f t="shared" ca="1" si="0"/>
        <v>#N/A</v>
      </c>
    </row>
    <row r="11" spans="1:15">
      <c r="A11" s="1153" t="str">
        <f>TRIM(NAV!AD13)</f>
        <v>FR0000131906</v>
      </c>
      <c r="B11" s="1153">
        <f>NAV!AE13</f>
        <v>17000</v>
      </c>
      <c r="C11" s="1153">
        <f>NAV!AF13</f>
        <v>26.135000000000002</v>
      </c>
      <c r="D11" s="438" t="e">
        <f ca="1">VLOOKUP(A11,POSIMS!A:C,1,FALSE)</f>
        <v>#N/A</v>
      </c>
      <c r="E11" s="439" t="e">
        <f ca="1">VLOOKUP(A11,POSIMS!A:C,2,FALSE)</f>
        <v>#N/A</v>
      </c>
      <c r="F11" s="439" t="e">
        <f ca="1">VLOOKUP(A11,POSIMS!A:C,3,FALSE)</f>
        <v>#N/A</v>
      </c>
      <c r="G11" s="439" t="e">
        <f t="shared" ca="1" si="1"/>
        <v>#N/A</v>
      </c>
      <c r="H11" s="439" t="e">
        <f t="shared" ca="1" si="0"/>
        <v>#N/A</v>
      </c>
    </row>
    <row r="12" spans="1:15">
      <c r="A12" s="1153" t="str">
        <f>TRIM(NAV!AD14)</f>
        <v>FR0013176526</v>
      </c>
      <c r="B12" s="1153">
        <f>NAV!AE14</f>
        <v>42000</v>
      </c>
      <c r="C12" s="1153">
        <f>NAV!AF14</f>
        <v>20.03</v>
      </c>
      <c r="D12" s="438" t="e">
        <f ca="1">VLOOKUP(A12,POSIMS!A:C,1,FALSE)</f>
        <v>#N/A</v>
      </c>
      <c r="E12" s="439" t="e">
        <f ca="1">VLOOKUP(A12,POSIMS!A:C,2,FALSE)</f>
        <v>#N/A</v>
      </c>
      <c r="F12" s="439" t="e">
        <f ca="1">VLOOKUP(A12,POSIMS!A:C,3,FALSE)</f>
        <v>#N/A</v>
      </c>
      <c r="G12" s="439" t="e">
        <f t="shared" ca="1" si="1"/>
        <v>#N/A</v>
      </c>
      <c r="H12" s="439" t="e">
        <f t="shared" ca="1" si="0"/>
        <v>#N/A</v>
      </c>
    </row>
    <row r="13" spans="1:15">
      <c r="A13" s="1153" t="str">
        <f>TRIM(NAV!AD15)</f>
        <v>GG00B4TM3943</v>
      </c>
      <c r="B13" s="1153">
        <f>NAV!AE15</f>
        <v>420000</v>
      </c>
      <c r="C13" s="1153">
        <f>NAV!AF15</f>
        <v>6.8000000000000005E-2</v>
      </c>
      <c r="D13" s="438" t="e">
        <f ca="1">VLOOKUP(A13,POSIMS!A:C,1,FALSE)</f>
        <v>#N/A</v>
      </c>
      <c r="E13" s="439" t="e">
        <f ca="1">VLOOKUP(A13,POSIMS!A:C,2,FALSE)</f>
        <v>#N/A</v>
      </c>
      <c r="F13" s="439" t="e">
        <f ca="1">VLOOKUP(A13,POSIMS!A:C,3,FALSE)</f>
        <v>#N/A</v>
      </c>
      <c r="G13" s="439" t="e">
        <f t="shared" ca="1" si="1"/>
        <v>#N/A</v>
      </c>
      <c r="H13" s="439" t="e">
        <f t="shared" ca="1" si="0"/>
        <v>#N/A</v>
      </c>
      <c r="K13" s="442"/>
    </row>
    <row r="14" spans="1:15">
      <c r="A14" s="1153" t="str">
        <f>TRIM(NAV!AD16)</f>
        <v>JE00B4T3BW64</v>
      </c>
      <c r="B14" s="1153">
        <f>NAV!AE16</f>
        <v>22000</v>
      </c>
      <c r="C14" s="1153">
        <f>NAV!AF16</f>
        <v>4.4935</v>
      </c>
      <c r="D14" s="438" t="e">
        <f ca="1">VLOOKUP(A14,POSIMS!A:C,1,FALSE)</f>
        <v>#N/A</v>
      </c>
      <c r="E14" s="439" t="e">
        <f ca="1">VLOOKUP(A14,POSIMS!A:C,2,FALSE)</f>
        <v>#N/A</v>
      </c>
      <c r="F14" s="439" t="e">
        <f ca="1">VLOOKUP(A14,POSIMS!A:C,3,FALSE)</f>
        <v>#N/A</v>
      </c>
      <c r="G14" s="439" t="e">
        <f t="shared" ca="1" si="1"/>
        <v>#N/A</v>
      </c>
      <c r="H14" s="439" t="e">
        <f t="shared" ca="1" si="0"/>
        <v>#N/A</v>
      </c>
    </row>
    <row r="15" spans="1:15">
      <c r="A15" s="1153" t="str">
        <f>TRIM(NAV!AD17)</f>
        <v>JP3111200006</v>
      </c>
      <c r="B15" s="1153">
        <f>NAV!AE17</f>
        <v>11000</v>
      </c>
      <c r="C15" s="1153">
        <f>NAV!AF17</f>
        <v>1041.5</v>
      </c>
      <c r="D15" s="438" t="e">
        <f ca="1">VLOOKUP(A15,POSIMS!A:C,1,FALSE)</f>
        <v>#N/A</v>
      </c>
      <c r="E15" s="439" t="e">
        <f ca="1">VLOOKUP(A15,POSIMS!A:C,2,FALSE)</f>
        <v>#N/A</v>
      </c>
      <c r="F15" s="439" t="e">
        <f ca="1">VLOOKUP(A15,POSIMS!A:C,3,FALSE)</f>
        <v>#N/A</v>
      </c>
      <c r="G15" s="439" t="e">
        <f t="shared" ca="1" si="1"/>
        <v>#N/A</v>
      </c>
      <c r="H15" s="439" t="e">
        <f t="shared" ca="1" si="0"/>
        <v>#N/A</v>
      </c>
    </row>
    <row r="16" spans="1:15">
      <c r="A16" s="1153" t="str">
        <f>TRIM(NAV!AD18)</f>
        <v>JP3134800006</v>
      </c>
      <c r="B16" s="1153">
        <f>NAV!AE18</f>
        <v>4200</v>
      </c>
      <c r="C16" s="1153">
        <f>NAV!AF18</f>
        <v>3810</v>
      </c>
      <c r="D16" s="438" t="e">
        <f ca="1">VLOOKUP(A16,POSIMS!A:C,1,FALSE)</f>
        <v>#N/A</v>
      </c>
      <c r="E16" s="439" t="e">
        <f ca="1">VLOOKUP(A16,POSIMS!A:C,2,FALSE)</f>
        <v>#N/A</v>
      </c>
      <c r="F16" s="439" t="e">
        <f ca="1">VLOOKUP(A16,POSIMS!A:C,3,FALSE)</f>
        <v>#N/A</v>
      </c>
      <c r="G16" s="439" t="e">
        <f t="shared" ca="1" si="1"/>
        <v>#N/A</v>
      </c>
      <c r="H16" s="439" t="e">
        <f t="shared" ca="1" si="0"/>
        <v>#N/A</v>
      </c>
    </row>
    <row r="17" spans="1:11">
      <c r="A17" s="1153" t="str">
        <f>TRIM(NAV!AD19)</f>
        <v>JP3147200004</v>
      </c>
      <c r="B17" s="1153">
        <f>NAV!AE19</f>
        <v>22000</v>
      </c>
      <c r="C17" s="1153">
        <f>NAV!AF19</f>
        <v>1256</v>
      </c>
      <c r="D17" s="438" t="e">
        <f ca="1">VLOOKUP(A17,POSIMS!A:C,1,FALSE)</f>
        <v>#N/A</v>
      </c>
      <c r="E17" s="439" t="e">
        <f ca="1">VLOOKUP(A17,POSIMS!A:C,2,FALSE)</f>
        <v>#N/A</v>
      </c>
      <c r="F17" s="439" t="e">
        <f ca="1">VLOOKUP(A17,POSIMS!A:C,3,FALSE)</f>
        <v>#N/A</v>
      </c>
      <c r="G17" s="439" t="e">
        <f t="shared" ca="1" si="1"/>
        <v>#N/A</v>
      </c>
      <c r="H17" s="439" t="e">
        <f t="shared" ca="1" si="0"/>
        <v>#N/A</v>
      </c>
    </row>
    <row r="18" spans="1:11">
      <c r="A18" s="1153" t="str">
        <f>TRIM(NAV!AD20)</f>
        <v>JP3232600001</v>
      </c>
      <c r="B18" s="1153">
        <f>NAV!AE20</f>
        <v>17000</v>
      </c>
      <c r="C18" s="1153">
        <f>NAV!AF20</f>
        <v>878</v>
      </c>
      <c r="D18" s="438" t="e">
        <f ca="1">VLOOKUP(A18,POSIMS!A:C,1,FALSE)</f>
        <v>#N/A</v>
      </c>
      <c r="E18" s="439" t="e">
        <f ca="1">VLOOKUP(A18,POSIMS!A:C,2,FALSE)</f>
        <v>#N/A</v>
      </c>
      <c r="F18" s="439" t="e">
        <f ca="1">VLOOKUP(A18,POSIMS!A:C,3,FALSE)</f>
        <v>#N/A</v>
      </c>
      <c r="G18" s="439" t="e">
        <f t="shared" ca="1" si="1"/>
        <v>#N/A</v>
      </c>
      <c r="H18" s="439" t="e">
        <f t="shared" ca="1" si="0"/>
        <v>#N/A</v>
      </c>
    </row>
    <row r="19" spans="1:11">
      <c r="A19" s="1153" t="str">
        <f>TRIM(NAV!AD21)</f>
        <v>JP3271600003</v>
      </c>
      <c r="B19" s="1153">
        <f>NAV!AE21</f>
        <v>1670</v>
      </c>
      <c r="C19" s="1153">
        <f>NAV!AF21</f>
        <v>9740</v>
      </c>
      <c r="D19" s="438" t="e">
        <f ca="1">VLOOKUP(A19,POSIMS!A:C,1,FALSE)</f>
        <v>#N/A</v>
      </c>
      <c r="E19" s="439" t="e">
        <f ca="1">VLOOKUP(A19,POSIMS!A:C,2,FALSE)</f>
        <v>#N/A</v>
      </c>
      <c r="F19" s="439" t="e">
        <f ca="1">VLOOKUP(A19,POSIMS!A:C,3,FALSE)</f>
        <v>#N/A</v>
      </c>
      <c r="G19" s="439" t="e">
        <f t="shared" ca="1" si="1"/>
        <v>#N/A</v>
      </c>
      <c r="H19" s="439" t="e">
        <f t="shared" ca="1" si="0"/>
        <v>#N/A</v>
      </c>
    </row>
    <row r="20" spans="1:11">
      <c r="A20" s="1153" t="str">
        <f>TRIM(NAV!AD22)</f>
        <v>JP3332600000</v>
      </c>
      <c r="B20" s="1153">
        <f>NAV!AE22</f>
        <v>33900</v>
      </c>
      <c r="C20" s="1153">
        <f>NAV!AF22</f>
        <v>888</v>
      </c>
      <c r="D20" s="438" t="e">
        <f ca="1">VLOOKUP(A20,POSIMS!A:C,1,FALSE)</f>
        <v>#N/A</v>
      </c>
      <c r="E20" s="439" t="e">
        <f ca="1">VLOOKUP(A20,POSIMS!A:C,2,FALSE)</f>
        <v>#N/A</v>
      </c>
      <c r="F20" s="439" t="e">
        <f ca="1">VLOOKUP(A20,POSIMS!A:C,3,FALSE)</f>
        <v>#N/A</v>
      </c>
      <c r="G20" s="439" t="e">
        <f t="shared" ca="1" si="1"/>
        <v>#N/A</v>
      </c>
      <c r="H20" s="439" t="e">
        <f t="shared" ca="1" si="0"/>
        <v>#N/A</v>
      </c>
    </row>
    <row r="21" spans="1:11">
      <c r="A21" s="1153" t="str">
        <f>TRIM(NAV!AD23)</f>
        <v>JP3368000000</v>
      </c>
      <c r="B21" s="1153">
        <f>NAV!AE23</f>
        <v>46200</v>
      </c>
      <c r="C21" s="1153">
        <f>NAV!AF23</f>
        <v>2464</v>
      </c>
      <c r="D21" s="438" t="e">
        <f ca="1">VLOOKUP(A21,POSIMS!A:C,1,FALSE)</f>
        <v>#N/A</v>
      </c>
      <c r="E21" s="439" t="e">
        <f ca="1">VLOOKUP(A21,POSIMS!A:C,2,FALSE)</f>
        <v>#N/A</v>
      </c>
      <c r="F21" s="439" t="e">
        <f ca="1">VLOOKUP(A21,POSIMS!A:C,3,FALSE)</f>
        <v>#N/A</v>
      </c>
      <c r="G21" s="439" t="e">
        <f t="shared" ca="1" si="1"/>
        <v>#N/A</v>
      </c>
      <c r="H21" s="439" t="e">
        <f t="shared" ca="1" si="0"/>
        <v>#N/A</v>
      </c>
    </row>
    <row r="22" spans="1:11" ht="17.25" customHeight="1">
      <c r="A22" s="1153" t="str">
        <f>TRIM(NAV!AD24)</f>
        <v>JP3399720006</v>
      </c>
      <c r="B22" s="1153">
        <f>NAV!AE24</f>
        <v>14200</v>
      </c>
      <c r="C22" s="1153">
        <f>NAV!AF24</f>
        <v>2400</v>
      </c>
      <c r="D22" s="438" t="e">
        <f ca="1">VLOOKUP(A22,POSIMS!A:C,1,FALSE)</f>
        <v>#N/A</v>
      </c>
      <c r="E22" s="439" t="e">
        <f ca="1">VLOOKUP(A22,POSIMS!A:C,2,FALSE)</f>
        <v>#N/A</v>
      </c>
      <c r="F22" s="439" t="e">
        <f ca="1">VLOOKUP(A22,POSIMS!A:C,3,FALSE)</f>
        <v>#N/A</v>
      </c>
      <c r="G22" s="439" t="e">
        <f t="shared" ca="1" si="1"/>
        <v>#N/A</v>
      </c>
      <c r="H22" s="439" t="e">
        <f t="shared" ca="1" si="0"/>
        <v>#N/A</v>
      </c>
    </row>
    <row r="23" spans="1:11">
      <c r="A23" s="1153" t="str">
        <f>TRIM(NAV!AD25)</f>
        <v>JP3401400001</v>
      </c>
      <c r="B23" s="1153">
        <f>NAV!AE25</f>
        <v>31000</v>
      </c>
      <c r="C23" s="1153">
        <f>NAV!AF25</f>
        <v>536</v>
      </c>
      <c r="D23" s="438" t="e">
        <f ca="1">VLOOKUP(A23,POSIMS!A:C,1,FALSE)</f>
        <v>#N/A</v>
      </c>
      <c r="E23" s="439" t="e">
        <f ca="1">VLOOKUP(A23,POSIMS!A:C,2,FALSE)</f>
        <v>#N/A</v>
      </c>
      <c r="F23" s="439" t="e">
        <f ca="1">VLOOKUP(A23,POSIMS!A:C,3,FALSE)</f>
        <v>#N/A</v>
      </c>
      <c r="G23" s="439" t="e">
        <f t="shared" ca="1" si="1"/>
        <v>#N/A</v>
      </c>
      <c r="H23" s="439" t="e">
        <f t="shared" ca="1" si="0"/>
        <v>#N/A</v>
      </c>
    </row>
    <row r="24" spans="1:11">
      <c r="A24" s="1153" t="str">
        <f>TRIM(NAV!AD26)</f>
        <v>JP3402600005</v>
      </c>
      <c r="B24" s="1153">
        <f>NAV!AE26</f>
        <v>33000</v>
      </c>
      <c r="C24" s="1153">
        <f>NAV!AF26</f>
        <v>4547</v>
      </c>
      <c r="D24" s="438" t="e">
        <f ca="1">VLOOKUP(A24,POSIMS!A:C,1,FALSE)</f>
        <v>#N/A</v>
      </c>
      <c r="E24" s="439" t="e">
        <f ca="1">VLOOKUP(A24,POSIMS!A:C,2,FALSE)</f>
        <v>#N/A</v>
      </c>
      <c r="F24" s="439" t="e">
        <f ca="1">VLOOKUP(A24,POSIMS!A:C,3,FALSE)</f>
        <v>#N/A</v>
      </c>
      <c r="G24" s="439" t="e">
        <f t="shared" ca="1" si="1"/>
        <v>#N/A</v>
      </c>
      <c r="H24" s="439" t="e">
        <f t="shared" ca="1" si="0"/>
        <v>#N/A</v>
      </c>
      <c r="K24" s="439"/>
    </row>
    <row r="25" spans="1:11">
      <c r="A25" s="1153" t="str">
        <f>TRIM(NAV!AD27)</f>
        <v>JP3425000001</v>
      </c>
      <c r="B25" s="1153">
        <f>NAV!AE27</f>
        <v>11700</v>
      </c>
      <c r="C25" s="1153">
        <f>NAV!AF27</f>
        <v>3045</v>
      </c>
      <c r="D25" s="438" t="e">
        <f ca="1">VLOOKUP(A25,POSIMS!A:C,1,FALSE)</f>
        <v>#N/A</v>
      </c>
      <c r="E25" s="439" t="e">
        <f ca="1">VLOOKUP(A25,POSIMS!A:C,2,FALSE)</f>
        <v>#N/A</v>
      </c>
      <c r="F25" s="439" t="e">
        <f ca="1">VLOOKUP(A25,POSIMS!A:C,3,FALSE)</f>
        <v>#N/A</v>
      </c>
      <c r="G25" s="439" t="e">
        <f t="shared" ca="1" si="1"/>
        <v>#N/A</v>
      </c>
      <c r="H25" s="439" t="e">
        <f t="shared" ca="1" si="0"/>
        <v>#N/A</v>
      </c>
    </row>
    <row r="26" spans="1:11">
      <c r="A26" s="1153" t="str">
        <f>TRIM(NAV!AD28)</f>
        <v>JP3449020001</v>
      </c>
      <c r="B26" s="1153">
        <f>NAV!AE28</f>
        <v>22000</v>
      </c>
      <c r="C26" s="1153">
        <f>NAV!AF28</f>
        <v>1961</v>
      </c>
      <c r="D26" s="438" t="e">
        <f ca="1">VLOOKUP(A26,POSIMS!A:C,1,FALSE)</f>
        <v>#N/A</v>
      </c>
      <c r="E26" s="439" t="e">
        <f ca="1">VLOOKUP(A26,POSIMS!A:C,2,FALSE)</f>
        <v>#N/A</v>
      </c>
      <c r="F26" s="439" t="e">
        <f ca="1">VLOOKUP(A26,POSIMS!A:C,3,FALSE)</f>
        <v>#N/A</v>
      </c>
      <c r="G26" s="439" t="e">
        <f t="shared" ca="1" si="1"/>
        <v>#N/A</v>
      </c>
      <c r="H26" s="439" t="e">
        <f t="shared" ca="1" si="0"/>
        <v>#N/A</v>
      </c>
    </row>
    <row r="27" spans="1:11">
      <c r="A27" s="1153" t="str">
        <f>TRIM(NAV!AD29)</f>
        <v>JP3468810001</v>
      </c>
      <c r="B27" s="1153">
        <f>NAV!AE29</f>
        <v>16900</v>
      </c>
      <c r="C27" s="1153">
        <f>NAV!AF29</f>
        <v>1198</v>
      </c>
      <c r="D27" s="438" t="e">
        <f ca="1">VLOOKUP(A27,POSIMS!A:C,1,FALSE)</f>
        <v>#N/A</v>
      </c>
      <c r="E27" s="439" t="e">
        <f ca="1">VLOOKUP(A27,POSIMS!A:C,2,FALSE)</f>
        <v>#N/A</v>
      </c>
      <c r="F27" s="439" t="e">
        <f ca="1">VLOOKUP(A27,POSIMS!A:C,3,FALSE)</f>
        <v>#N/A</v>
      </c>
      <c r="G27" s="439" t="e">
        <f t="shared" ca="1" si="1"/>
        <v>#N/A</v>
      </c>
      <c r="H27" s="439" t="e">
        <f t="shared" ca="1" si="0"/>
        <v>#N/A</v>
      </c>
    </row>
    <row r="28" spans="1:11">
      <c r="A28" s="1153" t="str">
        <f>TRIM(NAV!AD30)</f>
        <v>JP3538800008</v>
      </c>
      <c r="B28" s="1153">
        <f>NAV!AE30</f>
        <v>11000</v>
      </c>
      <c r="C28" s="1153">
        <f>NAV!AF30</f>
        <v>4190</v>
      </c>
      <c r="D28" s="438" t="e">
        <f ca="1">VLOOKUP(A28,POSIMS!A:C,1,FALSE)</f>
        <v>#N/A</v>
      </c>
      <c r="E28" s="439" t="e">
        <f ca="1">VLOOKUP(A28,POSIMS!A:C,2,FALSE)</f>
        <v>#N/A</v>
      </c>
      <c r="F28" s="439" t="e">
        <f ca="1">VLOOKUP(A28,POSIMS!A:C,3,FALSE)</f>
        <v>#N/A</v>
      </c>
      <c r="G28" s="439" t="e">
        <f t="shared" ca="1" si="1"/>
        <v>#N/A</v>
      </c>
      <c r="H28" s="439" t="e">
        <f t="shared" ca="1" si="0"/>
        <v>#N/A</v>
      </c>
    </row>
    <row r="29" spans="1:11">
      <c r="A29" s="1153" t="str">
        <f>TRIM(NAV!AD31)</f>
        <v>JP3544000007</v>
      </c>
      <c r="B29" s="1153">
        <f>NAV!AE31</f>
        <v>89000</v>
      </c>
      <c r="C29" s="1153">
        <f>NAV!AF31</f>
        <v>1383</v>
      </c>
      <c r="D29" s="438" t="e">
        <f ca="1">VLOOKUP(A29,POSIMS!A:C,1,FALSE)</f>
        <v>#N/A</v>
      </c>
      <c r="E29" s="439" t="e">
        <f ca="1">VLOOKUP(A29,POSIMS!A:C,2,FALSE)</f>
        <v>#N/A</v>
      </c>
      <c r="F29" s="439" t="e">
        <f ca="1">VLOOKUP(A29,POSIMS!A:C,3,FALSE)</f>
        <v>#N/A</v>
      </c>
      <c r="G29" s="439" t="e">
        <f t="shared" ca="1" si="1"/>
        <v>#N/A</v>
      </c>
      <c r="H29" s="439" t="e">
        <f t="shared" ca="1" si="0"/>
        <v>#N/A</v>
      </c>
    </row>
    <row r="30" spans="1:11">
      <c r="A30" s="1153" t="str">
        <f>TRIM(NAV!AD32)</f>
        <v>JP3592200004</v>
      </c>
      <c r="B30" s="1153">
        <f>NAV!AE32</f>
        <v>4200</v>
      </c>
      <c r="C30" s="1153">
        <f>NAV!AF32</f>
        <v>5501</v>
      </c>
      <c r="D30" s="438" t="e">
        <f ca="1">VLOOKUP(A30,POSIMS!A:C,1,FALSE)</f>
        <v>#N/A</v>
      </c>
      <c r="E30" s="439" t="e">
        <f ca="1">VLOOKUP(A30,POSIMS!A:C,2,FALSE)</f>
        <v>#N/A</v>
      </c>
      <c r="F30" s="439" t="e">
        <f ca="1">VLOOKUP(A30,POSIMS!A:C,3,FALSE)</f>
        <v>#N/A</v>
      </c>
      <c r="G30" s="439" t="e">
        <f t="shared" ca="1" si="1"/>
        <v>#N/A</v>
      </c>
      <c r="H30" s="439" t="e">
        <f t="shared" ca="1" si="0"/>
        <v>#N/A</v>
      </c>
    </row>
    <row r="31" spans="1:11">
      <c r="A31" s="1153" t="str">
        <f>TRIM(NAV!AD33)</f>
        <v>JP3627400009</v>
      </c>
      <c r="B31" s="1153">
        <f>NAV!AE33</f>
        <v>60200</v>
      </c>
      <c r="C31" s="1153">
        <f>NAV!AF33</f>
        <v>2251</v>
      </c>
      <c r="D31" s="438" t="e">
        <f ca="1">VLOOKUP(A31,POSIMS!A:C,1,FALSE)</f>
        <v>#N/A</v>
      </c>
      <c r="E31" s="439" t="e">
        <f ca="1">VLOOKUP(A31,POSIMS!A:C,2,FALSE)</f>
        <v>#N/A</v>
      </c>
      <c r="F31" s="439" t="e">
        <f ca="1">VLOOKUP(A31,POSIMS!A:C,3,FALSE)</f>
        <v>#N/A</v>
      </c>
      <c r="G31" s="439" t="e">
        <f t="shared" ca="1" si="1"/>
        <v>#N/A</v>
      </c>
      <c r="H31" s="439" t="e">
        <f t="shared" ca="1" si="0"/>
        <v>#N/A</v>
      </c>
    </row>
    <row r="32" spans="1:11">
      <c r="A32" s="1153" t="str">
        <f>TRIM(NAV!AD34)</f>
        <v>JP3638600001</v>
      </c>
      <c r="B32" s="1153">
        <f>NAV!AE34</f>
        <v>3300</v>
      </c>
      <c r="C32" s="1153">
        <f>NAV!AF34</f>
        <v>4575</v>
      </c>
      <c r="D32" s="438" t="e">
        <f ca="1">VLOOKUP(A32,POSIMS!A:C,1,FALSE)</f>
        <v>#N/A</v>
      </c>
      <c r="E32" s="439" t="e">
        <f ca="1">VLOOKUP(A32,POSIMS!A:C,2,FALSE)</f>
        <v>#N/A</v>
      </c>
      <c r="F32" s="439" t="e">
        <f ca="1">VLOOKUP(A32,POSIMS!A:C,3,FALSE)</f>
        <v>#N/A</v>
      </c>
      <c r="G32" s="439" t="e">
        <f t="shared" ca="1" si="1"/>
        <v>#N/A</v>
      </c>
      <c r="H32" s="439" t="e">
        <f t="shared" ca="1" si="0"/>
        <v>#N/A</v>
      </c>
    </row>
    <row r="33" spans="1:10">
      <c r="A33" s="1153" t="str">
        <f>TRIM(NAV!AD35)</f>
        <v>JP3690400001</v>
      </c>
      <c r="B33" s="1153">
        <f>NAV!AE35</f>
        <v>3800</v>
      </c>
      <c r="C33" s="1153">
        <f>NAV!AF35</f>
        <v>4120</v>
      </c>
      <c r="D33" s="438" t="e">
        <f ca="1">VLOOKUP(A33,POSIMS!A:C,1,FALSE)</f>
        <v>#N/A</v>
      </c>
      <c r="E33" s="439" t="e">
        <f ca="1">VLOOKUP(A33,POSIMS!A:C,2,FALSE)</f>
        <v>#N/A</v>
      </c>
      <c r="F33" s="439" t="e">
        <f ca="1">VLOOKUP(A33,POSIMS!A:C,3,FALSE)</f>
        <v>#N/A</v>
      </c>
      <c r="G33" s="439" t="e">
        <f t="shared" ca="1" si="1"/>
        <v>#N/A</v>
      </c>
      <c r="H33" s="439" t="e">
        <f t="shared" ca="1" si="0"/>
        <v>#N/A</v>
      </c>
    </row>
    <row r="34" spans="1:10">
      <c r="A34" s="1153" t="str">
        <f>TRIM(NAV!AD36)</f>
        <v>JP3691600005</v>
      </c>
      <c r="B34" s="1153">
        <f>NAV!AE36</f>
        <v>22000</v>
      </c>
      <c r="C34" s="1153">
        <f>NAV!AF36</f>
        <v>1947</v>
      </c>
      <c r="D34" s="438" t="e">
        <f ca="1">VLOOKUP(A34,POSIMS!A:C,1,FALSE)</f>
        <v>#N/A</v>
      </c>
      <c r="E34" s="439" t="e">
        <f ca="1">VLOOKUP(A34,POSIMS!A:C,2,FALSE)</f>
        <v>#N/A</v>
      </c>
      <c r="F34" s="439" t="e">
        <f ca="1">VLOOKUP(A34,POSIMS!A:C,3,FALSE)</f>
        <v>#N/A</v>
      </c>
      <c r="G34" s="439" t="e">
        <f t="shared" ca="1" si="1"/>
        <v>#N/A</v>
      </c>
      <c r="H34" s="439" t="e">
        <f t="shared" ca="1" si="0"/>
        <v>#N/A</v>
      </c>
    </row>
    <row r="35" spans="1:10">
      <c r="A35" s="1153" t="str">
        <f>TRIM(NAV!AD37)</f>
        <v>JP3692000007</v>
      </c>
      <c r="B35" s="1153">
        <f>NAV!AE37</f>
        <v>17000</v>
      </c>
      <c r="C35" s="1153">
        <f>NAV!AF37</f>
        <v>1000</v>
      </c>
      <c r="D35" s="438" t="e">
        <f ca="1">VLOOKUP(A35,POSIMS!A:C,1,FALSE)</f>
        <v>#N/A</v>
      </c>
      <c r="E35" s="439" t="e">
        <f ca="1">VLOOKUP(A35,POSIMS!A:C,2,FALSE)</f>
        <v>#N/A</v>
      </c>
      <c r="F35" s="439" t="e">
        <f ca="1">VLOOKUP(A35,POSIMS!A:C,3,FALSE)</f>
        <v>#N/A</v>
      </c>
      <c r="G35" s="439" t="e">
        <f t="shared" ca="1" si="1"/>
        <v>#N/A</v>
      </c>
      <c r="H35" s="439" t="e">
        <f t="shared" ca="1" si="0"/>
        <v>#N/A</v>
      </c>
    </row>
    <row r="36" spans="1:10">
      <c r="A36" s="1153" t="str">
        <f>TRIM(NAV!AD38)</f>
        <v>JP3725400000</v>
      </c>
      <c r="B36" s="1153">
        <f>NAV!AE38</f>
        <v>17000</v>
      </c>
      <c r="C36" s="1153">
        <f>NAV!AF38</f>
        <v>1351</v>
      </c>
      <c r="D36" s="438" t="e">
        <f ca="1">VLOOKUP(A36,POSIMS!A:C,1,FALSE)</f>
        <v>#N/A</v>
      </c>
      <c r="E36" s="439" t="e">
        <f ca="1">VLOOKUP(A36,POSIMS!A:C,2,FALSE)</f>
        <v>#N/A</v>
      </c>
      <c r="F36" s="439" t="e">
        <f ca="1">VLOOKUP(A36,POSIMS!A:C,3,FALSE)</f>
        <v>#N/A</v>
      </c>
      <c r="G36" s="439" t="e">
        <f t="shared" ca="1" si="1"/>
        <v>#N/A</v>
      </c>
      <c r="H36" s="439" t="e">
        <f t="shared" ca="1" si="0"/>
        <v>#N/A</v>
      </c>
    </row>
    <row r="37" spans="1:10">
      <c r="A37" s="1153" t="str">
        <f>TRIM(NAV!AD39)</f>
        <v>JP3734600004</v>
      </c>
      <c r="B37" s="1153">
        <f>NAV!AE39</f>
        <v>69000</v>
      </c>
      <c r="C37" s="1153">
        <f>NAV!AF39</f>
        <v>345</v>
      </c>
      <c r="D37" s="438" t="e">
        <f ca="1">VLOOKUP(A37,POSIMS!A:C,1,FALSE)</f>
        <v>#N/A</v>
      </c>
      <c r="E37" s="439" t="e">
        <f ca="1">VLOOKUP(A37,POSIMS!A:C,2,FALSE)</f>
        <v>#N/A</v>
      </c>
      <c r="F37" s="439" t="e">
        <f ca="1">VLOOKUP(A37,POSIMS!A:C,3,FALSE)</f>
        <v>#N/A</v>
      </c>
      <c r="G37" s="439" t="e">
        <f t="shared" ca="1" si="1"/>
        <v>#N/A</v>
      </c>
      <c r="H37" s="439" t="e">
        <f t="shared" ca="1" si="0"/>
        <v>#N/A</v>
      </c>
    </row>
    <row r="38" spans="1:10">
      <c r="A38" s="1153" t="str">
        <f>TRIM(NAV!AD40)</f>
        <v>JP3866800000</v>
      </c>
      <c r="B38" s="1153">
        <f>NAV!AE40</f>
        <v>180000</v>
      </c>
      <c r="C38" s="1153">
        <f>NAV!AF40</f>
        <v>1108</v>
      </c>
      <c r="D38" s="438" t="e">
        <f ca="1">VLOOKUP(A38,POSIMS!A:C,1,FALSE)</f>
        <v>#N/A</v>
      </c>
      <c r="E38" s="439" t="e">
        <f ca="1">VLOOKUP(A38,POSIMS!A:C,2,FALSE)</f>
        <v>#N/A</v>
      </c>
      <c r="F38" s="439" t="e">
        <f ca="1">VLOOKUP(A38,POSIMS!A:C,3,FALSE)</f>
        <v>#N/A</v>
      </c>
      <c r="G38" s="439" t="e">
        <f t="shared" ca="1" si="1"/>
        <v>#N/A</v>
      </c>
      <c r="H38" s="439" t="e">
        <f t="shared" ca="1" si="0"/>
        <v>#N/A</v>
      </c>
    </row>
    <row r="39" spans="1:10">
      <c r="A39" s="1153" t="str">
        <f>TRIM(NAV!AD41)</f>
        <v>JP3903000002</v>
      </c>
      <c r="B39" s="1153">
        <f>NAV!AE41</f>
        <v>9000</v>
      </c>
      <c r="C39" s="1153">
        <f>NAV!AF41</f>
        <v>1958</v>
      </c>
      <c r="D39" s="438" t="e">
        <f ca="1">VLOOKUP(A39,POSIMS!A:C,1,FALSE)</f>
        <v>#N/A</v>
      </c>
      <c r="E39" s="439" t="e">
        <f ca="1">VLOOKUP(A39,POSIMS!A:C,2,FALSE)</f>
        <v>#N/A</v>
      </c>
      <c r="F39" s="439" t="e">
        <f ca="1">VLOOKUP(A39,POSIMS!A:C,3,FALSE)</f>
        <v>#N/A</v>
      </c>
      <c r="G39" s="439" t="e">
        <f t="shared" ca="1" si="1"/>
        <v>#N/A</v>
      </c>
      <c r="H39" s="439" t="e">
        <f t="shared" ca="1" si="0"/>
        <v>#N/A</v>
      </c>
    </row>
    <row r="40" spans="1:10">
      <c r="A40" s="1153" t="str">
        <f>TRIM(NAV!AD42)</f>
        <v>KR7005490008</v>
      </c>
      <c r="B40" s="1153">
        <f>NAV!AE42</f>
        <v>3300</v>
      </c>
      <c r="C40" s="1153">
        <f>NAV!AF42</f>
        <v>242500</v>
      </c>
      <c r="D40" s="438" t="e">
        <f ca="1">VLOOKUP(A40,POSIMS!A:C,1,FALSE)</f>
        <v>#N/A</v>
      </c>
      <c r="E40" s="439" t="e">
        <f ca="1">VLOOKUP(A40,POSIMS!A:C,2,FALSE)</f>
        <v>#N/A</v>
      </c>
      <c r="F40" s="439" t="e">
        <f ca="1">VLOOKUP(A40,POSIMS!A:C,3,FALSE)</f>
        <v>#N/A</v>
      </c>
      <c r="G40" s="439" t="e">
        <f t="shared" ca="1" si="1"/>
        <v>#N/A</v>
      </c>
      <c r="H40" s="439" t="e">
        <f ca="1">C40-F40</f>
        <v>#N/A</v>
      </c>
    </row>
    <row r="41" spans="1:10" s="408" customFormat="1">
      <c r="A41" s="1153" t="str">
        <f>TRIM(NAV!AD43)</f>
        <v>KR7006401004</v>
      </c>
      <c r="B41" s="1153">
        <f>NAV!AE43</f>
        <v>690</v>
      </c>
      <c r="C41" s="1153">
        <f>NAV!AF43</f>
        <v>277500</v>
      </c>
      <c r="D41" s="438" t="e">
        <f ca="1">VLOOKUP(A41,POSIMS!A:C,1,FALSE)</f>
        <v>#N/A</v>
      </c>
      <c r="E41" s="439" t="e">
        <f ca="1">VLOOKUP(A41,POSIMS!A:C,2,FALSE)</f>
        <v>#N/A</v>
      </c>
      <c r="F41" s="439" t="e">
        <f ca="1">VLOOKUP(A41,POSIMS!A:C,3,FALSE)</f>
        <v>#N/A</v>
      </c>
      <c r="G41" s="439" t="e">
        <f t="shared" ca="1" si="1"/>
        <v>#N/A</v>
      </c>
      <c r="H41" s="439" t="e">
        <f t="shared" ca="1" si="0"/>
        <v>#N/A</v>
      </c>
      <c r="I41" s="437"/>
      <c r="J41" s="409"/>
    </row>
    <row r="42" spans="1:10">
      <c r="A42" s="1153" t="str">
        <f>TRIM(NAV!AD44)</f>
        <v>KR7036830008</v>
      </c>
      <c r="B42" s="1153">
        <f>NAV!AE44</f>
        <v>15200</v>
      </c>
      <c r="C42" s="1153">
        <f>NAV!AF44</f>
        <v>19500</v>
      </c>
      <c r="D42" s="438" t="e">
        <f ca="1">VLOOKUP(A42,POSIMS!A:C,1,FALSE)</f>
        <v>#N/A</v>
      </c>
      <c r="E42" s="439" t="e">
        <f ca="1">VLOOKUP(A42,POSIMS!A:C,2,FALSE)</f>
        <v>#N/A</v>
      </c>
      <c r="F42" s="439" t="e">
        <f ca="1">VLOOKUP(A42,POSIMS!A:C,3,FALSE)</f>
        <v>#N/A</v>
      </c>
      <c r="G42" s="439" t="e">
        <f t="shared" ca="1" si="1"/>
        <v>#N/A</v>
      </c>
      <c r="H42" s="439" t="e">
        <f t="shared" ca="1" si="0"/>
        <v>#N/A</v>
      </c>
    </row>
    <row r="43" spans="1:10">
      <c r="A43" s="1153" t="str">
        <f>TRIM(NAV!AD45)</f>
        <v>KR7051911006</v>
      </c>
      <c r="B43" s="1153">
        <f>NAV!AE45</f>
        <v>6700</v>
      </c>
      <c r="C43" s="1153">
        <f>NAV!AF45</f>
        <v>257500</v>
      </c>
      <c r="D43" s="438" t="e">
        <f ca="1">VLOOKUP(A43,POSIMS!A:C,1,FALSE)</f>
        <v>#N/A</v>
      </c>
      <c r="E43" s="439" t="e">
        <f ca="1">VLOOKUP(A43,POSIMS!A:C,2,FALSE)</f>
        <v>#N/A</v>
      </c>
      <c r="F43" s="439" t="e">
        <f ca="1">VLOOKUP(A43,POSIMS!A:C,3,FALSE)</f>
        <v>#N/A</v>
      </c>
      <c r="G43" s="439" t="e">
        <f t="shared" ca="1" si="1"/>
        <v>#N/A</v>
      </c>
      <c r="H43" s="439" t="e">
        <f t="shared" ca="1" si="0"/>
        <v>#N/A</v>
      </c>
    </row>
    <row r="44" spans="1:10">
      <c r="A44" s="1153" t="str">
        <f>TRIM(NAV!AD46)</f>
        <v>KR7056190002</v>
      </c>
      <c r="B44" s="1153">
        <f>NAV!AE46</f>
        <v>16900</v>
      </c>
      <c r="C44" s="1153">
        <f>NAV!AF46</f>
        <v>39550</v>
      </c>
      <c r="D44" s="438" t="e">
        <f ca="1">VLOOKUP(A44,POSIMS!A:C,1,FALSE)</f>
        <v>#N/A</v>
      </c>
      <c r="E44" s="439" t="e">
        <f ca="1">VLOOKUP(A44,POSIMS!A:C,2,FALSE)</f>
        <v>#N/A</v>
      </c>
      <c r="F44" s="439" t="e">
        <f ca="1">VLOOKUP(A44,POSIMS!A:C,3,FALSE)</f>
        <v>#N/A</v>
      </c>
      <c r="G44" s="439" t="e">
        <f t="shared" ca="1" si="1"/>
        <v>#N/A</v>
      </c>
      <c r="H44" s="439" t="e">
        <f t="shared" ca="1" si="0"/>
        <v>#N/A</v>
      </c>
    </row>
    <row r="45" spans="1:10">
      <c r="A45" s="1153" t="str">
        <f>TRIM(NAV!AD47)</f>
        <v>KR7064960008</v>
      </c>
      <c r="B45" s="1153">
        <f>NAV!AE47</f>
        <v>9000</v>
      </c>
      <c r="C45" s="1153">
        <f>NAV!AF47</f>
        <v>41900</v>
      </c>
      <c r="D45" s="438" t="e">
        <f ca="1">VLOOKUP(A45,POSIMS!A:C,1,FALSE)</f>
        <v>#N/A</v>
      </c>
      <c r="E45" s="439" t="e">
        <f ca="1">VLOOKUP(A45,POSIMS!A:C,2,FALSE)</f>
        <v>#N/A</v>
      </c>
      <c r="F45" s="439" t="e">
        <f ca="1">VLOOKUP(A45,POSIMS!A:C,3,FALSE)</f>
        <v>#N/A</v>
      </c>
      <c r="G45" s="439" t="e">
        <f t="shared" ca="1" si="1"/>
        <v>#N/A</v>
      </c>
      <c r="H45" s="439" t="e">
        <f t="shared" ca="1" si="0"/>
        <v>#N/A</v>
      </c>
      <c r="I45" s="408"/>
    </row>
    <row r="46" spans="1:10" s="408" customFormat="1">
      <c r="A46" s="1153" t="str">
        <f>TRIM(NAV!AD48)</f>
        <v>KR7096770003</v>
      </c>
      <c r="B46" s="1153">
        <f>NAV!AE48</f>
        <v>59</v>
      </c>
      <c r="C46" s="1153">
        <f>NAV!AF48</f>
        <v>208500</v>
      </c>
      <c r="D46" s="438" t="e">
        <f ca="1">VLOOKUP(A46,POSIMS!A:C,1,FALSE)</f>
        <v>#N/A</v>
      </c>
      <c r="E46" s="439" t="e">
        <f ca="1">VLOOKUP(A46,POSIMS!A:C,2,FALSE)</f>
        <v>#N/A</v>
      </c>
      <c r="F46" s="439" t="e">
        <f ca="1">VLOOKUP(A46,POSIMS!A:C,3,FALSE)</f>
        <v>#N/A</v>
      </c>
      <c r="G46" s="439" t="e">
        <f t="shared" ca="1" si="1"/>
        <v>#N/A</v>
      </c>
      <c r="H46" s="439" t="e">
        <f t="shared" ca="1" si="0"/>
        <v>#N/A</v>
      </c>
      <c r="I46" s="437"/>
    </row>
    <row r="47" spans="1:10">
      <c r="A47" s="1153" t="str">
        <f>TRIM(NAV!AD49)</f>
        <v>KR7096771001</v>
      </c>
      <c r="B47" s="1153">
        <f>NAV!AE49</f>
        <v>9200</v>
      </c>
      <c r="C47" s="1153">
        <f>NAV!AF49</f>
        <v>128000</v>
      </c>
      <c r="D47" s="438" t="e">
        <f ca="1">VLOOKUP(A47,POSIMS!A:C,1,FALSE)</f>
        <v>#N/A</v>
      </c>
      <c r="E47" s="439" t="e">
        <f ca="1">VLOOKUP(A47,POSIMS!A:C,2,FALSE)</f>
        <v>#N/A</v>
      </c>
      <c r="F47" s="439" t="e">
        <f ca="1">VLOOKUP(A47,POSIMS!A:C,3,FALSE)</f>
        <v>#N/A</v>
      </c>
      <c r="G47" s="439" t="e">
        <f t="shared" ca="1" si="1"/>
        <v>#N/A</v>
      </c>
      <c r="H47" s="439" t="e">
        <f t="shared" ca="1" si="0"/>
        <v>#N/A</v>
      </c>
    </row>
    <row r="48" spans="1:10">
      <c r="A48" s="1153" t="str">
        <f>TRIM(NAV!AD50)</f>
        <v>SE0008348072</v>
      </c>
      <c r="B48" s="1153">
        <f>NAV!AE50</f>
        <v>341291</v>
      </c>
      <c r="C48" s="1153">
        <f>NAV!AF50</f>
        <v>0.80800000000000005</v>
      </c>
      <c r="D48" s="438" t="e">
        <f ca="1">VLOOKUP(A48,POSIMS!A:C,1,FALSE)</f>
        <v>#N/A</v>
      </c>
      <c r="E48" s="439" t="e">
        <f ca="1">VLOOKUP(A48,POSIMS!A:C,2,FALSE)</f>
        <v>#N/A</v>
      </c>
      <c r="F48" s="439" t="e">
        <f ca="1">VLOOKUP(A48,POSIMS!A:C,3,FALSE)</f>
        <v>#N/A</v>
      </c>
      <c r="G48" s="439" t="e">
        <f t="shared" ca="1" si="1"/>
        <v>#N/A</v>
      </c>
      <c r="H48" s="439" t="e">
        <f t="shared" ca="1" si="0"/>
        <v>#N/A</v>
      </c>
    </row>
    <row r="49" spans="1:9">
      <c r="A49" s="1153" t="str">
        <f>TRIM(NAV!AD51)</f>
        <v>US3843135084</v>
      </c>
      <c r="B49" s="1153">
        <f>NAV!AE51</f>
        <v>14000</v>
      </c>
      <c r="C49" s="1153">
        <f>NAV!AF51</f>
        <v>7.42</v>
      </c>
      <c r="D49" s="438" t="e">
        <f ca="1">VLOOKUP(A49,POSIMS!A:C,1,FALSE)</f>
        <v>#N/A</v>
      </c>
      <c r="E49" s="439" t="e">
        <f ca="1">VLOOKUP(A49,POSIMS!A:C,2,FALSE)</f>
        <v>#N/A</v>
      </c>
      <c r="F49" s="439" t="e">
        <f ca="1">VLOOKUP(A49,POSIMS!A:C,3,FALSE)</f>
        <v>#N/A</v>
      </c>
      <c r="G49" s="439" t="e">
        <f t="shared" ca="1" si="1"/>
        <v>#N/A</v>
      </c>
      <c r="H49" s="439" t="e">
        <f t="shared" ca="1" si="0"/>
        <v>#N/A</v>
      </c>
    </row>
    <row r="50" spans="1:9">
      <c r="A50" s="1153" t="str">
        <f>TRIM(NAV!AD52)</f>
        <v>US55315J1025</v>
      </c>
      <c r="B50" s="1153">
        <f>NAV!AE52</f>
        <v>17000</v>
      </c>
      <c r="C50" s="1153">
        <f>NAV!AF52</f>
        <v>0</v>
      </c>
      <c r="D50" s="438" t="e">
        <f ca="1">VLOOKUP(A50,POSIMS!A:C,1,FALSE)</f>
        <v>#N/A</v>
      </c>
      <c r="E50" s="439" t="e">
        <f ca="1">VLOOKUP(A50,POSIMS!A:C,2,FALSE)</f>
        <v>#N/A</v>
      </c>
      <c r="F50" s="439" t="e">
        <f ca="1">VLOOKUP(A50,POSIMS!A:C,3,FALSE)</f>
        <v>#N/A</v>
      </c>
      <c r="G50" s="439" t="e">
        <f t="shared" ca="1" si="1"/>
        <v>#N/A</v>
      </c>
      <c r="H50" s="439" t="e">
        <f t="shared" ca="1" si="0"/>
        <v>#N/A</v>
      </c>
      <c r="I50" s="437" t="s">
        <v>13026</v>
      </c>
    </row>
    <row r="51" spans="1:9">
      <c r="A51" s="1153" t="str">
        <f>TRIM(NAV!AD53)</f>
        <v>JP3827200001</v>
      </c>
      <c r="B51" s="1153">
        <f>NAV!AE53</f>
        <v>6900</v>
      </c>
      <c r="C51" s="1153">
        <f>NAV!AF53</f>
        <v>2191</v>
      </c>
      <c r="D51" s="438" t="e">
        <f ca="1">VLOOKUP(A51,POSIMS!A:C,1,FALSE)</f>
        <v>#N/A</v>
      </c>
      <c r="E51" s="439" t="e">
        <f ca="1">VLOOKUP(A51,POSIMS!A:C,2,FALSE)</f>
        <v>#N/A</v>
      </c>
      <c r="F51" s="439" t="e">
        <f ca="1">VLOOKUP(A51,POSIMS!A:C,3,FALSE)</f>
        <v>#N/A</v>
      </c>
      <c r="G51" s="439" t="e">
        <f t="shared" ref="G51" ca="1" si="2">B51-E51</f>
        <v>#N/A</v>
      </c>
      <c r="H51" s="439" t="e">
        <f t="shared" ref="H51" ca="1" si="3">C51-F51</f>
        <v>#N/A</v>
      </c>
    </row>
    <row r="52" spans="1:9">
      <c r="A52" s="1153" t="str">
        <f>TRIM(NAV!AD54)</f>
        <v>Grand Total</v>
      </c>
      <c r="B52" s="465"/>
    </row>
    <row r="53" spans="1:9">
      <c r="A53" s="464"/>
      <c r="B53" s="465"/>
    </row>
    <row r="54" spans="1:9">
      <c r="A54" s="464"/>
      <c r="B54" s="465"/>
    </row>
    <row r="55" spans="1:9">
      <c r="A55" s="464"/>
      <c r="B55" s="465"/>
    </row>
    <row r="56" spans="1:9">
      <c r="A56" s="464"/>
      <c r="B56" s="465"/>
    </row>
    <row r="57" spans="1:9">
      <c r="A57" s="464"/>
      <c r="B57" s="465"/>
    </row>
    <row r="58" spans="1:9">
      <c r="A58" s="464"/>
      <c r="B58" s="465"/>
    </row>
    <row r="59" spans="1:9">
      <c r="A59" s="464"/>
      <c r="B59" s="465"/>
    </row>
    <row r="60" spans="1:9">
      <c r="A60" s="464"/>
      <c r="B60" s="465"/>
    </row>
    <row r="61" spans="1:9">
      <c r="A61" s="464"/>
      <c r="B61" s="465"/>
    </row>
    <row r="62" spans="1:9">
      <c r="A62" s="464"/>
      <c r="B62" s="465"/>
    </row>
    <row r="63" spans="1:9">
      <c r="A63" s="464"/>
      <c r="B63" s="465"/>
    </row>
    <row r="64" spans="1:9">
      <c r="A64" s="464"/>
      <c r="B64" s="465"/>
    </row>
    <row r="65" spans="1:2">
      <c r="A65" s="464"/>
      <c r="B65" s="465"/>
    </row>
    <row r="66" spans="1:2">
      <c r="A66" s="464"/>
      <c r="B66" s="465"/>
    </row>
    <row r="67" spans="1:2">
      <c r="A67" s="464"/>
      <c r="B67" s="465"/>
    </row>
    <row r="68" spans="1:2">
      <c r="A68" s="464"/>
      <c r="B68" s="465"/>
    </row>
    <row r="69" spans="1:2">
      <c r="A69" s="464"/>
      <c r="B69" s="465"/>
    </row>
    <row r="70" spans="1:2">
      <c r="A70" s="464"/>
      <c r="B70" s="465"/>
    </row>
    <row r="71" spans="1:2">
      <c r="A71" s="464"/>
    </row>
  </sheetData>
  <phoneticPr fontId="77" type="noConversion"/>
  <conditionalFormatting sqref="J2:J3">
    <cfRule type="duplicateValues" dxfId="20" priority="6"/>
  </conditionalFormatting>
  <conditionalFormatting sqref="J2:J3">
    <cfRule type="duplicateValues" dxfId="19" priority="5"/>
  </conditionalFormatting>
  <conditionalFormatting sqref="A1:A1048576">
    <cfRule type="containsText" dxfId="18" priority="1" operator="containsText" text="Grand Total">
      <formula>NOT(ISERROR(SEARCH("Grand Total",A1)))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B862F-3452-48C6-BDA8-56410F5035B6}">
  <sheetPr codeName="Foglio14">
    <tabColor rgb="FFFFC000"/>
  </sheetPr>
  <dimension ref="B9:Q32"/>
  <sheetViews>
    <sheetView topLeftCell="F9" workbookViewId="0">
      <selection activeCell="P24" sqref="P24"/>
    </sheetView>
  </sheetViews>
  <sheetFormatPr defaultColWidth="9" defaultRowHeight="14.5"/>
  <cols>
    <col min="1" max="1" width="9" style="22"/>
    <col min="2" max="2" width="20" style="22" bestFit="1" customWidth="1"/>
    <col min="3" max="3" width="9" style="22"/>
    <col min="4" max="4" width="12.54296875" style="22" bestFit="1" customWidth="1"/>
    <col min="5" max="10" width="9" style="22"/>
    <col min="11" max="11" width="12.7265625" style="22" bestFit="1" customWidth="1"/>
    <col min="12" max="12" width="14.453125" style="1164" bestFit="1" customWidth="1"/>
    <col min="13" max="13" width="9.54296875" style="1165" bestFit="1" customWidth="1"/>
    <col min="14" max="14" width="9" style="1165"/>
    <col min="15" max="15" width="14.81640625" style="1165" bestFit="1" customWidth="1"/>
    <col min="16" max="16" width="15.1796875" style="1165" customWidth="1"/>
    <col min="17" max="16384" width="9" style="22"/>
  </cols>
  <sheetData>
    <row r="9" spans="2:16">
      <c r="B9" s="22">
        <f ca="1">TODAY()</f>
        <v>44894</v>
      </c>
    </row>
    <row r="10" spans="2:16">
      <c r="B10" s="22">
        <f ca="1">B9-1</f>
        <v>44893</v>
      </c>
    </row>
    <row r="11" spans="2:16" ht="15" thickBot="1"/>
    <row r="12" spans="2:16" ht="15" thickBot="1">
      <c r="K12" s="1122" t="s">
        <v>12943</v>
      </c>
      <c r="L12" s="1120" t="s">
        <v>12940</v>
      </c>
      <c r="M12" s="1121" t="s">
        <v>12941</v>
      </c>
      <c r="N12" s="1166" t="s">
        <v>12942</v>
      </c>
      <c r="O12" s="1166" t="s">
        <v>12945</v>
      </c>
      <c r="P12" s="1166" t="s">
        <v>12946</v>
      </c>
    </row>
    <row r="13" spans="2:16">
      <c r="K13" s="1123" t="e" cm="1">
        <f t="array" aca="1" ref="K13:K14" ca="1">_xlfn.UNIQUE(PosAggregate!N13:N72)</f>
        <v>#NAME?</v>
      </c>
      <c r="L13" s="1167" t="e">
        <f ca="1">IF(K13="EUR",1,_xll.BDH("EUR"&amp;K13&amp; " CuRNCY","last_price",B$10,B$10,"days=a","fill=p"))</f>
        <v>#NAME?</v>
      </c>
      <c r="M13" s="1168" t="e">
        <f ca="1">VLOOKUP(K13,NAV!AJ:AK,2,FALSE)</f>
        <v>#NAME?</v>
      </c>
      <c r="N13" s="1169" t="e">
        <f ca="1">M13/L13-1</f>
        <v>#NAME?</v>
      </c>
      <c r="O13" s="1170">
        <f ca="1">SUMIF(NAV!S:S,Curr!K13,NAV!N:N)</f>
        <v>0</v>
      </c>
      <c r="P13" s="1170" t="e">
        <f ca="1">-N13*O13</f>
        <v>#NAME?</v>
      </c>
    </row>
    <row r="14" spans="2:16">
      <c r="K14" s="1123">
        <f ca="1"/>
        <v>0</v>
      </c>
      <c r="L14" s="1167" t="e">
        <f ca="1">IF(K14="EUR",1,_xll.BDH("EUR"&amp;K14&amp; " CuRNCY","last_price",B$10,B$10,"days=a","fill=p"))</f>
        <v>#NAME?</v>
      </c>
      <c r="M14" s="1168" t="e">
        <f ca="1">VLOOKUP(K14,NAV!AJ:AK,2,FALSE)</f>
        <v>#N/A</v>
      </c>
      <c r="N14" s="1169" t="e">
        <f t="shared" ref="N14:N21" ca="1" si="0">M14/L14-1</f>
        <v>#N/A</v>
      </c>
      <c r="O14" s="1170">
        <f ca="1">SUMIF(NAV!S:S,Curr!K14,NAV!N:N)</f>
        <v>0</v>
      </c>
      <c r="P14" s="1170" t="e">
        <f t="shared" ref="P14:P21" ca="1" si="1">-N14*O14</f>
        <v>#N/A</v>
      </c>
    </row>
    <row r="15" spans="2:16">
      <c r="K15" s="1123"/>
      <c r="L15" s="1167" t="e">
        <f ca="1">IF(K15="EUR",1,_xll.BDH("EUR"&amp;K15&amp; " CuRNCY","last_price",B$10,B$10,"days=a","fill=p"))</f>
        <v>#NAME?</v>
      </c>
      <c r="M15" s="1168" t="e">
        <f>VLOOKUP(K15,NAV!AJ:AK,2,FALSE)</f>
        <v>#N/A</v>
      </c>
      <c r="N15" s="1169" t="e">
        <f t="shared" ca="1" si="0"/>
        <v>#N/A</v>
      </c>
      <c r="O15" s="1170">
        <f>SUMIF(NAV!S:S,Curr!K15,NAV!N:N)</f>
        <v>0</v>
      </c>
      <c r="P15" s="1170" t="e">
        <f t="shared" ca="1" si="1"/>
        <v>#N/A</v>
      </c>
    </row>
    <row r="16" spans="2:16">
      <c r="K16" s="1123"/>
      <c r="L16" s="1167" t="e">
        <f ca="1">IF(K16="EUR",1,_xll.BDH("EUR"&amp;K16&amp; " CuRNCY","last_price",B$10,B$10,"days=a","fill=p"))</f>
        <v>#NAME?</v>
      </c>
      <c r="M16" s="1168" t="e">
        <f>VLOOKUP(K16,NAV!AJ:AK,2,FALSE)</f>
        <v>#N/A</v>
      </c>
      <c r="N16" s="1169" t="e">
        <f t="shared" ca="1" si="0"/>
        <v>#N/A</v>
      </c>
      <c r="O16" s="1170">
        <f>SUMIF(NAV!S:S,Curr!K16,NAV!N:N)</f>
        <v>0</v>
      </c>
      <c r="P16" s="1170" t="e">
        <f t="shared" ca="1" si="1"/>
        <v>#N/A</v>
      </c>
    </row>
    <row r="17" spans="2:17">
      <c r="K17" s="1123"/>
      <c r="L17" s="1167" t="e">
        <f ca="1">IF(K17="EUR",1,_xll.BDH("EUR"&amp;K17&amp; " CuRNCY","last_price",B$10,B$10,"days=a","fill=p"))</f>
        <v>#NAME?</v>
      </c>
      <c r="M17" s="1168" t="e">
        <f>VLOOKUP(K17,NAV!AJ:AK,2,FALSE)</f>
        <v>#N/A</v>
      </c>
      <c r="N17" s="1169" t="e">
        <f t="shared" ca="1" si="0"/>
        <v>#N/A</v>
      </c>
      <c r="O17" s="1170">
        <f>SUMIF(NAV!S:S,Curr!K17,NAV!N:N)</f>
        <v>0</v>
      </c>
      <c r="P17" s="1170" t="e">
        <f t="shared" ca="1" si="1"/>
        <v>#N/A</v>
      </c>
    </row>
    <row r="18" spans="2:17">
      <c r="K18" s="1123"/>
      <c r="L18" s="1167" t="e">
        <f ca="1">IF(K18="EUR",1,_xll.BDH("EUR"&amp;K18&amp; " CuRNCY","last_price",B$10,B$10,"days=a","fill=p"))</f>
        <v>#NAME?</v>
      </c>
      <c r="M18" s="1168" t="e">
        <f>VLOOKUP(K18,NAV!AJ:AK,2,FALSE)</f>
        <v>#N/A</v>
      </c>
      <c r="N18" s="1169" t="e">
        <f ca="1">M18/L18-1</f>
        <v>#N/A</v>
      </c>
      <c r="O18" s="1170">
        <f>SUMIF(NAV!S:S,Curr!K18,NAV!N:N)</f>
        <v>0</v>
      </c>
      <c r="P18" s="1170" t="e">
        <f t="shared" ca="1" si="1"/>
        <v>#N/A</v>
      </c>
    </row>
    <row r="19" spans="2:17">
      <c r="K19" s="1123"/>
      <c r="L19" s="1167" t="e">
        <f ca="1">IF(K19="EUR",1,_xll.BDH("EUR"&amp;K19&amp; " CuRNCY","last_price",B$10,B$10,"days=a","fill=p"))</f>
        <v>#NAME?</v>
      </c>
      <c r="M19" s="1168" t="e">
        <f>VLOOKUP(K19,NAV!AJ:AK,2,FALSE)</f>
        <v>#N/A</v>
      </c>
      <c r="N19" s="1169" t="e">
        <f t="shared" ca="1" si="0"/>
        <v>#N/A</v>
      </c>
      <c r="O19" s="1170">
        <f>SUMIF(NAV!S:S,Curr!K19,NAV!N:N)</f>
        <v>0</v>
      </c>
      <c r="P19" s="1170" t="e">
        <f t="shared" ca="1" si="1"/>
        <v>#N/A</v>
      </c>
    </row>
    <row r="20" spans="2:17" ht="15" thickBot="1">
      <c r="K20" s="1123"/>
      <c r="L20" s="1167" t="e">
        <f ca="1">IF(K20="EUR",1,_xll.BDH("EUR"&amp;K20&amp; " CuRNCY","last_price",B$10,B$10,"days=a","fill=p"))</f>
        <v>#NAME?</v>
      </c>
      <c r="M20" s="1168" t="e">
        <f>VLOOKUP(K20,NAV!AJ:AK,2,FALSE)</f>
        <v>#N/A</v>
      </c>
      <c r="N20" s="1169" t="e">
        <f t="shared" ca="1" si="0"/>
        <v>#N/A</v>
      </c>
      <c r="O20" s="1170">
        <f>SUMIF(NAV!S:S,Curr!K20,NAV!N:N)</f>
        <v>0</v>
      </c>
      <c r="P20" s="1170" t="e">
        <f t="shared" ca="1" si="1"/>
        <v>#N/A</v>
      </c>
    </row>
    <row r="21" spans="2:17" ht="15" thickBot="1">
      <c r="B21" s="181" t="s">
        <v>125</v>
      </c>
      <c r="K21" s="1124"/>
      <c r="L21" s="1171" t="e">
        <f ca="1">IF(K21="EUR",1,_xll.BDH("EUR"&amp;K21&amp; " CuRNCY","last_price",B$10,B$10,"days=a","fill=p"))</f>
        <v>#NAME?</v>
      </c>
      <c r="M21" s="1172" t="e">
        <f>VLOOKUP(K21,NAV!AJ:AK,2,FALSE)</f>
        <v>#N/A</v>
      </c>
      <c r="N21" s="1172" t="e">
        <f t="shared" ca="1" si="0"/>
        <v>#N/A</v>
      </c>
      <c r="O21" s="1172">
        <f>SUMIF(NAV!S:S,Curr!K21,NAV!N:N)</f>
        <v>0</v>
      </c>
      <c r="P21" s="1170" t="e">
        <f t="shared" ca="1" si="1"/>
        <v>#N/A</v>
      </c>
    </row>
    <row r="22" spans="2:17" ht="15" thickBot="1">
      <c r="B22" s="205"/>
      <c r="K22" s="1125"/>
      <c r="O22" s="1170">
        <f ca="1">SUM(O13:O21)</f>
        <v>0</v>
      </c>
      <c r="P22" s="1170" t="e">
        <f ca="1">SUM(P13:P21)</f>
        <v>#NAME?</v>
      </c>
      <c r="Q22"/>
    </row>
    <row r="23" spans="2:17" ht="15" thickBot="1">
      <c r="B23" s="51" t="s">
        <v>12944</v>
      </c>
      <c r="C23" s="51"/>
      <c r="D23" s="171">
        <v>1000000</v>
      </c>
      <c r="N23" s="1173" t="s">
        <v>2039</v>
      </c>
      <c r="O23" s="1174">
        <f ca="1">O22</f>
        <v>0</v>
      </c>
      <c r="P23" s="1175" t="e">
        <f ca="1">P22/$O$23</f>
        <v>#NAME?</v>
      </c>
    </row>
    <row r="24" spans="2:17">
      <c r="B24" s="30" t="s">
        <v>89</v>
      </c>
      <c r="C24" s="30"/>
      <c r="D24" s="188" t="e">
        <f ca="1">+_xll.BDP("EUR"&amp;B21&amp; " CuRNCY","px_last")</f>
        <v>#NAME?</v>
      </c>
    </row>
    <row r="25" spans="2:17">
      <c r="B25" s="189" t="s">
        <v>203</v>
      </c>
      <c r="C25" s="189"/>
      <c r="D25" s="190" t="e">
        <f ca="1">D23/D24</f>
        <v>#NAME?</v>
      </c>
    </row>
    <row r="26" spans="2:17">
      <c r="B26" s="30"/>
      <c r="C26" s="30"/>
      <c r="D26" s="30"/>
    </row>
    <row r="27" spans="2:17">
      <c r="B27" s="30" t="s">
        <v>201</v>
      </c>
      <c r="C27" s="30"/>
      <c r="D27" s="38">
        <f ca="1">+B9+2</f>
        <v>44896</v>
      </c>
    </row>
    <row r="28" spans="2:17">
      <c r="B28" s="30" t="s">
        <v>204</v>
      </c>
      <c r="C28" s="30"/>
      <c r="D28" s="38"/>
    </row>
    <row r="29" spans="2:17">
      <c r="B29" s="30"/>
      <c r="C29" s="30"/>
      <c r="D29" s="38"/>
    </row>
    <row r="30" spans="2:17">
      <c r="B30" s="30"/>
      <c r="C30" s="30"/>
      <c r="D30" s="38"/>
    </row>
    <row r="31" spans="2:17">
      <c r="B31" s="22" t="s">
        <v>202</v>
      </c>
      <c r="D31" s="54" t="e">
        <f ca="1">+'Cash Mgmt'!F64</f>
        <v>#NAME?</v>
      </c>
    </row>
    <row r="32" spans="2:17">
      <c r="D32" s="1117" t="e">
        <f ca="1">IF((D31-D25)&gt;0,"OK","stop")</f>
        <v>#NAME?</v>
      </c>
    </row>
  </sheetData>
  <dataValidations count="2">
    <dataValidation allowBlank="1" showErrorMessage="1" prompt="input the local currency to be sold" sqref="B21" xr:uid="{9EBD544D-94A0-4A43-909C-171F534D43F2}"/>
    <dataValidation allowBlank="1" showInputMessage="1" showErrorMessage="1" prompt="input the amount in local currency to be sold" sqref="D27:D30 D23:D25" xr:uid="{0FE109C5-FD34-4B85-AEAB-FD99DBB8EF0D}"/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29F-166D-4BD9-8D34-054AEFF257F6}">
  <sheetPr codeName="Foglio5">
    <tabColor theme="8" tint="-0.249977111117893"/>
  </sheetPr>
  <dimension ref="A1:AK477"/>
  <sheetViews>
    <sheetView zoomScale="70" zoomScaleNormal="70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A22" sqref="A22"/>
    </sheetView>
  </sheetViews>
  <sheetFormatPr defaultColWidth="9" defaultRowHeight="13" outlineLevelCol="1"/>
  <cols>
    <col min="1" max="1" width="9" style="2"/>
    <col min="2" max="2" width="14" style="1" bestFit="1" customWidth="1"/>
    <col min="3" max="4" width="14" style="2" customWidth="1" outlineLevel="1"/>
    <col min="5" max="5" width="28.26953125" style="2" customWidth="1"/>
    <col min="6" max="6" width="11.26953125" style="60" bestFit="1" customWidth="1"/>
    <col min="7" max="8" width="11.26953125" style="60" customWidth="1"/>
    <col min="9" max="9" width="11.26953125" style="2" hidden="1" customWidth="1"/>
    <col min="10" max="11" width="11.26953125" style="2" customWidth="1"/>
    <col min="12" max="12" width="13.26953125" style="2" hidden="1" customWidth="1"/>
    <col min="13" max="13" width="14.7265625" style="2" customWidth="1"/>
    <col min="14" max="14" width="20" style="2" customWidth="1"/>
    <col min="15" max="16" width="14.54296875" style="2" customWidth="1" outlineLevel="1"/>
    <col min="17" max="17" width="8.7265625" style="60" customWidth="1" outlineLevel="1"/>
    <col min="18" max="18" width="11.26953125" style="2" customWidth="1" outlineLevel="1"/>
    <col min="19" max="20" width="11" style="2" customWidth="1"/>
    <col min="21" max="21" width="13.81640625" style="2" customWidth="1"/>
    <col min="22" max="22" width="11" style="2" customWidth="1"/>
    <col min="23" max="23" width="14.26953125" style="2" bestFit="1" customWidth="1"/>
    <col min="24" max="24" width="8.7265625" style="2" customWidth="1"/>
    <col min="25" max="25" width="9.54296875" style="2" bestFit="1" customWidth="1"/>
    <col min="26" max="26" width="17.7265625" style="2" customWidth="1" outlineLevel="1"/>
    <col min="27" max="27" width="19.1796875" style="60" bestFit="1" customWidth="1" outlineLevel="1"/>
    <col min="28" max="28" width="15.7265625" style="2" bestFit="1" customWidth="1" outlineLevel="1"/>
    <col min="29" max="30" width="9" style="2"/>
    <col min="31" max="31" width="9" style="6"/>
    <col min="32" max="33" width="0" style="2" hidden="1" customWidth="1"/>
    <col min="34" max="34" width="9.453125" style="2" hidden="1" customWidth="1"/>
    <col min="35" max="35" width="13.453125" style="2" hidden="1" customWidth="1"/>
    <col min="36" max="36" width="28.26953125" style="2" customWidth="1"/>
    <col min="37" max="37" width="28.26953125" style="2" bestFit="1" customWidth="1"/>
    <col min="38" max="16384" width="9" style="2"/>
  </cols>
  <sheetData>
    <row r="1" spans="1:37" s="6" customFormat="1">
      <c r="B1" s="8"/>
      <c r="F1" s="56"/>
      <c r="G1" s="56"/>
      <c r="H1" s="56"/>
      <c r="N1" s="8"/>
      <c r="O1" s="8"/>
      <c r="P1" s="8"/>
      <c r="Q1" s="52"/>
      <c r="R1" s="8"/>
      <c r="S1" s="8"/>
      <c r="T1" s="8"/>
      <c r="U1" s="8"/>
      <c r="V1" s="8"/>
      <c r="W1" s="8"/>
      <c r="X1" s="8"/>
      <c r="Y1" s="8"/>
      <c r="Z1" s="8"/>
      <c r="AA1" s="52"/>
      <c r="AB1" s="8"/>
      <c r="AE1" s="7"/>
    </row>
    <row r="2" spans="1:37" s="6" customFormat="1">
      <c r="B2" s="8"/>
      <c r="C2" s="8"/>
      <c r="D2" s="8"/>
      <c r="E2" s="8"/>
      <c r="F2" s="56"/>
      <c r="G2" s="56"/>
      <c r="H2" s="56"/>
      <c r="N2" s="8"/>
      <c r="O2" s="8"/>
      <c r="P2" s="8"/>
      <c r="Q2" s="52"/>
      <c r="R2" s="8"/>
      <c r="S2" s="8"/>
      <c r="T2" s="8"/>
      <c r="U2" s="8"/>
      <c r="V2" s="8"/>
      <c r="W2" s="8"/>
      <c r="X2" s="8"/>
      <c r="Y2" s="8"/>
      <c r="Z2" s="8"/>
      <c r="AA2" s="52"/>
      <c r="AB2" s="8"/>
      <c r="AE2" s="7"/>
    </row>
    <row r="3" spans="1:37" s="6" customFormat="1">
      <c r="B3" s="8"/>
      <c r="C3" s="8"/>
      <c r="D3" s="8"/>
      <c r="E3" s="8"/>
      <c r="F3" s="56"/>
      <c r="G3" s="56"/>
      <c r="H3" s="56"/>
      <c r="N3" s="8"/>
      <c r="O3" s="8"/>
      <c r="P3" s="8"/>
      <c r="Q3" s="52"/>
      <c r="R3" s="8"/>
      <c r="S3" s="8"/>
      <c r="T3" s="8"/>
      <c r="U3" s="8"/>
      <c r="V3" s="8"/>
      <c r="W3" s="8"/>
      <c r="X3" s="8"/>
      <c r="Y3" s="8"/>
      <c r="Z3" s="8"/>
      <c r="AA3" s="52"/>
      <c r="AB3" s="8"/>
      <c r="AE3" s="7"/>
    </row>
    <row r="4" spans="1:37" s="6" customFormat="1">
      <c r="B4" s="8"/>
      <c r="C4" s="8"/>
      <c r="D4" s="8"/>
      <c r="E4" s="8"/>
      <c r="F4" s="56"/>
      <c r="G4" s="56"/>
      <c r="H4" s="56"/>
      <c r="N4" s="8"/>
      <c r="O4" s="8"/>
      <c r="P4" s="8"/>
      <c r="Q4" s="52"/>
      <c r="R4" s="8"/>
      <c r="S4" s="8"/>
      <c r="T4" s="8"/>
      <c r="U4" s="8"/>
      <c r="V4" s="8"/>
      <c r="W4" s="8"/>
      <c r="X4" s="8"/>
      <c r="Y4" s="8"/>
      <c r="Z4" s="8"/>
      <c r="AA4" s="52"/>
      <c r="AB4" s="8"/>
      <c r="AE4" s="7"/>
    </row>
    <row r="5" spans="1:37" s="6" customFormat="1">
      <c r="B5" s="8"/>
      <c r="C5" s="8"/>
      <c r="D5" s="8"/>
      <c r="E5" s="8"/>
      <c r="F5" s="56"/>
      <c r="G5" s="56"/>
      <c r="H5" s="56"/>
      <c r="N5" s="8"/>
      <c r="O5" s="8"/>
      <c r="P5" s="8"/>
      <c r="Q5" s="52"/>
      <c r="R5" s="8"/>
      <c r="S5" s="8"/>
      <c r="T5" s="8"/>
      <c r="U5" s="8"/>
      <c r="V5" s="8"/>
      <c r="W5" s="8"/>
      <c r="X5" s="8"/>
      <c r="Y5" s="8"/>
      <c r="Z5" s="8"/>
      <c r="AA5" s="52"/>
      <c r="AB5" s="8"/>
      <c r="AE5" s="7"/>
    </row>
    <row r="6" spans="1:37">
      <c r="A6" s="6"/>
      <c r="B6" s="8"/>
      <c r="C6" s="6"/>
      <c r="D6" s="6"/>
      <c r="E6" s="6"/>
      <c r="F6" s="56"/>
      <c r="G6" s="56"/>
      <c r="H6" s="56"/>
      <c r="I6" s="6"/>
      <c r="J6" s="6"/>
      <c r="K6" s="6"/>
      <c r="L6" s="6"/>
      <c r="M6" s="6"/>
      <c r="N6" s="6"/>
      <c r="O6" s="6"/>
      <c r="P6" s="6"/>
      <c r="Q6" s="56"/>
      <c r="R6" s="6"/>
      <c r="S6" s="6"/>
      <c r="T6" s="6"/>
      <c r="U6" s="6"/>
      <c r="V6" s="6"/>
      <c r="W6" s="6"/>
      <c r="X6" s="6"/>
      <c r="Y6" s="6"/>
      <c r="Z6" s="6"/>
      <c r="AA6" s="56"/>
      <c r="AB6" s="6"/>
      <c r="AC6" s="6"/>
      <c r="AD6" s="6"/>
    </row>
    <row r="7" spans="1:37">
      <c r="A7" s="6"/>
      <c r="B7" s="8"/>
      <c r="C7" s="6"/>
      <c r="D7" s="6"/>
      <c r="E7" s="6"/>
      <c r="F7" s="56"/>
      <c r="G7" s="56"/>
      <c r="H7" s="56"/>
      <c r="I7" s="6"/>
      <c r="J7" s="6"/>
      <c r="K7" s="6"/>
      <c r="L7" s="6"/>
      <c r="M7" s="6"/>
      <c r="N7" s="6"/>
      <c r="O7" s="6"/>
      <c r="P7" s="6"/>
      <c r="Q7" s="56"/>
      <c r="R7" s="6"/>
      <c r="S7" s="6"/>
      <c r="T7" s="6"/>
      <c r="U7" s="6"/>
      <c r="V7" s="6"/>
      <c r="W7" s="6"/>
      <c r="X7" s="6"/>
      <c r="Y7" s="6"/>
      <c r="Z7" s="6"/>
      <c r="AA7" s="56"/>
      <c r="AB7" s="6"/>
      <c r="AC7" s="6"/>
      <c r="AD7" s="6"/>
    </row>
    <row r="8" spans="1:37">
      <c r="A8" s="6"/>
      <c r="B8" s="8"/>
      <c r="C8" s="6"/>
      <c r="D8" s="6"/>
      <c r="E8" s="6"/>
      <c r="F8" s="56"/>
      <c r="G8" s="56"/>
      <c r="H8" s="56"/>
      <c r="I8" s="6"/>
      <c r="J8" s="6"/>
      <c r="K8" s="6"/>
      <c r="L8" s="6"/>
      <c r="M8" s="6"/>
      <c r="N8" s="6"/>
      <c r="O8" s="6"/>
      <c r="P8" s="6"/>
      <c r="Q8" s="56"/>
      <c r="R8" s="6"/>
      <c r="S8" s="6"/>
      <c r="T8" s="6"/>
      <c r="U8" s="6"/>
      <c r="V8" s="6"/>
      <c r="W8" s="6"/>
      <c r="X8" s="6"/>
      <c r="Y8" s="6"/>
      <c r="Z8" s="6"/>
      <c r="AA8" s="56"/>
      <c r="AB8" s="6"/>
      <c r="AC8" s="6"/>
      <c r="AD8" s="6"/>
    </row>
    <row r="9" spans="1:37">
      <c r="A9" s="6"/>
      <c r="B9" s="12">
        <f ca="1">TODAY()</f>
        <v>44894</v>
      </c>
      <c r="C9" s="6"/>
      <c r="D9" s="6"/>
      <c r="E9" s="9"/>
      <c r="F9" s="56"/>
      <c r="G9" s="56"/>
      <c r="H9" s="56"/>
      <c r="I9" s="6"/>
      <c r="J9" s="6"/>
      <c r="K9" s="6"/>
      <c r="L9" s="6"/>
      <c r="M9" s="6"/>
      <c r="N9" s="6"/>
      <c r="O9" s="6"/>
      <c r="P9" s="6"/>
      <c r="Q9" s="56"/>
      <c r="R9" s="6"/>
      <c r="S9" s="6"/>
      <c r="T9" s="6"/>
      <c r="U9" s="6"/>
      <c r="V9" s="6"/>
      <c r="W9" s="6"/>
      <c r="X9" s="6"/>
      <c r="Y9" s="6"/>
      <c r="Z9" s="6"/>
      <c r="AA9" s="56"/>
      <c r="AB9" s="6"/>
      <c r="AC9" s="6"/>
      <c r="AD9" s="6"/>
    </row>
    <row r="10" spans="1:37">
      <c r="A10" s="6"/>
      <c r="B10" s="1148" t="s">
        <v>121</v>
      </c>
      <c r="C10" s="1148"/>
      <c r="D10" s="1148"/>
      <c r="E10" s="1148"/>
      <c r="F10" s="1148"/>
      <c r="G10" s="1148"/>
      <c r="H10" s="1148"/>
      <c r="I10" s="1148"/>
      <c r="J10" s="1148"/>
      <c r="K10" s="1148"/>
      <c r="L10" s="1148"/>
      <c r="M10" s="1148"/>
      <c r="N10" s="1148"/>
      <c r="O10" s="1148"/>
      <c r="P10" s="1148"/>
      <c r="Q10" s="1148"/>
      <c r="R10" s="1148"/>
      <c r="S10" s="1148"/>
      <c r="T10" s="1148"/>
      <c r="U10" s="1148"/>
      <c r="V10" s="1148"/>
      <c r="W10" s="1148"/>
      <c r="X10" s="1148"/>
      <c r="Y10" s="1148"/>
      <c r="AA10" s="2"/>
      <c r="AC10" s="6"/>
      <c r="AD10" s="6"/>
    </row>
    <row r="11" spans="1:37" ht="39">
      <c r="A11" s="6"/>
      <c r="B11" s="4" t="s">
        <v>14</v>
      </c>
      <c r="C11" s="4"/>
      <c r="D11" s="4"/>
      <c r="E11" s="4" t="s">
        <v>0</v>
      </c>
      <c r="F11" s="76" t="s">
        <v>13</v>
      </c>
      <c r="G11" s="76" t="s">
        <v>13001</v>
      </c>
      <c r="H11" s="4" t="s">
        <v>15</v>
      </c>
      <c r="I11" s="4" t="s">
        <v>15</v>
      </c>
      <c r="J11" s="4" t="s">
        <v>12859</v>
      </c>
      <c r="K11" s="4" t="s">
        <v>16</v>
      </c>
      <c r="L11" s="4" t="s">
        <v>16</v>
      </c>
      <c r="M11" s="4" t="s">
        <v>17</v>
      </c>
      <c r="N11" s="4" t="s">
        <v>12</v>
      </c>
      <c r="O11" s="4"/>
      <c r="P11" s="4"/>
      <c r="Q11" s="76"/>
      <c r="R11" s="4"/>
      <c r="S11" s="4" t="s">
        <v>18</v>
      </c>
      <c r="T11" s="4" t="s">
        <v>11</v>
      </c>
      <c r="U11" s="4"/>
      <c r="V11" s="4" t="s">
        <v>1132</v>
      </c>
      <c r="W11" s="4" t="s">
        <v>12858</v>
      </c>
      <c r="X11" s="41" t="s">
        <v>1130</v>
      </c>
      <c r="Y11" s="249" t="s">
        <v>1131</v>
      </c>
      <c r="Z11" s="4" t="s">
        <v>12855</v>
      </c>
      <c r="AA11" s="76" t="s">
        <v>12856</v>
      </c>
      <c r="AB11" s="4" t="s">
        <v>12857</v>
      </c>
      <c r="AC11" s="6"/>
      <c r="AD11" s="6"/>
      <c r="AI11"/>
      <c r="AJ11"/>
    </row>
    <row r="12" spans="1:37" s="60" customFormat="1">
      <c r="A12" s="56"/>
      <c r="B12" s="58"/>
      <c r="C12" s="52"/>
      <c r="D12" s="52"/>
      <c r="E12" s="59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16"/>
      <c r="X12" s="16">
        <f ca="1">SUM(X13:X182)</f>
        <v>0</v>
      </c>
      <c r="Y12" s="16">
        <f ca="1">SUM(Y13:Y182)</f>
        <v>0</v>
      </c>
      <c r="Z12" s="52"/>
      <c r="AA12" s="52"/>
      <c r="AB12" s="52"/>
      <c r="AC12" s="56"/>
      <c r="AD12" s="56"/>
      <c r="AE12" s="56"/>
    </row>
    <row r="13" spans="1:37" ht="14.5">
      <c r="A13" s="6"/>
      <c r="B13" s="52" t="s">
        <v>12704</v>
      </c>
      <c r="C13" s="8" t="str">
        <f>IF(B13="","",B13)</f>
        <v>6752 JP</v>
      </c>
      <c r="D13" s="8" t="e">
        <f ca="1">_xll.BDP(C13 &amp; " Equity","ID_ISIN",)</f>
        <v>#NAME?</v>
      </c>
      <c r="E13" s="14" t="e">
        <f ca="1">_xll.BDP(C13 &amp; " Equity","SECURITY_NAME")</f>
        <v>#NAME?</v>
      </c>
      <c r="F13" s="11" t="e">
        <f ca="1">_xll.BDP($C13 &amp;" Equity","dvd_sh_last")</f>
        <v>#NAME?</v>
      </c>
      <c r="G13" s="11">
        <f t="shared" ref="G13:G76" ca="1" si="0">IFERROR(F13-(VLOOKUP(LEFT(D13,2),AG:AH,2,FALSE)*F13),0)</f>
        <v>0</v>
      </c>
      <c r="H13" s="8" t="str">
        <f ca="1">IFERROR(DATEVALUE(I13),"")</f>
        <v/>
      </c>
      <c r="I13" s="8" t="e">
        <f ca="1">_xll.BDP($C13 &amp; " Equity","dvd_ex_dt")</f>
        <v>#NAME?</v>
      </c>
      <c r="J13" s="8" t="e">
        <f ca="1">_xll.BDP($C13 &amp; " Equity","BDVD_NEXT_EST_DECL_DT")</f>
        <v>#NAME?</v>
      </c>
      <c r="K13" s="8" t="str">
        <f ca="1">IFERROR(DATEVALUE(L13),"")</f>
        <v/>
      </c>
      <c r="L13" s="8" t="e">
        <f ca="1">_xll.BDP($C13&amp; " Equity","dvd_pay_dt")</f>
        <v>#NAME?</v>
      </c>
      <c r="M13" s="8" t="e">
        <f ca="1">_xll.BDP($C13&amp; " Equity","DVD_TYP_LAST")</f>
        <v>#NAME?</v>
      </c>
      <c r="N13" s="8" t="e">
        <f ca="1">_xll.BDP($C13&amp; " Equity","dvd_crncy")</f>
        <v>#NAME?</v>
      </c>
      <c r="O13" s="8" t="str">
        <f>IF(B13="","-","EUR")</f>
        <v>EUR</v>
      </c>
      <c r="P13" s="23" t="e">
        <f ca="1">IF(N13="EUR","EUR",O13&amp;N13&amp;" Curncy")</f>
        <v>#NAME?</v>
      </c>
      <c r="Q13" s="23" t="e">
        <f ca="1">IF(P13="EUR",1,IF(P13="EURGBp Curncy",(_xll.BDP(P13,"PX_LAST")*100),_xll.BDP(P13,"PX_LAST")))</f>
        <v>#NAME?</v>
      </c>
      <c r="R13" s="206" t="str">
        <f ca="1">IFERROR(+G13/Q13,"-")</f>
        <v>-</v>
      </c>
      <c r="S13" s="208" t="str">
        <f ca="1">IFERROR(R13,0)</f>
        <v>-</v>
      </c>
      <c r="T13" s="52">
        <v>180000</v>
      </c>
      <c r="U13" s="52" t="e">
        <f ca="1">IF(F13="#N/A Field Not Applicable",0,F13*T13)</f>
        <v>#NAME?</v>
      </c>
      <c r="V13" s="52" t="e">
        <f ca="1">+U13</f>
        <v>#NAME?</v>
      </c>
      <c r="W13" s="16" t="str">
        <f ca="1">IFERROR(+S13*T13,"-")</f>
        <v>-</v>
      </c>
      <c r="X13" s="1077">
        <f ca="1">IFERROR(IF($B$9=K13,W13,0),"")</f>
        <v>0</v>
      </c>
      <c r="Y13" s="16" t="str">
        <f ca="1">IFERROR(IF($B$9=K13,V13,"0"),"")</f>
        <v>0</v>
      </c>
      <c r="Z13" s="8" t="e">
        <f ca="1">_xll.BDP(B13 &amp;" Equity", "DVD_FREQ")</f>
        <v>#NAME?</v>
      </c>
      <c r="AA13" s="23" t="e">
        <f ca="1">M13</f>
        <v>#NAME?</v>
      </c>
      <c r="AB13" s="206" t="e">
        <f ca="1">_xll.BDP(B13 &amp;" Equity", "EQY_DVD_YLD_IND_NET")</f>
        <v>#NAME?</v>
      </c>
      <c r="AC13" s="6"/>
      <c r="AD13" s="6"/>
      <c r="AI13"/>
      <c r="AJ13"/>
      <c r="AK13"/>
    </row>
    <row r="14" spans="1:37" ht="14.5">
      <c r="A14" s="6"/>
      <c r="B14" s="52" t="s">
        <v>12705</v>
      </c>
      <c r="C14" s="8" t="str">
        <f>IF(B14="","",B14)</f>
        <v>5713 JP</v>
      </c>
      <c r="D14" s="8" t="e">
        <f ca="1">_xll.BDP(C14 &amp; " Equity","ID_ISIN",)</f>
        <v>#NAME?</v>
      </c>
      <c r="E14" s="14" t="e">
        <f ca="1">_xll.BDP(C14 &amp; " Equity","SECURITY_NAME")</f>
        <v>#NAME?</v>
      </c>
      <c r="F14" s="11" t="e">
        <f ca="1">_xll.BDP($C14 &amp;" Equity","dvd_sh_last")</f>
        <v>#NAME?</v>
      </c>
      <c r="G14" s="11">
        <f t="shared" ca="1" si="0"/>
        <v>0</v>
      </c>
      <c r="H14" s="8" t="str">
        <f t="shared" ref="H14:H77" ca="1" si="1">IFERROR(DATEVALUE(I14),"")</f>
        <v/>
      </c>
      <c r="I14" s="8" t="e">
        <f ca="1">_xll.BDP($C14 &amp; " Equity","dvd_ex_dt")</f>
        <v>#NAME?</v>
      </c>
      <c r="J14" s="8" t="e">
        <f ca="1">_xll.BDP($C14 &amp; " Equity","BDVD_NEXT_EST_DECL_DT")</f>
        <v>#NAME?</v>
      </c>
      <c r="K14" s="8" t="str">
        <f t="shared" ref="K14:K77" ca="1" si="2">IFERROR(DATEVALUE(L14),"")</f>
        <v/>
      </c>
      <c r="L14" s="8" t="e">
        <f ca="1">_xll.BDP($C14&amp; " Equity","dvd_pay_dt")</f>
        <v>#NAME?</v>
      </c>
      <c r="M14" s="8" t="e">
        <f ca="1">_xll.BDP($C14&amp; " Equity","DVD_TYP_LAST")</f>
        <v>#NAME?</v>
      </c>
      <c r="N14" s="8" t="e">
        <f ca="1">_xll.BDP($C14&amp; " Equity","dvd_crncy")</f>
        <v>#NAME?</v>
      </c>
      <c r="O14" s="8" t="str">
        <f t="shared" ref="O14:O59" si="3">IF(B14="","-","EUR")</f>
        <v>EUR</v>
      </c>
      <c r="P14" s="23" t="e">
        <f t="shared" ref="P14:P59" ca="1" si="4">IF(N14="EUR","EUR",O14&amp;N14&amp;" Curncy")</f>
        <v>#NAME?</v>
      </c>
      <c r="Q14" s="23" t="e">
        <f ca="1">IF(P14="EUR",1,IF(P14="EURGBp Curncy",(_xll.BDP(P14,"PX_LAST")*100),_xll.BDP(P14,"PX_LAST")))</f>
        <v>#NAME?</v>
      </c>
      <c r="R14" s="206" t="str">
        <f t="shared" ref="R14:R59" ca="1" si="5">IFERROR(+G14/Q14,"-")</f>
        <v>-</v>
      </c>
      <c r="S14" s="208" t="str">
        <f ca="1">IFERROR(R14,0)</f>
        <v>-</v>
      </c>
      <c r="T14" s="52">
        <v>42000</v>
      </c>
      <c r="U14" s="52" t="e">
        <f ca="1">IF(F14="#N/A Field Not Applicable",0,F14*T14)</f>
        <v>#NAME?</v>
      </c>
      <c r="V14" s="52" t="e">
        <f t="shared" ref="V14:V59" ca="1" si="6">+U14</f>
        <v>#NAME?</v>
      </c>
      <c r="W14" s="16" t="str">
        <f ca="1">IFERROR(T14*S14,"-")</f>
        <v>-</v>
      </c>
      <c r="X14" s="1077">
        <f t="shared" ref="X14:X59" ca="1" si="7">IFERROR(IF($B$9=K14,W14,0),"")</f>
        <v>0</v>
      </c>
      <c r="Y14" s="16" t="str">
        <f t="shared" ref="Y14:Y59" ca="1" si="8">IFERROR(IF($B$9=K14,V14,"0"),"")</f>
        <v>0</v>
      </c>
      <c r="Z14" s="8" t="e">
        <f ca="1">_xll.BDP(B14 &amp;" Equity", "DVD_FREQ")</f>
        <v>#NAME?</v>
      </c>
      <c r="AA14" s="23" t="e">
        <f t="shared" ref="AA14:AA59" ca="1" si="9">M14</f>
        <v>#NAME?</v>
      </c>
      <c r="AB14" s="206" t="e">
        <f ca="1">_xll.BDP(B14 &amp;" Equity", "EQY_DVD_YLD_IND_NET")</f>
        <v>#NAME?</v>
      </c>
      <c r="AC14" s="6"/>
      <c r="AD14" s="204"/>
      <c r="AG14" s="1150" t="s">
        <v>13002</v>
      </c>
      <c r="AH14" s="1151" t="s">
        <v>2040</v>
      </c>
      <c r="AI14"/>
      <c r="AJ14"/>
      <c r="AK14"/>
    </row>
    <row r="15" spans="1:37" ht="14.5">
      <c r="A15" s="6"/>
      <c r="B15" s="52" t="s">
        <v>12728</v>
      </c>
      <c r="C15" s="8" t="str">
        <f t="shared" ref="C15:C78" si="10">IF(B15="","",B15)</f>
        <v>4080 JP</v>
      </c>
      <c r="D15" s="8" t="e">
        <f ca="1">_xll.BDP(C15 &amp; " Equity","ID_ISIN",)</f>
        <v>#NAME?</v>
      </c>
      <c r="E15" s="14" t="e">
        <f ca="1">_xll.BDP(C15 &amp; " Equity","SECURITY_NAME")</f>
        <v>#NAME?</v>
      </c>
      <c r="F15" s="11" t="e">
        <f ca="1">_xll.BDP($C15 &amp;" Equity","dvd_sh_last")</f>
        <v>#NAME?</v>
      </c>
      <c r="G15" s="11">
        <f t="shared" ca="1" si="0"/>
        <v>0</v>
      </c>
      <c r="H15" s="8" t="str">
        <f t="shared" ca="1" si="1"/>
        <v/>
      </c>
      <c r="I15" s="8" t="e">
        <f ca="1">_xll.BDP($C15 &amp; " Equity","dvd_ex_dt")</f>
        <v>#NAME?</v>
      </c>
      <c r="J15" s="8" t="e">
        <f ca="1">_xll.BDP($C15 &amp; " Equity","BDVD_NEXT_EST_DECL_DT")</f>
        <v>#NAME?</v>
      </c>
      <c r="K15" s="8" t="str">
        <f t="shared" ca="1" si="2"/>
        <v/>
      </c>
      <c r="L15" s="8" t="e">
        <f ca="1">_xll.BDP($C15&amp; " Equity","dvd_pay_dt")</f>
        <v>#NAME?</v>
      </c>
      <c r="M15" s="8" t="e">
        <f ca="1">_xll.BDP($C15&amp; " Equity","DVD_TYP_LAST")</f>
        <v>#NAME?</v>
      </c>
      <c r="N15" s="8" t="e">
        <f ca="1">_xll.BDP($C15&amp; " Equity","dvd_crncy")</f>
        <v>#NAME?</v>
      </c>
      <c r="O15" s="8" t="str">
        <f t="shared" si="3"/>
        <v>EUR</v>
      </c>
      <c r="P15" s="23" t="e">
        <f t="shared" ca="1" si="4"/>
        <v>#NAME?</v>
      </c>
      <c r="Q15" s="23" t="e">
        <f ca="1">IF(P15="EUR",1,IF(P15="EURGBp Curncy",(_xll.BDP(P15,"PX_LAST")*100),_xll.BDP(P15,"PX_LAST")))</f>
        <v>#NAME?</v>
      </c>
      <c r="R15" s="206" t="str">
        <f t="shared" ca="1" si="5"/>
        <v>-</v>
      </c>
      <c r="S15" s="208" t="str">
        <f t="shared" ref="S15:S59" ca="1" si="11">IFERROR(R15,0)</f>
        <v>-</v>
      </c>
      <c r="T15" s="52">
        <v>16900</v>
      </c>
      <c r="U15" s="52" t="e">
        <f t="shared" ref="U15:U59" ca="1" si="12">IF(F15="#N/A Field Not Applicable",0,F15*T15)</f>
        <v>#NAME?</v>
      </c>
      <c r="V15" s="52" t="e">
        <f t="shared" ca="1" si="6"/>
        <v>#NAME?</v>
      </c>
      <c r="W15" s="16" t="str">
        <f t="shared" ref="W15:W59" ca="1" si="13">IFERROR(T15*S15,"-")</f>
        <v>-</v>
      </c>
      <c r="X15" s="1077">
        <f t="shared" ca="1" si="7"/>
        <v>0</v>
      </c>
      <c r="Y15" s="16" t="str">
        <f t="shared" ca="1" si="8"/>
        <v>0</v>
      </c>
      <c r="Z15" s="8" t="e">
        <f ca="1">_xll.BDP(B15 &amp;" Equity", "DVD_FREQ")</f>
        <v>#NAME?</v>
      </c>
      <c r="AA15" s="23" t="e">
        <f t="shared" ca="1" si="9"/>
        <v>#NAME?</v>
      </c>
      <c r="AB15" s="206" t="e">
        <f ca="1">_xll.BDP(B15 &amp;" Equity", "EQY_DVD_YLD_IND_NET")</f>
        <v>#NAME?</v>
      </c>
      <c r="AC15" s="6"/>
      <c r="AD15" s="6"/>
      <c r="AG15" s="6" t="s">
        <v>1702</v>
      </c>
      <c r="AH15" s="1152">
        <v>0</v>
      </c>
      <c r="AI15"/>
      <c r="AJ15"/>
      <c r="AK15"/>
    </row>
    <row r="16" spans="1:37" ht="14.5">
      <c r="A16" s="6"/>
      <c r="B16" s="52" t="s">
        <v>12729</v>
      </c>
      <c r="C16" s="8" t="str">
        <f t="shared" si="10"/>
        <v>4092 JP</v>
      </c>
      <c r="D16" s="8" t="e">
        <f ca="1">_xll.BDP(C16 &amp; " Equity","ID_ISIN",)</f>
        <v>#NAME?</v>
      </c>
      <c r="E16" s="14" t="e">
        <f ca="1">_xll.BDP(C16 &amp; " Equity","SECURITY_NAME")</f>
        <v>#NAME?</v>
      </c>
      <c r="F16" s="11" t="e">
        <f ca="1">_xll.BDP($C16 &amp;" Equity","dvd_sh_last")</f>
        <v>#NAME?</v>
      </c>
      <c r="G16" s="11">
        <f t="shared" ca="1" si="0"/>
        <v>0</v>
      </c>
      <c r="H16" s="8" t="str">
        <f t="shared" ca="1" si="1"/>
        <v/>
      </c>
      <c r="I16" s="8" t="e">
        <f ca="1">_xll.BDP($C16 &amp; " Equity","dvd_ex_dt")</f>
        <v>#NAME?</v>
      </c>
      <c r="J16" s="8" t="e">
        <f ca="1">_xll.BDP($C16 &amp; " Equity","BDVD_NEXT_EST_DECL_DT")</f>
        <v>#NAME?</v>
      </c>
      <c r="K16" s="8" t="str">
        <f t="shared" ca="1" si="2"/>
        <v/>
      </c>
      <c r="L16" s="8" t="e">
        <f ca="1">_xll.BDP($C16&amp; " Equity","dvd_pay_dt")</f>
        <v>#NAME?</v>
      </c>
      <c r="M16" s="8" t="e">
        <f ca="1">_xll.BDP($C16&amp; " Equity","DVD_TYP_LAST")</f>
        <v>#NAME?</v>
      </c>
      <c r="N16" s="8" t="e">
        <f ca="1">_xll.BDP($C16&amp; " Equity","dvd_crncy")</f>
        <v>#NAME?</v>
      </c>
      <c r="O16" s="8" t="str">
        <f t="shared" si="3"/>
        <v>EUR</v>
      </c>
      <c r="P16" s="23" t="e">
        <f t="shared" ca="1" si="4"/>
        <v>#NAME?</v>
      </c>
      <c r="Q16" s="23" t="e">
        <f ca="1">IF(P16="EUR",1,IF(P16="EURGBp Curncy",(_xll.BDP(P16,"PX_LAST")*100),_xll.BDP(P16,"PX_LAST")))</f>
        <v>#NAME?</v>
      </c>
      <c r="R16" s="206" t="str">
        <f t="shared" ca="1" si="5"/>
        <v>-</v>
      </c>
      <c r="S16" s="208" t="str">
        <f ca="1">IFERROR(R16,0)</f>
        <v>-</v>
      </c>
      <c r="T16" s="52">
        <v>22000</v>
      </c>
      <c r="U16" s="52" t="e">
        <f t="shared" ca="1" si="12"/>
        <v>#NAME?</v>
      </c>
      <c r="V16" s="52" t="e">
        <f t="shared" ca="1" si="6"/>
        <v>#NAME?</v>
      </c>
      <c r="W16" s="16" t="str">
        <f ca="1">IFERROR(T16*S16,"-")</f>
        <v>-</v>
      </c>
      <c r="X16" s="1077">
        <f t="shared" ca="1" si="7"/>
        <v>0</v>
      </c>
      <c r="Y16" s="16" t="str">
        <f t="shared" ca="1" si="8"/>
        <v>0</v>
      </c>
      <c r="Z16" s="8" t="e">
        <f ca="1">_xll.BDP(B16 &amp;" Equity", "DVD_FREQ")</f>
        <v>#NAME?</v>
      </c>
      <c r="AA16" s="23" t="e">
        <f t="shared" ca="1" si="9"/>
        <v>#NAME?</v>
      </c>
      <c r="AB16" s="206" t="e">
        <f ca="1">_xll.BDP(B16 &amp;" Equity", "EQY_DVD_YLD_IND_NET")</f>
        <v>#NAME?</v>
      </c>
      <c r="AC16" s="6"/>
      <c r="AD16" s="6"/>
      <c r="AG16" s="6" t="s">
        <v>13003</v>
      </c>
      <c r="AH16" s="1152">
        <v>0</v>
      </c>
      <c r="AI16"/>
      <c r="AJ16"/>
      <c r="AK16"/>
    </row>
    <row r="17" spans="1:37" ht="14.5">
      <c r="A17" s="6"/>
      <c r="B17" s="52" t="s">
        <v>12730</v>
      </c>
      <c r="C17" s="8" t="str">
        <f t="shared" si="10"/>
        <v>4100 JP</v>
      </c>
      <c r="D17" s="8" t="e">
        <f ca="1">_xll.BDP(C17 &amp; " Equity","ID_ISIN",)</f>
        <v>#NAME?</v>
      </c>
      <c r="E17" s="14" t="e">
        <f ca="1">_xll.BDP(C17 &amp; " Equity","SECURITY_NAME")</f>
        <v>#NAME?</v>
      </c>
      <c r="F17" s="11" t="e">
        <f ca="1">_xll.BDP($C17 &amp;" Equity","dvd_sh_last")</f>
        <v>#NAME?</v>
      </c>
      <c r="G17" s="11">
        <f t="shared" ca="1" si="0"/>
        <v>0</v>
      </c>
      <c r="H17" s="8" t="str">
        <f t="shared" ca="1" si="1"/>
        <v/>
      </c>
      <c r="I17" s="8" t="e">
        <f ca="1">_xll.BDP($C17 &amp; " Equity","dvd_ex_dt")</f>
        <v>#NAME?</v>
      </c>
      <c r="J17" s="8" t="e">
        <f ca="1">_xll.BDP($C17 &amp; " Equity","BDVD_NEXT_EST_DECL_DT")</f>
        <v>#NAME?</v>
      </c>
      <c r="K17" s="8" t="str">
        <f t="shared" ca="1" si="2"/>
        <v/>
      </c>
      <c r="L17" s="8" t="e">
        <f ca="1">_xll.BDP($C17&amp; " Equity","dvd_pay_dt")</f>
        <v>#NAME?</v>
      </c>
      <c r="M17" s="8" t="e">
        <f ca="1">_xll.BDP($C17&amp; " Equity","DVD_TYP_LAST")</f>
        <v>#NAME?</v>
      </c>
      <c r="N17" s="8" t="e">
        <f ca="1">_xll.BDP($C17&amp; " Equity","dvd_crncy")</f>
        <v>#NAME?</v>
      </c>
      <c r="O17" s="8" t="str">
        <f t="shared" si="3"/>
        <v>EUR</v>
      </c>
      <c r="P17" s="23" t="e">
        <f t="shared" ca="1" si="4"/>
        <v>#NAME?</v>
      </c>
      <c r="Q17" s="23" t="e">
        <f ca="1">IF(P17="EUR",1,IF(P17="EURGBp Curncy",(_xll.BDP(P17,"PX_LAST")*100),_xll.BDP(P17,"PX_LAST")))</f>
        <v>#NAME?</v>
      </c>
      <c r="R17" s="206" t="str">
        <f t="shared" ca="1" si="5"/>
        <v>-</v>
      </c>
      <c r="S17" s="208" t="str">
        <f t="shared" ca="1" si="11"/>
        <v>-</v>
      </c>
      <c r="T17" s="52">
        <v>60200</v>
      </c>
      <c r="U17" s="52" t="e">
        <f t="shared" ca="1" si="12"/>
        <v>#NAME?</v>
      </c>
      <c r="V17" s="52" t="e">
        <f t="shared" ca="1" si="6"/>
        <v>#NAME?</v>
      </c>
      <c r="W17" s="16" t="str">
        <f t="shared" ca="1" si="13"/>
        <v>-</v>
      </c>
      <c r="X17" s="1077">
        <f t="shared" ca="1" si="7"/>
        <v>0</v>
      </c>
      <c r="Y17" s="16" t="str">
        <f t="shared" ca="1" si="8"/>
        <v>0</v>
      </c>
      <c r="Z17" s="8" t="e">
        <f ca="1">_xll.BDP(B17 &amp;" Equity", "DVD_FREQ")</f>
        <v>#NAME?</v>
      </c>
      <c r="AA17" s="23" t="e">
        <f t="shared" ca="1" si="9"/>
        <v>#NAME?</v>
      </c>
      <c r="AB17" s="206" t="e">
        <f ca="1">_xll.BDP(B17 &amp;" Equity", "EQY_DVD_YLD_IND_NET")</f>
        <v>#NAME?</v>
      </c>
      <c r="AC17" s="6"/>
      <c r="AD17" s="6"/>
      <c r="AG17" s="6" t="s">
        <v>1707</v>
      </c>
      <c r="AH17" s="1152">
        <v>0.25</v>
      </c>
      <c r="AI17"/>
      <c r="AJ17"/>
      <c r="AK17"/>
    </row>
    <row r="18" spans="1:37" ht="14.5">
      <c r="A18" s="6"/>
      <c r="B18" s="52" t="s">
        <v>12706</v>
      </c>
      <c r="C18" s="8" t="str">
        <f t="shared" si="10"/>
        <v>4004 JP</v>
      </c>
      <c r="D18" s="8" t="e">
        <f ca="1">_xll.BDP(C18 &amp; " Equity","ID_ISIN",)</f>
        <v>#NAME?</v>
      </c>
      <c r="E18" s="14" t="e">
        <f ca="1">_xll.BDP(C18 &amp; " Equity","SECURITY_NAME")</f>
        <v>#NAME?</v>
      </c>
      <c r="F18" s="11" t="e">
        <f ca="1">_xll.BDP($C18 &amp;" Equity","dvd_sh_last")</f>
        <v>#NAME?</v>
      </c>
      <c r="G18" s="11">
        <f t="shared" ca="1" si="0"/>
        <v>0</v>
      </c>
      <c r="H18" s="8" t="str">
        <f t="shared" ca="1" si="1"/>
        <v/>
      </c>
      <c r="I18" s="8" t="e">
        <f ca="1">_xll.BDP($C18 &amp; " Equity","dvd_ex_dt")</f>
        <v>#NAME?</v>
      </c>
      <c r="J18" s="8" t="e">
        <f ca="1">_xll.BDP($C18 &amp; " Equity","BDVD_NEXT_EST_DECL_DT")</f>
        <v>#NAME?</v>
      </c>
      <c r="K18" s="8" t="str">
        <f t="shared" ca="1" si="2"/>
        <v/>
      </c>
      <c r="L18" s="8" t="e">
        <f ca="1">_xll.BDP($C18&amp; " Equity","dvd_pay_dt")</f>
        <v>#NAME?</v>
      </c>
      <c r="M18" s="8" t="e">
        <f ca="1">_xll.BDP($C18&amp; " Equity","DVD_TYP_LAST")</f>
        <v>#NAME?</v>
      </c>
      <c r="N18" s="8" t="e">
        <f ca="1">_xll.BDP($C18&amp; " Equity","dvd_crncy")</f>
        <v>#NAME?</v>
      </c>
      <c r="O18" s="8" t="str">
        <f t="shared" si="3"/>
        <v>EUR</v>
      </c>
      <c r="P18" s="23" t="e">
        <f t="shared" ca="1" si="4"/>
        <v>#NAME?</v>
      </c>
      <c r="Q18" s="23" t="e">
        <f ca="1">IF(P18="EUR",1,IF(P18="EURGBp Curncy",(_xll.BDP(P18,"PX_LAST")*100),_xll.BDP(P18,"PX_LAST")))</f>
        <v>#NAME?</v>
      </c>
      <c r="R18" s="206" t="str">
        <f t="shared" ca="1" si="5"/>
        <v>-</v>
      </c>
      <c r="S18" s="208" t="str">
        <f ca="1">IFERROR(R18,0)</f>
        <v>-</v>
      </c>
      <c r="T18" s="52">
        <v>46200</v>
      </c>
      <c r="U18" s="52" t="e">
        <f ca="1">IF(F18="#N/A Field Not Applicable",0,F18*T18)</f>
        <v>#NAME?</v>
      </c>
      <c r="V18" s="52" t="e">
        <f t="shared" ca="1" si="6"/>
        <v>#NAME?</v>
      </c>
      <c r="W18" s="16" t="str">
        <f ca="1">IFERROR(T18*S18,"-")</f>
        <v>-</v>
      </c>
      <c r="X18" s="1077">
        <f t="shared" ca="1" si="7"/>
        <v>0</v>
      </c>
      <c r="Y18" s="16" t="str">
        <f t="shared" ca="1" si="8"/>
        <v>0</v>
      </c>
      <c r="Z18" s="8" t="e">
        <f ca="1">_xll.BDP(B18 &amp;" Equity", "DVD_FREQ")</f>
        <v>#NAME?</v>
      </c>
      <c r="AA18" s="23" t="e">
        <f t="shared" ca="1" si="9"/>
        <v>#NAME?</v>
      </c>
      <c r="AB18" s="206" t="e">
        <f ca="1">_xll.BDP(B18 &amp;" Equity", "EQY_DVD_YLD_IND_NET")</f>
        <v>#NAME?</v>
      </c>
      <c r="AC18" s="6"/>
      <c r="AD18" s="6"/>
      <c r="AG18" s="6" t="s">
        <v>1451</v>
      </c>
      <c r="AH18" s="1152">
        <v>0.35</v>
      </c>
      <c r="AI18"/>
      <c r="AJ18"/>
      <c r="AK18"/>
    </row>
    <row r="19" spans="1:37" ht="14.5">
      <c r="A19" s="6"/>
      <c r="B19" s="52" t="s">
        <v>12731</v>
      </c>
      <c r="C19" s="8" t="str">
        <f t="shared" si="10"/>
        <v>5302 JP</v>
      </c>
      <c r="D19" s="8" t="e">
        <f ca="1">_xll.BDP(C19 &amp; " Equity","ID_ISIN",)</f>
        <v>#NAME?</v>
      </c>
      <c r="E19" s="14" t="e">
        <f ca="1">_xll.BDP(C19 &amp; " Equity","SECURITY_NAME")</f>
        <v>#NAME?</v>
      </c>
      <c r="F19" s="11" t="e">
        <f ca="1">_xll.BDP($C19 &amp;" Equity","dvd_sh_last")</f>
        <v>#NAME?</v>
      </c>
      <c r="G19" s="11">
        <f t="shared" ca="1" si="0"/>
        <v>0</v>
      </c>
      <c r="H19" s="8" t="str">
        <f t="shared" ca="1" si="1"/>
        <v/>
      </c>
      <c r="I19" s="8" t="e">
        <f ca="1">_xll.BDP($C19 &amp; " Equity","dvd_ex_dt")</f>
        <v>#NAME?</v>
      </c>
      <c r="J19" s="8" t="e">
        <f ca="1">_xll.BDP($C19 &amp; " Equity","BDVD_NEXT_EST_DECL_DT")</f>
        <v>#NAME?</v>
      </c>
      <c r="K19" s="8" t="str">
        <f t="shared" ca="1" si="2"/>
        <v/>
      </c>
      <c r="L19" s="8" t="e">
        <f ca="1">_xll.BDP($C19&amp; " Equity","dvd_pay_dt")</f>
        <v>#NAME?</v>
      </c>
      <c r="M19" s="8" t="e">
        <f ca="1">_xll.BDP($C19&amp; " Equity","DVD_TYP_LAST")</f>
        <v>#NAME?</v>
      </c>
      <c r="N19" s="8" t="e">
        <f ca="1">_xll.BDP($C19&amp; " Equity","dvd_crncy")</f>
        <v>#NAME?</v>
      </c>
      <c r="O19" s="8" t="str">
        <f t="shared" si="3"/>
        <v>EUR</v>
      </c>
      <c r="P19" s="23" t="e">
        <f t="shared" ca="1" si="4"/>
        <v>#NAME?</v>
      </c>
      <c r="Q19" s="23" t="e">
        <f ca="1">IF(P19="EUR",1,IF(P19="EURGBp Curncy",(_xll.BDP(P19,"PX_LAST")*100),_xll.BDP(P19,"PX_LAST")))</f>
        <v>#NAME?</v>
      </c>
      <c r="R19" s="206" t="str">
        <f t="shared" ca="1" si="5"/>
        <v>-</v>
      </c>
      <c r="S19" s="208" t="str">
        <f t="shared" ca="1" si="11"/>
        <v>-</v>
      </c>
      <c r="T19" s="52">
        <v>3800</v>
      </c>
      <c r="U19" s="52" t="e">
        <f t="shared" ca="1" si="12"/>
        <v>#NAME?</v>
      </c>
      <c r="V19" s="52" t="e">
        <f t="shared" ca="1" si="6"/>
        <v>#NAME?</v>
      </c>
      <c r="W19" s="16" t="str">
        <f t="shared" ca="1" si="13"/>
        <v>-</v>
      </c>
      <c r="X19" s="1077">
        <f t="shared" ca="1" si="7"/>
        <v>0</v>
      </c>
      <c r="Y19" s="16" t="str">
        <f t="shared" ca="1" si="8"/>
        <v>0</v>
      </c>
      <c r="Z19" s="8" t="e">
        <f ca="1">_xll.BDP(B19 &amp;" Equity", "DVD_FREQ")</f>
        <v>#NAME?</v>
      </c>
      <c r="AA19" s="23" t="e">
        <f t="shared" ca="1" si="9"/>
        <v>#NAME?</v>
      </c>
      <c r="AB19" s="206" t="e">
        <f ca="1">_xll.BDP(B19 &amp;" Equity", "EQY_DVD_YLD_IND_NET")</f>
        <v>#NAME?</v>
      </c>
      <c r="AC19" s="6"/>
      <c r="AD19" s="6"/>
      <c r="AG19" s="6" t="s">
        <v>1778</v>
      </c>
      <c r="AH19" s="1152">
        <v>0.2</v>
      </c>
      <c r="AI19"/>
      <c r="AJ19"/>
      <c r="AK19"/>
    </row>
    <row r="20" spans="1:37" ht="14.5">
      <c r="A20" s="6"/>
      <c r="B20" s="52" t="s">
        <v>12753</v>
      </c>
      <c r="C20" s="8" t="str">
        <f t="shared" si="10"/>
        <v>5310 JP</v>
      </c>
      <c r="D20" s="8" t="e">
        <f ca="1">_xll.BDP(C20 &amp; " Equity","ID_ISIN",)</f>
        <v>#NAME?</v>
      </c>
      <c r="E20" s="14" t="e">
        <f ca="1">_xll.BDP(C20 &amp; " Equity","SECURITY_NAME")</f>
        <v>#NAME?</v>
      </c>
      <c r="F20" s="11" t="e">
        <f ca="1">_xll.BDP($C20 &amp;" Equity","dvd_sh_last")</f>
        <v>#NAME?</v>
      </c>
      <c r="G20" s="11">
        <f t="shared" ca="1" si="0"/>
        <v>0</v>
      </c>
      <c r="H20" s="8" t="str">
        <f t="shared" ca="1" si="1"/>
        <v/>
      </c>
      <c r="I20" s="8" t="e">
        <f ca="1">_xll.BDP($C20 &amp; " Equity","dvd_ex_dt")</f>
        <v>#NAME?</v>
      </c>
      <c r="J20" s="8" t="e">
        <f ca="1">_xll.BDP($C20 &amp; " Equity","BDVD_NEXT_EST_DECL_DT")</f>
        <v>#NAME?</v>
      </c>
      <c r="K20" s="8" t="str">
        <f t="shared" ca="1" si="2"/>
        <v/>
      </c>
      <c r="L20" s="8" t="e">
        <f ca="1">_xll.BDP($C20&amp; " Equity","dvd_pay_dt")</f>
        <v>#NAME?</v>
      </c>
      <c r="M20" s="8" t="e">
        <f ca="1">_xll.BDP($C20&amp; " Equity","DVD_TYP_LAST")</f>
        <v>#NAME?</v>
      </c>
      <c r="N20" s="8" t="e">
        <f ca="1">_xll.BDP($C20&amp; " Equity","dvd_crncy")</f>
        <v>#NAME?</v>
      </c>
      <c r="O20" s="8" t="str">
        <f t="shared" si="3"/>
        <v>EUR</v>
      </c>
      <c r="P20" s="23" t="e">
        <f t="shared" ca="1" si="4"/>
        <v>#NAME?</v>
      </c>
      <c r="Q20" s="23" t="e">
        <f ca="1">IF(P20="EUR",1,IF(P20="EURGBp Curncy",(_xll.BDP(P20,"PX_LAST")*100),_xll.BDP(P20,"PX_LAST")))</f>
        <v>#NAME?</v>
      </c>
      <c r="R20" s="206" t="str">
        <f t="shared" ca="1" si="5"/>
        <v>-</v>
      </c>
      <c r="S20" s="208" t="str">
        <f t="shared" ca="1" si="11"/>
        <v>-</v>
      </c>
      <c r="T20" s="52">
        <v>5400</v>
      </c>
      <c r="U20" s="52" t="e">
        <f ca="1">IF(F20="#N/A Field Not Applicable",0,F20*T20)</f>
        <v>#NAME?</v>
      </c>
      <c r="V20" s="52" t="e">
        <f ca="1">+U20</f>
        <v>#NAME?</v>
      </c>
      <c r="W20" s="16" t="str">
        <f t="shared" ca="1" si="13"/>
        <v>-</v>
      </c>
      <c r="X20" s="1077">
        <f t="shared" ca="1" si="7"/>
        <v>0</v>
      </c>
      <c r="Y20" s="16" t="str">
        <f t="shared" ca="1" si="8"/>
        <v>0</v>
      </c>
      <c r="Z20" s="8" t="e">
        <f ca="1">_xll.BDP(B20 &amp;" Equity", "DVD_FREQ")</f>
        <v>#NAME?</v>
      </c>
      <c r="AA20" s="23" t="e">
        <f t="shared" ca="1" si="9"/>
        <v>#NAME?</v>
      </c>
      <c r="AB20" s="206" t="e">
        <f ca="1">_xll.BDP(B20 &amp;" Equity", "EQY_DVD_YLD_IND_NET")</f>
        <v>#NAME?</v>
      </c>
      <c r="AC20" s="6"/>
      <c r="AD20" s="6"/>
      <c r="AG20" s="6" t="s">
        <v>1719</v>
      </c>
      <c r="AH20" s="1152">
        <v>0.15</v>
      </c>
      <c r="AI20"/>
      <c r="AJ20"/>
      <c r="AK20"/>
    </row>
    <row r="21" spans="1:37" ht="14.5">
      <c r="A21" s="6"/>
      <c r="B21" s="52" t="s">
        <v>12707</v>
      </c>
      <c r="C21" s="8" t="str">
        <f t="shared" si="10"/>
        <v>4005 JP</v>
      </c>
      <c r="D21" s="8" t="e">
        <f ca="1">_xll.BDP(C21 &amp; " Equity","ID_ISIN",)</f>
        <v>#NAME?</v>
      </c>
      <c r="E21" s="14" t="e">
        <f ca="1">_xll.BDP(C21 &amp; " Equity","SECURITY_NAME")</f>
        <v>#NAME?</v>
      </c>
      <c r="F21" s="11" t="e">
        <f ca="1">_xll.BDP($C21 &amp;" Equity","dvd_sh_last")</f>
        <v>#NAME?</v>
      </c>
      <c r="G21" s="11">
        <f t="shared" ca="1" si="0"/>
        <v>0</v>
      </c>
      <c r="H21" s="8" t="str">
        <f t="shared" ca="1" si="1"/>
        <v/>
      </c>
      <c r="I21" s="8" t="e">
        <f ca="1">_xll.BDP($C21 &amp; " Equity","dvd_ex_dt")</f>
        <v>#NAME?</v>
      </c>
      <c r="J21" s="8" t="e">
        <f ca="1">_xll.BDP($C21 &amp; " Equity","BDVD_NEXT_EST_DECL_DT")</f>
        <v>#NAME?</v>
      </c>
      <c r="K21" s="8" t="str">
        <f t="shared" ca="1" si="2"/>
        <v/>
      </c>
      <c r="L21" s="8" t="e">
        <f ca="1">_xll.BDP($C21&amp; " Equity","dvd_pay_dt")</f>
        <v>#NAME?</v>
      </c>
      <c r="M21" s="8" t="e">
        <f ca="1">_xll.BDP($C21&amp; " Equity","DVD_TYP_LAST")</f>
        <v>#NAME?</v>
      </c>
      <c r="N21" s="8" t="e">
        <f ca="1">_xll.BDP($C21&amp; " Equity","dvd_crncy")</f>
        <v>#NAME?</v>
      </c>
      <c r="O21" s="8" t="str">
        <f t="shared" si="3"/>
        <v>EUR</v>
      </c>
      <c r="P21" s="23" t="e">
        <f t="shared" ca="1" si="4"/>
        <v>#NAME?</v>
      </c>
      <c r="Q21" s="23" t="e">
        <f ca="1">IF(P21="EUR",1,IF(P21="EURGBp Curncy",(_xll.BDP(P21,"PX_LAST")*100),_xll.BDP(P21,"PX_LAST")))</f>
        <v>#NAME?</v>
      </c>
      <c r="R21" s="206" t="str">
        <f t="shared" ca="1" si="5"/>
        <v>-</v>
      </c>
      <c r="S21" s="208" t="str">
        <f t="shared" ca="1" si="11"/>
        <v>-</v>
      </c>
      <c r="T21" s="52">
        <v>31000</v>
      </c>
      <c r="U21" s="52" t="e">
        <f t="shared" ca="1" si="12"/>
        <v>#NAME?</v>
      </c>
      <c r="V21" s="52" t="e">
        <f t="shared" ca="1" si="6"/>
        <v>#NAME?</v>
      </c>
      <c r="W21" s="16" t="str">
        <f t="shared" ca="1" si="13"/>
        <v>-</v>
      </c>
      <c r="X21" s="1077">
        <f t="shared" ca="1" si="7"/>
        <v>0</v>
      </c>
      <c r="Y21" s="16" t="str">
        <f t="shared" ca="1" si="8"/>
        <v>0</v>
      </c>
      <c r="Z21" s="8" t="e">
        <f ca="1">_xll.BDP(B21 &amp;" Equity", "DVD_FREQ")</f>
        <v>#NAME?</v>
      </c>
      <c r="AA21" s="23" t="e">
        <f t="shared" ca="1" si="9"/>
        <v>#NAME?</v>
      </c>
      <c r="AB21" s="206" t="e">
        <f ca="1">_xll.BDP(B21 &amp;" Equity", "EQY_DVD_YLD_IND_NET")</f>
        <v>#NAME?</v>
      </c>
      <c r="AC21" s="6"/>
      <c r="AD21" s="6"/>
      <c r="AG21" s="6" t="s">
        <v>1730</v>
      </c>
      <c r="AH21" s="1152">
        <v>0.19</v>
      </c>
      <c r="AI21"/>
      <c r="AJ21"/>
      <c r="AK21"/>
    </row>
    <row r="22" spans="1:37" ht="14.5">
      <c r="A22" s="6"/>
      <c r="B22" s="52" t="s">
        <v>12708</v>
      </c>
      <c r="C22" s="8" t="str">
        <f t="shared" si="10"/>
        <v>3401 JP</v>
      </c>
      <c r="D22" s="8" t="e">
        <f ca="1">_xll.BDP(C22 &amp; " Equity","ID_ISIN",)</f>
        <v>#NAME?</v>
      </c>
      <c r="E22" s="14" t="e">
        <f ca="1">_xll.BDP(C22 &amp; " Equity","SECURITY_NAME")</f>
        <v>#NAME?</v>
      </c>
      <c r="F22" s="11" t="e">
        <f ca="1">_xll.BDP($C22 &amp;" Equity","dvd_sh_last")</f>
        <v>#NAME?</v>
      </c>
      <c r="G22" s="11">
        <f t="shared" ca="1" si="0"/>
        <v>0</v>
      </c>
      <c r="H22" s="8" t="str">
        <f t="shared" ca="1" si="1"/>
        <v/>
      </c>
      <c r="I22" s="8" t="e">
        <f ca="1">_xll.BDP($C22 &amp; " Equity","dvd_ex_dt")</f>
        <v>#NAME?</v>
      </c>
      <c r="J22" s="8" t="e">
        <f ca="1">_xll.BDP($C22 &amp; " Equity","BDVD_NEXT_EST_DECL_DT")</f>
        <v>#NAME?</v>
      </c>
      <c r="K22" s="8" t="str">
        <f t="shared" ca="1" si="2"/>
        <v/>
      </c>
      <c r="L22" s="8" t="e">
        <f ca="1">_xll.BDP($C22&amp; " Equity","dvd_pay_dt")</f>
        <v>#NAME?</v>
      </c>
      <c r="M22" s="8" t="e">
        <f ca="1">_xll.BDP($C22&amp; " Equity","DVD_TYP_LAST")</f>
        <v>#NAME?</v>
      </c>
      <c r="N22" s="8" t="e">
        <f ca="1">_xll.BDP($C22&amp; " Equity","dvd_crncy")</f>
        <v>#NAME?</v>
      </c>
      <c r="O22" s="8" t="str">
        <f t="shared" si="3"/>
        <v>EUR</v>
      </c>
      <c r="P22" s="23" t="e">
        <f t="shared" ca="1" si="4"/>
        <v>#NAME?</v>
      </c>
      <c r="Q22" s="23" t="e">
        <f ca="1">IF(P22="EUR",1,IF(P22="EURGBp Curncy",(_xll.BDP(P22,"PX_LAST")*100),_xll.BDP(P22,"PX_LAST")))</f>
        <v>#NAME?</v>
      </c>
      <c r="R22" s="206" t="str">
        <f t="shared" ca="1" si="5"/>
        <v>-</v>
      </c>
      <c r="S22" s="208" t="str">
        <f t="shared" ca="1" si="11"/>
        <v>-</v>
      </c>
      <c r="T22" s="52">
        <v>89000</v>
      </c>
      <c r="U22" s="52" t="e">
        <f t="shared" ca="1" si="12"/>
        <v>#NAME?</v>
      </c>
      <c r="V22" s="52" t="e">
        <f t="shared" ca="1" si="6"/>
        <v>#NAME?</v>
      </c>
      <c r="W22" s="16" t="str">
        <f t="shared" ca="1" si="13"/>
        <v>-</v>
      </c>
      <c r="X22" s="1077">
        <f t="shared" ca="1" si="7"/>
        <v>0</v>
      </c>
      <c r="Y22" s="16" t="str">
        <f t="shared" ca="1" si="8"/>
        <v>0</v>
      </c>
      <c r="Z22" s="8" t="e">
        <f ca="1">_xll.BDP(B22 &amp;" Equity", "DVD_FREQ")</f>
        <v>#NAME?</v>
      </c>
      <c r="AA22" s="23" t="e">
        <f t="shared" ca="1" si="9"/>
        <v>#NAME?</v>
      </c>
      <c r="AB22" s="206" t="e">
        <f ca="1">_xll.BDP(B22 &amp;" Equity", "EQY_DVD_YLD_IND_NET")</f>
        <v>#NAME?</v>
      </c>
      <c r="AC22" s="6"/>
      <c r="AD22" s="6"/>
      <c r="AG22" s="6" t="s">
        <v>1699</v>
      </c>
      <c r="AH22" s="1152">
        <v>0.3</v>
      </c>
      <c r="AI22"/>
      <c r="AJ22"/>
      <c r="AK22"/>
    </row>
    <row r="23" spans="1:37" ht="14.5">
      <c r="A23" s="6"/>
      <c r="B23" s="52" t="s">
        <v>12709</v>
      </c>
      <c r="C23" s="8" t="str">
        <f t="shared" si="10"/>
        <v>051915 KS</v>
      </c>
      <c r="D23" s="8" t="e">
        <f ca="1">_xll.BDP(C23 &amp; " Equity","ID_ISIN",)</f>
        <v>#NAME?</v>
      </c>
      <c r="E23" s="14" t="e">
        <f ca="1">_xll.BDP(C23 &amp; " Equity","SECURITY_NAME")</f>
        <v>#NAME?</v>
      </c>
      <c r="F23" s="11" t="e">
        <f ca="1">_xll.BDP($C23 &amp;" Equity","dvd_sh_last")</f>
        <v>#NAME?</v>
      </c>
      <c r="G23" s="11">
        <f t="shared" ca="1" si="0"/>
        <v>0</v>
      </c>
      <c r="H23" s="8" t="str">
        <f t="shared" ca="1" si="1"/>
        <v/>
      </c>
      <c r="I23" s="8" t="e">
        <f ca="1">_xll.BDP($C23 &amp; " Equity","dvd_ex_dt")</f>
        <v>#NAME?</v>
      </c>
      <c r="J23" s="8" t="e">
        <f ca="1">_xll.BDP($C23 &amp; " Equity","BDVD_NEXT_EST_DECL_DT")</f>
        <v>#NAME?</v>
      </c>
      <c r="K23" s="8" t="str">
        <f t="shared" ca="1" si="2"/>
        <v/>
      </c>
      <c r="L23" s="8" t="e">
        <f ca="1">_xll.BDP($C23&amp; " Equity","dvd_pay_dt")</f>
        <v>#NAME?</v>
      </c>
      <c r="M23" s="8" t="e">
        <f ca="1">_xll.BDP($C23&amp; " Equity","DVD_TYP_LAST")</f>
        <v>#NAME?</v>
      </c>
      <c r="N23" s="8" t="e">
        <f ca="1">_xll.BDP($C23&amp; " Equity","dvd_crncy")</f>
        <v>#NAME?</v>
      </c>
      <c r="O23" s="8" t="str">
        <f t="shared" si="3"/>
        <v>EUR</v>
      </c>
      <c r="P23" s="23" t="e">
        <f t="shared" ca="1" si="4"/>
        <v>#NAME?</v>
      </c>
      <c r="Q23" s="23" t="e">
        <f ca="1">IF(P23="EUR",1,IF(P23="EURGBp Curncy",(_xll.BDP(P23,"PX_LAST")*100),_xll.BDP(P23,"PX_LAST")))</f>
        <v>#NAME?</v>
      </c>
      <c r="R23" s="206" t="str">
        <f t="shared" ca="1" si="5"/>
        <v>-</v>
      </c>
      <c r="S23" s="208" t="str">
        <f t="shared" ca="1" si="11"/>
        <v>-</v>
      </c>
      <c r="T23" s="52">
        <v>5600</v>
      </c>
      <c r="U23" s="52" t="e">
        <f t="shared" ca="1" si="12"/>
        <v>#NAME?</v>
      </c>
      <c r="V23" s="52" t="e">
        <f t="shared" ca="1" si="6"/>
        <v>#NAME?</v>
      </c>
      <c r="W23" s="16" t="str">
        <f t="shared" ca="1" si="13"/>
        <v>-</v>
      </c>
      <c r="X23" s="1077">
        <f t="shared" ca="1" si="7"/>
        <v>0</v>
      </c>
      <c r="Y23" s="16" t="str">
        <f t="shared" ca="1" si="8"/>
        <v>0</v>
      </c>
      <c r="Z23" s="8" t="e">
        <f ca="1">_xll.BDP(B23 &amp;" Equity", "DVD_FREQ")</f>
        <v>#NAME?</v>
      </c>
      <c r="AA23" s="23" t="e">
        <f t="shared" ca="1" si="9"/>
        <v>#NAME?</v>
      </c>
      <c r="AB23" s="206" t="e">
        <f ca="1">_xll.BDP(B23 &amp;" Equity", "EQY_DVD_YLD_IND_NET")</f>
        <v>#NAME?</v>
      </c>
      <c r="AC23" s="6"/>
      <c r="AD23" s="6"/>
      <c r="AG23" s="6" t="s">
        <v>1755</v>
      </c>
      <c r="AH23" s="1152">
        <v>0.26500000000000001</v>
      </c>
      <c r="AI23"/>
      <c r="AJ23"/>
      <c r="AK23"/>
    </row>
    <row r="24" spans="1:37" ht="14.5">
      <c r="A24" s="6"/>
      <c r="B24" s="52" t="s">
        <v>12710</v>
      </c>
      <c r="C24" s="8" t="str">
        <f t="shared" si="10"/>
        <v>006405 KS</v>
      </c>
      <c r="D24" s="8" t="e">
        <f ca="1">_xll.BDP(C24 &amp; " Equity","ID_ISIN",)</f>
        <v>#NAME?</v>
      </c>
      <c r="E24" s="14" t="e">
        <f ca="1">_xll.BDP(C24 &amp; " Equity","SECURITY_NAME")</f>
        <v>#NAME?</v>
      </c>
      <c r="F24" s="11" t="e">
        <f ca="1">_xll.BDP($C24 &amp;" Equity","dvd_sh_last")</f>
        <v>#NAME?</v>
      </c>
      <c r="G24" s="11">
        <f t="shared" ca="1" si="0"/>
        <v>0</v>
      </c>
      <c r="H24" s="8" t="str">
        <f t="shared" ca="1" si="1"/>
        <v/>
      </c>
      <c r="I24" s="8" t="e">
        <f ca="1">_xll.BDP($C24 &amp; " Equity","dvd_ex_dt")</f>
        <v>#NAME?</v>
      </c>
      <c r="J24" s="8" t="e">
        <f ca="1">_xll.BDP($C24 &amp; " Equity","BDVD_NEXT_EST_DECL_DT")</f>
        <v>#NAME?</v>
      </c>
      <c r="K24" s="8" t="str">
        <f t="shared" ca="1" si="2"/>
        <v/>
      </c>
      <c r="L24" s="8" t="e">
        <f ca="1">_xll.BDP($C24&amp; " Equity","dvd_pay_dt")</f>
        <v>#NAME?</v>
      </c>
      <c r="M24" s="8" t="e">
        <f ca="1">_xll.BDP($C24&amp; " Equity","DVD_TYP_LAST")</f>
        <v>#NAME?</v>
      </c>
      <c r="N24" s="8" t="e">
        <f ca="1">_xll.BDP($C24&amp; " Equity","dvd_crncy")</f>
        <v>#NAME?</v>
      </c>
      <c r="O24" s="8" t="str">
        <f t="shared" si="3"/>
        <v>EUR</v>
      </c>
      <c r="P24" s="23" t="e">
        <f t="shared" ca="1" si="4"/>
        <v>#NAME?</v>
      </c>
      <c r="Q24" s="23" t="e">
        <f ca="1">IF(P24="EUR",1,IF(P24="EURGBp Curncy",(_xll.BDP(P24,"PX_LAST")*100),_xll.BDP(P24,"PX_LAST")))</f>
        <v>#NAME?</v>
      </c>
      <c r="R24" s="206" t="str">
        <f t="shared" ca="1" si="5"/>
        <v>-</v>
      </c>
      <c r="S24" s="208" t="str">
        <f t="shared" ca="1" si="11"/>
        <v>-</v>
      </c>
      <c r="T24" s="52">
        <v>690</v>
      </c>
      <c r="U24" s="52" t="e">
        <f t="shared" ca="1" si="12"/>
        <v>#NAME?</v>
      </c>
      <c r="V24" s="52" t="e">
        <f t="shared" ca="1" si="6"/>
        <v>#NAME?</v>
      </c>
      <c r="W24" s="16" t="str">
        <f t="shared" ca="1" si="13"/>
        <v>-</v>
      </c>
      <c r="X24" s="1077">
        <f t="shared" ca="1" si="7"/>
        <v>0</v>
      </c>
      <c r="Y24" s="16" t="str">
        <f t="shared" ca="1" si="8"/>
        <v>0</v>
      </c>
      <c r="Z24" s="8" t="e">
        <f ca="1">_xll.BDP(B24 &amp;" Equity", "DVD_FREQ")</f>
        <v>#NAME?</v>
      </c>
      <c r="AA24" s="23" t="e">
        <f t="shared" ca="1" si="9"/>
        <v>#NAME?</v>
      </c>
      <c r="AB24" s="206" t="e">
        <f ca="1">_xll.BDP(B24 &amp;" Equity", "EQY_DVD_YLD_IND_NET")</f>
        <v>#NAME?</v>
      </c>
      <c r="AC24" s="6"/>
      <c r="AD24" s="6"/>
      <c r="AG24" s="6" t="s">
        <v>1716</v>
      </c>
      <c r="AH24" s="1152">
        <v>0</v>
      </c>
      <c r="AI24"/>
      <c r="AJ24"/>
      <c r="AK24"/>
    </row>
    <row r="25" spans="1:37" ht="14.5">
      <c r="A25" s="6"/>
      <c r="B25" s="52" t="s">
        <v>12711</v>
      </c>
      <c r="C25" s="8" t="str">
        <f t="shared" si="10"/>
        <v>096775 KS</v>
      </c>
      <c r="D25" s="8" t="e">
        <f ca="1">_xll.BDP(C25 &amp; " Equity","ID_ISIN",)</f>
        <v>#NAME?</v>
      </c>
      <c r="E25" s="14" t="e">
        <f ca="1">_xll.BDP(C25 &amp; " Equity","SECURITY_NAME")</f>
        <v>#NAME?</v>
      </c>
      <c r="F25" s="11" t="e">
        <f ca="1">_xll.BDP($C25 &amp;" Equity","dvd_sh_last")</f>
        <v>#NAME?</v>
      </c>
      <c r="G25" s="11">
        <f t="shared" ca="1" si="0"/>
        <v>0</v>
      </c>
      <c r="H25" s="8" t="str">
        <f t="shared" ca="1" si="1"/>
        <v/>
      </c>
      <c r="I25" s="8" t="e">
        <f ca="1">_xll.BDP($C25 &amp; " Equity","dvd_ex_dt")</f>
        <v>#NAME?</v>
      </c>
      <c r="J25" s="8" t="e">
        <f ca="1">_xll.BDP($C25 &amp; " Equity","BDVD_NEXT_EST_DECL_DT")</f>
        <v>#NAME?</v>
      </c>
      <c r="K25" s="8" t="str">
        <f t="shared" ca="1" si="2"/>
        <v/>
      </c>
      <c r="L25" s="8" t="e">
        <f ca="1">_xll.BDP($C25&amp; " Equity","dvd_pay_dt")</f>
        <v>#NAME?</v>
      </c>
      <c r="M25" s="8" t="e">
        <f ca="1">_xll.BDP($C25&amp; " Equity","DVD_TYP_LAST")</f>
        <v>#NAME?</v>
      </c>
      <c r="N25" s="8" t="e">
        <f ca="1">_xll.BDP($C25&amp; " Equity","dvd_crncy")</f>
        <v>#NAME?</v>
      </c>
      <c r="O25" s="8" t="str">
        <f t="shared" si="3"/>
        <v>EUR</v>
      </c>
      <c r="P25" s="23" t="e">
        <f t="shared" ca="1" si="4"/>
        <v>#NAME?</v>
      </c>
      <c r="Q25" s="23" t="e">
        <f ca="1">IF(P25="EUR",1,IF(P25="EURGBp Curncy",(_xll.BDP(P25,"PX_LAST")*100),_xll.BDP(P25,"PX_LAST")))</f>
        <v>#NAME?</v>
      </c>
      <c r="R25" s="206" t="str">
        <f t="shared" ca="1" si="5"/>
        <v>-</v>
      </c>
      <c r="S25" s="208" t="str">
        <f t="shared" ca="1" si="11"/>
        <v>-</v>
      </c>
      <c r="T25" s="52">
        <v>8567</v>
      </c>
      <c r="U25" s="52" t="e">
        <f t="shared" ca="1" si="12"/>
        <v>#NAME?</v>
      </c>
      <c r="V25" s="52" t="e">
        <f t="shared" ca="1" si="6"/>
        <v>#NAME?</v>
      </c>
      <c r="W25" s="16" t="str">
        <f t="shared" ca="1" si="13"/>
        <v>-</v>
      </c>
      <c r="X25" s="1077">
        <f t="shared" ca="1" si="7"/>
        <v>0</v>
      </c>
      <c r="Y25" s="16" t="str">
        <f t="shared" ca="1" si="8"/>
        <v>0</v>
      </c>
      <c r="Z25" s="8" t="e">
        <f ca="1">_xll.BDP(B25 &amp;" Equity", "DVD_FREQ")</f>
        <v>#NAME?</v>
      </c>
      <c r="AA25" s="23" t="e">
        <f t="shared" ca="1" si="9"/>
        <v>#NAME?</v>
      </c>
      <c r="AB25" s="206" t="e">
        <f ca="1">_xll.BDP(B25 &amp;" Equity", "EQY_DVD_YLD_IND_NET")</f>
        <v>#NAME?</v>
      </c>
      <c r="AC25" s="6"/>
      <c r="AD25" s="6"/>
      <c r="AG25" s="6" t="s">
        <v>1769</v>
      </c>
      <c r="AH25" s="1152">
        <v>0</v>
      </c>
      <c r="AI25"/>
      <c r="AJ25"/>
      <c r="AK25"/>
    </row>
    <row r="26" spans="1:37" ht="14.5">
      <c r="A26" s="6"/>
      <c r="B26" s="52" t="s">
        <v>12879</v>
      </c>
      <c r="C26" s="8" t="str">
        <f t="shared" si="10"/>
        <v>036830 KS</v>
      </c>
      <c r="D26" s="8" t="e">
        <f ca="1">_xll.BDP(C26 &amp; " Equity","ID_ISIN",)</f>
        <v>#NAME?</v>
      </c>
      <c r="E26" s="14" t="e">
        <f ca="1">_xll.BDP(C26 &amp; " Equity","SECURITY_NAME")</f>
        <v>#NAME?</v>
      </c>
      <c r="F26" s="11" t="e">
        <f ca="1">_xll.BDP($C26 &amp;" Equity","dvd_sh_last")</f>
        <v>#NAME?</v>
      </c>
      <c r="G26" s="11">
        <f t="shared" ca="1" si="0"/>
        <v>0</v>
      </c>
      <c r="H26" s="8" t="str">
        <f t="shared" ca="1" si="1"/>
        <v/>
      </c>
      <c r="I26" s="8" t="e">
        <f ca="1">_xll.BDP($C26 &amp; " Equity","dvd_ex_dt")</f>
        <v>#NAME?</v>
      </c>
      <c r="J26" s="8" t="e">
        <f ca="1">_xll.BDP($C26 &amp; " Equity","BDVD_NEXT_EST_DECL_DT")</f>
        <v>#NAME?</v>
      </c>
      <c r="K26" s="8" t="str">
        <f t="shared" ca="1" si="2"/>
        <v/>
      </c>
      <c r="L26" s="8" t="e">
        <f ca="1">_xll.BDP($C26&amp; " Equity","dvd_pay_dt")</f>
        <v>#NAME?</v>
      </c>
      <c r="M26" s="8" t="e">
        <f ca="1">_xll.BDP($C26&amp; " Equity","DVD_TYP_LAST")</f>
        <v>#NAME?</v>
      </c>
      <c r="N26" s="8" t="e">
        <f ca="1">_xll.BDP($C26&amp; " Equity","dvd_crncy")</f>
        <v>#NAME?</v>
      </c>
      <c r="O26" s="8" t="str">
        <f t="shared" si="3"/>
        <v>EUR</v>
      </c>
      <c r="P26" s="23" t="e">
        <f t="shared" ca="1" si="4"/>
        <v>#NAME?</v>
      </c>
      <c r="Q26" s="23" t="e">
        <f ca="1">IF(P26="EUR",1,IF(P26="EURGBp Curncy",(_xll.BDP(P26,"PX_LAST")*100),_xll.BDP(P26,"PX_LAST")))</f>
        <v>#NAME?</v>
      </c>
      <c r="R26" s="206" t="str">
        <f t="shared" ca="1" si="5"/>
        <v>-</v>
      </c>
      <c r="S26" s="208" t="str">
        <f t="shared" ca="1" si="11"/>
        <v>-</v>
      </c>
      <c r="T26" s="52">
        <v>15200</v>
      </c>
      <c r="U26" s="52" t="e">
        <f t="shared" ca="1" si="12"/>
        <v>#NAME?</v>
      </c>
      <c r="V26" s="52" t="e">
        <f t="shared" ca="1" si="6"/>
        <v>#NAME?</v>
      </c>
      <c r="W26" s="16" t="str">
        <f t="shared" ca="1" si="13"/>
        <v>-</v>
      </c>
      <c r="X26" s="1077">
        <f t="shared" ca="1" si="7"/>
        <v>0</v>
      </c>
      <c r="Y26" s="16" t="str">
        <f t="shared" ca="1" si="8"/>
        <v>0</v>
      </c>
      <c r="Z26" s="8" t="e">
        <f ca="1">_xll.BDP(B26 &amp;" Equity", "DVD_FREQ")</f>
        <v>#NAME?</v>
      </c>
      <c r="AA26" s="23" t="e">
        <f t="shared" ca="1" si="9"/>
        <v>#NAME?</v>
      </c>
      <c r="AB26" s="206" t="e">
        <f ca="1">_xll.BDP(B26 &amp;" Equity", "EQY_DVD_YLD_IND_NET")</f>
        <v>#NAME?</v>
      </c>
      <c r="AC26" s="6"/>
      <c r="AD26" s="6"/>
      <c r="AG26" s="6" t="s">
        <v>1724</v>
      </c>
      <c r="AH26" s="1152">
        <v>0.2</v>
      </c>
      <c r="AI26"/>
      <c r="AJ26"/>
      <c r="AK26"/>
    </row>
    <row r="27" spans="1:37" ht="14.5">
      <c r="A27" s="6"/>
      <c r="B27" s="52" t="s">
        <v>12712</v>
      </c>
      <c r="C27" s="8" t="str">
        <f t="shared" si="10"/>
        <v>NK FP</v>
      </c>
      <c r="D27" s="8" t="e">
        <f ca="1">_xll.BDP(C27 &amp; " Equity","ID_ISIN",)</f>
        <v>#NAME?</v>
      </c>
      <c r="E27" s="14" t="e">
        <f ca="1">_xll.BDP(C27 &amp; " Equity","SECURITY_NAME")</f>
        <v>#NAME?</v>
      </c>
      <c r="F27" s="11" t="e">
        <f ca="1">_xll.BDP($C27 &amp;" Equity","dvd_sh_last")</f>
        <v>#NAME?</v>
      </c>
      <c r="G27" s="11">
        <f t="shared" ca="1" si="0"/>
        <v>0</v>
      </c>
      <c r="H27" s="8" t="str">
        <f t="shared" ca="1" si="1"/>
        <v/>
      </c>
      <c r="I27" s="8" t="e">
        <f ca="1">_xll.BDP($C27 &amp; " Equity","dvd_ex_dt")</f>
        <v>#NAME?</v>
      </c>
      <c r="J27" s="8" t="e">
        <f ca="1">_xll.BDP($C27 &amp; " Equity","BDVD_NEXT_EST_DECL_DT")</f>
        <v>#NAME?</v>
      </c>
      <c r="K27" s="8" t="str">
        <f t="shared" ca="1" si="2"/>
        <v/>
      </c>
      <c r="L27" s="8" t="e">
        <f ca="1">_xll.BDP($C27&amp; " Equity","dvd_pay_dt")</f>
        <v>#NAME?</v>
      </c>
      <c r="M27" s="8" t="e">
        <f ca="1">_xll.BDP($C27&amp; " Equity","DVD_TYP_LAST")</f>
        <v>#NAME?</v>
      </c>
      <c r="N27" s="8" t="e">
        <f ca="1">_xll.BDP($C27&amp; " Equity","dvd_crncy")</f>
        <v>#NAME?</v>
      </c>
      <c r="O27" s="8" t="str">
        <f t="shared" si="3"/>
        <v>EUR</v>
      </c>
      <c r="P27" s="23" t="e">
        <f t="shared" ca="1" si="4"/>
        <v>#NAME?</v>
      </c>
      <c r="Q27" s="23" t="e">
        <f ca="1">IF(P27="EUR",1,IF(P27="EURGBp Curncy",(_xll.BDP(P27,"PX_LAST")*100),_xll.BDP(P27,"PX_LAST")))</f>
        <v>#NAME?</v>
      </c>
      <c r="R27" s="206" t="str">
        <f t="shared" ca="1" si="5"/>
        <v>-</v>
      </c>
      <c r="S27" s="208" t="str">
        <f t="shared" ca="1" si="11"/>
        <v>-</v>
      </c>
      <c r="T27" s="52">
        <v>6975</v>
      </c>
      <c r="U27" s="52" t="e">
        <f t="shared" ca="1" si="12"/>
        <v>#NAME?</v>
      </c>
      <c r="V27" s="52" t="e">
        <f t="shared" ca="1" si="6"/>
        <v>#NAME?</v>
      </c>
      <c r="W27" s="16" t="str">
        <f t="shared" ca="1" si="13"/>
        <v>-</v>
      </c>
      <c r="X27" s="1077">
        <f t="shared" ca="1" si="7"/>
        <v>0</v>
      </c>
      <c r="Y27" s="16" t="str">
        <f t="shared" ca="1" si="8"/>
        <v>0</v>
      </c>
      <c r="Z27" s="8" t="e">
        <f ca="1">_xll.BDP(B27 &amp;" Equity", "DVD_FREQ")</f>
        <v>#NAME?</v>
      </c>
      <c r="AA27" s="23" t="e">
        <f t="shared" ca="1" si="9"/>
        <v>#NAME?</v>
      </c>
      <c r="AB27" s="206" t="e">
        <f ca="1">_xll.BDP(B27 &amp;" Equity", "EQY_DVD_YLD_IND_NET")</f>
        <v>#NAME?</v>
      </c>
      <c r="AC27" s="6"/>
      <c r="AD27" s="6"/>
      <c r="AG27" s="6" t="s">
        <v>1713</v>
      </c>
      <c r="AH27" s="1152">
        <v>0</v>
      </c>
      <c r="AI27"/>
      <c r="AJ27"/>
      <c r="AK27"/>
    </row>
    <row r="28" spans="1:37" ht="14.5">
      <c r="A28" s="6"/>
      <c r="B28" s="52" t="s">
        <v>12713</v>
      </c>
      <c r="C28" s="8" t="str">
        <f t="shared" si="10"/>
        <v>ERA FP</v>
      </c>
      <c r="D28" s="8" t="e">
        <f ca="1">_xll.BDP(C28 &amp; " Equity","ID_ISIN",)</f>
        <v>#NAME?</v>
      </c>
      <c r="E28" s="14" t="e">
        <f ca="1">_xll.BDP(C28 &amp; " Equity","SECURITY_NAME")</f>
        <v>#NAME?</v>
      </c>
      <c r="F28" s="11" t="e">
        <f ca="1">_xll.BDP($C28 &amp;" Equity","dvd_sh_last")</f>
        <v>#NAME?</v>
      </c>
      <c r="G28" s="11">
        <f t="shared" ca="1" si="0"/>
        <v>0</v>
      </c>
      <c r="H28" s="8" t="str">
        <f t="shared" ca="1" si="1"/>
        <v/>
      </c>
      <c r="I28" s="8" t="e">
        <f ca="1">_xll.BDP($C28 &amp; " Equity","dvd_ex_dt")</f>
        <v>#NAME?</v>
      </c>
      <c r="J28" s="8" t="e">
        <f ca="1">_xll.BDP($C28 &amp; " Equity","BDVD_NEXT_EST_DECL_DT")</f>
        <v>#NAME?</v>
      </c>
      <c r="K28" s="8" t="str">
        <f t="shared" ca="1" si="2"/>
        <v/>
      </c>
      <c r="L28" s="8" t="e">
        <f ca="1">_xll.BDP($C28&amp; " Equity","dvd_pay_dt")</f>
        <v>#NAME?</v>
      </c>
      <c r="M28" s="8" t="e">
        <f ca="1">_xll.BDP($C28&amp; " Equity","DVD_TYP_LAST")</f>
        <v>#NAME?</v>
      </c>
      <c r="N28" s="8" t="e">
        <f ca="1">_xll.BDP($C28&amp; " Equity","dvd_crncy")</f>
        <v>#NAME?</v>
      </c>
      <c r="O28" s="8" t="str">
        <f t="shared" si="3"/>
        <v>EUR</v>
      </c>
      <c r="P28" s="23" t="e">
        <f t="shared" ca="1" si="4"/>
        <v>#NAME?</v>
      </c>
      <c r="Q28" s="23" t="e">
        <f ca="1">IF(P28="EUR",1,IF(P28="EURGBp Curncy",(_xll.BDP(P28,"PX_LAST")*100),_xll.BDP(P28,"PX_LAST")))</f>
        <v>#NAME?</v>
      </c>
      <c r="R28" s="206" t="str">
        <f t="shared" ca="1" si="5"/>
        <v>-</v>
      </c>
      <c r="S28" s="208" t="str">
        <f t="shared" ca="1" si="11"/>
        <v>-</v>
      </c>
      <c r="T28" s="52">
        <v>6610</v>
      </c>
      <c r="U28" s="52" t="e">
        <f t="shared" ca="1" si="12"/>
        <v>#NAME?</v>
      </c>
      <c r="V28" s="52" t="e">
        <f t="shared" ca="1" si="6"/>
        <v>#NAME?</v>
      </c>
      <c r="W28" s="16" t="str">
        <f t="shared" ca="1" si="13"/>
        <v>-</v>
      </c>
      <c r="X28" s="1077">
        <f t="shared" ca="1" si="7"/>
        <v>0</v>
      </c>
      <c r="Y28" s="16" t="str">
        <f t="shared" ca="1" si="8"/>
        <v>0</v>
      </c>
      <c r="Z28" s="8" t="e">
        <f ca="1">_xll.BDP(B28 &amp;" Equity", "DVD_FREQ")</f>
        <v>#NAME?</v>
      </c>
      <c r="AA28" s="23" t="e">
        <f t="shared" ca="1" si="9"/>
        <v>#NAME?</v>
      </c>
      <c r="AB28" s="206" t="e">
        <f ca="1">_xll.BDP(B28 &amp;" Equity", "EQY_DVD_YLD_IND_NET")</f>
        <v>#NAME?</v>
      </c>
      <c r="AC28" s="6"/>
      <c r="AD28" s="6"/>
      <c r="AG28" s="6" t="s">
        <v>1743</v>
      </c>
      <c r="AH28" s="1152">
        <v>0.26</v>
      </c>
      <c r="AI28"/>
      <c r="AJ28"/>
      <c r="AK28"/>
    </row>
    <row r="29" spans="1:37" ht="14.5">
      <c r="A29" s="6"/>
      <c r="B29" s="52" t="s">
        <v>12714</v>
      </c>
      <c r="C29" s="8" t="str">
        <f t="shared" si="10"/>
        <v>FR FP</v>
      </c>
      <c r="D29" s="8" t="e">
        <f ca="1">_xll.BDP(C29 &amp; " Equity","ID_ISIN",)</f>
        <v>#NAME?</v>
      </c>
      <c r="E29" s="14" t="e">
        <f ca="1">_xll.BDP(C29 &amp; " Equity","SECURITY_NAME")</f>
        <v>#NAME?</v>
      </c>
      <c r="F29" s="11" t="e">
        <f ca="1">_xll.BDP($C29 &amp;" Equity","dvd_sh_last")</f>
        <v>#NAME?</v>
      </c>
      <c r="G29" s="11">
        <f t="shared" ca="1" si="0"/>
        <v>0</v>
      </c>
      <c r="H29" s="8" t="str">
        <f t="shared" ca="1" si="1"/>
        <v/>
      </c>
      <c r="I29" s="8" t="e">
        <f ca="1">_xll.BDP($C29 &amp; " Equity","dvd_ex_dt")</f>
        <v>#NAME?</v>
      </c>
      <c r="J29" s="8" t="e">
        <f ca="1">_xll.BDP($C29 &amp; " Equity","BDVD_NEXT_EST_DECL_DT")</f>
        <v>#NAME?</v>
      </c>
      <c r="K29" s="8" t="str">
        <f t="shared" ca="1" si="2"/>
        <v/>
      </c>
      <c r="L29" s="8" t="e">
        <f ca="1">_xll.BDP($C29&amp; " Equity","dvd_pay_dt")</f>
        <v>#NAME?</v>
      </c>
      <c r="M29" s="8" t="e">
        <f ca="1">_xll.BDP($C29&amp; " Equity","DVD_TYP_LAST")</f>
        <v>#NAME?</v>
      </c>
      <c r="N29" s="8" t="e">
        <f ca="1">_xll.BDP($C29&amp; " Equity","dvd_crncy")</f>
        <v>#NAME?</v>
      </c>
      <c r="O29" s="8" t="str">
        <f t="shared" si="3"/>
        <v>EUR</v>
      </c>
      <c r="P29" s="23" t="e">
        <f t="shared" ca="1" si="4"/>
        <v>#NAME?</v>
      </c>
      <c r="Q29" s="23" t="e">
        <f ca="1">IF(P29="EUR",1,IF(P29="EURGBp Curncy",(_xll.BDP(P29,"PX_LAST")*100),_xll.BDP(P29,"PX_LAST")))</f>
        <v>#NAME?</v>
      </c>
      <c r="R29" s="206" t="str">
        <f t="shared" ca="1" si="5"/>
        <v>-</v>
      </c>
      <c r="S29" s="208" t="str">
        <f t="shared" ca="1" si="11"/>
        <v>-</v>
      </c>
      <c r="T29" s="52">
        <v>34000</v>
      </c>
      <c r="U29" s="52" t="e">
        <f t="shared" ca="1" si="12"/>
        <v>#NAME?</v>
      </c>
      <c r="V29" s="52" t="e">
        <f t="shared" ca="1" si="6"/>
        <v>#NAME?</v>
      </c>
      <c r="W29" s="16" t="str">
        <f t="shared" ca="1" si="13"/>
        <v>-</v>
      </c>
      <c r="X29" s="1077">
        <f t="shared" ca="1" si="7"/>
        <v>0</v>
      </c>
      <c r="Y29" s="16" t="str">
        <f t="shared" ca="1" si="8"/>
        <v>0</v>
      </c>
      <c r="Z29" s="8" t="e">
        <f ca="1">_xll.BDP(B29 &amp;" Equity", "DVD_FREQ")</f>
        <v>#NAME?</v>
      </c>
      <c r="AA29" s="23" t="e">
        <f t="shared" ca="1" si="9"/>
        <v>#NAME?</v>
      </c>
      <c r="AB29" s="206" t="e">
        <f ca="1">_xll.BDP(B29 &amp;" Equity", "EQY_DVD_YLD_IND_NET")</f>
        <v>#NAME?</v>
      </c>
      <c r="AC29" s="6"/>
      <c r="AD29" s="6"/>
      <c r="AG29" s="6" t="s">
        <v>1735</v>
      </c>
      <c r="AH29" s="1152">
        <v>0.15315000000000001</v>
      </c>
      <c r="AI29"/>
      <c r="AJ29"/>
      <c r="AK29"/>
    </row>
    <row r="30" spans="1:37" ht="14.5">
      <c r="A30" s="6"/>
      <c r="B30" s="52" t="s">
        <v>12715</v>
      </c>
      <c r="C30" s="8" t="str">
        <f t="shared" si="10"/>
        <v>CON GR</v>
      </c>
      <c r="D30" s="8" t="e">
        <f ca="1">_xll.BDP(C30 &amp; " Equity","ID_ISIN",)</f>
        <v>#NAME?</v>
      </c>
      <c r="E30" s="14" t="e">
        <f ca="1">_xll.BDP(C30 &amp; " Equity","SECURITY_NAME")</f>
        <v>#NAME?</v>
      </c>
      <c r="F30" s="11" t="e">
        <f ca="1">_xll.BDP($C30 &amp;" Equity","dvd_sh_last")</f>
        <v>#NAME?</v>
      </c>
      <c r="G30" s="11">
        <f t="shared" ca="1" si="0"/>
        <v>0</v>
      </c>
      <c r="H30" s="8" t="str">
        <f t="shared" ca="1" si="1"/>
        <v/>
      </c>
      <c r="I30" s="8" t="e">
        <f ca="1">_xll.BDP($C30 &amp; " Equity","dvd_ex_dt")</f>
        <v>#NAME?</v>
      </c>
      <c r="J30" s="8" t="e">
        <f ca="1">_xll.BDP($C30 &amp; " Equity","BDVD_NEXT_EST_DECL_DT")</f>
        <v>#NAME?</v>
      </c>
      <c r="K30" s="8" t="str">
        <f t="shared" ca="1" si="2"/>
        <v/>
      </c>
      <c r="L30" s="8" t="e">
        <f ca="1">_xll.BDP($C30&amp; " Equity","dvd_pay_dt")</f>
        <v>#NAME?</v>
      </c>
      <c r="M30" s="8" t="e">
        <f ca="1">_xll.BDP($C30&amp; " Equity","DVD_TYP_LAST")</f>
        <v>#NAME?</v>
      </c>
      <c r="N30" s="8" t="e">
        <f ca="1">_xll.BDP($C30&amp; " Equity","dvd_crncy")</f>
        <v>#NAME?</v>
      </c>
      <c r="O30" s="8" t="str">
        <f t="shared" si="3"/>
        <v>EUR</v>
      </c>
      <c r="P30" s="23" t="e">
        <f t="shared" ca="1" si="4"/>
        <v>#NAME?</v>
      </c>
      <c r="Q30" s="23" t="e">
        <f ca="1">IF(P30="EUR",1,IF(P30="EURGBp Curncy",(_xll.BDP(P30,"PX_LAST")*100),_xll.BDP(P30,"PX_LAST")))</f>
        <v>#NAME?</v>
      </c>
      <c r="R30" s="206" t="str">
        <f t="shared" ca="1" si="5"/>
        <v>-</v>
      </c>
      <c r="S30" s="208" t="str">
        <f t="shared" ca="1" si="11"/>
        <v>-</v>
      </c>
      <c r="T30" s="52">
        <v>3300</v>
      </c>
      <c r="U30" s="52" t="e">
        <f t="shared" ca="1" si="12"/>
        <v>#NAME?</v>
      </c>
      <c r="V30" s="52" t="e">
        <f t="shared" ca="1" si="6"/>
        <v>#NAME?</v>
      </c>
      <c r="W30" s="16" t="str">
        <f t="shared" ca="1" si="13"/>
        <v>-</v>
      </c>
      <c r="X30" s="1077">
        <f t="shared" ca="1" si="7"/>
        <v>0</v>
      </c>
      <c r="Y30" s="16" t="str">
        <f t="shared" ca="1" si="8"/>
        <v>0</v>
      </c>
      <c r="Z30" s="8" t="e">
        <f ca="1">_xll.BDP(B30 &amp;" Equity", "DVD_FREQ")</f>
        <v>#NAME?</v>
      </c>
      <c r="AA30" s="23" t="e">
        <f t="shared" ca="1" si="9"/>
        <v>#NAME?</v>
      </c>
      <c r="AB30" s="206" t="e">
        <f ca="1">_xll.BDP(B30 &amp;" Equity", "EQY_DVD_YLD_IND_NET")</f>
        <v>#NAME?</v>
      </c>
      <c r="AC30" s="6"/>
      <c r="AD30" s="6"/>
      <c r="AG30" s="6" t="s">
        <v>1737</v>
      </c>
      <c r="AH30" s="1152">
        <v>0.22</v>
      </c>
      <c r="AI30"/>
      <c r="AJ30"/>
      <c r="AK30"/>
    </row>
    <row r="31" spans="1:37" ht="14.5">
      <c r="A31" s="6"/>
      <c r="B31" s="52" t="s">
        <v>12716</v>
      </c>
      <c r="C31" s="8" t="str">
        <f t="shared" si="10"/>
        <v>RNO FP</v>
      </c>
      <c r="D31" s="8" t="e">
        <f ca="1">_xll.BDP(C31 &amp; " Equity","ID_ISIN",)</f>
        <v>#NAME?</v>
      </c>
      <c r="E31" s="14" t="e">
        <f ca="1">_xll.BDP(C31 &amp; " Equity","SECURITY_NAME")</f>
        <v>#NAME?</v>
      </c>
      <c r="F31" s="11" t="e">
        <f ca="1">_xll.BDP($C31 &amp;" Equity","dvd_sh_last")</f>
        <v>#NAME?</v>
      </c>
      <c r="G31" s="11">
        <f t="shared" ca="1" si="0"/>
        <v>0</v>
      </c>
      <c r="H31" s="8" t="str">
        <f t="shared" ca="1" si="1"/>
        <v/>
      </c>
      <c r="I31" s="8" t="e">
        <f ca="1">_xll.BDP($C31 &amp; " Equity","dvd_ex_dt")</f>
        <v>#NAME?</v>
      </c>
      <c r="J31" s="8" t="e">
        <f ca="1">_xll.BDP($C31 &amp; " Equity","BDVD_NEXT_EST_DECL_DT")</f>
        <v>#NAME?</v>
      </c>
      <c r="K31" s="8" t="str">
        <f t="shared" ca="1" si="2"/>
        <v/>
      </c>
      <c r="L31" s="8" t="e">
        <f ca="1">_xll.BDP($C31&amp; " Equity","dvd_pay_dt")</f>
        <v>#NAME?</v>
      </c>
      <c r="M31" s="8" t="e">
        <f ca="1">_xll.BDP($C31&amp; " Equity","DVD_TYP_LAST")</f>
        <v>#NAME?</v>
      </c>
      <c r="N31" s="8" t="e">
        <f ca="1">_xll.BDP($C31&amp; " Equity","dvd_crncy")</f>
        <v>#NAME?</v>
      </c>
      <c r="O31" s="8" t="str">
        <f t="shared" si="3"/>
        <v>EUR</v>
      </c>
      <c r="P31" s="23" t="e">
        <f t="shared" ca="1" si="4"/>
        <v>#NAME?</v>
      </c>
      <c r="Q31" s="23" t="e">
        <f ca="1">IF(P31="EUR",1,IF(P31="EURGBp Curncy",(_xll.BDP(P31,"PX_LAST")*100),_xll.BDP(P31,"PX_LAST")))</f>
        <v>#NAME?</v>
      </c>
      <c r="R31" s="206" t="str">
        <f t="shared" ca="1" si="5"/>
        <v>-</v>
      </c>
      <c r="S31" s="208" t="str">
        <f t="shared" ca="1" si="11"/>
        <v>-</v>
      </c>
      <c r="T31" s="52">
        <v>6900</v>
      </c>
      <c r="U31" s="52" t="e">
        <f t="shared" ca="1" si="12"/>
        <v>#NAME?</v>
      </c>
      <c r="V31" s="52" t="e">
        <f t="shared" ca="1" si="6"/>
        <v>#NAME?</v>
      </c>
      <c r="W31" s="16" t="str">
        <f t="shared" ca="1" si="13"/>
        <v>-</v>
      </c>
      <c r="X31" s="1077">
        <f t="shared" ca="1" si="7"/>
        <v>0</v>
      </c>
      <c r="Y31" s="16" t="str">
        <f t="shared" ca="1" si="8"/>
        <v>0</v>
      </c>
      <c r="Z31" s="8" t="e">
        <f ca="1">_xll.BDP(B31 &amp;" Equity", "DVD_FREQ")</f>
        <v>#NAME?</v>
      </c>
      <c r="AA31" s="23" t="e">
        <f t="shared" ca="1" si="9"/>
        <v>#NAME?</v>
      </c>
      <c r="AB31" s="206" t="e">
        <f ca="1">_xll.BDP(B31 &amp;" Equity", "EQY_DVD_YLD_IND_NET")</f>
        <v>#NAME?</v>
      </c>
      <c r="AC31" s="6"/>
      <c r="AD31" s="6"/>
      <c r="AG31" s="6" t="s">
        <v>13004</v>
      </c>
      <c r="AH31" s="1152">
        <v>0</v>
      </c>
      <c r="AI31"/>
      <c r="AJ31"/>
      <c r="AK31"/>
    </row>
    <row r="32" spans="1:37" ht="14.5">
      <c r="A32" s="6"/>
      <c r="B32" s="52" t="s">
        <v>12734</v>
      </c>
      <c r="C32" s="8" t="str">
        <f t="shared" si="10"/>
        <v>NKL CN</v>
      </c>
      <c r="D32" s="8" t="e">
        <f ca="1">_xll.BDP(C32 &amp; " Equity","ID_ISIN",)</f>
        <v>#NAME?</v>
      </c>
      <c r="E32" s="14" t="e">
        <f ca="1">_xll.BDP(C32 &amp; " Equity","SECURITY_NAME")</f>
        <v>#NAME?</v>
      </c>
      <c r="F32" s="11" t="e">
        <f ca="1">_xll.BDP($C32 &amp;" Equity","dvd_sh_last")</f>
        <v>#NAME?</v>
      </c>
      <c r="G32" s="11">
        <f t="shared" ca="1" si="0"/>
        <v>0</v>
      </c>
      <c r="H32" s="8" t="str">
        <f t="shared" ca="1" si="1"/>
        <v/>
      </c>
      <c r="I32" s="8" t="e">
        <f ca="1">_xll.BDP($C32 &amp; " Equity","dvd_ex_dt")</f>
        <v>#NAME?</v>
      </c>
      <c r="J32" s="8" t="e">
        <f ca="1">_xll.BDP($C32 &amp; " Equity","BDVD_NEXT_EST_DECL_DT")</f>
        <v>#NAME?</v>
      </c>
      <c r="K32" s="8" t="str">
        <f t="shared" ca="1" si="2"/>
        <v/>
      </c>
      <c r="L32" s="8" t="e">
        <f ca="1">_xll.BDP($C32&amp; " Equity","dvd_pay_dt")</f>
        <v>#NAME?</v>
      </c>
      <c r="M32" s="8" t="e">
        <f ca="1">_xll.BDP($C32&amp; " Equity","DVD_TYP_LAST")</f>
        <v>#NAME?</v>
      </c>
      <c r="N32" s="8" t="e">
        <f ca="1">_xll.BDP($C32&amp; " Equity","dvd_crncy")</f>
        <v>#NAME?</v>
      </c>
      <c r="O32" s="8" t="str">
        <f t="shared" si="3"/>
        <v>EUR</v>
      </c>
      <c r="P32" s="23" t="e">
        <f t="shared" ca="1" si="4"/>
        <v>#NAME?</v>
      </c>
      <c r="Q32" s="23" t="e">
        <f ca="1">IF(P32="EUR",1,IF(P32="EURGBp Curncy",(_xll.BDP(P32,"PX_LAST")*100),_xll.BDP(P32,"PX_LAST")))</f>
        <v>#NAME?</v>
      </c>
      <c r="R32" s="206" t="str">
        <f t="shared" ca="1" si="5"/>
        <v>-</v>
      </c>
      <c r="S32" s="208" t="str">
        <f t="shared" ca="1" si="11"/>
        <v>-</v>
      </c>
      <c r="T32" s="52">
        <v>24000</v>
      </c>
      <c r="U32" s="52" t="e">
        <f t="shared" ca="1" si="12"/>
        <v>#NAME?</v>
      </c>
      <c r="V32" s="52" t="e">
        <f t="shared" ca="1" si="6"/>
        <v>#NAME?</v>
      </c>
      <c r="W32" s="16" t="str">
        <f t="shared" ca="1" si="13"/>
        <v>-</v>
      </c>
      <c r="X32" s="1077">
        <f t="shared" ca="1" si="7"/>
        <v>0</v>
      </c>
      <c r="Y32" s="16" t="str">
        <f t="shared" ca="1" si="8"/>
        <v>0</v>
      </c>
      <c r="Z32" s="8" t="e">
        <f ca="1">_xll.BDP(B32 &amp;" Equity", "DVD_FREQ")</f>
        <v>#NAME?</v>
      </c>
      <c r="AA32" s="23" t="e">
        <f t="shared" ca="1" si="9"/>
        <v>#NAME?</v>
      </c>
      <c r="AB32" s="206" t="e">
        <f ca="1">_xll.BDP(B32 &amp;" Equity", "EQY_DVD_YLD_IND_NET")</f>
        <v>#NAME?</v>
      </c>
      <c r="AC32" s="6"/>
      <c r="AD32" s="6"/>
      <c r="AG32" s="6" t="s">
        <v>13005</v>
      </c>
      <c r="AH32" s="1152">
        <v>0</v>
      </c>
      <c r="AI32"/>
      <c r="AJ32"/>
      <c r="AK32"/>
    </row>
    <row r="33" spans="1:37" ht="14.5">
      <c r="A33" s="6"/>
      <c r="B33" s="52" t="s">
        <v>12717</v>
      </c>
      <c r="C33" s="8" t="str">
        <f t="shared" si="10"/>
        <v>SYR AU</v>
      </c>
      <c r="D33" s="8" t="e">
        <f ca="1">_xll.BDP(C33 &amp; " Equity","ID_ISIN",)</f>
        <v>#NAME?</v>
      </c>
      <c r="E33" s="14" t="e">
        <f ca="1">_xll.BDP(C33 &amp; " Equity","SECURITY_NAME")</f>
        <v>#NAME?</v>
      </c>
      <c r="F33" s="11" t="e">
        <f ca="1">_xll.BDP($C33 &amp;" Equity","dvd_sh_last")</f>
        <v>#NAME?</v>
      </c>
      <c r="G33" s="11">
        <f t="shared" ca="1" si="0"/>
        <v>0</v>
      </c>
      <c r="H33" s="8" t="str">
        <f t="shared" ca="1" si="1"/>
        <v/>
      </c>
      <c r="I33" s="8" t="e">
        <f ca="1">_xll.BDP($C33 &amp; " Equity","dvd_ex_dt")</f>
        <v>#NAME?</v>
      </c>
      <c r="J33" s="8" t="e">
        <f ca="1">_xll.BDP($C33 &amp; " Equity","BDVD_NEXT_EST_DECL_DT")</f>
        <v>#NAME?</v>
      </c>
      <c r="K33" s="8" t="str">
        <f t="shared" ca="1" si="2"/>
        <v/>
      </c>
      <c r="L33" s="8" t="e">
        <f ca="1">_xll.BDP($C33&amp; " Equity","dvd_pay_dt")</f>
        <v>#NAME?</v>
      </c>
      <c r="M33" s="8" t="e">
        <f ca="1">_xll.BDP($C33&amp; " Equity","DVD_TYP_LAST")</f>
        <v>#NAME?</v>
      </c>
      <c r="N33" s="8" t="e">
        <f ca="1">_xll.BDP($C33&amp; " Equity","dvd_crncy")</f>
        <v>#NAME?</v>
      </c>
      <c r="O33" s="8" t="str">
        <f t="shared" si="3"/>
        <v>EUR</v>
      </c>
      <c r="P33" s="23" t="e">
        <f t="shared" ca="1" si="4"/>
        <v>#NAME?</v>
      </c>
      <c r="Q33" s="23" t="e">
        <f ca="1">IF(P33="EUR",1,IF(P33="EURGBp Curncy",(_xll.BDP(P33,"PX_LAST")*100),_xll.BDP(P33,"PX_LAST")))</f>
        <v>#NAME?</v>
      </c>
      <c r="R33" s="206" t="str">
        <f t="shared" ca="1" si="5"/>
        <v>-</v>
      </c>
      <c r="S33" s="208" t="str">
        <f t="shared" ca="1" si="11"/>
        <v>-</v>
      </c>
      <c r="T33" s="52">
        <v>756680</v>
      </c>
      <c r="U33" s="52" t="e">
        <f t="shared" ca="1" si="12"/>
        <v>#NAME?</v>
      </c>
      <c r="V33" s="52" t="e">
        <f t="shared" ca="1" si="6"/>
        <v>#NAME?</v>
      </c>
      <c r="W33" s="16" t="str">
        <f t="shared" ca="1" si="13"/>
        <v>-</v>
      </c>
      <c r="X33" s="1077">
        <f t="shared" ca="1" si="7"/>
        <v>0</v>
      </c>
      <c r="Y33" s="16" t="str">
        <f t="shared" ca="1" si="8"/>
        <v>0</v>
      </c>
      <c r="Z33" s="8" t="e">
        <f ca="1">_xll.BDP(B33 &amp;" Equity", "DVD_FREQ")</f>
        <v>#NAME?</v>
      </c>
      <c r="AA33" s="23" t="e">
        <f t="shared" ca="1" si="9"/>
        <v>#NAME?</v>
      </c>
      <c r="AB33" s="206" t="e">
        <f ca="1">_xll.BDP(B33 &amp;" Equity", "EQY_DVD_YLD_IND_NET")</f>
        <v>#NAME?</v>
      </c>
      <c r="AC33" s="6"/>
      <c r="AD33" s="6"/>
      <c r="AG33" s="6" t="s">
        <v>13006</v>
      </c>
      <c r="AH33" s="1152">
        <v>0</v>
      </c>
      <c r="AI33"/>
      <c r="AJ33"/>
      <c r="AK33"/>
    </row>
    <row r="34" spans="1:37" ht="14.5">
      <c r="A34" s="6"/>
      <c r="B34" s="52" t="s">
        <v>12735</v>
      </c>
      <c r="C34" s="8" t="str">
        <f t="shared" si="10"/>
        <v>ALELIO SS</v>
      </c>
      <c r="D34" s="8" t="e">
        <f ca="1">_xll.BDP(C34 &amp; " Equity","ID_ISIN",)</f>
        <v>#NAME?</v>
      </c>
      <c r="E34" s="14" t="e">
        <f ca="1">_xll.BDP(C34 &amp; " Equity","SECURITY_NAME")</f>
        <v>#NAME?</v>
      </c>
      <c r="F34" s="11" t="e">
        <f ca="1">_xll.BDP($C34 &amp;" Equity","dvd_sh_last")</f>
        <v>#NAME?</v>
      </c>
      <c r="G34" s="11">
        <f t="shared" ca="1" si="0"/>
        <v>0</v>
      </c>
      <c r="H34" s="8" t="str">
        <f t="shared" ca="1" si="1"/>
        <v/>
      </c>
      <c r="I34" s="8" t="e">
        <f ca="1">_xll.BDP($C34 &amp; " Equity","dvd_ex_dt")</f>
        <v>#NAME?</v>
      </c>
      <c r="J34" s="8" t="e">
        <f ca="1">_xll.BDP($C34 &amp; " Equity","BDVD_NEXT_EST_DECL_DT")</f>
        <v>#NAME?</v>
      </c>
      <c r="K34" s="8" t="str">
        <f t="shared" ca="1" si="2"/>
        <v/>
      </c>
      <c r="L34" s="8" t="e">
        <f ca="1">_xll.BDP($C34&amp; " Equity","dvd_pay_dt")</f>
        <v>#NAME?</v>
      </c>
      <c r="M34" s="8" t="e">
        <f ca="1">_xll.BDP($C34&amp; " Equity","DVD_TYP_LAST")</f>
        <v>#NAME?</v>
      </c>
      <c r="N34" s="8" t="e">
        <f ca="1">_xll.BDP($C34&amp; " Equity","dvd_crncy")</f>
        <v>#NAME?</v>
      </c>
      <c r="O34" s="8" t="str">
        <f t="shared" si="3"/>
        <v>EUR</v>
      </c>
      <c r="P34" s="23" t="e">
        <f t="shared" ca="1" si="4"/>
        <v>#NAME?</v>
      </c>
      <c r="Q34" s="23" t="e">
        <f ca="1">IF(P34="EUR",1,IF(P34="EURGBp Curncy",(_xll.BDP(P34,"PX_LAST")*100),_xll.BDP(P34,"PX_LAST")))</f>
        <v>#NAME?</v>
      </c>
      <c r="R34" s="206" t="str">
        <f t="shared" ca="1" si="5"/>
        <v>-</v>
      </c>
      <c r="S34" s="208" t="str">
        <f t="shared" ca="1" si="11"/>
        <v>-</v>
      </c>
      <c r="T34" s="52">
        <v>341291</v>
      </c>
      <c r="U34" s="52" t="e">
        <f t="shared" ca="1" si="12"/>
        <v>#NAME?</v>
      </c>
      <c r="V34" s="52" t="e">
        <f t="shared" ca="1" si="6"/>
        <v>#NAME?</v>
      </c>
      <c r="W34" s="16" t="str">
        <f t="shared" ca="1" si="13"/>
        <v>-</v>
      </c>
      <c r="X34" s="1077">
        <f t="shared" ca="1" si="7"/>
        <v>0</v>
      </c>
      <c r="Y34" s="16" t="str">
        <f t="shared" ca="1" si="8"/>
        <v>0</v>
      </c>
      <c r="Z34" s="8" t="e">
        <f ca="1">_xll.BDP(B34 &amp;" Equity", "DVD_FREQ")</f>
        <v>#NAME?</v>
      </c>
      <c r="AA34" s="23" t="e">
        <f t="shared" ca="1" si="9"/>
        <v>#NAME?</v>
      </c>
      <c r="AB34" s="206" t="e">
        <f ca="1">_xll.BDP(B34 &amp;" Equity", "EQY_DVD_YLD_IND_NET")</f>
        <v>#NAME?</v>
      </c>
      <c r="AC34" s="6"/>
      <c r="AD34" s="6"/>
      <c r="AG34" s="6" t="s">
        <v>1740</v>
      </c>
      <c r="AH34" s="1152">
        <v>0</v>
      </c>
      <c r="AI34"/>
      <c r="AJ34"/>
      <c r="AK34"/>
    </row>
    <row r="35" spans="1:37" ht="14.5">
      <c r="A35" s="6"/>
      <c r="B35" s="52" t="s">
        <v>12718</v>
      </c>
      <c r="C35" s="8" t="str">
        <f t="shared" si="10"/>
        <v>EAF US</v>
      </c>
      <c r="D35" s="8" t="e">
        <f ca="1">_xll.BDP(C35 &amp; " Equity","ID_ISIN",)</f>
        <v>#NAME?</v>
      </c>
      <c r="E35" s="14" t="e">
        <f ca="1">_xll.BDP(C35 &amp; " Equity","SECURITY_NAME")</f>
        <v>#NAME?</v>
      </c>
      <c r="F35" s="11" t="e">
        <f ca="1">_xll.BDP($C35 &amp;" Equity","dvd_sh_last")</f>
        <v>#NAME?</v>
      </c>
      <c r="G35" s="11">
        <f t="shared" ca="1" si="0"/>
        <v>0</v>
      </c>
      <c r="H35" s="8" t="str">
        <f t="shared" ca="1" si="1"/>
        <v/>
      </c>
      <c r="I35" s="8" t="e">
        <f ca="1">_xll.BDP($C35 &amp; " Equity","dvd_ex_dt")</f>
        <v>#NAME?</v>
      </c>
      <c r="J35" s="8" t="e">
        <f ca="1">_xll.BDP($C35 &amp; " Equity","BDVD_NEXT_EST_DECL_DT")</f>
        <v>#NAME?</v>
      </c>
      <c r="K35" s="8" t="str">
        <f t="shared" ca="1" si="2"/>
        <v/>
      </c>
      <c r="L35" s="8" t="e">
        <f ca="1">_xll.BDP($C35&amp; " Equity","dvd_pay_dt")</f>
        <v>#NAME?</v>
      </c>
      <c r="M35" s="8" t="e">
        <f ca="1">_xll.BDP($C35&amp; " Equity","DVD_TYP_LAST")</f>
        <v>#NAME?</v>
      </c>
      <c r="N35" s="8" t="e">
        <f ca="1">_xll.BDP($C35&amp; " Equity","dvd_crncy")</f>
        <v>#NAME?</v>
      </c>
      <c r="O35" s="8" t="str">
        <f t="shared" si="3"/>
        <v>EUR</v>
      </c>
      <c r="P35" s="23" t="e">
        <f t="shared" ca="1" si="4"/>
        <v>#NAME?</v>
      </c>
      <c r="Q35" s="23" t="e">
        <f ca="1">IF(P35="EUR",1,IF(P35="EURGBp Curncy",(_xll.BDP(P35,"PX_LAST")*100),_xll.BDP(P35,"PX_LAST")))</f>
        <v>#NAME?</v>
      </c>
      <c r="R35" s="206" t="str">
        <f t="shared" ca="1" si="5"/>
        <v>-</v>
      </c>
      <c r="S35" s="208" t="str">
        <f t="shared" ca="1" si="11"/>
        <v>-</v>
      </c>
      <c r="T35" s="52">
        <v>14000</v>
      </c>
      <c r="U35" s="52" t="e">
        <f t="shared" ca="1" si="12"/>
        <v>#NAME?</v>
      </c>
      <c r="V35" s="52" t="e">
        <f t="shared" ca="1" si="6"/>
        <v>#NAME?</v>
      </c>
      <c r="W35" s="16" t="str">
        <f t="shared" ca="1" si="13"/>
        <v>-</v>
      </c>
      <c r="X35" s="1077">
        <f t="shared" ca="1" si="7"/>
        <v>0</v>
      </c>
      <c r="Y35" s="16" t="str">
        <f t="shared" ca="1" si="8"/>
        <v>0</v>
      </c>
      <c r="Z35" s="8" t="e">
        <f ca="1">_xll.BDP(B35 &amp;" Equity", "DVD_FREQ")</f>
        <v>#NAME?</v>
      </c>
      <c r="AA35" s="23" t="e">
        <f t="shared" ca="1" si="9"/>
        <v>#NAME?</v>
      </c>
      <c r="AB35" s="206" t="e">
        <f ca="1">_xll.BDP(B35 &amp;" Equity", "EQY_DVD_YLD_IND_NET")</f>
        <v>#NAME?</v>
      </c>
      <c r="AC35" s="6"/>
      <c r="AD35" s="6"/>
      <c r="AG35" s="6" t="s">
        <v>1746</v>
      </c>
      <c r="AH35" s="1152">
        <v>0</v>
      </c>
      <c r="AI35"/>
      <c r="AJ35"/>
      <c r="AK35"/>
    </row>
    <row r="36" spans="1:37" ht="14.5">
      <c r="A36" s="6"/>
      <c r="B36" s="52" t="s">
        <v>12720</v>
      </c>
      <c r="C36" s="8" t="str">
        <f t="shared" si="10"/>
        <v>1958 HK</v>
      </c>
      <c r="D36" s="8" t="e">
        <f ca="1">_xll.BDP(C36 &amp; " Equity","ID_ISIN",)</f>
        <v>#NAME?</v>
      </c>
      <c r="E36" s="14" t="e">
        <f ca="1">_xll.BDP(C36 &amp; " Equity","SECURITY_NAME")</f>
        <v>#NAME?</v>
      </c>
      <c r="F36" s="11" t="e">
        <f ca="1">_xll.BDP($C36 &amp;" Equity","dvd_sh_last")</f>
        <v>#NAME?</v>
      </c>
      <c r="G36" s="11">
        <f t="shared" ca="1" si="0"/>
        <v>0</v>
      </c>
      <c r="H36" s="8" t="str">
        <f t="shared" ca="1" si="1"/>
        <v/>
      </c>
      <c r="I36" s="8" t="e">
        <f ca="1">_xll.BDP($C36 &amp; " Equity","dvd_ex_dt")</f>
        <v>#NAME?</v>
      </c>
      <c r="J36" s="8" t="e">
        <f ca="1">_xll.BDP($C36 &amp; " Equity","BDVD_NEXT_EST_DECL_DT")</f>
        <v>#NAME?</v>
      </c>
      <c r="K36" s="8" t="str">
        <f t="shared" ca="1" si="2"/>
        <v/>
      </c>
      <c r="L36" s="8" t="e">
        <f ca="1">_xll.BDP($C36&amp; " Equity","dvd_pay_dt")</f>
        <v>#NAME?</v>
      </c>
      <c r="M36" s="8" t="e">
        <f ca="1">_xll.BDP($C36&amp; " Equity","DVD_TYP_LAST")</f>
        <v>#NAME?</v>
      </c>
      <c r="N36" s="8" t="e">
        <f ca="1">_xll.BDP($C36&amp; " Equity","dvd_crncy")</f>
        <v>#NAME?</v>
      </c>
      <c r="O36" s="8" t="str">
        <f t="shared" si="3"/>
        <v>EUR</v>
      </c>
      <c r="P36" s="23" t="e">
        <f t="shared" ca="1" si="4"/>
        <v>#NAME?</v>
      </c>
      <c r="Q36" s="23" t="e">
        <f ca="1">IF(P36="EUR",1,IF(P36="EURGBp Curncy",(_xll.BDP(P36,"PX_LAST")*100),_xll.BDP(P36,"PX_LAST")))</f>
        <v>#NAME?</v>
      </c>
      <c r="R36" s="206" t="str">
        <f t="shared" ca="1" si="5"/>
        <v>-</v>
      </c>
      <c r="S36" s="208" t="str">
        <f t="shared" ca="1" si="11"/>
        <v>-</v>
      </c>
      <c r="T36" s="52">
        <v>2000000</v>
      </c>
      <c r="U36" s="52" t="e">
        <f t="shared" ca="1" si="12"/>
        <v>#NAME?</v>
      </c>
      <c r="V36" s="52" t="e">
        <f t="shared" ca="1" si="6"/>
        <v>#NAME?</v>
      </c>
      <c r="W36" s="16" t="str">
        <f t="shared" ca="1" si="13"/>
        <v>-</v>
      </c>
      <c r="X36" s="1077">
        <f t="shared" ca="1" si="7"/>
        <v>0</v>
      </c>
      <c r="Y36" s="16" t="str">
        <f t="shared" ca="1" si="8"/>
        <v>0</v>
      </c>
      <c r="Z36" s="8" t="e">
        <f ca="1">_xll.BDP(B36 &amp;" Equity", "DVD_FREQ")</f>
        <v>#NAME?</v>
      </c>
      <c r="AA36" s="23" t="e">
        <f t="shared" ca="1" si="9"/>
        <v>#NAME?</v>
      </c>
      <c r="AB36" s="206" t="e">
        <f ca="1">_xll.BDP(B36 &amp;" Equity", "EQY_DVD_YLD_IND_NET")</f>
        <v>#NAME?</v>
      </c>
      <c r="AC36" s="6"/>
      <c r="AD36" s="6"/>
      <c r="AG36" s="6" t="s">
        <v>1058</v>
      </c>
      <c r="AH36" s="1152">
        <v>0.25</v>
      </c>
      <c r="AI36"/>
      <c r="AJ36"/>
      <c r="AK36"/>
    </row>
    <row r="37" spans="1:37" ht="14.5">
      <c r="A37" s="6"/>
      <c r="B37" s="52" t="s">
        <v>12737</v>
      </c>
      <c r="C37" s="8" t="str">
        <f t="shared" si="10"/>
        <v>4094 JP</v>
      </c>
      <c r="D37" s="8" t="e">
        <f ca="1">_xll.BDP(C37 &amp; " Equity","ID_ISIN",)</f>
        <v>#NAME?</v>
      </c>
      <c r="E37" s="14" t="e">
        <f ca="1">_xll.BDP(C37 &amp; " Equity","SECURITY_NAME")</f>
        <v>#NAME?</v>
      </c>
      <c r="F37" s="11" t="e">
        <f ca="1">_xll.BDP($C37 &amp;" Equity","dvd_sh_last")</f>
        <v>#NAME?</v>
      </c>
      <c r="G37" s="11">
        <f t="shared" ca="1" si="0"/>
        <v>0</v>
      </c>
      <c r="H37" s="8" t="str">
        <f t="shared" ca="1" si="1"/>
        <v/>
      </c>
      <c r="I37" s="8" t="e">
        <f ca="1">_xll.BDP($C37 &amp; " Equity","dvd_ex_dt")</f>
        <v>#NAME?</v>
      </c>
      <c r="J37" s="8" t="e">
        <f ca="1">_xll.BDP($C37 &amp; " Equity","BDVD_NEXT_EST_DECL_DT")</f>
        <v>#NAME?</v>
      </c>
      <c r="K37" s="8" t="str">
        <f t="shared" ca="1" si="2"/>
        <v/>
      </c>
      <c r="L37" s="8" t="e">
        <f ca="1">_xll.BDP($C37&amp; " Equity","dvd_pay_dt")</f>
        <v>#NAME?</v>
      </c>
      <c r="M37" s="8" t="e">
        <f ca="1">_xll.BDP($C37&amp; " Equity","DVD_TYP_LAST")</f>
        <v>#NAME?</v>
      </c>
      <c r="N37" s="8" t="e">
        <f ca="1">_xll.BDP($C37&amp; " Equity","dvd_crncy")</f>
        <v>#NAME?</v>
      </c>
      <c r="O37" s="8" t="str">
        <f t="shared" si="3"/>
        <v>EUR</v>
      </c>
      <c r="P37" s="23" t="e">
        <f t="shared" ca="1" si="4"/>
        <v>#NAME?</v>
      </c>
      <c r="Q37" s="23" t="e">
        <f ca="1">IF(P37="EUR",1,IF(P37="EURGBp Curncy",(_xll.BDP(P37,"PX_LAST")*100),_xll.BDP(P37,"PX_LAST")))</f>
        <v>#NAME?</v>
      </c>
      <c r="R37" s="206" t="str">
        <f t="shared" ca="1" si="5"/>
        <v>-</v>
      </c>
      <c r="S37" s="208" t="str">
        <f t="shared" ca="1" si="11"/>
        <v>-</v>
      </c>
      <c r="T37" s="52">
        <v>17000</v>
      </c>
      <c r="U37" s="52" t="e">
        <f t="shared" ca="1" si="12"/>
        <v>#NAME?</v>
      </c>
      <c r="V37" s="52" t="e">
        <f t="shared" ca="1" si="6"/>
        <v>#NAME?</v>
      </c>
      <c r="W37" s="16" t="str">
        <f t="shared" ca="1" si="13"/>
        <v>-</v>
      </c>
      <c r="X37" s="1077">
        <f t="shared" ca="1" si="7"/>
        <v>0</v>
      </c>
      <c r="Y37" s="16" t="str">
        <f t="shared" ca="1" si="8"/>
        <v>0</v>
      </c>
      <c r="Z37" s="8" t="e">
        <f ca="1">_xll.BDP(B37 &amp;" Equity", "DVD_FREQ")</f>
        <v>#NAME?</v>
      </c>
      <c r="AA37" s="23" t="e">
        <f t="shared" ca="1" si="9"/>
        <v>#NAME?</v>
      </c>
      <c r="AB37" s="206" t="e">
        <f ca="1">_xll.BDP(B37 &amp;" Equity", "EQY_DVD_YLD_IND_NET")</f>
        <v>#NAME?</v>
      </c>
      <c r="AC37" s="6"/>
      <c r="AD37" s="6"/>
      <c r="AG37" s="6" t="s">
        <v>1752</v>
      </c>
      <c r="AH37" s="1152">
        <v>0.3</v>
      </c>
      <c r="AI37"/>
      <c r="AJ37"/>
      <c r="AK37"/>
    </row>
    <row r="38" spans="1:37" ht="14.5">
      <c r="A38" s="6"/>
      <c r="B38" s="52" t="s">
        <v>12738</v>
      </c>
      <c r="C38" s="8" t="str">
        <f t="shared" si="10"/>
        <v>NILSY US</v>
      </c>
      <c r="D38" s="8" t="e">
        <f ca="1">_xll.BDP(C38 &amp; " Equity","ID_ISIN",)</f>
        <v>#NAME?</v>
      </c>
      <c r="E38" s="14" t="e">
        <f ca="1">_xll.BDP(C38 &amp; " Equity","SECURITY_NAME")</f>
        <v>#NAME?</v>
      </c>
      <c r="F38" s="11" t="e">
        <f ca="1">_xll.BDP($C38 &amp;" Equity","dvd_sh_last")</f>
        <v>#NAME?</v>
      </c>
      <c r="G38" s="11">
        <f t="shared" ca="1" si="0"/>
        <v>0</v>
      </c>
      <c r="H38" s="8" t="str">
        <f t="shared" ca="1" si="1"/>
        <v/>
      </c>
      <c r="I38" s="8" t="e">
        <f ca="1">_xll.BDP($C38 &amp; " Equity","dvd_ex_dt")</f>
        <v>#NAME?</v>
      </c>
      <c r="J38" s="8" t="e">
        <f ca="1">_xll.BDP($C38 &amp; " Equity","BDVD_NEXT_EST_DECL_DT")</f>
        <v>#NAME?</v>
      </c>
      <c r="K38" s="8" t="str">
        <f t="shared" ca="1" si="2"/>
        <v/>
      </c>
      <c r="L38" s="8" t="e">
        <f ca="1">_xll.BDP($C38&amp; " Equity","dvd_pay_dt")</f>
        <v>#NAME?</v>
      </c>
      <c r="M38" s="8" t="e">
        <f ca="1">_xll.BDP($C38&amp; " Equity","DVD_TYP_LAST")</f>
        <v>#NAME?</v>
      </c>
      <c r="N38" s="8" t="e">
        <f ca="1">_xll.BDP($C38&amp; " Equity","dvd_crncy")</f>
        <v>#NAME?</v>
      </c>
      <c r="O38" s="8" t="str">
        <f t="shared" si="3"/>
        <v>EUR</v>
      </c>
      <c r="P38" s="23" t="e">
        <f t="shared" ca="1" si="4"/>
        <v>#NAME?</v>
      </c>
      <c r="Q38" s="23" t="e">
        <f ca="1">IF(P38="EUR",1,IF(P38="EURGBp Curncy",(_xll.BDP(P38,"PX_LAST")*100),_xll.BDP(P38,"PX_LAST")))</f>
        <v>#NAME?</v>
      </c>
      <c r="R38" s="206" t="str">
        <f t="shared" ca="1" si="5"/>
        <v>-</v>
      </c>
      <c r="S38" s="208" t="str">
        <f t="shared" ca="1" si="11"/>
        <v>-</v>
      </c>
      <c r="T38" s="52">
        <v>17000</v>
      </c>
      <c r="U38" s="52" t="e">
        <f t="shared" ca="1" si="12"/>
        <v>#NAME?</v>
      </c>
      <c r="V38" s="52" t="e">
        <f t="shared" ca="1" si="6"/>
        <v>#NAME?</v>
      </c>
      <c r="W38" s="16" t="str">
        <f t="shared" ca="1" si="13"/>
        <v>-</v>
      </c>
      <c r="X38" s="1077">
        <f t="shared" ca="1" si="7"/>
        <v>0</v>
      </c>
      <c r="Y38" s="16" t="str">
        <f t="shared" ca="1" si="8"/>
        <v>0</v>
      </c>
      <c r="Z38" s="8" t="e">
        <f ca="1">_xll.BDP(B38 &amp;" Equity", "DVD_FREQ")</f>
        <v>#NAME?</v>
      </c>
      <c r="AA38" s="23" t="e">
        <f t="shared" ca="1" si="9"/>
        <v>#NAME?</v>
      </c>
      <c r="AB38" s="206" t="e">
        <f ca="1">_xll.BDP(B38 &amp;" Equity", "EQY_DVD_YLD_IND_NET")</f>
        <v>#NAME?</v>
      </c>
      <c r="AC38" s="6"/>
      <c r="AD38" s="6"/>
      <c r="AG38" s="6" t="s">
        <v>1727</v>
      </c>
      <c r="AH38" s="1152">
        <v>0.28000000000000003</v>
      </c>
      <c r="AI38"/>
      <c r="AJ38"/>
      <c r="AK38"/>
    </row>
    <row r="39" spans="1:37" ht="14.5">
      <c r="A39" s="6"/>
      <c r="B39" s="52" t="s">
        <v>12739</v>
      </c>
      <c r="C39" s="8" t="str">
        <f t="shared" si="10"/>
        <v>4109 JP</v>
      </c>
      <c r="D39" s="8" t="e">
        <f ca="1">_xll.BDP(C39 &amp; " Equity","ID_ISIN",)</f>
        <v>#NAME?</v>
      </c>
      <c r="E39" s="14" t="e">
        <f ca="1">_xll.BDP(C39 &amp; " Equity","SECURITY_NAME")</f>
        <v>#NAME?</v>
      </c>
      <c r="F39" s="11" t="e">
        <f ca="1">_xll.BDP($C39 &amp;" Equity","dvd_sh_last")</f>
        <v>#NAME?</v>
      </c>
      <c r="G39" s="11">
        <f t="shared" ca="1" si="0"/>
        <v>0</v>
      </c>
      <c r="H39" s="8" t="str">
        <f t="shared" ca="1" si="1"/>
        <v/>
      </c>
      <c r="I39" s="8" t="e">
        <f ca="1">_xll.BDP($C39 &amp; " Equity","dvd_ex_dt")</f>
        <v>#NAME?</v>
      </c>
      <c r="J39" s="8" t="e">
        <f ca="1">_xll.BDP($C39 &amp; " Equity","BDVD_NEXT_EST_DECL_DT")</f>
        <v>#NAME?</v>
      </c>
      <c r="K39" s="8" t="str">
        <f t="shared" ca="1" si="2"/>
        <v/>
      </c>
      <c r="L39" s="8" t="e">
        <f ca="1">_xll.BDP($C39&amp; " Equity","dvd_pay_dt")</f>
        <v>#NAME?</v>
      </c>
      <c r="M39" s="8" t="e">
        <f ca="1">_xll.BDP($C39&amp; " Equity","DVD_TYP_LAST")</f>
        <v>#NAME?</v>
      </c>
      <c r="N39" s="8" t="e">
        <f ca="1">_xll.BDP($C39&amp; " Equity","dvd_crncy")</f>
        <v>#NAME?</v>
      </c>
      <c r="O39" s="8" t="str">
        <f t="shared" si="3"/>
        <v>EUR</v>
      </c>
      <c r="P39" s="23" t="e">
        <f t="shared" ca="1" si="4"/>
        <v>#NAME?</v>
      </c>
      <c r="Q39" s="23" t="e">
        <f ca="1">IF(P39="EUR",1,IF(P39="EURGBp Curncy",(_xll.BDP(P39,"PX_LAST")*100),_xll.BDP(P39,"PX_LAST")))</f>
        <v>#NAME?</v>
      </c>
      <c r="R39" s="206" t="str">
        <f t="shared" ca="1" si="5"/>
        <v>-</v>
      </c>
      <c r="S39" s="208" t="str">
        <f t="shared" ca="1" si="11"/>
        <v>-</v>
      </c>
      <c r="T39" s="52">
        <v>14200</v>
      </c>
      <c r="U39" s="52" t="e">
        <f ca="1">IF(F39="#N/A Field Not Applicable",0,F39*T39)</f>
        <v>#NAME?</v>
      </c>
      <c r="V39" s="52" t="e">
        <f ca="1">+U39</f>
        <v>#NAME?</v>
      </c>
      <c r="W39" s="16" t="str">
        <f t="shared" ca="1" si="13"/>
        <v>-</v>
      </c>
      <c r="X39" s="1077">
        <f t="shared" ca="1" si="7"/>
        <v>0</v>
      </c>
      <c r="Y39" s="16" t="str">
        <f t="shared" ca="1" si="8"/>
        <v>0</v>
      </c>
      <c r="Z39" s="8" t="e">
        <f ca="1">_xll.BDP(B39 &amp;" Equity", "DVD_FREQ")</f>
        <v>#NAME?</v>
      </c>
      <c r="AA39" s="23" t="e">
        <f t="shared" ca="1" si="9"/>
        <v>#NAME?</v>
      </c>
      <c r="AB39" s="206" t="e">
        <f ca="1">_xll.BDP(B39 &amp;" Equity", "EQY_DVD_YLD_IND_NET")</f>
        <v>#NAME?</v>
      </c>
      <c r="AC39" s="6"/>
      <c r="AD39" s="6"/>
      <c r="AG39" s="6" t="s">
        <v>1762</v>
      </c>
      <c r="AH39" s="1152">
        <v>0.3</v>
      </c>
      <c r="AI39"/>
      <c r="AJ39"/>
      <c r="AK39"/>
    </row>
    <row r="40" spans="1:37" ht="14.5">
      <c r="A40" s="6"/>
      <c r="B40" s="52" t="s">
        <v>12722</v>
      </c>
      <c r="C40" s="8" t="str">
        <f t="shared" si="10"/>
        <v>VOW3 GY</v>
      </c>
      <c r="D40" s="8" t="e">
        <f ca="1">_xll.BDP(C40 &amp; " Equity","ID_ISIN",)</f>
        <v>#NAME?</v>
      </c>
      <c r="E40" s="14" t="e">
        <f ca="1">_xll.BDP(C40 &amp; " Equity","SECURITY_NAME")</f>
        <v>#NAME?</v>
      </c>
      <c r="F40" s="11" t="e">
        <f ca="1">_xll.BDP($C40 &amp;" Equity","dvd_sh_last")</f>
        <v>#NAME?</v>
      </c>
      <c r="G40" s="11">
        <f t="shared" ca="1" si="0"/>
        <v>0</v>
      </c>
      <c r="H40" s="8" t="str">
        <f t="shared" ca="1" si="1"/>
        <v/>
      </c>
      <c r="I40" s="8" t="e">
        <f ca="1">_xll.BDP($C40 &amp; " Equity","dvd_ex_dt")</f>
        <v>#NAME?</v>
      </c>
      <c r="J40" s="8" t="e">
        <f ca="1">_xll.BDP($C40 &amp; " Equity","BDVD_NEXT_EST_DECL_DT")</f>
        <v>#NAME?</v>
      </c>
      <c r="K40" s="8" t="str">
        <f t="shared" ca="1" si="2"/>
        <v/>
      </c>
      <c r="L40" s="8" t="e">
        <f ca="1">_xll.BDP($C40&amp; " Equity","dvd_pay_dt")</f>
        <v>#NAME?</v>
      </c>
      <c r="M40" s="8" t="e">
        <f ca="1">_xll.BDP($C40&amp; " Equity","DVD_TYP_LAST")</f>
        <v>#NAME?</v>
      </c>
      <c r="N40" s="8" t="e">
        <f ca="1">_xll.BDP($C40&amp; " Equity","dvd_crncy")</f>
        <v>#NAME?</v>
      </c>
      <c r="O40" s="8" t="str">
        <f t="shared" si="3"/>
        <v>EUR</v>
      </c>
      <c r="P40" s="23" t="e">
        <f t="shared" ca="1" si="4"/>
        <v>#NAME?</v>
      </c>
      <c r="Q40" s="23" t="e">
        <f ca="1">IF(P40="EUR",1,IF(P40="EURGBp Curncy",(_xll.BDP(P40,"PX_LAST")*100),_xll.BDP(P40,"PX_LAST")))</f>
        <v>#NAME?</v>
      </c>
      <c r="R40" s="206" t="str">
        <f t="shared" ca="1" si="5"/>
        <v>-</v>
      </c>
      <c r="S40" s="208" t="str">
        <f t="shared" ca="1" si="11"/>
        <v>-</v>
      </c>
      <c r="T40" s="52">
        <v>2270</v>
      </c>
      <c r="U40" s="52" t="e">
        <f t="shared" ca="1" si="12"/>
        <v>#NAME?</v>
      </c>
      <c r="V40" s="52" t="e">
        <f t="shared" ca="1" si="6"/>
        <v>#NAME?</v>
      </c>
      <c r="W40" s="16" t="str">
        <f t="shared" ca="1" si="13"/>
        <v>-</v>
      </c>
      <c r="X40" s="1077">
        <f t="shared" ca="1" si="7"/>
        <v>0</v>
      </c>
      <c r="Y40" s="16" t="str">
        <f t="shared" ca="1" si="8"/>
        <v>0</v>
      </c>
      <c r="Z40" s="8" t="e">
        <f ca="1">_xll.BDP(B40 &amp;" Equity", "DVD_FREQ")</f>
        <v>#NAME?</v>
      </c>
      <c r="AA40" s="23" t="e">
        <f t="shared" ca="1" si="9"/>
        <v>#NAME?</v>
      </c>
      <c r="AB40" s="206" t="e">
        <f ca="1">_xll.BDP(B40 &amp;" Equity", "EQY_DVD_YLD_IND_NET")</f>
        <v>#NAME?</v>
      </c>
      <c r="AC40" s="6"/>
      <c r="AD40" s="6"/>
      <c r="AG40" s="6" t="s">
        <v>1758</v>
      </c>
      <c r="AH40" s="1152">
        <v>0.1</v>
      </c>
      <c r="AI40"/>
      <c r="AJ40"/>
      <c r="AK40"/>
    </row>
    <row r="41" spans="1:37" ht="14.5">
      <c r="A41" s="6"/>
      <c r="B41" s="52" t="s">
        <v>12740</v>
      </c>
      <c r="C41" s="8" t="str">
        <f t="shared" si="10"/>
        <v>GLEN LN</v>
      </c>
      <c r="D41" s="8" t="e">
        <f ca="1">_xll.BDP(C41 &amp; " Equity","ID_ISIN",)</f>
        <v>#NAME?</v>
      </c>
      <c r="E41" s="14" t="e">
        <f ca="1">_xll.BDP(C41 &amp; " Equity","SECURITY_NAME")</f>
        <v>#NAME?</v>
      </c>
      <c r="F41" s="11" t="e">
        <f ca="1">_xll.BDP($C41 &amp;" Equity","dvd_sh_last")</f>
        <v>#NAME?</v>
      </c>
      <c r="G41" s="11">
        <f t="shared" ca="1" si="0"/>
        <v>0</v>
      </c>
      <c r="H41" s="8" t="str">
        <f t="shared" ca="1" si="1"/>
        <v/>
      </c>
      <c r="I41" s="8" t="e">
        <f ca="1">_xll.BDP($C41 &amp; " Equity","dvd_ex_dt")</f>
        <v>#NAME?</v>
      </c>
      <c r="J41" s="8" t="e">
        <f ca="1">_xll.BDP($C41 &amp; " Equity","BDVD_NEXT_EST_DECL_DT")</f>
        <v>#NAME?</v>
      </c>
      <c r="K41" s="8" t="str">
        <f t="shared" ca="1" si="2"/>
        <v/>
      </c>
      <c r="L41" s="8" t="e">
        <f ca="1">_xll.BDP($C41&amp; " Equity","dvd_pay_dt")</f>
        <v>#NAME?</v>
      </c>
      <c r="M41" s="8" t="e">
        <f ca="1">_xll.BDP($C41&amp; " Equity","DVD_TYP_LAST")</f>
        <v>#NAME?</v>
      </c>
      <c r="N41" s="8" t="e">
        <f ca="1">_xll.BDP($C41&amp; " Equity","dvd_crncy")</f>
        <v>#NAME?</v>
      </c>
      <c r="O41" s="8" t="str">
        <f t="shared" si="3"/>
        <v>EUR</v>
      </c>
      <c r="P41" s="23" t="e">
        <f t="shared" ca="1" si="4"/>
        <v>#NAME?</v>
      </c>
      <c r="Q41" s="23" t="e">
        <f ca="1">IF(P41="EUR",1,IF(P41="EURGBp Curncy",(_xll.BDP(P41,"PX_LAST")*100),_xll.BDP(P41,"PX_LAST")))</f>
        <v>#NAME?</v>
      </c>
      <c r="R41" s="206" t="str">
        <f t="shared" ca="1" si="5"/>
        <v>-</v>
      </c>
      <c r="S41" s="208" t="str">
        <f t="shared" ca="1" si="11"/>
        <v>-</v>
      </c>
      <c r="T41" s="52">
        <v>22000</v>
      </c>
      <c r="U41" s="52" t="e">
        <f t="shared" ca="1" si="12"/>
        <v>#NAME?</v>
      </c>
      <c r="V41" s="52" t="e">
        <f t="shared" ca="1" si="6"/>
        <v>#NAME?</v>
      </c>
      <c r="W41" s="16" t="str">
        <f t="shared" ca="1" si="13"/>
        <v>-</v>
      </c>
      <c r="X41" s="1077">
        <f t="shared" ca="1" si="7"/>
        <v>0</v>
      </c>
      <c r="Y41" s="16" t="str">
        <f t="shared" ca="1" si="8"/>
        <v>0</v>
      </c>
      <c r="Z41" s="8" t="e">
        <f ca="1">_xll.BDP(B41 &amp;" Equity", "DVD_FREQ")</f>
        <v>#NAME?</v>
      </c>
      <c r="AA41" s="23" t="e">
        <f t="shared" ca="1" si="9"/>
        <v>#NAME?</v>
      </c>
      <c r="AB41" s="206" t="e">
        <f ca="1">_xll.BDP(B41 &amp;" Equity", "EQY_DVD_YLD_IND_NET")</f>
        <v>#NAME?</v>
      </c>
      <c r="AC41" s="6"/>
      <c r="AD41" s="6"/>
      <c r="AG41" s="6" t="s">
        <v>1541</v>
      </c>
      <c r="AH41" s="1152">
        <v>0.3</v>
      </c>
      <c r="AI41"/>
      <c r="AJ41"/>
      <c r="AK41"/>
    </row>
    <row r="42" spans="1:37" ht="14.5">
      <c r="A42" s="6"/>
      <c r="B42" s="52" t="s">
        <v>12741</v>
      </c>
      <c r="C42" s="8" t="str">
        <f t="shared" si="10"/>
        <v>064960 KS</v>
      </c>
      <c r="D42" s="8" t="e">
        <f ca="1">_xll.BDP(C42 &amp; " Equity","ID_ISIN",)</f>
        <v>#NAME?</v>
      </c>
      <c r="E42" s="14" t="e">
        <f ca="1">_xll.BDP(C42 &amp; " Equity","SECURITY_NAME")</f>
        <v>#NAME?</v>
      </c>
      <c r="F42" s="11" t="e">
        <f ca="1">_xll.BDP($C42 &amp;" Equity","dvd_sh_last")</f>
        <v>#NAME?</v>
      </c>
      <c r="G42" s="11">
        <f t="shared" ca="1" si="0"/>
        <v>0</v>
      </c>
      <c r="H42" s="8" t="str">
        <f t="shared" ca="1" si="1"/>
        <v/>
      </c>
      <c r="I42" s="8" t="e">
        <f ca="1">_xll.BDP($C42 &amp; " Equity","dvd_ex_dt")</f>
        <v>#NAME?</v>
      </c>
      <c r="J42" s="8" t="e">
        <f ca="1">_xll.BDP($C42 &amp; " Equity","BDVD_NEXT_EST_DECL_DT")</f>
        <v>#NAME?</v>
      </c>
      <c r="K42" s="8" t="str">
        <f t="shared" ca="1" si="2"/>
        <v/>
      </c>
      <c r="L42" s="8" t="e">
        <f ca="1">_xll.BDP($C42&amp; " Equity","dvd_pay_dt")</f>
        <v>#NAME?</v>
      </c>
      <c r="M42" s="8" t="e">
        <f ca="1">_xll.BDP($C42&amp; " Equity","DVD_TYP_LAST")</f>
        <v>#NAME?</v>
      </c>
      <c r="N42" s="8" t="e">
        <f ca="1">_xll.BDP($C42&amp; " Equity","dvd_crncy")</f>
        <v>#NAME?</v>
      </c>
      <c r="O42" s="8" t="str">
        <f t="shared" si="3"/>
        <v>EUR</v>
      </c>
      <c r="P42" s="23" t="e">
        <f t="shared" ca="1" si="4"/>
        <v>#NAME?</v>
      </c>
      <c r="Q42" s="23" t="e">
        <f ca="1">IF(P42="EUR",1,IF(P42="EURGBp Curncy",(_xll.BDP(P42,"PX_LAST")*100),_xll.BDP(P42,"PX_LAST")))</f>
        <v>#NAME?</v>
      </c>
      <c r="R42" s="206" t="str">
        <f t="shared" ca="1" si="5"/>
        <v>-</v>
      </c>
      <c r="S42" s="208" t="str">
        <f t="shared" ca="1" si="11"/>
        <v>-</v>
      </c>
      <c r="T42" s="52">
        <v>11000</v>
      </c>
      <c r="U42" s="52" t="e">
        <f t="shared" ca="1" si="12"/>
        <v>#NAME?</v>
      </c>
      <c r="V42" s="52" t="e">
        <f t="shared" ca="1" si="6"/>
        <v>#NAME?</v>
      </c>
      <c r="W42" s="16" t="str">
        <f t="shared" ca="1" si="13"/>
        <v>-</v>
      </c>
      <c r="X42" s="1077">
        <f t="shared" ca="1" si="7"/>
        <v>0</v>
      </c>
      <c r="Y42" s="16" t="str">
        <f t="shared" ca="1" si="8"/>
        <v>0</v>
      </c>
      <c r="Z42" s="8" t="e">
        <f ca="1">_xll.BDP(B42 &amp;" Equity", "DVD_FREQ")</f>
        <v>#NAME?</v>
      </c>
      <c r="AA42" s="23" t="e">
        <f t="shared" ca="1" si="9"/>
        <v>#NAME?</v>
      </c>
      <c r="AB42" s="206" t="e">
        <f ca="1">_xll.BDP(B42 &amp;" Equity", "EQY_DVD_YLD_IND_NET")</f>
        <v>#NAME?</v>
      </c>
      <c r="AC42" s="6"/>
      <c r="AD42" s="6"/>
      <c r="AG42" s="6" t="s">
        <v>1710</v>
      </c>
      <c r="AH42" s="1152">
        <v>0.3</v>
      </c>
      <c r="AI42"/>
      <c r="AJ42"/>
      <c r="AK42"/>
    </row>
    <row r="43" spans="1:37" ht="14.5">
      <c r="A43" s="6"/>
      <c r="B43" s="52" t="s">
        <v>12723</v>
      </c>
      <c r="C43" s="8" t="str">
        <f t="shared" si="10"/>
        <v>005490 KS</v>
      </c>
      <c r="D43" s="8" t="e">
        <f ca="1">_xll.BDP(C43 &amp; " Equity","ID_ISIN",)</f>
        <v>#NAME?</v>
      </c>
      <c r="E43" s="14" t="e">
        <f ca="1">_xll.BDP(C43 &amp; " Equity","SECURITY_NAME")</f>
        <v>#NAME?</v>
      </c>
      <c r="F43" s="11" t="e">
        <f ca="1">_xll.BDP($C43 &amp;" Equity","dvd_sh_last")</f>
        <v>#NAME?</v>
      </c>
      <c r="G43" s="11">
        <f t="shared" ca="1" si="0"/>
        <v>0</v>
      </c>
      <c r="H43" s="8" t="str">
        <f t="shared" ca="1" si="1"/>
        <v/>
      </c>
      <c r="I43" s="8" t="e">
        <f ca="1">_xll.BDP($C43 &amp; " Equity","dvd_ex_dt")</f>
        <v>#NAME?</v>
      </c>
      <c r="J43" s="8" t="e">
        <f ca="1">_xll.BDP($C43 &amp; " Equity","BDVD_NEXT_EST_DECL_DT")</f>
        <v>#NAME?</v>
      </c>
      <c r="K43" s="8" t="str">
        <f t="shared" ca="1" si="2"/>
        <v/>
      </c>
      <c r="L43" s="8" t="e">
        <f ca="1">_xll.BDP($C43&amp; " Equity","dvd_pay_dt")</f>
        <v>#NAME?</v>
      </c>
      <c r="M43" s="8" t="e">
        <f ca="1">_xll.BDP($C43&amp; " Equity","DVD_TYP_LAST")</f>
        <v>#NAME?</v>
      </c>
      <c r="N43" s="8" t="e">
        <f ca="1">_xll.BDP($C43&amp; " Equity","dvd_crncy")</f>
        <v>#NAME?</v>
      </c>
      <c r="O43" s="8" t="str">
        <f t="shared" si="3"/>
        <v>EUR</v>
      </c>
      <c r="P43" s="23" t="e">
        <f t="shared" ca="1" si="4"/>
        <v>#NAME?</v>
      </c>
      <c r="Q43" s="23" t="e">
        <f ca="1">IF(P43="EUR",1,IF(P43="EURGBp Curncy",(_xll.BDP(P43,"PX_LAST")*100),_xll.BDP(P43,"PX_LAST")))</f>
        <v>#NAME?</v>
      </c>
      <c r="R43" s="206" t="str">
        <f t="shared" ca="1" si="5"/>
        <v>-</v>
      </c>
      <c r="S43" s="208" t="str">
        <f t="shared" ca="1" si="11"/>
        <v>-</v>
      </c>
      <c r="T43" s="52">
        <v>2200</v>
      </c>
      <c r="U43" s="52" t="e">
        <f t="shared" ca="1" si="12"/>
        <v>#NAME?</v>
      </c>
      <c r="V43" s="52" t="e">
        <f t="shared" ca="1" si="6"/>
        <v>#NAME?</v>
      </c>
      <c r="W43" s="16" t="str">
        <f t="shared" ca="1" si="13"/>
        <v>-</v>
      </c>
      <c r="X43" s="1077">
        <f t="shared" ca="1" si="7"/>
        <v>0</v>
      </c>
      <c r="Y43" s="16" t="str">
        <f t="shared" ca="1" si="8"/>
        <v>0</v>
      </c>
      <c r="Z43" s="8" t="e">
        <f ca="1">_xll.BDP(B43 &amp;" Equity", "DVD_FREQ")</f>
        <v>#NAME?</v>
      </c>
      <c r="AA43" s="23" t="e">
        <f t="shared" ca="1" si="9"/>
        <v>#NAME?</v>
      </c>
      <c r="AB43" s="206" t="e">
        <f ca="1">_xll.BDP(B43 &amp;" Equity", "EQY_DVD_YLD_IND_NET")</f>
        <v>#NAME?</v>
      </c>
      <c r="AC43" s="6"/>
      <c r="AD43" s="6"/>
      <c r="AG43" s="6" t="s">
        <v>1764</v>
      </c>
      <c r="AH43" s="1152">
        <v>0.3</v>
      </c>
      <c r="AI43"/>
      <c r="AJ43"/>
      <c r="AK43"/>
    </row>
    <row r="44" spans="1:37" ht="14.5">
      <c r="A44" s="6"/>
      <c r="B44" s="52" t="s">
        <v>12789</v>
      </c>
      <c r="C44" s="8" t="str">
        <f t="shared" si="10"/>
        <v>056190 KS</v>
      </c>
      <c r="D44" s="8" t="e">
        <f ca="1">_xll.BDP(C44 &amp; " Equity","ID_ISIN",)</f>
        <v>#NAME?</v>
      </c>
      <c r="E44" s="14" t="e">
        <f ca="1">_xll.BDP(C44 &amp; " Equity","SECURITY_NAME")</f>
        <v>#NAME?</v>
      </c>
      <c r="F44" s="11" t="e">
        <f ca="1">_xll.BDP($C44 &amp;" Equity","dvd_sh_last")</f>
        <v>#NAME?</v>
      </c>
      <c r="G44" s="11">
        <f t="shared" ca="1" si="0"/>
        <v>0</v>
      </c>
      <c r="H44" s="8" t="str">
        <f t="shared" ca="1" si="1"/>
        <v/>
      </c>
      <c r="I44" s="8" t="e">
        <f ca="1">_xll.BDP($C44 &amp; " Equity","dvd_ex_dt")</f>
        <v>#NAME?</v>
      </c>
      <c r="J44" s="8" t="e">
        <f ca="1">_xll.BDP($C44 &amp; " Equity","BDVD_NEXT_EST_DECL_DT")</f>
        <v>#NAME?</v>
      </c>
      <c r="K44" s="8" t="str">
        <f t="shared" ca="1" si="2"/>
        <v/>
      </c>
      <c r="L44" s="8" t="e">
        <f ca="1">_xll.BDP($C44&amp; " Equity","dvd_pay_dt")</f>
        <v>#NAME?</v>
      </c>
      <c r="M44" s="8" t="e">
        <f ca="1">_xll.BDP($C44&amp; " Equity","DVD_TYP_LAST")</f>
        <v>#NAME?</v>
      </c>
      <c r="N44" s="8" t="e">
        <f ca="1">_xll.BDP($C44&amp; " Equity","dvd_crncy")</f>
        <v>#NAME?</v>
      </c>
      <c r="O44" s="8" t="str">
        <f t="shared" si="3"/>
        <v>EUR</v>
      </c>
      <c r="P44" s="23" t="e">
        <f t="shared" ca="1" si="4"/>
        <v>#NAME?</v>
      </c>
      <c r="Q44" s="23" t="e">
        <f ca="1">IF(P44="EUR",1,IF(P44="EURGBp Curncy",(_xll.BDP(P44,"PX_LAST")*100),_xll.BDP(P44,"PX_LAST")))</f>
        <v>#NAME?</v>
      </c>
      <c r="R44" s="206" t="str">
        <f t="shared" ca="1" si="5"/>
        <v>-</v>
      </c>
      <c r="S44" s="208" t="str">
        <f t="shared" ca="1" si="11"/>
        <v>-</v>
      </c>
      <c r="T44" s="52">
        <v>41715</v>
      </c>
      <c r="U44" s="52" t="e">
        <f t="shared" ca="1" si="12"/>
        <v>#NAME?</v>
      </c>
      <c r="V44" s="52" t="e">
        <f t="shared" ca="1" si="6"/>
        <v>#NAME?</v>
      </c>
      <c r="W44" s="16" t="str">
        <f t="shared" ca="1" si="13"/>
        <v>-</v>
      </c>
      <c r="X44" s="1077">
        <f t="shared" ca="1" si="7"/>
        <v>0</v>
      </c>
      <c r="Y44" s="16" t="str">
        <f t="shared" ca="1" si="8"/>
        <v>0</v>
      </c>
      <c r="Z44" s="8" t="e">
        <f ca="1">_xll.BDP(B44 &amp;" Equity", "DVD_FREQ")</f>
        <v>#NAME?</v>
      </c>
      <c r="AA44" s="23" t="e">
        <f t="shared" ca="1" si="9"/>
        <v>#NAME?</v>
      </c>
      <c r="AB44" s="206" t="e">
        <f ca="1">_xll.BDP(B44 &amp;" Equity", "EQY_DVD_YLD_IND_NET")</f>
        <v>#NAME?</v>
      </c>
      <c r="AC44" s="6"/>
      <c r="AD44" s="6"/>
      <c r="AG44" s="6" t="s">
        <v>1704</v>
      </c>
      <c r="AH44" s="1152">
        <v>0</v>
      </c>
      <c r="AI44"/>
      <c r="AJ44"/>
      <c r="AK44"/>
    </row>
    <row r="45" spans="1:37" ht="14.5">
      <c r="A45" s="6"/>
      <c r="B45" s="52" t="s">
        <v>12742</v>
      </c>
      <c r="C45" s="8" t="str">
        <f t="shared" si="10"/>
        <v>4023 JP</v>
      </c>
      <c r="D45" s="8" t="e">
        <f ca="1">_xll.BDP(C45 &amp; " Equity","ID_ISIN",)</f>
        <v>#NAME?</v>
      </c>
      <c r="E45" s="14" t="e">
        <f ca="1">_xll.BDP(C45 &amp; " Equity","SECURITY_NAME")</f>
        <v>#NAME?</v>
      </c>
      <c r="F45" s="11" t="e">
        <f ca="1">_xll.BDP($C45 &amp;" Equity","dvd_sh_last")</f>
        <v>#NAME?</v>
      </c>
      <c r="G45" s="11">
        <f t="shared" ca="1" si="0"/>
        <v>0</v>
      </c>
      <c r="H45" s="8" t="str">
        <f t="shared" ca="1" si="1"/>
        <v/>
      </c>
      <c r="I45" s="8" t="e">
        <f ca="1">_xll.BDP($C45 &amp; " Equity","dvd_ex_dt")</f>
        <v>#NAME?</v>
      </c>
      <c r="J45" s="8" t="e">
        <f ca="1">_xll.BDP($C45 &amp; " Equity","BDVD_NEXT_EST_DECL_DT")</f>
        <v>#NAME?</v>
      </c>
      <c r="K45" s="8" t="str">
        <f t="shared" ca="1" si="2"/>
        <v/>
      </c>
      <c r="L45" s="8" t="e">
        <f ca="1">_xll.BDP($C45&amp; " Equity","dvd_pay_dt")</f>
        <v>#NAME?</v>
      </c>
      <c r="M45" s="8" t="e">
        <f ca="1">_xll.BDP($C45&amp; " Equity","DVD_TYP_LAST")</f>
        <v>#NAME?</v>
      </c>
      <c r="N45" s="8" t="e">
        <f ca="1">_xll.BDP($C45&amp; " Equity","dvd_crncy")</f>
        <v>#NAME?</v>
      </c>
      <c r="O45" s="8" t="str">
        <f t="shared" si="3"/>
        <v>EUR</v>
      </c>
      <c r="P45" s="23" t="e">
        <f t="shared" ca="1" si="4"/>
        <v>#NAME?</v>
      </c>
      <c r="Q45" s="23" t="e">
        <f ca="1">IF(P45="EUR",1,IF(P45="EURGBp Curncy",(_xll.BDP(P45,"PX_LAST")*100),_xll.BDP(P45,"PX_LAST")))</f>
        <v>#NAME?</v>
      </c>
      <c r="R45" s="206" t="str">
        <f t="shared" ca="1" si="5"/>
        <v>-</v>
      </c>
      <c r="S45" s="208" t="str">
        <f t="shared" ca="1" si="11"/>
        <v>-</v>
      </c>
      <c r="T45" s="52">
        <v>1670</v>
      </c>
      <c r="U45" s="52" t="e">
        <f t="shared" ca="1" si="12"/>
        <v>#NAME?</v>
      </c>
      <c r="V45" s="52" t="e">
        <f t="shared" ca="1" si="6"/>
        <v>#NAME?</v>
      </c>
      <c r="W45" s="16" t="str">
        <f t="shared" ca="1" si="13"/>
        <v>-</v>
      </c>
      <c r="X45" s="1077">
        <f t="shared" ca="1" si="7"/>
        <v>0</v>
      </c>
      <c r="Y45" s="16" t="str">
        <f t="shared" ca="1" si="8"/>
        <v>0</v>
      </c>
      <c r="Z45" s="8" t="e">
        <f ca="1">_xll.BDP(B45 &amp;" Equity", "DVD_FREQ")</f>
        <v>#NAME?</v>
      </c>
      <c r="AA45" s="23" t="e">
        <f t="shared" ca="1" si="9"/>
        <v>#NAME?</v>
      </c>
      <c r="AB45" s="206" t="e">
        <f ca="1">_xll.BDP(B45 &amp;" Equity", "EQY_DVD_YLD_IND_NET")</f>
        <v>#NAME?</v>
      </c>
      <c r="AC45" s="6"/>
      <c r="AD45" s="6"/>
      <c r="AI45"/>
      <c r="AJ45"/>
      <c r="AK45"/>
    </row>
    <row r="46" spans="1:37" ht="14.5">
      <c r="A46" s="6"/>
      <c r="B46" s="52" t="s">
        <v>12743</v>
      </c>
      <c r="C46" s="8" t="str">
        <f t="shared" si="10"/>
        <v>4205 JP</v>
      </c>
      <c r="D46" s="8" t="e">
        <f ca="1">_xll.BDP(C46 &amp; " Equity","ID_ISIN",)</f>
        <v>#NAME?</v>
      </c>
      <c r="E46" s="14" t="e">
        <f ca="1">_xll.BDP(C46 &amp; " Equity","SECURITY_NAME")</f>
        <v>#NAME?</v>
      </c>
      <c r="F46" s="11" t="e">
        <f ca="1">_xll.BDP($C46 &amp;" Equity","dvd_sh_last")</f>
        <v>#NAME?</v>
      </c>
      <c r="G46" s="11">
        <f t="shared" ca="1" si="0"/>
        <v>0</v>
      </c>
      <c r="H46" s="8" t="str">
        <f t="shared" ca="1" si="1"/>
        <v/>
      </c>
      <c r="I46" s="8" t="e">
        <f ca="1">_xll.BDP($C46 &amp; " Equity","dvd_ex_dt")</f>
        <v>#NAME?</v>
      </c>
      <c r="J46" s="8" t="e">
        <f ca="1">_xll.BDP($C46 &amp; " Equity","BDVD_NEXT_EST_DECL_DT")</f>
        <v>#NAME?</v>
      </c>
      <c r="K46" s="8" t="str">
        <f t="shared" ca="1" si="2"/>
        <v/>
      </c>
      <c r="L46" s="12" t="e">
        <f ca="1">_xll.BDP($C46&amp; " Equity","dvd_pay_dt")</f>
        <v>#NAME?</v>
      </c>
      <c r="M46" s="8" t="e">
        <f ca="1">_xll.BDP($C46&amp; " Equity","DVD_TYP_LAST")</f>
        <v>#NAME?</v>
      </c>
      <c r="N46" s="8" t="e">
        <f ca="1">_xll.BDP($C46&amp; " Equity","dvd_crncy")</f>
        <v>#NAME?</v>
      </c>
      <c r="O46" s="8" t="str">
        <f t="shared" si="3"/>
        <v>EUR</v>
      </c>
      <c r="P46" s="23" t="e">
        <f t="shared" ca="1" si="4"/>
        <v>#NAME?</v>
      </c>
      <c r="Q46" s="23" t="e">
        <f ca="1">IF(P46="EUR",1,IF(P46="EURGBp Curncy",(_xll.BDP(P46,"PX_LAST")*100),_xll.BDP(P46,"PX_LAST")))</f>
        <v>#NAME?</v>
      </c>
      <c r="R46" s="206" t="str">
        <f t="shared" ca="1" si="5"/>
        <v>-</v>
      </c>
      <c r="S46" s="208" t="str">
        <f ca="1">IFERROR(R46,0)</f>
        <v>-</v>
      </c>
      <c r="T46" s="52">
        <v>17000</v>
      </c>
      <c r="U46" s="52" t="e">
        <f t="shared" ca="1" si="12"/>
        <v>#NAME?</v>
      </c>
      <c r="V46" s="52" t="e">
        <f ca="1">+U46</f>
        <v>#NAME?</v>
      </c>
      <c r="W46" s="16" t="str">
        <f t="shared" ca="1" si="13"/>
        <v>-</v>
      </c>
      <c r="X46" s="1077">
        <f t="shared" ca="1" si="7"/>
        <v>0</v>
      </c>
      <c r="Y46" s="16" t="str">
        <f t="shared" ca="1" si="8"/>
        <v>0</v>
      </c>
      <c r="Z46" s="8" t="e">
        <f ca="1">_xll.BDP(B46 &amp;" Equity", "DVD_FREQ")</f>
        <v>#NAME?</v>
      </c>
      <c r="AA46" s="23" t="e">
        <f t="shared" ca="1" si="9"/>
        <v>#NAME?</v>
      </c>
      <c r="AB46" s="206" t="e">
        <f ca="1">_xll.BDP(B46 &amp;" Equity", "EQY_DVD_YLD_IND_NET")</f>
        <v>#NAME?</v>
      </c>
      <c r="AC46" s="6"/>
      <c r="AD46" s="6"/>
      <c r="AI46"/>
      <c r="AJ46"/>
      <c r="AK46"/>
    </row>
    <row r="47" spans="1:37" ht="14.5">
      <c r="A47" s="6"/>
      <c r="B47" s="52" t="s">
        <v>12724</v>
      </c>
      <c r="C47" s="8" t="str">
        <f t="shared" si="10"/>
        <v>6502 JP</v>
      </c>
      <c r="D47" s="8" t="e">
        <f ca="1">_xll.BDP(C47 &amp; " Equity","ID_ISIN",)</f>
        <v>#NAME?</v>
      </c>
      <c r="E47" s="14" t="e">
        <f ca="1">_xll.BDP(C47 &amp; " Equity","SECURITY_NAME")</f>
        <v>#NAME?</v>
      </c>
      <c r="F47" s="11" t="e">
        <f ca="1">_xll.BDP($C47 &amp;" Equity","dvd_sh_last")</f>
        <v>#NAME?</v>
      </c>
      <c r="G47" s="11">
        <f t="shared" ca="1" si="0"/>
        <v>0</v>
      </c>
      <c r="H47" s="8" t="str">
        <f t="shared" ca="1" si="1"/>
        <v/>
      </c>
      <c r="I47" s="8" t="e">
        <f ca="1">_xll.BDP($C47 &amp; " Equity","dvd_ex_dt")</f>
        <v>#NAME?</v>
      </c>
      <c r="J47" s="8" t="e">
        <f ca="1">_xll.BDP($C47 &amp; " Equity","BDVD_NEXT_EST_DECL_DT")</f>
        <v>#NAME?</v>
      </c>
      <c r="K47" s="8" t="str">
        <f t="shared" ca="1" si="2"/>
        <v/>
      </c>
      <c r="L47" s="8" t="e">
        <f ca="1">_xll.BDP($C47&amp; " Equity","dvd_pay_dt")</f>
        <v>#NAME?</v>
      </c>
      <c r="M47" s="8" t="e">
        <f ca="1">_xll.BDP($C47&amp; " Equity","DVD_TYP_LAST")</f>
        <v>#NAME?</v>
      </c>
      <c r="N47" s="8" t="e">
        <f ca="1">_xll.BDP($C47&amp; " Equity","dvd_crncy")</f>
        <v>#NAME?</v>
      </c>
      <c r="O47" s="8" t="str">
        <f t="shared" si="3"/>
        <v>EUR</v>
      </c>
      <c r="P47" s="23" t="e">
        <f t="shared" ca="1" si="4"/>
        <v>#NAME?</v>
      </c>
      <c r="Q47" s="23" t="e">
        <f ca="1">IF(P47="EUR",1,IF(P47="EURGBp Curncy",(_xll.BDP(P47,"PX_LAST")*100),_xll.BDP(P47,"PX_LAST")))</f>
        <v>#NAME?</v>
      </c>
      <c r="R47" s="206" t="str">
        <f t="shared" ca="1" si="5"/>
        <v>-</v>
      </c>
      <c r="S47" s="208" t="str">
        <f t="shared" ca="1" si="11"/>
        <v>-</v>
      </c>
      <c r="T47" s="52">
        <v>6900</v>
      </c>
      <c r="U47" s="52" t="e">
        <f ca="1">IF(F47="#N/A Field Not Applicable",0,F47*T47)</f>
        <v>#NAME?</v>
      </c>
      <c r="V47" s="52" t="e">
        <f ca="1">+U47</f>
        <v>#NAME?</v>
      </c>
      <c r="W47" s="16" t="str">
        <f t="shared" ca="1" si="13"/>
        <v>-</v>
      </c>
      <c r="X47" s="1077">
        <f t="shared" ca="1" si="7"/>
        <v>0</v>
      </c>
      <c r="Y47" s="16" t="str">
        <f t="shared" ca="1" si="8"/>
        <v>0</v>
      </c>
      <c r="Z47" s="8" t="e">
        <f ca="1">_xll.BDP(B47 &amp;" Equity", "DVD_FREQ")</f>
        <v>#NAME?</v>
      </c>
      <c r="AA47" s="23" t="e">
        <f t="shared" ca="1" si="9"/>
        <v>#NAME?</v>
      </c>
      <c r="AB47" s="206" t="e">
        <f ca="1">_xll.BDP(B47 &amp;" Equity", "EQY_DVD_YLD_IND_NET")</f>
        <v>#NAME?</v>
      </c>
      <c r="AC47" s="6"/>
      <c r="AD47" s="6"/>
      <c r="AI47"/>
      <c r="AJ47"/>
      <c r="AK47"/>
    </row>
    <row r="48" spans="1:37" ht="14.5">
      <c r="A48" s="6"/>
      <c r="B48" s="52" t="s">
        <v>12744</v>
      </c>
      <c r="C48" s="8" t="str">
        <f t="shared" si="10"/>
        <v>BMN LN</v>
      </c>
      <c r="D48" s="8" t="e">
        <f ca="1">_xll.BDP(C48 &amp; " Equity","ID_ISIN",)</f>
        <v>#NAME?</v>
      </c>
      <c r="E48" s="14" t="e">
        <f ca="1">_xll.BDP(C48 &amp; " Equity","SECURITY_NAME")</f>
        <v>#NAME?</v>
      </c>
      <c r="F48" s="11" t="e">
        <f ca="1">_xll.BDP($C48 &amp;" Equity","dvd_sh_last")</f>
        <v>#NAME?</v>
      </c>
      <c r="G48" s="11">
        <f t="shared" ca="1" si="0"/>
        <v>0</v>
      </c>
      <c r="H48" s="8" t="str">
        <f t="shared" ca="1" si="1"/>
        <v/>
      </c>
      <c r="I48" s="8" t="e">
        <f ca="1">_xll.BDP($C48 &amp; " Equity","dvd_ex_dt")</f>
        <v>#NAME?</v>
      </c>
      <c r="J48" s="8" t="e">
        <f ca="1">_xll.BDP($C48 &amp; " Equity","BDVD_NEXT_EST_DECL_DT")</f>
        <v>#NAME?</v>
      </c>
      <c r="K48" s="8" t="str">
        <f t="shared" ca="1" si="2"/>
        <v/>
      </c>
      <c r="L48" s="8" t="e">
        <f ca="1">_xll.BDP($C48&amp; " Equity","dvd_pay_dt")</f>
        <v>#NAME?</v>
      </c>
      <c r="M48" s="8" t="e">
        <f ca="1">_xll.BDP($C48&amp; " Equity","DVD_TYP_LAST")</f>
        <v>#NAME?</v>
      </c>
      <c r="N48" s="8" t="e">
        <f ca="1">_xll.BDP($C48&amp; " Equity","dvd_crncy")</f>
        <v>#NAME?</v>
      </c>
      <c r="O48" s="8" t="str">
        <f t="shared" si="3"/>
        <v>EUR</v>
      </c>
      <c r="P48" s="23" t="e">
        <f t="shared" ca="1" si="4"/>
        <v>#NAME?</v>
      </c>
      <c r="Q48" s="23" t="e">
        <f ca="1">IF(P48="EUR",1,IF(P48="EURGBp Curncy",(_xll.BDP(P48,"PX_LAST")*100),_xll.BDP(P48,"PX_LAST")))</f>
        <v>#NAME?</v>
      </c>
      <c r="R48" s="206" t="str">
        <f t="shared" ca="1" si="5"/>
        <v>-</v>
      </c>
      <c r="S48" s="208" t="str">
        <f ca="1">IFERROR(R48,0)</f>
        <v>-</v>
      </c>
      <c r="T48" s="52">
        <v>420000</v>
      </c>
      <c r="U48" s="52" t="e">
        <f t="shared" ca="1" si="12"/>
        <v>#NAME?</v>
      </c>
      <c r="V48" s="52" t="e">
        <f t="shared" ca="1" si="6"/>
        <v>#NAME?</v>
      </c>
      <c r="W48" s="16" t="str">
        <f t="shared" ca="1" si="13"/>
        <v>-</v>
      </c>
      <c r="X48" s="1077">
        <f t="shared" ca="1" si="7"/>
        <v>0</v>
      </c>
      <c r="Y48" s="16" t="str">
        <f t="shared" ca="1" si="8"/>
        <v>0</v>
      </c>
      <c r="Z48" s="8" t="e">
        <f ca="1">_xll.BDP(B48 &amp;" Equity", "DVD_FREQ")</f>
        <v>#NAME?</v>
      </c>
      <c r="AA48" s="23" t="e">
        <f t="shared" ca="1" si="9"/>
        <v>#NAME?</v>
      </c>
      <c r="AB48" s="206" t="e">
        <f ca="1">_xll.BDP(B48 &amp;" Equity", "EQY_DVD_YLD_IND_NET")</f>
        <v>#NAME?</v>
      </c>
      <c r="AC48" s="6"/>
      <c r="AD48" s="6"/>
      <c r="AI48"/>
      <c r="AJ48"/>
      <c r="AK48"/>
    </row>
    <row r="49" spans="1:37" ht="14.5">
      <c r="A49" s="6"/>
      <c r="B49" s="8" t="s">
        <v>12745</v>
      </c>
      <c r="C49" s="8" t="str">
        <f t="shared" si="10"/>
        <v>5563 JP</v>
      </c>
      <c r="D49" s="8" t="e">
        <f ca="1">_xll.BDP(C49 &amp; " Equity","ID_ISIN",)</f>
        <v>#NAME?</v>
      </c>
      <c r="E49" s="14" t="e">
        <f ca="1">_xll.BDP(C49 &amp; " Equity","SECURITY_NAME")</f>
        <v>#NAME?</v>
      </c>
      <c r="F49" s="11" t="e">
        <f ca="1">_xll.BDP($C49 &amp;" Equity","dvd_sh_last")</f>
        <v>#NAME?</v>
      </c>
      <c r="G49" s="11">
        <f t="shared" ca="1" si="0"/>
        <v>0</v>
      </c>
      <c r="H49" s="8" t="str">
        <f t="shared" ca="1" si="1"/>
        <v/>
      </c>
      <c r="I49" s="8" t="e">
        <f ca="1">_xll.BDP($C49 &amp; " Equity","dvd_ex_dt")</f>
        <v>#NAME?</v>
      </c>
      <c r="J49" s="8" t="e">
        <f ca="1">_xll.BDP($C49 &amp; " Equity","BDVD_NEXT_EST_DECL_DT")</f>
        <v>#NAME?</v>
      </c>
      <c r="K49" s="8" t="str">
        <f t="shared" ca="1" si="2"/>
        <v/>
      </c>
      <c r="L49" s="8" t="e">
        <f ca="1">_xll.BDP($C49&amp; " Equity","dvd_pay_dt")</f>
        <v>#NAME?</v>
      </c>
      <c r="M49" s="8" t="e">
        <f ca="1">_xll.BDP($C49&amp; " Equity","DVD_TYP_LAST")</f>
        <v>#NAME?</v>
      </c>
      <c r="N49" s="8" t="e">
        <f ca="1">_xll.BDP($C49&amp; " Equity","dvd_crncy")</f>
        <v>#NAME?</v>
      </c>
      <c r="O49" s="8" t="str">
        <f t="shared" si="3"/>
        <v>EUR</v>
      </c>
      <c r="P49" s="23" t="e">
        <f t="shared" ca="1" si="4"/>
        <v>#NAME?</v>
      </c>
      <c r="Q49" s="23" t="e">
        <f ca="1">IF(P49="EUR",1,IF(P49="EURGBp Curncy",(_xll.BDP(P49,"PX_LAST")*100),_xll.BDP(P49,"PX_LAST")))</f>
        <v>#NAME?</v>
      </c>
      <c r="R49" s="206" t="str">
        <f t="shared" ca="1" si="5"/>
        <v>-</v>
      </c>
      <c r="S49" s="208" t="str">
        <f t="shared" ca="1" si="11"/>
        <v>-</v>
      </c>
      <c r="T49" s="52">
        <v>69000</v>
      </c>
      <c r="U49" s="52" t="e">
        <f ca="1">IF(F49="#N/A Field Not Applicable",0,F49*T49)</f>
        <v>#NAME?</v>
      </c>
      <c r="V49" s="52" t="e">
        <f t="shared" ca="1" si="6"/>
        <v>#NAME?</v>
      </c>
      <c r="W49" s="16" t="str">
        <f t="shared" ca="1" si="13"/>
        <v>-</v>
      </c>
      <c r="X49" s="1077">
        <f t="shared" ca="1" si="7"/>
        <v>0</v>
      </c>
      <c r="Y49" s="16" t="str">
        <f t="shared" ca="1" si="8"/>
        <v>0</v>
      </c>
      <c r="Z49" s="8" t="e">
        <f ca="1">_xll.BDP(B49 &amp;" Equity", "DVD_FREQ")</f>
        <v>#NAME?</v>
      </c>
      <c r="AA49" s="23" t="e">
        <f t="shared" ca="1" si="9"/>
        <v>#NAME?</v>
      </c>
      <c r="AB49" s="206" t="e">
        <f ca="1">_xll.BDP(B49 &amp;" Equity", "EQY_DVD_YLD_IND_NET")</f>
        <v>#NAME?</v>
      </c>
      <c r="AC49" s="6"/>
      <c r="AD49" s="6"/>
      <c r="AI49"/>
      <c r="AJ49"/>
      <c r="AK49"/>
    </row>
    <row r="50" spans="1:37" ht="14.5">
      <c r="A50" s="6"/>
      <c r="B50" s="8" t="s">
        <v>12746</v>
      </c>
      <c r="C50" s="8" t="str">
        <f t="shared" si="10"/>
        <v>4047 JP</v>
      </c>
      <c r="D50" s="8" t="e">
        <f ca="1">_xll.BDP(C50 &amp; " Equity","ID_ISIN",)</f>
        <v>#NAME?</v>
      </c>
      <c r="E50" s="14" t="e">
        <f ca="1">_xll.BDP(C50 &amp; " Equity","SECURITY_NAME")</f>
        <v>#NAME?</v>
      </c>
      <c r="F50" s="11" t="e">
        <f ca="1">_xll.BDP($C50 &amp;" Equity","dvd_sh_last")</f>
        <v>#NAME?</v>
      </c>
      <c r="G50" s="11">
        <f t="shared" ca="1" si="0"/>
        <v>0</v>
      </c>
      <c r="H50" s="8" t="str">
        <f t="shared" ca="1" si="1"/>
        <v/>
      </c>
      <c r="I50" s="8" t="e">
        <f ca="1">_xll.BDP($C50 &amp; " Equity","dvd_ex_dt")</f>
        <v>#NAME?</v>
      </c>
      <c r="J50" s="8" t="e">
        <f ca="1">_xll.BDP($C50 &amp; " Equity","BDVD_NEXT_EST_DECL_DT")</f>
        <v>#NAME?</v>
      </c>
      <c r="K50" s="8" t="str">
        <f t="shared" ca="1" si="2"/>
        <v/>
      </c>
      <c r="L50" s="8" t="e">
        <f ca="1">_xll.BDP($C50&amp; " Equity","dvd_pay_dt")</f>
        <v>#NAME?</v>
      </c>
      <c r="M50" s="8" t="e">
        <f ca="1">_xll.BDP($C50&amp; " Equity","DVD_TYP_LAST")</f>
        <v>#NAME?</v>
      </c>
      <c r="N50" s="8" t="e">
        <f ca="1">_xll.BDP($C50&amp; " Equity","dvd_crncy")</f>
        <v>#NAME?</v>
      </c>
      <c r="O50" s="8" t="str">
        <f t="shared" si="3"/>
        <v>EUR</v>
      </c>
      <c r="P50" s="23" t="e">
        <f t="shared" ca="1" si="4"/>
        <v>#NAME?</v>
      </c>
      <c r="Q50" s="23" t="e">
        <f ca="1">IF(P50="EUR",1,IF(P50="EURGBp Curncy",(_xll.BDP(P50,"PX_LAST")*100),_xll.BDP(P50,"PX_LAST")))</f>
        <v>#NAME?</v>
      </c>
      <c r="R50" s="206" t="str">
        <f t="shared" ca="1" si="5"/>
        <v>-</v>
      </c>
      <c r="S50" s="208" t="str">
        <f t="shared" ca="1" si="11"/>
        <v>-</v>
      </c>
      <c r="T50" s="52">
        <v>17000</v>
      </c>
      <c r="U50" s="52" t="e">
        <f t="shared" ca="1" si="12"/>
        <v>#NAME?</v>
      </c>
      <c r="V50" s="52" t="e">
        <f t="shared" ca="1" si="6"/>
        <v>#NAME?</v>
      </c>
      <c r="W50" s="16" t="str">
        <f t="shared" ca="1" si="13"/>
        <v>-</v>
      </c>
      <c r="X50" s="1077">
        <f t="shared" ca="1" si="7"/>
        <v>0</v>
      </c>
      <c r="Y50" s="16" t="str">
        <f t="shared" ca="1" si="8"/>
        <v>0</v>
      </c>
      <c r="Z50" s="8" t="e">
        <f ca="1">_xll.BDP(B50 &amp;" Equity", "DVD_FREQ")</f>
        <v>#NAME?</v>
      </c>
      <c r="AA50" s="23" t="e">
        <f t="shared" ca="1" si="9"/>
        <v>#NAME?</v>
      </c>
      <c r="AB50" s="206" t="e">
        <f ca="1">_xll.BDP(B50 &amp;" Equity", "EQY_DVD_YLD_IND_NET")</f>
        <v>#NAME?</v>
      </c>
      <c r="AC50" s="6"/>
      <c r="AD50" s="6"/>
      <c r="AI50"/>
      <c r="AJ50"/>
      <c r="AK50"/>
    </row>
    <row r="51" spans="1:37" ht="14.5">
      <c r="A51" s="6"/>
      <c r="B51" s="8" t="s">
        <v>12747</v>
      </c>
      <c r="C51" s="8" t="str">
        <f t="shared" si="10"/>
        <v>6246 JP</v>
      </c>
      <c r="D51" s="8" t="e">
        <f ca="1">_xll.BDP(C51 &amp; " Equity","ID_ISIN",)</f>
        <v>#NAME?</v>
      </c>
      <c r="E51" s="14" t="e">
        <f ca="1">_xll.BDP(C51 &amp; " Equity","SECURITY_NAME")</f>
        <v>#NAME?</v>
      </c>
      <c r="F51" s="11" t="e">
        <f ca="1">_xll.BDP($C51 &amp;" Equity","dvd_sh_last")</f>
        <v>#NAME?</v>
      </c>
      <c r="G51" s="11">
        <f t="shared" ca="1" si="0"/>
        <v>0</v>
      </c>
      <c r="H51" s="8" t="str">
        <f t="shared" ca="1" si="1"/>
        <v/>
      </c>
      <c r="I51" s="8" t="e">
        <f ca="1">_xll.BDP($C51 &amp; " Equity","dvd_ex_dt")</f>
        <v>#NAME?</v>
      </c>
      <c r="J51" s="8" t="e">
        <f ca="1">_xll.BDP($C51 &amp; " Equity","BDVD_NEXT_EST_DECL_DT")</f>
        <v>#NAME?</v>
      </c>
      <c r="K51" s="8" t="str">
        <f t="shared" ca="1" si="2"/>
        <v/>
      </c>
      <c r="L51" s="8" t="e">
        <f ca="1">_xll.BDP($C51&amp; " Equity","dvd_pay_dt")</f>
        <v>#NAME?</v>
      </c>
      <c r="M51" s="8" t="e">
        <f ca="1">_xll.BDP($C51&amp; " Equity","DVD_TYP_LAST")</f>
        <v>#NAME?</v>
      </c>
      <c r="N51" s="8" t="e">
        <f ca="1">_xll.BDP($C51&amp; " Equity","dvd_crncy")</f>
        <v>#NAME?</v>
      </c>
      <c r="O51" s="8" t="str">
        <f t="shared" si="3"/>
        <v>EUR</v>
      </c>
      <c r="P51" s="23" t="e">
        <f t="shared" ca="1" si="4"/>
        <v>#NAME?</v>
      </c>
      <c r="Q51" s="23" t="e">
        <f ca="1">IF(P51="EUR",1,IF(P51="EURGBp Curncy",(_xll.BDP(P51,"PX_LAST")*100),_xll.BDP(P51,"PX_LAST")))</f>
        <v>#NAME?</v>
      </c>
      <c r="R51" s="206" t="str">
        <f t="shared" ca="1" si="5"/>
        <v>-</v>
      </c>
      <c r="S51" s="208" t="str">
        <f t="shared" ca="1" si="11"/>
        <v>-</v>
      </c>
      <c r="T51" s="52">
        <v>22000</v>
      </c>
      <c r="U51" s="52" t="e">
        <f t="shared" ca="1" si="12"/>
        <v>#NAME?</v>
      </c>
      <c r="V51" s="52" t="e">
        <f t="shared" ca="1" si="6"/>
        <v>#NAME?</v>
      </c>
      <c r="W51" s="16" t="str">
        <f t="shared" ca="1" si="13"/>
        <v>-</v>
      </c>
      <c r="X51" s="1077">
        <f t="shared" ca="1" si="7"/>
        <v>0</v>
      </c>
      <c r="Y51" s="16" t="str">
        <f t="shared" ca="1" si="8"/>
        <v>0</v>
      </c>
      <c r="Z51" s="8" t="e">
        <f ca="1">_xll.BDP(B51 &amp;" Equity", "DVD_FREQ")</f>
        <v>#NAME?</v>
      </c>
      <c r="AA51" s="23" t="e">
        <f t="shared" ca="1" si="9"/>
        <v>#NAME?</v>
      </c>
      <c r="AB51" s="206" t="e">
        <f ca="1">_xll.BDP(B51 &amp;" Equity", "EQY_DVD_YLD_IND_NET")</f>
        <v>#NAME?</v>
      </c>
      <c r="AC51" s="6"/>
      <c r="AD51" s="6"/>
      <c r="AI51"/>
      <c r="AJ51"/>
      <c r="AK51"/>
    </row>
    <row r="52" spans="1:37" ht="14.5">
      <c r="A52" s="6"/>
      <c r="B52" s="8" t="s">
        <v>12748</v>
      </c>
      <c r="C52" s="8" t="str">
        <f t="shared" si="10"/>
        <v>6882 JP</v>
      </c>
      <c r="D52" s="8" t="e">
        <f ca="1">_xll.BDP(C52 &amp; " Equity","ID_ISIN",)</f>
        <v>#NAME?</v>
      </c>
      <c r="E52" s="14" t="e">
        <f ca="1">_xll.BDP(C52 &amp; " Equity","SECURITY_NAME")</f>
        <v>#NAME?</v>
      </c>
      <c r="F52" s="11" t="e">
        <f ca="1">_xll.BDP($C52 &amp;" Equity","dvd_sh_last")</f>
        <v>#NAME?</v>
      </c>
      <c r="G52" s="11">
        <f t="shared" ca="1" si="0"/>
        <v>0</v>
      </c>
      <c r="H52" s="8" t="str">
        <f t="shared" ca="1" si="1"/>
        <v/>
      </c>
      <c r="I52" s="8" t="e">
        <f ca="1">_xll.BDP($C52 &amp; " Equity","dvd_ex_dt")</f>
        <v>#NAME?</v>
      </c>
      <c r="J52" s="8" t="e">
        <f ca="1">_xll.BDP($C52 &amp; " Equity","BDVD_NEXT_EST_DECL_DT")</f>
        <v>#NAME?</v>
      </c>
      <c r="K52" s="8" t="str">
        <f t="shared" ca="1" si="2"/>
        <v/>
      </c>
      <c r="L52" s="8" t="e">
        <f ca="1">_xll.BDP($C52&amp; " Equity","dvd_pay_dt")</f>
        <v>#NAME?</v>
      </c>
      <c r="M52" s="8" t="e">
        <f ca="1">_xll.BDP($C52&amp; " Equity","DVD_TYP_LAST")</f>
        <v>#NAME?</v>
      </c>
      <c r="N52" s="8" t="e">
        <f ca="1">_xll.BDP($C52&amp; " Equity","dvd_crncy")</f>
        <v>#NAME?</v>
      </c>
      <c r="O52" s="8" t="str">
        <f t="shared" si="3"/>
        <v>EUR</v>
      </c>
      <c r="P52" s="23" t="e">
        <f t="shared" ca="1" si="4"/>
        <v>#NAME?</v>
      </c>
      <c r="Q52" s="23" t="e">
        <f ca="1">IF(P52="EUR",1,IF(P52="EURGBp Curncy",(_xll.BDP(P52,"PX_LAST")*100),_xll.BDP(P52,"PX_LAST")))</f>
        <v>#NAME?</v>
      </c>
      <c r="R52" s="206" t="str">
        <f t="shared" ca="1" si="5"/>
        <v>-</v>
      </c>
      <c r="S52" s="208" t="str">
        <f t="shared" ca="1" si="11"/>
        <v>-</v>
      </c>
      <c r="T52" s="52">
        <v>33900</v>
      </c>
      <c r="U52" s="52" t="e">
        <f t="shared" ca="1" si="12"/>
        <v>#NAME?</v>
      </c>
      <c r="V52" s="52" t="e">
        <f t="shared" ca="1" si="6"/>
        <v>#NAME?</v>
      </c>
      <c r="W52" s="16" t="str">
        <f t="shared" ca="1" si="13"/>
        <v>-</v>
      </c>
      <c r="X52" s="1077">
        <f t="shared" ca="1" si="7"/>
        <v>0</v>
      </c>
      <c r="Y52" s="16" t="str">
        <f t="shared" ca="1" si="8"/>
        <v>0</v>
      </c>
      <c r="Z52" s="8" t="e">
        <f ca="1">_xll.BDP(B52 &amp;" Equity", "DVD_FREQ")</f>
        <v>#NAME?</v>
      </c>
      <c r="AA52" s="23" t="e">
        <f t="shared" ca="1" si="9"/>
        <v>#NAME?</v>
      </c>
      <c r="AB52" s="206" t="e">
        <f ca="1">_xll.BDP(B52 &amp;" Equity", "EQY_DVD_YLD_IND_NET")</f>
        <v>#NAME?</v>
      </c>
      <c r="AC52" s="6"/>
      <c r="AD52" s="6"/>
      <c r="AI52"/>
      <c r="AJ52"/>
      <c r="AK52"/>
    </row>
    <row r="53" spans="1:37" ht="14.5">
      <c r="A53" s="6"/>
      <c r="B53" s="8" t="s">
        <v>12749</v>
      </c>
      <c r="C53" s="8" t="str">
        <f t="shared" si="10"/>
        <v>4044 JP</v>
      </c>
      <c r="D53" s="8" t="e">
        <f ca="1">_xll.BDP(C53 &amp; " Equity","ID_ISIN",)</f>
        <v>#NAME?</v>
      </c>
      <c r="E53" s="14" t="e">
        <f ca="1">_xll.BDP(C53 &amp; " Equity","SECURITY_NAME")</f>
        <v>#NAME?</v>
      </c>
      <c r="F53" s="11" t="e">
        <f ca="1">_xll.BDP($C53 &amp;" Equity","dvd_sh_last")</f>
        <v>#NAME?</v>
      </c>
      <c r="G53" s="11">
        <f t="shared" ca="1" si="0"/>
        <v>0</v>
      </c>
      <c r="H53" s="8" t="str">
        <f t="shared" ca="1" si="1"/>
        <v/>
      </c>
      <c r="I53" s="8" t="e">
        <f ca="1">_xll.BDP($C53 &amp; " Equity","dvd_ex_dt")</f>
        <v>#NAME?</v>
      </c>
      <c r="J53" s="8" t="e">
        <f ca="1">_xll.BDP($C53 &amp; " Equity","BDVD_NEXT_EST_DECL_DT")</f>
        <v>#NAME?</v>
      </c>
      <c r="K53" s="8" t="str">
        <f t="shared" ca="1" si="2"/>
        <v/>
      </c>
      <c r="L53" s="8" t="e">
        <f ca="1">_xll.BDP($C53&amp; " Equity","dvd_pay_dt")</f>
        <v>#NAME?</v>
      </c>
      <c r="M53" s="8" t="e">
        <f ca="1">_xll.BDP($C53&amp; " Equity","DVD_TYP_LAST")</f>
        <v>#NAME?</v>
      </c>
      <c r="N53" s="8" t="e">
        <f ca="1">_xll.BDP($C53&amp; " Equity","dvd_crncy")</f>
        <v>#NAME?</v>
      </c>
      <c r="O53" s="8" t="str">
        <f t="shared" si="3"/>
        <v>EUR</v>
      </c>
      <c r="P53" s="23" t="e">
        <f t="shared" ca="1" si="4"/>
        <v>#NAME?</v>
      </c>
      <c r="Q53" s="23" t="e">
        <f ca="1">IF(P53="EUR",1,IF(P53="EURGBp Curncy",(_xll.BDP(P53,"PX_LAST")*100),_xll.BDP(P53,"PX_LAST")))</f>
        <v>#NAME?</v>
      </c>
      <c r="R53" s="206" t="str">
        <f t="shared" ca="1" si="5"/>
        <v>-</v>
      </c>
      <c r="S53" s="208" t="str">
        <f t="shared" ca="1" si="11"/>
        <v>-</v>
      </c>
      <c r="T53" s="52">
        <v>11700</v>
      </c>
      <c r="U53" s="52" t="e">
        <f t="shared" ca="1" si="12"/>
        <v>#NAME?</v>
      </c>
      <c r="V53" s="52" t="e">
        <f t="shared" ca="1" si="6"/>
        <v>#NAME?</v>
      </c>
      <c r="W53" s="16" t="str">
        <f t="shared" ca="1" si="13"/>
        <v>-</v>
      </c>
      <c r="X53" s="1077">
        <f t="shared" ca="1" si="7"/>
        <v>0</v>
      </c>
      <c r="Y53" s="16" t="str">
        <f t="shared" ca="1" si="8"/>
        <v>0</v>
      </c>
      <c r="Z53" s="8" t="e">
        <f ca="1">_xll.BDP(B53 &amp;" Equity", "DVD_FREQ")</f>
        <v>#NAME?</v>
      </c>
      <c r="AA53" s="23" t="e">
        <f t="shared" ca="1" si="9"/>
        <v>#NAME?</v>
      </c>
      <c r="AB53" s="206" t="e">
        <f ca="1">_xll.BDP(B53 &amp;" Equity", "EQY_DVD_YLD_IND_NET")</f>
        <v>#NAME?</v>
      </c>
      <c r="AC53" s="6"/>
      <c r="AD53" s="6"/>
      <c r="AI53"/>
      <c r="AJ53"/>
      <c r="AK53"/>
    </row>
    <row r="54" spans="1:37" ht="14.5">
      <c r="A54" s="6"/>
      <c r="B54" s="8" t="s">
        <v>12751</v>
      </c>
      <c r="C54" s="8" t="str">
        <f t="shared" si="10"/>
        <v>SFR AU</v>
      </c>
      <c r="D54" s="8" t="e">
        <f ca="1">_xll.BDP(C54 &amp; " Equity","ID_ISIN",)</f>
        <v>#NAME?</v>
      </c>
      <c r="E54" s="14" t="e">
        <f ca="1">_xll.BDP(C54 &amp; " Equity","SECURITY_NAME")</f>
        <v>#NAME?</v>
      </c>
      <c r="F54" s="11" t="e">
        <f ca="1">_xll.BDP($C54 &amp;" Equity","dvd_sh_last")</f>
        <v>#NAME?</v>
      </c>
      <c r="G54" s="11">
        <f t="shared" ca="1" si="0"/>
        <v>0</v>
      </c>
      <c r="H54" s="8" t="str">
        <f t="shared" ca="1" si="1"/>
        <v/>
      </c>
      <c r="I54" s="8" t="e">
        <f ca="1">_xll.BDP($C54 &amp; " Equity","dvd_ex_dt")</f>
        <v>#NAME?</v>
      </c>
      <c r="J54" s="8" t="e">
        <f ca="1">_xll.BDP($C54 &amp; " Equity","BDVD_NEXT_EST_DECL_DT")</f>
        <v>#NAME?</v>
      </c>
      <c r="K54" s="8" t="str">
        <f t="shared" ca="1" si="2"/>
        <v/>
      </c>
      <c r="L54" s="8" t="e">
        <f ca="1">_xll.BDP($C54&amp; " Equity","dvd_pay_dt")</f>
        <v>#NAME?</v>
      </c>
      <c r="M54" s="8" t="e">
        <f ca="1">_xll.BDP($C54&amp; " Equity","DVD_TYP_LAST")</f>
        <v>#NAME?</v>
      </c>
      <c r="N54" s="8" t="e">
        <f ca="1">_xll.BDP($C54&amp; " Equity","dvd_crncy")</f>
        <v>#NAME?</v>
      </c>
      <c r="O54" s="8" t="str">
        <f t="shared" si="3"/>
        <v>EUR</v>
      </c>
      <c r="P54" s="23" t="e">
        <f t="shared" ca="1" si="4"/>
        <v>#NAME?</v>
      </c>
      <c r="Q54" s="23" t="e">
        <f ca="1">IF(P54="EUR",1,IF(P54="EURGBp Curncy",(_xll.BDP(P54,"PX_LAST")*100),_xll.BDP(P54,"PX_LAST")))</f>
        <v>#NAME?</v>
      </c>
      <c r="R54" s="206" t="str">
        <f t="shared" ca="1" si="5"/>
        <v>-</v>
      </c>
      <c r="S54" s="208" t="str">
        <f t="shared" ca="1" si="11"/>
        <v>-</v>
      </c>
      <c r="T54" s="52">
        <v>84000</v>
      </c>
      <c r="U54" s="52" t="e">
        <f t="shared" ca="1" si="12"/>
        <v>#NAME?</v>
      </c>
      <c r="V54" s="52" t="e">
        <f t="shared" ca="1" si="6"/>
        <v>#NAME?</v>
      </c>
      <c r="W54" s="16" t="str">
        <f t="shared" ca="1" si="13"/>
        <v>-</v>
      </c>
      <c r="X54" s="1077">
        <f t="shared" ca="1" si="7"/>
        <v>0</v>
      </c>
      <c r="Y54" s="16" t="str">
        <f t="shared" ca="1" si="8"/>
        <v>0</v>
      </c>
      <c r="Z54" s="8" t="e">
        <f ca="1">_xll.BDP(B54 &amp;" Equity", "DVD_FREQ")</f>
        <v>#NAME?</v>
      </c>
      <c r="AA54" s="23" t="e">
        <f t="shared" ca="1" si="9"/>
        <v>#NAME?</v>
      </c>
      <c r="AB54" s="206" t="e">
        <f ca="1">_xll.BDP(B54 &amp;" Equity", "EQY_DVD_YLD_IND_NET")</f>
        <v>#NAME?</v>
      </c>
      <c r="AC54" s="6"/>
      <c r="AD54" s="6"/>
      <c r="AI54"/>
      <c r="AJ54"/>
      <c r="AK54"/>
    </row>
    <row r="55" spans="1:37" ht="14.5">
      <c r="A55" s="6"/>
      <c r="B55" s="8" t="s">
        <v>12752</v>
      </c>
      <c r="C55" s="8" t="str">
        <f t="shared" si="10"/>
        <v>5233 JP</v>
      </c>
      <c r="D55" s="8" t="e">
        <f ca="1">_xll.BDP(C55 &amp; " Equity","ID_ISIN",)</f>
        <v>#NAME?</v>
      </c>
      <c r="E55" s="14" t="e">
        <f ca="1">_xll.BDP(C55 &amp; " Equity","SECURITY_NAME")</f>
        <v>#NAME?</v>
      </c>
      <c r="F55" s="11" t="e">
        <f ca="1">_xll.BDP($C55 &amp;" Equity","dvd_sh_last")</f>
        <v>#NAME?</v>
      </c>
      <c r="G55" s="11">
        <f t="shared" ca="1" si="0"/>
        <v>0</v>
      </c>
      <c r="H55" s="8" t="str">
        <f t="shared" ca="1" si="1"/>
        <v/>
      </c>
      <c r="I55" s="8" t="e">
        <f ca="1">_xll.BDP($C55 &amp; " Equity","dvd_ex_dt")</f>
        <v>#NAME?</v>
      </c>
      <c r="J55" s="8" t="e">
        <f ca="1">_xll.BDP($C55 &amp; " Equity","BDVD_NEXT_EST_DECL_DT")</f>
        <v>#NAME?</v>
      </c>
      <c r="K55" s="8" t="str">
        <f t="shared" ca="1" si="2"/>
        <v/>
      </c>
      <c r="L55" s="8" t="e">
        <f ca="1">_xll.BDP($C55&amp; " Equity","dvd_pay_dt")</f>
        <v>#NAME?</v>
      </c>
      <c r="M55" s="8" t="e">
        <f ca="1">_xll.BDP($C55&amp; " Equity","DVD_TYP_LAST")</f>
        <v>#NAME?</v>
      </c>
      <c r="N55" s="8" t="e">
        <f ca="1">_xll.BDP($C55&amp; " Equity","dvd_crncy")</f>
        <v>#NAME?</v>
      </c>
      <c r="O55" s="8" t="str">
        <f t="shared" si="3"/>
        <v>EUR</v>
      </c>
      <c r="P55" s="23" t="e">
        <f t="shared" ca="1" si="4"/>
        <v>#NAME?</v>
      </c>
      <c r="Q55" s="23" t="e">
        <f ca="1">IF(P55="EUR",1,IF(P55="EURGBp Curncy",(_xll.BDP(P55,"PX_LAST")*100),_xll.BDP(P55,"PX_LAST")))</f>
        <v>#NAME?</v>
      </c>
      <c r="R55" s="206" t="str">
        <f t="shared" ca="1" si="5"/>
        <v>-</v>
      </c>
      <c r="S55" s="208" t="str">
        <f t="shared" ca="1" si="11"/>
        <v>-</v>
      </c>
      <c r="T55" s="52">
        <v>22000</v>
      </c>
      <c r="U55" s="52" t="e">
        <f t="shared" ca="1" si="12"/>
        <v>#NAME?</v>
      </c>
      <c r="V55" s="52" t="e">
        <f t="shared" ca="1" si="6"/>
        <v>#NAME?</v>
      </c>
      <c r="W55" s="16" t="str">
        <f t="shared" ca="1" si="13"/>
        <v>-</v>
      </c>
      <c r="X55" s="1077">
        <f t="shared" ca="1" si="7"/>
        <v>0</v>
      </c>
      <c r="Y55" s="16" t="str">
        <f t="shared" ca="1" si="8"/>
        <v>0</v>
      </c>
      <c r="Z55" s="8" t="e">
        <f ca="1">_xll.BDP(B55 &amp;" Equity", "DVD_FREQ")</f>
        <v>#NAME?</v>
      </c>
      <c r="AA55" s="23" t="e">
        <f t="shared" ca="1" si="9"/>
        <v>#NAME?</v>
      </c>
      <c r="AB55" s="206" t="e">
        <f ca="1">_xll.BDP(B55 &amp;" Equity", "EQY_DVD_YLD_IND_NET")</f>
        <v>#NAME?</v>
      </c>
      <c r="AC55" s="6"/>
      <c r="AD55" s="6"/>
      <c r="AI55"/>
      <c r="AJ55"/>
      <c r="AK55"/>
    </row>
    <row r="56" spans="1:37" ht="14.5">
      <c r="A56" s="6"/>
      <c r="B56" s="8" t="s">
        <v>12860</v>
      </c>
      <c r="C56" s="8" t="str">
        <f t="shared" si="10"/>
        <v>6762 JP</v>
      </c>
      <c r="D56" s="8" t="e">
        <f ca="1">_xll.BDP(C56 &amp; " Equity","ID_ISIN",)</f>
        <v>#NAME?</v>
      </c>
      <c r="E56" s="14" t="e">
        <f ca="1">_xll.BDP(C56 &amp; " Equity","SECURITY_NAME")</f>
        <v>#NAME?</v>
      </c>
      <c r="F56" s="11" t="e">
        <f ca="1">_xll.BDP($C56 &amp;" Equity","dvd_sh_last")</f>
        <v>#NAME?</v>
      </c>
      <c r="G56" s="11">
        <f t="shared" ca="1" si="0"/>
        <v>0</v>
      </c>
      <c r="H56" s="8" t="str">
        <f t="shared" ca="1" si="1"/>
        <v/>
      </c>
      <c r="I56" s="8" t="e">
        <f ca="1">_xll.BDP($C56 &amp; " Equity","dvd_ex_dt")</f>
        <v>#NAME?</v>
      </c>
      <c r="J56" s="8" t="e">
        <f ca="1">_xll.BDP($C56 &amp; " Equity","BDVD_NEXT_EST_DECL_DT")</f>
        <v>#NAME?</v>
      </c>
      <c r="K56" s="8" t="str">
        <f t="shared" ca="1" si="2"/>
        <v/>
      </c>
      <c r="L56" s="8" t="e">
        <f ca="1">_xll.BDP($C56&amp; " Equity","dvd_pay_dt")</f>
        <v>#NAME?</v>
      </c>
      <c r="M56" s="8" t="e">
        <f ca="1">_xll.BDP($C56&amp; " Equity","DVD_TYP_LAST")</f>
        <v>#NAME?</v>
      </c>
      <c r="N56" s="8" t="e">
        <f ca="1">_xll.BDP($C56&amp; " Equity","dvd_crncy")</f>
        <v>#NAME?</v>
      </c>
      <c r="O56" s="8" t="str">
        <f t="shared" si="3"/>
        <v>EUR</v>
      </c>
      <c r="P56" s="23" t="e">
        <f t="shared" ca="1" si="4"/>
        <v>#NAME?</v>
      </c>
      <c r="Q56" s="23" t="e">
        <f ca="1">IF(P56="EUR",1,IF(P56="EURGBp Curncy",(_xll.BDP(P56,"PX_LAST")*100),_xll.BDP(P56,"PX_LAST")))</f>
        <v>#NAME?</v>
      </c>
      <c r="R56" s="206" t="str">
        <f t="shared" ca="1" si="5"/>
        <v>-</v>
      </c>
      <c r="S56" s="208" t="str">
        <f t="shared" ca="1" si="11"/>
        <v>-</v>
      </c>
      <c r="T56" s="52">
        <v>11000</v>
      </c>
      <c r="U56" s="52" t="e">
        <f t="shared" ca="1" si="12"/>
        <v>#NAME?</v>
      </c>
      <c r="V56" s="52" t="e">
        <f t="shared" ca="1" si="6"/>
        <v>#NAME?</v>
      </c>
      <c r="W56" s="16" t="str">
        <f t="shared" ca="1" si="13"/>
        <v>-</v>
      </c>
      <c r="X56" s="1077">
        <f t="shared" ca="1" si="7"/>
        <v>0</v>
      </c>
      <c r="Y56" s="16" t="str">
        <f t="shared" ca="1" si="8"/>
        <v>0</v>
      </c>
      <c r="Z56" s="8" t="e">
        <f ca="1">_xll.BDP(B56 &amp;" Equity", "DVD_FREQ")</f>
        <v>#NAME?</v>
      </c>
      <c r="AA56" s="23" t="e">
        <f t="shared" ca="1" si="9"/>
        <v>#NAME?</v>
      </c>
      <c r="AB56" s="206" t="e">
        <f ca="1">_xll.BDP(B56 &amp;" Equity", "EQY_DVD_YLD_IND_NET")</f>
        <v>#NAME?</v>
      </c>
      <c r="AC56" s="6"/>
      <c r="AD56" s="6"/>
      <c r="AI56"/>
      <c r="AJ56"/>
      <c r="AK56"/>
    </row>
    <row r="57" spans="1:37" ht="14.5">
      <c r="A57" s="6"/>
      <c r="B57" s="8" t="s">
        <v>12862</v>
      </c>
      <c r="C57" s="8" t="str">
        <f t="shared" si="10"/>
        <v>VTSC GR</v>
      </c>
      <c r="D57" s="8" t="e">
        <f ca="1">_xll.BDP(C57 &amp; " Equity","ID_ISIN",)</f>
        <v>#NAME?</v>
      </c>
      <c r="E57" s="14" t="e">
        <f ca="1">_xll.BDP(C57 &amp; " Equity","SECURITY_NAME")</f>
        <v>#NAME?</v>
      </c>
      <c r="F57" s="11" t="e">
        <f ca="1">_xll.BDP($C57 &amp;" Equity","dvd_sh_last")</f>
        <v>#NAME?</v>
      </c>
      <c r="G57" s="11">
        <f t="shared" ca="1" si="0"/>
        <v>0</v>
      </c>
      <c r="H57" s="8" t="str">
        <f t="shared" ca="1" si="1"/>
        <v/>
      </c>
      <c r="I57" s="8" t="e">
        <f ca="1">_xll.BDP($C57 &amp; " Equity","dvd_ex_dt")</f>
        <v>#NAME?</v>
      </c>
      <c r="J57" s="8" t="e">
        <f ca="1">_xll.BDP($C57 &amp; " Equity","BDVD_NEXT_EST_DECL_DT")</f>
        <v>#NAME?</v>
      </c>
      <c r="K57" s="8" t="str">
        <f t="shared" ca="1" si="2"/>
        <v/>
      </c>
      <c r="L57" s="8" t="e">
        <f ca="1">_xll.BDP($C57&amp; " Equity","dvd_pay_dt")</f>
        <v>#NAME?</v>
      </c>
      <c r="M57" s="8" t="e">
        <f ca="1">_xll.BDP($C57&amp; " Equity","DVD_TYP_LAST")</f>
        <v>#NAME?</v>
      </c>
      <c r="N57" s="8" t="e">
        <f ca="1">_xll.BDP($C57&amp; " Equity","dvd_crncy")</f>
        <v>#NAME?</v>
      </c>
      <c r="O57" s="8" t="str">
        <f t="shared" si="3"/>
        <v>EUR</v>
      </c>
      <c r="P57" s="23" t="e">
        <f t="shared" ca="1" si="4"/>
        <v>#NAME?</v>
      </c>
      <c r="Q57" s="23" t="e">
        <f ca="1">IF(P57="EUR",1,IF(P57="EURGBp Curncy",(_xll.BDP(P57,"PX_LAST")*100),_xll.BDP(P57,"PX_LAST")))</f>
        <v>#NAME?</v>
      </c>
      <c r="R57" s="206" t="str">
        <f t="shared" ca="1" si="5"/>
        <v>-</v>
      </c>
      <c r="S57" s="208" t="str">
        <f t="shared" ca="1" si="11"/>
        <v>-</v>
      </c>
      <c r="T57" s="52">
        <v>15200</v>
      </c>
      <c r="U57" s="52" t="e">
        <f t="shared" ca="1" si="12"/>
        <v>#NAME?</v>
      </c>
      <c r="V57" s="52" t="e">
        <f t="shared" ca="1" si="6"/>
        <v>#NAME?</v>
      </c>
      <c r="W57" s="16" t="str">
        <f t="shared" ca="1" si="13"/>
        <v>-</v>
      </c>
      <c r="X57" s="1077">
        <f t="shared" ca="1" si="7"/>
        <v>0</v>
      </c>
      <c r="Y57" s="16" t="str">
        <f t="shared" ca="1" si="8"/>
        <v>0</v>
      </c>
      <c r="Z57" s="8" t="e">
        <f ca="1">_xll.BDP(B57 &amp;" Equity", "DVD_FREQ")</f>
        <v>#NAME?</v>
      </c>
      <c r="AA57" s="23" t="e">
        <f t="shared" ca="1" si="9"/>
        <v>#NAME?</v>
      </c>
      <c r="AB57" s="206" t="e">
        <f ca="1">_xll.BDP(B57 &amp;" Equity", "EQY_DVD_YLD_IND_NET")</f>
        <v>#NAME?</v>
      </c>
      <c r="AC57" s="6"/>
      <c r="AD57" s="6"/>
      <c r="AI57"/>
      <c r="AJ57"/>
      <c r="AK57"/>
    </row>
    <row r="58" spans="1:37" ht="14.5">
      <c r="A58" s="6"/>
      <c r="B58" s="8" t="s">
        <v>12877</v>
      </c>
      <c r="C58" s="8" t="str">
        <f t="shared" si="10"/>
        <v>7013 JP</v>
      </c>
      <c r="D58" s="8" t="e">
        <f ca="1">_xll.BDP(C58 &amp; " Equity","ID_ISIN",)</f>
        <v>#NAME?</v>
      </c>
      <c r="E58" s="14" t="e">
        <f ca="1">_xll.BDP(C58 &amp; " Equity","SECURITY_NAME")</f>
        <v>#NAME?</v>
      </c>
      <c r="F58" s="11" t="e">
        <f ca="1">_xll.BDP($C58 &amp;" Equity","dvd_sh_last")</f>
        <v>#NAME?</v>
      </c>
      <c r="G58" s="11">
        <f t="shared" ca="1" si="0"/>
        <v>0</v>
      </c>
      <c r="H58" s="8" t="str">
        <f t="shared" ca="1" si="1"/>
        <v/>
      </c>
      <c r="I58" s="8" t="e">
        <f ca="1">_xll.BDP($C58 &amp; " Equity","dvd_ex_dt")</f>
        <v>#NAME?</v>
      </c>
      <c r="J58" s="8" t="e">
        <f ca="1">_xll.BDP($C58 &amp; " Equity","BDVD_NEXT_EST_DECL_DT")</f>
        <v>#NAME?</v>
      </c>
      <c r="K58" s="8" t="str">
        <f t="shared" ca="1" si="2"/>
        <v/>
      </c>
      <c r="L58" s="8" t="e">
        <f ca="1">_xll.BDP($C58&amp; " Equity","dvd_pay_dt")</f>
        <v>#NAME?</v>
      </c>
      <c r="M58" s="8" t="e">
        <f ca="1">_xll.BDP($C58&amp; " Equity","DVD_TYP_LAST")</f>
        <v>#NAME?</v>
      </c>
      <c r="N58" s="8" t="e">
        <f ca="1">_xll.BDP($C58&amp; " Equity","dvd_crncy")</f>
        <v>#NAME?</v>
      </c>
      <c r="O58" s="8" t="str">
        <f t="shared" si="3"/>
        <v>EUR</v>
      </c>
      <c r="P58" s="23" t="e">
        <f t="shared" ca="1" si="4"/>
        <v>#NAME?</v>
      </c>
      <c r="Q58" s="23" t="e">
        <f ca="1">IF(P58="EUR",1,IF(P58="EURGBp Curncy",(_xll.BDP(P58,"PX_LAST")*100),_xll.BDP(P58,"PX_LAST")))</f>
        <v>#NAME?</v>
      </c>
      <c r="R58" s="206" t="str">
        <f t="shared" ca="1" si="5"/>
        <v>-</v>
      </c>
      <c r="S58" s="208" t="str">
        <f t="shared" ca="1" si="11"/>
        <v>-</v>
      </c>
      <c r="T58" s="52">
        <v>28700</v>
      </c>
      <c r="U58" s="52" t="e">
        <f t="shared" ca="1" si="12"/>
        <v>#NAME?</v>
      </c>
      <c r="V58" s="52" t="e">
        <f t="shared" ca="1" si="6"/>
        <v>#NAME?</v>
      </c>
      <c r="W58" s="16" t="str">
        <f t="shared" ca="1" si="13"/>
        <v>-</v>
      </c>
      <c r="X58" s="1077">
        <f t="shared" ca="1" si="7"/>
        <v>0</v>
      </c>
      <c r="Y58" s="16" t="str">
        <f t="shared" ca="1" si="8"/>
        <v>0</v>
      </c>
      <c r="Z58" s="8" t="e">
        <f ca="1">_xll.BDP(B58 &amp;" Equity", "DVD_FREQ")</f>
        <v>#NAME?</v>
      </c>
      <c r="AA58" s="23" t="e">
        <f t="shared" ca="1" si="9"/>
        <v>#NAME?</v>
      </c>
      <c r="AB58" s="206" t="e">
        <f ca="1">_xll.BDP(B58 &amp;" Equity", "EQY_DVD_YLD_IND_NET")</f>
        <v>#NAME?</v>
      </c>
      <c r="AC58" s="6"/>
      <c r="AD58" s="6"/>
      <c r="AI58"/>
      <c r="AJ58"/>
      <c r="AK58"/>
    </row>
    <row r="59" spans="1:37" ht="14.5">
      <c r="A59" s="6"/>
      <c r="B59" s="8" t="s">
        <v>12878</v>
      </c>
      <c r="C59" s="8" t="str">
        <f t="shared" si="10"/>
        <v>3407 JP</v>
      </c>
      <c r="D59" s="8" t="e">
        <f ca="1">_xll.BDP(C59 &amp; " Equity","ID_ISIN",)</f>
        <v>#NAME?</v>
      </c>
      <c r="E59" s="14" t="e">
        <f ca="1">_xll.BDP(C59 &amp; " Equity","SECURITY_NAME")</f>
        <v>#NAME?</v>
      </c>
      <c r="F59" s="11" t="e">
        <f ca="1">_xll.BDP($C59 &amp;" Equity","dvd_sh_last")</f>
        <v>#NAME?</v>
      </c>
      <c r="G59" s="11">
        <f t="shared" ca="1" si="0"/>
        <v>0</v>
      </c>
      <c r="H59" s="8" t="str">
        <f t="shared" ca="1" si="1"/>
        <v/>
      </c>
      <c r="I59" s="8" t="e">
        <f ca="1">_xll.BDP($C59 &amp; " Equity","dvd_ex_dt")</f>
        <v>#NAME?</v>
      </c>
      <c r="J59" s="8" t="e">
        <f ca="1">_xll.BDP($C59 &amp; " Equity","BDVD_NEXT_EST_DECL_DT")</f>
        <v>#NAME?</v>
      </c>
      <c r="K59" s="8" t="str">
        <f t="shared" ca="1" si="2"/>
        <v/>
      </c>
      <c r="L59" s="8" t="e">
        <f ca="1">_xll.BDP($C59&amp; " Equity","dvd_pay_dt")</f>
        <v>#NAME?</v>
      </c>
      <c r="M59" s="8" t="e">
        <f ca="1">_xll.BDP($C59&amp; " Equity","DVD_TYP_LAST")</f>
        <v>#NAME?</v>
      </c>
      <c r="N59" s="8" t="e">
        <f ca="1">_xll.BDP($C59&amp; " Equity","dvd_crncy")</f>
        <v>#NAME?</v>
      </c>
      <c r="O59" s="8" t="str">
        <f t="shared" si="3"/>
        <v>EUR</v>
      </c>
      <c r="P59" s="23" t="e">
        <f t="shared" ca="1" si="4"/>
        <v>#NAME?</v>
      </c>
      <c r="Q59" s="23" t="e">
        <f ca="1">IF(P59="EUR",1,IF(P59="EURGBp Curncy",(_xll.BDP(P59,"PX_LAST")*100),_xll.BDP(P59,"PX_LAST")))</f>
        <v>#NAME?</v>
      </c>
      <c r="R59" s="206" t="str">
        <f t="shared" ca="1" si="5"/>
        <v>-</v>
      </c>
      <c r="S59" s="208" t="str">
        <f t="shared" ca="1" si="11"/>
        <v>-</v>
      </c>
      <c r="T59" s="52">
        <v>11000</v>
      </c>
      <c r="U59" s="52" t="e">
        <f t="shared" ca="1" si="12"/>
        <v>#NAME?</v>
      </c>
      <c r="V59" s="52" t="e">
        <f t="shared" ca="1" si="6"/>
        <v>#NAME?</v>
      </c>
      <c r="W59" s="16" t="str">
        <f t="shared" ca="1" si="13"/>
        <v>-</v>
      </c>
      <c r="X59" s="1077">
        <f t="shared" ca="1" si="7"/>
        <v>0</v>
      </c>
      <c r="Y59" s="16" t="str">
        <f t="shared" ca="1" si="8"/>
        <v>0</v>
      </c>
      <c r="Z59" s="8" t="e">
        <f ca="1">_xll.BDP(B59 &amp;" Equity", "DVD_FREQ")</f>
        <v>#NAME?</v>
      </c>
      <c r="AA59" s="23" t="e">
        <f t="shared" ca="1" si="9"/>
        <v>#NAME?</v>
      </c>
      <c r="AB59" s="206" t="e">
        <f ca="1">_xll.BDP(B59 &amp;" Equity", "EQY_DVD_YLD_IND_NET")</f>
        <v>#NAME?</v>
      </c>
      <c r="AC59" s="6"/>
      <c r="AD59" s="6"/>
      <c r="AI59"/>
      <c r="AJ59"/>
      <c r="AK59"/>
    </row>
    <row r="60" spans="1:37" ht="14.5">
      <c r="A60" s="6"/>
      <c r="B60" s="8"/>
      <c r="C60" s="8" t="str">
        <f t="shared" si="10"/>
        <v/>
      </c>
      <c r="D60" s="8" t="e">
        <f ca="1">_xll.BDP(C60 &amp; " Equity","ID_ISIN",)</f>
        <v>#NAME?</v>
      </c>
      <c r="E60" s="14"/>
      <c r="F60" s="11"/>
      <c r="G60" s="11">
        <f t="shared" ca="1" si="0"/>
        <v>0</v>
      </c>
      <c r="H60" s="8" t="str">
        <f t="shared" si="1"/>
        <v/>
      </c>
      <c r="I60" s="8"/>
      <c r="J60" s="8"/>
      <c r="K60" s="8" t="str">
        <f t="shared" si="2"/>
        <v/>
      </c>
      <c r="L60" s="8"/>
      <c r="M60" s="8"/>
      <c r="N60" s="8"/>
      <c r="O60" s="8"/>
      <c r="P60" s="23"/>
      <c r="Q60" s="23"/>
      <c r="R60" s="206"/>
      <c r="S60" s="208"/>
      <c r="T60" s="52"/>
      <c r="U60" s="52"/>
      <c r="V60" s="52"/>
      <c r="W60" s="16"/>
      <c r="X60" s="1077"/>
      <c r="Y60" s="16"/>
      <c r="Z60" s="8"/>
      <c r="AA60" s="23"/>
      <c r="AB60" s="206"/>
      <c r="AC60" s="6"/>
      <c r="AD60" s="6"/>
      <c r="AI60"/>
      <c r="AJ60"/>
      <c r="AK60"/>
    </row>
    <row r="61" spans="1:37" ht="14.5">
      <c r="A61" s="6"/>
      <c r="B61" s="8"/>
      <c r="C61" s="8" t="str">
        <f t="shared" si="10"/>
        <v/>
      </c>
      <c r="D61" s="8" t="e">
        <f ca="1">_xll.BDP(C61 &amp; " Equity","ID_ISIN",)</f>
        <v>#NAME?</v>
      </c>
      <c r="E61" s="14"/>
      <c r="F61" s="11"/>
      <c r="G61" s="11">
        <f t="shared" ca="1" si="0"/>
        <v>0</v>
      </c>
      <c r="H61" s="8" t="str">
        <f t="shared" si="1"/>
        <v/>
      </c>
      <c r="I61" s="8"/>
      <c r="J61" s="8"/>
      <c r="K61" s="8" t="str">
        <f t="shared" si="2"/>
        <v/>
      </c>
      <c r="L61" s="8"/>
      <c r="M61" s="8"/>
      <c r="N61" s="8"/>
      <c r="O61" s="8"/>
      <c r="P61" s="23"/>
      <c r="Q61" s="23"/>
      <c r="R61" s="206"/>
      <c r="S61" s="208"/>
      <c r="T61" s="52"/>
      <c r="U61" s="52"/>
      <c r="V61" s="52"/>
      <c r="W61" s="16"/>
      <c r="X61" s="1077"/>
      <c r="Y61" s="16"/>
      <c r="Z61" s="8"/>
      <c r="AA61" s="23"/>
      <c r="AB61" s="206"/>
      <c r="AC61" s="6"/>
      <c r="AD61" s="6"/>
      <c r="AI61"/>
      <c r="AJ61"/>
      <c r="AK61"/>
    </row>
    <row r="62" spans="1:37" ht="14.5">
      <c r="A62" s="6"/>
      <c r="B62" s="8"/>
      <c r="C62" s="8" t="str">
        <f t="shared" si="10"/>
        <v/>
      </c>
      <c r="D62" s="8" t="e">
        <f ca="1">_xll.BDP(C62 &amp; " Equity","ID_ISIN",)</f>
        <v>#NAME?</v>
      </c>
      <c r="E62" s="14"/>
      <c r="F62" s="11"/>
      <c r="G62" s="11">
        <f t="shared" ca="1" si="0"/>
        <v>0</v>
      </c>
      <c r="H62" s="8" t="str">
        <f t="shared" si="1"/>
        <v/>
      </c>
      <c r="I62" s="8"/>
      <c r="J62" s="8"/>
      <c r="K62" s="8" t="str">
        <f t="shared" si="2"/>
        <v/>
      </c>
      <c r="L62" s="8"/>
      <c r="M62" s="8"/>
      <c r="N62" s="8"/>
      <c r="O62" s="8"/>
      <c r="P62" s="23"/>
      <c r="Q62" s="23"/>
      <c r="R62" s="206"/>
      <c r="S62" s="208"/>
      <c r="T62" s="52"/>
      <c r="U62" s="52"/>
      <c r="V62" s="52"/>
      <c r="W62" s="16"/>
      <c r="X62" s="1077"/>
      <c r="Y62" s="16"/>
      <c r="Z62" s="8"/>
      <c r="AA62" s="23"/>
      <c r="AB62" s="206"/>
      <c r="AC62" s="6"/>
      <c r="AD62" s="6"/>
      <c r="AI62"/>
      <c r="AJ62"/>
      <c r="AK62"/>
    </row>
    <row r="63" spans="1:37" ht="14.5">
      <c r="A63" s="6"/>
      <c r="B63" s="8"/>
      <c r="C63" s="8" t="str">
        <f t="shared" si="10"/>
        <v/>
      </c>
      <c r="D63" s="8" t="e">
        <f ca="1">_xll.BDP(C63 &amp; " Equity","ID_ISIN",)</f>
        <v>#NAME?</v>
      </c>
      <c r="E63" s="14"/>
      <c r="F63" s="11"/>
      <c r="G63" s="11">
        <f t="shared" ca="1" si="0"/>
        <v>0</v>
      </c>
      <c r="H63" s="8" t="str">
        <f t="shared" si="1"/>
        <v/>
      </c>
      <c r="I63" s="8"/>
      <c r="J63" s="8"/>
      <c r="K63" s="8" t="str">
        <f t="shared" si="2"/>
        <v/>
      </c>
      <c r="L63" s="8"/>
      <c r="M63" s="8"/>
      <c r="N63" s="8"/>
      <c r="O63" s="8"/>
      <c r="P63" s="23"/>
      <c r="Q63" s="23"/>
      <c r="R63" s="206"/>
      <c r="S63" s="208"/>
      <c r="T63" s="52"/>
      <c r="U63" s="52"/>
      <c r="V63" s="52"/>
      <c r="W63" s="16"/>
      <c r="X63" s="1077"/>
      <c r="Y63" s="16"/>
      <c r="Z63" s="8"/>
      <c r="AA63" s="23"/>
      <c r="AB63" s="206"/>
      <c r="AC63" s="6"/>
      <c r="AD63" s="6"/>
      <c r="AI63"/>
      <c r="AJ63"/>
      <c r="AK63"/>
    </row>
    <row r="64" spans="1:37" ht="14.5">
      <c r="A64" s="6"/>
      <c r="B64" s="8"/>
      <c r="C64" s="8" t="str">
        <f t="shared" si="10"/>
        <v/>
      </c>
      <c r="D64" s="8" t="e">
        <f ca="1">_xll.BDP(C64 &amp; " Equity","ID_ISIN",)</f>
        <v>#NAME?</v>
      </c>
      <c r="E64" s="14"/>
      <c r="F64" s="11"/>
      <c r="G64" s="11">
        <f t="shared" ca="1" si="0"/>
        <v>0</v>
      </c>
      <c r="H64" s="8" t="str">
        <f t="shared" si="1"/>
        <v/>
      </c>
      <c r="I64" s="8"/>
      <c r="J64" s="8"/>
      <c r="K64" s="8" t="str">
        <f t="shared" si="2"/>
        <v/>
      </c>
      <c r="L64" s="8"/>
      <c r="M64" s="8"/>
      <c r="N64" s="8"/>
      <c r="O64" s="8"/>
      <c r="P64" s="23"/>
      <c r="Q64" s="23"/>
      <c r="R64" s="206"/>
      <c r="S64" s="208"/>
      <c r="T64" s="52"/>
      <c r="U64" s="52"/>
      <c r="V64" s="52"/>
      <c r="W64" s="16"/>
      <c r="X64" s="1077"/>
      <c r="Y64" s="16"/>
      <c r="Z64" s="8"/>
      <c r="AA64" s="23"/>
      <c r="AB64" s="206"/>
      <c r="AC64" s="6"/>
      <c r="AD64" s="6"/>
      <c r="AI64"/>
      <c r="AJ64"/>
      <c r="AK64"/>
    </row>
    <row r="65" spans="1:37" ht="14.5">
      <c r="A65" s="6"/>
      <c r="B65" s="8"/>
      <c r="C65" s="8" t="str">
        <f t="shared" si="10"/>
        <v/>
      </c>
      <c r="D65" s="8" t="e">
        <f ca="1">_xll.BDP(C65 &amp; " Equity","ID_ISIN",)</f>
        <v>#NAME?</v>
      </c>
      <c r="E65" s="14"/>
      <c r="F65" s="11"/>
      <c r="G65" s="11">
        <f t="shared" ca="1" si="0"/>
        <v>0</v>
      </c>
      <c r="H65" s="8" t="str">
        <f t="shared" si="1"/>
        <v/>
      </c>
      <c r="I65" s="8"/>
      <c r="J65" s="8"/>
      <c r="K65" s="8" t="str">
        <f t="shared" si="2"/>
        <v/>
      </c>
      <c r="L65" s="8"/>
      <c r="M65" s="8"/>
      <c r="N65" s="8"/>
      <c r="O65" s="8"/>
      <c r="P65" s="23"/>
      <c r="Q65" s="23"/>
      <c r="R65" s="206"/>
      <c r="S65" s="208"/>
      <c r="T65" s="52"/>
      <c r="U65" s="52"/>
      <c r="V65" s="52"/>
      <c r="W65" s="16"/>
      <c r="X65" s="1077"/>
      <c r="Y65" s="16"/>
      <c r="Z65" s="8"/>
      <c r="AA65" s="23"/>
      <c r="AB65" s="206"/>
      <c r="AC65" s="6"/>
      <c r="AD65" s="6"/>
      <c r="AI65"/>
      <c r="AJ65"/>
      <c r="AK65"/>
    </row>
    <row r="66" spans="1:37" ht="14.5">
      <c r="A66" s="6"/>
      <c r="B66" s="8"/>
      <c r="C66" s="8" t="str">
        <f t="shared" si="10"/>
        <v/>
      </c>
      <c r="D66" s="8" t="e">
        <f ca="1">_xll.BDP(C66 &amp; " Equity","ID_ISIN",)</f>
        <v>#NAME?</v>
      </c>
      <c r="E66" s="14"/>
      <c r="F66" s="11"/>
      <c r="G66" s="11">
        <f t="shared" ca="1" si="0"/>
        <v>0</v>
      </c>
      <c r="H66" s="8" t="str">
        <f t="shared" si="1"/>
        <v/>
      </c>
      <c r="I66" s="8"/>
      <c r="J66" s="8"/>
      <c r="K66" s="8" t="str">
        <f t="shared" si="2"/>
        <v/>
      </c>
      <c r="L66" s="8"/>
      <c r="M66" s="8"/>
      <c r="N66" s="8"/>
      <c r="O66" s="8"/>
      <c r="P66" s="23"/>
      <c r="Q66" s="23"/>
      <c r="R66" s="206"/>
      <c r="S66" s="208"/>
      <c r="T66" s="52"/>
      <c r="U66" s="52"/>
      <c r="V66" s="52"/>
      <c r="W66" s="16"/>
      <c r="X66" s="1077"/>
      <c r="Y66" s="16"/>
      <c r="Z66" s="8"/>
      <c r="AA66" s="23"/>
      <c r="AB66" s="206"/>
      <c r="AC66" s="6"/>
      <c r="AD66" s="6"/>
      <c r="AI66"/>
      <c r="AJ66"/>
      <c r="AK66"/>
    </row>
    <row r="67" spans="1:37" ht="14.5">
      <c r="A67" s="6"/>
      <c r="B67" s="8"/>
      <c r="C67" s="8" t="str">
        <f t="shared" si="10"/>
        <v/>
      </c>
      <c r="D67" s="8" t="e">
        <f ca="1">_xll.BDP(C67 &amp; " Equity","ID_ISIN",)</f>
        <v>#NAME?</v>
      </c>
      <c r="E67" s="14"/>
      <c r="F67" s="11"/>
      <c r="G67" s="11">
        <f t="shared" ca="1" si="0"/>
        <v>0</v>
      </c>
      <c r="H67" s="8" t="str">
        <f t="shared" si="1"/>
        <v/>
      </c>
      <c r="I67" s="8"/>
      <c r="J67" s="8"/>
      <c r="K67" s="8" t="str">
        <f t="shared" si="2"/>
        <v/>
      </c>
      <c r="L67" s="8"/>
      <c r="M67" s="8"/>
      <c r="N67" s="8"/>
      <c r="O67" s="8"/>
      <c r="P67" s="23"/>
      <c r="Q67" s="23"/>
      <c r="R67" s="206"/>
      <c r="S67" s="208"/>
      <c r="T67" s="52"/>
      <c r="U67" s="52"/>
      <c r="V67" s="52"/>
      <c r="W67" s="16"/>
      <c r="X67" s="1077"/>
      <c r="Y67" s="16"/>
      <c r="Z67" s="8"/>
      <c r="AA67" s="23"/>
      <c r="AB67" s="206"/>
      <c r="AC67" s="6"/>
      <c r="AD67" s="6"/>
      <c r="AI67"/>
      <c r="AJ67"/>
    </row>
    <row r="68" spans="1:37" ht="14.5">
      <c r="A68" s="6"/>
      <c r="B68" s="8"/>
      <c r="C68" s="8" t="str">
        <f t="shared" si="10"/>
        <v/>
      </c>
      <c r="D68" s="8" t="e">
        <f ca="1">_xll.BDP(C68 &amp; " Equity","ID_ISIN",)</f>
        <v>#NAME?</v>
      </c>
      <c r="E68" s="14"/>
      <c r="F68" s="11"/>
      <c r="G68" s="11">
        <f t="shared" ca="1" si="0"/>
        <v>0</v>
      </c>
      <c r="H68" s="8" t="str">
        <f t="shared" si="1"/>
        <v/>
      </c>
      <c r="I68" s="8"/>
      <c r="J68" s="8"/>
      <c r="K68" s="8" t="str">
        <f t="shared" si="2"/>
        <v/>
      </c>
      <c r="L68" s="8"/>
      <c r="M68" s="8"/>
      <c r="N68" s="8"/>
      <c r="O68" s="8"/>
      <c r="P68" s="23"/>
      <c r="Q68" s="23"/>
      <c r="R68" s="206"/>
      <c r="S68" s="208"/>
      <c r="T68" s="52"/>
      <c r="U68" s="52"/>
      <c r="V68" s="52"/>
      <c r="W68" s="16"/>
      <c r="X68" s="1077"/>
      <c r="Y68" s="16"/>
      <c r="Z68" s="8"/>
      <c r="AA68" s="23"/>
      <c r="AB68" s="206"/>
      <c r="AC68" s="6"/>
      <c r="AD68" s="6"/>
      <c r="AI68"/>
      <c r="AJ68"/>
    </row>
    <row r="69" spans="1:37" ht="14.5">
      <c r="A69" s="6"/>
      <c r="B69" s="8"/>
      <c r="C69" s="8" t="str">
        <f t="shared" si="10"/>
        <v/>
      </c>
      <c r="D69" s="8" t="e">
        <f ca="1">_xll.BDP(C69 &amp; " Equity","ID_ISIN",)</f>
        <v>#NAME?</v>
      </c>
      <c r="E69" s="14"/>
      <c r="F69" s="11"/>
      <c r="G69" s="11">
        <f t="shared" ca="1" si="0"/>
        <v>0</v>
      </c>
      <c r="H69" s="8" t="str">
        <f t="shared" si="1"/>
        <v/>
      </c>
      <c r="I69" s="8"/>
      <c r="J69" s="8"/>
      <c r="K69" s="8" t="str">
        <f t="shared" si="2"/>
        <v/>
      </c>
      <c r="L69" s="8"/>
      <c r="M69" s="8"/>
      <c r="N69" s="8"/>
      <c r="O69" s="8"/>
      <c r="P69" s="23"/>
      <c r="Q69" s="23"/>
      <c r="R69" s="206"/>
      <c r="S69" s="208"/>
      <c r="T69" s="52"/>
      <c r="U69" s="52"/>
      <c r="V69" s="52"/>
      <c r="W69" s="16"/>
      <c r="X69" s="1077"/>
      <c r="Y69" s="16"/>
      <c r="Z69" s="8"/>
      <c r="AA69" s="23"/>
      <c r="AB69" s="206"/>
      <c r="AC69" s="6"/>
      <c r="AD69" s="6"/>
      <c r="AI69"/>
      <c r="AJ69"/>
    </row>
    <row r="70" spans="1:37" ht="14.5">
      <c r="A70" s="6"/>
      <c r="B70" s="8"/>
      <c r="C70" s="8" t="str">
        <f t="shared" si="10"/>
        <v/>
      </c>
      <c r="D70" s="8" t="e">
        <f ca="1">_xll.BDP(C70 &amp; " Equity","ID_ISIN",)</f>
        <v>#NAME?</v>
      </c>
      <c r="E70" s="14"/>
      <c r="F70" s="11"/>
      <c r="G70" s="11">
        <f t="shared" ca="1" si="0"/>
        <v>0</v>
      </c>
      <c r="H70" s="8" t="str">
        <f t="shared" si="1"/>
        <v/>
      </c>
      <c r="I70" s="8"/>
      <c r="J70" s="8"/>
      <c r="K70" s="8" t="str">
        <f t="shared" si="2"/>
        <v/>
      </c>
      <c r="L70" s="8"/>
      <c r="M70" s="8"/>
      <c r="N70" s="8"/>
      <c r="O70" s="8"/>
      <c r="P70" s="23"/>
      <c r="Q70" s="23"/>
      <c r="R70" s="206"/>
      <c r="S70" s="208"/>
      <c r="T70" s="52"/>
      <c r="U70" s="52"/>
      <c r="V70" s="52"/>
      <c r="W70" s="16"/>
      <c r="X70" s="1077"/>
      <c r="Y70" s="16"/>
      <c r="Z70" s="8"/>
      <c r="AA70" s="23"/>
      <c r="AB70" s="206"/>
      <c r="AC70" s="6"/>
      <c r="AD70" s="6"/>
      <c r="AI70"/>
      <c r="AJ70"/>
    </row>
    <row r="71" spans="1:37" ht="14.5">
      <c r="A71" s="6"/>
      <c r="B71" s="8"/>
      <c r="C71" s="8" t="str">
        <f t="shared" si="10"/>
        <v/>
      </c>
      <c r="D71" s="8" t="e">
        <f ca="1">_xll.BDP(C71 &amp; " Equity","ID_ISIN",)</f>
        <v>#NAME?</v>
      </c>
      <c r="E71" s="14"/>
      <c r="F71" s="11"/>
      <c r="G71" s="11">
        <f t="shared" ca="1" si="0"/>
        <v>0</v>
      </c>
      <c r="H71" s="8" t="str">
        <f t="shared" si="1"/>
        <v/>
      </c>
      <c r="I71" s="8"/>
      <c r="J71" s="8"/>
      <c r="K71" s="8" t="str">
        <f t="shared" si="2"/>
        <v/>
      </c>
      <c r="L71" s="8"/>
      <c r="M71" s="8"/>
      <c r="N71" s="8"/>
      <c r="O71" s="8"/>
      <c r="P71" s="23"/>
      <c r="Q71" s="23"/>
      <c r="R71" s="206"/>
      <c r="S71" s="208"/>
      <c r="T71" s="52"/>
      <c r="U71" s="52"/>
      <c r="V71" s="52"/>
      <c r="W71" s="16"/>
      <c r="X71" s="1077"/>
      <c r="Y71" s="16"/>
      <c r="Z71" s="8"/>
      <c r="AA71" s="23"/>
      <c r="AB71" s="206"/>
      <c r="AC71" s="6"/>
      <c r="AD71" s="6"/>
      <c r="AI71"/>
      <c r="AJ71"/>
    </row>
    <row r="72" spans="1:37" ht="14.5">
      <c r="A72" s="6"/>
      <c r="B72" s="8"/>
      <c r="C72" s="8" t="str">
        <f t="shared" si="10"/>
        <v/>
      </c>
      <c r="D72" s="8" t="e">
        <f ca="1">_xll.BDP(C72 &amp; " Equity","ID_ISIN",)</f>
        <v>#NAME?</v>
      </c>
      <c r="E72" s="14"/>
      <c r="F72" s="11"/>
      <c r="G72" s="11">
        <f t="shared" ca="1" si="0"/>
        <v>0</v>
      </c>
      <c r="H72" s="8" t="str">
        <f t="shared" si="1"/>
        <v/>
      </c>
      <c r="I72" s="8"/>
      <c r="J72" s="8"/>
      <c r="K72" s="8" t="str">
        <f t="shared" si="2"/>
        <v/>
      </c>
      <c r="L72" s="8"/>
      <c r="M72" s="8"/>
      <c r="N72" s="8"/>
      <c r="O72" s="8"/>
      <c r="P72" s="23"/>
      <c r="Q72" s="23"/>
      <c r="R72" s="206"/>
      <c r="S72" s="208"/>
      <c r="T72" s="52"/>
      <c r="U72" s="52"/>
      <c r="V72" s="52"/>
      <c r="W72" s="16"/>
      <c r="X72" s="1077"/>
      <c r="Y72" s="16"/>
      <c r="Z72" s="8"/>
      <c r="AA72" s="23"/>
      <c r="AB72" s="206"/>
      <c r="AC72" s="6"/>
      <c r="AD72" s="6"/>
      <c r="AI72"/>
      <c r="AJ72"/>
    </row>
    <row r="73" spans="1:37" ht="14.5">
      <c r="A73" s="6"/>
      <c r="B73" s="8"/>
      <c r="C73" s="8" t="str">
        <f t="shared" si="10"/>
        <v/>
      </c>
      <c r="D73" s="8" t="e">
        <f ca="1">_xll.BDP(C73 &amp; " Equity","ID_ISIN",)</f>
        <v>#NAME?</v>
      </c>
      <c r="E73" s="14"/>
      <c r="F73" s="11"/>
      <c r="G73" s="11">
        <f t="shared" ca="1" si="0"/>
        <v>0</v>
      </c>
      <c r="H73" s="8" t="str">
        <f t="shared" si="1"/>
        <v/>
      </c>
      <c r="I73" s="8"/>
      <c r="J73" s="8"/>
      <c r="K73" s="8" t="str">
        <f t="shared" si="2"/>
        <v/>
      </c>
      <c r="L73" s="8"/>
      <c r="M73" s="8"/>
      <c r="N73" s="8"/>
      <c r="O73" s="8"/>
      <c r="P73" s="23"/>
      <c r="Q73" s="23"/>
      <c r="R73" s="206"/>
      <c r="S73" s="208"/>
      <c r="T73" s="52"/>
      <c r="U73" s="52"/>
      <c r="V73" s="52"/>
      <c r="W73" s="16"/>
      <c r="X73" s="1077"/>
      <c r="Y73" s="16"/>
      <c r="Z73" s="8"/>
      <c r="AA73" s="23"/>
      <c r="AB73" s="206"/>
      <c r="AC73" s="6"/>
      <c r="AD73" s="6"/>
      <c r="AI73"/>
      <c r="AJ73"/>
    </row>
    <row r="74" spans="1:37" ht="14.5">
      <c r="A74" s="6"/>
      <c r="B74" s="8"/>
      <c r="C74" s="8" t="str">
        <f t="shared" si="10"/>
        <v/>
      </c>
      <c r="D74" s="8" t="e">
        <f ca="1">_xll.BDP(C74 &amp; " Equity","ID_ISIN",)</f>
        <v>#NAME?</v>
      </c>
      <c r="E74" s="14"/>
      <c r="F74" s="11"/>
      <c r="G74" s="11">
        <f t="shared" ca="1" si="0"/>
        <v>0</v>
      </c>
      <c r="H74" s="8" t="str">
        <f t="shared" si="1"/>
        <v/>
      </c>
      <c r="I74" s="8"/>
      <c r="J74" s="8"/>
      <c r="K74" s="8" t="str">
        <f t="shared" si="2"/>
        <v/>
      </c>
      <c r="L74" s="8"/>
      <c r="M74" s="8"/>
      <c r="N74" s="8"/>
      <c r="O74" s="8"/>
      <c r="P74" s="23"/>
      <c r="Q74" s="23"/>
      <c r="R74" s="206"/>
      <c r="S74" s="208"/>
      <c r="T74" s="52"/>
      <c r="U74" s="52"/>
      <c r="V74" s="52"/>
      <c r="W74" s="16"/>
      <c r="X74" s="1077"/>
      <c r="Y74" s="16"/>
      <c r="Z74" s="8"/>
      <c r="AA74" s="23"/>
      <c r="AB74" s="206"/>
      <c r="AC74" s="6"/>
      <c r="AD74" s="6"/>
      <c r="AI74"/>
      <c r="AJ74"/>
    </row>
    <row r="75" spans="1:37" ht="14.5">
      <c r="A75" s="6"/>
      <c r="B75" s="8"/>
      <c r="C75" s="8" t="str">
        <f t="shared" si="10"/>
        <v/>
      </c>
      <c r="D75" s="8" t="e">
        <f ca="1">_xll.BDP(C75 &amp; " Equity","ID_ISIN",)</f>
        <v>#NAME?</v>
      </c>
      <c r="E75" s="14"/>
      <c r="F75" s="11"/>
      <c r="G75" s="11">
        <f t="shared" ca="1" si="0"/>
        <v>0</v>
      </c>
      <c r="H75" s="8" t="str">
        <f t="shared" si="1"/>
        <v/>
      </c>
      <c r="I75" s="8"/>
      <c r="J75" s="8"/>
      <c r="K75" s="8" t="str">
        <f t="shared" si="2"/>
        <v/>
      </c>
      <c r="L75" s="8"/>
      <c r="M75" s="8"/>
      <c r="N75" s="8"/>
      <c r="O75" s="8"/>
      <c r="P75" s="23"/>
      <c r="Q75" s="23"/>
      <c r="R75" s="206"/>
      <c r="S75" s="208"/>
      <c r="T75" s="52"/>
      <c r="U75" s="52"/>
      <c r="V75" s="52"/>
      <c r="W75" s="16"/>
      <c r="X75" s="1077"/>
      <c r="Y75" s="16"/>
      <c r="Z75" s="8"/>
      <c r="AA75" s="23"/>
      <c r="AB75" s="206"/>
      <c r="AC75" s="6"/>
      <c r="AD75" s="6"/>
      <c r="AI75"/>
      <c r="AJ75"/>
    </row>
    <row r="76" spans="1:37" ht="14.5">
      <c r="A76" s="6"/>
      <c r="B76" s="8"/>
      <c r="C76" s="8" t="str">
        <f t="shared" si="10"/>
        <v/>
      </c>
      <c r="D76" s="8" t="e">
        <f ca="1">_xll.BDP(C76 &amp; " Equity","ID_ISIN",)</f>
        <v>#NAME?</v>
      </c>
      <c r="E76" s="14"/>
      <c r="F76" s="11"/>
      <c r="G76" s="11">
        <f t="shared" ca="1" si="0"/>
        <v>0</v>
      </c>
      <c r="H76" s="8" t="str">
        <f t="shared" si="1"/>
        <v/>
      </c>
      <c r="I76" s="8"/>
      <c r="J76" s="8"/>
      <c r="K76" s="8" t="str">
        <f t="shared" si="2"/>
        <v/>
      </c>
      <c r="L76" s="8"/>
      <c r="M76" s="8"/>
      <c r="N76" s="8"/>
      <c r="O76" s="8"/>
      <c r="P76" s="23"/>
      <c r="Q76" s="23"/>
      <c r="R76" s="206"/>
      <c r="S76" s="208"/>
      <c r="T76" s="52"/>
      <c r="U76" s="52"/>
      <c r="V76" s="52"/>
      <c r="W76" s="16"/>
      <c r="X76" s="1077"/>
      <c r="Y76" s="16"/>
      <c r="Z76" s="8"/>
      <c r="AA76" s="23"/>
      <c r="AB76" s="206"/>
      <c r="AC76" s="6"/>
      <c r="AD76" s="6"/>
      <c r="AI76"/>
      <c r="AJ76"/>
    </row>
    <row r="77" spans="1:37" ht="14.5">
      <c r="A77" s="6"/>
      <c r="B77" s="8"/>
      <c r="C77" s="8" t="str">
        <f t="shared" si="10"/>
        <v/>
      </c>
      <c r="D77" s="8" t="e">
        <f ca="1">_xll.BDP(C77 &amp; " Equity","ID_ISIN",)</f>
        <v>#NAME?</v>
      </c>
      <c r="E77" s="14"/>
      <c r="F77" s="11"/>
      <c r="G77" s="11">
        <f t="shared" ref="G77:G140" ca="1" si="14">IFERROR(F77-(VLOOKUP(LEFT(D77,2),AG:AH,2,FALSE)*F77),0)</f>
        <v>0</v>
      </c>
      <c r="H77" s="8" t="str">
        <f t="shared" si="1"/>
        <v/>
      </c>
      <c r="I77" s="8"/>
      <c r="J77" s="8"/>
      <c r="K77" s="8" t="str">
        <f t="shared" si="2"/>
        <v/>
      </c>
      <c r="L77" s="8"/>
      <c r="M77" s="8"/>
      <c r="N77" s="8"/>
      <c r="O77" s="8"/>
      <c r="P77" s="23"/>
      <c r="Q77" s="23"/>
      <c r="R77" s="206"/>
      <c r="S77" s="208"/>
      <c r="T77" s="52"/>
      <c r="U77" s="52"/>
      <c r="V77" s="52"/>
      <c r="W77" s="16"/>
      <c r="X77" s="1077"/>
      <c r="Y77" s="16"/>
      <c r="Z77" s="8"/>
      <c r="AA77" s="23"/>
      <c r="AB77" s="206"/>
      <c r="AC77" s="6"/>
      <c r="AD77" s="6"/>
      <c r="AI77"/>
      <c r="AJ77"/>
    </row>
    <row r="78" spans="1:37" ht="14.5">
      <c r="A78" s="6"/>
      <c r="B78" s="8"/>
      <c r="C78" s="8" t="str">
        <f t="shared" si="10"/>
        <v/>
      </c>
      <c r="D78" s="8" t="e">
        <f ca="1">_xll.BDP(C78 &amp; " Equity","ID_ISIN",)</f>
        <v>#NAME?</v>
      </c>
      <c r="E78" s="14"/>
      <c r="F78" s="11"/>
      <c r="G78" s="11">
        <f t="shared" ca="1" si="14"/>
        <v>0</v>
      </c>
      <c r="H78" s="8" t="str">
        <f t="shared" ref="H78:H141" si="15">IFERROR(DATEVALUE(I78),"")</f>
        <v/>
      </c>
      <c r="I78" s="8"/>
      <c r="J78" s="8"/>
      <c r="K78" s="8" t="str">
        <f t="shared" ref="K78:K141" si="16">IFERROR(DATEVALUE(L78),"")</f>
        <v/>
      </c>
      <c r="L78" s="8"/>
      <c r="M78" s="8"/>
      <c r="N78" s="8"/>
      <c r="O78" s="8"/>
      <c r="P78" s="23"/>
      <c r="Q78" s="23"/>
      <c r="R78" s="206"/>
      <c r="S78" s="208"/>
      <c r="T78" s="52"/>
      <c r="U78" s="52"/>
      <c r="V78" s="52"/>
      <c r="W78" s="16"/>
      <c r="X78" s="1077"/>
      <c r="Y78" s="16"/>
      <c r="Z78" s="8"/>
      <c r="AA78" s="23"/>
      <c r="AB78" s="206"/>
      <c r="AC78" s="6"/>
      <c r="AD78" s="6"/>
      <c r="AI78"/>
      <c r="AJ78"/>
    </row>
    <row r="79" spans="1:37" ht="14.5">
      <c r="A79" s="6"/>
      <c r="B79" s="8"/>
      <c r="C79" s="8" t="str">
        <f t="shared" ref="C79:C100" si="17">IF(B79="","",B79)</f>
        <v/>
      </c>
      <c r="D79" s="8" t="e">
        <f ca="1">_xll.BDP(C79 &amp; " Equity","ID_ISIN",)</f>
        <v>#NAME?</v>
      </c>
      <c r="E79" s="14"/>
      <c r="F79" s="11"/>
      <c r="G79" s="11">
        <f t="shared" ca="1" si="14"/>
        <v>0</v>
      </c>
      <c r="H79" s="8" t="str">
        <f t="shared" si="15"/>
        <v/>
      </c>
      <c r="I79" s="8"/>
      <c r="J79" s="8"/>
      <c r="K79" s="8" t="str">
        <f t="shared" si="16"/>
        <v/>
      </c>
      <c r="L79" s="8"/>
      <c r="M79" s="8"/>
      <c r="N79" s="8"/>
      <c r="O79" s="8"/>
      <c r="P79" s="23"/>
      <c r="Q79" s="23"/>
      <c r="R79" s="206"/>
      <c r="S79" s="208"/>
      <c r="T79" s="52"/>
      <c r="U79" s="52"/>
      <c r="V79" s="52"/>
      <c r="W79" s="16"/>
      <c r="X79" s="1077"/>
      <c r="Y79" s="16"/>
      <c r="Z79" s="8"/>
      <c r="AA79" s="23"/>
      <c r="AB79" s="206"/>
      <c r="AC79" s="6"/>
      <c r="AD79" s="6"/>
      <c r="AI79"/>
      <c r="AJ79"/>
    </row>
    <row r="80" spans="1:37" ht="14.5">
      <c r="A80" s="6"/>
      <c r="B80" s="8"/>
      <c r="C80" s="8" t="str">
        <f t="shared" si="17"/>
        <v/>
      </c>
      <c r="D80" s="8" t="e">
        <f ca="1">_xll.BDP(C80 &amp; " Equity","ID_ISIN",)</f>
        <v>#NAME?</v>
      </c>
      <c r="E80" s="14"/>
      <c r="F80" s="11"/>
      <c r="G80" s="11">
        <f t="shared" ca="1" si="14"/>
        <v>0</v>
      </c>
      <c r="H80" s="8" t="str">
        <f t="shared" si="15"/>
        <v/>
      </c>
      <c r="I80" s="8"/>
      <c r="J80" s="8"/>
      <c r="K80" s="8" t="str">
        <f t="shared" si="16"/>
        <v/>
      </c>
      <c r="L80" s="8"/>
      <c r="M80" s="8"/>
      <c r="N80" s="8"/>
      <c r="O80" s="8"/>
      <c r="P80" s="23"/>
      <c r="Q80" s="23"/>
      <c r="R80" s="206"/>
      <c r="S80" s="208"/>
      <c r="T80" s="52"/>
      <c r="U80" s="52"/>
      <c r="V80" s="52"/>
      <c r="W80" s="16"/>
      <c r="X80" s="1077"/>
      <c r="Y80" s="16"/>
      <c r="Z80" s="8"/>
      <c r="AA80" s="23"/>
      <c r="AB80" s="206"/>
      <c r="AC80" s="6"/>
      <c r="AD80" s="6"/>
      <c r="AI80"/>
      <c r="AJ80"/>
    </row>
    <row r="81" spans="1:36" ht="14.5">
      <c r="A81" s="6"/>
      <c r="B81" s="8"/>
      <c r="C81" s="8" t="str">
        <f t="shared" si="17"/>
        <v/>
      </c>
      <c r="D81" s="8" t="e">
        <f ca="1">_xll.BDP(C81 &amp; " Equity","ID_ISIN",)</f>
        <v>#NAME?</v>
      </c>
      <c r="E81" s="14"/>
      <c r="F81" s="11"/>
      <c r="G81" s="11">
        <f t="shared" ca="1" si="14"/>
        <v>0</v>
      </c>
      <c r="H81" s="8" t="str">
        <f t="shared" si="15"/>
        <v/>
      </c>
      <c r="I81" s="8"/>
      <c r="J81" s="8"/>
      <c r="K81" s="8" t="str">
        <f t="shared" si="16"/>
        <v/>
      </c>
      <c r="L81" s="8"/>
      <c r="M81" s="8"/>
      <c r="N81" s="8"/>
      <c r="O81" s="8"/>
      <c r="P81" s="23"/>
      <c r="Q81" s="23"/>
      <c r="R81" s="206"/>
      <c r="S81" s="208"/>
      <c r="T81" s="52"/>
      <c r="U81" s="52"/>
      <c r="V81" s="52"/>
      <c r="W81" s="16"/>
      <c r="X81" s="1077"/>
      <c r="Y81" s="16"/>
      <c r="Z81" s="8"/>
      <c r="AA81" s="23"/>
      <c r="AB81" s="206"/>
      <c r="AC81" s="6"/>
      <c r="AD81" s="6"/>
      <c r="AI81"/>
      <c r="AJ81"/>
    </row>
    <row r="82" spans="1:36" ht="14.5">
      <c r="A82" s="6"/>
      <c r="B82" s="8"/>
      <c r="C82" s="8" t="str">
        <f t="shared" si="17"/>
        <v/>
      </c>
      <c r="D82" s="8" t="e">
        <f ca="1">_xll.BDP(C82 &amp; " Equity","ID_ISIN",)</f>
        <v>#NAME?</v>
      </c>
      <c r="E82" s="14"/>
      <c r="F82" s="11"/>
      <c r="G82" s="11">
        <f t="shared" ca="1" si="14"/>
        <v>0</v>
      </c>
      <c r="H82" s="8" t="str">
        <f t="shared" si="15"/>
        <v/>
      </c>
      <c r="I82" s="8"/>
      <c r="J82" s="8"/>
      <c r="K82" s="8" t="str">
        <f t="shared" si="16"/>
        <v/>
      </c>
      <c r="L82" s="8"/>
      <c r="M82" s="8"/>
      <c r="N82" s="8"/>
      <c r="O82" s="8"/>
      <c r="P82" s="23"/>
      <c r="Q82" s="23"/>
      <c r="R82" s="206"/>
      <c r="S82" s="208"/>
      <c r="T82" s="52"/>
      <c r="U82" s="52"/>
      <c r="V82" s="52"/>
      <c r="W82" s="16"/>
      <c r="X82" s="1077"/>
      <c r="Y82" s="16"/>
      <c r="Z82" s="8"/>
      <c r="AA82" s="23"/>
      <c r="AB82" s="206"/>
      <c r="AC82" s="6"/>
      <c r="AD82" s="6"/>
      <c r="AI82"/>
      <c r="AJ82"/>
    </row>
    <row r="83" spans="1:36" ht="14.5">
      <c r="A83" s="6"/>
      <c r="B83" s="8"/>
      <c r="C83" s="8" t="str">
        <f t="shared" si="17"/>
        <v/>
      </c>
      <c r="D83" s="8" t="e">
        <f ca="1">_xll.BDP(C83 &amp; " Equity","ID_ISIN",)</f>
        <v>#NAME?</v>
      </c>
      <c r="E83" s="14"/>
      <c r="F83" s="11"/>
      <c r="G83" s="11">
        <f t="shared" ca="1" si="14"/>
        <v>0</v>
      </c>
      <c r="H83" s="8" t="str">
        <f t="shared" si="15"/>
        <v/>
      </c>
      <c r="I83" s="8"/>
      <c r="J83" s="8"/>
      <c r="K83" s="8" t="str">
        <f t="shared" si="16"/>
        <v/>
      </c>
      <c r="L83" s="8"/>
      <c r="M83" s="8"/>
      <c r="N83" s="8"/>
      <c r="O83" s="8"/>
      <c r="P83" s="23"/>
      <c r="Q83" s="23"/>
      <c r="R83" s="206"/>
      <c r="S83" s="208"/>
      <c r="T83" s="52"/>
      <c r="U83" s="52"/>
      <c r="V83" s="52"/>
      <c r="W83" s="16"/>
      <c r="X83" s="1077"/>
      <c r="Y83" s="16"/>
      <c r="Z83" s="8"/>
      <c r="AA83" s="23"/>
      <c r="AB83" s="206"/>
      <c r="AC83" s="6"/>
      <c r="AD83" s="6"/>
      <c r="AI83"/>
      <c r="AJ83"/>
    </row>
    <row r="84" spans="1:36" ht="14.5">
      <c r="A84" s="6"/>
      <c r="B84" s="8"/>
      <c r="C84" s="8" t="str">
        <f t="shared" si="17"/>
        <v/>
      </c>
      <c r="D84" s="8" t="e">
        <f ca="1">_xll.BDP(C84 &amp; " Equity","ID_ISIN",)</f>
        <v>#NAME?</v>
      </c>
      <c r="E84" s="14"/>
      <c r="F84" s="11"/>
      <c r="G84" s="11">
        <f t="shared" ca="1" si="14"/>
        <v>0</v>
      </c>
      <c r="H84" s="8" t="str">
        <f t="shared" si="15"/>
        <v/>
      </c>
      <c r="I84" s="8"/>
      <c r="J84" s="8"/>
      <c r="K84" s="8" t="str">
        <f t="shared" si="16"/>
        <v/>
      </c>
      <c r="L84" s="8"/>
      <c r="M84" s="8"/>
      <c r="N84" s="8"/>
      <c r="O84" s="8"/>
      <c r="P84" s="23"/>
      <c r="Q84" s="23"/>
      <c r="R84" s="206"/>
      <c r="S84" s="208"/>
      <c r="T84" s="52"/>
      <c r="U84" s="52"/>
      <c r="V84" s="52"/>
      <c r="W84" s="16"/>
      <c r="X84" s="1077"/>
      <c r="Y84" s="16"/>
      <c r="Z84" s="8"/>
      <c r="AA84" s="23"/>
      <c r="AB84" s="206"/>
      <c r="AC84" s="6"/>
      <c r="AD84" s="6"/>
      <c r="AI84"/>
      <c r="AJ84"/>
    </row>
    <row r="85" spans="1:36" ht="14.5">
      <c r="A85" s="6"/>
      <c r="B85" s="8"/>
      <c r="C85" s="8" t="str">
        <f t="shared" si="17"/>
        <v/>
      </c>
      <c r="D85" s="8" t="e">
        <f ca="1">_xll.BDP(C85 &amp; " Equity","ID_ISIN",)</f>
        <v>#NAME?</v>
      </c>
      <c r="E85" s="14"/>
      <c r="F85" s="11"/>
      <c r="G85" s="11">
        <f t="shared" ca="1" si="14"/>
        <v>0</v>
      </c>
      <c r="H85" s="8" t="str">
        <f t="shared" si="15"/>
        <v/>
      </c>
      <c r="I85" s="8"/>
      <c r="J85" s="8"/>
      <c r="K85" s="8" t="str">
        <f t="shared" si="16"/>
        <v/>
      </c>
      <c r="L85" s="8"/>
      <c r="M85" s="8"/>
      <c r="N85" s="8"/>
      <c r="O85" s="8"/>
      <c r="P85" s="23"/>
      <c r="Q85" s="23"/>
      <c r="R85" s="206"/>
      <c r="S85" s="208"/>
      <c r="T85" s="52"/>
      <c r="U85" s="52"/>
      <c r="V85" s="52"/>
      <c r="W85" s="16"/>
      <c r="X85" s="1077"/>
      <c r="Y85" s="16"/>
      <c r="Z85" s="8"/>
      <c r="AA85" s="23"/>
      <c r="AB85" s="206"/>
      <c r="AC85" s="6"/>
      <c r="AD85" s="6"/>
      <c r="AI85"/>
      <c r="AJ85"/>
    </row>
    <row r="86" spans="1:36" ht="14.5">
      <c r="A86" s="6"/>
      <c r="B86" s="8"/>
      <c r="C86" s="8" t="str">
        <f t="shared" si="17"/>
        <v/>
      </c>
      <c r="D86" s="8" t="e">
        <f ca="1">_xll.BDP(C86 &amp; " Equity","ID_ISIN",)</f>
        <v>#NAME?</v>
      </c>
      <c r="E86" s="14"/>
      <c r="F86" s="11"/>
      <c r="G86" s="11">
        <f t="shared" ca="1" si="14"/>
        <v>0</v>
      </c>
      <c r="H86" s="8" t="str">
        <f t="shared" si="15"/>
        <v/>
      </c>
      <c r="I86" s="8"/>
      <c r="J86" s="8"/>
      <c r="K86" s="8" t="str">
        <f t="shared" si="16"/>
        <v/>
      </c>
      <c r="L86" s="8"/>
      <c r="M86" s="8"/>
      <c r="N86" s="8"/>
      <c r="O86" s="8"/>
      <c r="P86" s="23"/>
      <c r="Q86" s="23"/>
      <c r="R86" s="206"/>
      <c r="S86" s="208"/>
      <c r="T86" s="52"/>
      <c r="U86" s="52"/>
      <c r="V86" s="52"/>
      <c r="W86" s="16"/>
      <c r="X86" s="1077"/>
      <c r="Y86" s="16"/>
      <c r="Z86" s="8"/>
      <c r="AA86" s="23"/>
      <c r="AB86" s="206"/>
      <c r="AC86" s="6"/>
      <c r="AD86" s="6"/>
      <c r="AI86"/>
      <c r="AJ86"/>
    </row>
    <row r="87" spans="1:36" ht="14.5">
      <c r="A87" s="6"/>
      <c r="B87" s="8"/>
      <c r="C87" s="8" t="str">
        <f t="shared" si="17"/>
        <v/>
      </c>
      <c r="D87" s="8" t="e">
        <f ca="1">_xll.BDP(C87 &amp; " Equity","ID_ISIN",)</f>
        <v>#NAME?</v>
      </c>
      <c r="E87" s="14"/>
      <c r="F87" s="11"/>
      <c r="G87" s="11">
        <f t="shared" ca="1" si="14"/>
        <v>0</v>
      </c>
      <c r="H87" s="8" t="str">
        <f t="shared" si="15"/>
        <v/>
      </c>
      <c r="I87" s="8"/>
      <c r="J87" s="8"/>
      <c r="K87" s="8" t="str">
        <f t="shared" si="16"/>
        <v/>
      </c>
      <c r="L87" s="8"/>
      <c r="M87" s="8"/>
      <c r="N87" s="8"/>
      <c r="O87" s="8"/>
      <c r="P87" s="23"/>
      <c r="Q87" s="23"/>
      <c r="R87" s="206"/>
      <c r="S87" s="208"/>
      <c r="T87" s="52"/>
      <c r="U87" s="52"/>
      <c r="V87" s="52"/>
      <c r="W87" s="16"/>
      <c r="X87" s="1077"/>
      <c r="Y87" s="16"/>
      <c r="Z87" s="8"/>
      <c r="AA87" s="23"/>
      <c r="AB87" s="206"/>
      <c r="AC87" s="6"/>
      <c r="AD87" s="6"/>
      <c r="AI87"/>
      <c r="AJ87"/>
    </row>
    <row r="88" spans="1:36">
      <c r="A88" s="6"/>
      <c r="B88" s="8"/>
      <c r="C88" s="8" t="str">
        <f t="shared" si="17"/>
        <v/>
      </c>
      <c r="D88" s="8" t="e">
        <f ca="1">_xll.BDP(C88 &amp; " Equity","ID_ISIN",)</f>
        <v>#NAME?</v>
      </c>
      <c r="E88" s="14"/>
      <c r="F88" s="11"/>
      <c r="G88" s="11">
        <f t="shared" ca="1" si="14"/>
        <v>0</v>
      </c>
      <c r="H88" s="8" t="str">
        <f t="shared" si="15"/>
        <v/>
      </c>
      <c r="I88" s="8"/>
      <c r="J88" s="8"/>
      <c r="K88" s="8" t="str">
        <f t="shared" si="16"/>
        <v/>
      </c>
      <c r="L88" s="8"/>
      <c r="M88" s="8"/>
      <c r="N88" s="8"/>
      <c r="O88" s="8"/>
      <c r="P88" s="23"/>
      <c r="Q88" s="23"/>
      <c r="R88" s="206"/>
      <c r="S88" s="208"/>
      <c r="T88" s="52"/>
      <c r="U88" s="52"/>
      <c r="V88" s="52"/>
      <c r="W88" s="16"/>
      <c r="X88" s="1077"/>
      <c r="Y88" s="16"/>
      <c r="Z88" s="8"/>
      <c r="AA88" s="23"/>
      <c r="AB88" s="206"/>
      <c r="AC88" s="6"/>
      <c r="AD88" s="6"/>
    </row>
    <row r="89" spans="1:36">
      <c r="A89" s="6"/>
      <c r="B89" s="8"/>
      <c r="C89" s="8" t="str">
        <f t="shared" si="17"/>
        <v/>
      </c>
      <c r="D89" s="8" t="e">
        <f ca="1">_xll.BDP(C89 &amp; " Equity","ID_ISIN",)</f>
        <v>#NAME?</v>
      </c>
      <c r="E89" s="14"/>
      <c r="F89" s="11"/>
      <c r="G89" s="11">
        <f t="shared" ca="1" si="14"/>
        <v>0</v>
      </c>
      <c r="H89" s="8" t="str">
        <f t="shared" si="15"/>
        <v/>
      </c>
      <c r="I89" s="8"/>
      <c r="J89" s="8"/>
      <c r="K89" s="8" t="str">
        <f t="shared" si="16"/>
        <v/>
      </c>
      <c r="L89" s="8"/>
      <c r="M89" s="8"/>
      <c r="N89" s="8"/>
      <c r="O89" s="8"/>
      <c r="P89" s="23"/>
      <c r="Q89" s="23"/>
      <c r="R89" s="206"/>
      <c r="S89" s="208"/>
      <c r="T89" s="52"/>
      <c r="U89" s="52"/>
      <c r="V89" s="52"/>
      <c r="W89" s="16"/>
      <c r="X89" s="1077"/>
      <c r="Y89" s="16"/>
      <c r="Z89" s="8"/>
      <c r="AA89" s="23"/>
      <c r="AB89" s="206"/>
      <c r="AC89" s="6"/>
      <c r="AD89" s="6"/>
    </row>
    <row r="90" spans="1:36">
      <c r="A90" s="6"/>
      <c r="B90" s="8"/>
      <c r="C90" s="8" t="str">
        <f t="shared" si="17"/>
        <v/>
      </c>
      <c r="D90" s="8" t="e">
        <f ca="1">_xll.BDP(C90 &amp; " Equity","ID_ISIN",)</f>
        <v>#NAME?</v>
      </c>
      <c r="E90" s="14"/>
      <c r="F90" s="11"/>
      <c r="G90" s="11">
        <f t="shared" ca="1" si="14"/>
        <v>0</v>
      </c>
      <c r="H90" s="8" t="str">
        <f t="shared" si="15"/>
        <v/>
      </c>
      <c r="I90" s="8"/>
      <c r="J90" s="8"/>
      <c r="K90" s="8" t="str">
        <f t="shared" si="16"/>
        <v/>
      </c>
      <c r="L90" s="8"/>
      <c r="M90" s="8"/>
      <c r="N90" s="8"/>
      <c r="O90" s="8"/>
      <c r="P90" s="23"/>
      <c r="Q90" s="23"/>
      <c r="R90" s="206"/>
      <c r="S90" s="208"/>
      <c r="T90" s="52"/>
      <c r="U90" s="52"/>
      <c r="V90" s="52"/>
      <c r="W90" s="16"/>
      <c r="X90" s="1077"/>
      <c r="Y90" s="16"/>
      <c r="Z90" s="8"/>
      <c r="AA90" s="23"/>
      <c r="AB90" s="206"/>
      <c r="AC90" s="6"/>
      <c r="AD90" s="6"/>
    </row>
    <row r="91" spans="1:36">
      <c r="A91" s="6"/>
      <c r="B91" s="8"/>
      <c r="C91" s="8" t="str">
        <f t="shared" si="17"/>
        <v/>
      </c>
      <c r="D91" s="8" t="e">
        <f ca="1">_xll.BDP(C91 &amp; " Equity","ID_ISIN",)</f>
        <v>#NAME?</v>
      </c>
      <c r="E91" s="14"/>
      <c r="F91" s="11"/>
      <c r="G91" s="11">
        <f t="shared" ca="1" si="14"/>
        <v>0</v>
      </c>
      <c r="H91" s="8" t="str">
        <f t="shared" si="15"/>
        <v/>
      </c>
      <c r="I91" s="8"/>
      <c r="J91" s="8"/>
      <c r="K91" s="8" t="str">
        <f t="shared" si="16"/>
        <v/>
      </c>
      <c r="L91" s="8"/>
      <c r="M91" s="8"/>
      <c r="N91" s="8"/>
      <c r="O91" s="8"/>
      <c r="P91" s="23"/>
      <c r="Q91" s="23"/>
      <c r="R91" s="206"/>
      <c r="S91" s="208"/>
      <c r="T91" s="52"/>
      <c r="U91" s="52"/>
      <c r="V91" s="52"/>
      <c r="W91" s="16"/>
      <c r="X91" s="1077"/>
      <c r="Y91" s="16"/>
      <c r="Z91" s="8"/>
      <c r="AA91" s="23"/>
      <c r="AB91" s="206"/>
      <c r="AC91" s="6"/>
      <c r="AD91" s="6"/>
    </row>
    <row r="92" spans="1:36">
      <c r="A92" s="6"/>
      <c r="B92" s="8"/>
      <c r="C92" s="8" t="str">
        <f t="shared" si="17"/>
        <v/>
      </c>
      <c r="D92" s="8" t="e">
        <f ca="1">_xll.BDP(C92 &amp; " Equity","ID_ISIN",)</f>
        <v>#NAME?</v>
      </c>
      <c r="E92" s="14"/>
      <c r="F92" s="11"/>
      <c r="G92" s="11">
        <f t="shared" ca="1" si="14"/>
        <v>0</v>
      </c>
      <c r="H92" s="8" t="str">
        <f t="shared" si="15"/>
        <v/>
      </c>
      <c r="I92" s="8"/>
      <c r="J92" s="8"/>
      <c r="K92" s="8" t="str">
        <f t="shared" si="16"/>
        <v/>
      </c>
      <c r="L92" s="8"/>
      <c r="M92" s="8"/>
      <c r="N92" s="8"/>
      <c r="O92" s="8"/>
      <c r="P92" s="23"/>
      <c r="Q92" s="23"/>
      <c r="R92" s="206"/>
      <c r="S92" s="208"/>
      <c r="T92" s="52"/>
      <c r="U92" s="52"/>
      <c r="V92" s="52"/>
      <c r="W92" s="16"/>
      <c r="X92" s="1077"/>
      <c r="Y92" s="16"/>
      <c r="Z92" s="8"/>
      <c r="AA92" s="23"/>
      <c r="AB92" s="206"/>
      <c r="AC92" s="6"/>
      <c r="AD92" s="6"/>
    </row>
    <row r="93" spans="1:36">
      <c r="A93" s="6"/>
      <c r="B93" s="8"/>
      <c r="C93" s="8" t="str">
        <f t="shared" si="17"/>
        <v/>
      </c>
      <c r="D93" s="8" t="e">
        <f ca="1">_xll.BDP(C93 &amp; " Equity","ID_ISIN",)</f>
        <v>#NAME?</v>
      </c>
      <c r="E93" s="14"/>
      <c r="F93" s="11"/>
      <c r="G93" s="11">
        <f t="shared" ca="1" si="14"/>
        <v>0</v>
      </c>
      <c r="H93" s="8" t="str">
        <f t="shared" si="15"/>
        <v/>
      </c>
      <c r="I93" s="8"/>
      <c r="J93" s="8"/>
      <c r="K93" s="8" t="str">
        <f t="shared" si="16"/>
        <v/>
      </c>
      <c r="L93" s="8"/>
      <c r="M93" s="8"/>
      <c r="N93" s="8"/>
      <c r="O93" s="8"/>
      <c r="P93" s="23"/>
      <c r="Q93" s="23"/>
      <c r="R93" s="206"/>
      <c r="S93" s="208"/>
      <c r="T93" s="52"/>
      <c r="U93" s="52"/>
      <c r="V93" s="52"/>
      <c r="W93" s="16"/>
      <c r="X93" s="1077"/>
      <c r="Y93" s="16"/>
      <c r="Z93" s="8"/>
      <c r="AA93" s="23"/>
      <c r="AB93" s="206"/>
      <c r="AC93" s="6"/>
      <c r="AD93" s="6"/>
    </row>
    <row r="94" spans="1:36">
      <c r="A94" s="6"/>
      <c r="B94" s="8"/>
      <c r="C94" s="8" t="str">
        <f t="shared" si="17"/>
        <v/>
      </c>
      <c r="D94" s="8" t="e">
        <f ca="1">_xll.BDP(C94 &amp; " Equity","ID_ISIN",)</f>
        <v>#NAME?</v>
      </c>
      <c r="E94" s="14"/>
      <c r="F94" s="11"/>
      <c r="G94" s="11">
        <f t="shared" ca="1" si="14"/>
        <v>0</v>
      </c>
      <c r="H94" s="8" t="str">
        <f t="shared" si="15"/>
        <v/>
      </c>
      <c r="I94" s="8"/>
      <c r="J94" s="8"/>
      <c r="K94" s="8" t="str">
        <f t="shared" si="16"/>
        <v/>
      </c>
      <c r="L94" s="8"/>
      <c r="M94" s="8"/>
      <c r="N94" s="8"/>
      <c r="O94" s="8"/>
      <c r="P94" s="23"/>
      <c r="Q94" s="23"/>
      <c r="R94" s="206"/>
      <c r="S94" s="208"/>
      <c r="T94" s="52"/>
      <c r="U94" s="52"/>
      <c r="V94" s="52"/>
      <c r="W94" s="16"/>
      <c r="X94" s="1077"/>
      <c r="Y94" s="16"/>
      <c r="Z94" s="8"/>
      <c r="AA94" s="23"/>
      <c r="AB94" s="206"/>
      <c r="AC94" s="6"/>
      <c r="AD94" s="6"/>
    </row>
    <row r="95" spans="1:36">
      <c r="A95" s="6"/>
      <c r="B95" s="8"/>
      <c r="C95" s="8" t="str">
        <f t="shared" si="17"/>
        <v/>
      </c>
      <c r="D95" s="8" t="e">
        <f ca="1">_xll.BDP(C95 &amp; " Equity","ID_ISIN",)</f>
        <v>#NAME?</v>
      </c>
      <c r="E95" s="14"/>
      <c r="F95" s="11"/>
      <c r="G95" s="11">
        <f t="shared" ca="1" si="14"/>
        <v>0</v>
      </c>
      <c r="H95" s="8" t="str">
        <f t="shared" si="15"/>
        <v/>
      </c>
      <c r="I95" s="8"/>
      <c r="J95" s="8"/>
      <c r="K95" s="8" t="str">
        <f t="shared" si="16"/>
        <v/>
      </c>
      <c r="L95" s="8"/>
      <c r="M95" s="8"/>
      <c r="N95" s="8"/>
      <c r="O95" s="8"/>
      <c r="P95" s="23"/>
      <c r="Q95" s="23"/>
      <c r="R95" s="206"/>
      <c r="S95" s="208"/>
      <c r="T95" s="52"/>
      <c r="U95" s="52"/>
      <c r="V95" s="52"/>
      <c r="W95" s="16"/>
      <c r="X95" s="1077"/>
      <c r="Y95" s="16"/>
      <c r="Z95" s="8"/>
      <c r="AA95" s="23"/>
      <c r="AB95" s="206"/>
      <c r="AC95" s="6"/>
      <c r="AD95" s="6"/>
    </row>
    <row r="96" spans="1:36">
      <c r="A96" s="6"/>
      <c r="B96" s="8"/>
      <c r="C96" s="8" t="str">
        <f t="shared" si="17"/>
        <v/>
      </c>
      <c r="D96" s="8" t="e">
        <f ca="1">_xll.BDP(C96 &amp; " Equity","ID_ISIN",)</f>
        <v>#NAME?</v>
      </c>
      <c r="E96" s="14"/>
      <c r="F96" s="11"/>
      <c r="G96" s="11">
        <f t="shared" ca="1" si="14"/>
        <v>0</v>
      </c>
      <c r="H96" s="8" t="str">
        <f t="shared" si="15"/>
        <v/>
      </c>
      <c r="I96" s="8"/>
      <c r="J96" s="8"/>
      <c r="K96" s="8" t="str">
        <f t="shared" si="16"/>
        <v/>
      </c>
      <c r="L96" s="8"/>
      <c r="M96" s="8"/>
      <c r="N96" s="8"/>
      <c r="O96" s="8"/>
      <c r="P96" s="23"/>
      <c r="Q96" s="23"/>
      <c r="R96" s="206"/>
      <c r="S96" s="208"/>
      <c r="T96" s="52"/>
      <c r="U96" s="52"/>
      <c r="V96" s="52"/>
      <c r="W96" s="16"/>
      <c r="X96" s="1077"/>
      <c r="Y96" s="16"/>
      <c r="Z96" s="8"/>
      <c r="AA96" s="23"/>
      <c r="AB96" s="206"/>
      <c r="AC96" s="6"/>
      <c r="AD96" s="6"/>
    </row>
    <row r="97" spans="1:30">
      <c r="A97" s="6"/>
      <c r="B97" s="8"/>
      <c r="C97" s="8" t="str">
        <f t="shared" si="17"/>
        <v/>
      </c>
      <c r="D97" s="8" t="e">
        <f ca="1">_xll.BDP(C97 &amp; " Equity","ID_ISIN",)</f>
        <v>#NAME?</v>
      </c>
      <c r="E97" s="14"/>
      <c r="F97" s="11"/>
      <c r="G97" s="11">
        <f t="shared" ca="1" si="14"/>
        <v>0</v>
      </c>
      <c r="H97" s="8" t="str">
        <f t="shared" si="15"/>
        <v/>
      </c>
      <c r="I97" s="8"/>
      <c r="J97" s="8"/>
      <c r="K97" s="8" t="str">
        <f t="shared" si="16"/>
        <v/>
      </c>
      <c r="L97" s="8"/>
      <c r="M97" s="8"/>
      <c r="N97" s="8"/>
      <c r="O97" s="8"/>
      <c r="P97" s="23"/>
      <c r="Q97" s="23"/>
      <c r="R97" s="206"/>
      <c r="S97" s="208"/>
      <c r="T97" s="52"/>
      <c r="U97" s="52"/>
      <c r="V97" s="52"/>
      <c r="W97" s="16"/>
      <c r="X97" s="1077"/>
      <c r="Y97" s="16"/>
      <c r="Z97" s="8"/>
      <c r="AA97" s="23"/>
      <c r="AB97" s="206"/>
      <c r="AC97" s="6"/>
      <c r="AD97" s="6"/>
    </row>
    <row r="98" spans="1:30">
      <c r="A98" s="6"/>
      <c r="B98" s="8"/>
      <c r="C98" s="8" t="str">
        <f t="shared" si="17"/>
        <v/>
      </c>
      <c r="D98" s="8" t="e">
        <f ca="1">_xll.BDP(C98 &amp; " Equity","ID_ISIN",)</f>
        <v>#NAME?</v>
      </c>
      <c r="E98" s="14"/>
      <c r="F98" s="11"/>
      <c r="G98" s="11">
        <f t="shared" ca="1" si="14"/>
        <v>0</v>
      </c>
      <c r="H98" s="8" t="str">
        <f t="shared" si="15"/>
        <v/>
      </c>
      <c r="I98" s="8"/>
      <c r="J98" s="8"/>
      <c r="K98" s="8" t="str">
        <f t="shared" si="16"/>
        <v/>
      </c>
      <c r="L98" s="8"/>
      <c r="M98" s="8"/>
      <c r="N98" s="8"/>
      <c r="O98" s="8"/>
      <c r="P98" s="23"/>
      <c r="Q98" s="23"/>
      <c r="R98" s="206"/>
      <c r="S98" s="208"/>
      <c r="T98" s="52"/>
      <c r="U98" s="52"/>
      <c r="V98" s="52"/>
      <c r="W98" s="16"/>
      <c r="X98" s="1077"/>
      <c r="Y98" s="16"/>
      <c r="Z98" s="8"/>
      <c r="AA98" s="23"/>
      <c r="AB98" s="206"/>
      <c r="AC98" s="6"/>
      <c r="AD98" s="6"/>
    </row>
    <row r="99" spans="1:30">
      <c r="A99" s="6"/>
      <c r="B99" s="8"/>
      <c r="C99" s="8" t="str">
        <f t="shared" si="17"/>
        <v/>
      </c>
      <c r="D99" s="8" t="e">
        <f ca="1">_xll.BDP(C99 &amp; " Equity","ID_ISIN",)</f>
        <v>#NAME?</v>
      </c>
      <c r="E99" s="14"/>
      <c r="F99" s="11"/>
      <c r="G99" s="11">
        <f t="shared" ca="1" si="14"/>
        <v>0</v>
      </c>
      <c r="H99" s="8" t="str">
        <f t="shared" si="15"/>
        <v/>
      </c>
      <c r="I99" s="8"/>
      <c r="J99" s="8"/>
      <c r="K99" s="8" t="str">
        <f t="shared" si="16"/>
        <v/>
      </c>
      <c r="L99" s="8"/>
      <c r="M99" s="8"/>
      <c r="N99" s="8"/>
      <c r="O99" s="8"/>
      <c r="P99" s="23"/>
      <c r="Q99" s="23"/>
      <c r="R99" s="206"/>
      <c r="S99" s="208"/>
      <c r="T99" s="52"/>
      <c r="U99" s="52"/>
      <c r="V99" s="52"/>
      <c r="W99" s="16"/>
      <c r="X99" s="1077"/>
      <c r="Y99" s="16"/>
      <c r="Z99" s="8"/>
      <c r="AA99" s="23"/>
      <c r="AB99" s="206"/>
      <c r="AC99" s="6"/>
      <c r="AD99" s="6"/>
    </row>
    <row r="100" spans="1:30">
      <c r="A100" s="6"/>
      <c r="B100" s="8"/>
      <c r="C100" s="8" t="str">
        <f t="shared" si="17"/>
        <v/>
      </c>
      <c r="D100" s="8" t="e">
        <f ca="1">_xll.BDP(C100 &amp; " Equity","ID_ISIN",)</f>
        <v>#NAME?</v>
      </c>
      <c r="E100" s="14"/>
      <c r="F100" s="11"/>
      <c r="G100" s="11">
        <f t="shared" ca="1" si="14"/>
        <v>0</v>
      </c>
      <c r="H100" s="8" t="str">
        <f t="shared" si="15"/>
        <v/>
      </c>
      <c r="I100" s="8"/>
      <c r="J100" s="8"/>
      <c r="K100" s="8" t="str">
        <f t="shared" si="16"/>
        <v/>
      </c>
      <c r="L100" s="8"/>
      <c r="M100" s="8"/>
      <c r="N100" s="8"/>
      <c r="O100" s="8"/>
      <c r="P100" s="23"/>
      <c r="Q100" s="23"/>
      <c r="R100" s="206"/>
      <c r="S100" s="208"/>
      <c r="T100" s="52"/>
      <c r="U100" s="52"/>
      <c r="V100" s="52"/>
      <c r="W100" s="16"/>
      <c r="X100" s="1077"/>
      <c r="Y100" s="16"/>
      <c r="Z100" s="8"/>
      <c r="AA100" s="23"/>
      <c r="AB100" s="206"/>
      <c r="AC100" s="6"/>
      <c r="AD100" s="6"/>
    </row>
    <row r="101" spans="1:30" s="6" customFormat="1">
      <c r="B101" s="8"/>
      <c r="D101" s="8" t="e">
        <f ca="1">_xll.BDP(C101 &amp; " Equity","ID_ISIN",)</f>
        <v>#NAME?</v>
      </c>
      <c r="E101" s="14"/>
      <c r="F101" s="11"/>
      <c r="G101" s="11">
        <f t="shared" ca="1" si="14"/>
        <v>0</v>
      </c>
      <c r="H101" s="8" t="str">
        <f t="shared" si="15"/>
        <v/>
      </c>
      <c r="I101" s="8"/>
      <c r="J101" s="8"/>
      <c r="K101" s="8" t="str">
        <f t="shared" si="16"/>
        <v/>
      </c>
      <c r="L101" s="8"/>
      <c r="M101" s="8"/>
      <c r="N101" s="8"/>
      <c r="O101" s="8"/>
      <c r="P101" s="8"/>
      <c r="Q101" s="23"/>
      <c r="R101" s="206"/>
      <c r="S101" s="208"/>
      <c r="T101" s="52"/>
      <c r="U101" s="52"/>
      <c r="V101" s="52"/>
      <c r="W101" s="16"/>
      <c r="X101" s="16"/>
      <c r="Y101" s="16"/>
      <c r="Z101" s="8" t="e">
        <f ca="1">_xll.BDP(B101 &amp;" Equity", "DVD_FREQ")</f>
        <v>#NAME?</v>
      </c>
      <c r="AA101" s="23">
        <f t="shared" ref="AA101:AA141" si="18">M101</f>
        <v>0</v>
      </c>
      <c r="AB101" s="206" t="e">
        <f ca="1">_xll.BDP(B101 &amp;" Equity", "EQY_DVD_YLD_IND_NET")</f>
        <v>#NAME?</v>
      </c>
    </row>
    <row r="102" spans="1:30" s="6" customFormat="1">
      <c r="B102" s="8"/>
      <c r="D102" s="8" t="e">
        <f ca="1">_xll.BDP(C102 &amp; " Equity","ID_ISIN",)</f>
        <v>#NAME?</v>
      </c>
      <c r="E102" s="14"/>
      <c r="F102" s="11"/>
      <c r="G102" s="11">
        <f t="shared" ca="1" si="14"/>
        <v>0</v>
      </c>
      <c r="H102" s="8" t="str">
        <f t="shared" si="15"/>
        <v/>
      </c>
      <c r="I102" s="8"/>
      <c r="J102" s="8"/>
      <c r="K102" s="8" t="str">
        <f t="shared" si="16"/>
        <v/>
      </c>
      <c r="L102" s="8"/>
      <c r="M102" s="8"/>
      <c r="N102" s="8"/>
      <c r="O102" s="8"/>
      <c r="P102" s="8"/>
      <c r="Q102" s="23"/>
      <c r="R102" s="206"/>
      <c r="S102" s="208"/>
      <c r="T102" s="52"/>
      <c r="U102" s="52"/>
      <c r="V102" s="52"/>
      <c r="W102" s="16"/>
      <c r="X102" s="16"/>
      <c r="Y102" s="16"/>
      <c r="Z102" s="8" t="e">
        <f ca="1">_xll.BDP(B102 &amp;" Equity", "DVD_FREQ")</f>
        <v>#NAME?</v>
      </c>
      <c r="AA102" s="23">
        <f t="shared" si="18"/>
        <v>0</v>
      </c>
      <c r="AB102" s="206" t="e">
        <f ca="1">_xll.BDP(B102 &amp;" Equity", "EQY_DVD_YLD_IND_NET")</f>
        <v>#NAME?</v>
      </c>
    </row>
    <row r="103" spans="1:30" s="6" customFormat="1">
      <c r="B103" s="8"/>
      <c r="D103" s="8" t="e">
        <f ca="1">_xll.BDP(C103 &amp; " Equity","ID_ISIN",)</f>
        <v>#NAME?</v>
      </c>
      <c r="E103" s="14"/>
      <c r="F103" s="11"/>
      <c r="G103" s="11">
        <f t="shared" ca="1" si="14"/>
        <v>0</v>
      </c>
      <c r="H103" s="8" t="str">
        <f t="shared" si="15"/>
        <v/>
      </c>
      <c r="I103" s="8"/>
      <c r="J103" s="8"/>
      <c r="K103" s="8" t="str">
        <f t="shared" si="16"/>
        <v/>
      </c>
      <c r="L103" s="8"/>
      <c r="M103" s="8"/>
      <c r="N103" s="8"/>
      <c r="O103" s="8"/>
      <c r="P103" s="8"/>
      <c r="Q103" s="23"/>
      <c r="R103" s="206"/>
      <c r="S103" s="208"/>
      <c r="T103" s="52"/>
      <c r="U103" s="52"/>
      <c r="V103" s="52"/>
      <c r="W103" s="16"/>
      <c r="X103" s="16"/>
      <c r="Y103" s="16"/>
      <c r="Z103" s="8" t="e">
        <f ca="1">_xll.BDP(B103 &amp;" Equity", "DVD_FREQ")</f>
        <v>#NAME?</v>
      </c>
      <c r="AA103" s="23">
        <f t="shared" si="18"/>
        <v>0</v>
      </c>
      <c r="AB103" s="206" t="e">
        <f ca="1">_xll.BDP(B103 &amp;" Equity", "EQY_DVD_YLD_IND_NET")</f>
        <v>#NAME?</v>
      </c>
    </row>
    <row r="104" spans="1:30" s="6" customFormat="1">
      <c r="B104" s="8"/>
      <c r="D104" s="8" t="e">
        <f ca="1">_xll.BDP(C104 &amp; " Equity","ID_ISIN",)</f>
        <v>#NAME?</v>
      </c>
      <c r="E104" s="14"/>
      <c r="F104" s="11"/>
      <c r="G104" s="11">
        <f t="shared" ca="1" si="14"/>
        <v>0</v>
      </c>
      <c r="H104" s="8" t="str">
        <f t="shared" si="15"/>
        <v/>
      </c>
      <c r="I104" s="8"/>
      <c r="J104" s="8"/>
      <c r="K104" s="8" t="str">
        <f t="shared" si="16"/>
        <v/>
      </c>
      <c r="L104" s="8"/>
      <c r="M104" s="8"/>
      <c r="N104" s="8"/>
      <c r="O104" s="8"/>
      <c r="P104" s="8"/>
      <c r="Q104" s="23"/>
      <c r="R104" s="206"/>
      <c r="S104" s="208"/>
      <c r="T104" s="52"/>
      <c r="U104" s="52"/>
      <c r="V104" s="52"/>
      <c r="W104" s="16"/>
      <c r="X104" s="16"/>
      <c r="Y104" s="16"/>
      <c r="Z104" s="8" t="e">
        <f ca="1">_xll.BDP(B104 &amp;" Equity", "DVD_FREQ")</f>
        <v>#NAME?</v>
      </c>
      <c r="AA104" s="23">
        <f t="shared" si="18"/>
        <v>0</v>
      </c>
      <c r="AB104" s="206" t="e">
        <f ca="1">_xll.BDP(B104 &amp;" Equity", "EQY_DVD_YLD_IND_NET")</f>
        <v>#NAME?</v>
      </c>
    </row>
    <row r="105" spans="1:30" s="6" customFormat="1">
      <c r="B105" s="8"/>
      <c r="D105" s="8" t="e">
        <f ca="1">_xll.BDP(C105 &amp; " Equity","ID_ISIN",)</f>
        <v>#NAME?</v>
      </c>
      <c r="E105" s="14"/>
      <c r="F105" s="11"/>
      <c r="G105" s="11">
        <f t="shared" ca="1" si="14"/>
        <v>0</v>
      </c>
      <c r="H105" s="8" t="str">
        <f t="shared" si="15"/>
        <v/>
      </c>
      <c r="I105" s="8"/>
      <c r="J105" s="8"/>
      <c r="K105" s="8" t="str">
        <f t="shared" si="16"/>
        <v/>
      </c>
      <c r="L105" s="8"/>
      <c r="M105" s="8"/>
      <c r="N105" s="8"/>
      <c r="O105" s="8"/>
      <c r="P105" s="8"/>
      <c r="Q105" s="23"/>
      <c r="R105" s="206"/>
      <c r="S105" s="208"/>
      <c r="T105" s="52"/>
      <c r="U105" s="52"/>
      <c r="V105" s="52"/>
      <c r="W105" s="16"/>
      <c r="X105" s="16"/>
      <c r="Y105" s="16"/>
      <c r="Z105" s="8" t="e">
        <f ca="1">_xll.BDP(B105 &amp;" Equity", "DVD_FREQ")</f>
        <v>#NAME?</v>
      </c>
      <c r="AA105" s="23">
        <f t="shared" si="18"/>
        <v>0</v>
      </c>
      <c r="AB105" s="206" t="e">
        <f ca="1">_xll.BDP(B105 &amp;" Equity", "EQY_DVD_YLD_IND_NET")</f>
        <v>#NAME?</v>
      </c>
    </row>
    <row r="106" spans="1:30" s="6" customFormat="1">
      <c r="B106" s="8"/>
      <c r="D106" s="8" t="e">
        <f ca="1">_xll.BDP(C106 &amp; " Equity","ID_ISIN",)</f>
        <v>#NAME?</v>
      </c>
      <c r="E106" s="14"/>
      <c r="F106" s="11"/>
      <c r="G106" s="11">
        <f t="shared" ca="1" si="14"/>
        <v>0</v>
      </c>
      <c r="H106" s="8" t="str">
        <f t="shared" si="15"/>
        <v/>
      </c>
      <c r="I106" s="8"/>
      <c r="J106" s="8"/>
      <c r="K106" s="8" t="str">
        <f t="shared" si="16"/>
        <v/>
      </c>
      <c r="L106" s="8"/>
      <c r="M106" s="8"/>
      <c r="N106" s="8"/>
      <c r="O106" s="8"/>
      <c r="P106" s="8"/>
      <c r="Q106" s="23"/>
      <c r="R106" s="206"/>
      <c r="S106" s="208"/>
      <c r="T106" s="52"/>
      <c r="U106" s="52"/>
      <c r="V106" s="52"/>
      <c r="W106" s="16"/>
      <c r="X106" s="16"/>
      <c r="Y106" s="16"/>
      <c r="Z106" s="8" t="e">
        <f ca="1">_xll.BDP(B106 &amp;" Equity", "DVD_FREQ")</f>
        <v>#NAME?</v>
      </c>
      <c r="AA106" s="23">
        <f t="shared" si="18"/>
        <v>0</v>
      </c>
      <c r="AB106" s="206" t="e">
        <f ca="1">_xll.BDP(B106 &amp;" Equity", "EQY_DVD_YLD_IND_NET")</f>
        <v>#NAME?</v>
      </c>
    </row>
    <row r="107" spans="1:30" s="6" customFormat="1">
      <c r="B107" s="8"/>
      <c r="D107" s="8" t="e">
        <f ca="1">_xll.BDP(C107 &amp; " Equity","ID_ISIN",)</f>
        <v>#NAME?</v>
      </c>
      <c r="E107" s="14"/>
      <c r="F107" s="11"/>
      <c r="G107" s="11">
        <f t="shared" ca="1" si="14"/>
        <v>0</v>
      </c>
      <c r="H107" s="8" t="str">
        <f t="shared" si="15"/>
        <v/>
      </c>
      <c r="I107" s="8"/>
      <c r="J107" s="8"/>
      <c r="K107" s="8" t="str">
        <f t="shared" si="16"/>
        <v/>
      </c>
      <c r="L107" s="8"/>
      <c r="M107" s="8"/>
      <c r="N107" s="8"/>
      <c r="O107" s="8"/>
      <c r="P107" s="8"/>
      <c r="Q107" s="23"/>
      <c r="R107" s="206"/>
      <c r="S107" s="208"/>
      <c r="T107" s="52"/>
      <c r="U107" s="52"/>
      <c r="V107" s="52"/>
      <c r="W107" s="16"/>
      <c r="X107" s="16"/>
      <c r="Y107" s="16"/>
      <c r="Z107" s="8" t="e">
        <f ca="1">_xll.BDP(B107 &amp;" Equity", "DVD_FREQ")</f>
        <v>#NAME?</v>
      </c>
      <c r="AA107" s="23">
        <f t="shared" si="18"/>
        <v>0</v>
      </c>
      <c r="AB107" s="206" t="e">
        <f ca="1">_xll.BDP(B107 &amp;" Equity", "EQY_DVD_YLD_IND_NET")</f>
        <v>#NAME?</v>
      </c>
    </row>
    <row r="108" spans="1:30" s="6" customFormat="1">
      <c r="B108" s="8"/>
      <c r="D108" s="8" t="e">
        <f ca="1">_xll.BDP(C108 &amp; " Equity","ID_ISIN",)</f>
        <v>#NAME?</v>
      </c>
      <c r="E108" s="14"/>
      <c r="F108" s="11"/>
      <c r="G108" s="11">
        <f t="shared" ca="1" si="14"/>
        <v>0</v>
      </c>
      <c r="H108" s="8" t="str">
        <f t="shared" si="15"/>
        <v/>
      </c>
      <c r="I108" s="8"/>
      <c r="J108" s="8"/>
      <c r="K108" s="8" t="str">
        <f t="shared" si="16"/>
        <v/>
      </c>
      <c r="L108" s="8"/>
      <c r="M108" s="8"/>
      <c r="N108" s="8"/>
      <c r="O108" s="8"/>
      <c r="P108" s="8"/>
      <c r="Q108" s="23"/>
      <c r="R108" s="206"/>
      <c r="S108" s="208"/>
      <c r="T108" s="52"/>
      <c r="U108" s="52"/>
      <c r="V108" s="52"/>
      <c r="W108" s="16"/>
      <c r="X108" s="16"/>
      <c r="Y108" s="16"/>
      <c r="Z108" s="8" t="e">
        <f ca="1">_xll.BDP(B108 &amp;" Equity", "DVD_FREQ")</f>
        <v>#NAME?</v>
      </c>
      <c r="AA108" s="23">
        <f t="shared" si="18"/>
        <v>0</v>
      </c>
      <c r="AB108" s="206" t="e">
        <f ca="1">_xll.BDP(B108 &amp;" Equity", "EQY_DVD_YLD_IND_NET")</f>
        <v>#NAME?</v>
      </c>
    </row>
    <row r="109" spans="1:30" s="6" customFormat="1">
      <c r="B109" s="8"/>
      <c r="D109" s="8" t="e">
        <f ca="1">_xll.BDP(C109 &amp; " Equity","ID_ISIN",)</f>
        <v>#NAME?</v>
      </c>
      <c r="E109" s="14"/>
      <c r="F109" s="11"/>
      <c r="G109" s="11">
        <f t="shared" ca="1" si="14"/>
        <v>0</v>
      </c>
      <c r="H109" s="8" t="str">
        <f t="shared" si="15"/>
        <v/>
      </c>
      <c r="I109" s="8"/>
      <c r="J109" s="8"/>
      <c r="K109" s="8" t="str">
        <f t="shared" si="16"/>
        <v/>
      </c>
      <c r="L109" s="8"/>
      <c r="M109" s="8"/>
      <c r="N109" s="8"/>
      <c r="O109" s="8"/>
      <c r="P109" s="8"/>
      <c r="Q109" s="23"/>
      <c r="R109" s="206"/>
      <c r="S109" s="208"/>
      <c r="T109" s="52"/>
      <c r="U109" s="52"/>
      <c r="V109" s="52"/>
      <c r="W109" s="16"/>
      <c r="X109" s="16"/>
      <c r="Y109" s="16"/>
      <c r="Z109" s="8" t="e">
        <f ca="1">_xll.BDP(B109 &amp;" Equity", "DVD_FREQ")</f>
        <v>#NAME?</v>
      </c>
      <c r="AA109" s="23">
        <f t="shared" si="18"/>
        <v>0</v>
      </c>
      <c r="AB109" s="206" t="e">
        <f ca="1">_xll.BDP(B109 &amp;" Equity", "EQY_DVD_YLD_IND_NET")</f>
        <v>#NAME?</v>
      </c>
    </row>
    <row r="110" spans="1:30" s="6" customFormat="1" ht="13.5" thickBot="1">
      <c r="B110" s="8"/>
      <c r="D110" s="8" t="e">
        <f ca="1">_xll.BDP(C110 &amp; " Equity","ID_ISIN",)</f>
        <v>#NAME?</v>
      </c>
      <c r="E110" s="14"/>
      <c r="F110" s="56"/>
      <c r="G110" s="11">
        <f t="shared" ca="1" si="14"/>
        <v>0</v>
      </c>
      <c r="H110" s="8" t="str">
        <f t="shared" si="15"/>
        <v/>
      </c>
      <c r="K110" s="8" t="str">
        <f t="shared" si="16"/>
        <v/>
      </c>
      <c r="Q110" s="56"/>
      <c r="T110" s="56"/>
      <c r="U110" s="56"/>
      <c r="V110" s="52"/>
      <c r="Z110" s="8" t="e">
        <f ca="1">_xll.BDP(B110 &amp;" Equity", "DVD_FREQ")</f>
        <v>#NAME?</v>
      </c>
      <c r="AA110" s="23">
        <f t="shared" si="18"/>
        <v>0</v>
      </c>
      <c r="AB110" s="206" t="e">
        <f ca="1">_xll.BDP(B110 &amp;" Equity", "EQY_DVD_YLD_IND_NET")</f>
        <v>#NAME?</v>
      </c>
    </row>
    <row r="111" spans="1:30" s="6" customFormat="1" ht="13.5" thickBot="1">
      <c r="B111" s="8"/>
      <c r="D111" s="8" t="e">
        <f ca="1">_xll.BDP(C111 &amp; " Equity","ID_ISIN",)</f>
        <v>#NAME?</v>
      </c>
      <c r="E111" s="14"/>
      <c r="F111" s="56"/>
      <c r="G111" s="11">
        <f t="shared" ca="1" si="14"/>
        <v>0</v>
      </c>
      <c r="H111" s="8" t="str">
        <f t="shared" si="15"/>
        <v/>
      </c>
      <c r="K111" s="8" t="str">
        <f t="shared" si="16"/>
        <v/>
      </c>
      <c r="Q111" s="77"/>
      <c r="T111" s="56"/>
      <c r="U111" s="56"/>
      <c r="V111" s="52"/>
      <c r="X111" s="40">
        <f ca="1">SUM(X13:X100)</f>
        <v>0</v>
      </c>
      <c r="Y111" s="282"/>
      <c r="Z111" s="8" t="e">
        <f ca="1">_xll.BDP(B111 &amp;" Equity", "DVD_FREQ")</f>
        <v>#NAME?</v>
      </c>
      <c r="AA111" s="23">
        <f t="shared" si="18"/>
        <v>0</v>
      </c>
      <c r="AB111" s="206" t="e">
        <f ca="1">_xll.BDP(B111 &amp;" Equity", "EQY_DVD_YLD_IND_NET")</f>
        <v>#NAME?</v>
      </c>
    </row>
    <row r="112" spans="1:30" s="6" customFormat="1">
      <c r="B112" s="8"/>
      <c r="D112" s="8" t="e">
        <f ca="1">_xll.BDP(C112 &amp; " Equity","ID_ISIN",)</f>
        <v>#NAME?</v>
      </c>
      <c r="E112" s="14"/>
      <c r="F112" s="56"/>
      <c r="G112" s="11">
        <f t="shared" ca="1" si="14"/>
        <v>0</v>
      </c>
      <c r="H112" s="8" t="str">
        <f t="shared" si="15"/>
        <v/>
      </c>
      <c r="K112" s="8" t="str">
        <f t="shared" si="16"/>
        <v/>
      </c>
      <c r="Q112" s="56"/>
      <c r="T112" s="56"/>
      <c r="U112" s="56"/>
      <c r="V112" s="52"/>
      <c r="Z112" s="8" t="e">
        <f ca="1">_xll.BDP(B112 &amp;" Equity", "DVD_FREQ")</f>
        <v>#NAME?</v>
      </c>
      <c r="AA112" s="23">
        <f t="shared" si="18"/>
        <v>0</v>
      </c>
      <c r="AB112" s="206" t="e">
        <f ca="1">_xll.BDP(B112 &amp;" Equity", "EQY_DVD_YLD_IND_NET")</f>
        <v>#NAME?</v>
      </c>
    </row>
    <row r="113" spans="2:28" s="6" customFormat="1">
      <c r="B113" s="8"/>
      <c r="D113" s="8" t="e">
        <f ca="1">_xll.BDP(C113 &amp; " Equity","ID_ISIN",)</f>
        <v>#NAME?</v>
      </c>
      <c r="E113" s="14"/>
      <c r="F113" s="56"/>
      <c r="G113" s="11">
        <f t="shared" ca="1" si="14"/>
        <v>0</v>
      </c>
      <c r="H113" s="8" t="str">
        <f t="shared" si="15"/>
        <v/>
      </c>
      <c r="K113" s="8" t="str">
        <f t="shared" si="16"/>
        <v/>
      </c>
      <c r="Q113" s="56"/>
      <c r="T113" s="56"/>
      <c r="U113" s="56"/>
      <c r="V113" s="52"/>
      <c r="Z113" s="8" t="e">
        <f ca="1">_xll.BDP(B113 &amp;" Equity", "DVD_FREQ")</f>
        <v>#NAME?</v>
      </c>
      <c r="AA113" s="23">
        <f t="shared" si="18"/>
        <v>0</v>
      </c>
      <c r="AB113" s="206" t="e">
        <f ca="1">_xll.BDP(B113 &amp;" Equity", "EQY_DVD_YLD_IND_NET")</f>
        <v>#NAME?</v>
      </c>
    </row>
    <row r="114" spans="2:28" s="6" customFormat="1">
      <c r="B114" s="8"/>
      <c r="D114" s="8" t="e">
        <f ca="1">_xll.BDP(C114 &amp; " Equity","ID_ISIN",)</f>
        <v>#NAME?</v>
      </c>
      <c r="E114" s="14"/>
      <c r="F114" s="56"/>
      <c r="G114" s="11">
        <f t="shared" ca="1" si="14"/>
        <v>0</v>
      </c>
      <c r="H114" s="8" t="str">
        <f t="shared" si="15"/>
        <v/>
      </c>
      <c r="K114" s="8" t="str">
        <f t="shared" si="16"/>
        <v/>
      </c>
      <c r="Q114" s="56"/>
      <c r="T114" s="56"/>
      <c r="U114" s="56"/>
      <c r="V114" s="52"/>
      <c r="Z114" s="8" t="e">
        <f ca="1">_xll.BDP(B114 &amp;" Equity", "DVD_FREQ")</f>
        <v>#NAME?</v>
      </c>
      <c r="AA114" s="23">
        <f t="shared" si="18"/>
        <v>0</v>
      </c>
      <c r="AB114" s="206" t="e">
        <f ca="1">_xll.BDP(B114 &amp;" Equity", "EQY_DVD_YLD_IND_NET")</f>
        <v>#NAME?</v>
      </c>
    </row>
    <row r="115" spans="2:28" s="6" customFormat="1">
      <c r="B115" s="8"/>
      <c r="D115" s="8" t="e">
        <f ca="1">_xll.BDP(C115 &amp; " Equity","ID_ISIN",)</f>
        <v>#NAME?</v>
      </c>
      <c r="F115" s="56"/>
      <c r="G115" s="11">
        <f t="shared" ca="1" si="14"/>
        <v>0</v>
      </c>
      <c r="H115" s="8" t="str">
        <f t="shared" si="15"/>
        <v/>
      </c>
      <c r="K115" s="8" t="str">
        <f t="shared" si="16"/>
        <v/>
      </c>
      <c r="Q115" s="56"/>
      <c r="T115" s="56"/>
      <c r="U115" s="56"/>
      <c r="V115" s="56"/>
      <c r="Z115" s="8" t="e">
        <f ca="1">_xll.BDP(B115 &amp;" Equity", "DVD_FREQ")</f>
        <v>#NAME?</v>
      </c>
      <c r="AA115" s="23">
        <f t="shared" si="18"/>
        <v>0</v>
      </c>
      <c r="AB115" s="206" t="e">
        <f ca="1">_xll.BDP(B115 &amp;" Equity", "EQY_DVD_YLD_IND_NET")</f>
        <v>#NAME?</v>
      </c>
    </row>
    <row r="116" spans="2:28" s="6" customFormat="1" ht="26">
      <c r="B116" s="1148" t="s">
        <v>122</v>
      </c>
      <c r="C116" s="1148"/>
      <c r="D116" s="8" t="e">
        <f ca="1">_xll.BDP(C116 &amp; " Equity","ID_ISIN",)</f>
        <v>#NAME?</v>
      </c>
      <c r="E116" s="1148"/>
      <c r="F116" s="1148"/>
      <c r="G116" s="11">
        <f t="shared" ca="1" si="14"/>
        <v>0</v>
      </c>
      <c r="H116" s="8" t="str">
        <f t="shared" si="15"/>
        <v/>
      </c>
      <c r="I116" s="1148"/>
      <c r="J116" s="1148"/>
      <c r="K116" s="8" t="str">
        <f t="shared" si="16"/>
        <v/>
      </c>
      <c r="L116" s="1148"/>
      <c r="M116" s="1148"/>
      <c r="N116" s="1148"/>
      <c r="O116" s="1148"/>
      <c r="P116" s="1148"/>
      <c r="Q116" s="1148"/>
      <c r="R116" s="1148"/>
      <c r="S116" s="1148"/>
      <c r="T116" s="1148"/>
      <c r="U116" s="1148"/>
      <c r="V116" s="1148"/>
      <c r="W116" s="1148"/>
      <c r="X116" s="41" t="s">
        <v>205</v>
      </c>
      <c r="Y116" s="41"/>
      <c r="Z116" s="8" t="e">
        <f ca="1">_xll.BDP(B116 &amp;" Equity", "DVD_FREQ")</f>
        <v>#NAME?</v>
      </c>
      <c r="AA116" s="23">
        <f t="shared" si="18"/>
        <v>0</v>
      </c>
      <c r="AB116" s="206" t="e">
        <f ca="1">_xll.BDP(B116 &amp;" Equity", "EQY_DVD_YLD_IND_NET")</f>
        <v>#NAME?</v>
      </c>
    </row>
    <row r="117" spans="2:28" s="6" customFormat="1">
      <c r="B117" s="19"/>
      <c r="C117" s="52"/>
      <c r="D117" s="8" t="e">
        <f ca="1">_xll.BDP(C117 &amp; " Equity","ID_ISIN",)</f>
        <v>#NAME?</v>
      </c>
      <c r="E117" s="14"/>
      <c r="F117" s="11"/>
      <c r="G117" s="11">
        <f t="shared" ca="1" si="14"/>
        <v>0</v>
      </c>
      <c r="H117" s="8" t="str">
        <f t="shared" si="15"/>
        <v/>
      </c>
      <c r="I117" s="8"/>
      <c r="J117" s="8"/>
      <c r="K117" s="8" t="str">
        <f t="shared" si="16"/>
        <v/>
      </c>
      <c r="L117" s="8"/>
      <c r="M117" s="8"/>
      <c r="N117" s="8"/>
      <c r="O117" s="8"/>
      <c r="P117" s="8"/>
      <c r="Q117" s="23"/>
      <c r="R117" s="206"/>
      <c r="S117" s="52"/>
      <c r="T117" s="52"/>
      <c r="U117" s="52"/>
      <c r="V117" s="52"/>
      <c r="W117" s="16"/>
      <c r="X117" s="16"/>
      <c r="Y117" s="16"/>
      <c r="Z117" s="8" t="e">
        <f ca="1">_xll.BDP(B117 &amp;" Equity", "DVD_FREQ")</f>
        <v>#NAME?</v>
      </c>
      <c r="AA117" s="23">
        <f t="shared" si="18"/>
        <v>0</v>
      </c>
      <c r="AB117" s="206" t="e">
        <f ca="1">_xll.BDP(B117 &amp;" Equity", "EQY_DVD_YLD_IND_NET")</f>
        <v>#NAME?</v>
      </c>
    </row>
    <row r="118" spans="2:28" s="6" customFormat="1">
      <c r="B118" s="19"/>
      <c r="C118" s="52"/>
      <c r="D118" s="8" t="e">
        <f ca="1">_xll.BDP(C118 &amp; " Equity","ID_ISIN",)</f>
        <v>#NAME?</v>
      </c>
      <c r="E118" s="14"/>
      <c r="F118" s="11"/>
      <c r="G118" s="11">
        <f t="shared" ca="1" si="14"/>
        <v>0</v>
      </c>
      <c r="H118" s="8" t="str">
        <f t="shared" si="15"/>
        <v/>
      </c>
      <c r="I118" s="8"/>
      <c r="J118" s="8"/>
      <c r="K118" s="8" t="str">
        <f t="shared" si="16"/>
        <v/>
      </c>
      <c r="L118" s="8"/>
      <c r="M118" s="8"/>
      <c r="N118" s="8"/>
      <c r="O118" s="8"/>
      <c r="P118" s="8"/>
      <c r="Q118" s="23"/>
      <c r="R118" s="52"/>
      <c r="S118" s="52"/>
      <c r="T118" s="52"/>
      <c r="U118" s="52"/>
      <c r="V118" s="52"/>
      <c r="W118" s="16"/>
      <c r="X118" s="16"/>
      <c r="Y118" s="16"/>
      <c r="Z118" s="8" t="e">
        <f ca="1">_xll.BDP(B118 &amp;" Equity", "DVD_FREQ")</f>
        <v>#NAME?</v>
      </c>
      <c r="AA118" s="23">
        <f t="shared" si="18"/>
        <v>0</v>
      </c>
      <c r="AB118" s="206" t="e">
        <f ca="1">_xll.BDP(B118 &amp;" Equity", "EQY_DVD_YLD_IND_NET")</f>
        <v>#NAME?</v>
      </c>
    </row>
    <row r="119" spans="2:28" s="6" customFormat="1">
      <c r="B119" s="19"/>
      <c r="C119" s="52"/>
      <c r="D119" s="8" t="e">
        <f ca="1">_xll.BDP(C119 &amp; " Equity","ID_ISIN",)</f>
        <v>#NAME?</v>
      </c>
      <c r="E119" s="59"/>
      <c r="F119" s="52"/>
      <c r="G119" s="11">
        <f t="shared" ca="1" si="14"/>
        <v>0</v>
      </c>
      <c r="H119" s="8" t="str">
        <f t="shared" si="15"/>
        <v/>
      </c>
      <c r="I119" s="52"/>
      <c r="J119" s="52"/>
      <c r="K119" s="8" t="str">
        <f t="shared" si="16"/>
        <v/>
      </c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16"/>
      <c r="X119" s="16"/>
      <c r="Y119" s="16"/>
      <c r="Z119" s="8" t="e">
        <f ca="1">_xll.BDP(B119 &amp;" Equity", "DVD_FREQ")</f>
        <v>#NAME?</v>
      </c>
      <c r="AA119" s="23">
        <f t="shared" si="18"/>
        <v>0</v>
      </c>
      <c r="AB119" s="206" t="e">
        <f ca="1">_xll.BDP(B119 &amp;" Equity", "EQY_DVD_YLD_IND_NET")</f>
        <v>#NAME?</v>
      </c>
    </row>
    <row r="120" spans="2:28" s="6" customFormat="1">
      <c r="B120" s="19"/>
      <c r="C120" s="52"/>
      <c r="D120" s="8" t="e">
        <f ca="1">_xll.BDP(C120 &amp; " Equity","ID_ISIN",)</f>
        <v>#NAME?</v>
      </c>
      <c r="E120" s="59"/>
      <c r="F120" s="52"/>
      <c r="G120" s="11">
        <f t="shared" ca="1" si="14"/>
        <v>0</v>
      </c>
      <c r="H120" s="8" t="str">
        <f t="shared" si="15"/>
        <v/>
      </c>
      <c r="I120" s="52"/>
      <c r="J120" s="52"/>
      <c r="K120" s="8" t="str">
        <f t="shared" si="16"/>
        <v/>
      </c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16"/>
      <c r="X120" s="16"/>
      <c r="Y120" s="16"/>
      <c r="Z120" s="8" t="e">
        <f ca="1">_xll.BDP(B120 &amp;" Equity", "DVD_FREQ")</f>
        <v>#NAME?</v>
      </c>
      <c r="AA120" s="23">
        <f t="shared" si="18"/>
        <v>0</v>
      </c>
      <c r="AB120" s="206" t="e">
        <f ca="1">_xll.BDP(B120 &amp;" Equity", "EQY_DVD_YLD_IND_NET")</f>
        <v>#NAME?</v>
      </c>
    </row>
    <row r="121" spans="2:28" s="6" customFormat="1">
      <c r="B121" s="19"/>
      <c r="C121" s="52"/>
      <c r="D121" s="8" t="e">
        <f ca="1">_xll.BDP(C121 &amp; " Equity","ID_ISIN",)</f>
        <v>#NAME?</v>
      </c>
      <c r="E121" s="59"/>
      <c r="F121" s="52"/>
      <c r="G121" s="11">
        <f t="shared" ca="1" si="14"/>
        <v>0</v>
      </c>
      <c r="H121" s="8" t="str">
        <f t="shared" si="15"/>
        <v/>
      </c>
      <c r="I121" s="52"/>
      <c r="J121" s="52"/>
      <c r="K121" s="8" t="str">
        <f t="shared" si="16"/>
        <v/>
      </c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16"/>
      <c r="X121" s="16"/>
      <c r="Y121" s="16"/>
      <c r="Z121" s="8" t="e">
        <f ca="1">_xll.BDP(B121 &amp;" Equity", "DVD_FREQ")</f>
        <v>#NAME?</v>
      </c>
      <c r="AA121" s="23">
        <f t="shared" si="18"/>
        <v>0</v>
      </c>
      <c r="AB121" s="206" t="e">
        <f ca="1">_xll.BDP(B121 &amp;" Equity", "EQY_DVD_YLD_IND_NET")</f>
        <v>#NAME?</v>
      </c>
    </row>
    <row r="122" spans="2:28" s="6" customFormat="1">
      <c r="B122" s="19"/>
      <c r="C122" s="52"/>
      <c r="D122" s="8" t="e">
        <f ca="1">_xll.BDP(C122 &amp; " Equity","ID_ISIN",)</f>
        <v>#NAME?</v>
      </c>
      <c r="E122" s="59"/>
      <c r="F122" s="52"/>
      <c r="G122" s="11">
        <f t="shared" ca="1" si="14"/>
        <v>0</v>
      </c>
      <c r="H122" s="8" t="str">
        <f t="shared" si="15"/>
        <v/>
      </c>
      <c r="I122" s="52"/>
      <c r="J122" s="52"/>
      <c r="K122" s="8" t="str">
        <f t="shared" si="16"/>
        <v/>
      </c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16"/>
      <c r="X122" s="16"/>
      <c r="Y122" s="16"/>
      <c r="Z122" s="8" t="e">
        <f ca="1">_xll.BDP(B122 &amp;" Equity", "DVD_FREQ")</f>
        <v>#NAME?</v>
      </c>
      <c r="AA122" s="23">
        <f t="shared" si="18"/>
        <v>0</v>
      </c>
      <c r="AB122" s="206" t="e">
        <f ca="1">_xll.BDP(B122 &amp;" Equity", "EQY_DVD_YLD_IND_NET")</f>
        <v>#NAME?</v>
      </c>
    </row>
    <row r="123" spans="2:28" s="6" customFormat="1">
      <c r="B123" s="19"/>
      <c r="C123" s="52"/>
      <c r="D123" s="8" t="e">
        <f ca="1">_xll.BDP(C123 &amp; " Equity","ID_ISIN",)</f>
        <v>#NAME?</v>
      </c>
      <c r="E123" s="59"/>
      <c r="F123" s="52"/>
      <c r="G123" s="11">
        <f t="shared" ca="1" si="14"/>
        <v>0</v>
      </c>
      <c r="H123" s="8" t="str">
        <f t="shared" si="15"/>
        <v/>
      </c>
      <c r="I123" s="52"/>
      <c r="J123" s="52"/>
      <c r="K123" s="8" t="str">
        <f t="shared" si="16"/>
        <v/>
      </c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16"/>
      <c r="X123" s="16"/>
      <c r="Y123" s="16"/>
      <c r="Z123" s="8" t="e">
        <f ca="1">_xll.BDP(B123 &amp;" Equity", "DVD_FREQ")</f>
        <v>#NAME?</v>
      </c>
      <c r="AA123" s="23">
        <f t="shared" si="18"/>
        <v>0</v>
      </c>
      <c r="AB123" s="206" t="e">
        <f ca="1">_xll.BDP(B123 &amp;" Equity", "EQY_DVD_YLD_IND_NET")</f>
        <v>#NAME?</v>
      </c>
    </row>
    <row r="124" spans="2:28" s="6" customFormat="1">
      <c r="B124" s="19"/>
      <c r="C124" s="52"/>
      <c r="D124" s="8" t="e">
        <f ca="1">_xll.BDP(C124 &amp; " Equity","ID_ISIN",)</f>
        <v>#NAME?</v>
      </c>
      <c r="E124" s="59"/>
      <c r="F124" s="52"/>
      <c r="G124" s="11">
        <f t="shared" ca="1" si="14"/>
        <v>0</v>
      </c>
      <c r="H124" s="8" t="str">
        <f t="shared" si="15"/>
        <v/>
      </c>
      <c r="I124" s="52"/>
      <c r="J124" s="52"/>
      <c r="K124" s="8" t="str">
        <f t="shared" si="16"/>
        <v/>
      </c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16"/>
      <c r="X124" s="16"/>
      <c r="Y124" s="16"/>
      <c r="Z124" s="8" t="e">
        <f ca="1">_xll.BDP(B124 &amp;" Equity", "DVD_FREQ")</f>
        <v>#NAME?</v>
      </c>
      <c r="AA124" s="23">
        <f t="shared" si="18"/>
        <v>0</v>
      </c>
      <c r="AB124" s="206" t="e">
        <f ca="1">_xll.BDP(B124 &amp;" Equity", "EQY_DVD_YLD_IND_NET")</f>
        <v>#NAME?</v>
      </c>
    </row>
    <row r="125" spans="2:28" s="6" customFormat="1">
      <c r="B125" s="19"/>
      <c r="C125" s="52"/>
      <c r="D125" s="8" t="e">
        <f ca="1">_xll.BDP(C125 &amp; " Equity","ID_ISIN",)</f>
        <v>#NAME?</v>
      </c>
      <c r="E125" s="59"/>
      <c r="F125" s="52"/>
      <c r="G125" s="11">
        <f t="shared" ca="1" si="14"/>
        <v>0</v>
      </c>
      <c r="H125" s="8" t="str">
        <f t="shared" si="15"/>
        <v/>
      </c>
      <c r="I125" s="52"/>
      <c r="J125" s="52"/>
      <c r="K125" s="8" t="str">
        <f t="shared" si="16"/>
        <v/>
      </c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16"/>
      <c r="X125" s="16"/>
      <c r="Y125" s="16"/>
      <c r="Z125" s="8" t="e">
        <f ca="1">_xll.BDP(B125 &amp;" Equity", "DVD_FREQ")</f>
        <v>#NAME?</v>
      </c>
      <c r="AA125" s="23">
        <f t="shared" si="18"/>
        <v>0</v>
      </c>
      <c r="AB125" s="206" t="e">
        <f ca="1">_xll.BDP(B125 &amp;" Equity", "EQY_DVD_YLD_IND_NET")</f>
        <v>#NAME?</v>
      </c>
    </row>
    <row r="126" spans="2:28" s="6" customFormat="1">
      <c r="B126" s="19"/>
      <c r="C126" s="52"/>
      <c r="D126" s="8" t="e">
        <f ca="1">_xll.BDP(C126 &amp; " Equity","ID_ISIN",)</f>
        <v>#NAME?</v>
      </c>
      <c r="E126" s="59"/>
      <c r="F126" s="52"/>
      <c r="G126" s="11">
        <f t="shared" ca="1" si="14"/>
        <v>0</v>
      </c>
      <c r="H126" s="8" t="str">
        <f t="shared" si="15"/>
        <v/>
      </c>
      <c r="I126" s="52"/>
      <c r="J126" s="52"/>
      <c r="K126" s="8" t="str">
        <f t="shared" si="16"/>
        <v/>
      </c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16"/>
      <c r="X126" s="16"/>
      <c r="Y126" s="16"/>
      <c r="Z126" s="8" t="e">
        <f ca="1">_xll.BDP(B126 &amp;" Equity", "DVD_FREQ")</f>
        <v>#NAME?</v>
      </c>
      <c r="AA126" s="23">
        <f t="shared" si="18"/>
        <v>0</v>
      </c>
      <c r="AB126" s="206" t="e">
        <f ca="1">_xll.BDP(B126 &amp;" Equity", "EQY_DVD_YLD_IND_NET")</f>
        <v>#NAME?</v>
      </c>
    </row>
    <row r="127" spans="2:28" s="6" customFormat="1">
      <c r="B127" s="19"/>
      <c r="C127" s="52"/>
      <c r="D127" s="8" t="e">
        <f ca="1">_xll.BDP(C127 &amp; " Equity","ID_ISIN",)</f>
        <v>#NAME?</v>
      </c>
      <c r="E127" s="59"/>
      <c r="F127" s="52"/>
      <c r="G127" s="11">
        <f t="shared" ca="1" si="14"/>
        <v>0</v>
      </c>
      <c r="H127" s="8" t="str">
        <f t="shared" si="15"/>
        <v/>
      </c>
      <c r="I127" s="52"/>
      <c r="J127" s="52"/>
      <c r="K127" s="8" t="str">
        <f t="shared" si="16"/>
        <v/>
      </c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16"/>
      <c r="X127" s="16"/>
      <c r="Y127" s="16"/>
      <c r="Z127" s="8" t="e">
        <f ca="1">_xll.BDP(B127 &amp;" Equity", "DVD_FREQ")</f>
        <v>#NAME?</v>
      </c>
      <c r="AA127" s="23">
        <f t="shared" si="18"/>
        <v>0</v>
      </c>
      <c r="AB127" s="206" t="e">
        <f ca="1">_xll.BDP(B127 &amp;" Equity", "EQY_DVD_YLD_IND_NET")</f>
        <v>#NAME?</v>
      </c>
    </row>
    <row r="128" spans="2:28" s="6" customFormat="1">
      <c r="B128" s="19"/>
      <c r="C128" s="52"/>
      <c r="D128" s="8" t="e">
        <f ca="1">_xll.BDP(C128 &amp; " Equity","ID_ISIN",)</f>
        <v>#NAME?</v>
      </c>
      <c r="E128" s="59"/>
      <c r="F128" s="52"/>
      <c r="G128" s="11">
        <f t="shared" ca="1" si="14"/>
        <v>0</v>
      </c>
      <c r="H128" s="8" t="str">
        <f t="shared" si="15"/>
        <v/>
      </c>
      <c r="I128" s="52"/>
      <c r="J128" s="52"/>
      <c r="K128" s="8" t="str">
        <f t="shared" si="16"/>
        <v/>
      </c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16"/>
      <c r="X128" s="16"/>
      <c r="Y128" s="16"/>
      <c r="Z128" s="8" t="e">
        <f ca="1">_xll.BDP(B128 &amp;" Equity", "DVD_FREQ")</f>
        <v>#NAME?</v>
      </c>
      <c r="AA128" s="23">
        <f t="shared" si="18"/>
        <v>0</v>
      </c>
      <c r="AB128" s="206" t="e">
        <f ca="1">_xll.BDP(B128 &amp;" Equity", "EQY_DVD_YLD_IND_NET")</f>
        <v>#NAME?</v>
      </c>
    </row>
    <row r="129" spans="2:28" s="6" customFormat="1">
      <c r="B129" s="19"/>
      <c r="C129" s="52"/>
      <c r="D129" s="8" t="e">
        <f ca="1">_xll.BDP(C129 &amp; " Equity","ID_ISIN",)</f>
        <v>#NAME?</v>
      </c>
      <c r="E129" s="59"/>
      <c r="F129" s="52"/>
      <c r="G129" s="11">
        <f t="shared" ca="1" si="14"/>
        <v>0</v>
      </c>
      <c r="H129" s="8" t="str">
        <f t="shared" si="15"/>
        <v/>
      </c>
      <c r="I129" s="52"/>
      <c r="J129" s="52"/>
      <c r="K129" s="8" t="str">
        <f t="shared" si="16"/>
        <v/>
      </c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16"/>
      <c r="X129" s="16"/>
      <c r="Y129" s="16"/>
      <c r="Z129" s="8" t="e">
        <f ca="1">_xll.BDP(B129 &amp;" Equity", "DVD_FREQ")</f>
        <v>#NAME?</v>
      </c>
      <c r="AA129" s="23">
        <f t="shared" si="18"/>
        <v>0</v>
      </c>
      <c r="AB129" s="206" t="e">
        <f ca="1">_xll.BDP(B129 &amp;" Equity", "EQY_DVD_YLD_IND_NET")</f>
        <v>#NAME?</v>
      </c>
    </row>
    <row r="130" spans="2:28" s="6" customFormat="1">
      <c r="B130" s="19"/>
      <c r="C130" s="52"/>
      <c r="D130" s="8" t="e">
        <f ca="1">_xll.BDP(C130 &amp; " Equity","ID_ISIN",)</f>
        <v>#NAME?</v>
      </c>
      <c r="E130" s="59"/>
      <c r="F130" s="52"/>
      <c r="G130" s="11">
        <f t="shared" ca="1" si="14"/>
        <v>0</v>
      </c>
      <c r="H130" s="8" t="str">
        <f t="shared" si="15"/>
        <v/>
      </c>
      <c r="I130" s="52"/>
      <c r="J130" s="52"/>
      <c r="K130" s="8" t="str">
        <f t="shared" si="16"/>
        <v/>
      </c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16"/>
      <c r="X130" s="16"/>
      <c r="Y130" s="16"/>
      <c r="Z130" s="8" t="e">
        <f ca="1">_xll.BDP(B130 &amp;" Equity", "DVD_FREQ")</f>
        <v>#NAME?</v>
      </c>
      <c r="AA130" s="23">
        <f t="shared" si="18"/>
        <v>0</v>
      </c>
      <c r="AB130" s="206" t="e">
        <f ca="1">_xll.BDP(B130 &amp;" Equity", "EQY_DVD_YLD_IND_NET")</f>
        <v>#NAME?</v>
      </c>
    </row>
    <row r="131" spans="2:28" s="6" customFormat="1" ht="13.5" thickBot="1">
      <c r="B131" s="19"/>
      <c r="C131" s="52"/>
      <c r="D131" s="8" t="e">
        <f ca="1">_xll.BDP(C131 &amp; " Equity","ID_ISIN",)</f>
        <v>#NAME?</v>
      </c>
      <c r="E131" s="59"/>
      <c r="F131" s="52"/>
      <c r="G131" s="11">
        <f t="shared" ca="1" si="14"/>
        <v>0</v>
      </c>
      <c r="H131" s="8" t="str">
        <f t="shared" si="15"/>
        <v/>
      </c>
      <c r="I131" s="52"/>
      <c r="J131" s="52"/>
      <c r="K131" s="8" t="str">
        <f t="shared" si="16"/>
        <v/>
      </c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16"/>
      <c r="X131" s="16"/>
      <c r="Y131" s="16"/>
      <c r="Z131" s="8" t="e">
        <f ca="1">_xll.BDP(B131 &amp;" Equity", "DVD_FREQ")</f>
        <v>#NAME?</v>
      </c>
      <c r="AA131" s="23">
        <f t="shared" si="18"/>
        <v>0</v>
      </c>
      <c r="AB131" s="206" t="e">
        <f ca="1">_xll.BDP(B131 &amp;" Equity", "EQY_DVD_YLD_IND_NET")</f>
        <v>#NAME?</v>
      </c>
    </row>
    <row r="132" spans="2:28" s="6" customFormat="1" ht="13.5" thickBot="1">
      <c r="B132" s="8"/>
      <c r="D132" s="8" t="e">
        <f ca="1">_xll.BDP(C132 &amp; " Equity","ID_ISIN",)</f>
        <v>#NAME?</v>
      </c>
      <c r="F132" s="56"/>
      <c r="G132" s="11">
        <f t="shared" ca="1" si="14"/>
        <v>0</v>
      </c>
      <c r="H132" s="8" t="str">
        <f t="shared" si="15"/>
        <v/>
      </c>
      <c r="K132" s="8" t="str">
        <f t="shared" si="16"/>
        <v/>
      </c>
      <c r="Q132" s="56"/>
      <c r="T132" s="56"/>
      <c r="U132" s="56"/>
      <c r="V132" s="56"/>
      <c r="X132" s="40">
        <f>SUM(X117:X131)</f>
        <v>0</v>
      </c>
      <c r="Y132" s="282"/>
      <c r="Z132" s="8" t="e">
        <f ca="1">_xll.BDP(B132 &amp;" Equity", "DVD_FREQ")</f>
        <v>#NAME?</v>
      </c>
      <c r="AA132" s="23">
        <f t="shared" si="18"/>
        <v>0</v>
      </c>
      <c r="AB132" s="206" t="e">
        <f ca="1">_xll.BDP(B132 &amp;" Equity", "EQY_DVD_YLD_IND_NET")</f>
        <v>#NAME?</v>
      </c>
    </row>
    <row r="133" spans="2:28" s="6" customFormat="1">
      <c r="B133" s="8"/>
      <c r="D133" s="8" t="e">
        <f ca="1">_xll.BDP(C133 &amp; " Equity","ID_ISIN",)</f>
        <v>#NAME?</v>
      </c>
      <c r="F133" s="56"/>
      <c r="G133" s="11">
        <f t="shared" ca="1" si="14"/>
        <v>0</v>
      </c>
      <c r="H133" s="8" t="str">
        <f t="shared" si="15"/>
        <v/>
      </c>
      <c r="K133" s="8" t="str">
        <f t="shared" si="16"/>
        <v/>
      </c>
      <c r="Q133" s="56"/>
      <c r="T133" s="56"/>
      <c r="U133" s="56"/>
      <c r="V133" s="56"/>
      <c r="Z133" s="8" t="e">
        <f ca="1">_xll.BDP(B133 &amp;" Equity", "DVD_FREQ")</f>
        <v>#NAME?</v>
      </c>
      <c r="AA133" s="23">
        <f t="shared" si="18"/>
        <v>0</v>
      </c>
      <c r="AB133" s="206" t="e">
        <f ca="1">_xll.BDP(B133 &amp;" Equity", "EQY_DVD_YLD_IND_NET")</f>
        <v>#NAME?</v>
      </c>
    </row>
    <row r="134" spans="2:28" s="6" customFormat="1">
      <c r="B134" s="8"/>
      <c r="D134" s="8" t="e">
        <f ca="1">_xll.BDP(C134 &amp; " Equity","ID_ISIN",)</f>
        <v>#NAME?</v>
      </c>
      <c r="F134" s="56"/>
      <c r="G134" s="11">
        <f t="shared" ca="1" si="14"/>
        <v>0</v>
      </c>
      <c r="H134" s="8" t="str">
        <f t="shared" si="15"/>
        <v/>
      </c>
      <c r="K134" s="8" t="str">
        <f t="shared" si="16"/>
        <v/>
      </c>
      <c r="Q134" s="56"/>
      <c r="Z134" s="8" t="e">
        <f ca="1">_xll.BDP(B134 &amp;" Equity", "DVD_FREQ")</f>
        <v>#NAME?</v>
      </c>
      <c r="AA134" s="23">
        <f t="shared" si="18"/>
        <v>0</v>
      </c>
      <c r="AB134" s="206" t="e">
        <f ca="1">_xll.BDP(B134 &amp;" Equity", "EQY_DVD_YLD_IND_NET")</f>
        <v>#NAME?</v>
      </c>
    </row>
    <row r="135" spans="2:28" s="6" customFormat="1">
      <c r="B135" s="8"/>
      <c r="D135" s="8" t="e">
        <f ca="1">_xll.BDP(C135 &amp; " Equity","ID_ISIN",)</f>
        <v>#NAME?</v>
      </c>
      <c r="F135" s="56"/>
      <c r="G135" s="11">
        <f t="shared" ca="1" si="14"/>
        <v>0</v>
      </c>
      <c r="H135" s="8" t="str">
        <f t="shared" si="15"/>
        <v/>
      </c>
      <c r="K135" s="8" t="str">
        <f t="shared" si="16"/>
        <v/>
      </c>
      <c r="Q135" s="56"/>
      <c r="Z135" s="8" t="e">
        <f ca="1">_xll.BDP(B135 &amp;" Equity", "DVD_FREQ")</f>
        <v>#NAME?</v>
      </c>
      <c r="AA135" s="23">
        <f t="shared" si="18"/>
        <v>0</v>
      </c>
      <c r="AB135" s="206" t="e">
        <f ca="1">_xll.BDP(B135 &amp;" Equity", "EQY_DVD_YLD_IND_NET")</f>
        <v>#NAME?</v>
      </c>
    </row>
    <row r="136" spans="2:28" s="6" customFormat="1">
      <c r="B136" s="8"/>
      <c r="D136" s="8" t="e">
        <f ca="1">_xll.BDP(C136 &amp; " Equity","ID_ISIN",)</f>
        <v>#NAME?</v>
      </c>
      <c r="F136" s="56"/>
      <c r="G136" s="11">
        <f t="shared" ca="1" si="14"/>
        <v>0</v>
      </c>
      <c r="H136" s="8" t="str">
        <f t="shared" si="15"/>
        <v/>
      </c>
      <c r="K136" s="8" t="str">
        <f t="shared" si="16"/>
        <v/>
      </c>
      <c r="Q136" s="56"/>
      <c r="Z136" s="8" t="e">
        <f ca="1">_xll.BDP(B136 &amp;" Equity", "DVD_FREQ")</f>
        <v>#NAME?</v>
      </c>
      <c r="AA136" s="23">
        <f t="shared" si="18"/>
        <v>0</v>
      </c>
      <c r="AB136" s="206" t="e">
        <f ca="1">_xll.BDP(B136 &amp;" Equity", "EQY_DVD_YLD_IND_NET")</f>
        <v>#NAME?</v>
      </c>
    </row>
    <row r="137" spans="2:28" s="6" customFormat="1">
      <c r="B137" s="8"/>
      <c r="D137" s="8" t="e">
        <f ca="1">_xll.BDP(C137 &amp; " Equity","ID_ISIN",)</f>
        <v>#NAME?</v>
      </c>
      <c r="F137" s="56"/>
      <c r="G137" s="11">
        <f t="shared" ca="1" si="14"/>
        <v>0</v>
      </c>
      <c r="H137" s="8" t="str">
        <f t="shared" si="15"/>
        <v/>
      </c>
      <c r="K137" s="8" t="str">
        <f t="shared" si="16"/>
        <v/>
      </c>
      <c r="Q137" s="56"/>
      <c r="Z137" s="8" t="e">
        <f ca="1">_xll.BDP(B137 &amp;" Equity", "DVD_FREQ")</f>
        <v>#NAME?</v>
      </c>
      <c r="AA137" s="23">
        <f t="shared" si="18"/>
        <v>0</v>
      </c>
      <c r="AB137" s="206" t="e">
        <f ca="1">_xll.BDP(B137 &amp;" Equity", "EQY_DVD_YLD_IND_NET")</f>
        <v>#NAME?</v>
      </c>
    </row>
    <row r="138" spans="2:28" s="6" customFormat="1">
      <c r="B138" s="8"/>
      <c r="D138" s="8" t="e">
        <f ca="1">_xll.BDP(C138 &amp; " Equity","ID_ISIN",)</f>
        <v>#NAME?</v>
      </c>
      <c r="F138" s="56"/>
      <c r="G138" s="11">
        <f t="shared" ca="1" si="14"/>
        <v>0</v>
      </c>
      <c r="H138" s="8" t="str">
        <f t="shared" si="15"/>
        <v/>
      </c>
      <c r="K138" s="8" t="str">
        <f t="shared" si="16"/>
        <v/>
      </c>
      <c r="Q138" s="56"/>
      <c r="Z138" s="8" t="e">
        <f ca="1">_xll.BDP(B138 &amp;" Equity", "DVD_FREQ")</f>
        <v>#NAME?</v>
      </c>
      <c r="AA138" s="23">
        <f t="shared" si="18"/>
        <v>0</v>
      </c>
      <c r="AB138" s="206" t="e">
        <f ca="1">_xll.BDP(B138 &amp;" Equity", "EQY_DVD_YLD_IND_NET")</f>
        <v>#NAME?</v>
      </c>
    </row>
    <row r="139" spans="2:28" s="6" customFormat="1">
      <c r="B139" s="8"/>
      <c r="D139" s="8" t="e">
        <f ca="1">_xll.BDP(C139 &amp; " Equity","ID_ISIN",)</f>
        <v>#NAME?</v>
      </c>
      <c r="F139" s="56"/>
      <c r="G139" s="11">
        <f t="shared" ca="1" si="14"/>
        <v>0</v>
      </c>
      <c r="H139" s="8" t="str">
        <f t="shared" si="15"/>
        <v/>
      </c>
      <c r="K139" s="8" t="str">
        <f t="shared" si="16"/>
        <v/>
      </c>
      <c r="Q139" s="56"/>
      <c r="Z139" s="8" t="e">
        <f ca="1">_xll.BDP(B139 &amp;" Equity", "DVD_FREQ")</f>
        <v>#NAME?</v>
      </c>
      <c r="AA139" s="23">
        <f t="shared" si="18"/>
        <v>0</v>
      </c>
      <c r="AB139" s="206" t="e">
        <f ca="1">_xll.BDP(B139 &amp;" Equity", "EQY_DVD_YLD_IND_NET")</f>
        <v>#NAME?</v>
      </c>
    </row>
    <row r="140" spans="2:28" s="6" customFormat="1">
      <c r="B140" s="8"/>
      <c r="D140" s="8" t="e">
        <f ca="1">_xll.BDP(C140 &amp; " Equity","ID_ISIN",)</f>
        <v>#NAME?</v>
      </c>
      <c r="F140" s="56"/>
      <c r="G140" s="11">
        <f t="shared" ca="1" si="14"/>
        <v>0</v>
      </c>
      <c r="H140" s="8" t="str">
        <f t="shared" si="15"/>
        <v/>
      </c>
      <c r="K140" s="8" t="str">
        <f t="shared" si="16"/>
        <v/>
      </c>
      <c r="Q140" s="56"/>
      <c r="Z140" s="8" t="e">
        <f ca="1">_xll.BDP(B140 &amp;" Equity", "DVD_FREQ")</f>
        <v>#NAME?</v>
      </c>
      <c r="AA140" s="23">
        <f t="shared" si="18"/>
        <v>0</v>
      </c>
      <c r="AB140" s="206" t="e">
        <f ca="1">_xll.BDP(B140 &amp;" Equity", "EQY_DVD_YLD_IND_NET")</f>
        <v>#NAME?</v>
      </c>
    </row>
    <row r="141" spans="2:28" s="6" customFormat="1">
      <c r="B141" s="8"/>
      <c r="D141" s="8" t="e">
        <f ca="1">_xll.BDP(C141 &amp; " Equity","ID_ISIN",)</f>
        <v>#NAME?</v>
      </c>
      <c r="F141" s="56"/>
      <c r="G141" s="11">
        <f t="shared" ref="G141:G204" ca="1" si="19">IFERROR(F141-(VLOOKUP(LEFT(D141,2),AG:AH,2,FALSE)*F141),0)</f>
        <v>0</v>
      </c>
      <c r="H141" s="8" t="str">
        <f t="shared" si="15"/>
        <v/>
      </c>
      <c r="K141" s="8" t="str">
        <f t="shared" si="16"/>
        <v/>
      </c>
      <c r="Q141" s="56"/>
      <c r="Z141" s="8" t="e">
        <f ca="1">_xll.BDP(B141 &amp;" Equity", "DVD_FREQ")</f>
        <v>#NAME?</v>
      </c>
      <c r="AA141" s="23">
        <f t="shared" si="18"/>
        <v>0</v>
      </c>
      <c r="AB141" s="206" t="e">
        <f ca="1">_xll.BDP(B141 &amp;" Equity", "EQY_DVD_YLD_IND_NET")</f>
        <v>#NAME?</v>
      </c>
    </row>
    <row r="142" spans="2:28" s="6" customFormat="1">
      <c r="B142" s="8"/>
      <c r="D142" s="8" t="e">
        <f ca="1">_xll.BDP(C142 &amp; " Equity","ID_ISIN",)</f>
        <v>#NAME?</v>
      </c>
      <c r="F142" s="56"/>
      <c r="G142" s="11">
        <f t="shared" ca="1" si="19"/>
        <v>0</v>
      </c>
      <c r="H142" s="8" t="str">
        <f t="shared" ref="H142:H205" si="20">IFERROR(DATEVALUE(I142),"")</f>
        <v/>
      </c>
      <c r="K142" s="8" t="str">
        <f t="shared" ref="K142:K205" si="21">IFERROR(DATEVALUE(L142),"")</f>
        <v/>
      </c>
      <c r="Q142" s="56"/>
      <c r="Z142" s="8" t="e">
        <f ca="1">_xll.BDP(B142 &amp;" Equity", "DVD_FREQ")</f>
        <v>#NAME?</v>
      </c>
      <c r="AA142" s="23">
        <f t="shared" ref="AA142:AA205" si="22">M142</f>
        <v>0</v>
      </c>
      <c r="AB142" s="206" t="e">
        <f ca="1">_xll.BDP(B142 &amp;" Equity", "EQY_DVD_YLD_IND_NET")</f>
        <v>#NAME?</v>
      </c>
    </row>
    <row r="143" spans="2:28" s="6" customFormat="1">
      <c r="B143" s="8"/>
      <c r="D143" s="8" t="e">
        <f ca="1">_xll.BDP(C143 &amp; " Equity","ID_ISIN",)</f>
        <v>#NAME?</v>
      </c>
      <c r="F143" s="56"/>
      <c r="G143" s="11">
        <f t="shared" ca="1" si="19"/>
        <v>0</v>
      </c>
      <c r="H143" s="8" t="str">
        <f t="shared" si="20"/>
        <v/>
      </c>
      <c r="K143" s="8" t="str">
        <f t="shared" si="21"/>
        <v/>
      </c>
      <c r="Q143" s="56"/>
      <c r="Z143" s="8" t="e">
        <f ca="1">_xll.BDP(B143 &amp;" Equity", "DVD_FREQ")</f>
        <v>#NAME?</v>
      </c>
      <c r="AA143" s="23">
        <f t="shared" si="22"/>
        <v>0</v>
      </c>
      <c r="AB143" s="206" t="e">
        <f ca="1">_xll.BDP(B143 &amp;" Equity", "EQY_DVD_YLD_IND_NET")</f>
        <v>#NAME?</v>
      </c>
    </row>
    <row r="144" spans="2:28" s="6" customFormat="1">
      <c r="B144" s="8"/>
      <c r="D144" s="8" t="e">
        <f ca="1">_xll.BDP(C144 &amp; " Equity","ID_ISIN",)</f>
        <v>#NAME?</v>
      </c>
      <c r="F144" s="56"/>
      <c r="G144" s="11">
        <f t="shared" ca="1" si="19"/>
        <v>0</v>
      </c>
      <c r="H144" s="8" t="str">
        <f t="shared" si="20"/>
        <v/>
      </c>
      <c r="K144" s="8" t="str">
        <f t="shared" si="21"/>
        <v/>
      </c>
      <c r="Q144" s="56"/>
      <c r="Z144" s="8" t="e">
        <f ca="1">_xll.BDP(B144 &amp;" Equity", "DVD_FREQ")</f>
        <v>#NAME?</v>
      </c>
      <c r="AA144" s="23">
        <f t="shared" si="22"/>
        <v>0</v>
      </c>
      <c r="AB144" s="206" t="e">
        <f ca="1">_xll.BDP(B144 &amp;" Equity", "EQY_DVD_YLD_IND_NET")</f>
        <v>#NAME?</v>
      </c>
    </row>
    <row r="145" spans="2:28" s="6" customFormat="1">
      <c r="B145" s="8"/>
      <c r="D145" s="8" t="e">
        <f ca="1">_xll.BDP(C145 &amp; " Equity","ID_ISIN",)</f>
        <v>#NAME?</v>
      </c>
      <c r="F145" s="56"/>
      <c r="G145" s="11">
        <f t="shared" ca="1" si="19"/>
        <v>0</v>
      </c>
      <c r="H145" s="8" t="str">
        <f t="shared" si="20"/>
        <v/>
      </c>
      <c r="K145" s="8" t="str">
        <f t="shared" si="21"/>
        <v/>
      </c>
      <c r="Q145" s="56"/>
      <c r="Z145" s="8" t="e">
        <f ca="1">_xll.BDP(B145 &amp;" Equity", "DVD_FREQ")</f>
        <v>#NAME?</v>
      </c>
      <c r="AA145" s="23">
        <f t="shared" si="22"/>
        <v>0</v>
      </c>
      <c r="AB145" s="206" t="e">
        <f ca="1">_xll.BDP(B145 &amp;" Equity", "EQY_DVD_YLD_IND_NET")</f>
        <v>#NAME?</v>
      </c>
    </row>
    <row r="146" spans="2:28" s="6" customFormat="1">
      <c r="B146" s="8"/>
      <c r="D146" s="8" t="e">
        <f ca="1">_xll.BDP(C146 &amp; " Equity","ID_ISIN",)</f>
        <v>#NAME?</v>
      </c>
      <c r="F146" s="56"/>
      <c r="G146" s="11">
        <f t="shared" ca="1" si="19"/>
        <v>0</v>
      </c>
      <c r="H146" s="8" t="str">
        <f t="shared" si="20"/>
        <v/>
      </c>
      <c r="K146" s="8" t="str">
        <f t="shared" si="21"/>
        <v/>
      </c>
      <c r="Q146" s="56"/>
      <c r="Z146" s="8" t="e">
        <f ca="1">_xll.BDP(B146 &amp;" Equity", "DVD_FREQ")</f>
        <v>#NAME?</v>
      </c>
      <c r="AA146" s="23">
        <f t="shared" si="22"/>
        <v>0</v>
      </c>
      <c r="AB146" s="206" t="e">
        <f ca="1">_xll.BDP(B146 &amp;" Equity", "EQY_DVD_YLD_IND_NET")</f>
        <v>#NAME?</v>
      </c>
    </row>
    <row r="147" spans="2:28" s="6" customFormat="1">
      <c r="B147" s="8"/>
      <c r="D147" s="8" t="e">
        <f ca="1">_xll.BDP(C147 &amp; " Equity","ID_ISIN",)</f>
        <v>#NAME?</v>
      </c>
      <c r="F147" s="56"/>
      <c r="G147" s="11">
        <f t="shared" ca="1" si="19"/>
        <v>0</v>
      </c>
      <c r="H147" s="8" t="str">
        <f t="shared" si="20"/>
        <v/>
      </c>
      <c r="K147" s="8" t="str">
        <f t="shared" si="21"/>
        <v/>
      </c>
      <c r="Q147" s="56"/>
      <c r="Z147" s="8" t="e">
        <f ca="1">_xll.BDP(B147 &amp;" Equity", "DVD_FREQ")</f>
        <v>#NAME?</v>
      </c>
      <c r="AA147" s="23">
        <f t="shared" si="22"/>
        <v>0</v>
      </c>
      <c r="AB147" s="206" t="e">
        <f ca="1">_xll.BDP(B147 &amp;" Equity", "EQY_DVD_YLD_IND_NET")</f>
        <v>#NAME?</v>
      </c>
    </row>
    <row r="148" spans="2:28" s="6" customFormat="1">
      <c r="B148" s="8"/>
      <c r="D148" s="8" t="e">
        <f ca="1">_xll.BDP(C148 &amp; " Equity","ID_ISIN",)</f>
        <v>#NAME?</v>
      </c>
      <c r="F148" s="56"/>
      <c r="G148" s="11">
        <f t="shared" ca="1" si="19"/>
        <v>0</v>
      </c>
      <c r="H148" s="8" t="str">
        <f t="shared" si="20"/>
        <v/>
      </c>
      <c r="K148" s="8" t="str">
        <f t="shared" si="21"/>
        <v/>
      </c>
      <c r="Q148" s="56"/>
      <c r="Z148" s="8" t="e">
        <f ca="1">_xll.BDP(B148 &amp;" Equity", "DVD_FREQ")</f>
        <v>#NAME?</v>
      </c>
      <c r="AA148" s="23">
        <f t="shared" si="22"/>
        <v>0</v>
      </c>
      <c r="AB148" s="206" t="e">
        <f ca="1">_xll.BDP(B148 &amp;" Equity", "EQY_DVD_YLD_IND_NET")</f>
        <v>#NAME?</v>
      </c>
    </row>
    <row r="149" spans="2:28" s="6" customFormat="1">
      <c r="B149" s="8"/>
      <c r="D149" s="8" t="e">
        <f ca="1">_xll.BDP(C149 &amp; " Equity","ID_ISIN",)</f>
        <v>#NAME?</v>
      </c>
      <c r="F149" s="56"/>
      <c r="G149" s="11">
        <f t="shared" ca="1" si="19"/>
        <v>0</v>
      </c>
      <c r="H149" s="8" t="str">
        <f t="shared" si="20"/>
        <v/>
      </c>
      <c r="K149" s="8" t="str">
        <f t="shared" si="21"/>
        <v/>
      </c>
      <c r="Q149" s="56"/>
      <c r="Z149" s="8" t="e">
        <f ca="1">_xll.BDP(B149 &amp;" Equity", "DVD_FREQ")</f>
        <v>#NAME?</v>
      </c>
      <c r="AA149" s="23">
        <f t="shared" si="22"/>
        <v>0</v>
      </c>
      <c r="AB149" s="206" t="e">
        <f ca="1">_xll.BDP(B149 &amp;" Equity", "EQY_DVD_YLD_IND_NET")</f>
        <v>#NAME?</v>
      </c>
    </row>
    <row r="150" spans="2:28" s="6" customFormat="1">
      <c r="B150" s="8"/>
      <c r="D150" s="8" t="e">
        <f ca="1">_xll.BDP(C150 &amp; " Equity","ID_ISIN",)</f>
        <v>#NAME?</v>
      </c>
      <c r="F150" s="56"/>
      <c r="G150" s="11">
        <f t="shared" ca="1" si="19"/>
        <v>0</v>
      </c>
      <c r="H150" s="8" t="str">
        <f t="shared" si="20"/>
        <v/>
      </c>
      <c r="K150" s="8" t="str">
        <f t="shared" si="21"/>
        <v/>
      </c>
      <c r="Q150" s="56"/>
      <c r="Z150" s="8" t="e">
        <f ca="1">_xll.BDP(B150 &amp;" Equity", "DVD_FREQ")</f>
        <v>#NAME?</v>
      </c>
      <c r="AA150" s="23">
        <f t="shared" si="22"/>
        <v>0</v>
      </c>
      <c r="AB150" s="206" t="e">
        <f ca="1">_xll.BDP(B150 &amp;" Equity", "EQY_DVD_YLD_IND_NET")</f>
        <v>#NAME?</v>
      </c>
    </row>
    <row r="151" spans="2:28" s="6" customFormat="1">
      <c r="B151" s="8"/>
      <c r="D151" s="8" t="e">
        <f ca="1">_xll.BDP(C151 &amp; " Equity","ID_ISIN",)</f>
        <v>#NAME?</v>
      </c>
      <c r="F151" s="56"/>
      <c r="G151" s="11">
        <f t="shared" ca="1" si="19"/>
        <v>0</v>
      </c>
      <c r="H151" s="8" t="str">
        <f t="shared" si="20"/>
        <v/>
      </c>
      <c r="K151" s="8" t="str">
        <f t="shared" si="21"/>
        <v/>
      </c>
      <c r="Q151" s="56"/>
      <c r="Z151" s="8" t="e">
        <f ca="1">_xll.BDP(B151 &amp;" Equity", "DVD_FREQ")</f>
        <v>#NAME?</v>
      </c>
      <c r="AA151" s="23">
        <f t="shared" si="22"/>
        <v>0</v>
      </c>
      <c r="AB151" s="206" t="e">
        <f ca="1">_xll.BDP(B151 &amp;" Equity", "EQY_DVD_YLD_IND_NET")</f>
        <v>#NAME?</v>
      </c>
    </row>
    <row r="152" spans="2:28" s="6" customFormat="1">
      <c r="B152" s="8"/>
      <c r="D152" s="8" t="e">
        <f ca="1">_xll.BDP(C152 &amp; " Equity","ID_ISIN",)</f>
        <v>#NAME?</v>
      </c>
      <c r="F152" s="56"/>
      <c r="G152" s="11">
        <f t="shared" ca="1" si="19"/>
        <v>0</v>
      </c>
      <c r="H152" s="8" t="str">
        <f t="shared" si="20"/>
        <v/>
      </c>
      <c r="K152" s="8" t="str">
        <f t="shared" si="21"/>
        <v/>
      </c>
      <c r="Q152" s="56"/>
      <c r="Z152" s="8" t="e">
        <f ca="1">_xll.BDP(B152 &amp;" Equity", "DVD_FREQ")</f>
        <v>#NAME?</v>
      </c>
      <c r="AA152" s="23">
        <f t="shared" si="22"/>
        <v>0</v>
      </c>
      <c r="AB152" s="206" t="e">
        <f ca="1">_xll.BDP(B152 &amp;" Equity", "EQY_DVD_YLD_IND_NET")</f>
        <v>#NAME?</v>
      </c>
    </row>
    <row r="153" spans="2:28" s="6" customFormat="1">
      <c r="B153" s="8"/>
      <c r="D153" s="8" t="e">
        <f ca="1">_xll.BDP(C153 &amp; " Equity","ID_ISIN",)</f>
        <v>#NAME?</v>
      </c>
      <c r="F153" s="56"/>
      <c r="G153" s="11">
        <f t="shared" ca="1" si="19"/>
        <v>0</v>
      </c>
      <c r="H153" s="8" t="str">
        <f t="shared" si="20"/>
        <v/>
      </c>
      <c r="K153" s="8" t="str">
        <f t="shared" si="21"/>
        <v/>
      </c>
      <c r="Q153" s="56"/>
      <c r="Z153" s="8" t="e">
        <f ca="1">_xll.BDP(B153 &amp;" Equity", "DVD_FREQ")</f>
        <v>#NAME?</v>
      </c>
      <c r="AA153" s="23">
        <f t="shared" si="22"/>
        <v>0</v>
      </c>
      <c r="AB153" s="206" t="e">
        <f ca="1">_xll.BDP(B153 &amp;" Equity", "EQY_DVD_YLD_IND_NET")</f>
        <v>#NAME?</v>
      </c>
    </row>
    <row r="154" spans="2:28" s="6" customFormat="1">
      <c r="B154" s="8"/>
      <c r="D154" s="8" t="e">
        <f ca="1">_xll.BDP(C154 &amp; " Equity","ID_ISIN",)</f>
        <v>#NAME?</v>
      </c>
      <c r="F154" s="56"/>
      <c r="G154" s="11">
        <f t="shared" ca="1" si="19"/>
        <v>0</v>
      </c>
      <c r="H154" s="8" t="str">
        <f t="shared" si="20"/>
        <v/>
      </c>
      <c r="K154" s="8" t="str">
        <f t="shared" si="21"/>
        <v/>
      </c>
      <c r="Q154" s="56"/>
      <c r="Z154" s="8" t="e">
        <f ca="1">_xll.BDP(B154 &amp;" Equity", "DVD_FREQ")</f>
        <v>#NAME?</v>
      </c>
      <c r="AA154" s="23">
        <f t="shared" si="22"/>
        <v>0</v>
      </c>
      <c r="AB154" s="206" t="e">
        <f ca="1">_xll.BDP(B154 &amp;" Equity", "EQY_DVD_YLD_IND_NET")</f>
        <v>#NAME?</v>
      </c>
    </row>
    <row r="155" spans="2:28" s="6" customFormat="1">
      <c r="B155" s="8"/>
      <c r="D155" s="8" t="e">
        <f ca="1">_xll.BDP(C155 &amp; " Equity","ID_ISIN",)</f>
        <v>#NAME?</v>
      </c>
      <c r="F155" s="56"/>
      <c r="G155" s="11">
        <f t="shared" ca="1" si="19"/>
        <v>0</v>
      </c>
      <c r="H155" s="8" t="str">
        <f t="shared" si="20"/>
        <v/>
      </c>
      <c r="K155" s="8" t="str">
        <f t="shared" si="21"/>
        <v/>
      </c>
      <c r="Q155" s="56"/>
      <c r="Z155" s="8" t="e">
        <f ca="1">_xll.BDP(B155 &amp;" Equity", "DVD_FREQ")</f>
        <v>#NAME?</v>
      </c>
      <c r="AA155" s="23">
        <f t="shared" si="22"/>
        <v>0</v>
      </c>
      <c r="AB155" s="206" t="e">
        <f ca="1">_xll.BDP(B155 &amp;" Equity", "EQY_DVD_YLD_IND_NET")</f>
        <v>#NAME?</v>
      </c>
    </row>
    <row r="156" spans="2:28" s="6" customFormat="1">
      <c r="B156" s="8"/>
      <c r="D156" s="8" t="e">
        <f ca="1">_xll.BDP(C156 &amp; " Equity","ID_ISIN",)</f>
        <v>#NAME?</v>
      </c>
      <c r="F156" s="56"/>
      <c r="G156" s="11">
        <f t="shared" ca="1" si="19"/>
        <v>0</v>
      </c>
      <c r="H156" s="8" t="str">
        <f t="shared" si="20"/>
        <v/>
      </c>
      <c r="K156" s="8" t="str">
        <f t="shared" si="21"/>
        <v/>
      </c>
      <c r="Q156" s="56"/>
      <c r="Z156" s="8" t="e">
        <f ca="1">_xll.BDP(B156 &amp;" Equity", "DVD_FREQ")</f>
        <v>#NAME?</v>
      </c>
      <c r="AA156" s="23">
        <f t="shared" si="22"/>
        <v>0</v>
      </c>
      <c r="AB156" s="206" t="e">
        <f ca="1">_xll.BDP(B156 &amp;" Equity", "EQY_DVD_YLD_IND_NET")</f>
        <v>#NAME?</v>
      </c>
    </row>
    <row r="157" spans="2:28" s="6" customFormat="1">
      <c r="B157" s="8"/>
      <c r="D157" s="8" t="e">
        <f ca="1">_xll.BDP(C157 &amp; " Equity","ID_ISIN",)</f>
        <v>#NAME?</v>
      </c>
      <c r="F157" s="56"/>
      <c r="G157" s="11">
        <f t="shared" ca="1" si="19"/>
        <v>0</v>
      </c>
      <c r="H157" s="8" t="str">
        <f t="shared" si="20"/>
        <v/>
      </c>
      <c r="K157" s="8" t="str">
        <f t="shared" si="21"/>
        <v/>
      </c>
      <c r="Q157" s="56"/>
      <c r="Z157" s="8" t="e">
        <f ca="1">_xll.BDP(B157 &amp;" Equity", "DVD_FREQ")</f>
        <v>#NAME?</v>
      </c>
      <c r="AA157" s="23">
        <f t="shared" si="22"/>
        <v>0</v>
      </c>
      <c r="AB157" s="206" t="e">
        <f ca="1">_xll.BDP(B157 &amp;" Equity", "EQY_DVD_YLD_IND_NET")</f>
        <v>#NAME?</v>
      </c>
    </row>
    <row r="158" spans="2:28" s="6" customFormat="1">
      <c r="B158" s="8"/>
      <c r="D158" s="8" t="e">
        <f ca="1">_xll.BDP(C158 &amp; " Equity","ID_ISIN",)</f>
        <v>#NAME?</v>
      </c>
      <c r="F158" s="56"/>
      <c r="G158" s="11">
        <f t="shared" ca="1" si="19"/>
        <v>0</v>
      </c>
      <c r="H158" s="8" t="str">
        <f t="shared" si="20"/>
        <v/>
      </c>
      <c r="K158" s="8" t="str">
        <f t="shared" si="21"/>
        <v/>
      </c>
      <c r="Q158" s="56"/>
      <c r="Z158" s="8" t="e">
        <f ca="1">_xll.BDP(B158 &amp;" Equity", "DVD_FREQ")</f>
        <v>#NAME?</v>
      </c>
      <c r="AA158" s="23">
        <f t="shared" si="22"/>
        <v>0</v>
      </c>
      <c r="AB158" s="206" t="e">
        <f ca="1">_xll.BDP(B158 &amp;" Equity", "EQY_DVD_YLD_IND_NET")</f>
        <v>#NAME?</v>
      </c>
    </row>
    <row r="159" spans="2:28" s="6" customFormat="1">
      <c r="B159" s="8"/>
      <c r="D159" s="8" t="e">
        <f ca="1">_xll.BDP(C159 &amp; " Equity","ID_ISIN",)</f>
        <v>#NAME?</v>
      </c>
      <c r="F159" s="56"/>
      <c r="G159" s="11">
        <f t="shared" ca="1" si="19"/>
        <v>0</v>
      </c>
      <c r="H159" s="8" t="str">
        <f t="shared" si="20"/>
        <v/>
      </c>
      <c r="K159" s="8" t="str">
        <f t="shared" si="21"/>
        <v/>
      </c>
      <c r="Q159" s="56"/>
      <c r="Z159" s="8" t="e">
        <f ca="1">_xll.BDP(B159 &amp;" Equity", "DVD_FREQ")</f>
        <v>#NAME?</v>
      </c>
      <c r="AA159" s="23">
        <f t="shared" si="22"/>
        <v>0</v>
      </c>
      <c r="AB159" s="206" t="e">
        <f ca="1">_xll.BDP(B159 &amp;" Equity", "EQY_DVD_YLD_IND_NET")</f>
        <v>#NAME?</v>
      </c>
    </row>
    <row r="160" spans="2:28" s="6" customFormat="1">
      <c r="B160" s="8"/>
      <c r="D160" s="8" t="e">
        <f ca="1">_xll.BDP(C160 &amp; " Equity","ID_ISIN",)</f>
        <v>#NAME?</v>
      </c>
      <c r="F160" s="56"/>
      <c r="G160" s="11">
        <f t="shared" ca="1" si="19"/>
        <v>0</v>
      </c>
      <c r="H160" s="8" t="str">
        <f t="shared" si="20"/>
        <v/>
      </c>
      <c r="K160" s="8" t="str">
        <f t="shared" si="21"/>
        <v/>
      </c>
      <c r="Q160" s="56"/>
      <c r="Z160" s="8" t="e">
        <f ca="1">_xll.BDP(B160 &amp;" Equity", "DVD_FREQ")</f>
        <v>#NAME?</v>
      </c>
      <c r="AA160" s="23">
        <f t="shared" si="22"/>
        <v>0</v>
      </c>
      <c r="AB160" s="206" t="e">
        <f ca="1">_xll.BDP(B160 &amp;" Equity", "EQY_DVD_YLD_IND_NET")</f>
        <v>#NAME?</v>
      </c>
    </row>
    <row r="161" spans="2:28" s="6" customFormat="1">
      <c r="B161" s="8"/>
      <c r="D161" s="8" t="e">
        <f ca="1">_xll.BDP(C161 &amp; " Equity","ID_ISIN",)</f>
        <v>#NAME?</v>
      </c>
      <c r="F161" s="56"/>
      <c r="G161" s="11">
        <f t="shared" ca="1" si="19"/>
        <v>0</v>
      </c>
      <c r="H161" s="8" t="str">
        <f t="shared" si="20"/>
        <v/>
      </c>
      <c r="K161" s="8" t="str">
        <f t="shared" si="21"/>
        <v/>
      </c>
      <c r="Q161" s="56"/>
      <c r="Z161" s="8" t="e">
        <f ca="1">_xll.BDP(B161 &amp;" Equity", "DVD_FREQ")</f>
        <v>#NAME?</v>
      </c>
      <c r="AA161" s="23">
        <f t="shared" si="22"/>
        <v>0</v>
      </c>
      <c r="AB161" s="206" t="e">
        <f ca="1">_xll.BDP(B161 &amp;" Equity", "EQY_DVD_YLD_IND_NET")</f>
        <v>#NAME?</v>
      </c>
    </row>
    <row r="162" spans="2:28" s="6" customFormat="1">
      <c r="B162" s="8"/>
      <c r="D162" s="8" t="e">
        <f ca="1">_xll.BDP(C162 &amp; " Equity","ID_ISIN",)</f>
        <v>#NAME?</v>
      </c>
      <c r="F162" s="56"/>
      <c r="G162" s="11">
        <f t="shared" ca="1" si="19"/>
        <v>0</v>
      </c>
      <c r="H162" s="8" t="str">
        <f t="shared" si="20"/>
        <v/>
      </c>
      <c r="K162" s="8" t="str">
        <f t="shared" si="21"/>
        <v/>
      </c>
      <c r="Q162" s="56"/>
      <c r="Z162" s="8" t="e">
        <f ca="1">_xll.BDP(B162 &amp;" Equity", "DVD_FREQ")</f>
        <v>#NAME?</v>
      </c>
      <c r="AA162" s="23">
        <f t="shared" si="22"/>
        <v>0</v>
      </c>
      <c r="AB162" s="206" t="e">
        <f ca="1">_xll.BDP(B162 &amp;" Equity", "EQY_DVD_YLD_IND_NET")</f>
        <v>#NAME?</v>
      </c>
    </row>
    <row r="163" spans="2:28" s="6" customFormat="1">
      <c r="B163" s="8"/>
      <c r="D163" s="8" t="e">
        <f ca="1">_xll.BDP(C163 &amp; " Equity","ID_ISIN",)</f>
        <v>#NAME?</v>
      </c>
      <c r="F163" s="56"/>
      <c r="G163" s="11">
        <f t="shared" ca="1" si="19"/>
        <v>0</v>
      </c>
      <c r="H163" s="8" t="str">
        <f t="shared" si="20"/>
        <v/>
      </c>
      <c r="K163" s="8" t="str">
        <f t="shared" si="21"/>
        <v/>
      </c>
      <c r="Q163" s="56"/>
      <c r="Z163" s="8" t="e">
        <f ca="1">_xll.BDP(B163 &amp;" Equity", "DVD_FREQ")</f>
        <v>#NAME?</v>
      </c>
      <c r="AA163" s="23">
        <f t="shared" si="22"/>
        <v>0</v>
      </c>
      <c r="AB163" s="206" t="e">
        <f ca="1">_xll.BDP(B163 &amp;" Equity", "EQY_DVD_YLD_IND_NET")</f>
        <v>#NAME?</v>
      </c>
    </row>
    <row r="164" spans="2:28" s="6" customFormat="1">
      <c r="B164" s="8"/>
      <c r="D164" s="8" t="e">
        <f ca="1">_xll.BDP(C164 &amp; " Equity","ID_ISIN",)</f>
        <v>#NAME?</v>
      </c>
      <c r="F164" s="56"/>
      <c r="G164" s="11">
        <f t="shared" ca="1" si="19"/>
        <v>0</v>
      </c>
      <c r="H164" s="8" t="str">
        <f t="shared" si="20"/>
        <v/>
      </c>
      <c r="K164" s="8" t="str">
        <f t="shared" si="21"/>
        <v/>
      </c>
      <c r="Q164" s="56"/>
      <c r="Z164" s="8" t="e">
        <f ca="1">_xll.BDP(B164 &amp;" Equity", "DVD_FREQ")</f>
        <v>#NAME?</v>
      </c>
      <c r="AA164" s="23">
        <f t="shared" si="22"/>
        <v>0</v>
      </c>
      <c r="AB164" s="206" t="e">
        <f ca="1">_xll.BDP(B164 &amp;" Equity", "EQY_DVD_YLD_IND_NET")</f>
        <v>#NAME?</v>
      </c>
    </row>
    <row r="165" spans="2:28" s="6" customFormat="1">
      <c r="B165" s="8"/>
      <c r="D165" s="8" t="e">
        <f ca="1">_xll.BDP(C165 &amp; " Equity","ID_ISIN",)</f>
        <v>#NAME?</v>
      </c>
      <c r="F165" s="56"/>
      <c r="G165" s="11">
        <f t="shared" ca="1" si="19"/>
        <v>0</v>
      </c>
      <c r="H165" s="8" t="str">
        <f t="shared" si="20"/>
        <v/>
      </c>
      <c r="K165" s="8" t="str">
        <f t="shared" si="21"/>
        <v/>
      </c>
      <c r="Q165" s="56"/>
      <c r="Z165" s="8" t="e">
        <f ca="1">_xll.BDP(B165 &amp;" Equity", "DVD_FREQ")</f>
        <v>#NAME?</v>
      </c>
      <c r="AA165" s="23">
        <f t="shared" si="22"/>
        <v>0</v>
      </c>
      <c r="AB165" s="206" t="e">
        <f ca="1">_xll.BDP(B165 &amp;" Equity", "EQY_DVD_YLD_IND_NET")</f>
        <v>#NAME?</v>
      </c>
    </row>
    <row r="166" spans="2:28" s="6" customFormat="1">
      <c r="B166" s="8"/>
      <c r="D166" s="8" t="e">
        <f ca="1">_xll.BDP(C166 &amp; " Equity","ID_ISIN",)</f>
        <v>#NAME?</v>
      </c>
      <c r="F166" s="56"/>
      <c r="G166" s="11">
        <f t="shared" ca="1" si="19"/>
        <v>0</v>
      </c>
      <c r="H166" s="8" t="str">
        <f t="shared" si="20"/>
        <v/>
      </c>
      <c r="K166" s="8" t="str">
        <f t="shared" si="21"/>
        <v/>
      </c>
      <c r="Q166" s="56"/>
      <c r="Z166" s="8" t="e">
        <f ca="1">_xll.BDP(B166 &amp;" Equity", "DVD_FREQ")</f>
        <v>#NAME?</v>
      </c>
      <c r="AA166" s="23">
        <f t="shared" si="22"/>
        <v>0</v>
      </c>
      <c r="AB166" s="206" t="e">
        <f ca="1">_xll.BDP(B166 &amp;" Equity", "EQY_DVD_YLD_IND_NET")</f>
        <v>#NAME?</v>
      </c>
    </row>
    <row r="167" spans="2:28" s="6" customFormat="1">
      <c r="B167" s="8"/>
      <c r="D167" s="8" t="e">
        <f ca="1">_xll.BDP(C167 &amp; " Equity","ID_ISIN",)</f>
        <v>#NAME?</v>
      </c>
      <c r="F167" s="56"/>
      <c r="G167" s="11">
        <f t="shared" ca="1" si="19"/>
        <v>0</v>
      </c>
      <c r="H167" s="8" t="str">
        <f t="shared" si="20"/>
        <v/>
      </c>
      <c r="K167" s="8" t="str">
        <f t="shared" si="21"/>
        <v/>
      </c>
      <c r="Q167" s="56"/>
      <c r="Z167" s="8" t="e">
        <f ca="1">_xll.BDP(B167 &amp;" Equity", "DVD_FREQ")</f>
        <v>#NAME?</v>
      </c>
      <c r="AA167" s="23">
        <f t="shared" si="22"/>
        <v>0</v>
      </c>
      <c r="AB167" s="206" t="e">
        <f ca="1">_xll.BDP(B167 &amp;" Equity", "EQY_DVD_YLD_IND_NET")</f>
        <v>#NAME?</v>
      </c>
    </row>
    <row r="168" spans="2:28" s="6" customFormat="1">
      <c r="B168" s="8"/>
      <c r="D168" s="8" t="e">
        <f ca="1">_xll.BDP(C168 &amp; " Equity","ID_ISIN",)</f>
        <v>#NAME?</v>
      </c>
      <c r="F168" s="56"/>
      <c r="G168" s="11">
        <f t="shared" ca="1" si="19"/>
        <v>0</v>
      </c>
      <c r="H168" s="8" t="str">
        <f t="shared" si="20"/>
        <v/>
      </c>
      <c r="K168" s="8" t="str">
        <f t="shared" si="21"/>
        <v/>
      </c>
      <c r="Q168" s="56"/>
      <c r="Z168" s="8" t="e">
        <f ca="1">_xll.BDP(B168 &amp;" Equity", "DVD_FREQ")</f>
        <v>#NAME?</v>
      </c>
      <c r="AA168" s="23">
        <f t="shared" si="22"/>
        <v>0</v>
      </c>
      <c r="AB168" s="206" t="e">
        <f ca="1">_xll.BDP(B168 &amp;" Equity", "EQY_DVD_YLD_IND_NET")</f>
        <v>#NAME?</v>
      </c>
    </row>
    <row r="169" spans="2:28" s="6" customFormat="1">
      <c r="B169" s="8"/>
      <c r="D169" s="8" t="e">
        <f ca="1">_xll.BDP(C169 &amp; " Equity","ID_ISIN",)</f>
        <v>#NAME?</v>
      </c>
      <c r="F169" s="56"/>
      <c r="G169" s="11">
        <f t="shared" ca="1" si="19"/>
        <v>0</v>
      </c>
      <c r="H169" s="8" t="str">
        <f t="shared" si="20"/>
        <v/>
      </c>
      <c r="K169" s="8" t="str">
        <f t="shared" si="21"/>
        <v/>
      </c>
      <c r="Q169" s="56"/>
      <c r="Z169" s="8" t="e">
        <f ca="1">_xll.BDP(B169 &amp;" Equity", "DVD_FREQ")</f>
        <v>#NAME?</v>
      </c>
      <c r="AA169" s="23">
        <f t="shared" si="22"/>
        <v>0</v>
      </c>
      <c r="AB169" s="206" t="e">
        <f ca="1">_xll.BDP(B169 &amp;" Equity", "EQY_DVD_YLD_IND_NET")</f>
        <v>#NAME?</v>
      </c>
    </row>
    <row r="170" spans="2:28" s="6" customFormat="1">
      <c r="B170" s="8"/>
      <c r="D170" s="8" t="e">
        <f ca="1">_xll.BDP(C170 &amp; " Equity","ID_ISIN",)</f>
        <v>#NAME?</v>
      </c>
      <c r="F170" s="56"/>
      <c r="G170" s="11">
        <f t="shared" ca="1" si="19"/>
        <v>0</v>
      </c>
      <c r="H170" s="8" t="str">
        <f t="shared" si="20"/>
        <v/>
      </c>
      <c r="K170" s="8" t="str">
        <f t="shared" si="21"/>
        <v/>
      </c>
      <c r="Q170" s="56"/>
      <c r="Z170" s="8" t="e">
        <f ca="1">_xll.BDP(B170 &amp;" Equity", "DVD_FREQ")</f>
        <v>#NAME?</v>
      </c>
      <c r="AA170" s="23">
        <f t="shared" si="22"/>
        <v>0</v>
      </c>
      <c r="AB170" s="206" t="e">
        <f ca="1">_xll.BDP(B170 &amp;" Equity", "EQY_DVD_YLD_IND_NET")</f>
        <v>#NAME?</v>
      </c>
    </row>
    <row r="171" spans="2:28" s="6" customFormat="1">
      <c r="B171" s="8"/>
      <c r="D171" s="8" t="e">
        <f ca="1">_xll.BDP(C171 &amp; " Equity","ID_ISIN",)</f>
        <v>#NAME?</v>
      </c>
      <c r="F171" s="56"/>
      <c r="G171" s="11">
        <f t="shared" ca="1" si="19"/>
        <v>0</v>
      </c>
      <c r="H171" s="8" t="str">
        <f t="shared" si="20"/>
        <v/>
      </c>
      <c r="K171" s="8" t="str">
        <f t="shared" si="21"/>
        <v/>
      </c>
      <c r="Q171" s="56"/>
      <c r="Z171" s="8" t="e">
        <f ca="1">_xll.BDP(B171 &amp;" Equity", "DVD_FREQ")</f>
        <v>#NAME?</v>
      </c>
      <c r="AA171" s="23">
        <f t="shared" si="22"/>
        <v>0</v>
      </c>
      <c r="AB171" s="206" t="e">
        <f ca="1">_xll.BDP(B171 &amp;" Equity", "EQY_DVD_YLD_IND_NET")</f>
        <v>#NAME?</v>
      </c>
    </row>
    <row r="172" spans="2:28" s="6" customFormat="1">
      <c r="B172" s="8"/>
      <c r="D172" s="8" t="e">
        <f ca="1">_xll.BDP(C172 &amp; " Equity","ID_ISIN",)</f>
        <v>#NAME?</v>
      </c>
      <c r="F172" s="56"/>
      <c r="G172" s="11">
        <f t="shared" ca="1" si="19"/>
        <v>0</v>
      </c>
      <c r="H172" s="8" t="str">
        <f t="shared" si="20"/>
        <v/>
      </c>
      <c r="K172" s="8" t="str">
        <f t="shared" si="21"/>
        <v/>
      </c>
      <c r="Q172" s="56"/>
      <c r="Z172" s="8" t="e">
        <f ca="1">_xll.BDP(B172 &amp;" Equity", "DVD_FREQ")</f>
        <v>#NAME?</v>
      </c>
      <c r="AA172" s="23">
        <f t="shared" si="22"/>
        <v>0</v>
      </c>
      <c r="AB172" s="206" t="e">
        <f ca="1">_xll.BDP(B172 &amp;" Equity", "EQY_DVD_YLD_IND_NET")</f>
        <v>#NAME?</v>
      </c>
    </row>
    <row r="173" spans="2:28" s="6" customFormat="1">
      <c r="B173" s="8"/>
      <c r="D173" s="8" t="e">
        <f ca="1">_xll.BDP(C173 &amp; " Equity","ID_ISIN",)</f>
        <v>#NAME?</v>
      </c>
      <c r="F173" s="56"/>
      <c r="G173" s="11">
        <f t="shared" ca="1" si="19"/>
        <v>0</v>
      </c>
      <c r="H173" s="8" t="str">
        <f t="shared" si="20"/>
        <v/>
      </c>
      <c r="K173" s="8" t="str">
        <f t="shared" si="21"/>
        <v/>
      </c>
      <c r="Q173" s="56"/>
      <c r="Z173" s="8" t="e">
        <f ca="1">_xll.BDP(B173 &amp;" Equity", "DVD_FREQ")</f>
        <v>#NAME?</v>
      </c>
      <c r="AA173" s="23">
        <f t="shared" si="22"/>
        <v>0</v>
      </c>
      <c r="AB173" s="206" t="e">
        <f ca="1">_xll.BDP(B173 &amp;" Equity", "EQY_DVD_YLD_IND_NET")</f>
        <v>#NAME?</v>
      </c>
    </row>
    <row r="174" spans="2:28" s="6" customFormat="1">
      <c r="B174" s="8"/>
      <c r="D174" s="8" t="e">
        <f ca="1">_xll.BDP(C174 &amp; " Equity","ID_ISIN",)</f>
        <v>#NAME?</v>
      </c>
      <c r="F174" s="56"/>
      <c r="G174" s="11">
        <f t="shared" ca="1" si="19"/>
        <v>0</v>
      </c>
      <c r="H174" s="8" t="str">
        <f t="shared" si="20"/>
        <v/>
      </c>
      <c r="K174" s="8" t="str">
        <f t="shared" si="21"/>
        <v/>
      </c>
      <c r="Q174" s="56"/>
      <c r="Z174" s="8" t="e">
        <f ca="1">_xll.BDP(B174 &amp;" Equity", "DVD_FREQ")</f>
        <v>#NAME?</v>
      </c>
      <c r="AA174" s="23">
        <f t="shared" si="22"/>
        <v>0</v>
      </c>
      <c r="AB174" s="206" t="e">
        <f ca="1">_xll.BDP(B174 &amp;" Equity", "EQY_DVD_YLD_IND_NET")</f>
        <v>#NAME?</v>
      </c>
    </row>
    <row r="175" spans="2:28" s="6" customFormat="1">
      <c r="B175" s="8"/>
      <c r="D175" s="8" t="e">
        <f ca="1">_xll.BDP(C175 &amp; " Equity","ID_ISIN",)</f>
        <v>#NAME?</v>
      </c>
      <c r="F175" s="56"/>
      <c r="G175" s="11">
        <f t="shared" ca="1" si="19"/>
        <v>0</v>
      </c>
      <c r="H175" s="8" t="str">
        <f t="shared" si="20"/>
        <v/>
      </c>
      <c r="K175" s="8" t="str">
        <f t="shared" si="21"/>
        <v/>
      </c>
      <c r="Q175" s="56"/>
      <c r="Z175" s="8" t="e">
        <f ca="1">_xll.BDP(B175 &amp;" Equity", "DVD_FREQ")</f>
        <v>#NAME?</v>
      </c>
      <c r="AA175" s="23">
        <f t="shared" si="22"/>
        <v>0</v>
      </c>
      <c r="AB175" s="206" t="e">
        <f ca="1">_xll.BDP(B175 &amp;" Equity", "EQY_DVD_YLD_IND_NET")</f>
        <v>#NAME?</v>
      </c>
    </row>
    <row r="176" spans="2:28" s="6" customFormat="1">
      <c r="B176" s="8"/>
      <c r="D176" s="8" t="e">
        <f ca="1">_xll.BDP(C176 &amp; " Equity","ID_ISIN",)</f>
        <v>#NAME?</v>
      </c>
      <c r="F176" s="56"/>
      <c r="G176" s="11">
        <f t="shared" ca="1" si="19"/>
        <v>0</v>
      </c>
      <c r="H176" s="8" t="str">
        <f t="shared" si="20"/>
        <v/>
      </c>
      <c r="K176" s="8" t="str">
        <f t="shared" si="21"/>
        <v/>
      </c>
      <c r="Q176" s="56"/>
      <c r="Z176" s="8" t="e">
        <f ca="1">_xll.BDP(B176 &amp;" Equity", "DVD_FREQ")</f>
        <v>#NAME?</v>
      </c>
      <c r="AA176" s="23">
        <f t="shared" si="22"/>
        <v>0</v>
      </c>
      <c r="AB176" s="206" t="e">
        <f ca="1">_xll.BDP(B176 &amp;" Equity", "EQY_DVD_YLD_IND_NET")</f>
        <v>#NAME?</v>
      </c>
    </row>
    <row r="177" spans="2:28" s="6" customFormat="1">
      <c r="B177" s="8"/>
      <c r="D177" s="8" t="e">
        <f ca="1">_xll.BDP(C177 &amp; " Equity","ID_ISIN",)</f>
        <v>#NAME?</v>
      </c>
      <c r="F177" s="56"/>
      <c r="G177" s="11">
        <f t="shared" ca="1" si="19"/>
        <v>0</v>
      </c>
      <c r="H177" s="8" t="str">
        <f t="shared" si="20"/>
        <v/>
      </c>
      <c r="K177" s="8" t="str">
        <f t="shared" si="21"/>
        <v/>
      </c>
      <c r="Q177" s="56"/>
      <c r="Z177" s="8" t="e">
        <f ca="1">_xll.BDP(B177 &amp;" Equity", "DVD_FREQ")</f>
        <v>#NAME?</v>
      </c>
      <c r="AA177" s="23">
        <f t="shared" si="22"/>
        <v>0</v>
      </c>
      <c r="AB177" s="206" t="e">
        <f ca="1">_xll.BDP(B177 &amp;" Equity", "EQY_DVD_YLD_IND_NET")</f>
        <v>#NAME?</v>
      </c>
    </row>
    <row r="178" spans="2:28" s="6" customFormat="1">
      <c r="B178" s="8"/>
      <c r="D178" s="8" t="e">
        <f ca="1">_xll.BDP(C178 &amp; " Equity","ID_ISIN",)</f>
        <v>#NAME?</v>
      </c>
      <c r="F178" s="56"/>
      <c r="G178" s="11">
        <f t="shared" ca="1" si="19"/>
        <v>0</v>
      </c>
      <c r="H178" s="8" t="str">
        <f t="shared" si="20"/>
        <v/>
      </c>
      <c r="K178" s="8" t="str">
        <f t="shared" si="21"/>
        <v/>
      </c>
      <c r="Q178" s="56"/>
      <c r="Z178" s="8" t="e">
        <f ca="1">_xll.BDP(B178 &amp;" Equity", "DVD_FREQ")</f>
        <v>#NAME?</v>
      </c>
      <c r="AA178" s="23">
        <f t="shared" si="22"/>
        <v>0</v>
      </c>
      <c r="AB178" s="206" t="e">
        <f ca="1">_xll.BDP(B178 &amp;" Equity", "EQY_DVD_YLD_IND_NET")</f>
        <v>#NAME?</v>
      </c>
    </row>
    <row r="179" spans="2:28" s="6" customFormat="1">
      <c r="B179" s="8"/>
      <c r="D179" s="8" t="e">
        <f ca="1">_xll.BDP(C179 &amp; " Equity","ID_ISIN",)</f>
        <v>#NAME?</v>
      </c>
      <c r="F179" s="56"/>
      <c r="G179" s="11">
        <f t="shared" ca="1" si="19"/>
        <v>0</v>
      </c>
      <c r="H179" s="8" t="str">
        <f t="shared" si="20"/>
        <v/>
      </c>
      <c r="K179" s="8" t="str">
        <f t="shared" si="21"/>
        <v/>
      </c>
      <c r="Q179" s="56"/>
      <c r="Z179" s="8" t="e">
        <f ca="1">_xll.BDP(B179 &amp;" Equity", "DVD_FREQ")</f>
        <v>#NAME?</v>
      </c>
      <c r="AA179" s="23">
        <f t="shared" si="22"/>
        <v>0</v>
      </c>
      <c r="AB179" s="206" t="e">
        <f ca="1">_xll.BDP(B179 &amp;" Equity", "EQY_DVD_YLD_IND_NET")</f>
        <v>#NAME?</v>
      </c>
    </row>
    <row r="180" spans="2:28" s="6" customFormat="1">
      <c r="B180" s="8"/>
      <c r="D180" s="8" t="e">
        <f ca="1">_xll.BDP(C180 &amp; " Equity","ID_ISIN",)</f>
        <v>#NAME?</v>
      </c>
      <c r="F180" s="56"/>
      <c r="G180" s="11">
        <f t="shared" ca="1" si="19"/>
        <v>0</v>
      </c>
      <c r="H180" s="8" t="str">
        <f t="shared" si="20"/>
        <v/>
      </c>
      <c r="K180" s="8" t="str">
        <f t="shared" si="21"/>
        <v/>
      </c>
      <c r="Q180" s="56"/>
      <c r="Z180" s="8" t="e">
        <f ca="1">_xll.BDP(B180 &amp;" Equity", "DVD_FREQ")</f>
        <v>#NAME?</v>
      </c>
      <c r="AA180" s="23">
        <f t="shared" si="22"/>
        <v>0</v>
      </c>
      <c r="AB180" s="206" t="e">
        <f ca="1">_xll.BDP(B180 &amp;" Equity", "EQY_DVD_YLD_IND_NET")</f>
        <v>#NAME?</v>
      </c>
    </row>
    <row r="181" spans="2:28" s="6" customFormat="1">
      <c r="B181" s="8"/>
      <c r="D181" s="8" t="e">
        <f ca="1">_xll.BDP(C181 &amp; " Equity","ID_ISIN",)</f>
        <v>#NAME?</v>
      </c>
      <c r="F181" s="56"/>
      <c r="G181" s="11">
        <f t="shared" ca="1" si="19"/>
        <v>0</v>
      </c>
      <c r="H181" s="8" t="str">
        <f t="shared" si="20"/>
        <v/>
      </c>
      <c r="K181" s="8" t="str">
        <f t="shared" si="21"/>
        <v/>
      </c>
      <c r="Q181" s="56"/>
      <c r="Z181" s="8" t="e">
        <f ca="1">_xll.BDP(B181 &amp;" Equity", "DVD_FREQ")</f>
        <v>#NAME?</v>
      </c>
      <c r="AA181" s="23">
        <f t="shared" si="22"/>
        <v>0</v>
      </c>
      <c r="AB181" s="206" t="e">
        <f ca="1">_xll.BDP(B181 &amp;" Equity", "EQY_DVD_YLD_IND_NET")</f>
        <v>#NAME?</v>
      </c>
    </row>
    <row r="182" spans="2:28" s="6" customFormat="1">
      <c r="B182" s="8"/>
      <c r="D182" s="8" t="e">
        <f ca="1">_xll.BDP(C182 &amp; " Equity","ID_ISIN",)</f>
        <v>#NAME?</v>
      </c>
      <c r="F182" s="56"/>
      <c r="G182" s="11">
        <f t="shared" ca="1" si="19"/>
        <v>0</v>
      </c>
      <c r="H182" s="8" t="str">
        <f t="shared" si="20"/>
        <v/>
      </c>
      <c r="K182" s="8" t="str">
        <f t="shared" si="21"/>
        <v/>
      </c>
      <c r="Q182" s="56"/>
      <c r="Z182" s="8" t="e">
        <f ca="1">_xll.BDP(B182 &amp;" Equity", "DVD_FREQ")</f>
        <v>#NAME?</v>
      </c>
      <c r="AA182" s="23">
        <f t="shared" si="22"/>
        <v>0</v>
      </c>
      <c r="AB182" s="206" t="e">
        <f ca="1">_xll.BDP(B182 &amp;" Equity", "EQY_DVD_YLD_IND_NET")</f>
        <v>#NAME?</v>
      </c>
    </row>
    <row r="183" spans="2:28" s="6" customFormat="1">
      <c r="B183" s="8"/>
      <c r="D183" s="8" t="e">
        <f ca="1">_xll.BDP(C183 &amp; " Equity","ID_ISIN",)</f>
        <v>#NAME?</v>
      </c>
      <c r="F183" s="56"/>
      <c r="G183" s="11">
        <f t="shared" ca="1" si="19"/>
        <v>0</v>
      </c>
      <c r="H183" s="8" t="str">
        <f t="shared" si="20"/>
        <v/>
      </c>
      <c r="K183" s="8" t="str">
        <f t="shared" si="21"/>
        <v/>
      </c>
      <c r="Q183" s="56"/>
      <c r="Z183" s="8" t="e">
        <f ca="1">_xll.BDP(B183 &amp;" Equity", "DVD_FREQ")</f>
        <v>#NAME?</v>
      </c>
      <c r="AA183" s="23">
        <f t="shared" si="22"/>
        <v>0</v>
      </c>
      <c r="AB183" s="206" t="e">
        <f ca="1">_xll.BDP(B183 &amp;" Equity", "EQY_DVD_YLD_IND_NET")</f>
        <v>#NAME?</v>
      </c>
    </row>
    <row r="184" spans="2:28" s="6" customFormat="1">
      <c r="B184" s="8"/>
      <c r="D184" s="8" t="e">
        <f ca="1">_xll.BDP(C184 &amp; " Equity","ID_ISIN",)</f>
        <v>#NAME?</v>
      </c>
      <c r="F184" s="56"/>
      <c r="G184" s="11">
        <f t="shared" ca="1" si="19"/>
        <v>0</v>
      </c>
      <c r="H184" s="8" t="str">
        <f t="shared" si="20"/>
        <v/>
      </c>
      <c r="K184" s="8" t="str">
        <f t="shared" si="21"/>
        <v/>
      </c>
      <c r="Q184" s="56"/>
      <c r="Z184" s="8" t="e">
        <f ca="1">_xll.BDP(B184 &amp;" Equity", "DVD_FREQ")</f>
        <v>#NAME?</v>
      </c>
      <c r="AA184" s="23">
        <f t="shared" si="22"/>
        <v>0</v>
      </c>
      <c r="AB184" s="206" t="e">
        <f ca="1">_xll.BDP(B184 &amp;" Equity", "EQY_DVD_YLD_IND_NET")</f>
        <v>#NAME?</v>
      </c>
    </row>
    <row r="185" spans="2:28" s="6" customFormat="1">
      <c r="B185" s="8"/>
      <c r="D185" s="8" t="e">
        <f ca="1">_xll.BDP(C185 &amp; " Equity","ID_ISIN",)</f>
        <v>#NAME?</v>
      </c>
      <c r="F185" s="56"/>
      <c r="G185" s="11">
        <f t="shared" ca="1" si="19"/>
        <v>0</v>
      </c>
      <c r="H185" s="8" t="str">
        <f t="shared" si="20"/>
        <v/>
      </c>
      <c r="K185" s="8" t="str">
        <f t="shared" si="21"/>
        <v/>
      </c>
      <c r="Q185" s="56"/>
      <c r="Z185" s="8" t="e">
        <f ca="1">_xll.BDP(B185 &amp;" Equity", "DVD_FREQ")</f>
        <v>#NAME?</v>
      </c>
      <c r="AA185" s="23">
        <f t="shared" si="22"/>
        <v>0</v>
      </c>
      <c r="AB185" s="206" t="e">
        <f ca="1">_xll.BDP(B185 &amp;" Equity", "EQY_DVD_YLD_IND_NET")</f>
        <v>#NAME?</v>
      </c>
    </row>
    <row r="186" spans="2:28" s="6" customFormat="1">
      <c r="B186" s="8"/>
      <c r="D186" s="8" t="e">
        <f ca="1">_xll.BDP(C186 &amp; " Equity","ID_ISIN",)</f>
        <v>#NAME?</v>
      </c>
      <c r="F186" s="56"/>
      <c r="G186" s="11">
        <f t="shared" ca="1" si="19"/>
        <v>0</v>
      </c>
      <c r="H186" s="8" t="str">
        <f t="shared" si="20"/>
        <v/>
      </c>
      <c r="K186" s="8" t="str">
        <f t="shared" si="21"/>
        <v/>
      </c>
      <c r="Q186" s="56"/>
      <c r="Z186" s="8" t="e">
        <f ca="1">_xll.BDP(B186 &amp;" Equity", "DVD_FREQ")</f>
        <v>#NAME?</v>
      </c>
      <c r="AA186" s="23">
        <f t="shared" si="22"/>
        <v>0</v>
      </c>
      <c r="AB186" s="206" t="e">
        <f ca="1">_xll.BDP(B186 &amp;" Equity", "EQY_DVD_YLD_IND_NET")</f>
        <v>#NAME?</v>
      </c>
    </row>
    <row r="187" spans="2:28" s="6" customFormat="1">
      <c r="B187" s="8"/>
      <c r="D187" s="8" t="e">
        <f ca="1">_xll.BDP(C187 &amp; " Equity","ID_ISIN",)</f>
        <v>#NAME?</v>
      </c>
      <c r="F187" s="56"/>
      <c r="G187" s="11">
        <f t="shared" ca="1" si="19"/>
        <v>0</v>
      </c>
      <c r="H187" s="8" t="str">
        <f t="shared" si="20"/>
        <v/>
      </c>
      <c r="K187" s="8" t="str">
        <f t="shared" si="21"/>
        <v/>
      </c>
      <c r="Q187" s="56"/>
      <c r="Z187" s="8" t="e">
        <f ca="1">_xll.BDP(B187 &amp;" Equity", "DVD_FREQ")</f>
        <v>#NAME?</v>
      </c>
      <c r="AA187" s="23">
        <f t="shared" si="22"/>
        <v>0</v>
      </c>
      <c r="AB187" s="206" t="e">
        <f ca="1">_xll.BDP(B187 &amp;" Equity", "EQY_DVD_YLD_IND_NET")</f>
        <v>#NAME?</v>
      </c>
    </row>
    <row r="188" spans="2:28" s="6" customFormat="1">
      <c r="B188" s="8"/>
      <c r="D188" s="8" t="e">
        <f ca="1">_xll.BDP(C188 &amp; " Equity","ID_ISIN",)</f>
        <v>#NAME?</v>
      </c>
      <c r="F188" s="56"/>
      <c r="G188" s="11">
        <f t="shared" ca="1" si="19"/>
        <v>0</v>
      </c>
      <c r="H188" s="8" t="str">
        <f t="shared" si="20"/>
        <v/>
      </c>
      <c r="K188" s="8" t="str">
        <f t="shared" si="21"/>
        <v/>
      </c>
      <c r="Q188" s="56"/>
      <c r="Z188" s="8" t="e">
        <f ca="1">_xll.BDP(B188 &amp;" Equity", "DVD_FREQ")</f>
        <v>#NAME?</v>
      </c>
      <c r="AA188" s="23">
        <f t="shared" si="22"/>
        <v>0</v>
      </c>
      <c r="AB188" s="206" t="e">
        <f ca="1">_xll.BDP(B188 &amp;" Equity", "EQY_DVD_YLD_IND_NET")</f>
        <v>#NAME?</v>
      </c>
    </row>
    <row r="189" spans="2:28" s="6" customFormat="1">
      <c r="B189" s="8"/>
      <c r="D189" s="8" t="e">
        <f ca="1">_xll.BDP(C189 &amp; " Equity","ID_ISIN",)</f>
        <v>#NAME?</v>
      </c>
      <c r="F189" s="56"/>
      <c r="G189" s="11">
        <f t="shared" ca="1" si="19"/>
        <v>0</v>
      </c>
      <c r="H189" s="8" t="str">
        <f t="shared" si="20"/>
        <v/>
      </c>
      <c r="K189" s="8" t="str">
        <f t="shared" si="21"/>
        <v/>
      </c>
      <c r="Q189" s="56"/>
      <c r="Z189" s="8" t="e">
        <f ca="1">_xll.BDP(B189 &amp;" Equity", "DVD_FREQ")</f>
        <v>#NAME?</v>
      </c>
      <c r="AA189" s="23">
        <f t="shared" si="22"/>
        <v>0</v>
      </c>
      <c r="AB189" s="206" t="e">
        <f ca="1">_xll.BDP(B189 &amp;" Equity", "EQY_DVD_YLD_IND_NET")</f>
        <v>#NAME?</v>
      </c>
    </row>
    <row r="190" spans="2:28" s="6" customFormat="1">
      <c r="B190" s="8"/>
      <c r="D190" s="8" t="e">
        <f ca="1">_xll.BDP(C190 &amp; " Equity","ID_ISIN",)</f>
        <v>#NAME?</v>
      </c>
      <c r="F190" s="56"/>
      <c r="G190" s="11">
        <f t="shared" ca="1" si="19"/>
        <v>0</v>
      </c>
      <c r="H190" s="8" t="str">
        <f t="shared" si="20"/>
        <v/>
      </c>
      <c r="K190" s="8" t="str">
        <f t="shared" si="21"/>
        <v/>
      </c>
      <c r="Q190" s="56"/>
      <c r="Z190" s="8" t="e">
        <f ca="1">_xll.BDP(B190 &amp;" Equity", "DVD_FREQ")</f>
        <v>#NAME?</v>
      </c>
      <c r="AA190" s="23">
        <f t="shared" si="22"/>
        <v>0</v>
      </c>
      <c r="AB190" s="206" t="e">
        <f ca="1">_xll.BDP(B190 &amp;" Equity", "EQY_DVD_YLD_IND_NET")</f>
        <v>#NAME?</v>
      </c>
    </row>
    <row r="191" spans="2:28" s="6" customFormat="1">
      <c r="B191" s="8"/>
      <c r="D191" s="8" t="e">
        <f ca="1">_xll.BDP(C191 &amp; " Equity","ID_ISIN",)</f>
        <v>#NAME?</v>
      </c>
      <c r="F191" s="56"/>
      <c r="G191" s="11">
        <f t="shared" ca="1" si="19"/>
        <v>0</v>
      </c>
      <c r="H191" s="8" t="str">
        <f t="shared" si="20"/>
        <v/>
      </c>
      <c r="K191" s="8" t="str">
        <f t="shared" si="21"/>
        <v/>
      </c>
      <c r="Q191" s="56"/>
      <c r="Z191" s="8" t="e">
        <f ca="1">_xll.BDP(B191 &amp;" Equity", "DVD_FREQ")</f>
        <v>#NAME?</v>
      </c>
      <c r="AA191" s="23">
        <f t="shared" si="22"/>
        <v>0</v>
      </c>
      <c r="AB191" s="206" t="e">
        <f ca="1">_xll.BDP(B191 &amp;" Equity", "EQY_DVD_YLD_IND_NET")</f>
        <v>#NAME?</v>
      </c>
    </row>
    <row r="192" spans="2:28" s="6" customFormat="1">
      <c r="B192" s="8"/>
      <c r="D192" s="8" t="e">
        <f ca="1">_xll.BDP(C192 &amp; " Equity","ID_ISIN",)</f>
        <v>#NAME?</v>
      </c>
      <c r="F192" s="56"/>
      <c r="G192" s="11">
        <f t="shared" ca="1" si="19"/>
        <v>0</v>
      </c>
      <c r="H192" s="8" t="str">
        <f t="shared" si="20"/>
        <v/>
      </c>
      <c r="K192" s="8" t="str">
        <f t="shared" si="21"/>
        <v/>
      </c>
      <c r="Q192" s="56"/>
      <c r="Z192" s="8" t="e">
        <f ca="1">_xll.BDP(B192 &amp;" Equity", "DVD_FREQ")</f>
        <v>#NAME?</v>
      </c>
      <c r="AA192" s="23">
        <f t="shared" si="22"/>
        <v>0</v>
      </c>
      <c r="AB192" s="206" t="e">
        <f ca="1">_xll.BDP(B192 &amp;" Equity", "EQY_DVD_YLD_IND_NET")</f>
        <v>#NAME?</v>
      </c>
    </row>
    <row r="193" spans="2:28" s="6" customFormat="1">
      <c r="B193" s="8"/>
      <c r="D193" s="8" t="e">
        <f ca="1">_xll.BDP(C193 &amp; " Equity","ID_ISIN",)</f>
        <v>#NAME?</v>
      </c>
      <c r="F193" s="56"/>
      <c r="G193" s="11">
        <f t="shared" ca="1" si="19"/>
        <v>0</v>
      </c>
      <c r="H193" s="8" t="str">
        <f t="shared" si="20"/>
        <v/>
      </c>
      <c r="K193" s="8" t="str">
        <f t="shared" si="21"/>
        <v/>
      </c>
      <c r="Q193" s="56"/>
      <c r="Z193" s="8" t="e">
        <f ca="1">_xll.BDP(B193 &amp;" Equity", "DVD_FREQ")</f>
        <v>#NAME?</v>
      </c>
      <c r="AA193" s="23">
        <f t="shared" si="22"/>
        <v>0</v>
      </c>
      <c r="AB193" s="206" t="e">
        <f ca="1">_xll.BDP(B193 &amp;" Equity", "EQY_DVD_YLD_IND_NET")</f>
        <v>#NAME?</v>
      </c>
    </row>
    <row r="194" spans="2:28" s="6" customFormat="1">
      <c r="B194" s="8"/>
      <c r="D194" s="8" t="e">
        <f ca="1">_xll.BDP(C194 &amp; " Equity","ID_ISIN",)</f>
        <v>#NAME?</v>
      </c>
      <c r="F194" s="56"/>
      <c r="G194" s="11">
        <f t="shared" ca="1" si="19"/>
        <v>0</v>
      </c>
      <c r="H194" s="8" t="str">
        <f t="shared" si="20"/>
        <v/>
      </c>
      <c r="K194" s="8" t="str">
        <f t="shared" si="21"/>
        <v/>
      </c>
      <c r="Q194" s="56"/>
      <c r="Z194" s="8" t="e">
        <f ca="1">_xll.BDP(B194 &amp;" Equity", "DVD_FREQ")</f>
        <v>#NAME?</v>
      </c>
      <c r="AA194" s="23">
        <f t="shared" si="22"/>
        <v>0</v>
      </c>
      <c r="AB194" s="206" t="e">
        <f ca="1">_xll.BDP(B194 &amp;" Equity", "EQY_DVD_YLD_IND_NET")</f>
        <v>#NAME?</v>
      </c>
    </row>
    <row r="195" spans="2:28" s="6" customFormat="1">
      <c r="B195" s="8"/>
      <c r="D195" s="8" t="e">
        <f ca="1">_xll.BDP(C195 &amp; " Equity","ID_ISIN",)</f>
        <v>#NAME?</v>
      </c>
      <c r="F195" s="56"/>
      <c r="G195" s="11">
        <f t="shared" ca="1" si="19"/>
        <v>0</v>
      </c>
      <c r="H195" s="8" t="str">
        <f t="shared" si="20"/>
        <v/>
      </c>
      <c r="K195" s="8" t="str">
        <f t="shared" si="21"/>
        <v/>
      </c>
      <c r="Q195" s="56"/>
      <c r="Z195" s="8" t="e">
        <f ca="1">_xll.BDP(B195 &amp;" Equity", "DVD_FREQ")</f>
        <v>#NAME?</v>
      </c>
      <c r="AA195" s="23">
        <f t="shared" si="22"/>
        <v>0</v>
      </c>
      <c r="AB195" s="206" t="e">
        <f ca="1">_xll.BDP(B195 &amp;" Equity", "EQY_DVD_YLD_IND_NET")</f>
        <v>#NAME?</v>
      </c>
    </row>
    <row r="196" spans="2:28" s="6" customFormat="1">
      <c r="B196" s="8"/>
      <c r="D196" s="8" t="e">
        <f ca="1">_xll.BDP(C196 &amp; " Equity","ID_ISIN",)</f>
        <v>#NAME?</v>
      </c>
      <c r="F196" s="56"/>
      <c r="G196" s="11">
        <f t="shared" ca="1" si="19"/>
        <v>0</v>
      </c>
      <c r="H196" s="8" t="str">
        <f t="shared" si="20"/>
        <v/>
      </c>
      <c r="K196" s="8" t="str">
        <f t="shared" si="21"/>
        <v/>
      </c>
      <c r="Q196" s="56"/>
      <c r="Z196" s="8" t="e">
        <f ca="1">_xll.BDP(B196 &amp;" Equity", "DVD_FREQ")</f>
        <v>#NAME?</v>
      </c>
      <c r="AA196" s="23">
        <f t="shared" si="22"/>
        <v>0</v>
      </c>
      <c r="AB196" s="206" t="e">
        <f ca="1">_xll.BDP(B196 &amp;" Equity", "EQY_DVD_YLD_IND_NET")</f>
        <v>#NAME?</v>
      </c>
    </row>
    <row r="197" spans="2:28" s="6" customFormat="1">
      <c r="B197" s="8"/>
      <c r="D197" s="8" t="e">
        <f ca="1">_xll.BDP(C197 &amp; " Equity","ID_ISIN",)</f>
        <v>#NAME?</v>
      </c>
      <c r="F197" s="56"/>
      <c r="G197" s="11">
        <f t="shared" ca="1" si="19"/>
        <v>0</v>
      </c>
      <c r="H197" s="8" t="str">
        <f t="shared" si="20"/>
        <v/>
      </c>
      <c r="K197" s="8" t="str">
        <f t="shared" si="21"/>
        <v/>
      </c>
      <c r="Q197" s="56"/>
      <c r="Z197" s="8" t="e">
        <f ca="1">_xll.BDP(B197 &amp;" Equity", "DVD_FREQ")</f>
        <v>#NAME?</v>
      </c>
      <c r="AA197" s="23">
        <f t="shared" si="22"/>
        <v>0</v>
      </c>
      <c r="AB197" s="206" t="e">
        <f ca="1">_xll.BDP(B197 &amp;" Equity", "EQY_DVD_YLD_IND_NET")</f>
        <v>#NAME?</v>
      </c>
    </row>
    <row r="198" spans="2:28" s="6" customFormat="1">
      <c r="B198" s="8"/>
      <c r="D198" s="8" t="e">
        <f ca="1">_xll.BDP(C198 &amp; " Equity","ID_ISIN",)</f>
        <v>#NAME?</v>
      </c>
      <c r="F198" s="56"/>
      <c r="G198" s="11">
        <f t="shared" ca="1" si="19"/>
        <v>0</v>
      </c>
      <c r="H198" s="8" t="str">
        <f t="shared" si="20"/>
        <v/>
      </c>
      <c r="K198" s="8" t="str">
        <f t="shared" si="21"/>
        <v/>
      </c>
      <c r="Q198" s="56"/>
      <c r="Z198" s="8" t="e">
        <f ca="1">_xll.BDP(B198 &amp;" Equity", "DVD_FREQ")</f>
        <v>#NAME?</v>
      </c>
      <c r="AA198" s="23">
        <f t="shared" si="22"/>
        <v>0</v>
      </c>
      <c r="AB198" s="206" t="e">
        <f ca="1">_xll.BDP(B198 &amp;" Equity", "EQY_DVD_YLD_IND_NET")</f>
        <v>#NAME?</v>
      </c>
    </row>
    <row r="199" spans="2:28" s="6" customFormat="1">
      <c r="B199" s="8"/>
      <c r="D199" s="8" t="e">
        <f ca="1">_xll.BDP(C199 &amp; " Equity","ID_ISIN",)</f>
        <v>#NAME?</v>
      </c>
      <c r="F199" s="56"/>
      <c r="G199" s="11">
        <f t="shared" ca="1" si="19"/>
        <v>0</v>
      </c>
      <c r="H199" s="8" t="str">
        <f t="shared" si="20"/>
        <v/>
      </c>
      <c r="K199" s="8" t="str">
        <f t="shared" si="21"/>
        <v/>
      </c>
      <c r="Q199" s="56"/>
      <c r="Z199" s="8" t="e">
        <f ca="1">_xll.BDP(B199 &amp;" Equity", "DVD_FREQ")</f>
        <v>#NAME?</v>
      </c>
      <c r="AA199" s="23">
        <f t="shared" si="22"/>
        <v>0</v>
      </c>
      <c r="AB199" s="206" t="e">
        <f ca="1">_xll.BDP(B199 &amp;" Equity", "EQY_DVD_YLD_IND_NET")</f>
        <v>#NAME?</v>
      </c>
    </row>
    <row r="200" spans="2:28" s="6" customFormat="1">
      <c r="B200" s="8"/>
      <c r="D200" s="8" t="e">
        <f ca="1">_xll.BDP(C200 &amp; " Equity","ID_ISIN",)</f>
        <v>#NAME?</v>
      </c>
      <c r="F200" s="56"/>
      <c r="G200" s="11">
        <f t="shared" ca="1" si="19"/>
        <v>0</v>
      </c>
      <c r="H200" s="8" t="str">
        <f t="shared" si="20"/>
        <v/>
      </c>
      <c r="K200" s="8" t="str">
        <f t="shared" si="21"/>
        <v/>
      </c>
      <c r="Q200" s="56"/>
      <c r="Z200" s="8" t="e">
        <f ca="1">_xll.BDP(B200 &amp;" Equity", "DVD_FREQ")</f>
        <v>#NAME?</v>
      </c>
      <c r="AA200" s="23">
        <f t="shared" si="22"/>
        <v>0</v>
      </c>
      <c r="AB200" s="206" t="e">
        <f ca="1">_xll.BDP(B200 &amp;" Equity", "EQY_DVD_YLD_IND_NET")</f>
        <v>#NAME?</v>
      </c>
    </row>
    <row r="201" spans="2:28" s="6" customFormat="1">
      <c r="B201" s="8"/>
      <c r="D201" s="8" t="e">
        <f ca="1">_xll.BDP(C201 &amp; " Equity","ID_ISIN",)</f>
        <v>#NAME?</v>
      </c>
      <c r="F201" s="56"/>
      <c r="G201" s="11">
        <f t="shared" ca="1" si="19"/>
        <v>0</v>
      </c>
      <c r="H201" s="8" t="str">
        <f t="shared" si="20"/>
        <v/>
      </c>
      <c r="K201" s="8" t="str">
        <f t="shared" si="21"/>
        <v/>
      </c>
      <c r="Q201" s="56"/>
      <c r="Z201" s="8" t="e">
        <f ca="1">_xll.BDP(B201 &amp;" Equity", "DVD_FREQ")</f>
        <v>#NAME?</v>
      </c>
      <c r="AA201" s="23">
        <f t="shared" si="22"/>
        <v>0</v>
      </c>
      <c r="AB201" s="206" t="e">
        <f ca="1">_xll.BDP(B201 &amp;" Equity", "EQY_DVD_YLD_IND_NET")</f>
        <v>#NAME?</v>
      </c>
    </row>
    <row r="202" spans="2:28" s="6" customFormat="1">
      <c r="B202" s="8"/>
      <c r="D202" s="8" t="e">
        <f ca="1">_xll.BDP(C202 &amp; " Equity","ID_ISIN",)</f>
        <v>#NAME?</v>
      </c>
      <c r="F202" s="56"/>
      <c r="G202" s="11">
        <f t="shared" ca="1" si="19"/>
        <v>0</v>
      </c>
      <c r="H202" s="8" t="str">
        <f t="shared" si="20"/>
        <v/>
      </c>
      <c r="K202" s="8" t="str">
        <f t="shared" si="21"/>
        <v/>
      </c>
      <c r="Q202" s="56"/>
      <c r="Z202" s="8" t="e">
        <f ca="1">_xll.BDP(B202 &amp;" Equity", "DVD_FREQ")</f>
        <v>#NAME?</v>
      </c>
      <c r="AA202" s="23">
        <f t="shared" si="22"/>
        <v>0</v>
      </c>
      <c r="AB202" s="206" t="e">
        <f ca="1">_xll.BDP(B202 &amp;" Equity", "EQY_DVD_YLD_IND_NET")</f>
        <v>#NAME?</v>
      </c>
    </row>
    <row r="203" spans="2:28" s="6" customFormat="1">
      <c r="B203" s="8"/>
      <c r="D203" s="8" t="e">
        <f ca="1">_xll.BDP(C203 &amp; " Equity","ID_ISIN",)</f>
        <v>#NAME?</v>
      </c>
      <c r="F203" s="56"/>
      <c r="G203" s="11">
        <f t="shared" ca="1" si="19"/>
        <v>0</v>
      </c>
      <c r="H203" s="8" t="str">
        <f t="shared" si="20"/>
        <v/>
      </c>
      <c r="K203" s="8" t="str">
        <f t="shared" si="21"/>
        <v/>
      </c>
      <c r="Q203" s="56"/>
      <c r="Z203" s="8" t="e">
        <f ca="1">_xll.BDP(B203 &amp;" Equity", "DVD_FREQ")</f>
        <v>#NAME?</v>
      </c>
      <c r="AA203" s="23">
        <f t="shared" si="22"/>
        <v>0</v>
      </c>
      <c r="AB203" s="206" t="e">
        <f ca="1">_xll.BDP(B203 &amp;" Equity", "EQY_DVD_YLD_IND_NET")</f>
        <v>#NAME?</v>
      </c>
    </row>
    <row r="204" spans="2:28" s="6" customFormat="1">
      <c r="B204" s="8"/>
      <c r="D204" s="8" t="e">
        <f ca="1">_xll.BDP(C204 &amp; " Equity","ID_ISIN",)</f>
        <v>#NAME?</v>
      </c>
      <c r="F204" s="56"/>
      <c r="G204" s="11">
        <f t="shared" ca="1" si="19"/>
        <v>0</v>
      </c>
      <c r="H204" s="8" t="str">
        <f t="shared" si="20"/>
        <v/>
      </c>
      <c r="K204" s="8" t="str">
        <f t="shared" si="21"/>
        <v/>
      </c>
      <c r="Q204" s="56"/>
      <c r="Z204" s="8" t="e">
        <f ca="1">_xll.BDP(B204 &amp;" Equity", "DVD_FREQ")</f>
        <v>#NAME?</v>
      </c>
      <c r="AA204" s="23">
        <f t="shared" si="22"/>
        <v>0</v>
      </c>
      <c r="AB204" s="206" t="e">
        <f ca="1">_xll.BDP(B204 &amp;" Equity", "EQY_DVD_YLD_IND_NET")</f>
        <v>#NAME?</v>
      </c>
    </row>
    <row r="205" spans="2:28" s="6" customFormat="1">
      <c r="B205" s="8"/>
      <c r="D205" s="8" t="e">
        <f ca="1">_xll.BDP(C205 &amp; " Equity","ID_ISIN",)</f>
        <v>#NAME?</v>
      </c>
      <c r="F205" s="56"/>
      <c r="G205" s="11">
        <f t="shared" ref="G205:G221" ca="1" si="23">IFERROR(F205-(VLOOKUP(LEFT(D205,2),AG:AH,2,FALSE)*F205),0)</f>
        <v>0</v>
      </c>
      <c r="H205" s="8" t="str">
        <f t="shared" si="20"/>
        <v/>
      </c>
      <c r="K205" s="8" t="str">
        <f t="shared" si="21"/>
        <v/>
      </c>
      <c r="Q205" s="56"/>
      <c r="Z205" s="8" t="e">
        <f ca="1">_xll.BDP(B205 &amp;" Equity", "DVD_FREQ")</f>
        <v>#NAME?</v>
      </c>
      <c r="AA205" s="23">
        <f t="shared" si="22"/>
        <v>0</v>
      </c>
      <c r="AB205" s="206" t="e">
        <f ca="1">_xll.BDP(B205 &amp;" Equity", "EQY_DVD_YLD_IND_NET")</f>
        <v>#NAME?</v>
      </c>
    </row>
    <row r="206" spans="2:28" s="6" customFormat="1">
      <c r="B206" s="8"/>
      <c r="D206" s="8" t="e">
        <f ca="1">_xll.BDP(C206 &amp; " Equity","ID_ISIN",)</f>
        <v>#NAME?</v>
      </c>
      <c r="F206" s="56"/>
      <c r="G206" s="11">
        <f t="shared" ca="1" si="23"/>
        <v>0</v>
      </c>
      <c r="H206" s="8" t="str">
        <f t="shared" ref="H206:H221" si="24">IFERROR(DATEVALUE(I206),"")</f>
        <v/>
      </c>
      <c r="K206" s="8" t="str">
        <f t="shared" ref="K206:K221" si="25">IFERROR(DATEVALUE(L206),"")</f>
        <v/>
      </c>
      <c r="Q206" s="56"/>
      <c r="Z206" s="8" t="e">
        <f ca="1">_xll.BDP(B206 &amp;" Equity", "DVD_FREQ")</f>
        <v>#NAME?</v>
      </c>
      <c r="AA206" s="23">
        <f t="shared" ref="AA206:AA221" si="26">M206</f>
        <v>0</v>
      </c>
      <c r="AB206" s="206" t="e">
        <f ca="1">_xll.BDP(B206 &amp;" Equity", "EQY_DVD_YLD_IND_NET")</f>
        <v>#NAME?</v>
      </c>
    </row>
    <row r="207" spans="2:28" s="6" customFormat="1">
      <c r="B207" s="8"/>
      <c r="D207" s="8" t="e">
        <f ca="1">_xll.BDP(C207 &amp; " Equity","ID_ISIN",)</f>
        <v>#NAME?</v>
      </c>
      <c r="F207" s="56"/>
      <c r="G207" s="11">
        <f t="shared" ca="1" si="23"/>
        <v>0</v>
      </c>
      <c r="H207" s="8" t="str">
        <f t="shared" si="24"/>
        <v/>
      </c>
      <c r="K207" s="8" t="str">
        <f t="shared" si="25"/>
        <v/>
      </c>
      <c r="Q207" s="56"/>
      <c r="Z207" s="8" t="e">
        <f ca="1">_xll.BDP(B207 &amp;" Equity", "DVD_FREQ")</f>
        <v>#NAME?</v>
      </c>
      <c r="AA207" s="23">
        <f t="shared" si="26"/>
        <v>0</v>
      </c>
      <c r="AB207" s="206" t="e">
        <f ca="1">_xll.BDP(B207 &amp;" Equity", "EQY_DVD_YLD_IND_NET")</f>
        <v>#NAME?</v>
      </c>
    </row>
    <row r="208" spans="2:28" s="6" customFormat="1">
      <c r="B208" s="8"/>
      <c r="D208" s="8" t="e">
        <f ca="1">_xll.BDP(C208 &amp; " Equity","ID_ISIN",)</f>
        <v>#NAME?</v>
      </c>
      <c r="F208" s="56"/>
      <c r="G208" s="11">
        <f t="shared" ca="1" si="23"/>
        <v>0</v>
      </c>
      <c r="H208" s="8" t="str">
        <f t="shared" si="24"/>
        <v/>
      </c>
      <c r="K208" s="8" t="str">
        <f t="shared" si="25"/>
        <v/>
      </c>
      <c r="Q208" s="56"/>
      <c r="Z208" s="8" t="e">
        <f ca="1">_xll.BDP(B208 &amp;" Equity", "DVD_FREQ")</f>
        <v>#NAME?</v>
      </c>
      <c r="AA208" s="23">
        <f t="shared" si="26"/>
        <v>0</v>
      </c>
      <c r="AB208" s="206" t="e">
        <f ca="1">_xll.BDP(B208 &amp;" Equity", "EQY_DVD_YLD_IND_NET")</f>
        <v>#NAME?</v>
      </c>
    </row>
    <row r="209" spans="2:28" s="6" customFormat="1">
      <c r="B209" s="8"/>
      <c r="D209" s="8" t="e">
        <f ca="1">_xll.BDP(C209 &amp; " Equity","ID_ISIN",)</f>
        <v>#NAME?</v>
      </c>
      <c r="F209" s="56"/>
      <c r="G209" s="11">
        <f t="shared" ca="1" si="23"/>
        <v>0</v>
      </c>
      <c r="H209" s="8" t="str">
        <f t="shared" si="24"/>
        <v/>
      </c>
      <c r="K209" s="8" t="str">
        <f t="shared" si="25"/>
        <v/>
      </c>
      <c r="Q209" s="56"/>
      <c r="Z209" s="8" t="e">
        <f ca="1">_xll.BDP(B209 &amp;" Equity", "DVD_FREQ")</f>
        <v>#NAME?</v>
      </c>
      <c r="AA209" s="23">
        <f t="shared" si="26"/>
        <v>0</v>
      </c>
      <c r="AB209" s="206" t="e">
        <f ca="1">_xll.BDP(B209 &amp;" Equity", "EQY_DVD_YLD_IND_NET")</f>
        <v>#NAME?</v>
      </c>
    </row>
    <row r="210" spans="2:28" s="6" customFormat="1">
      <c r="B210" s="8"/>
      <c r="D210" s="8" t="e">
        <f ca="1">_xll.BDP(C210 &amp; " Equity","ID_ISIN",)</f>
        <v>#NAME?</v>
      </c>
      <c r="F210" s="56"/>
      <c r="G210" s="11">
        <f t="shared" ca="1" si="23"/>
        <v>0</v>
      </c>
      <c r="H210" s="8" t="str">
        <f t="shared" si="24"/>
        <v/>
      </c>
      <c r="K210" s="8" t="str">
        <f t="shared" si="25"/>
        <v/>
      </c>
      <c r="Q210" s="56"/>
      <c r="Z210" s="8" t="e">
        <f ca="1">_xll.BDP(B210 &amp;" Equity", "DVD_FREQ")</f>
        <v>#NAME?</v>
      </c>
      <c r="AA210" s="23">
        <f t="shared" si="26"/>
        <v>0</v>
      </c>
      <c r="AB210" s="206" t="e">
        <f ca="1">_xll.BDP(B210 &amp;" Equity", "EQY_DVD_YLD_IND_NET")</f>
        <v>#NAME?</v>
      </c>
    </row>
    <row r="211" spans="2:28" s="6" customFormat="1">
      <c r="B211" s="8"/>
      <c r="D211" s="8" t="e">
        <f ca="1">_xll.BDP(C211 &amp; " Equity","ID_ISIN",)</f>
        <v>#NAME?</v>
      </c>
      <c r="F211" s="56"/>
      <c r="G211" s="11">
        <f t="shared" ca="1" si="23"/>
        <v>0</v>
      </c>
      <c r="H211" s="8" t="str">
        <f t="shared" si="24"/>
        <v/>
      </c>
      <c r="K211" s="8" t="str">
        <f t="shared" si="25"/>
        <v/>
      </c>
      <c r="Q211" s="56"/>
      <c r="Z211" s="8" t="e">
        <f ca="1">_xll.BDP(B211 &amp;" Equity", "DVD_FREQ")</f>
        <v>#NAME?</v>
      </c>
      <c r="AA211" s="23">
        <f t="shared" si="26"/>
        <v>0</v>
      </c>
      <c r="AB211" s="206" t="e">
        <f ca="1">_xll.BDP(B211 &amp;" Equity", "EQY_DVD_YLD_IND_NET")</f>
        <v>#NAME?</v>
      </c>
    </row>
    <row r="212" spans="2:28" s="6" customFormat="1">
      <c r="B212" s="8"/>
      <c r="D212" s="8" t="e">
        <f ca="1">_xll.BDP(C212 &amp; " Equity","ID_ISIN",)</f>
        <v>#NAME?</v>
      </c>
      <c r="F212" s="56"/>
      <c r="G212" s="11">
        <f t="shared" ca="1" si="23"/>
        <v>0</v>
      </c>
      <c r="H212" s="8" t="str">
        <f t="shared" si="24"/>
        <v/>
      </c>
      <c r="K212" s="8" t="str">
        <f t="shared" si="25"/>
        <v/>
      </c>
      <c r="Q212" s="56"/>
      <c r="Z212" s="8" t="e">
        <f ca="1">_xll.BDP(B212 &amp;" Equity", "DVD_FREQ")</f>
        <v>#NAME?</v>
      </c>
      <c r="AA212" s="23">
        <f t="shared" si="26"/>
        <v>0</v>
      </c>
      <c r="AB212" s="206" t="e">
        <f ca="1">_xll.BDP(B212 &amp;" Equity", "EQY_DVD_YLD_IND_NET")</f>
        <v>#NAME?</v>
      </c>
    </row>
    <row r="213" spans="2:28" s="6" customFormat="1">
      <c r="B213" s="8"/>
      <c r="D213" s="8" t="e">
        <f ca="1">_xll.BDP(C213 &amp; " Equity","ID_ISIN",)</f>
        <v>#NAME?</v>
      </c>
      <c r="F213" s="56"/>
      <c r="G213" s="11">
        <f t="shared" ca="1" si="23"/>
        <v>0</v>
      </c>
      <c r="H213" s="8" t="str">
        <f t="shared" si="24"/>
        <v/>
      </c>
      <c r="K213" s="8" t="str">
        <f t="shared" si="25"/>
        <v/>
      </c>
      <c r="Q213" s="56"/>
      <c r="Z213" s="8" t="e">
        <f ca="1">_xll.BDP(B213 &amp;" Equity", "DVD_FREQ")</f>
        <v>#NAME?</v>
      </c>
      <c r="AA213" s="23">
        <f t="shared" si="26"/>
        <v>0</v>
      </c>
      <c r="AB213" s="206" t="e">
        <f ca="1">_xll.BDP(B213 &amp;" Equity", "EQY_DVD_YLD_IND_NET")</f>
        <v>#NAME?</v>
      </c>
    </row>
    <row r="214" spans="2:28" s="6" customFormat="1">
      <c r="B214" s="8"/>
      <c r="D214" s="8" t="e">
        <f ca="1">_xll.BDP(C214 &amp; " Equity","ID_ISIN",)</f>
        <v>#NAME?</v>
      </c>
      <c r="F214" s="56"/>
      <c r="G214" s="11">
        <f t="shared" ca="1" si="23"/>
        <v>0</v>
      </c>
      <c r="H214" s="8" t="str">
        <f t="shared" si="24"/>
        <v/>
      </c>
      <c r="K214" s="8" t="str">
        <f t="shared" si="25"/>
        <v/>
      </c>
      <c r="Q214" s="56"/>
      <c r="Z214" s="8" t="e">
        <f ca="1">_xll.BDP(B214 &amp;" Equity", "DVD_FREQ")</f>
        <v>#NAME?</v>
      </c>
      <c r="AA214" s="23">
        <f t="shared" si="26"/>
        <v>0</v>
      </c>
      <c r="AB214" s="206" t="e">
        <f ca="1">_xll.BDP(B214 &amp;" Equity", "EQY_DVD_YLD_IND_NET")</f>
        <v>#NAME?</v>
      </c>
    </row>
    <row r="215" spans="2:28" s="6" customFormat="1">
      <c r="B215" s="8"/>
      <c r="D215" s="8" t="e">
        <f ca="1">_xll.BDP(C215 &amp; " Equity","ID_ISIN",)</f>
        <v>#NAME?</v>
      </c>
      <c r="F215" s="56"/>
      <c r="G215" s="11">
        <f t="shared" ca="1" si="23"/>
        <v>0</v>
      </c>
      <c r="H215" s="8" t="str">
        <f t="shared" si="24"/>
        <v/>
      </c>
      <c r="K215" s="8" t="str">
        <f t="shared" si="25"/>
        <v/>
      </c>
      <c r="Q215" s="56"/>
      <c r="Z215" s="8" t="e">
        <f ca="1">_xll.BDP(B215 &amp;" Equity", "DVD_FREQ")</f>
        <v>#NAME?</v>
      </c>
      <c r="AA215" s="23">
        <f t="shared" si="26"/>
        <v>0</v>
      </c>
      <c r="AB215" s="206" t="e">
        <f ca="1">_xll.BDP(B215 &amp;" Equity", "EQY_DVD_YLD_IND_NET")</f>
        <v>#NAME?</v>
      </c>
    </row>
    <row r="216" spans="2:28" s="6" customFormat="1">
      <c r="B216" s="8"/>
      <c r="D216" s="8" t="e">
        <f ca="1">_xll.BDP(C216 &amp; " Equity","ID_ISIN",)</f>
        <v>#NAME?</v>
      </c>
      <c r="F216" s="56"/>
      <c r="G216" s="11">
        <f t="shared" ca="1" si="23"/>
        <v>0</v>
      </c>
      <c r="H216" s="8" t="str">
        <f t="shared" si="24"/>
        <v/>
      </c>
      <c r="K216" s="8" t="str">
        <f t="shared" si="25"/>
        <v/>
      </c>
      <c r="Q216" s="56"/>
      <c r="Z216" s="8" t="e">
        <f ca="1">_xll.BDP(B216 &amp;" Equity", "DVD_FREQ")</f>
        <v>#NAME?</v>
      </c>
      <c r="AA216" s="23">
        <f t="shared" si="26"/>
        <v>0</v>
      </c>
      <c r="AB216" s="206" t="e">
        <f ca="1">_xll.BDP(B216 &amp;" Equity", "EQY_DVD_YLD_IND_NET")</f>
        <v>#NAME?</v>
      </c>
    </row>
    <row r="217" spans="2:28" s="6" customFormat="1">
      <c r="B217" s="8"/>
      <c r="D217" s="8" t="e">
        <f ca="1">_xll.BDP(C217 &amp; " Equity","ID_ISIN",)</f>
        <v>#NAME?</v>
      </c>
      <c r="F217" s="56"/>
      <c r="G217" s="11">
        <f t="shared" ca="1" si="23"/>
        <v>0</v>
      </c>
      <c r="H217" s="8" t="str">
        <f t="shared" si="24"/>
        <v/>
      </c>
      <c r="K217" s="8" t="str">
        <f t="shared" si="25"/>
        <v/>
      </c>
      <c r="Q217" s="56"/>
      <c r="Z217" s="8" t="e">
        <f ca="1">_xll.BDP(B217 &amp;" Equity", "DVD_FREQ")</f>
        <v>#NAME?</v>
      </c>
      <c r="AA217" s="23">
        <f t="shared" si="26"/>
        <v>0</v>
      </c>
      <c r="AB217" s="206" t="e">
        <f ca="1">_xll.BDP(B217 &amp;" Equity", "EQY_DVD_YLD_IND_NET")</f>
        <v>#NAME?</v>
      </c>
    </row>
    <row r="218" spans="2:28" s="6" customFormat="1">
      <c r="B218" s="8"/>
      <c r="D218" s="8" t="e">
        <f ca="1">_xll.BDP(C218 &amp; " Equity","ID_ISIN",)</f>
        <v>#NAME?</v>
      </c>
      <c r="F218" s="56"/>
      <c r="G218" s="11">
        <f t="shared" ca="1" si="23"/>
        <v>0</v>
      </c>
      <c r="H218" s="8" t="str">
        <f t="shared" si="24"/>
        <v/>
      </c>
      <c r="K218" s="8" t="str">
        <f t="shared" si="25"/>
        <v/>
      </c>
      <c r="Q218" s="56"/>
      <c r="Z218" s="8" t="e">
        <f ca="1">_xll.BDP(B218 &amp;" Equity", "DVD_FREQ")</f>
        <v>#NAME?</v>
      </c>
      <c r="AA218" s="23">
        <f t="shared" si="26"/>
        <v>0</v>
      </c>
      <c r="AB218" s="206" t="e">
        <f ca="1">_xll.BDP(B218 &amp;" Equity", "EQY_DVD_YLD_IND_NET")</f>
        <v>#NAME?</v>
      </c>
    </row>
    <row r="219" spans="2:28" s="6" customFormat="1">
      <c r="B219" s="8"/>
      <c r="D219" s="8" t="e">
        <f ca="1">_xll.BDP(C219 &amp; " Equity","ID_ISIN",)</f>
        <v>#NAME?</v>
      </c>
      <c r="F219" s="56"/>
      <c r="G219" s="11">
        <f t="shared" ca="1" si="23"/>
        <v>0</v>
      </c>
      <c r="H219" s="8" t="str">
        <f t="shared" si="24"/>
        <v/>
      </c>
      <c r="K219" s="8" t="str">
        <f t="shared" si="25"/>
        <v/>
      </c>
      <c r="Q219" s="56"/>
      <c r="Z219" s="8" t="e">
        <f ca="1">_xll.BDP(B219 &amp;" Equity", "DVD_FREQ")</f>
        <v>#NAME?</v>
      </c>
      <c r="AA219" s="23">
        <f t="shared" si="26"/>
        <v>0</v>
      </c>
      <c r="AB219" s="206" t="e">
        <f ca="1">_xll.BDP(B219 &amp;" Equity", "EQY_DVD_YLD_IND_NET")</f>
        <v>#NAME?</v>
      </c>
    </row>
    <row r="220" spans="2:28" s="6" customFormat="1">
      <c r="B220" s="8"/>
      <c r="D220" s="8" t="e">
        <f ca="1">_xll.BDP(C220 &amp; " Equity","ID_ISIN",)</f>
        <v>#NAME?</v>
      </c>
      <c r="F220" s="56"/>
      <c r="G220" s="11">
        <f t="shared" ca="1" si="23"/>
        <v>0</v>
      </c>
      <c r="H220" s="8" t="str">
        <f t="shared" si="24"/>
        <v/>
      </c>
      <c r="K220" s="8" t="str">
        <f t="shared" si="25"/>
        <v/>
      </c>
      <c r="Q220" s="56"/>
      <c r="Z220" s="8" t="e">
        <f ca="1">_xll.BDP(B220 &amp;" Equity", "DVD_FREQ")</f>
        <v>#NAME?</v>
      </c>
      <c r="AA220" s="23">
        <f t="shared" si="26"/>
        <v>0</v>
      </c>
      <c r="AB220" s="206" t="e">
        <f ca="1">_xll.BDP(B220 &amp;" Equity", "EQY_DVD_YLD_IND_NET")</f>
        <v>#NAME?</v>
      </c>
    </row>
    <row r="221" spans="2:28" s="6" customFormat="1">
      <c r="B221" s="8"/>
      <c r="D221" s="8" t="e">
        <f ca="1">_xll.BDP(C221 &amp; " Equity","ID_ISIN",)</f>
        <v>#NAME?</v>
      </c>
      <c r="F221" s="56"/>
      <c r="G221" s="11">
        <f t="shared" ca="1" si="23"/>
        <v>0</v>
      </c>
      <c r="H221" s="8" t="str">
        <f t="shared" si="24"/>
        <v/>
      </c>
      <c r="K221" s="8" t="str">
        <f t="shared" si="25"/>
        <v/>
      </c>
      <c r="Q221" s="56"/>
      <c r="Z221" s="8" t="e">
        <f ca="1">_xll.BDP(B221 &amp;" Equity", "DVD_FREQ")</f>
        <v>#NAME?</v>
      </c>
      <c r="AA221" s="23">
        <f t="shared" si="26"/>
        <v>0</v>
      </c>
      <c r="AB221" s="206" t="e">
        <f ca="1">_xll.BDP(B221 &amp;" Equity", "EQY_DVD_YLD_IND_NET")</f>
        <v>#NAME?</v>
      </c>
    </row>
    <row r="222" spans="2:28" s="6" customFormat="1">
      <c r="B222" s="8"/>
      <c r="F222" s="56"/>
      <c r="G222" s="56"/>
      <c r="H222" s="56"/>
      <c r="Q222" s="56"/>
      <c r="Z222" s="8"/>
      <c r="AA222" s="23"/>
      <c r="AB222" s="206"/>
    </row>
    <row r="223" spans="2:28" s="6" customFormat="1">
      <c r="B223" s="8"/>
      <c r="F223" s="56"/>
      <c r="G223" s="56"/>
      <c r="H223" s="56"/>
      <c r="Q223" s="56"/>
      <c r="Z223" s="8"/>
      <c r="AA223" s="23"/>
      <c r="AB223" s="206"/>
    </row>
    <row r="224" spans="2:28" s="6" customFormat="1">
      <c r="B224" s="8"/>
      <c r="F224" s="56"/>
      <c r="G224" s="56"/>
      <c r="H224" s="56"/>
      <c r="Q224" s="56"/>
      <c r="Z224" s="8"/>
      <c r="AA224" s="23"/>
      <c r="AB224" s="206"/>
    </row>
    <row r="225" spans="2:28" s="6" customFormat="1">
      <c r="B225" s="8"/>
      <c r="F225" s="56"/>
      <c r="G225" s="56"/>
      <c r="H225" s="56"/>
      <c r="Q225" s="56"/>
      <c r="Z225" s="8"/>
      <c r="AA225" s="23"/>
      <c r="AB225" s="206"/>
    </row>
    <row r="226" spans="2:28" s="6" customFormat="1">
      <c r="B226" s="8"/>
      <c r="F226" s="56"/>
      <c r="G226" s="56"/>
      <c r="H226" s="56"/>
      <c r="Q226" s="56"/>
      <c r="Z226" s="8"/>
      <c r="AA226" s="23"/>
      <c r="AB226" s="206"/>
    </row>
    <row r="227" spans="2:28" s="6" customFormat="1">
      <c r="B227" s="8"/>
      <c r="F227" s="56"/>
      <c r="G227" s="56"/>
      <c r="H227" s="56"/>
      <c r="Q227" s="56"/>
      <c r="Z227" s="8"/>
      <c r="AA227" s="23"/>
      <c r="AB227" s="206"/>
    </row>
    <row r="228" spans="2:28" s="6" customFormat="1">
      <c r="B228" s="8"/>
      <c r="F228" s="56"/>
      <c r="G228" s="56"/>
      <c r="H228" s="56"/>
      <c r="Q228" s="56"/>
      <c r="Z228" s="8"/>
      <c r="AA228" s="23"/>
      <c r="AB228" s="206"/>
    </row>
    <row r="229" spans="2:28" s="6" customFormat="1">
      <c r="B229" s="8"/>
      <c r="F229" s="56"/>
      <c r="G229" s="56"/>
      <c r="H229" s="56"/>
      <c r="Q229" s="56"/>
      <c r="Z229" s="8"/>
      <c r="AA229" s="23"/>
      <c r="AB229" s="206"/>
    </row>
    <row r="230" spans="2:28" s="6" customFormat="1">
      <c r="B230" s="8"/>
      <c r="F230" s="56"/>
      <c r="G230" s="56"/>
      <c r="H230" s="56"/>
      <c r="Q230" s="56"/>
      <c r="Z230" s="8"/>
      <c r="AA230" s="23"/>
      <c r="AB230" s="206"/>
    </row>
    <row r="231" spans="2:28" s="6" customFormat="1">
      <c r="B231" s="8"/>
      <c r="F231" s="56"/>
      <c r="G231" s="56"/>
      <c r="H231" s="56"/>
      <c r="Q231" s="56"/>
      <c r="Z231" s="8"/>
      <c r="AA231" s="23"/>
      <c r="AB231" s="206"/>
    </row>
    <row r="232" spans="2:28" s="6" customFormat="1">
      <c r="B232" s="8"/>
      <c r="F232" s="56"/>
      <c r="G232" s="56"/>
      <c r="H232" s="56"/>
      <c r="Q232" s="56"/>
      <c r="Z232" s="8"/>
      <c r="AA232" s="23"/>
      <c r="AB232" s="206"/>
    </row>
    <row r="233" spans="2:28" s="6" customFormat="1">
      <c r="B233" s="8"/>
      <c r="F233" s="56"/>
      <c r="G233" s="56"/>
      <c r="H233" s="56"/>
      <c r="Q233" s="56"/>
      <c r="Z233" s="8"/>
      <c r="AA233" s="23"/>
      <c r="AB233" s="206"/>
    </row>
    <row r="234" spans="2:28" s="6" customFormat="1">
      <c r="B234" s="8"/>
      <c r="F234" s="56"/>
      <c r="G234" s="56"/>
      <c r="H234" s="56"/>
      <c r="Q234" s="56"/>
      <c r="Z234" s="8"/>
      <c r="AA234" s="23"/>
      <c r="AB234" s="206"/>
    </row>
    <row r="235" spans="2:28" s="6" customFormat="1">
      <c r="B235" s="8"/>
      <c r="F235" s="56"/>
      <c r="G235" s="56"/>
      <c r="H235" s="56"/>
      <c r="Q235" s="56"/>
      <c r="Z235" s="8"/>
      <c r="AA235" s="23"/>
      <c r="AB235" s="206"/>
    </row>
    <row r="236" spans="2:28" s="6" customFormat="1">
      <c r="B236" s="8"/>
      <c r="F236" s="56"/>
      <c r="G236" s="56"/>
      <c r="H236" s="56"/>
      <c r="Q236" s="56"/>
      <c r="Z236" s="8"/>
      <c r="AA236" s="23"/>
      <c r="AB236" s="206"/>
    </row>
    <row r="237" spans="2:28" s="6" customFormat="1">
      <c r="B237" s="8"/>
      <c r="F237" s="56"/>
      <c r="G237" s="56"/>
      <c r="H237" s="56"/>
      <c r="Q237" s="56"/>
      <c r="Z237" s="8"/>
      <c r="AA237" s="23"/>
      <c r="AB237" s="206"/>
    </row>
    <row r="238" spans="2:28" s="6" customFormat="1">
      <c r="B238" s="8"/>
      <c r="F238" s="56"/>
      <c r="G238" s="56"/>
      <c r="H238" s="56"/>
      <c r="Q238" s="56"/>
      <c r="Z238" s="8"/>
      <c r="AA238" s="23"/>
      <c r="AB238" s="206"/>
    </row>
    <row r="239" spans="2:28" s="6" customFormat="1">
      <c r="B239" s="8"/>
      <c r="F239" s="56"/>
      <c r="G239" s="56"/>
      <c r="H239" s="56"/>
      <c r="Q239" s="56"/>
      <c r="Z239" s="8"/>
      <c r="AA239" s="23"/>
      <c r="AB239" s="206"/>
    </row>
    <row r="240" spans="2:28" s="6" customFormat="1">
      <c r="B240" s="8"/>
      <c r="F240" s="56"/>
      <c r="G240" s="56"/>
      <c r="H240" s="56"/>
      <c r="Q240" s="56"/>
      <c r="Z240" s="8"/>
      <c r="AA240" s="23"/>
      <c r="AB240" s="206"/>
    </row>
    <row r="241" spans="2:28" s="6" customFormat="1">
      <c r="B241" s="8"/>
      <c r="F241" s="56"/>
      <c r="G241" s="56"/>
      <c r="H241" s="56"/>
      <c r="Q241" s="56"/>
      <c r="Z241" s="8"/>
      <c r="AA241" s="23"/>
      <c r="AB241" s="206"/>
    </row>
    <row r="242" spans="2:28" s="6" customFormat="1">
      <c r="B242" s="8"/>
      <c r="F242" s="56"/>
      <c r="G242" s="56"/>
      <c r="H242" s="56"/>
      <c r="Q242" s="56"/>
      <c r="Z242" s="8"/>
      <c r="AA242" s="23"/>
      <c r="AB242" s="206"/>
    </row>
    <row r="243" spans="2:28" s="6" customFormat="1">
      <c r="B243" s="8"/>
      <c r="F243" s="56"/>
      <c r="G243" s="56"/>
      <c r="H243" s="56"/>
      <c r="Q243" s="56"/>
      <c r="Z243" s="8"/>
      <c r="AA243" s="23"/>
      <c r="AB243" s="206"/>
    </row>
    <row r="244" spans="2:28" s="6" customFormat="1">
      <c r="B244" s="8"/>
      <c r="F244" s="56"/>
      <c r="G244" s="56"/>
      <c r="H244" s="56"/>
      <c r="Q244" s="56"/>
      <c r="Z244" s="8"/>
      <c r="AA244" s="23"/>
      <c r="AB244" s="206"/>
    </row>
    <row r="245" spans="2:28" s="6" customFormat="1">
      <c r="B245" s="8"/>
      <c r="F245" s="56"/>
      <c r="G245" s="56"/>
      <c r="H245" s="56"/>
      <c r="Q245" s="56"/>
      <c r="Z245" s="8"/>
      <c r="AA245" s="23"/>
      <c r="AB245" s="206"/>
    </row>
    <row r="246" spans="2:28" s="6" customFormat="1">
      <c r="B246" s="8"/>
      <c r="F246" s="56"/>
      <c r="G246" s="56"/>
      <c r="H246" s="56"/>
      <c r="Q246" s="56"/>
      <c r="Z246" s="8"/>
      <c r="AA246" s="23"/>
      <c r="AB246" s="206"/>
    </row>
    <row r="247" spans="2:28" s="6" customFormat="1">
      <c r="B247" s="8"/>
      <c r="F247" s="56"/>
      <c r="G247" s="56"/>
      <c r="H247" s="56"/>
      <c r="Q247" s="56"/>
      <c r="Z247" s="8"/>
      <c r="AA247" s="23"/>
      <c r="AB247" s="206"/>
    </row>
    <row r="248" spans="2:28" s="6" customFormat="1">
      <c r="B248" s="8"/>
      <c r="F248" s="56"/>
      <c r="G248" s="56"/>
      <c r="H248" s="56"/>
      <c r="Q248" s="56"/>
      <c r="Z248" s="8"/>
      <c r="AA248" s="23"/>
      <c r="AB248" s="206"/>
    </row>
    <row r="249" spans="2:28" s="6" customFormat="1">
      <c r="B249" s="8"/>
      <c r="F249" s="56"/>
      <c r="G249" s="56"/>
      <c r="H249" s="56"/>
      <c r="Q249" s="56"/>
      <c r="Z249" s="8"/>
      <c r="AA249" s="23"/>
      <c r="AB249" s="206"/>
    </row>
    <row r="250" spans="2:28" s="6" customFormat="1">
      <c r="B250" s="8"/>
      <c r="F250" s="56"/>
      <c r="G250" s="56"/>
      <c r="H250" s="56"/>
      <c r="Q250" s="56"/>
      <c r="Z250" s="8"/>
      <c r="AA250" s="23"/>
      <c r="AB250" s="206"/>
    </row>
    <row r="251" spans="2:28" s="6" customFormat="1">
      <c r="B251" s="8"/>
      <c r="F251" s="56"/>
      <c r="G251" s="56"/>
      <c r="H251" s="56"/>
      <c r="Q251" s="56"/>
      <c r="Z251" s="8"/>
      <c r="AA251" s="23"/>
      <c r="AB251" s="206"/>
    </row>
    <row r="252" spans="2:28" s="6" customFormat="1">
      <c r="B252" s="8"/>
      <c r="F252" s="56"/>
      <c r="G252" s="56"/>
      <c r="H252" s="56"/>
      <c r="Q252" s="56"/>
      <c r="Z252" s="8"/>
      <c r="AA252" s="23"/>
      <c r="AB252" s="206"/>
    </row>
    <row r="253" spans="2:28" s="6" customFormat="1">
      <c r="B253" s="8"/>
      <c r="F253" s="56"/>
      <c r="G253" s="56"/>
      <c r="H253" s="56"/>
      <c r="Q253" s="56"/>
      <c r="Z253" s="8"/>
      <c r="AA253" s="23"/>
      <c r="AB253" s="206"/>
    </row>
    <row r="254" spans="2:28" s="6" customFormat="1">
      <c r="B254" s="8"/>
      <c r="F254" s="56"/>
      <c r="G254" s="56"/>
      <c r="H254" s="56"/>
      <c r="Q254" s="56"/>
      <c r="Z254" s="8"/>
      <c r="AA254" s="23"/>
      <c r="AB254" s="206"/>
    </row>
    <row r="255" spans="2:28" s="6" customFormat="1">
      <c r="B255" s="8"/>
      <c r="F255" s="56"/>
      <c r="G255" s="56"/>
      <c r="H255" s="56"/>
      <c r="Q255" s="56"/>
      <c r="Z255" s="8"/>
      <c r="AA255" s="23"/>
      <c r="AB255" s="206"/>
    </row>
    <row r="256" spans="2:28" s="6" customFormat="1">
      <c r="B256" s="8"/>
      <c r="F256" s="56"/>
      <c r="G256" s="56"/>
      <c r="H256" s="56"/>
      <c r="Q256" s="56"/>
      <c r="Z256" s="8"/>
      <c r="AA256" s="23"/>
      <c r="AB256" s="206"/>
    </row>
    <row r="257" spans="2:28" s="6" customFormat="1">
      <c r="B257" s="8"/>
      <c r="F257" s="56"/>
      <c r="G257" s="56"/>
      <c r="H257" s="56"/>
      <c r="Q257" s="56"/>
      <c r="Z257" s="8"/>
      <c r="AA257" s="23"/>
      <c r="AB257" s="206"/>
    </row>
    <row r="258" spans="2:28" s="6" customFormat="1">
      <c r="B258" s="8"/>
      <c r="F258" s="56"/>
      <c r="G258" s="56"/>
      <c r="H258" s="56"/>
      <c r="Q258" s="56"/>
      <c r="Z258" s="8"/>
      <c r="AA258" s="23"/>
      <c r="AB258" s="206"/>
    </row>
    <row r="259" spans="2:28" s="6" customFormat="1">
      <c r="B259" s="8"/>
      <c r="F259" s="56"/>
      <c r="G259" s="56"/>
      <c r="H259" s="56"/>
      <c r="Q259" s="56"/>
      <c r="Z259" s="8"/>
      <c r="AA259" s="23"/>
      <c r="AB259" s="206"/>
    </row>
    <row r="260" spans="2:28" s="6" customFormat="1">
      <c r="B260" s="8"/>
      <c r="F260" s="56"/>
      <c r="G260" s="56"/>
      <c r="H260" s="56"/>
      <c r="Q260" s="56"/>
      <c r="Z260" s="8"/>
      <c r="AA260" s="23"/>
      <c r="AB260" s="206"/>
    </row>
    <row r="261" spans="2:28" s="6" customFormat="1">
      <c r="B261" s="8"/>
      <c r="F261" s="56"/>
      <c r="G261" s="56"/>
      <c r="H261" s="56"/>
      <c r="Q261" s="56"/>
      <c r="Z261" s="8"/>
      <c r="AA261" s="23"/>
      <c r="AB261" s="206"/>
    </row>
    <row r="262" spans="2:28" s="6" customFormat="1">
      <c r="B262" s="8"/>
      <c r="F262" s="56"/>
      <c r="G262" s="56"/>
      <c r="H262" s="56"/>
      <c r="Q262" s="56"/>
      <c r="Z262" s="8"/>
      <c r="AA262" s="23"/>
      <c r="AB262" s="206"/>
    </row>
    <row r="263" spans="2:28" s="6" customFormat="1">
      <c r="B263" s="8"/>
      <c r="F263" s="56"/>
      <c r="G263" s="56"/>
      <c r="H263" s="56"/>
      <c r="Q263" s="56"/>
      <c r="Z263" s="8"/>
      <c r="AA263" s="23"/>
      <c r="AB263" s="206"/>
    </row>
    <row r="264" spans="2:28" s="6" customFormat="1">
      <c r="B264" s="8"/>
      <c r="F264" s="56"/>
      <c r="G264" s="56"/>
      <c r="H264" s="56"/>
      <c r="Q264" s="56"/>
      <c r="Z264" s="8"/>
      <c r="AA264" s="23"/>
      <c r="AB264" s="206"/>
    </row>
    <row r="265" spans="2:28" s="6" customFormat="1">
      <c r="B265" s="8"/>
      <c r="F265" s="56"/>
      <c r="G265" s="56"/>
      <c r="H265" s="56"/>
      <c r="Q265" s="56"/>
      <c r="Z265" s="8"/>
      <c r="AA265" s="23"/>
      <c r="AB265" s="206"/>
    </row>
    <row r="266" spans="2:28" s="6" customFormat="1">
      <c r="B266" s="8"/>
      <c r="F266" s="56"/>
      <c r="G266" s="56"/>
      <c r="H266" s="56"/>
      <c r="Q266" s="56"/>
      <c r="Z266" s="8"/>
      <c r="AA266" s="23"/>
      <c r="AB266" s="206"/>
    </row>
    <row r="267" spans="2:28" s="6" customFormat="1">
      <c r="B267" s="8"/>
      <c r="F267" s="56"/>
      <c r="G267" s="56"/>
      <c r="H267" s="56"/>
      <c r="Q267" s="56"/>
      <c r="Z267" s="8"/>
      <c r="AA267" s="23"/>
      <c r="AB267" s="206"/>
    </row>
    <row r="268" spans="2:28" s="6" customFormat="1">
      <c r="B268" s="8"/>
      <c r="F268" s="56"/>
      <c r="G268" s="56"/>
      <c r="H268" s="56"/>
      <c r="Q268" s="56"/>
      <c r="Z268" s="8"/>
      <c r="AA268" s="23"/>
      <c r="AB268" s="206"/>
    </row>
    <row r="269" spans="2:28" s="6" customFormat="1">
      <c r="B269" s="8"/>
      <c r="F269" s="56"/>
      <c r="G269" s="56"/>
      <c r="H269" s="56"/>
      <c r="Q269" s="56"/>
      <c r="Z269" s="8"/>
      <c r="AA269" s="23"/>
      <c r="AB269" s="206"/>
    </row>
    <row r="270" spans="2:28" s="6" customFormat="1">
      <c r="B270" s="8"/>
      <c r="F270" s="56"/>
      <c r="G270" s="56"/>
      <c r="H270" s="56"/>
      <c r="Q270" s="56"/>
      <c r="Z270" s="8"/>
      <c r="AA270" s="23"/>
      <c r="AB270" s="206"/>
    </row>
    <row r="271" spans="2:28" s="6" customFormat="1">
      <c r="B271" s="8"/>
      <c r="F271" s="56"/>
      <c r="G271" s="56"/>
      <c r="H271" s="56"/>
      <c r="Q271" s="56"/>
      <c r="Z271" s="8"/>
      <c r="AA271" s="23"/>
      <c r="AB271" s="206"/>
    </row>
    <row r="272" spans="2:28" s="6" customFormat="1">
      <c r="B272" s="8"/>
      <c r="F272" s="56"/>
      <c r="G272" s="56"/>
      <c r="H272" s="56"/>
      <c r="Q272" s="56"/>
      <c r="Z272" s="8"/>
      <c r="AA272" s="23"/>
      <c r="AB272" s="206"/>
    </row>
    <row r="273" spans="2:28" s="6" customFormat="1">
      <c r="B273" s="8"/>
      <c r="F273" s="56"/>
      <c r="G273" s="56"/>
      <c r="H273" s="56"/>
      <c r="Q273" s="56"/>
      <c r="Z273" s="8"/>
      <c r="AA273" s="23"/>
      <c r="AB273" s="206"/>
    </row>
    <row r="274" spans="2:28" s="6" customFormat="1">
      <c r="B274" s="8"/>
      <c r="F274" s="56"/>
      <c r="G274" s="56"/>
      <c r="H274" s="56"/>
      <c r="Q274" s="56"/>
      <c r="Z274" s="8"/>
      <c r="AA274" s="23"/>
      <c r="AB274" s="206"/>
    </row>
    <row r="275" spans="2:28" s="6" customFormat="1">
      <c r="B275" s="8"/>
      <c r="F275" s="56"/>
      <c r="G275" s="56"/>
      <c r="H275" s="56"/>
      <c r="Q275" s="56"/>
      <c r="Z275" s="8"/>
      <c r="AA275" s="23"/>
      <c r="AB275" s="206"/>
    </row>
    <row r="276" spans="2:28" s="6" customFormat="1">
      <c r="B276" s="8"/>
      <c r="F276" s="56"/>
      <c r="G276" s="56"/>
      <c r="H276" s="56"/>
      <c r="Q276" s="56"/>
      <c r="Z276" s="8"/>
      <c r="AA276" s="23"/>
      <c r="AB276" s="206"/>
    </row>
    <row r="277" spans="2:28" s="6" customFormat="1">
      <c r="B277" s="8"/>
      <c r="F277" s="56"/>
      <c r="G277" s="56"/>
      <c r="H277" s="56"/>
      <c r="Q277" s="56"/>
      <c r="Z277" s="8"/>
      <c r="AA277" s="23"/>
      <c r="AB277" s="206"/>
    </row>
    <row r="278" spans="2:28" s="6" customFormat="1">
      <c r="B278" s="8"/>
      <c r="F278" s="56"/>
      <c r="G278" s="56"/>
      <c r="H278" s="56"/>
      <c r="Q278" s="56"/>
      <c r="Z278" s="8"/>
      <c r="AA278" s="23"/>
      <c r="AB278" s="206"/>
    </row>
    <row r="279" spans="2:28" s="6" customFormat="1">
      <c r="B279" s="8"/>
      <c r="F279" s="56"/>
      <c r="G279" s="56"/>
      <c r="H279" s="56"/>
      <c r="Q279" s="56"/>
      <c r="Z279" s="8"/>
      <c r="AA279" s="23"/>
      <c r="AB279" s="206"/>
    </row>
    <row r="280" spans="2:28" s="6" customFormat="1">
      <c r="B280" s="8"/>
      <c r="F280" s="56"/>
      <c r="G280" s="56"/>
      <c r="H280" s="56"/>
      <c r="Q280" s="56"/>
      <c r="Z280" s="8"/>
      <c r="AA280" s="23"/>
      <c r="AB280" s="206"/>
    </row>
    <row r="281" spans="2:28" s="6" customFormat="1">
      <c r="B281" s="8"/>
      <c r="F281" s="56"/>
      <c r="G281" s="56"/>
      <c r="H281" s="56"/>
      <c r="Q281" s="56"/>
      <c r="Z281" s="8"/>
      <c r="AA281" s="23"/>
      <c r="AB281" s="206"/>
    </row>
    <row r="282" spans="2:28" s="6" customFormat="1">
      <c r="B282" s="8"/>
      <c r="F282" s="56"/>
      <c r="G282" s="56"/>
      <c r="H282" s="56"/>
      <c r="Q282" s="56"/>
      <c r="Z282" s="8"/>
      <c r="AA282" s="23"/>
      <c r="AB282" s="206"/>
    </row>
    <row r="283" spans="2:28" s="6" customFormat="1">
      <c r="B283" s="8"/>
      <c r="F283" s="56"/>
      <c r="G283" s="56"/>
      <c r="H283" s="56"/>
      <c r="Q283" s="56"/>
      <c r="Z283" s="8"/>
      <c r="AA283" s="23"/>
      <c r="AB283" s="206"/>
    </row>
    <row r="284" spans="2:28" s="6" customFormat="1">
      <c r="B284" s="8"/>
      <c r="F284" s="56"/>
      <c r="G284" s="56"/>
      <c r="H284" s="56"/>
      <c r="Q284" s="56"/>
      <c r="Z284" s="8"/>
      <c r="AA284" s="23"/>
      <c r="AB284" s="206"/>
    </row>
    <row r="285" spans="2:28" s="6" customFormat="1">
      <c r="B285" s="8"/>
      <c r="F285" s="56"/>
      <c r="G285" s="56"/>
      <c r="H285" s="56"/>
      <c r="Q285" s="56"/>
      <c r="Z285" s="8"/>
      <c r="AA285" s="23"/>
      <c r="AB285" s="206"/>
    </row>
    <row r="286" spans="2:28" s="6" customFormat="1">
      <c r="B286" s="8"/>
      <c r="F286" s="56"/>
      <c r="G286" s="56"/>
      <c r="H286" s="56"/>
      <c r="Q286" s="56"/>
      <c r="Z286" s="8"/>
      <c r="AA286" s="23"/>
      <c r="AB286" s="206"/>
    </row>
    <row r="287" spans="2:28" s="6" customFormat="1">
      <c r="B287" s="8"/>
      <c r="F287" s="56"/>
      <c r="G287" s="56"/>
      <c r="H287" s="56"/>
      <c r="Q287" s="56"/>
      <c r="Z287" s="8"/>
      <c r="AA287" s="23"/>
      <c r="AB287" s="206"/>
    </row>
    <row r="288" spans="2:28" s="6" customFormat="1">
      <c r="B288" s="8"/>
      <c r="F288" s="56"/>
      <c r="G288" s="56"/>
      <c r="H288" s="56"/>
      <c r="Q288" s="56"/>
      <c r="Z288" s="8"/>
      <c r="AA288" s="23"/>
      <c r="AB288" s="206"/>
    </row>
    <row r="289" spans="2:28" s="6" customFormat="1">
      <c r="B289" s="8"/>
      <c r="F289" s="56"/>
      <c r="G289" s="56"/>
      <c r="H289" s="56"/>
      <c r="Q289" s="56"/>
      <c r="Z289" s="8"/>
      <c r="AA289" s="23"/>
      <c r="AB289" s="206"/>
    </row>
    <row r="290" spans="2:28" s="6" customFormat="1">
      <c r="B290" s="8"/>
      <c r="F290" s="56"/>
      <c r="G290" s="56"/>
      <c r="H290" s="56"/>
      <c r="Q290" s="56"/>
      <c r="Z290" s="8"/>
      <c r="AA290" s="23"/>
      <c r="AB290" s="206"/>
    </row>
    <row r="291" spans="2:28" s="6" customFormat="1">
      <c r="B291" s="8"/>
      <c r="F291" s="56"/>
      <c r="G291" s="56"/>
      <c r="H291" s="56"/>
      <c r="Q291" s="56"/>
      <c r="Z291" s="8"/>
      <c r="AA291" s="23"/>
      <c r="AB291" s="206"/>
    </row>
    <row r="292" spans="2:28" s="6" customFormat="1">
      <c r="B292" s="8"/>
      <c r="F292" s="56"/>
      <c r="G292" s="56"/>
      <c r="H292" s="56"/>
      <c r="Q292" s="56"/>
      <c r="Z292" s="8"/>
      <c r="AA292" s="23"/>
      <c r="AB292" s="206"/>
    </row>
    <row r="293" spans="2:28" s="6" customFormat="1">
      <c r="B293" s="8"/>
      <c r="F293" s="56"/>
      <c r="G293" s="56"/>
      <c r="H293" s="56"/>
      <c r="Q293" s="56"/>
      <c r="Z293" s="8"/>
      <c r="AA293" s="23"/>
      <c r="AB293" s="206"/>
    </row>
    <row r="294" spans="2:28" s="6" customFormat="1">
      <c r="B294" s="8"/>
      <c r="F294" s="56"/>
      <c r="G294" s="56"/>
      <c r="H294" s="56"/>
      <c r="Q294" s="56"/>
      <c r="Z294" s="8"/>
      <c r="AA294" s="23"/>
      <c r="AB294" s="206"/>
    </row>
    <row r="295" spans="2:28" s="6" customFormat="1">
      <c r="B295" s="8"/>
      <c r="F295" s="56"/>
      <c r="G295" s="56"/>
      <c r="H295" s="56"/>
      <c r="Q295" s="56"/>
      <c r="Z295" s="8"/>
      <c r="AA295" s="23"/>
      <c r="AB295" s="206"/>
    </row>
    <row r="296" spans="2:28" s="6" customFormat="1">
      <c r="B296" s="8"/>
      <c r="F296" s="56"/>
      <c r="G296" s="56"/>
      <c r="H296" s="56"/>
      <c r="Q296" s="56"/>
      <c r="Z296" s="8"/>
      <c r="AA296" s="23"/>
      <c r="AB296" s="206"/>
    </row>
    <row r="297" spans="2:28" s="6" customFormat="1">
      <c r="B297" s="8"/>
      <c r="F297" s="56"/>
      <c r="G297" s="56"/>
      <c r="H297" s="56"/>
      <c r="Q297" s="56"/>
      <c r="Z297" s="8"/>
      <c r="AA297" s="23"/>
      <c r="AB297" s="206"/>
    </row>
    <row r="298" spans="2:28" s="6" customFormat="1">
      <c r="B298" s="8"/>
      <c r="F298" s="56"/>
      <c r="G298" s="56"/>
      <c r="H298" s="56"/>
      <c r="Q298" s="56"/>
      <c r="Z298" s="8"/>
      <c r="AA298" s="23"/>
      <c r="AB298" s="206"/>
    </row>
    <row r="299" spans="2:28" s="6" customFormat="1">
      <c r="B299" s="8"/>
      <c r="F299" s="56"/>
      <c r="G299" s="56"/>
      <c r="H299" s="56"/>
      <c r="Q299" s="56"/>
      <c r="Z299" s="8"/>
      <c r="AA299" s="23"/>
      <c r="AB299" s="206"/>
    </row>
    <row r="300" spans="2:28" s="6" customFormat="1">
      <c r="B300" s="8"/>
      <c r="F300" s="56"/>
      <c r="G300" s="56"/>
      <c r="H300" s="56"/>
      <c r="Q300" s="56"/>
      <c r="Z300" s="8"/>
      <c r="AA300" s="23"/>
      <c r="AB300" s="206"/>
    </row>
    <row r="301" spans="2:28" s="6" customFormat="1">
      <c r="B301" s="8"/>
      <c r="F301" s="56"/>
      <c r="G301" s="56"/>
      <c r="H301" s="56"/>
      <c r="Q301" s="56"/>
      <c r="Z301" s="8"/>
      <c r="AA301" s="23"/>
      <c r="AB301" s="206"/>
    </row>
    <row r="302" spans="2:28" s="6" customFormat="1">
      <c r="B302" s="8"/>
      <c r="F302" s="56"/>
      <c r="G302" s="56"/>
      <c r="H302" s="56"/>
      <c r="Q302" s="56"/>
      <c r="Z302" s="8"/>
      <c r="AA302" s="23"/>
      <c r="AB302" s="206"/>
    </row>
    <row r="303" spans="2:28" s="6" customFormat="1">
      <c r="B303" s="8"/>
      <c r="F303" s="56"/>
      <c r="G303" s="56"/>
      <c r="H303" s="56"/>
      <c r="Q303" s="56"/>
      <c r="Z303" s="8"/>
      <c r="AA303" s="23"/>
      <c r="AB303" s="206"/>
    </row>
    <row r="304" spans="2:28" s="6" customFormat="1">
      <c r="B304" s="8"/>
      <c r="F304" s="56"/>
      <c r="G304" s="56"/>
      <c r="H304" s="56"/>
      <c r="Q304" s="56"/>
      <c r="Z304" s="8"/>
      <c r="AA304" s="23"/>
      <c r="AB304" s="206"/>
    </row>
    <row r="305" spans="2:28" s="6" customFormat="1">
      <c r="B305" s="8"/>
      <c r="F305" s="56"/>
      <c r="G305" s="56"/>
      <c r="H305" s="56"/>
      <c r="Q305" s="56"/>
      <c r="Z305" s="8"/>
      <c r="AA305" s="23"/>
      <c r="AB305" s="206"/>
    </row>
    <row r="306" spans="2:28" s="6" customFormat="1">
      <c r="B306" s="8"/>
      <c r="F306" s="56"/>
      <c r="G306" s="56"/>
      <c r="H306" s="56"/>
      <c r="Q306" s="56"/>
      <c r="Z306" s="8"/>
      <c r="AA306" s="23"/>
      <c r="AB306" s="206"/>
    </row>
    <row r="307" spans="2:28" s="6" customFormat="1">
      <c r="B307" s="8"/>
      <c r="F307" s="56"/>
      <c r="G307" s="56"/>
      <c r="H307" s="56"/>
      <c r="Q307" s="56"/>
      <c r="Z307" s="8"/>
      <c r="AA307" s="23"/>
      <c r="AB307" s="206"/>
    </row>
    <row r="308" spans="2:28" s="6" customFormat="1">
      <c r="B308" s="8"/>
      <c r="F308" s="56"/>
      <c r="G308" s="56"/>
      <c r="H308" s="56"/>
      <c r="Q308" s="56"/>
      <c r="Z308" s="8"/>
      <c r="AA308" s="23"/>
      <c r="AB308" s="206"/>
    </row>
    <row r="309" spans="2:28" s="6" customFormat="1">
      <c r="B309" s="8"/>
      <c r="F309" s="56"/>
      <c r="G309" s="56"/>
      <c r="H309" s="56"/>
      <c r="Q309" s="56"/>
      <c r="Z309" s="8"/>
      <c r="AA309" s="23"/>
      <c r="AB309" s="206"/>
    </row>
    <row r="310" spans="2:28" s="6" customFormat="1">
      <c r="B310" s="8"/>
      <c r="F310" s="56"/>
      <c r="G310" s="56"/>
      <c r="H310" s="56"/>
      <c r="Q310" s="56"/>
      <c r="Z310" s="8"/>
      <c r="AA310" s="23"/>
      <c r="AB310" s="206"/>
    </row>
    <row r="311" spans="2:28" s="6" customFormat="1">
      <c r="B311" s="8"/>
      <c r="F311" s="56"/>
      <c r="G311" s="56"/>
      <c r="H311" s="56"/>
      <c r="Q311" s="56"/>
      <c r="Z311" s="8"/>
      <c r="AA311" s="23"/>
      <c r="AB311" s="206"/>
    </row>
    <row r="312" spans="2:28" s="6" customFormat="1">
      <c r="B312" s="8"/>
      <c r="F312" s="56"/>
      <c r="G312" s="56"/>
      <c r="H312" s="56"/>
      <c r="Q312" s="56"/>
      <c r="Z312" s="8"/>
      <c r="AA312" s="23"/>
      <c r="AB312" s="206"/>
    </row>
    <row r="313" spans="2:28" s="6" customFormat="1">
      <c r="B313" s="8"/>
      <c r="F313" s="56"/>
      <c r="G313" s="56"/>
      <c r="H313" s="56"/>
      <c r="Q313" s="56"/>
      <c r="Z313" s="8"/>
      <c r="AA313" s="23"/>
      <c r="AB313" s="206"/>
    </row>
    <row r="314" spans="2:28" s="6" customFormat="1">
      <c r="B314" s="8"/>
      <c r="F314" s="56"/>
      <c r="G314" s="56"/>
      <c r="H314" s="56"/>
      <c r="Q314" s="56"/>
      <c r="Z314" s="8"/>
      <c r="AA314" s="23"/>
      <c r="AB314" s="206"/>
    </row>
    <row r="315" spans="2:28" s="6" customFormat="1">
      <c r="B315" s="8"/>
      <c r="F315" s="56"/>
      <c r="G315" s="56"/>
      <c r="H315" s="56"/>
      <c r="Q315" s="56"/>
      <c r="Z315" s="8"/>
      <c r="AA315" s="23"/>
      <c r="AB315" s="206"/>
    </row>
    <row r="316" spans="2:28" s="6" customFormat="1">
      <c r="B316" s="8"/>
      <c r="F316" s="56"/>
      <c r="G316" s="56"/>
      <c r="H316" s="56"/>
      <c r="Q316" s="56"/>
      <c r="Z316" s="8"/>
      <c r="AA316" s="23"/>
      <c r="AB316" s="206"/>
    </row>
    <row r="317" spans="2:28" s="6" customFormat="1">
      <c r="B317" s="8"/>
      <c r="F317" s="56"/>
      <c r="G317" s="56"/>
      <c r="H317" s="56"/>
      <c r="Q317" s="56"/>
      <c r="Z317" s="8"/>
      <c r="AA317" s="23"/>
      <c r="AB317" s="206"/>
    </row>
    <row r="318" spans="2:28" s="6" customFormat="1">
      <c r="B318" s="8"/>
      <c r="F318" s="56"/>
      <c r="G318" s="56"/>
      <c r="H318" s="56"/>
      <c r="Q318" s="56"/>
      <c r="Z318" s="8"/>
      <c r="AA318" s="23"/>
      <c r="AB318" s="206"/>
    </row>
    <row r="319" spans="2:28" s="6" customFormat="1">
      <c r="B319" s="8"/>
      <c r="F319" s="56"/>
      <c r="G319" s="56"/>
      <c r="H319" s="56"/>
      <c r="Q319" s="56"/>
      <c r="Z319" s="8"/>
      <c r="AA319" s="23"/>
      <c r="AB319" s="206"/>
    </row>
    <row r="320" spans="2:28" s="6" customFormat="1">
      <c r="B320" s="8"/>
      <c r="F320" s="56"/>
      <c r="G320" s="56"/>
      <c r="H320" s="56"/>
      <c r="Q320" s="56"/>
      <c r="Z320" s="8"/>
      <c r="AA320" s="23"/>
      <c r="AB320" s="206"/>
    </row>
    <row r="321" spans="2:28" s="6" customFormat="1">
      <c r="B321" s="8"/>
      <c r="F321" s="56"/>
      <c r="G321" s="56"/>
      <c r="H321" s="56"/>
      <c r="Q321" s="56"/>
      <c r="Z321" s="8"/>
      <c r="AA321" s="23"/>
      <c r="AB321" s="206"/>
    </row>
    <row r="322" spans="2:28" s="6" customFormat="1">
      <c r="B322" s="8"/>
      <c r="F322" s="56"/>
      <c r="G322" s="56"/>
      <c r="H322" s="56"/>
      <c r="Q322" s="56"/>
      <c r="Z322" s="8"/>
      <c r="AA322" s="23"/>
      <c r="AB322" s="206"/>
    </row>
    <row r="323" spans="2:28" s="6" customFormat="1">
      <c r="B323" s="8"/>
      <c r="F323" s="56"/>
      <c r="G323" s="56"/>
      <c r="H323" s="56"/>
      <c r="Q323" s="56"/>
      <c r="Z323" s="8" t="e">
        <f ca="1">_xll.BDP(A323 &amp;" Equity", "DVD_FREQ")</f>
        <v>#NAME?</v>
      </c>
      <c r="AA323" s="23">
        <f t="shared" ref="AA323:AA349" si="27">J323</f>
        <v>0</v>
      </c>
      <c r="AB323" s="206" t="e">
        <f ca="1">_xll.BDP(A323 &amp;" Equity", "EQY_DVD_YLD_IND_NET")</f>
        <v>#NAME?</v>
      </c>
    </row>
    <row r="324" spans="2:28" s="6" customFormat="1">
      <c r="B324" s="8"/>
      <c r="F324" s="56"/>
      <c r="G324" s="56"/>
      <c r="H324" s="56"/>
      <c r="Q324" s="56"/>
      <c r="Z324" s="8" t="e">
        <f ca="1">_xll.BDP(A324 &amp;" Equity", "DVD_FREQ")</f>
        <v>#NAME?</v>
      </c>
      <c r="AA324" s="23">
        <f t="shared" si="27"/>
        <v>0</v>
      </c>
      <c r="AB324" s="206" t="e">
        <f ca="1">_xll.BDP(A324 &amp;" Equity", "EQY_DVD_YLD_IND_NET")</f>
        <v>#NAME?</v>
      </c>
    </row>
    <row r="325" spans="2:28" s="6" customFormat="1">
      <c r="B325" s="8"/>
      <c r="F325" s="56"/>
      <c r="G325" s="56"/>
      <c r="H325" s="56"/>
      <c r="Q325" s="56"/>
      <c r="Z325" s="8" t="e">
        <f ca="1">_xll.BDP(A325 &amp;" Equity", "DVD_FREQ")</f>
        <v>#NAME?</v>
      </c>
      <c r="AA325" s="23">
        <f t="shared" si="27"/>
        <v>0</v>
      </c>
      <c r="AB325" s="206" t="e">
        <f ca="1">_xll.BDP(A325 &amp;" Equity", "EQY_DVD_YLD_IND_NET")</f>
        <v>#NAME?</v>
      </c>
    </row>
    <row r="326" spans="2:28" s="6" customFormat="1">
      <c r="B326" s="8"/>
      <c r="F326" s="56"/>
      <c r="G326" s="56"/>
      <c r="H326" s="56"/>
      <c r="Q326" s="56"/>
      <c r="Z326" s="8" t="e">
        <f ca="1">_xll.BDP(A326 &amp;" Equity", "DVD_FREQ")</f>
        <v>#NAME?</v>
      </c>
      <c r="AA326" s="23">
        <f t="shared" si="27"/>
        <v>0</v>
      </c>
      <c r="AB326" s="206" t="e">
        <f ca="1">_xll.BDP(A326 &amp;" Equity", "EQY_DVD_YLD_IND_NET")</f>
        <v>#NAME?</v>
      </c>
    </row>
    <row r="327" spans="2:28" s="6" customFormat="1">
      <c r="B327" s="8"/>
      <c r="F327" s="56"/>
      <c r="G327" s="56"/>
      <c r="H327" s="56"/>
      <c r="Q327" s="56"/>
      <c r="Z327" s="8" t="e">
        <f ca="1">_xll.BDP(A327 &amp;" Equity", "DVD_FREQ")</f>
        <v>#NAME?</v>
      </c>
      <c r="AA327" s="23">
        <f t="shared" si="27"/>
        <v>0</v>
      </c>
      <c r="AB327" s="206" t="e">
        <f ca="1">_xll.BDP(A327 &amp;" Equity", "EQY_DVD_YLD_IND_NET")</f>
        <v>#NAME?</v>
      </c>
    </row>
    <row r="328" spans="2:28" s="6" customFormat="1">
      <c r="B328" s="8"/>
      <c r="F328" s="56"/>
      <c r="G328" s="56"/>
      <c r="H328" s="56"/>
      <c r="Q328" s="56"/>
      <c r="Z328" s="8" t="e">
        <f ca="1">_xll.BDP(A328 &amp;" Equity", "DVD_FREQ")</f>
        <v>#NAME?</v>
      </c>
      <c r="AA328" s="23">
        <f t="shared" si="27"/>
        <v>0</v>
      </c>
      <c r="AB328" s="206" t="e">
        <f ca="1">_xll.BDP(A328 &amp;" Equity", "EQY_DVD_YLD_IND_NET")</f>
        <v>#NAME?</v>
      </c>
    </row>
    <row r="329" spans="2:28" s="6" customFormat="1">
      <c r="B329" s="8"/>
      <c r="F329" s="56"/>
      <c r="G329" s="56"/>
      <c r="H329" s="56"/>
      <c r="Q329" s="56"/>
      <c r="Z329" s="8" t="e">
        <f ca="1">_xll.BDP(A329 &amp;" Equity", "DVD_FREQ")</f>
        <v>#NAME?</v>
      </c>
      <c r="AA329" s="23">
        <f t="shared" si="27"/>
        <v>0</v>
      </c>
      <c r="AB329" s="206" t="e">
        <f ca="1">_xll.BDP(A329 &amp;" Equity", "EQY_DVD_YLD_IND_NET")</f>
        <v>#NAME?</v>
      </c>
    </row>
    <row r="330" spans="2:28" s="6" customFormat="1">
      <c r="B330" s="8"/>
      <c r="F330" s="56"/>
      <c r="G330" s="56"/>
      <c r="H330" s="56"/>
      <c r="Q330" s="56"/>
      <c r="Z330" s="8" t="e">
        <f ca="1">_xll.BDP(A330 &amp;" Equity", "DVD_FREQ")</f>
        <v>#NAME?</v>
      </c>
      <c r="AA330" s="23">
        <f t="shared" si="27"/>
        <v>0</v>
      </c>
      <c r="AB330" s="206" t="e">
        <f ca="1">_xll.BDP(A330 &amp;" Equity", "EQY_DVD_YLD_IND_NET")</f>
        <v>#NAME?</v>
      </c>
    </row>
    <row r="331" spans="2:28" s="6" customFormat="1">
      <c r="B331" s="8"/>
      <c r="F331" s="56"/>
      <c r="G331" s="56"/>
      <c r="H331" s="56"/>
      <c r="Q331" s="56"/>
      <c r="Z331" s="8" t="e">
        <f ca="1">_xll.BDP(A331 &amp;" Equity", "DVD_FREQ")</f>
        <v>#NAME?</v>
      </c>
      <c r="AA331" s="23">
        <f t="shared" si="27"/>
        <v>0</v>
      </c>
      <c r="AB331" s="206" t="e">
        <f ca="1">_xll.BDP(A331 &amp;" Equity", "EQY_DVD_YLD_IND_NET")</f>
        <v>#NAME?</v>
      </c>
    </row>
    <row r="332" spans="2:28" s="6" customFormat="1">
      <c r="B332" s="8"/>
      <c r="F332" s="56"/>
      <c r="G332" s="56"/>
      <c r="H332" s="56"/>
      <c r="Q332" s="56"/>
      <c r="Z332" s="8" t="e">
        <f ca="1">_xll.BDP(A332 &amp;" Equity", "DVD_FREQ")</f>
        <v>#NAME?</v>
      </c>
      <c r="AA332" s="23">
        <f t="shared" si="27"/>
        <v>0</v>
      </c>
      <c r="AB332" s="206" t="e">
        <f ca="1">_xll.BDP(A332 &amp;" Equity", "EQY_DVD_YLD_IND_NET")</f>
        <v>#NAME?</v>
      </c>
    </row>
    <row r="333" spans="2:28" s="6" customFormat="1">
      <c r="B333" s="8"/>
      <c r="F333" s="56"/>
      <c r="G333" s="56"/>
      <c r="H333" s="56"/>
      <c r="Q333" s="56"/>
      <c r="Z333" s="8" t="e">
        <f ca="1">_xll.BDP(A333 &amp;" Equity", "DVD_FREQ")</f>
        <v>#NAME?</v>
      </c>
      <c r="AA333" s="23">
        <f t="shared" si="27"/>
        <v>0</v>
      </c>
      <c r="AB333" s="206" t="e">
        <f ca="1">_xll.BDP(A333 &amp;" Equity", "EQY_DVD_YLD_IND_NET")</f>
        <v>#NAME?</v>
      </c>
    </row>
    <row r="334" spans="2:28" s="6" customFormat="1">
      <c r="B334" s="8"/>
      <c r="F334" s="56"/>
      <c r="G334" s="56"/>
      <c r="H334" s="56"/>
      <c r="Q334" s="56"/>
      <c r="Z334" s="8" t="e">
        <f ca="1">_xll.BDP(A334 &amp;" Equity", "DVD_FREQ")</f>
        <v>#NAME?</v>
      </c>
      <c r="AA334" s="23">
        <f t="shared" si="27"/>
        <v>0</v>
      </c>
      <c r="AB334" s="206" t="e">
        <f ca="1">_xll.BDP(A334 &amp;" Equity", "EQY_DVD_YLD_IND_NET")</f>
        <v>#NAME?</v>
      </c>
    </row>
    <row r="335" spans="2:28" s="6" customFormat="1">
      <c r="B335" s="8"/>
      <c r="F335" s="56"/>
      <c r="G335" s="56"/>
      <c r="H335" s="56"/>
      <c r="Q335" s="56"/>
      <c r="Z335" s="8" t="e">
        <f ca="1">_xll.BDP(A335 &amp;" Equity", "DVD_FREQ")</f>
        <v>#NAME?</v>
      </c>
      <c r="AA335" s="23">
        <f t="shared" si="27"/>
        <v>0</v>
      </c>
      <c r="AB335" s="206" t="e">
        <f ca="1">_xll.BDP(A335 &amp;" Equity", "EQY_DVD_YLD_IND_NET")</f>
        <v>#NAME?</v>
      </c>
    </row>
    <row r="336" spans="2:28" s="6" customFormat="1">
      <c r="B336" s="8"/>
      <c r="F336" s="56"/>
      <c r="G336" s="56"/>
      <c r="H336" s="56"/>
      <c r="Q336" s="56"/>
      <c r="Z336" s="8" t="e">
        <f ca="1">_xll.BDP(A336 &amp;" Equity", "DVD_FREQ")</f>
        <v>#NAME?</v>
      </c>
      <c r="AA336" s="23">
        <f t="shared" si="27"/>
        <v>0</v>
      </c>
      <c r="AB336" s="206" t="e">
        <f ca="1">_xll.BDP(A336 &amp;" Equity", "EQY_DVD_YLD_IND_NET")</f>
        <v>#NAME?</v>
      </c>
    </row>
    <row r="337" spans="2:28" s="6" customFormat="1">
      <c r="B337" s="8"/>
      <c r="F337" s="56"/>
      <c r="G337" s="56"/>
      <c r="H337" s="56"/>
      <c r="Q337" s="56"/>
      <c r="Z337" s="8" t="e">
        <f ca="1">_xll.BDP(A337 &amp;" Equity", "DVD_FREQ")</f>
        <v>#NAME?</v>
      </c>
      <c r="AA337" s="23">
        <f t="shared" si="27"/>
        <v>0</v>
      </c>
      <c r="AB337" s="206" t="e">
        <f ca="1">_xll.BDP(A337 &amp;" Equity", "EQY_DVD_YLD_IND_NET")</f>
        <v>#NAME?</v>
      </c>
    </row>
    <row r="338" spans="2:28" s="6" customFormat="1">
      <c r="B338" s="8"/>
      <c r="F338" s="56"/>
      <c r="G338" s="56"/>
      <c r="H338" s="56"/>
      <c r="Q338" s="56"/>
      <c r="Z338" s="8" t="e">
        <f ca="1">_xll.BDP(A338 &amp;" Equity", "DVD_FREQ")</f>
        <v>#NAME?</v>
      </c>
      <c r="AA338" s="23">
        <f t="shared" si="27"/>
        <v>0</v>
      </c>
      <c r="AB338" s="206" t="e">
        <f ca="1">_xll.BDP(A338 &amp;" Equity", "EQY_DVD_YLD_IND_NET")</f>
        <v>#NAME?</v>
      </c>
    </row>
    <row r="339" spans="2:28" s="6" customFormat="1">
      <c r="B339" s="8"/>
      <c r="F339" s="56"/>
      <c r="G339" s="56"/>
      <c r="H339" s="56"/>
      <c r="Q339" s="56"/>
      <c r="Z339" s="8" t="e">
        <f ca="1">_xll.BDP(A339 &amp;" Equity", "DVD_FREQ")</f>
        <v>#NAME?</v>
      </c>
      <c r="AA339" s="23">
        <f t="shared" si="27"/>
        <v>0</v>
      </c>
      <c r="AB339" s="206" t="e">
        <f ca="1">_xll.BDP(A339 &amp;" Equity", "EQY_DVD_YLD_IND_NET")</f>
        <v>#NAME?</v>
      </c>
    </row>
    <row r="340" spans="2:28" s="6" customFormat="1">
      <c r="B340" s="8"/>
      <c r="F340" s="56"/>
      <c r="G340" s="56"/>
      <c r="H340" s="56"/>
      <c r="Q340" s="56"/>
      <c r="Z340" s="8" t="e">
        <f ca="1">_xll.BDP(A340 &amp;" Equity", "DVD_FREQ")</f>
        <v>#NAME?</v>
      </c>
      <c r="AA340" s="23">
        <f t="shared" si="27"/>
        <v>0</v>
      </c>
      <c r="AB340" s="206" t="e">
        <f ca="1">_xll.BDP(A340 &amp;" Equity", "EQY_DVD_YLD_IND_NET")</f>
        <v>#NAME?</v>
      </c>
    </row>
    <row r="341" spans="2:28" s="6" customFormat="1">
      <c r="B341" s="8"/>
      <c r="F341" s="56"/>
      <c r="G341" s="56"/>
      <c r="H341" s="56"/>
      <c r="Q341" s="56"/>
      <c r="Z341" s="8" t="e">
        <f ca="1">_xll.BDP(A341 &amp;" Equity", "DVD_FREQ")</f>
        <v>#NAME?</v>
      </c>
      <c r="AA341" s="23">
        <f t="shared" si="27"/>
        <v>0</v>
      </c>
      <c r="AB341" s="206" t="e">
        <f ca="1">_xll.BDP(A341 &amp;" Equity", "EQY_DVD_YLD_IND_NET")</f>
        <v>#NAME?</v>
      </c>
    </row>
    <row r="342" spans="2:28" s="6" customFormat="1">
      <c r="B342" s="8"/>
      <c r="F342" s="56"/>
      <c r="G342" s="56"/>
      <c r="H342" s="56"/>
      <c r="Q342" s="56"/>
      <c r="Z342" s="8" t="e">
        <f ca="1">_xll.BDP(A342 &amp;" Equity", "DVD_FREQ")</f>
        <v>#NAME?</v>
      </c>
      <c r="AA342" s="23">
        <f t="shared" si="27"/>
        <v>0</v>
      </c>
      <c r="AB342" s="206" t="e">
        <f ca="1">_xll.BDP(A342 &amp;" Equity", "EQY_DVD_YLD_IND_NET")</f>
        <v>#NAME?</v>
      </c>
    </row>
    <row r="343" spans="2:28" s="6" customFormat="1">
      <c r="B343" s="8"/>
      <c r="F343" s="56"/>
      <c r="G343" s="56"/>
      <c r="H343" s="56"/>
      <c r="Q343" s="56"/>
      <c r="Z343" s="8" t="e">
        <f ca="1">_xll.BDP(A343 &amp;" Equity", "DVD_FREQ")</f>
        <v>#NAME?</v>
      </c>
      <c r="AA343" s="23">
        <f t="shared" si="27"/>
        <v>0</v>
      </c>
      <c r="AB343" s="206" t="e">
        <f ca="1">_xll.BDP(A343 &amp;" Equity", "EQY_DVD_YLD_IND_NET")</f>
        <v>#NAME?</v>
      </c>
    </row>
    <row r="344" spans="2:28" s="6" customFormat="1">
      <c r="B344" s="8"/>
      <c r="F344" s="56"/>
      <c r="G344" s="56"/>
      <c r="H344" s="56"/>
      <c r="Q344" s="56"/>
      <c r="Z344" s="8" t="e">
        <f ca="1">_xll.BDP(A344 &amp;" Equity", "DVD_FREQ")</f>
        <v>#NAME?</v>
      </c>
      <c r="AA344" s="23">
        <f t="shared" si="27"/>
        <v>0</v>
      </c>
      <c r="AB344" s="206" t="e">
        <f ca="1">_xll.BDP(A344 &amp;" Equity", "EQY_DVD_YLD_IND_NET")</f>
        <v>#NAME?</v>
      </c>
    </row>
    <row r="345" spans="2:28" s="6" customFormat="1">
      <c r="B345" s="8"/>
      <c r="F345" s="56"/>
      <c r="G345" s="56"/>
      <c r="H345" s="56"/>
      <c r="Q345" s="56"/>
      <c r="Z345" s="8" t="e">
        <f ca="1">_xll.BDP(A345 &amp;" Equity", "DVD_FREQ")</f>
        <v>#NAME?</v>
      </c>
      <c r="AA345" s="23">
        <f t="shared" si="27"/>
        <v>0</v>
      </c>
      <c r="AB345" s="206" t="e">
        <f ca="1">_xll.BDP(A345 &amp;" Equity", "EQY_DVD_YLD_IND_NET")</f>
        <v>#NAME?</v>
      </c>
    </row>
    <row r="346" spans="2:28" s="6" customFormat="1">
      <c r="B346" s="8"/>
      <c r="F346" s="56"/>
      <c r="G346" s="56"/>
      <c r="H346" s="56"/>
      <c r="Q346" s="56"/>
      <c r="Z346" s="8" t="e">
        <f ca="1">_xll.BDP(A346 &amp;" Equity", "DVD_FREQ")</f>
        <v>#NAME?</v>
      </c>
      <c r="AA346" s="23">
        <f t="shared" si="27"/>
        <v>0</v>
      </c>
      <c r="AB346" s="206" t="e">
        <f ca="1">_xll.BDP(A346 &amp;" Equity", "EQY_DVD_YLD_IND_NET")</f>
        <v>#NAME?</v>
      </c>
    </row>
    <row r="347" spans="2:28" s="6" customFormat="1">
      <c r="B347" s="8"/>
      <c r="F347" s="56"/>
      <c r="G347" s="56"/>
      <c r="H347" s="56"/>
      <c r="Q347" s="56"/>
      <c r="Z347" s="8" t="e">
        <f ca="1">_xll.BDP(A347 &amp;" Equity", "DVD_FREQ")</f>
        <v>#NAME?</v>
      </c>
      <c r="AA347" s="23">
        <f t="shared" si="27"/>
        <v>0</v>
      </c>
      <c r="AB347" s="206" t="e">
        <f ca="1">_xll.BDP(A347 &amp;" Equity", "EQY_DVD_YLD_IND_NET")</f>
        <v>#NAME?</v>
      </c>
    </row>
    <row r="348" spans="2:28" s="6" customFormat="1">
      <c r="B348" s="8"/>
      <c r="F348" s="56"/>
      <c r="G348" s="56"/>
      <c r="H348" s="56"/>
      <c r="Q348" s="56"/>
      <c r="Z348" s="8" t="e">
        <f ca="1">_xll.BDP(A348 &amp;" Equity", "DVD_FREQ")</f>
        <v>#NAME?</v>
      </c>
      <c r="AA348" s="23">
        <f t="shared" si="27"/>
        <v>0</v>
      </c>
      <c r="AB348" s="206" t="e">
        <f ca="1">_xll.BDP(A348 &amp;" Equity", "EQY_DVD_YLD_IND_NET")</f>
        <v>#NAME?</v>
      </c>
    </row>
    <row r="349" spans="2:28" s="6" customFormat="1">
      <c r="B349" s="8"/>
      <c r="F349" s="56"/>
      <c r="G349" s="56"/>
      <c r="H349" s="56"/>
      <c r="Q349" s="56"/>
      <c r="Z349" s="8" t="e">
        <f ca="1">_xll.BDP(A349 &amp;" Equity", "DVD_FREQ")</f>
        <v>#NAME?</v>
      </c>
      <c r="AA349" s="23">
        <f t="shared" si="27"/>
        <v>0</v>
      </c>
      <c r="AB349" s="206" t="e">
        <f ca="1">_xll.BDP(A349 &amp;" Equity", "EQY_DVD_YLD_IND_NET")</f>
        <v>#NAME?</v>
      </c>
    </row>
    <row r="350" spans="2:28" s="6" customFormat="1">
      <c r="B350" s="8"/>
      <c r="F350" s="56"/>
      <c r="G350" s="56"/>
      <c r="H350" s="56"/>
      <c r="Q350" s="56"/>
      <c r="Z350" s="8"/>
      <c r="AA350" s="23"/>
      <c r="AB350" s="206"/>
    </row>
    <row r="351" spans="2:28" s="6" customFormat="1">
      <c r="B351" s="8"/>
      <c r="F351" s="56"/>
      <c r="G351" s="56"/>
      <c r="H351" s="56"/>
      <c r="Q351" s="56"/>
      <c r="Z351" s="8"/>
      <c r="AA351" s="23"/>
      <c r="AB351" s="206"/>
    </row>
    <row r="352" spans="2:28" s="6" customFormat="1">
      <c r="B352" s="8"/>
      <c r="F352" s="56"/>
      <c r="G352" s="56"/>
      <c r="H352" s="56"/>
      <c r="Q352" s="56"/>
      <c r="Z352" s="8"/>
      <c r="AA352" s="23"/>
      <c r="AB352" s="206"/>
    </row>
    <row r="353" spans="2:28" s="6" customFormat="1">
      <c r="B353" s="8"/>
      <c r="F353" s="56"/>
      <c r="G353" s="56"/>
      <c r="H353" s="56"/>
      <c r="Q353" s="56"/>
      <c r="Z353" s="8"/>
      <c r="AA353" s="23"/>
      <c r="AB353" s="206"/>
    </row>
    <row r="354" spans="2:28" s="6" customFormat="1">
      <c r="B354" s="8"/>
      <c r="F354" s="56"/>
      <c r="G354" s="56"/>
      <c r="H354" s="56"/>
      <c r="Q354" s="56"/>
      <c r="Z354" s="8"/>
      <c r="AA354" s="23"/>
      <c r="AB354" s="206"/>
    </row>
    <row r="355" spans="2:28" s="6" customFormat="1">
      <c r="B355" s="8"/>
      <c r="F355" s="56"/>
      <c r="G355" s="56"/>
      <c r="H355" s="56"/>
      <c r="Q355" s="56"/>
      <c r="Z355" s="8"/>
      <c r="AA355" s="23"/>
      <c r="AB355" s="206"/>
    </row>
    <row r="356" spans="2:28" s="6" customFormat="1">
      <c r="B356" s="8"/>
      <c r="F356" s="56"/>
      <c r="G356" s="56"/>
      <c r="H356" s="56"/>
      <c r="Q356" s="56"/>
      <c r="Z356" s="8"/>
      <c r="AA356" s="23"/>
      <c r="AB356" s="206"/>
    </row>
    <row r="357" spans="2:28" s="6" customFormat="1">
      <c r="B357" s="8"/>
      <c r="F357" s="56"/>
      <c r="G357" s="56"/>
      <c r="H357" s="56"/>
      <c r="Q357" s="56"/>
      <c r="Z357" s="8"/>
      <c r="AA357" s="23"/>
      <c r="AB357" s="206"/>
    </row>
    <row r="358" spans="2:28" s="6" customFormat="1">
      <c r="B358" s="8"/>
      <c r="F358" s="56"/>
      <c r="G358" s="56"/>
      <c r="H358" s="56"/>
      <c r="Q358" s="56"/>
      <c r="Z358" s="8"/>
      <c r="AA358" s="23"/>
      <c r="AB358" s="206"/>
    </row>
    <row r="359" spans="2:28" s="6" customFormat="1">
      <c r="B359" s="8"/>
      <c r="F359" s="56"/>
      <c r="G359" s="56"/>
      <c r="H359" s="56"/>
      <c r="Q359" s="56"/>
      <c r="Z359" s="8"/>
      <c r="AA359" s="23"/>
      <c r="AB359" s="206"/>
    </row>
    <row r="360" spans="2:28" s="6" customFormat="1">
      <c r="B360" s="8"/>
      <c r="F360" s="56"/>
      <c r="G360" s="56"/>
      <c r="H360" s="56"/>
      <c r="Q360" s="56"/>
      <c r="Z360" s="8"/>
      <c r="AA360" s="23"/>
      <c r="AB360" s="206"/>
    </row>
    <row r="361" spans="2:28" s="6" customFormat="1">
      <c r="B361" s="8"/>
      <c r="F361" s="56"/>
      <c r="G361" s="56"/>
      <c r="H361" s="56"/>
      <c r="Q361" s="56"/>
      <c r="Z361" s="8"/>
      <c r="AA361" s="23"/>
      <c r="AB361" s="206"/>
    </row>
    <row r="362" spans="2:28" s="6" customFormat="1">
      <c r="B362" s="8"/>
      <c r="F362" s="56"/>
      <c r="G362" s="56"/>
      <c r="H362" s="56"/>
      <c r="Q362" s="56"/>
      <c r="Z362" s="8"/>
      <c r="AA362" s="23"/>
      <c r="AB362" s="206"/>
    </row>
    <row r="363" spans="2:28" s="6" customFormat="1">
      <c r="B363" s="8"/>
      <c r="F363" s="56"/>
      <c r="G363" s="56"/>
      <c r="H363" s="56"/>
      <c r="Q363" s="56"/>
      <c r="Z363" s="8"/>
      <c r="AA363" s="23"/>
      <c r="AB363" s="206"/>
    </row>
    <row r="364" spans="2:28" s="6" customFormat="1">
      <c r="B364" s="8"/>
      <c r="F364" s="56"/>
      <c r="G364" s="56"/>
      <c r="H364" s="56"/>
      <c r="Q364" s="56"/>
      <c r="Z364" s="8"/>
      <c r="AA364" s="23"/>
      <c r="AB364" s="206"/>
    </row>
    <row r="365" spans="2:28" s="6" customFormat="1">
      <c r="B365" s="8"/>
      <c r="F365" s="56"/>
      <c r="G365" s="56"/>
      <c r="H365" s="56"/>
      <c r="Q365" s="56"/>
      <c r="Z365" s="8"/>
      <c r="AA365" s="23"/>
      <c r="AB365" s="206"/>
    </row>
    <row r="366" spans="2:28" s="6" customFormat="1">
      <c r="B366" s="8"/>
      <c r="F366" s="56"/>
      <c r="G366" s="56"/>
      <c r="H366" s="56"/>
      <c r="Q366" s="56"/>
      <c r="Z366" s="8"/>
      <c r="AA366" s="23"/>
      <c r="AB366" s="206"/>
    </row>
    <row r="367" spans="2:28" s="6" customFormat="1">
      <c r="B367" s="8"/>
      <c r="F367" s="56"/>
      <c r="G367" s="56"/>
      <c r="H367" s="56"/>
      <c r="Q367" s="56"/>
      <c r="Z367" s="8"/>
      <c r="AA367" s="23"/>
      <c r="AB367" s="206"/>
    </row>
    <row r="368" spans="2:28" s="6" customFormat="1">
      <c r="B368" s="8"/>
      <c r="F368" s="56"/>
      <c r="G368" s="56"/>
      <c r="H368" s="56"/>
      <c r="Q368" s="56"/>
      <c r="Z368" s="8"/>
      <c r="AA368" s="23"/>
      <c r="AB368" s="206"/>
    </row>
    <row r="369" spans="1:28" s="6" customFormat="1">
      <c r="B369" s="8"/>
      <c r="F369" s="56"/>
      <c r="G369" s="56"/>
      <c r="H369" s="56"/>
      <c r="Q369" s="56"/>
      <c r="Z369" s="8"/>
      <c r="AA369" s="23"/>
      <c r="AB369" s="206"/>
    </row>
    <row r="370" spans="1:28" s="6" customFormat="1">
      <c r="B370" s="8"/>
      <c r="F370" s="56"/>
      <c r="G370" s="56"/>
      <c r="H370" s="56"/>
      <c r="Q370" s="56"/>
      <c r="Z370" s="8"/>
      <c r="AA370" s="23"/>
      <c r="AB370" s="206"/>
    </row>
    <row r="371" spans="1:28" s="6" customFormat="1">
      <c r="B371" s="8"/>
      <c r="F371" s="56"/>
      <c r="G371" s="56"/>
      <c r="H371" s="56"/>
      <c r="Q371" s="56"/>
      <c r="Z371" s="8"/>
      <c r="AA371" s="23"/>
      <c r="AB371" s="206"/>
    </row>
    <row r="372" spans="1:28" s="6" customFormat="1">
      <c r="B372" s="8"/>
      <c r="F372" s="56"/>
      <c r="G372" s="56"/>
      <c r="H372" s="56"/>
      <c r="Q372" s="56"/>
      <c r="Z372" s="8"/>
      <c r="AA372" s="23"/>
      <c r="AB372" s="206"/>
    </row>
    <row r="373" spans="1:28" s="6" customFormat="1">
      <c r="B373" s="8"/>
      <c r="F373" s="56"/>
      <c r="G373" s="56"/>
      <c r="H373" s="56"/>
      <c r="Q373" s="56"/>
      <c r="Z373" s="8"/>
      <c r="AA373" s="23"/>
      <c r="AB373" s="206"/>
    </row>
    <row r="374" spans="1:28" s="6" customFormat="1">
      <c r="A374" s="2"/>
      <c r="B374" s="1"/>
      <c r="C374" s="2"/>
      <c r="D374" s="2"/>
      <c r="E374" s="2"/>
      <c r="F374" s="56"/>
      <c r="G374" s="56"/>
      <c r="H374" s="56"/>
      <c r="Q374" s="56"/>
      <c r="Z374" s="8"/>
      <c r="AA374" s="23"/>
      <c r="AB374" s="206"/>
    </row>
    <row r="375" spans="1:28" s="6" customFormat="1">
      <c r="A375" s="2"/>
      <c r="B375" s="1"/>
      <c r="C375" s="2"/>
      <c r="D375" s="2"/>
      <c r="E375" s="2"/>
      <c r="F375" s="56"/>
      <c r="G375" s="56"/>
      <c r="H375" s="56"/>
      <c r="Q375" s="56"/>
      <c r="Z375" s="8"/>
      <c r="AA375" s="23"/>
      <c r="AB375" s="206"/>
    </row>
    <row r="376" spans="1:28" s="6" customFormat="1">
      <c r="A376" s="2"/>
      <c r="B376" s="1"/>
      <c r="C376" s="2"/>
      <c r="D376" s="2"/>
      <c r="E376" s="2"/>
      <c r="F376" s="56"/>
      <c r="G376" s="56"/>
      <c r="H376" s="56"/>
      <c r="Q376" s="56"/>
      <c r="Z376" s="8"/>
      <c r="AA376" s="23"/>
      <c r="AB376" s="206"/>
    </row>
    <row r="377" spans="1:28" s="6" customFormat="1">
      <c r="A377" s="2"/>
      <c r="B377" s="1"/>
      <c r="C377" s="2"/>
      <c r="D377" s="2"/>
      <c r="E377" s="2"/>
      <c r="F377" s="56"/>
      <c r="G377" s="56"/>
      <c r="H377" s="56"/>
      <c r="Q377" s="56"/>
      <c r="Z377" s="8"/>
      <c r="AA377" s="23"/>
      <c r="AB377" s="206"/>
    </row>
    <row r="378" spans="1:28" s="6" customFormat="1">
      <c r="A378" s="2"/>
      <c r="B378" s="1"/>
      <c r="C378" s="2"/>
      <c r="D378" s="2"/>
      <c r="E378" s="2"/>
      <c r="F378" s="56"/>
      <c r="G378" s="56"/>
      <c r="H378" s="56"/>
      <c r="Q378" s="56"/>
      <c r="Z378" s="8"/>
      <c r="AA378" s="23"/>
      <c r="AB378" s="206"/>
    </row>
    <row r="379" spans="1:28" s="6" customFormat="1">
      <c r="A379" s="2"/>
      <c r="B379" s="1"/>
      <c r="C379" s="2"/>
      <c r="D379" s="2"/>
      <c r="E379" s="2"/>
      <c r="F379" s="56"/>
      <c r="G379" s="56"/>
      <c r="H379" s="56"/>
      <c r="Q379" s="56"/>
      <c r="Z379" s="8"/>
      <c r="AA379" s="23"/>
      <c r="AB379" s="206"/>
    </row>
    <row r="380" spans="1:28" s="6" customFormat="1">
      <c r="A380" s="2"/>
      <c r="B380" s="1"/>
      <c r="C380" s="2"/>
      <c r="D380" s="2"/>
      <c r="E380" s="2"/>
      <c r="F380" s="56"/>
      <c r="G380" s="56"/>
      <c r="H380" s="56"/>
      <c r="Q380" s="56"/>
      <c r="Z380" s="8"/>
      <c r="AA380" s="23"/>
      <c r="AB380" s="206"/>
    </row>
    <row r="381" spans="1:28" s="6" customFormat="1">
      <c r="A381" s="2"/>
      <c r="B381" s="1"/>
      <c r="C381" s="2"/>
      <c r="D381" s="2"/>
      <c r="E381" s="2"/>
      <c r="F381" s="56"/>
      <c r="G381" s="56"/>
      <c r="H381" s="56"/>
      <c r="Q381" s="56"/>
      <c r="Z381" s="8"/>
      <c r="AA381" s="23"/>
      <c r="AB381" s="206"/>
    </row>
    <row r="382" spans="1:28" s="6" customFormat="1">
      <c r="A382" s="2"/>
      <c r="B382" s="1"/>
      <c r="C382" s="2"/>
      <c r="D382" s="2"/>
      <c r="E382" s="2"/>
      <c r="F382" s="56"/>
      <c r="G382" s="56"/>
      <c r="H382" s="56"/>
      <c r="Q382" s="56"/>
      <c r="Z382" s="8"/>
      <c r="AA382" s="23"/>
      <c r="AB382" s="206"/>
    </row>
    <row r="383" spans="1:28" s="6" customFormat="1">
      <c r="A383" s="2"/>
      <c r="B383" s="1"/>
      <c r="C383" s="2"/>
      <c r="D383" s="2"/>
      <c r="E383" s="2"/>
      <c r="F383" s="56"/>
      <c r="G383" s="56"/>
      <c r="H383" s="56"/>
      <c r="Q383" s="56"/>
      <c r="Z383" s="8"/>
      <c r="AA383" s="23"/>
      <c r="AB383" s="206"/>
    </row>
    <row r="384" spans="1:28" s="6" customFormat="1">
      <c r="A384" s="2"/>
      <c r="B384" s="1"/>
      <c r="C384" s="2"/>
      <c r="D384" s="2"/>
      <c r="E384" s="2"/>
      <c r="F384" s="56"/>
      <c r="G384" s="56"/>
      <c r="H384" s="56"/>
      <c r="Q384" s="56"/>
      <c r="Z384" s="8"/>
      <c r="AA384" s="23"/>
      <c r="AB384" s="206"/>
    </row>
    <row r="385" spans="1:28" s="6" customFormat="1">
      <c r="A385" s="2"/>
      <c r="B385" s="1"/>
      <c r="C385" s="2"/>
      <c r="D385" s="2"/>
      <c r="E385" s="2"/>
      <c r="F385" s="56"/>
      <c r="G385" s="56"/>
      <c r="H385" s="56"/>
      <c r="Q385" s="56"/>
      <c r="Z385" s="8"/>
      <c r="AA385" s="23"/>
      <c r="AB385" s="206"/>
    </row>
    <row r="386" spans="1:28" s="6" customFormat="1">
      <c r="A386" s="2"/>
      <c r="B386" s="1"/>
      <c r="C386" s="2"/>
      <c r="D386" s="2"/>
      <c r="E386" s="2"/>
      <c r="F386" s="56"/>
      <c r="G386" s="56"/>
      <c r="H386" s="56"/>
      <c r="Q386" s="56"/>
      <c r="Z386" s="8"/>
      <c r="AA386" s="23"/>
      <c r="AB386" s="206"/>
    </row>
    <row r="387" spans="1:28" s="6" customFormat="1">
      <c r="A387" s="2"/>
      <c r="B387" s="1"/>
      <c r="C387" s="2"/>
      <c r="D387" s="2"/>
      <c r="E387" s="2"/>
      <c r="F387" s="56"/>
      <c r="G387" s="56"/>
      <c r="H387" s="56"/>
      <c r="Q387" s="56"/>
      <c r="Z387" s="8"/>
      <c r="AA387" s="23"/>
      <c r="AB387" s="206"/>
    </row>
    <row r="388" spans="1:28" s="6" customFormat="1">
      <c r="A388" s="2"/>
      <c r="B388" s="1"/>
      <c r="C388" s="2"/>
      <c r="D388" s="2"/>
      <c r="E388" s="2"/>
      <c r="F388" s="56"/>
      <c r="G388" s="56"/>
      <c r="H388" s="56"/>
      <c r="Q388" s="56"/>
      <c r="Z388" s="8"/>
      <c r="AA388" s="23"/>
      <c r="AB388" s="206"/>
    </row>
    <row r="389" spans="1:28" s="6" customFormat="1">
      <c r="A389" s="2"/>
      <c r="B389" s="1"/>
      <c r="C389" s="2"/>
      <c r="D389" s="2"/>
      <c r="E389" s="2"/>
      <c r="F389" s="56"/>
      <c r="G389" s="56"/>
      <c r="H389" s="56"/>
      <c r="Q389" s="56"/>
      <c r="Z389" s="8"/>
      <c r="AA389" s="23"/>
      <c r="AB389" s="206"/>
    </row>
    <row r="390" spans="1:28" s="6" customFormat="1">
      <c r="A390" s="2"/>
      <c r="B390" s="1"/>
      <c r="C390" s="2"/>
      <c r="D390" s="2"/>
      <c r="E390" s="2"/>
      <c r="F390" s="56"/>
      <c r="G390" s="56"/>
      <c r="H390" s="56"/>
      <c r="Q390" s="56"/>
      <c r="Z390" s="8"/>
      <c r="AA390" s="23"/>
      <c r="AB390" s="206"/>
    </row>
    <row r="391" spans="1:28" s="6" customFormat="1">
      <c r="A391" s="2"/>
      <c r="B391" s="1"/>
      <c r="C391" s="2"/>
      <c r="D391" s="2"/>
      <c r="E391" s="2"/>
      <c r="F391" s="56"/>
      <c r="G391" s="56"/>
      <c r="H391" s="56"/>
      <c r="Q391" s="56"/>
      <c r="Z391" s="8"/>
      <c r="AA391" s="23"/>
      <c r="AB391" s="206"/>
    </row>
    <row r="392" spans="1:28" s="6" customFormat="1">
      <c r="A392" s="2"/>
      <c r="B392" s="1"/>
      <c r="C392" s="2"/>
      <c r="D392" s="2"/>
      <c r="E392" s="2"/>
      <c r="F392" s="56"/>
      <c r="G392" s="56"/>
      <c r="H392" s="56"/>
      <c r="Q392" s="56"/>
      <c r="Z392" s="8"/>
      <c r="AA392" s="23"/>
      <c r="AB392" s="206"/>
    </row>
    <row r="393" spans="1:28" s="6" customFormat="1">
      <c r="A393" s="2"/>
      <c r="B393" s="1"/>
      <c r="C393" s="2"/>
      <c r="D393" s="2"/>
      <c r="E393" s="2"/>
      <c r="F393" s="56"/>
      <c r="G393" s="56"/>
      <c r="H393" s="56"/>
      <c r="Q393" s="56"/>
      <c r="Z393" s="8"/>
      <c r="AA393" s="23"/>
      <c r="AB393" s="206"/>
    </row>
    <row r="394" spans="1:28" s="6" customFormat="1">
      <c r="A394" s="2"/>
      <c r="B394" s="1"/>
      <c r="C394" s="2"/>
      <c r="D394" s="2"/>
      <c r="E394" s="2"/>
      <c r="F394" s="56"/>
      <c r="G394" s="56"/>
      <c r="H394" s="56"/>
      <c r="Q394" s="56"/>
      <c r="Z394" s="8"/>
      <c r="AA394" s="23"/>
      <c r="AB394" s="206"/>
    </row>
    <row r="395" spans="1:28" s="6" customFormat="1">
      <c r="A395" s="2"/>
      <c r="B395" s="1"/>
      <c r="C395" s="2"/>
      <c r="D395" s="2"/>
      <c r="E395" s="2"/>
      <c r="F395" s="56"/>
      <c r="G395" s="56"/>
      <c r="H395" s="56"/>
      <c r="Q395" s="56"/>
      <c r="Z395" s="8"/>
      <c r="AA395" s="23"/>
      <c r="AB395" s="206"/>
    </row>
    <row r="396" spans="1:28" s="6" customFormat="1">
      <c r="A396" s="2"/>
      <c r="B396" s="1"/>
      <c r="C396" s="2"/>
      <c r="D396" s="2"/>
      <c r="E396" s="2"/>
      <c r="F396" s="56"/>
      <c r="G396" s="56"/>
      <c r="H396" s="56"/>
      <c r="Q396" s="56"/>
      <c r="Z396" s="8"/>
      <c r="AA396" s="23"/>
      <c r="AB396" s="206"/>
    </row>
    <row r="397" spans="1:28" s="6" customFormat="1">
      <c r="A397" s="2"/>
      <c r="B397" s="1"/>
      <c r="C397" s="2"/>
      <c r="D397" s="2"/>
      <c r="E397" s="2"/>
      <c r="F397" s="56"/>
      <c r="G397" s="56"/>
      <c r="H397" s="56"/>
      <c r="Q397" s="56"/>
      <c r="Z397" s="8"/>
      <c r="AA397" s="23"/>
      <c r="AB397" s="206"/>
    </row>
    <row r="398" spans="1:28" s="6" customFormat="1">
      <c r="A398" s="2"/>
      <c r="B398" s="1"/>
      <c r="C398" s="2"/>
      <c r="D398" s="2"/>
      <c r="E398" s="2"/>
      <c r="F398" s="56"/>
      <c r="G398" s="56"/>
      <c r="H398" s="56"/>
      <c r="Q398" s="56"/>
      <c r="Z398" s="8"/>
      <c r="AA398" s="23"/>
      <c r="AB398" s="206"/>
    </row>
    <row r="399" spans="1:28" s="6" customFormat="1">
      <c r="A399" s="2"/>
      <c r="B399" s="1"/>
      <c r="C399" s="2"/>
      <c r="D399" s="2"/>
      <c r="E399" s="2"/>
      <c r="F399" s="56"/>
      <c r="G399" s="56"/>
      <c r="H399" s="56"/>
      <c r="Q399" s="56"/>
      <c r="Z399" s="8"/>
      <c r="AA399" s="23"/>
      <c r="AB399" s="206"/>
    </row>
    <row r="400" spans="1:28" s="6" customFormat="1">
      <c r="A400" s="2"/>
      <c r="B400" s="1"/>
      <c r="C400" s="2"/>
      <c r="D400" s="2"/>
      <c r="E400" s="2"/>
      <c r="F400" s="56"/>
      <c r="G400" s="56"/>
      <c r="H400" s="56"/>
      <c r="Q400" s="56"/>
      <c r="Z400" s="8"/>
      <c r="AA400" s="23"/>
      <c r="AB400" s="206"/>
    </row>
    <row r="401" spans="1:28" s="6" customFormat="1">
      <c r="A401" s="2"/>
      <c r="B401" s="1"/>
      <c r="C401" s="2"/>
      <c r="D401" s="2"/>
      <c r="E401" s="2"/>
      <c r="F401" s="56"/>
      <c r="G401" s="56"/>
      <c r="H401" s="56"/>
      <c r="Q401" s="56"/>
      <c r="Z401" s="8"/>
      <c r="AA401" s="23"/>
      <c r="AB401" s="206"/>
    </row>
    <row r="402" spans="1:28" s="6" customFormat="1">
      <c r="A402" s="2"/>
      <c r="B402" s="1"/>
      <c r="C402" s="2"/>
      <c r="D402" s="2"/>
      <c r="E402" s="2"/>
      <c r="F402" s="56"/>
      <c r="G402" s="56"/>
      <c r="H402" s="56"/>
      <c r="Q402" s="56"/>
      <c r="Z402" s="8"/>
      <c r="AA402" s="23"/>
      <c r="AB402" s="206"/>
    </row>
    <row r="403" spans="1:28" s="6" customFormat="1">
      <c r="A403" s="2"/>
      <c r="B403" s="1"/>
      <c r="C403" s="2"/>
      <c r="D403" s="2"/>
      <c r="E403" s="2"/>
      <c r="F403" s="56"/>
      <c r="G403" s="56"/>
      <c r="H403" s="56"/>
      <c r="Q403" s="56"/>
      <c r="Z403" s="8"/>
      <c r="AA403" s="23"/>
      <c r="AB403" s="206"/>
    </row>
    <row r="404" spans="1:28" s="6" customFormat="1">
      <c r="A404" s="2"/>
      <c r="B404" s="1"/>
      <c r="C404" s="2"/>
      <c r="D404" s="2"/>
      <c r="E404" s="2"/>
      <c r="F404" s="56"/>
      <c r="G404" s="56"/>
      <c r="H404" s="56"/>
      <c r="Q404" s="56"/>
      <c r="Z404" s="8"/>
      <c r="AA404" s="23"/>
      <c r="AB404" s="206"/>
    </row>
    <row r="405" spans="1:28" s="6" customFormat="1">
      <c r="A405" s="2"/>
      <c r="B405" s="1"/>
      <c r="C405" s="2"/>
      <c r="D405" s="2"/>
      <c r="E405" s="2"/>
      <c r="F405" s="56"/>
      <c r="G405" s="56"/>
      <c r="H405" s="56"/>
      <c r="Q405" s="56"/>
      <c r="Z405" s="8"/>
      <c r="AA405" s="23"/>
      <c r="AB405" s="206"/>
    </row>
    <row r="406" spans="1:28" s="6" customFormat="1">
      <c r="A406" s="2"/>
      <c r="B406" s="1"/>
      <c r="C406" s="2"/>
      <c r="D406" s="2"/>
      <c r="E406" s="2"/>
      <c r="F406" s="56"/>
      <c r="G406" s="56"/>
      <c r="H406" s="56"/>
      <c r="Q406" s="56"/>
      <c r="Z406" s="8"/>
      <c r="AA406" s="23"/>
      <c r="AB406" s="206"/>
    </row>
    <row r="407" spans="1:28" s="6" customFormat="1">
      <c r="A407" s="2"/>
      <c r="B407" s="1"/>
      <c r="C407" s="2"/>
      <c r="D407" s="2"/>
      <c r="E407" s="2"/>
      <c r="F407" s="56"/>
      <c r="G407" s="56"/>
      <c r="H407" s="56"/>
      <c r="Q407" s="56"/>
      <c r="Z407" s="8"/>
      <c r="AA407" s="23"/>
      <c r="AB407" s="206"/>
    </row>
    <row r="408" spans="1:28" s="6" customFormat="1">
      <c r="A408" s="2"/>
      <c r="B408" s="1"/>
      <c r="C408" s="2"/>
      <c r="D408" s="2"/>
      <c r="E408" s="2"/>
      <c r="F408" s="56"/>
      <c r="G408" s="56"/>
      <c r="H408" s="56"/>
      <c r="Q408" s="56"/>
      <c r="Z408" s="8"/>
      <c r="AA408" s="23"/>
      <c r="AB408" s="206"/>
    </row>
    <row r="409" spans="1:28" s="6" customFormat="1">
      <c r="A409" s="2"/>
      <c r="B409" s="1"/>
      <c r="C409" s="2"/>
      <c r="D409" s="2"/>
      <c r="E409" s="2"/>
      <c r="F409" s="56"/>
      <c r="G409" s="56"/>
      <c r="H409" s="56"/>
      <c r="Q409" s="56"/>
      <c r="Z409" s="8"/>
      <c r="AA409" s="23"/>
      <c r="AB409" s="206"/>
    </row>
    <row r="410" spans="1:28" s="6" customFormat="1">
      <c r="A410" s="2"/>
      <c r="B410" s="1"/>
      <c r="C410" s="2"/>
      <c r="D410" s="2"/>
      <c r="E410" s="2"/>
      <c r="F410" s="56"/>
      <c r="G410" s="56"/>
      <c r="H410" s="56"/>
      <c r="Q410" s="56"/>
      <c r="Z410" s="8"/>
      <c r="AA410" s="23"/>
      <c r="AB410" s="206"/>
    </row>
    <row r="411" spans="1:28" s="6" customFormat="1">
      <c r="A411" s="2"/>
      <c r="B411" s="1"/>
      <c r="C411" s="2"/>
      <c r="D411" s="2"/>
      <c r="E411" s="2"/>
      <c r="F411" s="56"/>
      <c r="G411" s="56"/>
      <c r="H411" s="56"/>
      <c r="Q411" s="56"/>
      <c r="Z411" s="8"/>
      <c r="AA411" s="23"/>
      <c r="AB411" s="206"/>
    </row>
    <row r="412" spans="1:28" s="6" customFormat="1">
      <c r="A412" s="2"/>
      <c r="B412" s="1"/>
      <c r="C412" s="2"/>
      <c r="D412" s="2"/>
      <c r="E412" s="2"/>
      <c r="F412" s="56"/>
      <c r="G412" s="56"/>
      <c r="H412" s="56"/>
      <c r="Q412" s="56"/>
      <c r="Z412" s="8"/>
      <c r="AA412" s="23"/>
      <c r="AB412" s="206"/>
    </row>
    <row r="413" spans="1:28" s="6" customFormat="1">
      <c r="A413" s="2"/>
      <c r="B413" s="1"/>
      <c r="C413" s="2"/>
      <c r="D413" s="2"/>
      <c r="E413" s="2"/>
      <c r="F413" s="56"/>
      <c r="G413" s="56"/>
      <c r="H413" s="56"/>
      <c r="Q413" s="56"/>
      <c r="Z413" s="8"/>
      <c r="AA413" s="23"/>
      <c r="AB413" s="206"/>
    </row>
    <row r="414" spans="1:28" s="6" customFormat="1">
      <c r="A414" s="2"/>
      <c r="B414" s="1"/>
      <c r="C414" s="2"/>
      <c r="D414" s="2"/>
      <c r="E414" s="2"/>
      <c r="F414" s="56"/>
      <c r="G414" s="56"/>
      <c r="H414" s="56"/>
      <c r="Q414" s="56"/>
      <c r="Z414" s="8"/>
      <c r="AA414" s="23"/>
      <c r="AB414" s="206"/>
    </row>
    <row r="415" spans="1:28" s="6" customFormat="1">
      <c r="A415" s="2"/>
      <c r="B415" s="1"/>
      <c r="C415" s="2"/>
      <c r="D415" s="2"/>
      <c r="E415" s="2"/>
      <c r="F415" s="56"/>
      <c r="G415" s="56"/>
      <c r="H415" s="56"/>
      <c r="Q415" s="56"/>
      <c r="Z415" s="8"/>
      <c r="AA415" s="23"/>
      <c r="AB415" s="206"/>
    </row>
    <row r="416" spans="1:28" s="6" customFormat="1">
      <c r="A416" s="2"/>
      <c r="B416" s="1"/>
      <c r="C416" s="2"/>
      <c r="D416" s="2"/>
      <c r="E416" s="2"/>
      <c r="F416" s="56"/>
      <c r="G416" s="56"/>
      <c r="H416" s="56"/>
      <c r="Q416" s="56"/>
      <c r="Z416" s="8"/>
      <c r="AA416" s="23"/>
      <c r="AB416" s="206"/>
    </row>
    <row r="417" spans="1:28" s="6" customFormat="1">
      <c r="A417" s="2"/>
      <c r="B417" s="1"/>
      <c r="C417" s="2"/>
      <c r="D417" s="2"/>
      <c r="E417" s="2"/>
      <c r="F417" s="56"/>
      <c r="G417" s="56"/>
      <c r="H417" s="56"/>
      <c r="Q417" s="56"/>
      <c r="Z417" s="8"/>
      <c r="AA417" s="23"/>
      <c r="AB417" s="206"/>
    </row>
    <row r="418" spans="1:28" s="6" customFormat="1">
      <c r="A418" s="2"/>
      <c r="B418" s="1"/>
      <c r="C418" s="2"/>
      <c r="D418" s="2"/>
      <c r="E418" s="2"/>
      <c r="F418" s="56"/>
      <c r="G418" s="56"/>
      <c r="H418" s="56"/>
      <c r="Q418" s="56"/>
      <c r="Z418" s="8"/>
      <c r="AA418" s="23"/>
      <c r="AB418" s="206"/>
    </row>
    <row r="419" spans="1:28" s="6" customFormat="1">
      <c r="A419" s="2"/>
      <c r="B419" s="1"/>
      <c r="C419" s="2"/>
      <c r="D419" s="2"/>
      <c r="E419" s="2"/>
      <c r="F419" s="56"/>
      <c r="G419" s="56"/>
      <c r="H419" s="56"/>
      <c r="Q419" s="56"/>
      <c r="Z419" s="8"/>
      <c r="AA419" s="23"/>
      <c r="AB419" s="206"/>
    </row>
    <row r="420" spans="1:28" s="6" customFormat="1">
      <c r="A420" s="2"/>
      <c r="B420" s="1"/>
      <c r="C420" s="2"/>
      <c r="D420" s="2"/>
      <c r="E420" s="2"/>
      <c r="F420" s="56"/>
      <c r="G420" s="56"/>
      <c r="H420" s="56"/>
      <c r="Q420" s="56"/>
      <c r="Z420" s="8"/>
      <c r="AA420" s="23"/>
      <c r="AB420" s="206"/>
    </row>
    <row r="421" spans="1:28" s="6" customFormat="1">
      <c r="A421" s="2"/>
      <c r="B421" s="1"/>
      <c r="C421" s="2"/>
      <c r="D421" s="2"/>
      <c r="E421" s="2"/>
      <c r="F421" s="56"/>
      <c r="G421" s="56"/>
      <c r="H421" s="56"/>
      <c r="Q421" s="56"/>
      <c r="Z421" s="8"/>
      <c r="AA421" s="23"/>
      <c r="AB421" s="206"/>
    </row>
    <row r="422" spans="1:28" s="6" customFormat="1">
      <c r="A422" s="2"/>
      <c r="B422" s="1"/>
      <c r="C422" s="2"/>
      <c r="D422" s="2"/>
      <c r="E422" s="2"/>
      <c r="F422" s="56"/>
      <c r="G422" s="56"/>
      <c r="H422" s="56"/>
      <c r="Q422" s="56"/>
      <c r="Z422" s="8"/>
      <c r="AA422" s="23"/>
      <c r="AB422" s="206"/>
    </row>
    <row r="423" spans="1:28" s="6" customFormat="1">
      <c r="A423" s="2"/>
      <c r="B423" s="1"/>
      <c r="C423" s="2"/>
      <c r="D423" s="2"/>
      <c r="E423" s="2"/>
      <c r="F423" s="56"/>
      <c r="G423" s="56"/>
      <c r="H423" s="56"/>
      <c r="Q423" s="56"/>
      <c r="Z423" s="8"/>
      <c r="AA423" s="23"/>
      <c r="AB423" s="206"/>
    </row>
    <row r="424" spans="1:28" s="6" customFormat="1">
      <c r="A424" s="2"/>
      <c r="B424" s="1"/>
      <c r="C424" s="2"/>
      <c r="D424" s="2"/>
      <c r="E424" s="2"/>
      <c r="F424" s="56"/>
      <c r="G424" s="56"/>
      <c r="H424" s="56"/>
      <c r="Q424" s="56"/>
      <c r="Z424" s="8"/>
      <c r="AA424" s="23"/>
      <c r="AB424" s="206"/>
    </row>
    <row r="425" spans="1:28" s="6" customFormat="1">
      <c r="A425" s="2"/>
      <c r="B425" s="1"/>
      <c r="C425" s="2"/>
      <c r="D425" s="2"/>
      <c r="E425" s="2"/>
      <c r="F425" s="56"/>
      <c r="G425" s="56"/>
      <c r="H425" s="56"/>
      <c r="Q425" s="56"/>
      <c r="Z425" s="8"/>
      <c r="AA425" s="23"/>
      <c r="AB425" s="206"/>
    </row>
    <row r="426" spans="1:28" s="6" customFormat="1">
      <c r="A426" s="2"/>
      <c r="B426" s="1"/>
      <c r="C426" s="2"/>
      <c r="D426" s="2"/>
      <c r="E426" s="2"/>
      <c r="F426" s="56"/>
      <c r="G426" s="56"/>
      <c r="H426" s="56"/>
      <c r="Q426" s="56"/>
      <c r="Z426" s="8"/>
      <c r="AA426" s="23"/>
      <c r="AB426" s="206"/>
    </row>
    <row r="427" spans="1:28" s="6" customFormat="1">
      <c r="A427" s="2"/>
      <c r="B427" s="1"/>
      <c r="C427" s="2"/>
      <c r="D427" s="2"/>
      <c r="E427" s="2"/>
      <c r="F427" s="56"/>
      <c r="G427" s="56"/>
      <c r="H427" s="56"/>
      <c r="Q427" s="56"/>
      <c r="Z427" s="8"/>
      <c r="AA427" s="23"/>
      <c r="AB427" s="206"/>
    </row>
    <row r="428" spans="1:28" s="6" customFormat="1">
      <c r="A428" s="2"/>
      <c r="B428" s="1"/>
      <c r="C428" s="2"/>
      <c r="D428" s="2"/>
      <c r="E428" s="2"/>
      <c r="F428" s="56"/>
      <c r="G428" s="56"/>
      <c r="H428" s="56"/>
      <c r="Q428" s="56"/>
      <c r="Z428" s="8"/>
      <c r="AA428" s="23"/>
      <c r="AB428" s="206"/>
    </row>
    <row r="429" spans="1:28" s="6" customFormat="1">
      <c r="A429" s="2"/>
      <c r="B429" s="1"/>
      <c r="C429" s="2"/>
      <c r="D429" s="2"/>
      <c r="E429" s="2"/>
      <c r="F429" s="56"/>
      <c r="G429" s="56"/>
      <c r="H429" s="56"/>
      <c r="Q429" s="56"/>
      <c r="Z429" s="8"/>
      <c r="AA429" s="23"/>
      <c r="AB429" s="206"/>
    </row>
    <row r="430" spans="1:28" s="6" customFormat="1">
      <c r="A430" s="2"/>
      <c r="B430" s="1"/>
      <c r="C430" s="2"/>
      <c r="D430" s="2"/>
      <c r="E430" s="2"/>
      <c r="F430" s="56"/>
      <c r="G430" s="56"/>
      <c r="H430" s="56"/>
      <c r="Q430" s="56"/>
      <c r="Z430" s="8"/>
      <c r="AA430" s="23"/>
      <c r="AB430" s="206"/>
    </row>
    <row r="431" spans="1:28" s="6" customFormat="1">
      <c r="A431" s="2"/>
      <c r="B431" s="1"/>
      <c r="C431" s="2"/>
      <c r="D431" s="2"/>
      <c r="E431" s="2"/>
      <c r="F431" s="56"/>
      <c r="G431" s="56"/>
      <c r="H431" s="56"/>
      <c r="Q431" s="56"/>
      <c r="Z431" s="8"/>
      <c r="AA431" s="23"/>
      <c r="AB431" s="206"/>
    </row>
    <row r="432" spans="1:28" s="6" customFormat="1">
      <c r="A432" s="2"/>
      <c r="B432" s="1"/>
      <c r="C432" s="2"/>
      <c r="D432" s="2"/>
      <c r="E432" s="2"/>
      <c r="F432" s="56"/>
      <c r="G432" s="56"/>
      <c r="H432" s="56"/>
      <c r="Q432" s="56"/>
      <c r="Z432" s="8"/>
      <c r="AA432" s="23"/>
      <c r="AB432" s="206"/>
    </row>
    <row r="433" spans="1:28" s="6" customFormat="1">
      <c r="A433" s="2"/>
      <c r="B433" s="1"/>
      <c r="C433" s="2"/>
      <c r="D433" s="2"/>
      <c r="E433" s="2"/>
      <c r="F433" s="56"/>
      <c r="G433" s="56"/>
      <c r="H433" s="56"/>
      <c r="Q433" s="56"/>
      <c r="Z433" s="8"/>
      <c r="AA433" s="23"/>
      <c r="AB433" s="206"/>
    </row>
    <row r="434" spans="1:28" s="6" customFormat="1">
      <c r="A434" s="2"/>
      <c r="B434" s="1"/>
      <c r="C434" s="2"/>
      <c r="D434" s="2"/>
      <c r="E434" s="2"/>
      <c r="F434" s="56"/>
      <c r="G434" s="56"/>
      <c r="H434" s="56"/>
      <c r="Q434" s="56"/>
      <c r="Z434" s="8"/>
      <c r="AA434" s="23"/>
      <c r="AB434" s="206"/>
    </row>
    <row r="435" spans="1:28" s="6" customFormat="1">
      <c r="A435" s="2"/>
      <c r="B435" s="1"/>
      <c r="C435" s="2"/>
      <c r="D435" s="2"/>
      <c r="E435" s="2"/>
      <c r="F435" s="56"/>
      <c r="G435" s="56"/>
      <c r="H435" s="56"/>
      <c r="Q435" s="56"/>
      <c r="Z435" s="8"/>
      <c r="AA435" s="23"/>
      <c r="AB435" s="206"/>
    </row>
    <row r="436" spans="1:28" s="6" customFormat="1">
      <c r="A436" s="2"/>
      <c r="B436" s="1"/>
      <c r="C436" s="2"/>
      <c r="D436" s="2"/>
      <c r="E436" s="2"/>
      <c r="F436" s="56"/>
      <c r="G436" s="56"/>
      <c r="H436" s="56"/>
      <c r="Q436" s="56"/>
      <c r="Z436" s="8"/>
      <c r="AA436" s="23"/>
      <c r="AB436" s="206"/>
    </row>
    <row r="437" spans="1:28" s="6" customFormat="1">
      <c r="A437" s="2"/>
      <c r="B437" s="1"/>
      <c r="C437" s="2"/>
      <c r="D437" s="2"/>
      <c r="E437" s="2"/>
      <c r="F437" s="56"/>
      <c r="G437" s="56"/>
      <c r="H437" s="56"/>
      <c r="Q437" s="56"/>
      <c r="Z437" s="8"/>
      <c r="AA437" s="23"/>
      <c r="AB437" s="206"/>
    </row>
    <row r="438" spans="1:28" s="6" customFormat="1">
      <c r="A438" s="2"/>
      <c r="B438" s="1"/>
      <c r="C438" s="2"/>
      <c r="D438" s="2"/>
      <c r="E438" s="2"/>
      <c r="F438" s="56"/>
      <c r="G438" s="56"/>
      <c r="H438" s="56"/>
      <c r="Q438" s="56"/>
      <c r="Z438" s="8"/>
      <c r="AA438" s="23"/>
      <c r="AB438" s="206"/>
    </row>
    <row r="439" spans="1:28" s="6" customFormat="1">
      <c r="A439" s="2"/>
      <c r="B439" s="1"/>
      <c r="C439" s="2"/>
      <c r="D439" s="2"/>
      <c r="E439" s="2"/>
      <c r="F439" s="56"/>
      <c r="G439" s="56"/>
      <c r="H439" s="56"/>
      <c r="Q439" s="56"/>
      <c r="Z439" s="8"/>
      <c r="AA439" s="23"/>
      <c r="AB439" s="206"/>
    </row>
    <row r="440" spans="1:28" s="6" customFormat="1">
      <c r="A440" s="2"/>
      <c r="B440" s="1"/>
      <c r="C440" s="2"/>
      <c r="D440" s="2"/>
      <c r="E440" s="2"/>
      <c r="F440" s="56"/>
      <c r="G440" s="56"/>
      <c r="H440" s="56"/>
      <c r="Q440" s="56"/>
      <c r="Z440" s="8"/>
      <c r="AA440" s="23"/>
      <c r="AB440" s="206"/>
    </row>
    <row r="441" spans="1:28" s="6" customFormat="1">
      <c r="A441" s="2"/>
      <c r="B441" s="1"/>
      <c r="C441" s="2"/>
      <c r="D441" s="2"/>
      <c r="E441" s="2"/>
      <c r="F441" s="56"/>
      <c r="G441" s="56"/>
      <c r="H441" s="56"/>
      <c r="Q441" s="56"/>
      <c r="Z441" s="8"/>
      <c r="AA441" s="23"/>
      <c r="AB441" s="206"/>
    </row>
    <row r="442" spans="1:28" s="6" customFormat="1">
      <c r="A442" s="2"/>
      <c r="B442" s="1"/>
      <c r="C442" s="2"/>
      <c r="D442" s="2"/>
      <c r="E442" s="2"/>
      <c r="F442" s="56"/>
      <c r="G442" s="56"/>
      <c r="H442" s="56"/>
      <c r="Q442" s="56"/>
      <c r="Z442" s="8"/>
      <c r="AA442" s="23"/>
      <c r="AB442" s="206"/>
    </row>
    <row r="443" spans="1:28" s="6" customFormat="1">
      <c r="A443" s="2"/>
      <c r="B443" s="1"/>
      <c r="C443" s="2"/>
      <c r="D443" s="2"/>
      <c r="E443" s="2"/>
      <c r="F443" s="56"/>
      <c r="G443" s="56"/>
      <c r="H443" s="56"/>
      <c r="Q443" s="56"/>
      <c r="Z443" s="8"/>
      <c r="AA443" s="23"/>
      <c r="AB443" s="206"/>
    </row>
    <row r="444" spans="1:28" s="6" customFormat="1">
      <c r="A444" s="2"/>
      <c r="B444" s="1"/>
      <c r="C444" s="2"/>
      <c r="D444" s="2"/>
      <c r="E444" s="2"/>
      <c r="F444" s="56"/>
      <c r="G444" s="56"/>
      <c r="H444" s="56"/>
      <c r="Q444" s="56"/>
      <c r="Z444" s="8"/>
      <c r="AA444" s="23"/>
      <c r="AB444" s="206"/>
    </row>
    <row r="445" spans="1:28" s="6" customFormat="1">
      <c r="A445" s="2"/>
      <c r="B445" s="1"/>
      <c r="C445" s="2"/>
      <c r="D445" s="2"/>
      <c r="E445" s="2"/>
      <c r="F445" s="56"/>
      <c r="G445" s="56"/>
      <c r="H445" s="56"/>
      <c r="Q445" s="56"/>
      <c r="Z445" s="8"/>
      <c r="AA445" s="23"/>
      <c r="AB445" s="206"/>
    </row>
    <row r="446" spans="1:28" s="6" customFormat="1">
      <c r="A446" s="2"/>
      <c r="B446" s="1"/>
      <c r="C446" s="2"/>
      <c r="D446" s="2"/>
      <c r="E446" s="2"/>
      <c r="F446" s="56"/>
      <c r="G446" s="56"/>
      <c r="H446" s="56"/>
      <c r="Q446" s="56"/>
      <c r="Z446" s="8"/>
      <c r="AA446" s="23"/>
      <c r="AB446" s="206"/>
    </row>
    <row r="447" spans="1:28" s="6" customFormat="1">
      <c r="A447" s="2"/>
      <c r="B447" s="1"/>
      <c r="C447" s="2"/>
      <c r="D447" s="2"/>
      <c r="E447" s="2"/>
      <c r="F447" s="56"/>
      <c r="G447" s="56"/>
      <c r="H447" s="56"/>
      <c r="Q447" s="56"/>
      <c r="Z447" s="8"/>
      <c r="AA447" s="23"/>
      <c r="AB447" s="206"/>
    </row>
    <row r="448" spans="1:28" s="6" customFormat="1">
      <c r="A448" s="2"/>
      <c r="B448" s="1"/>
      <c r="C448" s="2"/>
      <c r="D448" s="2"/>
      <c r="E448" s="2"/>
      <c r="F448" s="56"/>
      <c r="G448" s="56"/>
      <c r="H448" s="56"/>
      <c r="Q448" s="56"/>
      <c r="Z448" s="8"/>
      <c r="AA448" s="23"/>
      <c r="AB448" s="206"/>
    </row>
    <row r="449" spans="1:28" s="6" customFormat="1">
      <c r="A449" s="2"/>
      <c r="B449" s="1"/>
      <c r="C449" s="2"/>
      <c r="D449" s="2"/>
      <c r="E449" s="2"/>
      <c r="F449" s="56"/>
      <c r="G449" s="56"/>
      <c r="H449" s="56"/>
      <c r="Q449" s="56"/>
      <c r="Z449" s="8"/>
      <c r="AA449" s="23"/>
      <c r="AB449" s="206"/>
    </row>
    <row r="450" spans="1:28" s="6" customFormat="1">
      <c r="A450" s="2"/>
      <c r="B450" s="1"/>
      <c r="C450" s="2"/>
      <c r="D450" s="2"/>
      <c r="E450" s="2"/>
      <c r="F450" s="56"/>
      <c r="G450" s="56"/>
      <c r="H450" s="56"/>
      <c r="Q450" s="56"/>
      <c r="Z450" s="8"/>
      <c r="AA450" s="23"/>
      <c r="AB450" s="206"/>
    </row>
    <row r="451" spans="1:28" s="6" customFormat="1">
      <c r="A451" s="2"/>
      <c r="B451" s="1"/>
      <c r="C451" s="2"/>
      <c r="D451" s="2"/>
      <c r="E451" s="2"/>
      <c r="F451" s="56"/>
      <c r="G451" s="56"/>
      <c r="H451" s="56"/>
      <c r="Q451" s="56"/>
      <c r="Z451" s="8"/>
      <c r="AA451" s="23"/>
      <c r="AB451" s="206"/>
    </row>
    <row r="452" spans="1:28" s="6" customFormat="1">
      <c r="A452" s="2"/>
      <c r="B452" s="1"/>
      <c r="C452" s="2"/>
      <c r="D452" s="2"/>
      <c r="E452" s="2"/>
      <c r="F452" s="56"/>
      <c r="G452" s="56"/>
      <c r="H452" s="56"/>
      <c r="Q452" s="56"/>
      <c r="Z452" s="8"/>
      <c r="AA452" s="23"/>
      <c r="AB452" s="206"/>
    </row>
    <row r="453" spans="1:28" s="6" customFormat="1">
      <c r="A453" s="2"/>
      <c r="B453" s="1"/>
      <c r="C453" s="2"/>
      <c r="D453" s="2"/>
      <c r="E453" s="2"/>
      <c r="F453" s="56"/>
      <c r="G453" s="56"/>
      <c r="H453" s="56"/>
      <c r="Q453" s="56"/>
      <c r="Z453" s="8"/>
      <c r="AA453" s="23"/>
      <c r="AB453" s="206"/>
    </row>
    <row r="454" spans="1:28" s="6" customFormat="1">
      <c r="A454" s="2"/>
      <c r="B454" s="1"/>
      <c r="C454" s="2"/>
      <c r="D454" s="2"/>
      <c r="E454" s="2"/>
      <c r="F454" s="56"/>
      <c r="G454" s="56"/>
      <c r="H454" s="56"/>
      <c r="Q454" s="56"/>
      <c r="Z454" s="8"/>
      <c r="AA454" s="23"/>
      <c r="AB454" s="206"/>
    </row>
    <row r="455" spans="1:28" s="6" customFormat="1">
      <c r="A455" s="2"/>
      <c r="B455" s="1"/>
      <c r="C455" s="2"/>
      <c r="D455" s="2"/>
      <c r="E455" s="2"/>
      <c r="F455" s="56"/>
      <c r="G455" s="56"/>
      <c r="H455" s="56"/>
      <c r="Q455" s="56"/>
      <c r="Z455" s="8"/>
      <c r="AA455" s="23"/>
      <c r="AB455" s="206"/>
    </row>
    <row r="456" spans="1:28" s="6" customFormat="1">
      <c r="A456" s="2"/>
      <c r="B456" s="1"/>
      <c r="C456" s="2"/>
      <c r="D456" s="2"/>
      <c r="E456" s="2"/>
      <c r="F456" s="56"/>
      <c r="G456" s="56"/>
      <c r="H456" s="56"/>
      <c r="Q456" s="56"/>
      <c r="Z456" s="8"/>
      <c r="AA456" s="23"/>
      <c r="AB456" s="206"/>
    </row>
    <row r="457" spans="1:28" s="6" customFormat="1">
      <c r="A457" s="2"/>
      <c r="B457" s="1"/>
      <c r="C457" s="2"/>
      <c r="D457" s="2"/>
      <c r="E457" s="2"/>
      <c r="F457" s="56"/>
      <c r="G457" s="56"/>
      <c r="H457" s="56"/>
      <c r="Q457" s="56"/>
      <c r="Z457" s="8"/>
      <c r="AA457" s="23"/>
      <c r="AB457" s="206"/>
    </row>
    <row r="458" spans="1:28" s="6" customFormat="1">
      <c r="A458" s="2"/>
      <c r="B458" s="1"/>
      <c r="C458" s="2"/>
      <c r="D458" s="2"/>
      <c r="E458" s="2"/>
      <c r="F458" s="56"/>
      <c r="G458" s="56"/>
      <c r="H458" s="56"/>
      <c r="Q458" s="56"/>
      <c r="Z458" s="8"/>
      <c r="AA458" s="23"/>
      <c r="AB458" s="206"/>
    </row>
    <row r="459" spans="1:28" s="6" customFormat="1">
      <c r="A459" s="2"/>
      <c r="B459" s="1"/>
      <c r="C459" s="2"/>
      <c r="D459" s="2"/>
      <c r="E459" s="2"/>
      <c r="F459" s="56"/>
      <c r="G459" s="56"/>
      <c r="H459" s="56"/>
      <c r="Q459" s="56"/>
      <c r="Z459" s="8"/>
      <c r="AA459" s="23"/>
      <c r="AB459" s="206"/>
    </row>
    <row r="460" spans="1:28" s="6" customFormat="1">
      <c r="A460" s="2"/>
      <c r="B460" s="1"/>
      <c r="C460" s="2"/>
      <c r="D460" s="2"/>
      <c r="E460" s="2"/>
      <c r="F460" s="56"/>
      <c r="G460" s="56"/>
      <c r="H460" s="56"/>
      <c r="Q460" s="56"/>
      <c r="Z460" s="8"/>
      <c r="AA460" s="23"/>
      <c r="AB460" s="206"/>
    </row>
    <row r="461" spans="1:28" s="6" customFormat="1">
      <c r="A461" s="2"/>
      <c r="B461" s="1"/>
      <c r="C461" s="2"/>
      <c r="D461" s="2"/>
      <c r="E461" s="2"/>
      <c r="F461" s="56"/>
      <c r="G461" s="56"/>
      <c r="H461" s="56"/>
      <c r="Q461" s="56"/>
      <c r="Z461" s="8"/>
      <c r="AA461" s="23"/>
      <c r="AB461" s="206"/>
    </row>
    <row r="462" spans="1:28" s="6" customFormat="1">
      <c r="A462" s="2"/>
      <c r="B462" s="1"/>
      <c r="C462" s="2"/>
      <c r="D462" s="2"/>
      <c r="E462" s="2"/>
      <c r="F462" s="56"/>
      <c r="G462" s="56"/>
      <c r="H462" s="56"/>
      <c r="Q462" s="56"/>
      <c r="Z462" s="8"/>
      <c r="AA462" s="23"/>
      <c r="AB462" s="206"/>
    </row>
    <row r="463" spans="1:28" s="6" customFormat="1">
      <c r="A463" s="2"/>
      <c r="B463" s="1"/>
      <c r="C463" s="2"/>
      <c r="D463" s="2"/>
      <c r="E463" s="2"/>
      <c r="F463" s="56"/>
      <c r="G463" s="56"/>
      <c r="H463" s="56"/>
      <c r="Q463" s="56"/>
      <c r="Z463" s="8"/>
      <c r="AA463" s="23"/>
      <c r="AB463" s="206"/>
    </row>
    <row r="464" spans="1:28" s="6" customFormat="1">
      <c r="A464" s="2"/>
      <c r="B464" s="1"/>
      <c r="C464" s="2"/>
      <c r="D464" s="2"/>
      <c r="E464" s="2"/>
      <c r="F464" s="56"/>
      <c r="G464" s="56"/>
      <c r="H464" s="56"/>
      <c r="Q464" s="56"/>
      <c r="Z464" s="8"/>
      <c r="AA464" s="23"/>
      <c r="AB464" s="206"/>
    </row>
    <row r="465" spans="1:28" s="6" customFormat="1">
      <c r="A465" s="2"/>
      <c r="B465" s="1"/>
      <c r="C465" s="2"/>
      <c r="D465" s="2"/>
      <c r="E465" s="2"/>
      <c r="F465" s="56"/>
      <c r="G465" s="56"/>
      <c r="H465" s="56"/>
      <c r="Q465" s="56"/>
      <c r="Z465" s="8"/>
      <c r="AA465" s="23"/>
      <c r="AB465" s="206"/>
    </row>
    <row r="466" spans="1:28" s="6" customFormat="1">
      <c r="A466" s="2"/>
      <c r="B466" s="1"/>
      <c r="C466" s="2"/>
      <c r="D466" s="2"/>
      <c r="E466" s="2"/>
      <c r="F466" s="56"/>
      <c r="G466" s="56"/>
      <c r="H466" s="56"/>
      <c r="Q466" s="56"/>
      <c r="Z466" s="8"/>
      <c r="AA466" s="23"/>
      <c r="AB466" s="206"/>
    </row>
    <row r="467" spans="1:28" s="6" customFormat="1">
      <c r="A467" s="2"/>
      <c r="B467" s="1"/>
      <c r="C467" s="2"/>
      <c r="D467" s="2"/>
      <c r="E467" s="2"/>
      <c r="F467" s="56"/>
      <c r="G467" s="56"/>
      <c r="H467" s="56"/>
      <c r="Q467" s="56"/>
      <c r="Z467" s="8"/>
      <c r="AA467" s="23"/>
      <c r="AB467" s="206"/>
    </row>
    <row r="468" spans="1:28" s="6" customFormat="1">
      <c r="A468" s="2"/>
      <c r="B468" s="1"/>
      <c r="C468" s="2"/>
      <c r="D468" s="2"/>
      <c r="E468" s="2"/>
      <c r="F468" s="56"/>
      <c r="G468" s="56"/>
      <c r="H468" s="56"/>
      <c r="Q468" s="56"/>
      <c r="Z468" s="8"/>
      <c r="AA468" s="23"/>
      <c r="AB468" s="206"/>
    </row>
    <row r="469" spans="1:28" s="6" customFormat="1">
      <c r="A469" s="2"/>
      <c r="B469" s="1"/>
      <c r="C469" s="2"/>
      <c r="D469" s="2"/>
      <c r="E469" s="2"/>
      <c r="F469" s="56"/>
      <c r="G469" s="56"/>
      <c r="H469" s="56"/>
      <c r="Q469" s="56"/>
      <c r="Z469" s="8"/>
      <c r="AA469" s="23"/>
      <c r="AB469" s="206"/>
    </row>
    <row r="470" spans="1:28" s="6" customFormat="1">
      <c r="A470" s="2"/>
      <c r="B470" s="1"/>
      <c r="C470" s="2"/>
      <c r="D470" s="2"/>
      <c r="E470" s="2"/>
      <c r="F470" s="56"/>
      <c r="G470" s="56"/>
      <c r="H470" s="56"/>
      <c r="Q470" s="56"/>
      <c r="Z470" s="8"/>
      <c r="AA470" s="23"/>
      <c r="AB470" s="206"/>
    </row>
    <row r="471" spans="1:28" s="6" customFormat="1">
      <c r="A471" s="2"/>
      <c r="B471" s="1"/>
      <c r="C471" s="2"/>
      <c r="D471" s="2"/>
      <c r="E471" s="2"/>
      <c r="F471" s="56"/>
      <c r="G471" s="56"/>
      <c r="H471" s="56"/>
      <c r="Q471" s="56"/>
      <c r="Z471" s="2"/>
      <c r="AA471" s="60"/>
      <c r="AB471" s="2"/>
    </row>
    <row r="472" spans="1:28" s="6" customFormat="1">
      <c r="A472" s="2"/>
      <c r="B472" s="1"/>
      <c r="C472" s="2"/>
      <c r="D472" s="2"/>
      <c r="E472" s="2"/>
      <c r="F472" s="56"/>
      <c r="G472" s="56"/>
      <c r="H472" s="56"/>
      <c r="Q472" s="56"/>
      <c r="Z472" s="2"/>
      <c r="AA472" s="60"/>
      <c r="AB472" s="2"/>
    </row>
    <row r="473" spans="1:28" s="6" customFormat="1">
      <c r="A473" s="2"/>
      <c r="B473" s="1"/>
      <c r="C473" s="2"/>
      <c r="D473" s="2"/>
      <c r="E473" s="2"/>
      <c r="F473" s="56"/>
      <c r="G473" s="56"/>
      <c r="H473" s="56"/>
      <c r="Q473" s="56"/>
      <c r="Z473" s="2"/>
      <c r="AA473" s="60"/>
      <c r="AB473" s="2"/>
    </row>
    <row r="474" spans="1:28" s="6" customFormat="1">
      <c r="A474" s="2"/>
      <c r="B474" s="1"/>
      <c r="C474" s="2"/>
      <c r="D474" s="2"/>
      <c r="E474" s="2"/>
      <c r="F474" s="56"/>
      <c r="G474" s="56"/>
      <c r="H474" s="56"/>
      <c r="Q474" s="56"/>
      <c r="Z474" s="2"/>
      <c r="AA474" s="60"/>
      <c r="AB474" s="2"/>
    </row>
    <row r="475" spans="1:28" s="6" customFormat="1">
      <c r="A475" s="2"/>
      <c r="B475" s="1"/>
      <c r="C475" s="2"/>
      <c r="D475" s="2"/>
      <c r="E475" s="2"/>
      <c r="F475" s="56"/>
      <c r="G475" s="56"/>
      <c r="H475" s="56"/>
      <c r="Q475" s="56"/>
      <c r="Z475" s="2"/>
      <c r="AA475" s="60"/>
      <c r="AB475" s="2"/>
    </row>
    <row r="476" spans="1:28" s="6" customFormat="1">
      <c r="A476" s="2"/>
      <c r="B476" s="1"/>
      <c r="C476" s="2"/>
      <c r="D476" s="2"/>
      <c r="E476" s="2"/>
      <c r="F476" s="56"/>
      <c r="G476" s="56"/>
      <c r="H476" s="56"/>
      <c r="Q476" s="56"/>
      <c r="Z476" s="2"/>
      <c r="AA476" s="60"/>
      <c r="AB476" s="2"/>
    </row>
    <row r="477" spans="1:28" s="6" customFormat="1">
      <c r="A477" s="2"/>
      <c r="B477" s="1"/>
      <c r="C477" s="2"/>
      <c r="D477" s="2"/>
      <c r="E477" s="2"/>
      <c r="F477" s="56"/>
      <c r="G477" s="56"/>
      <c r="H477" s="56"/>
      <c r="Q477" s="56"/>
      <c r="Z477" s="2"/>
      <c r="AA477" s="60"/>
      <c r="AB477" s="2"/>
    </row>
  </sheetData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3233F-FEFD-447D-B382-E94D837DE493}">
  <sheetPr codeName="Foglio17">
    <tabColor rgb="FFC00000"/>
  </sheetPr>
  <dimension ref="A7:Q136"/>
  <sheetViews>
    <sheetView zoomScale="83" zoomScaleNormal="83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92" sqref="J92"/>
    </sheetView>
  </sheetViews>
  <sheetFormatPr defaultColWidth="9" defaultRowHeight="14.5"/>
  <cols>
    <col min="1" max="1" width="12" style="210" customWidth="1"/>
    <col min="2" max="2" width="25.7265625" style="210" customWidth="1"/>
    <col min="3" max="3" width="14.26953125" style="210" bestFit="1" customWidth="1"/>
    <col min="4" max="4" width="9.26953125" style="210" customWidth="1"/>
    <col min="5" max="5" width="13.26953125" style="210" customWidth="1"/>
    <col min="6" max="6" width="13" style="210" customWidth="1"/>
    <col min="7" max="7" width="14" style="210" customWidth="1"/>
    <col min="8" max="8" width="12.7265625" style="210" customWidth="1"/>
    <col min="9" max="9" width="12" style="210" customWidth="1"/>
    <col min="10" max="10" width="18.26953125" style="210" bestFit="1" customWidth="1"/>
    <col min="11" max="11" width="20.54296875" style="210" bestFit="1" customWidth="1"/>
    <col min="12" max="12" width="14.26953125" style="210" customWidth="1"/>
    <col min="13" max="13" width="15.81640625" style="210" customWidth="1"/>
    <col min="14" max="14" width="9" style="210"/>
    <col min="15" max="15" width="11.7265625" style="210" customWidth="1"/>
    <col min="16" max="16" width="9" style="210"/>
    <col min="17" max="17" width="16.26953125" style="210" customWidth="1"/>
    <col min="18" max="18" width="10.7265625" style="210" customWidth="1"/>
    <col min="19" max="19" width="9" style="210" customWidth="1"/>
    <col min="20" max="22" width="10.26953125" style="210" customWidth="1"/>
    <col min="23" max="23" width="9" style="210"/>
    <col min="24" max="24" width="15.81640625" style="210" customWidth="1"/>
    <col min="25" max="25" width="9" style="210"/>
    <col min="26" max="26" width="11.7265625" style="210" customWidth="1"/>
    <col min="27" max="27" width="9" style="210"/>
    <col min="28" max="28" width="13.26953125" style="210" customWidth="1"/>
    <col min="29" max="29" width="10.7265625" style="210" customWidth="1"/>
    <col min="30" max="30" width="9" style="210" customWidth="1"/>
    <col min="31" max="16384" width="9" style="210"/>
  </cols>
  <sheetData>
    <row r="7" spans="2:9">
      <c r="B7" s="209">
        <f ca="1">TODAY()</f>
        <v>44894</v>
      </c>
    </row>
    <row r="8" spans="2:9">
      <c r="B8" s="209"/>
    </row>
    <row r="10" spans="2:9">
      <c r="C10" s="210" t="s">
        <v>1229</v>
      </c>
    </row>
    <row r="11" spans="2:9">
      <c r="B11" s="253"/>
      <c r="C11" s="253">
        <f ca="1">+B7-2</f>
        <v>44892</v>
      </c>
      <c r="D11" s="253"/>
    </row>
    <row r="12" spans="2:9">
      <c r="B12" s="210" t="s">
        <v>125</v>
      </c>
      <c r="C12" s="254">
        <f ca="1">SUMIF(PosAggregate!$N$13:$N$175,B12,PosAggregate!$U$13:$U$175)</f>
        <v>0</v>
      </c>
      <c r="D12" s="16"/>
      <c r="E12" s="16"/>
      <c r="F12" s="292"/>
      <c r="G12" s="292"/>
      <c r="I12" s="155"/>
    </row>
    <row r="13" spans="2:9">
      <c r="B13" s="279" t="s">
        <v>1251</v>
      </c>
      <c r="C13" s="280">
        <f>+'Cash Mgmt'!C23</f>
        <v>0</v>
      </c>
      <c r="D13" s="281"/>
      <c r="E13" s="16"/>
      <c r="G13" s="292"/>
    </row>
    <row r="14" spans="2:9">
      <c r="B14" s="211"/>
      <c r="C14" s="278">
        <f ca="1">+C12+C13</f>
        <v>0</v>
      </c>
      <c r="D14" s="16"/>
      <c r="E14" s="16"/>
    </row>
    <row r="15" spans="2:9">
      <c r="B15" s="211"/>
      <c r="C15" s="16"/>
      <c r="D15" s="16"/>
      <c r="E15" s="16"/>
    </row>
    <row r="16" spans="2:9" hidden="1">
      <c r="B16" s="211"/>
      <c r="C16" s="16"/>
      <c r="D16" s="16"/>
      <c r="E16" s="182"/>
    </row>
    <row r="17" spans="2:11" hidden="1">
      <c r="B17" s="211"/>
      <c r="C17" s="16"/>
      <c r="D17" s="16"/>
      <c r="E17" s="182"/>
    </row>
    <row r="18" spans="2:11" hidden="1">
      <c r="B18" s="211"/>
      <c r="C18" s="212"/>
      <c r="D18" s="16"/>
      <c r="E18" s="182"/>
    </row>
    <row r="19" spans="2:11" hidden="1">
      <c r="B19" s="211"/>
      <c r="C19" s="212"/>
      <c r="D19" s="16"/>
      <c r="E19" s="182"/>
    </row>
    <row r="20" spans="2:11" hidden="1">
      <c r="B20" s="211"/>
      <c r="C20" s="212"/>
      <c r="D20" s="16"/>
      <c r="E20" s="182"/>
    </row>
    <row r="21" spans="2:11">
      <c r="C21" s="155"/>
      <c r="E21" s="294"/>
      <c r="F21" s="260"/>
      <c r="I21" s="290"/>
    </row>
    <row r="22" spans="2:11">
      <c r="B22" s="213" t="s">
        <v>187</v>
      </c>
      <c r="C22" s="290"/>
      <c r="E22" s="214"/>
    </row>
    <row r="23" spans="2:11">
      <c r="B23" s="213"/>
      <c r="C23" s="290"/>
      <c r="E23" s="214"/>
    </row>
    <row r="24" spans="2:11" ht="39">
      <c r="B24" s="3" t="s">
        <v>179</v>
      </c>
      <c r="C24" s="168" t="s">
        <v>176</v>
      </c>
      <c r="D24" s="169" t="s">
        <v>177</v>
      </c>
      <c r="E24" s="169" t="s">
        <v>181</v>
      </c>
      <c r="F24" s="4" t="s">
        <v>186</v>
      </c>
      <c r="G24" s="3" t="s">
        <v>12804</v>
      </c>
      <c r="H24" s="3" t="s">
        <v>12803</v>
      </c>
      <c r="I24" s="3" t="s">
        <v>178</v>
      </c>
      <c r="J24" s="3" t="s">
        <v>1627</v>
      </c>
      <c r="K24" s="3" t="s">
        <v>180</v>
      </c>
    </row>
    <row r="25" spans="2:11">
      <c r="B25" s="215" t="s">
        <v>125</v>
      </c>
      <c r="C25" s="257">
        <v>44727</v>
      </c>
      <c r="D25" s="217"/>
      <c r="E25" s="217"/>
      <c r="F25" s="255">
        <v>133.85500017999999</v>
      </c>
      <c r="G25" s="256">
        <v>-100000000</v>
      </c>
      <c r="H25" s="256">
        <f>-G25/F25</f>
        <v>747077.05999421864</v>
      </c>
      <c r="I25" s="174" t="e">
        <f ca="1">-G25/C14</f>
        <v>#DIV/0!</v>
      </c>
      <c r="J25" s="257">
        <v>44820</v>
      </c>
      <c r="K25" s="258"/>
    </row>
    <row r="26" spans="2:11">
      <c r="B26" s="213"/>
      <c r="C26" s="290"/>
      <c r="E26" s="214"/>
    </row>
    <row r="27" spans="2:11">
      <c r="C27" s="209"/>
    </row>
    <row r="28" spans="2:11" ht="39">
      <c r="B28" s="3" t="s">
        <v>179</v>
      </c>
      <c r="C28" s="168" t="s">
        <v>176</v>
      </c>
      <c r="D28" s="169" t="s">
        <v>177</v>
      </c>
      <c r="E28" s="169" t="s">
        <v>181</v>
      </c>
      <c r="F28" s="4" t="s">
        <v>186</v>
      </c>
      <c r="G28" s="3" t="s">
        <v>183</v>
      </c>
      <c r="H28" s="3" t="s">
        <v>184</v>
      </c>
      <c r="I28" s="3" t="s">
        <v>178</v>
      </c>
      <c r="J28" s="3" t="s">
        <v>1627</v>
      </c>
      <c r="K28" s="3" t="s">
        <v>180</v>
      </c>
    </row>
    <row r="29" spans="2:11">
      <c r="B29" s="215" t="s">
        <v>125</v>
      </c>
      <c r="C29" s="257">
        <v>44727</v>
      </c>
      <c r="D29" s="217"/>
      <c r="E29" s="217"/>
      <c r="F29" s="255">
        <v>141.23999934</v>
      </c>
      <c r="G29" s="256">
        <v>-739000000</v>
      </c>
      <c r="H29" s="256">
        <f>-G29/F29</f>
        <v>5232228.8548093392</v>
      </c>
      <c r="I29" s="174" t="e">
        <f ca="1">-G29/C14</f>
        <v>#DIV/0!</v>
      </c>
      <c r="J29" s="257">
        <v>44820</v>
      </c>
      <c r="K29" s="258"/>
    </row>
    <row r="30" spans="2:11" ht="14.9" customHeight="1">
      <c r="B30" s="211"/>
      <c r="C30" s="212"/>
      <c r="D30" s="16"/>
      <c r="E30" s="182"/>
      <c r="G30" s="467">
        <f>SUM(G29:G29)</f>
        <v>-739000000</v>
      </c>
      <c r="H30" s="467">
        <f>SUM(H29:H29)</f>
        <v>5232228.8548093392</v>
      </c>
      <c r="I30" s="259" t="e">
        <f ca="1">SUM(I29:I29)+I25</f>
        <v>#DIV/0!</v>
      </c>
    </row>
    <row r="31" spans="2:11" ht="14.9" customHeight="1">
      <c r="B31" s="211"/>
      <c r="C31" s="212"/>
      <c r="D31" s="16"/>
      <c r="E31" s="182"/>
      <c r="G31" s="467"/>
      <c r="H31" s="467"/>
      <c r="I31" s="259"/>
    </row>
    <row r="32" spans="2:11" hidden="1">
      <c r="B32" s="221"/>
      <c r="C32" s="221"/>
      <c r="D32" s="166"/>
      <c r="E32" s="222"/>
    </row>
    <row r="33" spans="2:12" hidden="1">
      <c r="B33" s="221"/>
      <c r="C33" s="221"/>
      <c r="D33" s="166"/>
      <c r="E33" s="222"/>
    </row>
    <row r="34" spans="2:12" hidden="1">
      <c r="B34" s="221"/>
      <c r="C34" s="221"/>
      <c r="D34" s="166"/>
      <c r="E34" s="222"/>
    </row>
    <row r="35" spans="2:12" hidden="1">
      <c r="B35" s="221"/>
      <c r="C35" s="221"/>
      <c r="D35" s="166"/>
      <c r="E35" s="222"/>
    </row>
    <row r="36" spans="2:12" hidden="1"/>
    <row r="37" spans="2:12" ht="15" hidden="1" thickBot="1">
      <c r="B37" s="223" t="s">
        <v>125</v>
      </c>
    </row>
    <row r="38" spans="2:12" hidden="1"/>
    <row r="39" spans="2:12" hidden="1">
      <c r="C39" s="210" t="s">
        <v>158</v>
      </c>
      <c r="D39" s="209" t="s">
        <v>159</v>
      </c>
      <c r="E39" s="209" t="s">
        <v>160</v>
      </c>
      <c r="F39" s="209" t="s">
        <v>161</v>
      </c>
      <c r="G39" s="209" t="s">
        <v>162</v>
      </c>
    </row>
    <row r="40" spans="2:12" hidden="1">
      <c r="B40" s="224" t="s">
        <v>1057</v>
      </c>
      <c r="C40" s="225">
        <f ca="1">B7</f>
        <v>44894</v>
      </c>
      <c r="D40" s="226" t="e">
        <f ca="1">_xll.FxCross(#REF!,#REF!,#REF!,"RET:2")</f>
        <v>#NAME?</v>
      </c>
      <c r="E40" s="226" t="e">
        <f ca="1">_xll.FxCross(#REF!,#REF!,#REF!,"RET:2")</f>
        <v>#NAME?</v>
      </c>
      <c r="F40" s="227" t="e">
        <f ca="1">_xll.FxCross(#REF!,#REF!,#REF!,"RET:1")</f>
        <v>#NAME?</v>
      </c>
      <c r="G40" s="227" t="e">
        <f ca="1">_xll.FxCross(#REF!,#REF!,#REF!,"RET:2")</f>
        <v>#NAME?</v>
      </c>
      <c r="I40" s="224"/>
      <c r="J40" s="233"/>
      <c r="K40" s="233"/>
      <c r="L40" s="233"/>
    </row>
    <row r="41" spans="2:12" hidden="1">
      <c r="B41" s="210" t="s">
        <v>163</v>
      </c>
      <c r="C41" s="225" t="e">
        <f ca="1">_xll.AdFxSwpToSwp(#REF!,$B41,#REF!,#REF!,#REF!,#REF!,#REF!,,"RET:4")</f>
        <v>#NAME?</v>
      </c>
      <c r="D41" s="226" t="e">
        <f ca="1">_xll.AdFxSwpToSwp(#REF!,$B41,#REF!,#REF!,#REF!,#REF!,#REF!,,"RET:1")</f>
        <v>#NAME?</v>
      </c>
      <c r="E41" s="226" t="e">
        <f ca="1">_xll.AdFxSwpToSwp(#REF!,$B41,#REF!,#REF!,#REF!,#REF!,#REF!,,"RET:2")</f>
        <v>#NAME?</v>
      </c>
      <c r="F41" s="227" t="e">
        <f ca="1">_xll.AdFxSwpToSwp(#REF!,$B41,#REF!,#REF!,#REF!,#REF!,#REF!,,"RET:5")</f>
        <v>#NAME?</v>
      </c>
      <c r="G41" s="227" t="e">
        <f ca="1">_xll.AdFxSwpToSwp(#REF!,$B41,#REF!,#REF!,#REF!,#REF!,#REF!,,"RET:6")</f>
        <v>#NAME?</v>
      </c>
    </row>
    <row r="42" spans="2:12" hidden="1">
      <c r="B42" s="210" t="s">
        <v>164</v>
      </c>
      <c r="C42" s="225" t="e">
        <f ca="1">_xll.AdFxSwpToSwp(#REF!,$B42,#REF!,#REF!,#REF!,#REF!,#REF!,,"RET:4")</f>
        <v>#NAME?</v>
      </c>
      <c r="D42" s="226" t="e">
        <f ca="1">_xll.AdFxSwpToSwp(#REF!,$B42,#REF!,#REF!,#REF!,#REF!,#REF!,,"RET:1")</f>
        <v>#NAME?</v>
      </c>
      <c r="E42" s="226" t="e">
        <f ca="1">_xll.AdFxSwpToSwp(#REF!,$B42,#REF!,#REF!,#REF!,#REF!,#REF!,,"RET:2")</f>
        <v>#NAME?</v>
      </c>
      <c r="F42" s="227" t="e">
        <f ca="1">_xll.AdFxSwpToSwp(#REF!,$B42,#REF!,#REF!,#REF!,#REF!,#REF!,,"RET:5")</f>
        <v>#NAME?</v>
      </c>
      <c r="G42" s="227" t="e">
        <f ca="1">_xll.AdFxSwpToSwp(#REF!,$B42,#REF!,#REF!,#REF!,#REF!,#REF!,,"RET:6")</f>
        <v>#NAME?</v>
      </c>
    </row>
    <row r="43" spans="2:12" hidden="1">
      <c r="B43" s="210" t="s">
        <v>165</v>
      </c>
      <c r="C43" s="225" t="e">
        <f ca="1">_xll.AdFxSwpToSwp(#REF!,$B43,#REF!,#REF!,#REF!,#REF!,#REF!,,"RET:4")</f>
        <v>#NAME?</v>
      </c>
      <c r="D43" s="226" t="e">
        <f ca="1">_xll.AdFxSwpToSwp(#REF!,$B43,#REF!,#REF!,#REF!,#REF!,#REF!,,"RET:1")</f>
        <v>#NAME?</v>
      </c>
      <c r="E43" s="226" t="e">
        <f ca="1">_xll.AdFxSwpToSwp(#REF!,$B43,#REF!,#REF!,#REF!,#REF!,#REF!,,"RET:2")</f>
        <v>#NAME?</v>
      </c>
      <c r="F43" s="227" t="e">
        <f ca="1">_xll.AdFxSwpToSwp(#REF!,$B43,#REF!,#REF!,#REF!,#REF!,#REF!,,"RET:5")</f>
        <v>#NAME?</v>
      </c>
      <c r="G43" s="227" t="e">
        <f ca="1">_xll.AdFxSwpToSwp(#REF!,$B43,#REF!,#REF!,#REF!,#REF!,#REF!,,"RET:6")</f>
        <v>#NAME?</v>
      </c>
    </row>
    <row r="44" spans="2:12" hidden="1">
      <c r="B44" s="210" t="s">
        <v>208</v>
      </c>
      <c r="C44" s="225" t="e">
        <f ca="1">_xll.AdFxSwpToSwp(#REF!,$B44,#REF!,#REF!,#REF!,#REF!,#REF!,,"RET:4")</f>
        <v>#NAME?</v>
      </c>
      <c r="D44" s="226" t="e">
        <f ca="1">_xll.AdFxSwpToSwp(#REF!,$B44,#REF!,#REF!,#REF!,#REF!,#REF!,,"RET:1")</f>
        <v>#NAME?</v>
      </c>
      <c r="E44" s="226" t="e">
        <f ca="1">_xll.AdFxSwpToSwp(#REF!,$B44,#REF!,#REF!,#REF!,#REF!,#REF!,,"RET:2")</f>
        <v>#NAME?</v>
      </c>
      <c r="F44" s="227" t="e">
        <f ca="1">_xll.AdFxSwpToSwp(#REF!,$B44,#REF!,#REF!,#REF!,#REF!,#REF!,,"RET:5")</f>
        <v>#NAME?</v>
      </c>
      <c r="G44" s="227" t="e">
        <f ca="1">_xll.AdFxSwpToSwp(#REF!,$B44,#REF!,#REF!,#REF!,#REF!,#REF!,,"RET:6")</f>
        <v>#NAME?</v>
      </c>
    </row>
    <row r="45" spans="2:12" hidden="1">
      <c r="B45" s="210" t="s">
        <v>166</v>
      </c>
      <c r="C45" s="225" t="e">
        <f ca="1">_xll.AdFxSwpToSwp(#REF!,$B45,#REF!,#REF!,#REF!,#REF!,#REF!,,"RET:4")</f>
        <v>#NAME?</v>
      </c>
      <c r="D45" s="226" t="e">
        <f ca="1">_xll.AdFxSwpToSwp(#REF!,$B45,#REF!,#REF!,#REF!,#REF!,#REF!,,"RET:1")</f>
        <v>#NAME?</v>
      </c>
      <c r="E45" s="226" t="e">
        <f ca="1">_xll.AdFxSwpToSwp(#REF!,$B45,#REF!,#REF!,#REF!,#REF!,#REF!,,"RET:2")</f>
        <v>#NAME?</v>
      </c>
      <c r="F45" s="227" t="e">
        <f ca="1">_xll.AdFxSwpToSwp(#REF!,$B45,#REF!,#REF!,#REF!,#REF!,#REF!,,"RET:5")</f>
        <v>#NAME?</v>
      </c>
      <c r="G45" s="227" t="e">
        <f ca="1">_xll.AdFxSwpToSwp(#REF!,$B45,#REF!,#REF!,#REF!,#REF!,#REF!,,"RET:6")</f>
        <v>#NAME?</v>
      </c>
    </row>
    <row r="46" spans="2:12" hidden="1">
      <c r="B46" s="210" t="s">
        <v>167</v>
      </c>
      <c r="C46" s="225" t="e">
        <f ca="1">_xll.AdFxSwpToSwp(#REF!,$B46,#REF!,#REF!,#REF!,#REF!,#REF!,,"RET:4")</f>
        <v>#NAME?</v>
      </c>
      <c r="D46" s="226" t="e">
        <f ca="1">_xll.AdFxSwpToSwp(#REF!,$B46,#REF!,#REF!,#REF!,#REF!,#REF!,,"RET:1")</f>
        <v>#NAME?</v>
      </c>
      <c r="E46" s="226" t="e">
        <f ca="1">_xll.AdFxSwpToSwp(#REF!,$B46,#REF!,#REF!,#REF!,#REF!,#REF!,,"RET:2")</f>
        <v>#NAME?</v>
      </c>
      <c r="F46" s="227" t="e">
        <f ca="1">_xll.AdFxSwpToSwp(#REF!,$B46,#REF!,#REF!,#REF!,#REF!,#REF!,,"RET:5")</f>
        <v>#NAME?</v>
      </c>
      <c r="G46" s="227" t="e">
        <f ca="1">_xll.AdFxSwpToSwp(#REF!,$B46,#REF!,#REF!,#REF!,#REF!,#REF!,,"RET:6")</f>
        <v>#NAME?</v>
      </c>
    </row>
    <row r="47" spans="2:12" hidden="1">
      <c r="B47" s="210" t="s">
        <v>168</v>
      </c>
      <c r="C47" s="225" t="e">
        <f ca="1">_xll.AdFxSwpToSwp(#REF!,$B47,#REF!,#REF!,#REF!,#REF!,#REF!,,"RET:4")</f>
        <v>#NAME?</v>
      </c>
      <c r="D47" s="226" t="e">
        <f ca="1">_xll.AdFxSwpToSwp(#REF!,$B47,#REF!,#REF!,#REF!,#REF!,#REF!,,"RET:1")</f>
        <v>#NAME?</v>
      </c>
      <c r="E47" s="226" t="e">
        <f ca="1">_xll.AdFxSwpToSwp(#REF!,$B47,#REF!,#REF!,#REF!,#REF!,#REF!,,"RET:2")</f>
        <v>#NAME?</v>
      </c>
      <c r="F47" s="227" t="e">
        <f ca="1">_xll.AdFxSwpToSwp(#REF!,$B47,#REF!,#REF!,#REF!,#REF!,#REF!,,"RET:5")</f>
        <v>#NAME?</v>
      </c>
      <c r="G47" s="227" t="e">
        <f ca="1">_xll.AdFxSwpToSwp(#REF!,$B47,#REF!,#REF!,#REF!,#REF!,#REF!,,"RET:6")</f>
        <v>#NAME?</v>
      </c>
    </row>
    <row r="48" spans="2:12" hidden="1">
      <c r="B48" s="210" t="s">
        <v>169</v>
      </c>
      <c r="C48" s="225" t="e">
        <f ca="1">_xll.AdFxSwpToSwp(#REF!,$B48,#REF!,#REF!,#REF!,#REF!,#REF!,,"RET:4")</f>
        <v>#NAME?</v>
      </c>
      <c r="D48" s="226" t="e">
        <f ca="1">_xll.AdFxSwpToSwp(#REF!,$B48,#REF!,#REF!,#REF!,#REF!,#REF!,,"RET:1")</f>
        <v>#NAME?</v>
      </c>
      <c r="E48" s="226" t="e">
        <f ca="1">_xll.AdFxSwpToSwp(#REF!,$B48,#REF!,#REF!,#REF!,#REF!,#REF!,,"RET:2")</f>
        <v>#NAME?</v>
      </c>
      <c r="F48" s="227" t="e">
        <f ca="1">_xll.AdFxSwpToSwp(#REF!,$B48,#REF!,#REF!,#REF!,#REF!,#REF!,,"RET:5")</f>
        <v>#NAME?</v>
      </c>
      <c r="G48" s="227" t="e">
        <f ca="1">_xll.AdFxSwpToSwp(#REF!,$B48,#REF!,#REF!,#REF!,#REF!,#REF!,,"RET:6")</f>
        <v>#NAME?</v>
      </c>
    </row>
    <row r="49" spans="2:7" hidden="1">
      <c r="B49" s="210" t="s">
        <v>170</v>
      </c>
      <c r="C49" s="225" t="e">
        <f ca="1">_xll.AdFxSwpToSwp(#REF!,$B49,#REF!,#REF!,#REF!,#REF!,#REF!,,"RET:4")</f>
        <v>#NAME?</v>
      </c>
      <c r="D49" s="226" t="e">
        <f ca="1">_xll.AdFxSwpToSwp(#REF!,$B49,#REF!,#REF!,#REF!,#REF!,#REF!,,"RET:1")</f>
        <v>#NAME?</v>
      </c>
      <c r="E49" s="226" t="e">
        <f ca="1">_xll.AdFxSwpToSwp(#REF!,$B49,#REF!,#REF!,#REF!,#REF!,#REF!,,"RET:2")</f>
        <v>#NAME?</v>
      </c>
      <c r="F49" s="227" t="e">
        <f ca="1">_xll.AdFxSwpToSwp(#REF!,$B49,#REF!,#REF!,#REF!,#REF!,#REF!,,"RET:5")</f>
        <v>#NAME?</v>
      </c>
      <c r="G49" s="227" t="e">
        <f ca="1">_xll.AdFxSwpToSwp(#REF!,$B49,#REF!,#REF!,#REF!,#REF!,#REF!,,"RET:6")</f>
        <v>#NAME?</v>
      </c>
    </row>
    <row r="50" spans="2:7" hidden="1">
      <c r="B50" s="210" t="s">
        <v>171</v>
      </c>
      <c r="C50" s="225" t="e">
        <f ca="1">_xll.AdFxSwpToSwp(#REF!,$B50,#REF!,#REF!,#REF!,#REF!,#REF!,,"RET:4")</f>
        <v>#NAME?</v>
      </c>
      <c r="D50" s="226" t="e">
        <f ca="1">_xll.AdFxSwpToSwp(#REF!,$B50,#REF!,#REF!,#REF!,#REF!,#REF!,,"RET:1")</f>
        <v>#NAME?</v>
      </c>
      <c r="E50" s="226" t="e">
        <f ca="1">_xll.AdFxSwpToSwp(#REF!,$B50,#REF!,#REF!,#REF!,#REF!,#REF!,,"RET:2")</f>
        <v>#NAME?</v>
      </c>
      <c r="F50" s="227" t="e">
        <f ca="1">_xll.AdFxSwpToSwp(#REF!,$B50,#REF!,#REF!,#REF!,#REF!,#REF!,,"RET:5")</f>
        <v>#NAME?</v>
      </c>
      <c r="G50" s="227" t="e">
        <f ca="1">_xll.AdFxSwpToSwp(#REF!,$B50,#REF!,#REF!,#REF!,#REF!,#REF!,,"RET:6")</f>
        <v>#NAME?</v>
      </c>
    </row>
    <row r="51" spans="2:7" hidden="1">
      <c r="B51" s="210" t="s">
        <v>172</v>
      </c>
      <c r="C51" s="225" t="e">
        <f ca="1">_xll.AdFxSwpToSwp(#REF!,$B51,#REF!,#REF!,#REF!,#REF!,#REF!,,"RET:4")</f>
        <v>#NAME?</v>
      </c>
      <c r="D51" s="226" t="e">
        <f ca="1">_xll.AdFxSwpToSwp(#REF!,$B51,#REF!,#REF!,#REF!,#REF!,#REF!,,"RET:1")</f>
        <v>#NAME?</v>
      </c>
      <c r="E51" s="226" t="e">
        <f ca="1">_xll.AdFxSwpToSwp(#REF!,$B51,#REF!,#REF!,#REF!,#REF!,#REF!,,"RET:2")</f>
        <v>#NAME?</v>
      </c>
      <c r="F51" s="227" t="e">
        <f ca="1">_xll.AdFxSwpToSwp(#REF!,$B51,#REF!,#REF!,#REF!,#REF!,#REF!,,"RET:5")</f>
        <v>#NAME?</v>
      </c>
      <c r="G51" s="227" t="e">
        <f ca="1">_xll.AdFxSwpToSwp(#REF!,$B51,#REF!,#REF!,#REF!,#REF!,#REF!,,"RET:6")</f>
        <v>#NAME?</v>
      </c>
    </row>
    <row r="52" spans="2:7" hidden="1">
      <c r="B52" s="210" t="s">
        <v>173</v>
      </c>
      <c r="C52" s="225" t="e">
        <f ca="1">_xll.AdFxSwpToSwp(#REF!,$B52,#REF!,#REF!,#REF!,#REF!,#REF!,,"RET:4")</f>
        <v>#NAME?</v>
      </c>
      <c r="D52" s="226" t="e">
        <f ca="1">_xll.AdFxSwpToSwp(#REF!,$B52,#REF!,#REF!,#REF!,#REF!,#REF!,,"RET:1")</f>
        <v>#NAME?</v>
      </c>
      <c r="E52" s="226" t="e">
        <f ca="1">_xll.AdFxSwpToSwp(#REF!,$B52,#REF!,#REF!,#REF!,#REF!,#REF!,,"RET:2")</f>
        <v>#NAME?</v>
      </c>
      <c r="F52" s="227" t="e">
        <f ca="1">_xll.AdFxSwpToSwp(#REF!,$B52,#REF!,#REF!,#REF!,#REF!,#REF!,,"RET:5")</f>
        <v>#NAME?</v>
      </c>
      <c r="G52" s="227" t="e">
        <f ca="1">_xll.AdFxSwpToSwp(#REF!,$B52,#REF!,#REF!,#REF!,#REF!,#REF!,,"RET:6")</f>
        <v>#NAME?</v>
      </c>
    </row>
    <row r="53" spans="2:7" hidden="1">
      <c r="B53" s="210" t="s">
        <v>209</v>
      </c>
      <c r="C53" s="225" t="e">
        <f ca="1">_xll.AdFxSwpToSwp(#REF!,$B53,#REF!,#REF!,#REF!,#REF!,#REF!,,"RET:4")</f>
        <v>#NAME?</v>
      </c>
      <c r="D53" s="226" t="e">
        <f ca="1">_xll.AdFxSwpToSwp(#REF!,$B53,#REF!,#REF!,#REF!,#REF!,#REF!,,"RET:1")</f>
        <v>#NAME?</v>
      </c>
      <c r="E53" s="226" t="e">
        <f ca="1">_xll.AdFxSwpToSwp(#REF!,$B53,#REF!,#REF!,#REF!,#REF!,#REF!,,"RET:2")</f>
        <v>#NAME?</v>
      </c>
      <c r="F53" s="227" t="e">
        <f ca="1">_xll.AdFxSwpToSwp(#REF!,$B53,#REF!,#REF!,#REF!,#REF!,#REF!,,"RET:5")</f>
        <v>#NAME?</v>
      </c>
      <c r="G53" s="227" t="e">
        <f ca="1">_xll.AdFxSwpToSwp(#REF!,$B53,#REF!,#REF!,#REF!,#REF!,#REF!,,"RET:6")</f>
        <v>#NAME?</v>
      </c>
    </row>
    <row r="54" spans="2:7" hidden="1">
      <c r="B54" s="210" t="s">
        <v>210</v>
      </c>
      <c r="C54" s="225" t="e">
        <f ca="1">_xll.AdFxSwpToSwp(#REF!,$B54,#REF!,#REF!,#REF!,#REF!,#REF!,,"RET:4")</f>
        <v>#NAME?</v>
      </c>
      <c r="D54" s="226" t="e">
        <f ca="1">_xll.AdFxSwpToSwp(#REF!,$B54,#REF!,#REF!,#REF!,#REF!,#REF!,,"RET:1")</f>
        <v>#NAME?</v>
      </c>
      <c r="E54" s="226" t="e">
        <f ca="1">_xll.AdFxSwpToSwp(#REF!,$B54,#REF!,#REF!,#REF!,#REF!,#REF!,,"RET:2")</f>
        <v>#NAME?</v>
      </c>
      <c r="F54" s="227" t="e">
        <f ca="1">_xll.AdFxSwpToSwp(#REF!,$B54,#REF!,#REF!,#REF!,#REF!,#REF!,,"RET:5")</f>
        <v>#NAME?</v>
      </c>
      <c r="G54" s="227" t="e">
        <f ca="1">_xll.AdFxSwpToSwp(#REF!,$B54,#REF!,#REF!,#REF!,#REF!,#REF!,,"RET:6")</f>
        <v>#NAME?</v>
      </c>
    </row>
    <row r="55" spans="2:7" hidden="1">
      <c r="B55" s="210" t="s">
        <v>174</v>
      </c>
      <c r="C55" s="225" t="e">
        <f ca="1">_xll.AdFxSwpToSwp(#REF!,$B55,#REF!,#REF!,#REF!,#REF!,#REF!,,"RET:4")</f>
        <v>#NAME?</v>
      </c>
      <c r="D55" s="226" t="e">
        <f ca="1">_xll.AdFxSwpToSwp(#REF!,$B55,#REF!,#REF!,#REF!,#REF!,#REF!,,"RET:1")</f>
        <v>#NAME?</v>
      </c>
      <c r="E55" s="226" t="e">
        <f ca="1">_xll.AdFxSwpToSwp(#REF!,$B55,#REF!,#REF!,#REF!,#REF!,#REF!,,"RET:2")</f>
        <v>#NAME?</v>
      </c>
      <c r="F55" s="227" t="e">
        <f ca="1">_xll.AdFxSwpToSwp(#REF!,$B55,#REF!,#REF!,#REF!,#REF!,#REF!,,"RET:5")</f>
        <v>#NAME?</v>
      </c>
      <c r="G55" s="227" t="e">
        <f ca="1">_xll.AdFxSwpToSwp(#REF!,$B55,#REF!,#REF!,#REF!,#REF!,#REF!,,"RET:6")</f>
        <v>#NAME?</v>
      </c>
    </row>
    <row r="56" spans="2:7" hidden="1">
      <c r="B56" s="210" t="s">
        <v>211</v>
      </c>
      <c r="C56" s="225" t="e">
        <f ca="1">_xll.AdFxSwpToSwp(#REF!,$B56,#REF!,#REF!,#REF!,#REF!,#REF!,,"RET:4")</f>
        <v>#NAME?</v>
      </c>
      <c r="D56" s="226" t="e">
        <f ca="1">_xll.AdFxSwpToSwp(#REF!,$B56,#REF!,#REF!,#REF!,#REF!,#REF!,,"RET:1")</f>
        <v>#NAME?</v>
      </c>
      <c r="E56" s="226" t="e">
        <f ca="1">_xll.AdFxSwpToSwp(#REF!,$B56,#REF!,#REF!,#REF!,#REF!,#REF!,,"RET:2")</f>
        <v>#NAME?</v>
      </c>
      <c r="F56" s="227" t="e">
        <f ca="1">_xll.AdFxSwpToSwp(#REF!,$B56,#REF!,#REF!,#REF!,#REF!,#REF!,,"RET:5")</f>
        <v>#NAME?</v>
      </c>
      <c r="G56" s="227" t="e">
        <f ca="1">_xll.AdFxSwpToSwp(#REF!,$B56,#REF!,#REF!,#REF!,#REF!,#REF!,,"RET:6")</f>
        <v>#NAME?</v>
      </c>
    </row>
    <row r="57" spans="2:7" hidden="1">
      <c r="B57" s="210" t="s">
        <v>212</v>
      </c>
      <c r="C57" s="225" t="e">
        <f ca="1">_xll.AdFxSwpToSwp(#REF!,$B57,#REF!,#REF!,#REF!,#REF!,#REF!,,"RET:4")</f>
        <v>#NAME?</v>
      </c>
      <c r="D57" s="226" t="e">
        <f ca="1">_xll.AdFxSwpToSwp(#REF!,$B57,#REF!,#REF!,#REF!,#REF!,#REF!,,"RET:1")</f>
        <v>#NAME?</v>
      </c>
      <c r="E57" s="226" t="e">
        <f ca="1">_xll.AdFxSwpToSwp(#REF!,$B57,#REF!,#REF!,#REF!,#REF!,#REF!,,"RET:2")</f>
        <v>#NAME?</v>
      </c>
      <c r="F57" s="227" t="e">
        <f ca="1">_xll.AdFxSwpToSwp(#REF!,$B57,#REF!,#REF!,#REF!,#REF!,#REF!,,"RET:5")</f>
        <v>#NAME?</v>
      </c>
      <c r="G57" s="227" t="e">
        <f ca="1">_xll.AdFxSwpToSwp(#REF!,$B57,#REF!,#REF!,#REF!,#REF!,#REF!,,"RET:6")</f>
        <v>#NAME?</v>
      </c>
    </row>
    <row r="58" spans="2:7" hidden="1">
      <c r="B58" s="210" t="s">
        <v>175</v>
      </c>
      <c r="C58" s="225" t="e">
        <f ca="1">_xll.AdFxSwpToSwp(#REF!,$B58,#REF!,#REF!,#REF!,#REF!,#REF!,,"RET:4")</f>
        <v>#NAME?</v>
      </c>
      <c r="D58" s="226" t="e">
        <f ca="1">_xll.AdFxSwpToSwp(#REF!,$B58,#REF!,#REF!,#REF!,#REF!,#REF!,,"RET:1")</f>
        <v>#NAME?</v>
      </c>
      <c r="E58" s="226" t="e">
        <f ca="1">_xll.AdFxSwpToSwp(#REF!,$B58,#REF!,#REF!,#REF!,#REF!,#REF!,,"RET:2")</f>
        <v>#NAME?</v>
      </c>
      <c r="F58" s="227" t="e">
        <f ca="1">_xll.AdFxSwpToSwp(#REF!,$B58,#REF!,#REF!,#REF!,#REF!,#REF!,,"RET:5")</f>
        <v>#NAME?</v>
      </c>
      <c r="G58" s="227" t="e">
        <f ca="1">_xll.AdFxSwpToSwp(#REF!,$B58,#REF!,#REF!,#REF!,#REF!,#REF!,,"RET:6")</f>
        <v>#NAME?</v>
      </c>
    </row>
    <row r="59" spans="2:7" hidden="1">
      <c r="C59" s="225"/>
      <c r="D59" s="234"/>
      <c r="E59" s="234"/>
      <c r="F59" s="235"/>
      <c r="G59" s="235"/>
    </row>
    <row r="60" spans="2:7" hidden="1">
      <c r="C60" s="225"/>
      <c r="D60" s="234"/>
      <c r="E60" s="234"/>
      <c r="F60" s="235"/>
      <c r="G60" s="235"/>
    </row>
    <row r="61" spans="2:7" hidden="1">
      <c r="C61" s="225"/>
      <c r="D61" s="234"/>
      <c r="E61" s="234"/>
      <c r="F61" s="235"/>
      <c r="G61" s="235"/>
    </row>
    <row r="62" spans="2:7" hidden="1">
      <c r="C62" s="225"/>
      <c r="D62" s="234"/>
      <c r="E62" s="234"/>
      <c r="F62" s="235"/>
      <c r="G62" s="235"/>
    </row>
    <row r="63" spans="2:7" hidden="1">
      <c r="C63" s="225"/>
      <c r="D63" s="234"/>
      <c r="E63" s="234"/>
      <c r="F63" s="235"/>
      <c r="G63" s="235"/>
    </row>
    <row r="64" spans="2:7" hidden="1">
      <c r="C64" s="225"/>
      <c r="D64" s="234"/>
      <c r="E64" s="234"/>
      <c r="F64" s="235"/>
      <c r="G64" s="235"/>
    </row>
    <row r="65" spans="2:17" hidden="1">
      <c r="C65" s="225"/>
      <c r="D65" s="234"/>
      <c r="E65" s="234"/>
      <c r="F65" s="235"/>
      <c r="G65" s="235"/>
    </row>
    <row r="66" spans="2:17" hidden="1">
      <c r="C66" s="225"/>
      <c r="D66" s="234"/>
      <c r="E66" s="234"/>
      <c r="F66" s="235"/>
      <c r="G66" s="235"/>
    </row>
    <row r="67" spans="2:17" hidden="1">
      <c r="C67" s="225"/>
      <c r="D67" s="234"/>
      <c r="E67" s="234"/>
      <c r="F67" s="235"/>
      <c r="G67" s="235"/>
    </row>
    <row r="68" spans="2:17" hidden="1">
      <c r="C68" s="225"/>
      <c r="D68" s="234"/>
      <c r="E68" s="234"/>
      <c r="F68" s="235"/>
      <c r="G68" s="235"/>
    </row>
    <row r="69" spans="2:17" hidden="1">
      <c r="C69" s="225"/>
      <c r="D69" s="234"/>
      <c r="E69" s="234"/>
      <c r="F69" s="235"/>
      <c r="G69" s="235"/>
    </row>
    <row r="70" spans="2:17" hidden="1">
      <c r="Q70" s="54"/>
    </row>
    <row r="71" spans="2:17" hidden="1">
      <c r="Q71" s="54"/>
    </row>
    <row r="72" spans="2:17" hidden="1">
      <c r="Q72" s="54"/>
    </row>
    <row r="73" spans="2:17" hidden="1">
      <c r="Q73" s="54"/>
    </row>
    <row r="74" spans="2:17" ht="15" hidden="1" thickBot="1">
      <c r="B74" s="228" t="s">
        <v>191</v>
      </c>
      <c r="C74" s="202">
        <v>-78000000</v>
      </c>
      <c r="Q74" s="54"/>
    </row>
    <row r="75" spans="2:17" hidden="1">
      <c r="B75" s="229"/>
      <c r="C75" s="178" t="e">
        <f ca="1">-C74/(VLOOKUP(B37,$B$12:$E$18,2,FALSE))</f>
        <v>#DIV/0!</v>
      </c>
      <c r="Q75" s="54"/>
    </row>
    <row r="76" spans="2:17" hidden="1">
      <c r="Q76" s="54"/>
    </row>
    <row r="77" spans="2:17" ht="15" hidden="1" thickBot="1">
      <c r="B77" s="228" t="s">
        <v>185</v>
      </c>
      <c r="C77" s="203">
        <v>43593</v>
      </c>
      <c r="D77" s="230"/>
      <c r="Q77" s="54"/>
    </row>
    <row r="78" spans="2:17" hidden="1">
      <c r="B78" s="231" t="s">
        <v>188</v>
      </c>
      <c r="C78" s="179" t="e">
        <f ca="1">VLOOKUP("SP",B39:G49,4,FALSE)</f>
        <v>#NAME?</v>
      </c>
      <c r="D78" s="167"/>
      <c r="Q78" s="54"/>
    </row>
    <row r="79" spans="2:17" hidden="1">
      <c r="B79" s="231" t="s">
        <v>189</v>
      </c>
      <c r="C79" s="172" t="e">
        <f ca="1">VLOOKUP(C77,C39:G49,3,FALSE)</f>
        <v>#N/A</v>
      </c>
      <c r="Q79" s="54"/>
    </row>
    <row r="80" spans="2:17" hidden="1">
      <c r="B80" s="232" t="s">
        <v>182</v>
      </c>
      <c r="C80" s="177" t="e">
        <f ca="1">+C78+C79/100</f>
        <v>#NAME?</v>
      </c>
      <c r="Q80" s="54"/>
    </row>
    <row r="81" spans="1:17" hidden="1">
      <c r="Q81" s="54"/>
    </row>
    <row r="82" spans="1:17" hidden="1">
      <c r="B82" s="232" t="s">
        <v>190</v>
      </c>
      <c r="C82" s="173" t="e">
        <f ca="1">-C74/C80</f>
        <v>#NAME?</v>
      </c>
      <c r="D82" s="166"/>
      <c r="Q82" s="54"/>
    </row>
    <row r="83" spans="1:17" hidden="1">
      <c r="B83" s="221"/>
      <c r="C83" s="221"/>
      <c r="D83" s="166"/>
      <c r="E83" s="222"/>
      <c r="Q83" s="54"/>
    </row>
    <row r="84" spans="1:17" hidden="1">
      <c r="B84" s="221"/>
      <c r="C84" s="221"/>
      <c r="D84" s="166"/>
      <c r="E84" s="222"/>
      <c r="Q84" s="54"/>
    </row>
    <row r="85" spans="1:17" hidden="1">
      <c r="B85" s="221"/>
      <c r="C85" s="221"/>
      <c r="D85" s="166"/>
      <c r="E85" s="222"/>
      <c r="Q85" s="54"/>
    </row>
    <row r="86" spans="1:17" hidden="1">
      <c r="B86" s="221"/>
      <c r="C86" s="221"/>
      <c r="D86" s="166"/>
      <c r="E86" s="222"/>
      <c r="Q86" s="54"/>
    </row>
    <row r="87" spans="1:17" hidden="1">
      <c r="A87" s="218"/>
      <c r="B87" s="219"/>
      <c r="C87" s="219"/>
      <c r="D87" s="180"/>
      <c r="E87" s="220"/>
      <c r="F87" s="218"/>
      <c r="G87" s="218"/>
      <c r="H87" s="218"/>
      <c r="I87" s="218"/>
      <c r="J87" s="218"/>
      <c r="K87" s="218"/>
    </row>
    <row r="88" spans="1:17">
      <c r="C88" s="236"/>
      <c r="D88" s="212"/>
      <c r="E88" s="212"/>
      <c r="F88" s="212"/>
      <c r="G88" s="54"/>
      <c r="H88" s="54"/>
      <c r="I88" s="170"/>
    </row>
    <row r="89" spans="1:17">
      <c r="C89" s="236"/>
      <c r="D89" s="212"/>
      <c r="E89" s="212"/>
      <c r="F89" s="212"/>
      <c r="G89" s="54"/>
      <c r="H89" s="54"/>
      <c r="I89" s="170"/>
    </row>
    <row r="90" spans="1:17">
      <c r="B90" s="213" t="s">
        <v>192</v>
      </c>
      <c r="C90" s="236"/>
      <c r="D90" s="212"/>
      <c r="E90" s="212"/>
      <c r="F90" s="212"/>
      <c r="G90" s="54"/>
      <c r="H90" s="54"/>
      <c r="I90" s="170"/>
    </row>
    <row r="91" spans="1:17">
      <c r="C91" s="236"/>
      <c r="D91" s="212"/>
      <c r="E91" s="212"/>
      <c r="F91" s="212"/>
      <c r="G91" s="54"/>
      <c r="H91" s="54"/>
      <c r="I91" s="170"/>
    </row>
    <row r="92" spans="1:17" ht="39">
      <c r="B92" s="3" t="s">
        <v>179</v>
      </c>
      <c r="C92" s="168" t="s">
        <v>176</v>
      </c>
      <c r="D92" s="169" t="s">
        <v>177</v>
      </c>
      <c r="E92" s="169" t="s">
        <v>181</v>
      </c>
      <c r="F92" s="4" t="s">
        <v>186</v>
      </c>
      <c r="G92" s="3" t="s">
        <v>183</v>
      </c>
      <c r="H92" s="3" t="s">
        <v>184</v>
      </c>
      <c r="I92" s="3" t="s">
        <v>178</v>
      </c>
      <c r="J92" s="3" t="s">
        <v>185</v>
      </c>
      <c r="K92" s="3" t="s">
        <v>180</v>
      </c>
    </row>
    <row r="93" spans="1:17">
      <c r="B93" s="237"/>
      <c r="C93" s="238"/>
      <c r="D93" s="239"/>
      <c r="E93" s="239"/>
      <c r="F93" s="239"/>
      <c r="G93" s="175"/>
      <c r="H93" s="175"/>
      <c r="I93" s="176"/>
      <c r="J93" s="238"/>
      <c r="K93" s="237"/>
    </row>
    <row r="94" spans="1:17">
      <c r="B94" s="215" t="s">
        <v>125</v>
      </c>
      <c r="C94" s="216">
        <v>43643</v>
      </c>
      <c r="D94" s="217"/>
      <c r="E94" s="217"/>
      <c r="F94" s="255">
        <v>122.90684</v>
      </c>
      <c r="G94" s="256">
        <v>-163000000</v>
      </c>
      <c r="H94" s="256">
        <f>-G94/F94</f>
        <v>1326207.7196029122</v>
      </c>
      <c r="I94" s="174"/>
      <c r="J94" s="257">
        <v>43735</v>
      </c>
      <c r="K94" s="258"/>
    </row>
    <row r="95" spans="1:17">
      <c r="B95" s="237"/>
      <c r="C95" s="238"/>
      <c r="D95" s="239"/>
      <c r="E95" s="239"/>
      <c r="F95" s="239">
        <v>118.04095</v>
      </c>
      <c r="G95" s="175">
        <f>+G94</f>
        <v>-163000000</v>
      </c>
      <c r="H95" s="175">
        <f>-G95/F95</f>
        <v>1380876.7211717628</v>
      </c>
      <c r="I95" s="176"/>
      <c r="J95" s="238"/>
      <c r="K95" s="237"/>
    </row>
    <row r="96" spans="1:17">
      <c r="B96" s="237"/>
      <c r="C96" s="238"/>
      <c r="D96" s="240"/>
      <c r="E96" s="240"/>
      <c r="F96" s="240"/>
      <c r="G96" s="175"/>
      <c r="H96" s="291">
        <f>+H94-H95</f>
        <v>-54669.001568850596</v>
      </c>
      <c r="I96" s="176"/>
      <c r="J96" s="238"/>
      <c r="K96" s="237"/>
    </row>
    <row r="97" spans="2:11">
      <c r="B97" s="237"/>
      <c r="C97" s="238"/>
      <c r="D97" s="240"/>
      <c r="E97" s="240"/>
      <c r="F97" s="240"/>
      <c r="G97" s="175"/>
      <c r="H97" s="175"/>
      <c r="I97" s="237"/>
      <c r="J97" s="238"/>
      <c r="K97" s="237"/>
    </row>
    <row r="98" spans="2:11">
      <c r="B98" s="215" t="s">
        <v>125</v>
      </c>
      <c r="C98" s="216">
        <v>43643</v>
      </c>
      <c r="D98" s="217"/>
      <c r="E98" s="217"/>
      <c r="F98" s="255">
        <v>118.175</v>
      </c>
      <c r="G98" s="256">
        <v>-163000000</v>
      </c>
      <c r="H98" s="256">
        <f>-G98/F98</f>
        <v>1379310.3448275863</v>
      </c>
      <c r="I98" s="174"/>
      <c r="J98" s="257">
        <v>43819</v>
      </c>
      <c r="K98" s="258"/>
    </row>
    <row r="99" spans="2:11">
      <c r="B99" s="237"/>
      <c r="C99" s="238"/>
      <c r="D99" s="239"/>
      <c r="E99" s="239"/>
      <c r="F99" s="239">
        <v>121.13939999999999</v>
      </c>
      <c r="G99" s="175">
        <f>+G98</f>
        <v>-163000000</v>
      </c>
      <c r="H99" s="175">
        <f>-G99/F99</f>
        <v>1345557.2670823862</v>
      </c>
      <c r="I99" s="176"/>
      <c r="J99" s="238"/>
      <c r="K99" s="237"/>
    </row>
    <row r="100" spans="2:11">
      <c r="B100" s="237"/>
      <c r="C100" s="238"/>
      <c r="D100" s="240"/>
      <c r="E100" s="240"/>
      <c r="F100" s="240"/>
      <c r="G100" s="175"/>
      <c r="H100" s="291">
        <f>+H98-H99</f>
        <v>33753.077745200135</v>
      </c>
      <c r="I100" s="176"/>
      <c r="J100" s="238"/>
      <c r="K100" s="237"/>
    </row>
    <row r="101" spans="2:11">
      <c r="B101" s="237"/>
      <c r="C101" s="238"/>
      <c r="D101" s="240"/>
      <c r="E101" s="240"/>
      <c r="F101" s="240"/>
      <c r="G101" s="175"/>
      <c r="H101" s="175"/>
      <c r="I101" s="237"/>
      <c r="J101" s="238"/>
      <c r="K101" s="237"/>
    </row>
    <row r="102" spans="2:11">
      <c r="B102" s="215" t="s">
        <v>125</v>
      </c>
      <c r="C102" s="216">
        <v>43819</v>
      </c>
      <c r="D102" s="217"/>
      <c r="E102" s="217"/>
      <c r="F102" s="255">
        <v>121.27999979000001</v>
      </c>
      <c r="G102" s="256">
        <v>-163000000</v>
      </c>
      <c r="H102" s="256">
        <f>-G102/F102</f>
        <v>1343997.3638047448</v>
      </c>
      <c r="I102" s="174"/>
      <c r="J102" s="257">
        <v>43917</v>
      </c>
      <c r="K102" s="258"/>
    </row>
    <row r="103" spans="2:11">
      <c r="B103" s="386"/>
      <c r="C103" s="238"/>
      <c r="D103" s="239"/>
      <c r="E103" s="239"/>
      <c r="F103" s="387">
        <v>120.469735</v>
      </c>
      <c r="G103" s="388">
        <v>-163000000</v>
      </c>
      <c r="H103" s="388">
        <f>-G103/F103</f>
        <v>1353036.9266604595</v>
      </c>
      <c r="I103" s="176"/>
      <c r="J103" s="389"/>
      <c r="K103" s="390"/>
    </row>
    <row r="104" spans="2:11">
      <c r="B104" s="386"/>
      <c r="C104" s="238"/>
      <c r="D104" s="239"/>
      <c r="E104" s="239"/>
      <c r="F104" s="387"/>
      <c r="G104" s="388"/>
      <c r="H104" s="388">
        <f>+H102-H103</f>
        <v>-9039.5628557146993</v>
      </c>
      <c r="I104" s="176"/>
      <c r="J104" s="389"/>
      <c r="K104" s="390"/>
    </row>
    <row r="105" spans="2:11">
      <c r="B105" s="386"/>
      <c r="C105" s="238"/>
      <c r="D105" s="239"/>
      <c r="E105" s="239"/>
      <c r="F105" s="387"/>
      <c r="G105" s="388"/>
      <c r="H105" s="388"/>
      <c r="I105" s="176"/>
      <c r="J105" s="389"/>
      <c r="K105" s="390"/>
    </row>
    <row r="106" spans="2:11">
      <c r="B106" s="215" t="s">
        <v>125</v>
      </c>
      <c r="C106" s="216">
        <v>43917</v>
      </c>
      <c r="D106" s="217"/>
      <c r="E106" s="217"/>
      <c r="F106" s="255">
        <v>120.3385</v>
      </c>
      <c r="G106" s="256">
        <v>-163000000</v>
      </c>
      <c r="H106" s="256">
        <f>-G106/F106</f>
        <v>1354512.4793810793</v>
      </c>
      <c r="I106" s="174"/>
      <c r="J106" s="257">
        <v>44008</v>
      </c>
      <c r="K106" s="258"/>
    </row>
    <row r="107" spans="2:11">
      <c r="B107" s="386"/>
      <c r="C107" s="238"/>
      <c r="D107" s="239"/>
      <c r="E107" s="239"/>
      <c r="F107" s="387">
        <v>120.229855</v>
      </c>
      <c r="G107" s="388">
        <v>-163000000</v>
      </c>
      <c r="H107" s="388">
        <f>-G107/F107</f>
        <v>1355736.4766014232</v>
      </c>
      <c r="I107" s="176"/>
      <c r="J107" s="389"/>
      <c r="K107" s="237"/>
    </row>
    <row r="108" spans="2:11">
      <c r="B108" s="386"/>
      <c r="C108" s="238"/>
      <c r="D108" s="239"/>
      <c r="E108" s="239"/>
      <c r="F108" s="387"/>
      <c r="G108" s="388"/>
      <c r="H108" s="388">
        <f>+H106-H107</f>
        <v>-1223.9972203439102</v>
      </c>
      <c r="I108" s="176"/>
      <c r="J108" s="389"/>
      <c r="K108" s="237"/>
    </row>
    <row r="109" spans="2:11">
      <c r="G109" s="54"/>
      <c r="H109" s="54"/>
    </row>
    <row r="110" spans="2:11">
      <c r="B110" s="215" t="s">
        <v>125</v>
      </c>
      <c r="C110" s="216">
        <v>44008</v>
      </c>
      <c r="D110" s="217"/>
      <c r="E110" s="217"/>
      <c r="F110" s="255">
        <v>120.3875</v>
      </c>
      <c r="G110" s="256">
        <v>-163000000</v>
      </c>
      <c r="H110" s="256">
        <f>-G110/F110</f>
        <v>1353961.167064687</v>
      </c>
      <c r="I110" s="174"/>
      <c r="J110" s="257">
        <v>44099</v>
      </c>
      <c r="K110" s="258"/>
    </row>
    <row r="111" spans="2:11">
      <c r="B111" s="386"/>
      <c r="C111" s="238"/>
      <c r="D111" s="239"/>
      <c r="E111" s="239"/>
      <c r="F111" s="387">
        <v>122.91420785</v>
      </c>
      <c r="G111" s="388">
        <v>-163000000</v>
      </c>
      <c r="H111" s="388">
        <f>-G111/F111</f>
        <v>1326128.2226943141</v>
      </c>
      <c r="I111" s="176"/>
      <c r="J111" s="389"/>
      <c r="K111" s="237"/>
    </row>
    <row r="112" spans="2:11">
      <c r="B112" s="386"/>
      <c r="C112" s="238"/>
      <c r="D112" s="239"/>
      <c r="E112" s="239"/>
      <c r="F112" s="387"/>
      <c r="G112" s="388"/>
      <c r="H112" s="388">
        <f>+H110-H111</f>
        <v>27832.944370372919</v>
      </c>
      <c r="I112" s="176"/>
      <c r="J112" s="389"/>
      <c r="K112" s="237"/>
    </row>
    <row r="113" spans="2:11">
      <c r="G113" s="54"/>
    </row>
    <row r="114" spans="2:11">
      <c r="B114" s="215" t="s">
        <v>125</v>
      </c>
      <c r="C114" s="216">
        <v>44099</v>
      </c>
      <c r="D114" s="217"/>
      <c r="E114" s="217"/>
      <c r="F114" s="255">
        <v>123.07769570000001</v>
      </c>
      <c r="G114" s="256">
        <v>-163000000</v>
      </c>
      <c r="H114" s="256">
        <f>-G114/F114</f>
        <v>1324366.6862053543</v>
      </c>
      <c r="I114" s="174"/>
      <c r="J114" s="257">
        <v>44183</v>
      </c>
      <c r="K114" s="258"/>
    </row>
    <row r="115" spans="2:11">
      <c r="B115" s="386"/>
      <c r="C115" s="238"/>
      <c r="D115" s="239"/>
      <c r="E115" s="239"/>
      <c r="F115" s="387">
        <v>125.95699</v>
      </c>
      <c r="G115" s="388">
        <v>-163000000</v>
      </c>
      <c r="H115" s="388">
        <f>-G115/F115</f>
        <v>1294092.5311092301</v>
      </c>
      <c r="I115" s="176"/>
      <c r="J115" s="389"/>
      <c r="K115" s="237"/>
    </row>
    <row r="116" spans="2:11">
      <c r="B116" s="386"/>
      <c r="C116" s="238"/>
      <c r="D116" s="239"/>
      <c r="E116" s="239"/>
      <c r="F116" s="387"/>
      <c r="G116" s="388"/>
      <c r="H116" s="388">
        <f>+H114-H115</f>
        <v>30274.155096124159</v>
      </c>
      <c r="I116" s="176"/>
      <c r="J116" s="389"/>
      <c r="K116" s="237"/>
    </row>
    <row r="117" spans="2:11">
      <c r="G117" s="54"/>
    </row>
    <row r="118" spans="2:11">
      <c r="B118" s="215" t="s">
        <v>125</v>
      </c>
      <c r="C118" s="216">
        <v>44183</v>
      </c>
      <c r="D118" s="217"/>
      <c r="E118" s="217"/>
      <c r="F118" s="255">
        <v>126.145</v>
      </c>
      <c r="G118" s="256">
        <v>-163000000</v>
      </c>
      <c r="H118" s="256">
        <f>-G118/F118</f>
        <v>1292163.7797772405</v>
      </c>
      <c r="I118" s="174"/>
      <c r="J118" s="257">
        <v>44281</v>
      </c>
      <c r="K118" s="258"/>
    </row>
    <row r="119" spans="2:11">
      <c r="B119" s="386"/>
      <c r="C119" s="238"/>
      <c r="D119" s="239"/>
      <c r="E119" s="239"/>
      <c r="F119" s="387">
        <v>128.53569999999999</v>
      </c>
      <c r="G119" s="388">
        <v>-163000000</v>
      </c>
      <c r="H119" s="388">
        <f>-G119/F119</f>
        <v>1268130.1770636486</v>
      </c>
      <c r="I119" s="176"/>
      <c r="J119" s="389"/>
      <c r="K119" s="237"/>
    </row>
    <row r="120" spans="2:11">
      <c r="B120" s="386"/>
      <c r="C120" s="238"/>
      <c r="D120" s="239"/>
      <c r="E120" s="239"/>
      <c r="F120" s="387"/>
      <c r="G120" s="388"/>
      <c r="H120" s="388">
        <f>+H118-H119</f>
        <v>24033.602713591885</v>
      </c>
      <c r="I120" s="176"/>
      <c r="J120" s="389"/>
      <c r="K120" s="237"/>
    </row>
    <row r="122" spans="2:11">
      <c r="B122" s="215" t="s">
        <v>125</v>
      </c>
      <c r="C122" s="216">
        <v>44281</v>
      </c>
      <c r="D122" s="217"/>
      <c r="E122" s="217"/>
      <c r="F122" s="217">
        <v>128.75350091999999</v>
      </c>
      <c r="G122" s="256">
        <v>-163000000</v>
      </c>
      <c r="H122" s="256">
        <f>-G122/F123</f>
        <v>1251112.7266106324</v>
      </c>
      <c r="I122" s="174"/>
      <c r="J122" s="257">
        <v>44372</v>
      </c>
      <c r="K122" s="1087"/>
    </row>
    <row r="123" spans="2:11">
      <c r="B123" s="386"/>
      <c r="C123" s="216">
        <v>44270</v>
      </c>
      <c r="D123" s="239"/>
      <c r="E123" s="239"/>
      <c r="F123" s="255">
        <v>130.28402360000001</v>
      </c>
      <c r="G123" s="388">
        <v>-238000000</v>
      </c>
      <c r="H123" s="256">
        <f>-G123/F123</f>
        <v>1826778.0916155246</v>
      </c>
      <c r="I123" s="176"/>
      <c r="J123" s="257">
        <v>44372</v>
      </c>
      <c r="K123" s="1087"/>
    </row>
    <row r="124" spans="2:11">
      <c r="B124" s="386"/>
      <c r="C124" s="238"/>
      <c r="D124" s="239"/>
      <c r="E124" s="239"/>
      <c r="F124" s="387"/>
      <c r="G124" s="388"/>
      <c r="H124" s="388"/>
      <c r="I124" s="176"/>
      <c r="J124" s="389"/>
      <c r="K124" s="237"/>
    </row>
    <row r="125" spans="2:11">
      <c r="G125" s="54"/>
      <c r="H125" s="54"/>
    </row>
    <row r="126" spans="2:11">
      <c r="B126" s="215" t="s">
        <v>125</v>
      </c>
      <c r="C126" s="257">
        <v>44372</v>
      </c>
      <c r="D126" s="217"/>
      <c r="E126" s="217"/>
      <c r="F126" s="255">
        <v>132.66700005999999</v>
      </c>
      <c r="G126" s="256">
        <v>-401000000</v>
      </c>
      <c r="H126" s="256">
        <f>-G126/F126</f>
        <v>3022605.4694735217</v>
      </c>
      <c r="I126" s="174"/>
      <c r="J126" s="257">
        <v>44463</v>
      </c>
      <c r="K126" s="1087"/>
    </row>
    <row r="127" spans="2:11">
      <c r="B127" s="386"/>
      <c r="C127" s="238"/>
      <c r="D127" s="239"/>
      <c r="E127" s="239"/>
      <c r="F127" s="387"/>
      <c r="G127" s="388"/>
      <c r="H127" s="388"/>
      <c r="I127" s="176"/>
      <c r="J127" s="389"/>
      <c r="K127" s="237"/>
    </row>
    <row r="128" spans="2:11">
      <c r="B128" s="386"/>
      <c r="C128" s="238"/>
      <c r="D128" s="239"/>
      <c r="E128" s="239"/>
      <c r="F128" s="387"/>
      <c r="G128" s="388"/>
      <c r="H128" s="388"/>
      <c r="I128" s="176"/>
      <c r="J128" s="389"/>
      <c r="K128" s="237"/>
    </row>
    <row r="129" spans="2:11">
      <c r="G129" s="54"/>
    </row>
    <row r="130" spans="2:11">
      <c r="B130" s="215" t="s">
        <v>125</v>
      </c>
      <c r="C130" s="216">
        <v>44427</v>
      </c>
      <c r="D130" s="217"/>
      <c r="E130" s="217"/>
      <c r="F130" s="255">
        <v>128.10140000000001</v>
      </c>
      <c r="G130" s="256">
        <v>-100000000</v>
      </c>
      <c r="H130" s="256">
        <f>-G130/F130</f>
        <v>780631.59340959578</v>
      </c>
      <c r="I130" s="174"/>
      <c r="J130" s="257">
        <v>44463</v>
      </c>
      <c r="K130" s="1087"/>
    </row>
    <row r="131" spans="2:11">
      <c r="B131" s="215" t="s">
        <v>12881</v>
      </c>
      <c r="C131" s="216">
        <v>44431</v>
      </c>
      <c r="D131" s="239"/>
      <c r="E131" s="239"/>
      <c r="F131" s="255">
        <v>109.913</v>
      </c>
      <c r="G131" s="256">
        <v>-100000000</v>
      </c>
      <c r="H131" s="256">
        <f>-G131/F132</f>
        <v>771105.14789796737</v>
      </c>
      <c r="I131" s="174"/>
      <c r="J131" s="257">
        <v>44463</v>
      </c>
      <c r="K131" s="1087"/>
    </row>
    <row r="132" spans="2:11">
      <c r="B132" s="386"/>
      <c r="C132" s="238"/>
      <c r="D132" s="239"/>
      <c r="E132" s="239"/>
      <c r="F132" s="1088">
        <v>129.684</v>
      </c>
      <c r="G132" s="388"/>
      <c r="H132" s="388"/>
      <c r="I132" s="176"/>
      <c r="J132" s="389"/>
      <c r="K132" s="237"/>
    </row>
    <row r="133" spans="2:11">
      <c r="G133" s="54"/>
    </row>
    <row r="134" spans="2:11">
      <c r="B134" s="215" t="s">
        <v>125</v>
      </c>
      <c r="C134" s="257">
        <v>44461</v>
      </c>
      <c r="D134" s="217"/>
      <c r="E134" s="217"/>
      <c r="F134" s="255">
        <v>128.55000000000001</v>
      </c>
      <c r="G134" s="256">
        <v>-501000000</v>
      </c>
      <c r="H134" s="256">
        <f>-G134/F134</f>
        <v>3897316.2193698948</v>
      </c>
      <c r="I134" s="174"/>
      <c r="J134" s="257">
        <v>44547</v>
      </c>
      <c r="K134" s="1087"/>
    </row>
    <row r="135" spans="2:11">
      <c r="B135" s="215" t="s">
        <v>12881</v>
      </c>
      <c r="C135" s="257">
        <v>44461</v>
      </c>
      <c r="D135" s="239"/>
      <c r="E135" s="239"/>
      <c r="F135" s="255">
        <v>109.4</v>
      </c>
      <c r="G135" s="256">
        <v>-100000000</v>
      </c>
      <c r="H135" s="256">
        <f>-G135/F136</f>
        <v>773335.39556105481</v>
      </c>
      <c r="I135" s="174"/>
      <c r="J135" s="257">
        <v>44547</v>
      </c>
      <c r="K135" s="1087"/>
    </row>
    <row r="136" spans="2:11">
      <c r="B136" s="386"/>
      <c r="C136" s="238"/>
      <c r="D136" s="239"/>
      <c r="E136" s="239"/>
      <c r="F136" s="1088">
        <v>129.31</v>
      </c>
      <c r="G136" s="388"/>
      <c r="H136" s="388"/>
      <c r="I136" s="176"/>
      <c r="J136" s="389"/>
      <c r="K136" s="1087"/>
    </row>
  </sheetData>
  <conditionalFormatting sqref="C75">
    <cfRule type="iconSet" priority="2">
      <iconSet iconSet="3Symbols" reverse="1">
        <cfvo type="percent" val="0"/>
        <cfvo type="num" val="0.8"/>
        <cfvo type="num" val="0.85"/>
      </iconSet>
    </cfRule>
  </conditionalFormatting>
  <dataValidations disablePrompts="1" count="4">
    <dataValidation allowBlank="1" showInputMessage="1" showErrorMessage="1" prompt="t+2" sqref="C28 C92 C24" xr:uid="{78025B0C-3490-4E3F-92ED-1AA2B3B2987A}"/>
    <dataValidation allowBlank="1" showInputMessage="1" showErrorMessage="1" prompt="input the settlement date" sqref="C77" xr:uid="{9126C45D-25E8-4883-872B-91478D15BC68}"/>
    <dataValidation allowBlank="1" showInputMessage="1" showErrorMessage="1" prompt="input the amount in local currency to be sold" sqref="C74" xr:uid="{2269D3B7-012D-445D-8251-B0B2028DC687}"/>
    <dataValidation allowBlank="1" showInputMessage="1" showErrorMessage="1" prompt="input the local currency to be sold" sqref="B37" xr:uid="{ADBCA85B-D4E9-4F2D-AD04-4D40DF379B98}"/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D7883-4481-45F3-B419-C9CFC828D863}">
  <sheetPr codeName="Foglio10"/>
  <dimension ref="A10:AU426"/>
  <sheetViews>
    <sheetView workbookViewId="0">
      <pane xSplit="3" ySplit="10" topLeftCell="D414" activePane="bottomRight" state="frozen"/>
      <selection pane="topRight" activeCell="C1" sqref="C1"/>
      <selection pane="bottomLeft" activeCell="A11" sqref="A11"/>
      <selection pane="bottomRight" activeCell="F433" sqref="F433"/>
    </sheetView>
  </sheetViews>
  <sheetFormatPr defaultColWidth="9" defaultRowHeight="14.5"/>
  <cols>
    <col min="1" max="1" width="11" style="377" bestFit="1" customWidth="1"/>
    <col min="2" max="2" width="11.54296875" style="26" customWidth="1"/>
    <col min="3" max="3" width="7.81640625" style="26" customWidth="1"/>
    <col min="4" max="4" width="12.81640625" style="26" customWidth="1"/>
    <col min="5" max="5" width="15" style="26" customWidth="1"/>
    <col min="6" max="6" width="10" style="26" customWidth="1"/>
    <col min="7" max="7" width="9.54296875" style="26" bestFit="1" customWidth="1"/>
    <col min="8" max="8" width="15.7265625" style="26" customWidth="1"/>
    <col min="9" max="9" width="16" style="26" customWidth="1"/>
    <col min="10" max="10" width="8.26953125" style="26" customWidth="1"/>
    <col min="11" max="11" width="15.81640625" style="53" bestFit="1" customWidth="1"/>
    <col min="12" max="14" width="12.54296875" style="53" customWidth="1"/>
    <col min="15" max="16" width="10" style="53" customWidth="1"/>
    <col min="17" max="21" width="12.54296875" style="53" customWidth="1"/>
    <col min="22" max="22" width="12.54296875" style="26" customWidth="1"/>
    <col min="23" max="23" width="11.54296875" style="87" bestFit="1" customWidth="1"/>
    <col min="24" max="16384" width="9" style="26"/>
  </cols>
  <sheetData>
    <row r="10" spans="2:47" s="83" customFormat="1" ht="26">
      <c r="B10" s="80" t="s">
        <v>27</v>
      </c>
      <c r="C10" s="80" t="s">
        <v>136</v>
      </c>
      <c r="D10" s="80"/>
      <c r="E10" s="80"/>
      <c r="F10" s="80" t="s">
        <v>45</v>
      </c>
      <c r="G10" s="80" t="s">
        <v>28</v>
      </c>
      <c r="H10" s="80"/>
      <c r="I10" s="80"/>
      <c r="J10" s="80" t="s">
        <v>5</v>
      </c>
      <c r="K10" s="81" t="s">
        <v>41</v>
      </c>
      <c r="L10" s="81"/>
      <c r="M10" s="81" t="s">
        <v>11</v>
      </c>
      <c r="N10" s="81" t="s">
        <v>46</v>
      </c>
      <c r="O10" s="81" t="s">
        <v>29</v>
      </c>
      <c r="P10" s="81" t="s">
        <v>30</v>
      </c>
      <c r="Q10" s="81" t="s">
        <v>31</v>
      </c>
      <c r="R10" s="81" t="s">
        <v>119</v>
      </c>
      <c r="S10" s="81" t="s">
        <v>35</v>
      </c>
      <c r="T10" s="81" t="s">
        <v>47</v>
      </c>
      <c r="U10" s="81" t="s">
        <v>32</v>
      </c>
      <c r="V10" s="80" t="s">
        <v>33</v>
      </c>
      <c r="W10" s="61" t="s">
        <v>142</v>
      </c>
      <c r="X10" s="82"/>
      <c r="Y10" s="82"/>
      <c r="Z10" s="82"/>
      <c r="AA10" s="82"/>
      <c r="AB10" s="82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</row>
    <row r="11" spans="2:47">
      <c r="B11" s="55">
        <v>43623</v>
      </c>
      <c r="C11" s="55" t="s">
        <v>133</v>
      </c>
      <c r="F11" s="251" t="s">
        <v>1058</v>
      </c>
      <c r="G11" s="8" t="s">
        <v>1134</v>
      </c>
      <c r="K11" s="23">
        <v>869.5</v>
      </c>
      <c r="M11" s="15">
        <v>30000</v>
      </c>
      <c r="N11" s="53">
        <v>-26085000</v>
      </c>
      <c r="R11" s="53">
        <v>-26085000</v>
      </c>
      <c r="S11" s="23">
        <v>122.57940239991835</v>
      </c>
      <c r="T11" s="85">
        <v>-212800.841652801</v>
      </c>
      <c r="U11" s="84">
        <v>43629</v>
      </c>
      <c r="V11" s="13" t="s">
        <v>1183</v>
      </c>
      <c r="W11" s="91">
        <v>43623.68822916667</v>
      </c>
    </row>
    <row r="12" spans="2:47">
      <c r="B12" s="55">
        <v>43623</v>
      </c>
      <c r="C12" s="55" t="s">
        <v>133</v>
      </c>
      <c r="F12" s="251" t="s">
        <v>1058</v>
      </c>
      <c r="G12" s="8" t="s">
        <v>1135</v>
      </c>
      <c r="K12" s="23">
        <v>2882</v>
      </c>
      <c r="M12" s="15">
        <v>6000</v>
      </c>
      <c r="N12" s="53">
        <v>-17292000</v>
      </c>
      <c r="R12" s="53">
        <v>-17292000</v>
      </c>
      <c r="S12" s="23">
        <v>122.57940239991861</v>
      </c>
      <c r="T12" s="85">
        <v>-141067.74597892381</v>
      </c>
      <c r="U12" s="84">
        <v>43629</v>
      </c>
      <c r="V12" s="13" t="s">
        <v>1183</v>
      </c>
      <c r="W12" s="91">
        <v>43623.689768518518</v>
      </c>
    </row>
    <row r="13" spans="2:47">
      <c r="B13" s="55">
        <v>43623</v>
      </c>
      <c r="C13" s="55" t="s">
        <v>133</v>
      </c>
      <c r="D13" s="251"/>
      <c r="E13" s="251"/>
      <c r="F13" s="251" t="s">
        <v>1058</v>
      </c>
      <c r="G13" s="8" t="s">
        <v>1136</v>
      </c>
      <c r="H13" s="251"/>
      <c r="I13" s="251"/>
      <c r="J13" s="251"/>
      <c r="K13" s="23">
        <v>820</v>
      </c>
      <c r="M13" s="15">
        <v>6000</v>
      </c>
      <c r="N13" s="53">
        <v>-4920000</v>
      </c>
      <c r="R13" s="53">
        <v>-4920000</v>
      </c>
      <c r="S13" s="23">
        <v>122.57940239991845</v>
      </c>
      <c r="T13" s="85">
        <v>-40137.24902939544</v>
      </c>
      <c r="U13" s="84">
        <v>43629</v>
      </c>
      <c r="V13" s="13" t="s">
        <v>1183</v>
      </c>
      <c r="W13" s="91">
        <v>43623.690949074073</v>
      </c>
    </row>
    <row r="14" spans="2:47">
      <c r="B14" s="55">
        <v>43623</v>
      </c>
      <c r="C14" s="55" t="s">
        <v>133</v>
      </c>
      <c r="D14" s="251"/>
      <c r="E14" s="251"/>
      <c r="F14" s="251" t="s">
        <v>1058</v>
      </c>
      <c r="G14" s="8" t="s">
        <v>1137</v>
      </c>
      <c r="H14" s="251"/>
      <c r="I14" s="251"/>
      <c r="J14" s="251"/>
      <c r="K14" s="23">
        <v>1800</v>
      </c>
      <c r="M14" s="15">
        <v>6000</v>
      </c>
      <c r="N14" s="53">
        <v>-10800000</v>
      </c>
      <c r="R14" s="53">
        <v>-10800000</v>
      </c>
      <c r="S14" s="23">
        <v>122.57940239991872</v>
      </c>
      <c r="T14" s="85">
        <v>-88106.156405989794</v>
      </c>
      <c r="U14" s="84">
        <v>43629</v>
      </c>
      <c r="V14" s="13" t="s">
        <v>1183</v>
      </c>
      <c r="W14" s="91">
        <v>43623.69122685185</v>
      </c>
    </row>
    <row r="15" spans="2:47">
      <c r="B15" s="55">
        <v>43623</v>
      </c>
      <c r="C15" s="55" t="s">
        <v>133</v>
      </c>
      <c r="D15" s="251"/>
      <c r="E15" s="251"/>
      <c r="F15" s="251" t="s">
        <v>1058</v>
      </c>
      <c r="G15" s="8" t="s">
        <v>1139</v>
      </c>
      <c r="H15" s="251"/>
      <c r="I15" s="251"/>
      <c r="J15" s="251"/>
      <c r="K15" s="23">
        <v>2180</v>
      </c>
      <c r="M15" s="15">
        <v>1000</v>
      </c>
      <c r="N15" s="53">
        <v>-2180000</v>
      </c>
      <c r="R15" s="53">
        <v>-2180000</v>
      </c>
      <c r="S15" s="23">
        <v>122.57940239991831</v>
      </c>
      <c r="T15" s="85">
        <v>-17784.390830098</v>
      </c>
      <c r="U15" s="84">
        <v>43629</v>
      </c>
      <c r="V15" s="13" t="s">
        <v>1183</v>
      </c>
      <c r="W15" s="91">
        <v>43623.692141203705</v>
      </c>
    </row>
    <row r="16" spans="2:47">
      <c r="B16" s="55">
        <v>43623</v>
      </c>
      <c r="C16" s="55" t="s">
        <v>133</v>
      </c>
      <c r="D16" s="251"/>
      <c r="E16" s="251"/>
      <c r="F16" s="251" t="s">
        <v>1058</v>
      </c>
      <c r="G16" s="8" t="s">
        <v>1140</v>
      </c>
      <c r="H16" s="251"/>
      <c r="I16" s="251"/>
      <c r="J16" s="251"/>
      <c r="K16" s="23">
        <v>3140</v>
      </c>
      <c r="M16" s="15">
        <v>4000</v>
      </c>
      <c r="N16" s="53">
        <v>-12560000</v>
      </c>
      <c r="R16" s="53">
        <v>-12560000</v>
      </c>
      <c r="S16" s="23">
        <v>122.57940239991841</v>
      </c>
      <c r="T16" s="85">
        <v>-102464.1967091884</v>
      </c>
      <c r="U16" s="84">
        <v>43629</v>
      </c>
      <c r="V16" s="13" t="s">
        <v>1183</v>
      </c>
      <c r="W16" s="91">
        <v>43623.693124999998</v>
      </c>
    </row>
    <row r="17" spans="2:23">
      <c r="B17" s="55">
        <v>43623</v>
      </c>
      <c r="C17" s="55" t="s">
        <v>133</v>
      </c>
      <c r="D17" s="251"/>
      <c r="E17" s="251"/>
      <c r="F17" s="251" t="s">
        <v>1058</v>
      </c>
      <c r="G17" s="8" t="s">
        <v>1141</v>
      </c>
      <c r="H17" s="251"/>
      <c r="I17" s="251"/>
      <c r="J17" s="251"/>
      <c r="K17" s="23">
        <v>1113</v>
      </c>
      <c r="M17" s="15">
        <v>8000</v>
      </c>
      <c r="N17" s="53">
        <v>-8904000</v>
      </c>
      <c r="R17" s="53">
        <v>-8904000</v>
      </c>
      <c r="S17" s="23">
        <v>122.57940239991842</v>
      </c>
      <c r="T17" s="85">
        <v>-72638.631170271765</v>
      </c>
      <c r="U17" s="84">
        <v>43629</v>
      </c>
      <c r="V17" s="13" t="s">
        <v>1183</v>
      </c>
      <c r="W17" s="91">
        <v>43623.694849537038</v>
      </c>
    </row>
    <row r="18" spans="2:23">
      <c r="B18" s="55">
        <v>43623</v>
      </c>
      <c r="C18" s="55" t="s">
        <v>133</v>
      </c>
      <c r="D18" s="251"/>
      <c r="E18" s="251"/>
      <c r="F18" s="251" t="s">
        <v>1058</v>
      </c>
      <c r="G18" s="8" t="s">
        <v>1142</v>
      </c>
      <c r="H18" s="251"/>
      <c r="I18" s="251"/>
      <c r="J18" s="251"/>
      <c r="K18" s="23">
        <v>4070</v>
      </c>
      <c r="M18" s="15">
        <v>2700</v>
      </c>
      <c r="N18" s="53">
        <v>-10989000</v>
      </c>
      <c r="R18" s="53">
        <v>-10989000</v>
      </c>
      <c r="S18" s="23">
        <v>122.57940239991856</v>
      </c>
      <c r="T18" s="85">
        <v>-89648.014143094741</v>
      </c>
      <c r="U18" s="84">
        <v>43629</v>
      </c>
      <c r="V18" s="13" t="s">
        <v>1183</v>
      </c>
      <c r="W18" s="91">
        <v>43623.696203703701</v>
      </c>
    </row>
    <row r="19" spans="2:23">
      <c r="B19" s="55">
        <v>43623</v>
      </c>
      <c r="C19" s="55" t="s">
        <v>133</v>
      </c>
      <c r="D19" s="251"/>
      <c r="E19" s="251"/>
      <c r="F19" s="251" t="s">
        <v>1058</v>
      </c>
      <c r="G19" s="8" t="s">
        <v>1143</v>
      </c>
      <c r="H19" s="251"/>
      <c r="I19" s="251"/>
      <c r="J19" s="251"/>
      <c r="K19" s="23">
        <v>2069</v>
      </c>
      <c r="M19" s="15">
        <v>5400</v>
      </c>
      <c r="N19" s="53">
        <v>-11172600</v>
      </c>
      <c r="R19" s="53">
        <v>-11172600</v>
      </c>
      <c r="S19" s="23">
        <v>122.57940239991832</v>
      </c>
      <c r="T19" s="85">
        <v>-91145.818801996749</v>
      </c>
      <c r="U19" s="84">
        <v>43629</v>
      </c>
      <c r="V19" s="13" t="s">
        <v>1183</v>
      </c>
      <c r="W19" s="91">
        <v>43623.697118055556</v>
      </c>
    </row>
    <row r="20" spans="2:23">
      <c r="B20" s="55">
        <v>43623</v>
      </c>
      <c r="C20" s="55" t="s">
        <v>133</v>
      </c>
      <c r="D20" s="251"/>
      <c r="E20" s="251"/>
      <c r="F20" s="251" t="s">
        <v>1058</v>
      </c>
      <c r="G20" s="8" t="s">
        <v>1144</v>
      </c>
      <c r="H20" s="251"/>
      <c r="I20" s="251"/>
      <c r="J20" s="251"/>
      <c r="K20" s="23">
        <v>2352</v>
      </c>
      <c r="M20" s="15">
        <v>2000</v>
      </c>
      <c r="N20" s="53">
        <v>-4704000</v>
      </c>
      <c r="R20" s="53">
        <v>-4704000</v>
      </c>
      <c r="S20" s="23">
        <v>122.57940239991858</v>
      </c>
      <c r="T20" s="85">
        <v>-38375.125901275605</v>
      </c>
      <c r="U20" s="84">
        <v>43629</v>
      </c>
      <c r="V20" s="13" t="s">
        <v>1183</v>
      </c>
      <c r="W20" s="91">
        <v>43623.698425925926</v>
      </c>
    </row>
    <row r="21" spans="2:23">
      <c r="B21" s="55">
        <v>43623</v>
      </c>
      <c r="C21" s="55" t="s">
        <v>133</v>
      </c>
      <c r="D21" s="251"/>
      <c r="E21" s="251"/>
      <c r="F21" s="251" t="s">
        <v>1058</v>
      </c>
      <c r="G21" s="8" t="s">
        <v>1145</v>
      </c>
      <c r="H21" s="251"/>
      <c r="I21" s="251"/>
      <c r="J21" s="251"/>
      <c r="K21" s="23">
        <v>480</v>
      </c>
      <c r="M21" s="15">
        <v>38000</v>
      </c>
      <c r="N21" s="53">
        <v>-18240000</v>
      </c>
      <c r="R21" s="53">
        <v>-18240000</v>
      </c>
      <c r="S21" s="23">
        <v>122.57940239991829</v>
      </c>
      <c r="T21" s="85">
        <v>-148801.50859678327</v>
      </c>
      <c r="U21" s="84">
        <v>43629</v>
      </c>
      <c r="V21" s="13" t="s">
        <v>1183</v>
      </c>
      <c r="W21" s="91">
        <v>43623.699282407404</v>
      </c>
    </row>
    <row r="22" spans="2:23">
      <c r="B22" s="55">
        <v>43623</v>
      </c>
      <c r="C22" s="55" t="s">
        <v>133</v>
      </c>
      <c r="D22" s="251"/>
      <c r="E22" s="251"/>
      <c r="F22" s="251" t="s">
        <v>1058</v>
      </c>
      <c r="G22" s="8" t="s">
        <v>1146</v>
      </c>
      <c r="H22" s="251"/>
      <c r="I22" s="251"/>
      <c r="J22" s="251"/>
      <c r="K22" s="23">
        <v>1789</v>
      </c>
      <c r="M22" s="15">
        <v>9000</v>
      </c>
      <c r="N22" s="53">
        <v>-16101000</v>
      </c>
      <c r="R22" s="53">
        <v>-16101000</v>
      </c>
      <c r="S22" s="23">
        <v>122.57940239991881</v>
      </c>
      <c r="T22" s="85">
        <v>-131351.59484192971</v>
      </c>
      <c r="U22" s="84">
        <v>43629</v>
      </c>
      <c r="V22" s="13" t="s">
        <v>1183</v>
      </c>
      <c r="W22" s="91">
        <v>43623.700185185182</v>
      </c>
    </row>
    <row r="23" spans="2:23">
      <c r="B23" s="55">
        <v>43623</v>
      </c>
      <c r="C23" s="55" t="s">
        <v>133</v>
      </c>
      <c r="D23" s="251"/>
      <c r="E23" s="251"/>
      <c r="F23" s="251" t="s">
        <v>1058</v>
      </c>
      <c r="G23" s="8" t="s">
        <v>1147</v>
      </c>
      <c r="H23" s="251"/>
      <c r="I23" s="251"/>
      <c r="J23" s="251"/>
      <c r="K23" s="23">
        <v>1216</v>
      </c>
      <c r="M23" s="15">
        <v>4000</v>
      </c>
      <c r="N23" s="53">
        <v>-4864000</v>
      </c>
      <c r="R23" s="53">
        <v>-4864000</v>
      </c>
      <c r="S23" s="23">
        <v>122.57940239991837</v>
      </c>
      <c r="T23" s="85">
        <v>-39680.402292475519</v>
      </c>
      <c r="U23" s="84">
        <v>43629</v>
      </c>
      <c r="V23" s="13" t="s">
        <v>1183</v>
      </c>
      <c r="W23" s="91">
        <v>43623.701701388891</v>
      </c>
    </row>
    <row r="24" spans="2:23">
      <c r="B24" s="55">
        <v>43623</v>
      </c>
      <c r="C24" s="55" t="s">
        <v>133</v>
      </c>
      <c r="D24" s="251"/>
      <c r="E24" s="251"/>
      <c r="F24" s="251" t="s">
        <v>1058</v>
      </c>
      <c r="G24" s="8" t="s">
        <v>1148</v>
      </c>
      <c r="H24" s="251"/>
      <c r="I24" s="251"/>
      <c r="J24" s="251"/>
      <c r="K24" s="23">
        <v>727.7</v>
      </c>
      <c r="M24" s="15">
        <v>15000</v>
      </c>
      <c r="N24" s="53">
        <v>-10915500</v>
      </c>
      <c r="R24" s="53">
        <v>-10915500</v>
      </c>
      <c r="S24" s="23">
        <v>122.57940239991837</v>
      </c>
      <c r="T24" s="85">
        <v>-89048.402800887459</v>
      </c>
      <c r="U24" s="84">
        <v>43629</v>
      </c>
      <c r="V24" s="13" t="s">
        <v>1183</v>
      </c>
      <c r="W24" s="91">
        <v>43623.704618055555</v>
      </c>
    </row>
    <row r="25" spans="2:23">
      <c r="B25" s="55">
        <v>43623</v>
      </c>
      <c r="C25" s="55" t="s">
        <v>133</v>
      </c>
      <c r="D25" s="251"/>
      <c r="E25" s="251"/>
      <c r="F25" s="251" t="s">
        <v>1058</v>
      </c>
      <c r="G25" s="8" t="s">
        <v>1149</v>
      </c>
      <c r="H25" s="251"/>
      <c r="I25" s="251"/>
      <c r="J25" s="251"/>
      <c r="K25" s="23">
        <v>2183</v>
      </c>
      <c r="M25" s="15">
        <v>3000</v>
      </c>
      <c r="N25" s="53">
        <v>-6549000</v>
      </c>
      <c r="R25" s="53">
        <v>-6549000</v>
      </c>
      <c r="S25" s="23">
        <v>122.57940239991829</v>
      </c>
      <c r="T25" s="85">
        <v>-53426.594287298998</v>
      </c>
      <c r="U25" s="84">
        <v>43629</v>
      </c>
      <c r="V25" s="13" t="s">
        <v>1183</v>
      </c>
      <c r="W25" s="91">
        <v>43623.705659722225</v>
      </c>
    </row>
    <row r="26" spans="2:23">
      <c r="B26" s="55">
        <v>43623</v>
      </c>
      <c r="C26" s="55" t="s">
        <v>133</v>
      </c>
      <c r="D26" s="251"/>
      <c r="E26" s="251"/>
      <c r="F26" s="251" t="s">
        <v>1058</v>
      </c>
      <c r="G26" s="8" t="s">
        <v>1150</v>
      </c>
      <c r="H26" s="251"/>
      <c r="I26" s="251"/>
      <c r="J26" s="251"/>
      <c r="K26" s="23">
        <v>1567</v>
      </c>
      <c r="M26" s="15">
        <v>8000</v>
      </c>
      <c r="N26" s="53">
        <v>-12536000</v>
      </c>
      <c r="R26" s="53">
        <v>-12536000</v>
      </c>
      <c r="S26" s="23">
        <v>122.57940239991794</v>
      </c>
      <c r="T26" s="85">
        <v>-102268.4052505088</v>
      </c>
      <c r="U26" s="84">
        <v>43629</v>
      </c>
      <c r="V26" s="13" t="s">
        <v>1183</v>
      </c>
      <c r="W26" s="91">
        <v>43623.707094907404</v>
      </c>
    </row>
    <row r="27" spans="2:23">
      <c r="B27" s="55">
        <v>43623</v>
      </c>
      <c r="C27" s="55" t="s">
        <v>133</v>
      </c>
      <c r="D27" s="251"/>
      <c r="E27" s="251"/>
      <c r="F27" s="251" t="s">
        <v>1058</v>
      </c>
      <c r="G27" s="8" t="s">
        <v>1151</v>
      </c>
      <c r="H27" s="251"/>
      <c r="I27" s="251"/>
      <c r="J27" s="251"/>
      <c r="K27" s="23">
        <v>7560</v>
      </c>
      <c r="M27" s="15">
        <v>1500</v>
      </c>
      <c r="N27" s="53">
        <v>-11340000</v>
      </c>
      <c r="R27" s="53">
        <v>-11340000</v>
      </c>
      <c r="S27" s="23">
        <v>122.57940239991844</v>
      </c>
      <c r="T27" s="85">
        <v>-92511.464226289507</v>
      </c>
      <c r="U27" s="84">
        <v>43629</v>
      </c>
      <c r="V27" s="13" t="s">
        <v>1183</v>
      </c>
      <c r="W27" s="91">
        <v>43623.708182870374</v>
      </c>
    </row>
    <row r="28" spans="2:23">
      <c r="B28" s="55">
        <v>43623</v>
      </c>
      <c r="C28" s="55" t="s">
        <v>133</v>
      </c>
      <c r="D28" s="251"/>
      <c r="E28" s="251"/>
      <c r="F28" s="251" t="s">
        <v>1058</v>
      </c>
      <c r="G28" s="8" t="s">
        <v>1152</v>
      </c>
      <c r="H28" s="251"/>
      <c r="I28" s="251"/>
      <c r="J28" s="251"/>
      <c r="K28" s="23">
        <v>1156</v>
      </c>
      <c r="M28" s="15">
        <v>8000</v>
      </c>
      <c r="N28" s="53">
        <v>-9248000</v>
      </c>
      <c r="R28" s="53">
        <v>-9248000</v>
      </c>
      <c r="S28" s="23">
        <v>122.57940239991844</v>
      </c>
      <c r="T28" s="85">
        <v>-75444.975411351435</v>
      </c>
      <c r="U28" s="84">
        <v>43629</v>
      </c>
      <c r="V28" s="13" t="s">
        <v>1183</v>
      </c>
      <c r="W28" s="91">
        <v>43623.70857638889</v>
      </c>
    </row>
    <row r="29" spans="2:23">
      <c r="B29" s="55">
        <v>43623</v>
      </c>
      <c r="C29" s="55" t="s">
        <v>133</v>
      </c>
      <c r="D29" s="251"/>
      <c r="E29" s="251"/>
      <c r="F29" s="251" t="s">
        <v>1058</v>
      </c>
      <c r="G29" s="8" t="s">
        <v>1153</v>
      </c>
      <c r="H29" s="251"/>
      <c r="I29" s="251"/>
      <c r="J29" s="251"/>
      <c r="K29" s="23">
        <v>4447</v>
      </c>
      <c r="M29" s="15">
        <v>1500</v>
      </c>
      <c r="N29" s="53">
        <v>-6670500</v>
      </c>
      <c r="R29" s="53">
        <v>-6670500</v>
      </c>
      <c r="S29" s="23">
        <v>122.57940239991838</v>
      </c>
      <c r="T29" s="85">
        <v>-54417.788546866352</v>
      </c>
      <c r="U29" s="84">
        <v>43629</v>
      </c>
      <c r="V29" s="13" t="s">
        <v>1183</v>
      </c>
      <c r="W29" s="91">
        <v>43623.710138888891</v>
      </c>
    </row>
    <row r="30" spans="2:23">
      <c r="B30" s="55">
        <v>43623</v>
      </c>
      <c r="C30" s="55" t="s">
        <v>133</v>
      </c>
      <c r="D30" s="251"/>
      <c r="E30" s="251"/>
      <c r="F30" s="251" t="s">
        <v>1058</v>
      </c>
      <c r="G30" s="8" t="s">
        <v>1154</v>
      </c>
      <c r="H30" s="251"/>
      <c r="I30" s="251"/>
      <c r="J30" s="251"/>
      <c r="K30" s="23">
        <v>490</v>
      </c>
      <c r="M30" s="15">
        <v>10000</v>
      </c>
      <c r="N30" s="53">
        <v>-4900000</v>
      </c>
      <c r="R30" s="53">
        <v>-4900000</v>
      </c>
      <c r="S30" s="23">
        <v>122.57940239991832</v>
      </c>
      <c r="T30" s="85">
        <v>-39974.089480495502</v>
      </c>
      <c r="U30" s="84">
        <v>43629</v>
      </c>
      <c r="V30" s="13" t="s">
        <v>1183</v>
      </c>
      <c r="W30" s="91">
        <v>43623.711886574078</v>
      </c>
    </row>
    <row r="31" spans="2:23">
      <c r="B31" s="55">
        <v>43626</v>
      </c>
      <c r="C31" s="55" t="s">
        <v>133</v>
      </c>
      <c r="D31" s="251"/>
      <c r="E31" s="251"/>
      <c r="F31" s="251" t="s">
        <v>1058</v>
      </c>
      <c r="G31" s="8" t="s">
        <v>1156</v>
      </c>
      <c r="H31" s="251"/>
      <c r="I31" s="251"/>
      <c r="J31" s="251"/>
      <c r="K31" s="23">
        <v>190000</v>
      </c>
      <c r="M31" s="15">
        <v>820</v>
      </c>
      <c r="N31" s="53">
        <v>-155800000</v>
      </c>
      <c r="R31" s="53">
        <v>-155800000</v>
      </c>
      <c r="S31" s="23">
        <v>1338.2774523245682</v>
      </c>
      <c r="T31" s="85">
        <v>-116418.31051504133</v>
      </c>
      <c r="U31" s="84">
        <v>43629</v>
      </c>
      <c r="V31" s="13" t="s">
        <v>1184</v>
      </c>
      <c r="W31" s="91">
        <v>43626.69404884259</v>
      </c>
    </row>
    <row r="32" spans="2:23">
      <c r="B32" s="55">
        <v>43626</v>
      </c>
      <c r="C32" s="55" t="s">
        <v>133</v>
      </c>
      <c r="D32" s="251"/>
      <c r="E32" s="251"/>
      <c r="F32" s="251" t="s">
        <v>1058</v>
      </c>
      <c r="G32" s="8" t="s">
        <v>1157</v>
      </c>
      <c r="H32" s="251"/>
      <c r="I32" s="251"/>
      <c r="J32" s="251"/>
      <c r="K32" s="23">
        <v>235000</v>
      </c>
      <c r="M32" s="15">
        <v>400</v>
      </c>
      <c r="N32" s="53">
        <v>-94000000</v>
      </c>
      <c r="R32" s="53">
        <v>-94000000</v>
      </c>
      <c r="S32" s="23">
        <v>1338.277452324566</v>
      </c>
      <c r="T32" s="85">
        <v>-70239.545496880004</v>
      </c>
      <c r="U32" s="84">
        <v>43629</v>
      </c>
      <c r="V32" s="13" t="s">
        <v>1184</v>
      </c>
      <c r="W32" s="91">
        <v>43626.696166898146</v>
      </c>
    </row>
    <row r="33" spans="1:23">
      <c r="B33" s="55">
        <v>43626</v>
      </c>
      <c r="C33" s="55" t="s">
        <v>133</v>
      </c>
      <c r="D33" s="251"/>
      <c r="E33" s="251"/>
      <c r="F33" s="251" t="s">
        <v>1058</v>
      </c>
      <c r="G33" s="8" t="s">
        <v>1158</v>
      </c>
      <c r="H33" s="251"/>
      <c r="I33" s="251"/>
      <c r="J33" s="251"/>
      <c r="K33" s="23">
        <v>90400</v>
      </c>
      <c r="M33" s="15">
        <v>1000</v>
      </c>
      <c r="N33" s="53">
        <v>-90400000</v>
      </c>
      <c r="R33" s="53">
        <v>-90400000</v>
      </c>
      <c r="S33" s="23">
        <v>1338.2774523245673</v>
      </c>
      <c r="T33" s="85">
        <v>-67549.520350190898</v>
      </c>
      <c r="U33" s="84">
        <v>43629</v>
      </c>
      <c r="V33" s="13" t="s">
        <v>1184</v>
      </c>
      <c r="W33" s="91">
        <v>43626.697266087962</v>
      </c>
    </row>
    <row r="34" spans="1:23">
      <c r="B34" s="55">
        <v>43626</v>
      </c>
      <c r="C34" s="55" t="s">
        <v>133</v>
      </c>
      <c r="D34" s="251"/>
      <c r="E34" s="251"/>
      <c r="F34" s="251" t="s">
        <v>1058</v>
      </c>
      <c r="G34" s="8" t="s">
        <v>1159</v>
      </c>
      <c r="H34" s="251"/>
      <c r="I34" s="251"/>
      <c r="J34" s="251"/>
      <c r="K34" s="23">
        <v>121500</v>
      </c>
      <c r="M34" s="15">
        <v>600</v>
      </c>
      <c r="N34" s="53">
        <v>-72900000</v>
      </c>
      <c r="R34" s="53">
        <v>-72900000</v>
      </c>
      <c r="S34" s="23">
        <v>1338.2774523245669</v>
      </c>
      <c r="T34" s="85">
        <v>-54473.009220452637</v>
      </c>
      <c r="U34" s="84">
        <v>43629</v>
      </c>
      <c r="V34" s="13" t="s">
        <v>1184</v>
      </c>
      <c r="W34" s="91">
        <v>43626.698459375002</v>
      </c>
    </row>
    <row r="35" spans="1:23">
      <c r="B35" s="55">
        <v>43626</v>
      </c>
      <c r="C35" s="55" t="s">
        <v>133</v>
      </c>
      <c r="D35" s="251"/>
      <c r="E35" s="251"/>
      <c r="F35" s="251" t="s">
        <v>1058</v>
      </c>
      <c r="G35" s="8" t="s">
        <v>1160</v>
      </c>
      <c r="H35" s="251"/>
      <c r="I35" s="251"/>
      <c r="J35" s="251"/>
      <c r="K35" s="23">
        <v>4430</v>
      </c>
      <c r="M35" s="15">
        <v>17000</v>
      </c>
      <c r="N35" s="53">
        <v>-75310000</v>
      </c>
      <c r="R35" s="53">
        <v>-75310000</v>
      </c>
      <c r="S35" s="23">
        <v>1338.2774523245673</v>
      </c>
      <c r="T35" s="85">
        <v>-56273.831610319437</v>
      </c>
      <c r="U35" s="84">
        <v>43629</v>
      </c>
      <c r="V35" s="13" t="s">
        <v>1184</v>
      </c>
      <c r="W35" s="91">
        <v>43626.699320023145</v>
      </c>
    </row>
    <row r="36" spans="1:23">
      <c r="B36" s="55">
        <v>43626</v>
      </c>
      <c r="C36" s="55" t="s">
        <v>133</v>
      </c>
      <c r="D36" s="251"/>
      <c r="E36" s="251"/>
      <c r="F36" s="251" t="s">
        <v>1058</v>
      </c>
      <c r="G36" s="8" t="s">
        <v>1161</v>
      </c>
      <c r="H36" s="251"/>
      <c r="I36" s="251"/>
      <c r="J36" s="251"/>
      <c r="K36" s="23">
        <v>26900</v>
      </c>
      <c r="M36" s="15">
        <v>4000</v>
      </c>
      <c r="N36" s="53">
        <v>-107600000</v>
      </c>
      <c r="R36" s="53">
        <v>-107600000</v>
      </c>
      <c r="S36" s="23">
        <v>1338.2774523245657</v>
      </c>
      <c r="T36" s="85">
        <v>-80401.862717705197</v>
      </c>
      <c r="U36" s="84">
        <v>43629</v>
      </c>
      <c r="V36" s="13" t="s">
        <v>1184</v>
      </c>
      <c r="W36" s="91">
        <v>43626.700181365741</v>
      </c>
    </row>
    <row r="37" spans="1:23">
      <c r="B37" s="55">
        <v>43626</v>
      </c>
      <c r="C37" s="55" t="s">
        <v>133</v>
      </c>
      <c r="D37" s="251"/>
      <c r="E37" s="251"/>
      <c r="F37" s="251" t="s">
        <v>1058</v>
      </c>
      <c r="G37" s="8" t="s">
        <v>1162</v>
      </c>
      <c r="H37" s="251"/>
      <c r="I37" s="251"/>
      <c r="J37" s="251"/>
      <c r="K37" s="23">
        <v>47450</v>
      </c>
      <c r="M37" s="15">
        <v>3000</v>
      </c>
      <c r="N37" s="53">
        <v>-142350000</v>
      </c>
      <c r="R37" s="53">
        <v>-142350000</v>
      </c>
      <c r="S37" s="23">
        <v>1338.2774523245669</v>
      </c>
      <c r="T37" s="85">
        <v>-106368.0776753283</v>
      </c>
      <c r="U37" s="84">
        <v>43629</v>
      </c>
      <c r="V37" s="13" t="s">
        <v>1184</v>
      </c>
      <c r="W37" s="91">
        <v>43626.700741319444</v>
      </c>
    </row>
    <row r="38" spans="1:23" s="251" customFormat="1">
      <c r="A38" s="377"/>
      <c r="B38" s="55">
        <v>43626</v>
      </c>
      <c r="C38" s="55" t="s">
        <v>133</v>
      </c>
      <c r="F38" s="251" t="s">
        <v>1058</v>
      </c>
      <c r="G38" s="8" t="s">
        <v>1163</v>
      </c>
      <c r="K38" s="23">
        <v>1.0549999999999999</v>
      </c>
      <c r="L38" s="53"/>
      <c r="M38" s="15">
        <v>71800</v>
      </c>
      <c r="N38" s="53">
        <v>-75749</v>
      </c>
      <c r="O38" s="53"/>
      <c r="P38" s="53"/>
      <c r="Q38" s="53"/>
      <c r="R38" s="53">
        <v>-75749</v>
      </c>
      <c r="S38" s="23">
        <v>1.6191857500594877</v>
      </c>
      <c r="T38" s="85">
        <v>-46782.155782446229</v>
      </c>
      <c r="U38" s="84">
        <v>43629</v>
      </c>
      <c r="V38" s="13" t="s">
        <v>1183</v>
      </c>
      <c r="W38" s="91">
        <v>43626.701463773148</v>
      </c>
    </row>
    <row r="39" spans="1:23">
      <c r="B39" s="55">
        <v>43627</v>
      </c>
      <c r="C39" s="55" t="s">
        <v>133</v>
      </c>
      <c r="D39" s="251"/>
      <c r="E39" s="251"/>
      <c r="F39" s="251" t="s">
        <v>1058</v>
      </c>
      <c r="G39" s="8" t="s">
        <v>1164</v>
      </c>
      <c r="H39" s="251"/>
      <c r="I39" s="251"/>
      <c r="J39" s="251"/>
      <c r="K39" s="23">
        <v>27.900000000000002</v>
      </c>
      <c r="M39" s="15">
        <v>900</v>
      </c>
      <c r="N39" s="53">
        <v>-25110.000000000004</v>
      </c>
      <c r="R39" s="53">
        <v>-25110.000000000004</v>
      </c>
      <c r="S39" s="23">
        <v>1</v>
      </c>
      <c r="T39" s="85">
        <v>-25110.000000000004</v>
      </c>
      <c r="U39" s="84">
        <v>43629</v>
      </c>
      <c r="V39" s="13" t="s">
        <v>1183</v>
      </c>
      <c r="W39" s="91">
        <v>43627.422504745373</v>
      </c>
    </row>
    <row r="40" spans="1:23">
      <c r="B40" s="55">
        <v>43627</v>
      </c>
      <c r="C40" s="55" t="s">
        <v>133</v>
      </c>
      <c r="D40" s="251"/>
      <c r="E40" s="251"/>
      <c r="F40" s="251" t="s">
        <v>1058</v>
      </c>
      <c r="G40" s="8" t="s">
        <v>1165</v>
      </c>
      <c r="H40" s="251"/>
      <c r="I40" s="251"/>
      <c r="J40" s="251"/>
      <c r="K40" s="23">
        <v>41.74</v>
      </c>
      <c r="M40" s="15">
        <v>2000</v>
      </c>
      <c r="N40" s="53">
        <v>-83480</v>
      </c>
      <c r="R40" s="53">
        <v>-83480</v>
      </c>
      <c r="S40" s="23">
        <v>1</v>
      </c>
      <c r="T40" s="85">
        <v>-83480</v>
      </c>
      <c r="U40" s="84">
        <v>43629</v>
      </c>
      <c r="V40" s="13" t="s">
        <v>1183</v>
      </c>
      <c r="W40" s="91">
        <v>43627.422937615738</v>
      </c>
    </row>
    <row r="41" spans="1:23">
      <c r="B41" s="55">
        <v>43627</v>
      </c>
      <c r="C41" s="55" t="s">
        <v>133</v>
      </c>
      <c r="D41" s="251"/>
      <c r="E41" s="251"/>
      <c r="F41" s="251" t="s">
        <v>1058</v>
      </c>
      <c r="G41" s="8" t="s">
        <v>1166</v>
      </c>
      <c r="H41" s="251"/>
      <c r="I41" s="251"/>
      <c r="J41" s="251"/>
      <c r="K41" s="23">
        <v>54.5</v>
      </c>
      <c r="M41" s="15">
        <v>1400</v>
      </c>
      <c r="N41" s="53">
        <v>-76300</v>
      </c>
      <c r="R41" s="53">
        <v>-76300</v>
      </c>
      <c r="S41" s="23">
        <v>1</v>
      </c>
      <c r="T41" s="85">
        <v>-76300</v>
      </c>
      <c r="U41" s="84">
        <v>43629</v>
      </c>
      <c r="V41" s="13" t="s">
        <v>1183</v>
      </c>
      <c r="W41" s="91">
        <v>43627.423250694446</v>
      </c>
    </row>
    <row r="42" spans="1:23">
      <c r="B42" s="55">
        <v>43627</v>
      </c>
      <c r="C42" s="55" t="s">
        <v>133</v>
      </c>
      <c r="D42" s="251"/>
      <c r="E42" s="251"/>
      <c r="F42" s="251" t="s">
        <v>1058</v>
      </c>
      <c r="G42" s="8" t="s">
        <v>1167</v>
      </c>
      <c r="H42" s="251"/>
      <c r="I42" s="251"/>
      <c r="J42" s="251"/>
      <c r="K42" s="23">
        <v>42.330000000000005</v>
      </c>
      <c r="M42" s="15">
        <v>700</v>
      </c>
      <c r="N42" s="53">
        <v>-29631.000000000004</v>
      </c>
      <c r="R42" s="53">
        <v>-29631.000000000004</v>
      </c>
      <c r="S42" s="23">
        <v>1</v>
      </c>
      <c r="T42" s="85">
        <v>-29631.000000000004</v>
      </c>
      <c r="U42" s="84">
        <v>43629</v>
      </c>
      <c r="V42" s="13" t="s">
        <v>1183</v>
      </c>
      <c r="W42" s="91">
        <v>43627.423665046299</v>
      </c>
    </row>
    <row r="43" spans="1:23">
      <c r="B43" s="55">
        <v>43627</v>
      </c>
      <c r="C43" s="55" t="s">
        <v>133</v>
      </c>
      <c r="D43" s="251"/>
      <c r="E43" s="251"/>
      <c r="F43" s="251" t="s">
        <v>1058</v>
      </c>
      <c r="G43" s="8" t="s">
        <v>1168</v>
      </c>
      <c r="H43" s="251"/>
      <c r="I43" s="251"/>
      <c r="J43" s="251"/>
      <c r="K43" s="23">
        <v>25.39</v>
      </c>
      <c r="M43" s="15">
        <v>3300</v>
      </c>
      <c r="N43" s="53">
        <v>-83787</v>
      </c>
      <c r="R43" s="53">
        <v>-83787</v>
      </c>
      <c r="S43" s="23">
        <v>1</v>
      </c>
      <c r="T43" s="85">
        <v>-83787</v>
      </c>
      <c r="U43" s="84">
        <v>43629</v>
      </c>
      <c r="V43" s="13" t="s">
        <v>1183</v>
      </c>
      <c r="W43" s="91">
        <v>43627.424064814812</v>
      </c>
    </row>
    <row r="44" spans="1:23">
      <c r="B44" s="55">
        <v>43627</v>
      </c>
      <c r="C44" s="55" t="s">
        <v>133</v>
      </c>
      <c r="D44" s="251"/>
      <c r="E44" s="251"/>
      <c r="F44" s="251" t="s">
        <v>1058</v>
      </c>
      <c r="G44" s="8" t="s">
        <v>1169</v>
      </c>
      <c r="H44" s="251"/>
      <c r="I44" s="251"/>
      <c r="J44" s="251"/>
      <c r="K44" s="23">
        <v>127.56</v>
      </c>
      <c r="M44" s="15">
        <v>500</v>
      </c>
      <c r="N44" s="53">
        <v>-63780</v>
      </c>
      <c r="R44" s="53">
        <v>-63780</v>
      </c>
      <c r="S44" s="23">
        <v>1</v>
      </c>
      <c r="T44" s="85">
        <v>-63780</v>
      </c>
      <c r="U44" s="84">
        <v>43629</v>
      </c>
      <c r="V44" s="13" t="s">
        <v>1183</v>
      </c>
      <c r="W44" s="91">
        <v>43627.424471064813</v>
      </c>
    </row>
    <row r="45" spans="1:23">
      <c r="B45" s="55">
        <v>43627</v>
      </c>
      <c r="C45" s="55" t="s">
        <v>133</v>
      </c>
      <c r="D45" s="251"/>
      <c r="E45" s="251"/>
      <c r="F45" s="251" t="s">
        <v>1058</v>
      </c>
      <c r="G45" s="8" t="s">
        <v>1170</v>
      </c>
      <c r="H45" s="251"/>
      <c r="I45" s="251"/>
      <c r="J45" s="251"/>
      <c r="K45" s="23">
        <v>15.238000000000001</v>
      </c>
      <c r="M45" s="15">
        <v>2000</v>
      </c>
      <c r="N45" s="53">
        <v>-30476.000000000004</v>
      </c>
      <c r="R45" s="53">
        <v>-30476.000000000004</v>
      </c>
      <c r="S45" s="23">
        <v>1</v>
      </c>
      <c r="T45" s="85">
        <v>-30476.000000000004</v>
      </c>
      <c r="U45" s="84">
        <v>43629</v>
      </c>
      <c r="V45" s="13" t="s">
        <v>1183</v>
      </c>
      <c r="W45" s="91">
        <v>43627.42485289352</v>
      </c>
    </row>
    <row r="46" spans="1:23" s="251" customFormat="1">
      <c r="A46" s="377"/>
      <c r="B46" s="55">
        <v>43627</v>
      </c>
      <c r="C46" s="55" t="s">
        <v>133</v>
      </c>
      <c r="F46" s="251" t="s">
        <v>1058</v>
      </c>
      <c r="G46" s="8" t="s">
        <v>1171</v>
      </c>
      <c r="K46" s="23">
        <v>57.660000000000004</v>
      </c>
      <c r="L46" s="53"/>
      <c r="M46" s="15">
        <v>900</v>
      </c>
      <c r="N46" s="53">
        <v>-51894</v>
      </c>
      <c r="O46" s="53"/>
      <c r="P46" s="53"/>
      <c r="Q46" s="53"/>
      <c r="R46" s="53">
        <v>-51894</v>
      </c>
      <c r="S46" s="23">
        <v>1</v>
      </c>
      <c r="T46" s="85">
        <v>-51894</v>
      </c>
      <c r="U46" s="84">
        <v>43629</v>
      </c>
      <c r="V46" s="13" t="s">
        <v>1183</v>
      </c>
      <c r="W46" s="91">
        <v>43627.42533726852</v>
      </c>
    </row>
    <row r="47" spans="1:23" s="251" customFormat="1">
      <c r="A47" s="377"/>
      <c r="B47" s="55">
        <v>43627</v>
      </c>
      <c r="C47" s="55" t="s">
        <v>133</v>
      </c>
      <c r="F47" s="251" t="s">
        <v>1058</v>
      </c>
      <c r="G47" s="8" t="s">
        <v>1172</v>
      </c>
      <c r="K47" s="23">
        <v>48.525000000000006</v>
      </c>
      <c r="L47" s="53"/>
      <c r="M47" s="15">
        <v>600</v>
      </c>
      <c r="N47" s="53">
        <v>-29115.000000000004</v>
      </c>
      <c r="O47" s="53"/>
      <c r="P47" s="53"/>
      <c r="Q47" s="53"/>
      <c r="R47" s="53">
        <v>-29115.000000000004</v>
      </c>
      <c r="S47" s="23">
        <v>1</v>
      </c>
      <c r="T47" s="85">
        <v>-29115.000000000004</v>
      </c>
      <c r="U47" s="84">
        <v>43629</v>
      </c>
      <c r="V47" s="13" t="s">
        <v>1183</v>
      </c>
      <c r="W47" s="91">
        <v>43627.425872569445</v>
      </c>
    </row>
    <row r="48" spans="1:23" s="251" customFormat="1">
      <c r="A48" s="377"/>
      <c r="B48" s="55">
        <v>43627</v>
      </c>
      <c r="C48" s="55" t="s">
        <v>133</v>
      </c>
      <c r="F48" s="251" t="s">
        <v>1058</v>
      </c>
      <c r="G48" s="8" t="s">
        <v>1173</v>
      </c>
      <c r="K48" s="23">
        <v>56.04</v>
      </c>
      <c r="L48" s="53"/>
      <c r="M48" s="15">
        <v>1100</v>
      </c>
      <c r="N48" s="53">
        <v>-61644</v>
      </c>
      <c r="O48" s="53"/>
      <c r="P48" s="53"/>
      <c r="Q48" s="53"/>
      <c r="R48" s="53">
        <v>-61644</v>
      </c>
      <c r="S48" s="23">
        <v>1</v>
      </c>
      <c r="T48" s="85">
        <v>-61644</v>
      </c>
      <c r="U48" s="84">
        <v>43629</v>
      </c>
      <c r="V48" s="13" t="s">
        <v>1183</v>
      </c>
      <c r="W48" s="91">
        <v>43627.426203587966</v>
      </c>
    </row>
    <row r="49" spans="1:23" s="251" customFormat="1">
      <c r="A49" s="377"/>
      <c r="B49" s="55">
        <v>43627</v>
      </c>
      <c r="C49" s="55" t="s">
        <v>133</v>
      </c>
      <c r="F49" s="251" t="str">
        <f t="shared" ref="F49:F54" si="0">IF(D49=G49,"YES","NO")</f>
        <v>NO</v>
      </c>
      <c r="G49" s="8" t="s">
        <v>1174</v>
      </c>
      <c r="K49" s="23">
        <v>31.86</v>
      </c>
      <c r="L49" s="53"/>
      <c r="M49" s="15">
        <v>900</v>
      </c>
      <c r="N49" s="53">
        <f t="shared" ref="N49:N54" si="1">-K49*M49</f>
        <v>-28674</v>
      </c>
      <c r="O49" s="53"/>
      <c r="P49" s="53"/>
      <c r="Q49" s="53"/>
      <c r="R49" s="53">
        <f t="shared" ref="R49:R54" si="2">SUM(N49:Q49)</f>
        <v>-28674</v>
      </c>
      <c r="S49" s="23">
        <v>1.1311961267844619</v>
      </c>
      <c r="T49" s="85">
        <v>-25348.389479999998</v>
      </c>
      <c r="U49" s="84">
        <v>43629</v>
      </c>
      <c r="V49" s="13" t="s">
        <v>1183</v>
      </c>
      <c r="W49" s="91">
        <v>43627.42728935185</v>
      </c>
    </row>
    <row r="50" spans="1:23" s="251" customFormat="1">
      <c r="A50" s="377"/>
      <c r="B50" s="55">
        <v>43627</v>
      </c>
      <c r="C50" s="55" t="s">
        <v>133</v>
      </c>
      <c r="F50" s="251" t="str">
        <f t="shared" si="0"/>
        <v>NO</v>
      </c>
      <c r="G50" s="8" t="s">
        <v>1175</v>
      </c>
      <c r="K50" s="23">
        <v>70.929999999999993</v>
      </c>
      <c r="L50" s="53"/>
      <c r="M50" s="15">
        <v>900</v>
      </c>
      <c r="N50" s="53">
        <f t="shared" si="1"/>
        <v>-63836.999999999993</v>
      </c>
      <c r="O50" s="53"/>
      <c r="P50" s="53"/>
      <c r="Q50" s="53"/>
      <c r="R50" s="53">
        <f t="shared" si="2"/>
        <v>-63836.999999999993</v>
      </c>
      <c r="S50" s="23">
        <v>1.1311961267844619</v>
      </c>
      <c r="T50" s="85">
        <v>-56433.18473999999</v>
      </c>
      <c r="U50" s="84">
        <v>43629</v>
      </c>
      <c r="V50" s="13" t="s">
        <v>1183</v>
      </c>
      <c r="W50" s="91">
        <v>43627.427678356478</v>
      </c>
    </row>
    <row r="51" spans="1:23" s="251" customFormat="1">
      <c r="A51" s="377"/>
      <c r="B51" s="55">
        <v>43627</v>
      </c>
      <c r="C51" s="55" t="s">
        <v>133</v>
      </c>
      <c r="F51" s="251" t="str">
        <f t="shared" si="0"/>
        <v>NO</v>
      </c>
      <c r="G51" s="8" t="s">
        <v>1176</v>
      </c>
      <c r="K51" s="23">
        <v>6.83</v>
      </c>
      <c r="L51" s="53"/>
      <c r="M51" s="15">
        <v>13600</v>
      </c>
      <c r="N51" s="53">
        <f t="shared" si="1"/>
        <v>-92888</v>
      </c>
      <c r="O51" s="53"/>
      <c r="P51" s="53"/>
      <c r="Q51" s="53"/>
      <c r="R51" s="53">
        <f t="shared" si="2"/>
        <v>-92888</v>
      </c>
      <c r="S51" s="23">
        <v>1.1311961267844619</v>
      </c>
      <c r="T51" s="85">
        <v>-82114.849759999997</v>
      </c>
      <c r="U51" s="84">
        <v>43629</v>
      </c>
      <c r="V51" s="13" t="s">
        <v>1183</v>
      </c>
      <c r="W51" s="91">
        <v>43627.428067245368</v>
      </c>
    </row>
    <row r="52" spans="1:23" s="251" customFormat="1">
      <c r="A52" s="377"/>
      <c r="B52" s="55">
        <v>43627</v>
      </c>
      <c r="C52" s="55" t="s">
        <v>133</v>
      </c>
      <c r="F52" s="251" t="str">
        <f t="shared" si="0"/>
        <v>NO</v>
      </c>
      <c r="G52" s="8" t="s">
        <v>1177</v>
      </c>
      <c r="K52" s="23">
        <v>3.5</v>
      </c>
      <c r="L52" s="53"/>
      <c r="M52" s="15">
        <v>24000</v>
      </c>
      <c r="N52" s="53">
        <f t="shared" si="1"/>
        <v>-84000</v>
      </c>
      <c r="O52" s="53"/>
      <c r="P52" s="53"/>
      <c r="Q52" s="53"/>
      <c r="R52" s="53">
        <f t="shared" si="2"/>
        <v>-84000</v>
      </c>
      <c r="S52" s="23">
        <v>1.5005316621795879</v>
      </c>
      <c r="T52" s="85">
        <v>-55980.15831134568</v>
      </c>
      <c r="U52" s="84">
        <v>43629</v>
      </c>
      <c r="V52" s="13" t="s">
        <v>1183</v>
      </c>
      <c r="W52" s="91">
        <v>43627.436683333333</v>
      </c>
    </row>
    <row r="53" spans="1:23" s="251" customFormat="1">
      <c r="A53" s="377"/>
      <c r="B53" s="55">
        <v>43627</v>
      </c>
      <c r="C53" s="55" t="s">
        <v>133</v>
      </c>
      <c r="F53" s="251" t="str">
        <f t="shared" si="0"/>
        <v>NO</v>
      </c>
      <c r="G53" s="8" t="s">
        <v>1178</v>
      </c>
      <c r="K53" s="23">
        <v>17.38</v>
      </c>
      <c r="L53" s="53"/>
      <c r="M53" s="15">
        <v>2400</v>
      </c>
      <c r="N53" s="53">
        <f t="shared" si="1"/>
        <v>-41712</v>
      </c>
      <c r="O53" s="53"/>
      <c r="P53" s="53"/>
      <c r="Q53" s="53"/>
      <c r="R53" s="53">
        <f t="shared" si="2"/>
        <v>-41712</v>
      </c>
      <c r="S53" s="23">
        <v>1.1311961267844619</v>
      </c>
      <c r="T53" s="85">
        <v>-36874.24224</v>
      </c>
      <c r="U53" s="84">
        <v>43629</v>
      </c>
      <c r="V53" s="13" t="s">
        <v>1183</v>
      </c>
      <c r="W53" s="91">
        <v>43627.437274768519</v>
      </c>
    </row>
    <row r="54" spans="1:23" s="251" customFormat="1">
      <c r="A54" s="377"/>
      <c r="B54" s="55">
        <v>43627</v>
      </c>
      <c r="C54" s="55" t="s">
        <v>133</v>
      </c>
      <c r="F54" s="251" t="str">
        <f t="shared" si="0"/>
        <v>NO</v>
      </c>
      <c r="G54" s="8" t="s">
        <v>1163</v>
      </c>
      <c r="K54" s="23">
        <v>1.0549999999999999</v>
      </c>
      <c r="L54" s="53"/>
      <c r="M54" s="15">
        <v>57400</v>
      </c>
      <c r="N54" s="53">
        <f t="shared" si="1"/>
        <v>-60557</v>
      </c>
      <c r="O54" s="53"/>
      <c r="P54" s="53"/>
      <c r="Q54" s="53"/>
      <c r="R54" s="53">
        <f t="shared" si="2"/>
        <v>-60557</v>
      </c>
      <c r="S54" s="23">
        <v>1.6191857500594877</v>
      </c>
      <c r="T54" s="85">
        <v>-37399.662143626927</v>
      </c>
      <c r="U54" s="84">
        <v>43629</v>
      </c>
      <c r="V54" s="13" t="s">
        <v>1183</v>
      </c>
      <c r="W54" s="91">
        <v>43626.438043981485</v>
      </c>
    </row>
    <row r="55" spans="1:23">
      <c r="B55" s="55">
        <v>43627</v>
      </c>
      <c r="C55" s="55" t="s">
        <v>133</v>
      </c>
      <c r="D55" s="251"/>
      <c r="E55" s="251"/>
      <c r="F55" s="251" t="s">
        <v>1058</v>
      </c>
      <c r="G55" s="8" t="s">
        <v>1160</v>
      </c>
      <c r="H55" s="251"/>
      <c r="I55" s="251"/>
      <c r="J55" s="251"/>
      <c r="K55" s="23">
        <v>4475</v>
      </c>
      <c r="M55" s="15">
        <v>16000</v>
      </c>
      <c r="N55" s="53">
        <v>-71600000</v>
      </c>
      <c r="R55" s="53">
        <v>-71600000</v>
      </c>
      <c r="S55" s="23">
        <v>1338.2276419085522</v>
      </c>
      <c r="T55" s="85">
        <v>-53503.6</v>
      </c>
      <c r="U55" s="84"/>
      <c r="V55" s="13"/>
      <c r="W55" s="91">
        <v>43627.560814004632</v>
      </c>
    </row>
    <row r="56" spans="1:23">
      <c r="B56" s="55">
        <v>43627</v>
      </c>
      <c r="C56" s="55" t="s">
        <v>133</v>
      </c>
      <c r="D56" s="251"/>
      <c r="E56" s="251"/>
      <c r="F56" s="251" t="s">
        <v>1058</v>
      </c>
      <c r="G56" s="8" t="s">
        <v>1158</v>
      </c>
      <c r="H56" s="251"/>
      <c r="I56" s="251"/>
      <c r="J56" s="251"/>
      <c r="K56" s="23">
        <v>90700</v>
      </c>
      <c r="M56" s="15">
        <v>400</v>
      </c>
      <c r="N56" s="53">
        <v>-36280000</v>
      </c>
      <c r="R56" s="53">
        <v>-36280000</v>
      </c>
      <c r="S56" s="23">
        <v>1338.2276419085536</v>
      </c>
      <c r="T56" s="85">
        <v>-27110.48</v>
      </c>
      <c r="U56" s="84"/>
      <c r="V56" s="13"/>
      <c r="W56" s="91">
        <v>43627.563368518517</v>
      </c>
    </row>
    <row r="57" spans="1:23">
      <c r="B57" s="55">
        <v>43627</v>
      </c>
      <c r="C57" s="55" t="s">
        <v>133</v>
      </c>
      <c r="D57" s="251"/>
      <c r="E57" s="251"/>
      <c r="F57" s="251" t="s">
        <v>1058</v>
      </c>
      <c r="G57" s="8" t="s">
        <v>1156</v>
      </c>
      <c r="H57" s="251"/>
      <c r="I57" s="251"/>
      <c r="J57" s="251"/>
      <c r="K57" s="23">
        <v>190500</v>
      </c>
      <c r="M57" s="15">
        <v>170</v>
      </c>
      <c r="N57" s="53">
        <v>-32385000</v>
      </c>
      <c r="R57" s="53">
        <v>-32385000</v>
      </c>
      <c r="S57" s="23">
        <v>1338.227641908557</v>
      </c>
      <c r="T57" s="85">
        <v>-24199.919999999998</v>
      </c>
      <c r="U57" s="84"/>
      <c r="V57" s="13"/>
      <c r="W57" s="91">
        <v>43627.564126851852</v>
      </c>
    </row>
    <row r="58" spans="1:23">
      <c r="B58" s="55">
        <v>43627</v>
      </c>
      <c r="C58" s="55" t="s">
        <v>133</v>
      </c>
      <c r="D58" s="251"/>
      <c r="E58" s="251"/>
      <c r="F58" s="251" t="s">
        <v>1058</v>
      </c>
      <c r="G58" s="8" t="s">
        <v>1159</v>
      </c>
      <c r="H58" s="251"/>
      <c r="I58" s="251"/>
      <c r="J58" s="251"/>
      <c r="K58" s="23">
        <v>120500</v>
      </c>
      <c r="M58" s="15">
        <v>260</v>
      </c>
      <c r="N58" s="53">
        <v>-31330000</v>
      </c>
      <c r="R58" s="53">
        <v>-31330000</v>
      </c>
      <c r="S58" s="23">
        <v>1338.2276419085547</v>
      </c>
      <c r="T58" s="85">
        <v>-23411.56</v>
      </c>
      <c r="U58" s="84"/>
      <c r="V58" s="13"/>
      <c r="W58" s="91">
        <v>43627.566560300926</v>
      </c>
    </row>
    <row r="59" spans="1:23">
      <c r="B59" s="55">
        <v>43627</v>
      </c>
      <c r="C59" s="55" t="s">
        <v>133</v>
      </c>
      <c r="D59" s="251"/>
      <c r="E59" s="251"/>
      <c r="F59" s="251" t="s">
        <v>1058</v>
      </c>
      <c r="G59" s="8" t="s">
        <v>1185</v>
      </c>
      <c r="H59" s="251"/>
      <c r="I59" s="251"/>
      <c r="J59" s="251"/>
      <c r="K59" s="23">
        <v>1.28</v>
      </c>
      <c r="M59" s="15">
        <v>90000</v>
      </c>
      <c r="N59" s="53">
        <v>-115200</v>
      </c>
      <c r="R59" s="53">
        <v>-115200</v>
      </c>
      <c r="S59" s="23">
        <v>10.652360806316631</v>
      </c>
      <c r="T59" s="85">
        <v>-10814.5</v>
      </c>
      <c r="U59" s="84"/>
      <c r="V59" s="13"/>
      <c r="W59" s="91">
        <v>43627.690176041666</v>
      </c>
    </row>
    <row r="60" spans="1:23" s="247" customFormat="1">
      <c r="B60" s="263">
        <v>43628</v>
      </c>
      <c r="C60" s="263" t="s">
        <v>133</v>
      </c>
      <c r="F60" s="247" t="s">
        <v>1230</v>
      </c>
      <c r="G60" s="264" t="s">
        <v>1160</v>
      </c>
      <c r="K60" s="261">
        <v>4400</v>
      </c>
      <c r="L60" s="265"/>
      <c r="M60" s="262">
        <v>16000</v>
      </c>
      <c r="N60" s="265">
        <v>-70400000</v>
      </c>
      <c r="O60" s="265"/>
      <c r="P60" s="265"/>
      <c r="Q60" s="265"/>
      <c r="R60" s="265">
        <v>-70400000</v>
      </c>
      <c r="S60" s="261">
        <v>1329.8373527762183</v>
      </c>
      <c r="T60" s="266">
        <v>-52938.8</v>
      </c>
      <c r="U60" s="267"/>
      <c r="V60" s="268"/>
      <c r="W60" s="269">
        <v>43634.461969097225</v>
      </c>
    </row>
    <row r="61" spans="1:23" s="247" customFormat="1">
      <c r="B61" s="263">
        <v>43629</v>
      </c>
      <c r="C61" s="263" t="s">
        <v>133</v>
      </c>
      <c r="F61" s="247" t="s">
        <v>1230</v>
      </c>
      <c r="G61" s="264" t="s">
        <v>1160</v>
      </c>
      <c r="K61" s="261">
        <v>4400</v>
      </c>
      <c r="L61" s="265"/>
      <c r="M61" s="262">
        <v>10000</v>
      </c>
      <c r="N61" s="265">
        <v>-44000000</v>
      </c>
      <c r="O61" s="265"/>
      <c r="P61" s="265"/>
      <c r="Q61" s="265"/>
      <c r="R61" s="265">
        <v>-44000000</v>
      </c>
      <c r="S61" s="261">
        <v>1329.8373527762183</v>
      </c>
      <c r="T61" s="266">
        <v>-33086.75</v>
      </c>
      <c r="U61" s="267"/>
      <c r="V61" s="268"/>
      <c r="W61" s="269">
        <v>43634.462918171295</v>
      </c>
    </row>
    <row r="62" spans="1:23" s="247" customFormat="1">
      <c r="B62" s="263">
        <v>43634</v>
      </c>
      <c r="C62" s="263" t="s">
        <v>133</v>
      </c>
      <c r="F62" s="247" t="s">
        <v>1230</v>
      </c>
      <c r="G62" s="264" t="s">
        <v>1185</v>
      </c>
      <c r="K62" s="261">
        <v>1.2550000000000001</v>
      </c>
      <c r="L62" s="265"/>
      <c r="M62" s="262">
        <v>72685</v>
      </c>
      <c r="N62" s="265">
        <v>-91219.675000000003</v>
      </c>
      <c r="O62" s="265"/>
      <c r="P62" s="265"/>
      <c r="Q62" s="265"/>
      <c r="R62" s="265">
        <v>-91219.675000000003</v>
      </c>
      <c r="S62" s="261">
        <v>10.633987661245094</v>
      </c>
      <c r="T62" s="266">
        <v>-8578.1299999999992</v>
      </c>
      <c r="U62" s="267"/>
      <c r="V62" s="268"/>
      <c r="W62" s="269">
        <v>43634.467695486113</v>
      </c>
    </row>
    <row r="63" spans="1:23" s="247" customFormat="1">
      <c r="B63" s="263">
        <v>43636</v>
      </c>
      <c r="C63" s="263" t="s">
        <v>133</v>
      </c>
      <c r="F63" s="247" t="s">
        <v>1230</v>
      </c>
      <c r="G63" s="264" t="s">
        <v>1160</v>
      </c>
      <c r="K63" s="261">
        <v>4545</v>
      </c>
      <c r="L63" s="265"/>
      <c r="M63" s="262">
        <v>4200</v>
      </c>
      <c r="N63" s="265">
        <v>-19089000</v>
      </c>
      <c r="O63" s="265"/>
      <c r="P63" s="265"/>
      <c r="Q63" s="265"/>
      <c r="R63" s="265">
        <v>-19089000</v>
      </c>
      <c r="S63" s="261">
        <v>1314.8661541051674</v>
      </c>
      <c r="T63" s="266">
        <v>-14517.83</v>
      </c>
      <c r="U63" s="267"/>
      <c r="V63" s="268"/>
      <c r="W63" s="269">
        <v>43636.486723611109</v>
      </c>
    </row>
    <row r="64" spans="1:23" s="247" customFormat="1">
      <c r="B64" s="263">
        <v>43636</v>
      </c>
      <c r="C64" s="247" t="s">
        <v>133</v>
      </c>
      <c r="F64" s="247" t="s">
        <v>1230</v>
      </c>
      <c r="G64" s="247" t="s">
        <v>1158</v>
      </c>
      <c r="K64" s="265">
        <v>91600</v>
      </c>
      <c r="L64" s="265"/>
      <c r="M64" s="265">
        <v>1200</v>
      </c>
      <c r="N64" s="265">
        <v>-109920000</v>
      </c>
      <c r="O64" s="265"/>
      <c r="P64" s="265"/>
      <c r="Q64" s="265"/>
      <c r="R64" s="265">
        <v>-109920000</v>
      </c>
      <c r="S64" s="265">
        <v>1314.8661541051683</v>
      </c>
      <c r="T64" s="271">
        <v>-83597.86</v>
      </c>
      <c r="U64" s="265"/>
      <c r="W64" s="272">
        <v>43636.488364004632</v>
      </c>
    </row>
    <row r="65" spans="2:23" s="247" customFormat="1">
      <c r="B65" s="263">
        <v>43636</v>
      </c>
      <c r="C65" s="247" t="s">
        <v>133</v>
      </c>
      <c r="F65" s="247" t="s">
        <v>1230</v>
      </c>
      <c r="G65" s="247" t="s">
        <v>1159</v>
      </c>
      <c r="K65" s="265">
        <v>119500</v>
      </c>
      <c r="L65" s="265"/>
      <c r="M65" s="265">
        <v>500</v>
      </c>
      <c r="N65" s="265">
        <v>-59750000</v>
      </c>
      <c r="O65" s="265"/>
      <c r="P65" s="265"/>
      <c r="Q65" s="265"/>
      <c r="R65" s="265">
        <v>-59750000</v>
      </c>
      <c r="S65" s="265">
        <v>1314.8661541051692</v>
      </c>
      <c r="T65" s="271">
        <v>-45441.89</v>
      </c>
      <c r="U65" s="265"/>
      <c r="W65" s="272">
        <v>43636.488749305558</v>
      </c>
    </row>
    <row r="66" spans="2:23" s="247" customFormat="1">
      <c r="B66" s="263">
        <v>43636</v>
      </c>
      <c r="C66" s="247" t="s">
        <v>133</v>
      </c>
      <c r="F66" s="247" t="s">
        <v>1230</v>
      </c>
      <c r="G66" s="247" t="s">
        <v>1162</v>
      </c>
      <c r="K66" s="265">
        <v>47200</v>
      </c>
      <c r="L66" s="265"/>
      <c r="M66" s="265">
        <v>1200</v>
      </c>
      <c r="N66" s="265">
        <v>-56640000</v>
      </c>
      <c r="O66" s="265"/>
      <c r="P66" s="265"/>
      <c r="Q66" s="265"/>
      <c r="R66" s="265">
        <v>-56640000</v>
      </c>
      <c r="S66" s="265">
        <v>1314.866154105169</v>
      </c>
      <c r="T66" s="271">
        <v>-43076.63</v>
      </c>
      <c r="U66" s="265"/>
      <c r="W66" s="272">
        <v>43636.489281249997</v>
      </c>
    </row>
    <row r="67" spans="2:23">
      <c r="B67" s="55">
        <v>43636</v>
      </c>
      <c r="C67" s="26" t="s">
        <v>133</v>
      </c>
      <c r="F67" s="26" t="s">
        <v>1230</v>
      </c>
      <c r="G67" s="26" t="s">
        <v>1185</v>
      </c>
      <c r="K67" s="53">
        <v>1.26</v>
      </c>
      <c r="M67" s="53">
        <v>100000</v>
      </c>
      <c r="N67" s="53">
        <v>-126000</v>
      </c>
      <c r="R67" s="53">
        <v>-126000</v>
      </c>
      <c r="S67" s="53">
        <v>10.648970200347936</v>
      </c>
      <c r="T67" s="86">
        <v>-11832.13</v>
      </c>
      <c r="W67" s="87">
        <v>43636.638509027776</v>
      </c>
    </row>
    <row r="68" spans="2:23">
      <c r="B68" s="55">
        <v>43637</v>
      </c>
      <c r="C68" s="26" t="s">
        <v>133</v>
      </c>
      <c r="F68" s="26" t="s">
        <v>1230</v>
      </c>
      <c r="G68" s="26" t="s">
        <v>1163</v>
      </c>
      <c r="K68" s="53">
        <v>0.87</v>
      </c>
      <c r="M68" s="53">
        <v>35000</v>
      </c>
      <c r="N68" s="53">
        <v>-30450</v>
      </c>
      <c r="R68" s="53">
        <v>-30450</v>
      </c>
      <c r="S68" s="53">
        <v>1.6311790077456365</v>
      </c>
      <c r="T68" s="86">
        <v>-18667.48</v>
      </c>
      <c r="W68" s="87">
        <v>43637.703286342592</v>
      </c>
    </row>
    <row r="69" spans="2:23">
      <c r="B69" s="55">
        <v>43640</v>
      </c>
      <c r="C69" s="26" t="s">
        <v>133</v>
      </c>
      <c r="F69" s="26" t="s">
        <v>1230</v>
      </c>
      <c r="G69" s="26" t="s">
        <v>1185</v>
      </c>
      <c r="K69" s="53">
        <v>1.04</v>
      </c>
      <c r="M69" s="53">
        <v>110000</v>
      </c>
      <c r="N69" s="53">
        <v>-114400</v>
      </c>
      <c r="R69" s="53">
        <v>-114400</v>
      </c>
      <c r="S69" s="53">
        <v>10.630151525416109</v>
      </c>
      <c r="T69" s="86">
        <v>-10761.840950853417</v>
      </c>
      <c r="W69" s="87">
        <v>43640.521310763892</v>
      </c>
    </row>
    <row r="70" spans="2:23">
      <c r="B70" s="55">
        <v>43642</v>
      </c>
      <c r="C70" s="26" t="s">
        <v>133</v>
      </c>
      <c r="D70" s="26" t="s">
        <v>1071</v>
      </c>
      <c r="E70" s="26" t="s">
        <v>1249</v>
      </c>
      <c r="F70" s="26" t="s">
        <v>1230</v>
      </c>
      <c r="G70" s="26" t="s">
        <v>1134</v>
      </c>
      <c r="K70" s="53">
        <v>883.40000000000009</v>
      </c>
      <c r="M70" s="53">
        <v>6700</v>
      </c>
      <c r="N70" s="53">
        <v>-5918780.0000000009</v>
      </c>
      <c r="R70" s="53">
        <v>-5918780.0000000009</v>
      </c>
      <c r="S70" s="53">
        <v>121.79931582356893</v>
      </c>
      <c r="T70" s="86">
        <v>-48594.53</v>
      </c>
      <c r="W70" s="87">
        <v>43642.753387268516</v>
      </c>
    </row>
    <row r="71" spans="2:23">
      <c r="B71" s="55">
        <v>43662</v>
      </c>
      <c r="C71" s="26" t="s">
        <v>134</v>
      </c>
      <c r="D71" s="26" t="s">
        <v>1162</v>
      </c>
      <c r="E71" s="26" t="s">
        <v>1249</v>
      </c>
      <c r="F71" s="26" t="s">
        <v>1230</v>
      </c>
      <c r="G71" s="26" t="s">
        <v>1162</v>
      </c>
      <c r="K71" s="53">
        <v>66300</v>
      </c>
      <c r="M71" s="53">
        <v>2200</v>
      </c>
      <c r="N71" s="53">
        <v>-145860000</v>
      </c>
      <c r="R71" s="53">
        <v>-145860000</v>
      </c>
      <c r="S71" s="53">
        <v>1327.6560776279359</v>
      </c>
      <c r="T71" s="53">
        <v>-109862.78936078203</v>
      </c>
    </row>
    <row r="72" spans="2:23">
      <c r="B72" s="55">
        <v>43662</v>
      </c>
      <c r="C72" s="26" t="s">
        <v>134</v>
      </c>
      <c r="D72" s="26" t="s">
        <v>1162</v>
      </c>
      <c r="E72" s="26" t="s">
        <v>1249</v>
      </c>
      <c r="F72" s="26" t="s">
        <v>1230</v>
      </c>
      <c r="G72" s="26" t="s">
        <v>1162</v>
      </c>
      <c r="K72" s="53">
        <v>66300</v>
      </c>
      <c r="M72" s="53">
        <v>-2200</v>
      </c>
      <c r="N72" s="53">
        <v>145860000</v>
      </c>
      <c r="R72" s="53">
        <v>145860000</v>
      </c>
      <c r="S72" s="53">
        <v>1327.6560776279359</v>
      </c>
      <c r="T72" s="53">
        <v>109862.78936078203</v>
      </c>
    </row>
    <row r="73" spans="2:23">
      <c r="B73" s="55">
        <v>43662</v>
      </c>
      <c r="C73" s="26" t="s">
        <v>133</v>
      </c>
      <c r="E73" s="26" t="s">
        <v>1249</v>
      </c>
      <c r="F73" s="26" t="s">
        <v>1058</v>
      </c>
      <c r="G73" s="26" t="s">
        <v>1565</v>
      </c>
      <c r="K73" s="53">
        <v>52.300000000000004</v>
      </c>
      <c r="M73" s="53">
        <v>550</v>
      </c>
      <c r="N73" s="53">
        <v>-28765.000000000004</v>
      </c>
      <c r="R73" s="53">
        <v>-28765.000000000004</v>
      </c>
      <c r="S73" s="53">
        <v>1</v>
      </c>
      <c r="T73" s="53">
        <v>-28765.000000000004</v>
      </c>
      <c r="W73" s="87">
        <v>43662.661953240742</v>
      </c>
    </row>
    <row r="74" spans="2:23">
      <c r="B74" s="55">
        <v>43662</v>
      </c>
      <c r="C74" s="26" t="s">
        <v>133</v>
      </c>
      <c r="D74" s="26" t="s">
        <v>1176</v>
      </c>
      <c r="E74" s="26" t="s">
        <v>1249</v>
      </c>
      <c r="F74" s="26" t="s">
        <v>1230</v>
      </c>
      <c r="G74" s="26" t="s">
        <v>1176</v>
      </c>
      <c r="K74" s="53">
        <v>7.18</v>
      </c>
      <c r="M74" s="53">
        <v>3000</v>
      </c>
      <c r="N74" s="53">
        <v>-21540</v>
      </c>
      <c r="R74" s="53">
        <v>-21540</v>
      </c>
      <c r="S74" s="53">
        <v>1.1256951167345834</v>
      </c>
      <c r="T74" s="53">
        <v>-19134.843600000004</v>
      </c>
      <c r="W74" s="87">
        <v>43662.663292824072</v>
      </c>
    </row>
    <row r="75" spans="2:23">
      <c r="B75" s="55">
        <v>43662</v>
      </c>
      <c r="C75" s="26" t="s">
        <v>133</v>
      </c>
      <c r="E75" s="26" t="s">
        <v>1249</v>
      </c>
      <c r="F75" s="26" t="s">
        <v>1058</v>
      </c>
      <c r="G75" s="26" t="s">
        <v>1566</v>
      </c>
      <c r="K75" s="53">
        <v>921.6</v>
      </c>
      <c r="M75" s="53">
        <v>4200</v>
      </c>
      <c r="N75" s="53">
        <v>-3870720</v>
      </c>
      <c r="R75" s="53">
        <v>-3870720</v>
      </c>
      <c r="S75" s="53">
        <v>121.46250309566152</v>
      </c>
      <c r="T75" s="53">
        <v>-31867.612648748858</v>
      </c>
      <c r="W75" s="87">
        <v>43662.665708680557</v>
      </c>
    </row>
    <row r="76" spans="2:23">
      <c r="B76" s="55">
        <v>43663</v>
      </c>
      <c r="C76" s="26" t="s">
        <v>133</v>
      </c>
      <c r="D76" s="26" t="s">
        <v>1168</v>
      </c>
      <c r="E76" s="26" t="s">
        <v>1249</v>
      </c>
      <c r="F76" s="26" t="s">
        <v>1230</v>
      </c>
      <c r="G76" s="26" t="s">
        <v>1168</v>
      </c>
      <c r="K76" s="53">
        <v>25.360000000000003</v>
      </c>
      <c r="M76" s="53">
        <v>1000</v>
      </c>
      <c r="N76" s="53">
        <v>-25360.000000000004</v>
      </c>
      <c r="R76" s="53">
        <v>-25360.000000000004</v>
      </c>
      <c r="S76" s="53">
        <v>1</v>
      </c>
      <c r="T76" s="53">
        <v>-25360.000000000004</v>
      </c>
      <c r="W76" s="87">
        <v>43663.661126620369</v>
      </c>
    </row>
    <row r="77" spans="2:23">
      <c r="B77" s="55">
        <v>43663</v>
      </c>
      <c r="C77" s="26" t="s">
        <v>133</v>
      </c>
      <c r="D77" s="26" t="s">
        <v>1169</v>
      </c>
      <c r="E77" s="26" t="s">
        <v>1249</v>
      </c>
      <c r="F77" s="26" t="s">
        <v>1230</v>
      </c>
      <c r="G77" s="26" t="s">
        <v>1169</v>
      </c>
      <c r="K77" s="53">
        <v>118.22</v>
      </c>
      <c r="M77" s="53">
        <v>200</v>
      </c>
      <c r="N77" s="53">
        <v>-23644</v>
      </c>
      <c r="R77" s="53">
        <v>-23644</v>
      </c>
      <c r="S77" s="53">
        <v>1</v>
      </c>
      <c r="T77" s="53">
        <v>-23644</v>
      </c>
      <c r="W77" s="87">
        <v>43663.670086226855</v>
      </c>
    </row>
    <row r="78" spans="2:23">
      <c r="B78" s="55">
        <v>43665</v>
      </c>
      <c r="C78" s="26" t="s">
        <v>133</v>
      </c>
      <c r="D78" s="26" t="s">
        <v>1178</v>
      </c>
      <c r="E78" s="26" t="s">
        <v>1249</v>
      </c>
      <c r="F78" s="26" t="s">
        <v>1230</v>
      </c>
      <c r="G78" s="26" t="s">
        <v>1178</v>
      </c>
      <c r="K78" s="53">
        <v>15.479999999999999</v>
      </c>
      <c r="M78" s="53">
        <v>1700</v>
      </c>
      <c r="N78" s="53">
        <v>-26315.999999999996</v>
      </c>
      <c r="R78" s="53">
        <v>-26315.999999999996</v>
      </c>
      <c r="S78" s="53">
        <v>1.1274974067559644</v>
      </c>
      <c r="T78" s="53">
        <v>-23340.186719999998</v>
      </c>
      <c r="W78" s="87">
        <v>43665.597659143517</v>
      </c>
    </row>
    <row r="79" spans="2:23">
      <c r="B79" s="55">
        <v>43670</v>
      </c>
      <c r="C79" s="26" t="s">
        <v>133</v>
      </c>
      <c r="E79" s="26" t="s">
        <v>1249</v>
      </c>
      <c r="F79" s="26" t="s">
        <v>1058</v>
      </c>
      <c r="G79" s="26" t="s">
        <v>1567</v>
      </c>
      <c r="K79" s="53">
        <v>26.650000000000002</v>
      </c>
      <c r="M79" s="53">
        <v>1120</v>
      </c>
      <c r="N79" s="53">
        <v>-29848.000000000004</v>
      </c>
      <c r="R79" s="53">
        <v>-29848.000000000004</v>
      </c>
      <c r="S79" s="53">
        <v>1</v>
      </c>
      <c r="T79" s="53">
        <v>-29848.000000000004</v>
      </c>
      <c r="W79" s="87">
        <v>43670.510366203707</v>
      </c>
    </row>
    <row r="80" spans="2:23">
      <c r="B80" s="55">
        <v>43670</v>
      </c>
      <c r="C80" s="26" t="s">
        <v>133</v>
      </c>
      <c r="E80" s="26" t="s">
        <v>1249</v>
      </c>
      <c r="F80" s="26" t="s">
        <v>1058</v>
      </c>
      <c r="G80" s="26" t="s">
        <v>1572</v>
      </c>
      <c r="K80" s="53">
        <v>24950</v>
      </c>
      <c r="M80" s="53">
        <v>1700</v>
      </c>
      <c r="N80" s="53">
        <v>-42415000</v>
      </c>
      <c r="R80" s="53">
        <v>-42415000</v>
      </c>
      <c r="S80" s="53">
        <v>1314.5810566694167</v>
      </c>
      <c r="T80" s="53">
        <v>-32265.032106473052</v>
      </c>
      <c r="W80" s="87">
        <v>43670.719028587962</v>
      </c>
    </row>
    <row r="81" spans="2:23">
      <c r="B81" s="55">
        <v>43670</v>
      </c>
      <c r="C81" s="26" t="s">
        <v>133</v>
      </c>
      <c r="E81" s="26" t="s">
        <v>1249</v>
      </c>
      <c r="F81" s="26" t="s">
        <v>1058</v>
      </c>
      <c r="G81" s="26" t="s">
        <v>1573</v>
      </c>
      <c r="K81" s="53">
        <v>4490</v>
      </c>
      <c r="M81" s="53">
        <v>4200</v>
      </c>
      <c r="N81" s="53">
        <v>-18858000</v>
      </c>
      <c r="R81" s="53">
        <v>-18858000</v>
      </c>
      <c r="S81" s="53">
        <v>1314.5810566694163</v>
      </c>
      <c r="T81" s="53">
        <v>-14345.254637837297</v>
      </c>
      <c r="W81" s="87">
        <v>43670.729114699076</v>
      </c>
    </row>
    <row r="82" spans="2:23">
      <c r="B82" s="55">
        <v>43671</v>
      </c>
      <c r="C82" s="26" t="s">
        <v>133</v>
      </c>
      <c r="E82" s="26" t="s">
        <v>1249</v>
      </c>
      <c r="F82" s="26" t="s">
        <v>1058</v>
      </c>
      <c r="G82" s="26" t="s">
        <v>1574</v>
      </c>
      <c r="K82" s="53">
        <v>12650</v>
      </c>
      <c r="M82" s="53">
        <v>3000</v>
      </c>
      <c r="N82" s="53">
        <v>-37950000</v>
      </c>
      <c r="R82" s="53">
        <v>-37950000</v>
      </c>
      <c r="S82" s="53">
        <v>1311.5121136173759</v>
      </c>
      <c r="T82" s="53">
        <v>-28936.065176956221</v>
      </c>
      <c r="W82" s="87">
        <v>43671.097236689813</v>
      </c>
    </row>
    <row r="83" spans="2:23">
      <c r="B83" s="55">
        <v>43671</v>
      </c>
      <c r="C83" s="26" t="s">
        <v>133</v>
      </c>
      <c r="E83" s="26" t="s">
        <v>1249</v>
      </c>
      <c r="F83" s="26" t="s">
        <v>1058</v>
      </c>
      <c r="G83" s="26" t="s">
        <v>1575</v>
      </c>
      <c r="K83" s="53">
        <v>10450</v>
      </c>
      <c r="M83" s="53">
        <v>6700</v>
      </c>
      <c r="N83" s="53">
        <v>-70015000</v>
      </c>
      <c r="R83" s="53">
        <v>-70015000</v>
      </c>
      <c r="S83" s="53">
        <v>1311.5121136173766</v>
      </c>
      <c r="T83" s="53">
        <v>-53384.943435167028</v>
      </c>
      <c r="W83" s="87">
        <v>43671.097784953701</v>
      </c>
    </row>
    <row r="84" spans="2:23">
      <c r="B84" s="55">
        <v>43671</v>
      </c>
      <c r="C84" s="26" t="s">
        <v>133</v>
      </c>
      <c r="D84" s="26" t="s">
        <v>1161</v>
      </c>
      <c r="E84" s="26" t="s">
        <v>1249</v>
      </c>
      <c r="F84" s="26" t="s">
        <v>1230</v>
      </c>
      <c r="G84" s="26" t="s">
        <v>1161</v>
      </c>
      <c r="K84" s="53">
        <v>24350</v>
      </c>
      <c r="M84" s="53">
        <v>2000</v>
      </c>
      <c r="N84" s="53">
        <v>-48700000</v>
      </c>
      <c r="R84" s="53">
        <v>-48700000</v>
      </c>
      <c r="S84" s="53">
        <v>1311.5121136173784</v>
      </c>
      <c r="T84" s="53">
        <v>-37132.710780441768</v>
      </c>
      <c r="W84" s="87">
        <v>43671.098866435183</v>
      </c>
    </row>
    <row r="85" spans="2:23">
      <c r="B85" s="55">
        <v>43671</v>
      </c>
      <c r="C85" s="26" t="s">
        <v>133</v>
      </c>
      <c r="E85" s="26" t="s">
        <v>1249</v>
      </c>
      <c r="F85" s="26" t="s">
        <v>1058</v>
      </c>
      <c r="G85" s="26" t="s">
        <v>1576</v>
      </c>
      <c r="K85" s="53">
        <v>21.54</v>
      </c>
      <c r="M85" s="53">
        <v>1700</v>
      </c>
      <c r="N85" s="53">
        <v>-36618</v>
      </c>
      <c r="R85" s="53">
        <v>-36618</v>
      </c>
      <c r="S85" s="53">
        <v>1.1138958507379559</v>
      </c>
      <c r="T85" s="86">
        <v>-32873.81</v>
      </c>
      <c r="W85" s="87">
        <v>43671.515149999999</v>
      </c>
    </row>
    <row r="86" spans="2:23">
      <c r="B86" s="55">
        <v>43675</v>
      </c>
      <c r="C86" s="26" t="s">
        <v>133</v>
      </c>
      <c r="D86" s="26" t="s">
        <v>1166</v>
      </c>
      <c r="E86" s="26" t="s">
        <v>1249</v>
      </c>
      <c r="F86" s="26" t="s">
        <v>1230</v>
      </c>
      <c r="G86" s="26" t="s">
        <v>1166</v>
      </c>
      <c r="K86" s="53">
        <v>45.300000000000004</v>
      </c>
      <c r="M86" s="53">
        <v>420</v>
      </c>
      <c r="N86" s="53">
        <v>-19026</v>
      </c>
      <c r="R86" s="53">
        <v>-19026</v>
      </c>
      <c r="S86" s="53">
        <v>1</v>
      </c>
      <c r="T86" s="53">
        <v>-19026</v>
      </c>
      <c r="W86" s="87">
        <v>43675.65654236111</v>
      </c>
    </row>
    <row r="87" spans="2:23">
      <c r="B87" s="55">
        <v>43677</v>
      </c>
      <c r="C87" s="26" t="s">
        <v>133</v>
      </c>
      <c r="D87" s="26" t="s">
        <v>1163</v>
      </c>
      <c r="E87" s="26" t="s">
        <v>1249</v>
      </c>
      <c r="F87" s="26" t="s">
        <v>1230</v>
      </c>
      <c r="G87" s="26" t="s">
        <v>1163</v>
      </c>
      <c r="K87" s="53">
        <v>0.86</v>
      </c>
      <c r="M87" s="53">
        <v>38120</v>
      </c>
      <c r="N87" s="53">
        <v>-32783.199999999997</v>
      </c>
      <c r="R87" s="53">
        <v>-32783.199999999997</v>
      </c>
      <c r="S87" s="53">
        <v>1.6231960027659422</v>
      </c>
      <c r="T87" s="53">
        <v>-20196.698331031555</v>
      </c>
      <c r="W87" s="87">
        <v>43677.920176504631</v>
      </c>
    </row>
    <row r="88" spans="2:23">
      <c r="B88" s="55">
        <v>43677</v>
      </c>
      <c r="C88" s="26" t="s">
        <v>133</v>
      </c>
      <c r="D88" s="26" t="s">
        <v>1159</v>
      </c>
      <c r="E88" s="26" t="s">
        <v>1249</v>
      </c>
      <c r="F88" s="26" t="s">
        <v>1230</v>
      </c>
      <c r="G88" s="26" t="s">
        <v>1159</v>
      </c>
      <c r="K88" s="53">
        <v>119000</v>
      </c>
      <c r="M88" s="53">
        <v>420</v>
      </c>
      <c r="N88" s="53">
        <v>-49980000</v>
      </c>
      <c r="R88" s="53">
        <v>-49980000</v>
      </c>
      <c r="S88" s="53">
        <v>1317.3250652450322</v>
      </c>
      <c r="T88" s="53">
        <v>-37940.521530047219</v>
      </c>
      <c r="W88" s="87">
        <v>43677.925857754628</v>
      </c>
    </row>
    <row r="89" spans="2:23">
      <c r="B89" s="55">
        <v>43684</v>
      </c>
      <c r="C89" s="26" t="s">
        <v>133</v>
      </c>
      <c r="D89" s="26" t="s">
        <v>1165</v>
      </c>
      <c r="E89" s="26" t="s">
        <v>1249</v>
      </c>
      <c r="F89" s="26" t="s">
        <v>1230</v>
      </c>
      <c r="G89" s="26" t="s">
        <v>1165</v>
      </c>
      <c r="K89" s="53">
        <v>35.440000000000005</v>
      </c>
      <c r="M89" s="53">
        <v>500</v>
      </c>
      <c r="N89" s="53">
        <v>-17720.000000000004</v>
      </c>
      <c r="R89" s="53">
        <v>-17720.000000000004</v>
      </c>
      <c r="S89" s="53">
        <v>1</v>
      </c>
      <c r="T89" s="86">
        <v>-17720</v>
      </c>
      <c r="W89" s="87">
        <v>43684.404560300929</v>
      </c>
    </row>
    <row r="90" spans="2:23">
      <c r="B90" s="55">
        <v>43684</v>
      </c>
      <c r="C90" s="26" t="s">
        <v>133</v>
      </c>
      <c r="D90" s="26" t="s">
        <v>1166</v>
      </c>
      <c r="E90" s="26" t="s">
        <v>1249</v>
      </c>
      <c r="F90" s="26" t="s">
        <v>1230</v>
      </c>
      <c r="G90" s="26" t="s">
        <v>1166</v>
      </c>
      <c r="K90" s="53">
        <v>39.72</v>
      </c>
      <c r="M90" s="53">
        <v>500</v>
      </c>
      <c r="N90" s="53">
        <v>-19860</v>
      </c>
      <c r="R90" s="53">
        <v>-19860</v>
      </c>
      <c r="S90" s="53">
        <v>1</v>
      </c>
      <c r="T90" s="86">
        <v>-19860</v>
      </c>
      <c r="W90" s="87">
        <v>43684.404950810182</v>
      </c>
    </row>
    <row r="91" spans="2:23">
      <c r="B91" s="55">
        <v>43684</v>
      </c>
      <c r="C91" s="26" t="s">
        <v>133</v>
      </c>
      <c r="D91" s="26" t="s">
        <v>1175</v>
      </c>
      <c r="E91" s="26" t="s">
        <v>1249</v>
      </c>
      <c r="F91" s="26" t="s">
        <v>1230</v>
      </c>
      <c r="G91" s="26" t="s">
        <v>1175</v>
      </c>
      <c r="K91" s="53">
        <v>65.45</v>
      </c>
      <c r="M91" s="53">
        <v>300</v>
      </c>
      <c r="N91" s="53">
        <v>-19635</v>
      </c>
      <c r="R91" s="53">
        <v>-19635</v>
      </c>
      <c r="S91" s="53">
        <v>1.1197957492553359</v>
      </c>
      <c r="T91" s="86">
        <v>-17534.45</v>
      </c>
      <c r="W91" s="87">
        <v>43684.405304745371</v>
      </c>
    </row>
    <row r="92" spans="2:23">
      <c r="B92" s="55">
        <v>43684</v>
      </c>
      <c r="C92" s="26" t="s">
        <v>133</v>
      </c>
      <c r="E92" s="26" t="s">
        <v>1249</v>
      </c>
      <c r="F92" s="26" t="s">
        <v>1058</v>
      </c>
      <c r="G92" s="26" t="s">
        <v>1581</v>
      </c>
      <c r="K92" s="53">
        <v>10.75</v>
      </c>
      <c r="M92" s="53">
        <v>3500</v>
      </c>
      <c r="N92" s="53">
        <v>-37625</v>
      </c>
      <c r="R92" s="53">
        <v>-37625</v>
      </c>
      <c r="S92" s="53">
        <v>1.1197957492553359</v>
      </c>
      <c r="T92" s="86">
        <v>-33599.879999999997</v>
      </c>
      <c r="W92" s="87">
        <v>43684.406221412035</v>
      </c>
    </row>
    <row r="93" spans="2:23">
      <c r="B93" s="55">
        <v>43684</v>
      </c>
      <c r="C93" s="26" t="s">
        <v>133</v>
      </c>
      <c r="D93" s="26" t="s">
        <v>1176</v>
      </c>
      <c r="E93" s="26" t="s">
        <v>1249</v>
      </c>
      <c r="F93" s="26" t="s">
        <v>1230</v>
      </c>
      <c r="G93" s="26" t="s">
        <v>1176</v>
      </c>
      <c r="K93" s="53">
        <v>5.64</v>
      </c>
      <c r="M93" s="53">
        <v>3300</v>
      </c>
      <c r="N93" s="53">
        <v>-18612</v>
      </c>
      <c r="R93" s="53">
        <v>-18612</v>
      </c>
      <c r="S93" s="53">
        <v>1.1197957492553359</v>
      </c>
      <c r="T93" s="86">
        <v>-16620.89</v>
      </c>
      <c r="W93" s="87">
        <v>43684.40657175926</v>
      </c>
    </row>
    <row r="94" spans="2:23">
      <c r="B94" s="55">
        <v>43684</v>
      </c>
      <c r="C94" s="26" t="s">
        <v>133</v>
      </c>
      <c r="E94" s="26" t="s">
        <v>1249</v>
      </c>
      <c r="F94" s="26" t="s">
        <v>1058</v>
      </c>
      <c r="G94" s="26" t="s">
        <v>1582</v>
      </c>
      <c r="K94" s="53">
        <v>20.75</v>
      </c>
      <c r="M94" s="53">
        <v>2200</v>
      </c>
      <c r="N94" s="53">
        <v>-45650</v>
      </c>
      <c r="R94" s="53">
        <v>-45650</v>
      </c>
      <c r="S94" s="53">
        <v>1.1197957492553359</v>
      </c>
      <c r="T94" s="86">
        <v>-40766.36</v>
      </c>
      <c r="W94" s="87">
        <v>43684.406895486114</v>
      </c>
    </row>
    <row r="95" spans="2:23">
      <c r="B95" s="55">
        <v>43684</v>
      </c>
      <c r="C95" s="26" t="s">
        <v>133</v>
      </c>
      <c r="E95" s="26" t="s">
        <v>1249</v>
      </c>
      <c r="F95" s="26" t="s">
        <v>1058</v>
      </c>
      <c r="G95" s="26" t="s">
        <v>1583</v>
      </c>
      <c r="K95" s="53">
        <v>1537</v>
      </c>
      <c r="M95" s="53">
        <v>2200</v>
      </c>
      <c r="N95" s="53">
        <v>-3381400</v>
      </c>
      <c r="R95" s="53">
        <v>-3381400</v>
      </c>
      <c r="S95" s="53">
        <v>119.2246534232152</v>
      </c>
      <c r="T95" s="86">
        <v>-28361.58</v>
      </c>
      <c r="W95" s="87">
        <v>43684.408519907411</v>
      </c>
    </row>
    <row r="96" spans="2:23">
      <c r="B96" s="55">
        <v>43684</v>
      </c>
      <c r="C96" s="26" t="s">
        <v>133</v>
      </c>
      <c r="D96" s="26" t="s">
        <v>1137</v>
      </c>
      <c r="E96" s="26" t="s">
        <v>1249</v>
      </c>
      <c r="F96" s="26" t="s">
        <v>1230</v>
      </c>
      <c r="G96" s="26" t="s">
        <v>1584</v>
      </c>
      <c r="K96" s="53">
        <v>1851</v>
      </c>
      <c r="M96" s="53">
        <v>1700</v>
      </c>
      <c r="N96" s="53">
        <v>-3146700</v>
      </c>
      <c r="R96" s="53">
        <v>-3146700</v>
      </c>
      <c r="S96" s="53">
        <v>119.22465342321564</v>
      </c>
      <c r="T96" s="86">
        <v>-26393.03</v>
      </c>
      <c r="W96" s="87">
        <v>43684.408770023147</v>
      </c>
    </row>
    <row r="97" spans="2:23">
      <c r="B97" s="55">
        <v>43684</v>
      </c>
      <c r="C97" s="26" t="s">
        <v>133</v>
      </c>
      <c r="D97" s="26" t="s">
        <v>1145</v>
      </c>
      <c r="E97" s="26" t="s">
        <v>1249</v>
      </c>
      <c r="F97" s="26" t="s">
        <v>1230</v>
      </c>
      <c r="G97" s="26" t="s">
        <v>1145</v>
      </c>
      <c r="M97" s="53">
        <v>4200</v>
      </c>
      <c r="N97" s="53">
        <v>0</v>
      </c>
      <c r="R97" s="53">
        <v>0</v>
      </c>
      <c r="T97" s="86">
        <v>-127373.23</v>
      </c>
      <c r="W97" s="87">
        <v>43684.409122569443</v>
      </c>
    </row>
    <row r="98" spans="2:23">
      <c r="B98" s="55">
        <v>43684</v>
      </c>
      <c r="C98" s="26" t="s">
        <v>133</v>
      </c>
      <c r="F98" s="26" t="s">
        <v>1058</v>
      </c>
      <c r="G98" s="26" t="s">
        <v>1145</v>
      </c>
      <c r="K98" s="53">
        <v>459</v>
      </c>
      <c r="M98" s="53">
        <v>4200</v>
      </c>
      <c r="S98" s="53">
        <v>119.22465342321568</v>
      </c>
      <c r="T98" s="86">
        <v>-127373.23</v>
      </c>
      <c r="W98" s="87">
        <v>43684.411406018517</v>
      </c>
    </row>
    <row r="99" spans="2:23">
      <c r="B99" s="55">
        <v>43686</v>
      </c>
      <c r="C99" s="26" t="s">
        <v>133</v>
      </c>
      <c r="D99" s="26" t="s">
        <v>1582</v>
      </c>
      <c r="E99" s="26" t="s">
        <v>1249</v>
      </c>
      <c r="F99" s="26" t="s">
        <v>1230</v>
      </c>
      <c r="G99" s="26" t="s">
        <v>1589</v>
      </c>
      <c r="K99" s="53">
        <v>19.294</v>
      </c>
      <c r="M99" s="53">
        <v>1100</v>
      </c>
      <c r="N99" s="53">
        <v>-21223.4</v>
      </c>
      <c r="R99" s="53">
        <v>-21223.4</v>
      </c>
      <c r="S99" s="53">
        <v>1.1178055241949005</v>
      </c>
      <c r="T99" s="53">
        <v>-18986.665874000002</v>
      </c>
      <c r="W99" s="87">
        <v>43686.751553009257</v>
      </c>
    </row>
    <row r="100" spans="2:23">
      <c r="B100" s="55">
        <v>43689</v>
      </c>
      <c r="C100" s="26" t="s">
        <v>133</v>
      </c>
      <c r="D100" s="26" t="s">
        <v>1173</v>
      </c>
      <c r="E100" s="26" t="s">
        <v>1249</v>
      </c>
      <c r="F100" s="26" t="s">
        <v>1230</v>
      </c>
      <c r="G100" s="26" t="s">
        <v>1173</v>
      </c>
      <c r="K100" s="53">
        <v>51.17</v>
      </c>
      <c r="M100" s="53">
        <v>690</v>
      </c>
      <c r="N100" s="53">
        <v>-35307.300000000003</v>
      </c>
      <c r="R100" s="53">
        <v>-35307.300000000003</v>
      </c>
      <c r="S100" s="53">
        <v>1</v>
      </c>
      <c r="T100" s="53">
        <v>-35307.300000000003</v>
      </c>
      <c r="W100" s="87">
        <v>43689.38634571759</v>
      </c>
    </row>
    <row r="101" spans="2:23">
      <c r="B101" s="55">
        <v>43689</v>
      </c>
      <c r="C101" s="26" t="s">
        <v>133</v>
      </c>
      <c r="D101" s="26" t="s">
        <v>1567</v>
      </c>
      <c r="E101" s="26" t="s">
        <v>1249</v>
      </c>
      <c r="F101" s="26" t="s">
        <v>1230</v>
      </c>
      <c r="G101" s="26" t="s">
        <v>1567</v>
      </c>
      <c r="K101" s="53">
        <v>22.830000000000002</v>
      </c>
      <c r="M101" s="53">
        <v>1100</v>
      </c>
      <c r="N101" s="53">
        <v>-25113.000000000004</v>
      </c>
      <c r="R101" s="53">
        <v>-25113.000000000004</v>
      </c>
      <c r="S101" s="53">
        <v>1</v>
      </c>
      <c r="T101" s="53">
        <v>-25113.000000000004</v>
      </c>
      <c r="W101" s="87">
        <v>43689.774499189814</v>
      </c>
    </row>
    <row r="102" spans="2:23">
      <c r="B102" s="26">
        <v>43689</v>
      </c>
      <c r="C102" s="26" t="s">
        <v>133</v>
      </c>
      <c r="D102" s="26" t="s">
        <v>1176</v>
      </c>
      <c r="E102" s="26" t="s">
        <v>1249</v>
      </c>
      <c r="F102" s="26" t="s">
        <v>1230</v>
      </c>
      <c r="G102" s="26" t="s">
        <v>1176</v>
      </c>
      <c r="K102" s="53">
        <v>6.6849999999999996</v>
      </c>
      <c r="M102" s="53">
        <v>2200</v>
      </c>
      <c r="N102" s="53">
        <v>-14707</v>
      </c>
      <c r="R102" s="53">
        <v>-14707</v>
      </c>
      <c r="S102" s="53">
        <v>1.1197957492553359</v>
      </c>
      <c r="T102" s="53">
        <v>-13133.645139999999</v>
      </c>
      <c r="W102" s="87">
        <v>43689.77505462963</v>
      </c>
    </row>
    <row r="103" spans="2:23">
      <c r="B103" s="26">
        <v>43689</v>
      </c>
      <c r="C103" s="26" t="s">
        <v>133</v>
      </c>
      <c r="D103" s="26" t="s">
        <v>1165</v>
      </c>
      <c r="E103" s="26" t="s">
        <v>1249</v>
      </c>
      <c r="F103" s="26" t="s">
        <v>1230</v>
      </c>
      <c r="G103" s="26" t="s">
        <v>1165</v>
      </c>
      <c r="K103" s="53">
        <v>35.700000000000003</v>
      </c>
      <c r="M103" s="53">
        <v>1000</v>
      </c>
      <c r="N103" s="53">
        <v>-35700</v>
      </c>
      <c r="R103" s="53">
        <v>-35700</v>
      </c>
      <c r="S103" s="53">
        <v>1</v>
      </c>
      <c r="T103" s="53">
        <v>-35700</v>
      </c>
      <c r="W103" s="87">
        <v>43689.77560011574</v>
      </c>
    </row>
    <row r="104" spans="2:23">
      <c r="B104" s="26">
        <v>43689</v>
      </c>
      <c r="C104" s="26" t="s">
        <v>133</v>
      </c>
      <c r="D104" s="26" t="s">
        <v>1163</v>
      </c>
      <c r="E104" s="26" t="s">
        <v>1249</v>
      </c>
      <c r="F104" s="26" t="s">
        <v>1230</v>
      </c>
      <c r="G104" s="26" t="s">
        <v>1163</v>
      </c>
      <c r="K104" s="53">
        <v>0.78500000000000003</v>
      </c>
      <c r="M104" s="53">
        <v>25000</v>
      </c>
      <c r="N104" s="53">
        <v>-19625</v>
      </c>
      <c r="R104" s="53">
        <v>-19625</v>
      </c>
      <c r="S104" s="53">
        <v>1.6499182549103031</v>
      </c>
      <c r="T104" s="53">
        <v>-11894.528678371949</v>
      </c>
      <c r="W104" s="87">
        <v>43689.776077430557</v>
      </c>
    </row>
    <row r="105" spans="2:23">
      <c r="B105" s="26">
        <v>43689</v>
      </c>
      <c r="C105" s="26" t="s">
        <v>133</v>
      </c>
      <c r="D105" s="26" t="s">
        <v>1139</v>
      </c>
      <c r="E105" s="26" t="s">
        <v>1249</v>
      </c>
      <c r="F105" s="26" t="s">
        <v>1230</v>
      </c>
      <c r="G105" s="26" t="s">
        <v>1590</v>
      </c>
      <c r="K105" s="53">
        <v>2115</v>
      </c>
      <c r="M105" s="53">
        <v>2200</v>
      </c>
      <c r="N105" s="53">
        <v>-4653000</v>
      </c>
      <c r="R105" s="53">
        <v>-4653000</v>
      </c>
      <c r="S105" s="53">
        <v>118.31761886631878</v>
      </c>
      <c r="T105" s="53">
        <v>-39326.349233390116</v>
      </c>
      <c r="W105" s="87">
        <v>43689.776572106479</v>
      </c>
    </row>
    <row r="106" spans="2:23">
      <c r="B106" s="26">
        <v>43693</v>
      </c>
      <c r="C106" s="26" t="s">
        <v>133</v>
      </c>
      <c r="D106" s="26" t="s">
        <v>1173</v>
      </c>
      <c r="E106" s="26" t="s">
        <v>1249</v>
      </c>
      <c r="F106" s="26" t="s">
        <v>1230</v>
      </c>
      <c r="G106" s="26" t="s">
        <v>1591</v>
      </c>
      <c r="K106" s="53">
        <v>47.914999999999999</v>
      </c>
      <c r="M106" s="53">
        <v>690</v>
      </c>
      <c r="N106" s="53">
        <v>-33061.35</v>
      </c>
      <c r="R106" s="53">
        <v>-33061.35</v>
      </c>
      <c r="S106" s="53">
        <v>1</v>
      </c>
      <c r="T106" s="86">
        <v>-33061.35</v>
      </c>
      <c r="W106" s="87">
        <v>43693.625288078707</v>
      </c>
    </row>
    <row r="107" spans="2:23">
      <c r="B107" s="26">
        <v>43693</v>
      </c>
      <c r="C107" s="26" t="s">
        <v>133</v>
      </c>
      <c r="E107" s="26" t="s">
        <v>1249</v>
      </c>
      <c r="F107" s="26" t="s">
        <v>1058</v>
      </c>
      <c r="G107" s="26" t="s">
        <v>1592</v>
      </c>
      <c r="K107" s="53">
        <v>59.160000000000004</v>
      </c>
      <c r="M107" s="53">
        <v>1000</v>
      </c>
      <c r="N107" s="53">
        <v>-59160.000000000007</v>
      </c>
      <c r="R107" s="53">
        <v>-59160.000000000007</v>
      </c>
      <c r="S107" s="53">
        <v>1</v>
      </c>
      <c r="T107" s="86">
        <v>-59160</v>
      </c>
      <c r="W107" s="87">
        <v>43693.627879513886</v>
      </c>
    </row>
    <row r="108" spans="2:23">
      <c r="B108" s="26">
        <v>43696</v>
      </c>
      <c r="C108" s="26" t="s">
        <v>133</v>
      </c>
      <c r="D108" s="26" t="s">
        <v>1163</v>
      </c>
      <c r="E108" s="26" t="s">
        <v>1249</v>
      </c>
      <c r="F108" s="26" t="s">
        <v>1230</v>
      </c>
      <c r="G108" s="26" t="s">
        <v>1163</v>
      </c>
      <c r="K108" s="53">
        <v>0.70000000000000007</v>
      </c>
      <c r="M108" s="53">
        <v>42000</v>
      </c>
      <c r="N108" s="53">
        <v>-29400.000000000004</v>
      </c>
      <c r="R108" s="53">
        <v>-29400.000000000004</v>
      </c>
      <c r="S108" s="53">
        <v>1.6355581676443511</v>
      </c>
      <c r="T108" s="86">
        <v>-17975.509999999998</v>
      </c>
      <c r="W108" s="87">
        <v>43696.438062384259</v>
      </c>
    </row>
    <row r="109" spans="2:23">
      <c r="B109" s="26">
        <v>43696</v>
      </c>
      <c r="C109" s="26" t="s">
        <v>133</v>
      </c>
      <c r="E109" s="26" t="s">
        <v>1249</v>
      </c>
      <c r="F109" s="26" t="s">
        <v>1058</v>
      </c>
      <c r="G109" s="26" t="s">
        <v>1594</v>
      </c>
      <c r="K109" s="53">
        <v>957.40000000000009</v>
      </c>
      <c r="M109" s="53">
        <v>4200</v>
      </c>
      <c r="N109" s="53">
        <v>-4021080.0000000005</v>
      </c>
      <c r="R109" s="53">
        <v>-4021080.0000000005</v>
      </c>
      <c r="S109" s="53">
        <v>117.94320185409018</v>
      </c>
      <c r="T109" s="86">
        <v>-34093.360000000001</v>
      </c>
      <c r="W109" s="87">
        <v>43696.773257060187</v>
      </c>
    </row>
    <row r="110" spans="2:23">
      <c r="B110" s="26">
        <v>43696</v>
      </c>
      <c r="C110" s="26" t="s">
        <v>133</v>
      </c>
      <c r="E110" s="26" t="s">
        <v>1249</v>
      </c>
      <c r="F110" s="26" t="s">
        <v>1058</v>
      </c>
      <c r="G110" s="26" t="s">
        <v>1595</v>
      </c>
      <c r="K110" s="53">
        <v>4257</v>
      </c>
      <c r="M110" s="53">
        <v>1100</v>
      </c>
      <c r="N110" s="53">
        <v>-4682700</v>
      </c>
      <c r="R110" s="53">
        <v>-4682700</v>
      </c>
      <c r="S110" s="53">
        <v>117.94320185409016</v>
      </c>
      <c r="T110" s="86">
        <v>-39703.01</v>
      </c>
      <c r="W110" s="87">
        <v>43696.773765625003</v>
      </c>
    </row>
    <row r="111" spans="2:23">
      <c r="B111" s="26">
        <v>43696</v>
      </c>
      <c r="C111" s="26" t="s">
        <v>133</v>
      </c>
      <c r="D111" s="26" t="s">
        <v>1071</v>
      </c>
      <c r="E111" s="26" t="s">
        <v>1249</v>
      </c>
      <c r="F111" s="26" t="s">
        <v>1230</v>
      </c>
      <c r="G111" s="26" t="s">
        <v>1134</v>
      </c>
      <c r="K111" s="53">
        <v>806.90000000000009</v>
      </c>
      <c r="M111" s="53">
        <v>4200</v>
      </c>
      <c r="N111" s="53">
        <v>-3388980.0000000005</v>
      </c>
      <c r="R111" s="53">
        <v>-3388980.0000000005</v>
      </c>
      <c r="S111" s="53">
        <v>117.94320185409012</v>
      </c>
      <c r="T111" s="86">
        <v>-28734</v>
      </c>
      <c r="U111" s="84">
        <v>43701</v>
      </c>
      <c r="V111" s="26" t="s">
        <v>1183</v>
      </c>
      <c r="W111" s="87">
        <v>43696.776422800926</v>
      </c>
    </row>
    <row r="112" spans="2:23">
      <c r="B112" s="26">
        <v>43696</v>
      </c>
      <c r="C112" s="26" t="s">
        <v>133</v>
      </c>
      <c r="D112" s="26" t="s">
        <v>1139</v>
      </c>
      <c r="E112" s="26" t="s">
        <v>1249</v>
      </c>
      <c r="F112" s="26" t="s">
        <v>1230</v>
      </c>
      <c r="G112" s="26" t="s">
        <v>1590</v>
      </c>
      <c r="K112" s="53">
        <v>2137</v>
      </c>
      <c r="M112" s="53">
        <v>1000</v>
      </c>
      <c r="N112" s="53">
        <v>-2137000</v>
      </c>
      <c r="R112" s="53">
        <v>-2137000</v>
      </c>
      <c r="S112" s="53">
        <v>117.94320185408995</v>
      </c>
      <c r="T112" s="86">
        <v>-18118.89</v>
      </c>
      <c r="V112" s="26" t="s">
        <v>1183</v>
      </c>
      <c r="W112" s="87">
        <v>43696.777423495369</v>
      </c>
    </row>
    <row r="113" spans="2:23">
      <c r="B113" s="26">
        <v>43696</v>
      </c>
      <c r="C113" s="26" t="s">
        <v>133</v>
      </c>
      <c r="D113" s="26" t="s">
        <v>1156</v>
      </c>
      <c r="E113" s="26" t="s">
        <v>1249</v>
      </c>
      <c r="F113" s="26" t="s">
        <v>1230</v>
      </c>
      <c r="G113" s="26" t="s">
        <v>1156</v>
      </c>
      <c r="K113" s="53">
        <v>163000</v>
      </c>
      <c r="M113" s="53">
        <v>420</v>
      </c>
      <c r="N113" s="53">
        <v>-68460000</v>
      </c>
      <c r="R113" s="53">
        <v>-68460000</v>
      </c>
      <c r="S113" s="53">
        <v>1338.9702702403054</v>
      </c>
      <c r="T113" s="86">
        <v>-51128.84</v>
      </c>
      <c r="W113" s="87">
        <v>43696.77998796296</v>
      </c>
    </row>
    <row r="114" spans="2:23">
      <c r="B114" s="26">
        <v>43696</v>
      </c>
      <c r="C114" s="26" t="s">
        <v>133</v>
      </c>
      <c r="D114" s="26" t="s">
        <v>1159</v>
      </c>
      <c r="E114" s="26" t="s">
        <v>1249</v>
      </c>
      <c r="F114" s="26" t="s">
        <v>1230</v>
      </c>
      <c r="G114" s="26" t="s">
        <v>1159</v>
      </c>
      <c r="K114" s="53">
        <v>111500</v>
      </c>
      <c r="M114" s="53">
        <v>670</v>
      </c>
      <c r="N114" s="53">
        <v>-74705000</v>
      </c>
      <c r="R114" s="53">
        <v>-74705000</v>
      </c>
      <c r="S114" s="53">
        <v>1338.9702702402999</v>
      </c>
      <c r="T114" s="86">
        <v>-55792.87</v>
      </c>
      <c r="W114" s="87">
        <v>43696.781007986108</v>
      </c>
    </row>
    <row r="115" spans="2:23">
      <c r="B115" s="26">
        <v>43697</v>
      </c>
      <c r="C115" s="26" t="s">
        <v>133</v>
      </c>
      <c r="D115" s="26" t="s">
        <v>1169</v>
      </c>
      <c r="E115" s="26" t="s">
        <v>1249</v>
      </c>
      <c r="F115" s="26" t="s">
        <v>1230</v>
      </c>
      <c r="G115" s="26" t="s">
        <v>1169</v>
      </c>
      <c r="K115" s="53">
        <v>105.44000000000001</v>
      </c>
      <c r="M115" s="53">
        <v>420</v>
      </c>
      <c r="N115" s="53">
        <v>-44284.800000000003</v>
      </c>
      <c r="R115" s="53">
        <v>-44284.800000000003</v>
      </c>
      <c r="S115" s="53">
        <v>1</v>
      </c>
      <c r="T115" s="287">
        <v>-44284.800000000003</v>
      </c>
      <c r="W115" s="87">
        <v>43697.909058564815</v>
      </c>
    </row>
    <row r="116" spans="2:23">
      <c r="B116" s="26">
        <v>43697</v>
      </c>
      <c r="C116" s="26" t="s">
        <v>133</v>
      </c>
      <c r="E116" s="26" t="s">
        <v>1249</v>
      </c>
      <c r="F116" s="26" t="s">
        <v>1058</v>
      </c>
      <c r="G116" s="26" t="s">
        <v>1599</v>
      </c>
      <c r="K116" s="53">
        <v>4.0440000000000005</v>
      </c>
      <c r="M116" s="53">
        <v>17000</v>
      </c>
      <c r="N116" s="53">
        <v>-68748.000000000015</v>
      </c>
      <c r="R116" s="53">
        <v>-68748.000000000015</v>
      </c>
      <c r="S116" s="53">
        <v>1</v>
      </c>
      <c r="T116" s="287">
        <v>-68748</v>
      </c>
      <c r="W116" s="87">
        <v>43697.910327199075</v>
      </c>
    </row>
    <row r="117" spans="2:23">
      <c r="B117" s="26">
        <v>43697</v>
      </c>
      <c r="C117" s="26" t="s">
        <v>133</v>
      </c>
      <c r="D117" s="26" t="s">
        <v>1166</v>
      </c>
      <c r="E117" s="26" t="s">
        <v>1249</v>
      </c>
      <c r="F117" s="26" t="s">
        <v>1230</v>
      </c>
      <c r="G117" s="26" t="s">
        <v>1166</v>
      </c>
      <c r="K117" s="53">
        <v>40.28</v>
      </c>
      <c r="M117" s="53">
        <v>670</v>
      </c>
      <c r="N117" s="53">
        <v>-26987.600000000002</v>
      </c>
      <c r="R117" s="53">
        <v>-26987.600000000002</v>
      </c>
      <c r="S117" s="53">
        <v>1</v>
      </c>
      <c r="T117" s="287">
        <v>-26987.599999999999</v>
      </c>
      <c r="W117" s="87">
        <v>43697.911194560184</v>
      </c>
    </row>
    <row r="118" spans="2:23">
      <c r="B118" s="26">
        <v>43697</v>
      </c>
      <c r="C118" s="26" t="s">
        <v>133</v>
      </c>
      <c r="D118" s="26" t="s">
        <v>1165</v>
      </c>
      <c r="E118" s="26" t="s">
        <v>1249</v>
      </c>
      <c r="F118" s="26" t="s">
        <v>1230</v>
      </c>
      <c r="G118" s="26" t="s">
        <v>1165</v>
      </c>
      <c r="K118" s="53">
        <v>35.9</v>
      </c>
      <c r="M118" s="53">
        <v>670</v>
      </c>
      <c r="N118" s="53">
        <v>-24053</v>
      </c>
      <c r="R118" s="53">
        <v>-24053</v>
      </c>
      <c r="S118" s="53">
        <v>1</v>
      </c>
      <c r="T118" s="287">
        <v>-24053</v>
      </c>
      <c r="W118" s="87">
        <v>43697.91184108796</v>
      </c>
    </row>
    <row r="119" spans="2:23">
      <c r="B119" s="26">
        <v>43697</v>
      </c>
      <c r="C119" s="26" t="s">
        <v>133</v>
      </c>
      <c r="F119" s="26" t="s">
        <v>1058</v>
      </c>
      <c r="G119" s="26" t="s">
        <v>1601</v>
      </c>
      <c r="K119" s="53">
        <v>4.4400000000000004</v>
      </c>
      <c r="M119" s="53">
        <v>67000</v>
      </c>
      <c r="N119" s="53">
        <v>-297480</v>
      </c>
      <c r="R119" s="53">
        <v>-297480</v>
      </c>
      <c r="S119" s="53">
        <v>8.6884864595447784</v>
      </c>
      <c r="T119" s="287">
        <v>-34238.410000000003</v>
      </c>
      <c r="W119" s="87">
        <v>43697.916036342591</v>
      </c>
    </row>
    <row r="120" spans="2:23">
      <c r="B120" s="26">
        <v>43698</v>
      </c>
      <c r="C120" s="26" t="s">
        <v>133</v>
      </c>
      <c r="F120" s="26" t="s">
        <v>1058</v>
      </c>
      <c r="G120" s="26" t="s">
        <v>1616</v>
      </c>
      <c r="K120" s="53">
        <v>969</v>
      </c>
      <c r="M120" s="84">
        <v>2500</v>
      </c>
      <c r="S120" s="289">
        <v>117.89385416666667</v>
      </c>
    </row>
    <row r="121" spans="2:23">
      <c r="B121" s="26">
        <v>43698</v>
      </c>
      <c r="C121" s="26" t="s">
        <v>133</v>
      </c>
      <c r="F121" s="26" t="s">
        <v>1058</v>
      </c>
      <c r="G121" s="26" t="s">
        <v>1616</v>
      </c>
      <c r="K121" s="53">
        <v>969</v>
      </c>
      <c r="M121" s="53">
        <v>1500</v>
      </c>
      <c r="N121" s="53">
        <v>-1453500</v>
      </c>
      <c r="R121" s="53">
        <v>-1453500</v>
      </c>
      <c r="S121" s="53">
        <v>117.89384892006485</v>
      </c>
      <c r="T121" s="287">
        <v>-12328.89</v>
      </c>
      <c r="W121" s="87">
        <v>43698.037979398148</v>
      </c>
    </row>
    <row r="122" spans="2:23">
      <c r="B122" s="26">
        <v>43699</v>
      </c>
      <c r="C122" s="26" t="s">
        <v>133</v>
      </c>
      <c r="E122" s="26" t="s">
        <v>1249</v>
      </c>
      <c r="F122" s="26" t="s">
        <v>1058</v>
      </c>
      <c r="G122" s="26" t="s">
        <v>1618</v>
      </c>
      <c r="K122" s="53">
        <v>6.4</v>
      </c>
      <c r="M122" s="53">
        <v>3300</v>
      </c>
      <c r="N122" s="53">
        <v>-21120</v>
      </c>
      <c r="R122" s="53">
        <v>-21120</v>
      </c>
      <c r="S122" s="53">
        <v>1</v>
      </c>
      <c r="T122" s="53">
        <v>-21120</v>
      </c>
      <c r="W122" s="87">
        <v>43699.440909606485</v>
      </c>
    </row>
    <row r="123" spans="2:23">
      <c r="B123" s="26">
        <v>43700</v>
      </c>
      <c r="C123" s="26" t="s">
        <v>133</v>
      </c>
      <c r="D123" s="26" t="s">
        <v>1616</v>
      </c>
      <c r="E123" s="26" t="s">
        <v>1249</v>
      </c>
      <c r="F123" s="26" t="s">
        <v>1230</v>
      </c>
      <c r="G123" s="26" t="s">
        <v>1616</v>
      </c>
      <c r="K123" s="53">
        <v>951</v>
      </c>
      <c r="M123" s="53">
        <v>1500</v>
      </c>
      <c r="N123" s="53">
        <v>-1426500</v>
      </c>
      <c r="R123" s="53">
        <v>-1426500</v>
      </c>
      <c r="S123" s="53">
        <v>117.89207812205744</v>
      </c>
      <c r="T123" s="86">
        <v>-12100.05</v>
      </c>
      <c r="W123" s="87">
        <v>43700.40873599537</v>
      </c>
    </row>
    <row r="124" spans="2:23">
      <c r="B124" s="26">
        <v>43700</v>
      </c>
      <c r="C124" s="26" t="s">
        <v>133</v>
      </c>
      <c r="D124" s="26" t="s">
        <v>1616</v>
      </c>
      <c r="E124" s="26" t="s">
        <v>1249</v>
      </c>
      <c r="F124" s="26" t="s">
        <v>1230</v>
      </c>
      <c r="G124" s="26" t="s">
        <v>1616</v>
      </c>
      <c r="K124" s="53">
        <v>951</v>
      </c>
      <c r="M124" s="53">
        <v>2200</v>
      </c>
      <c r="N124" s="53">
        <v>-2092200</v>
      </c>
      <c r="R124" s="53">
        <v>-2092200</v>
      </c>
      <c r="S124" s="53">
        <v>117.89207812205744</v>
      </c>
      <c r="T124" s="53">
        <v>-17746.739503852656</v>
      </c>
      <c r="W124" s="87">
        <v>43700.412138657404</v>
      </c>
    </row>
    <row r="125" spans="2:23">
      <c r="B125" s="26">
        <v>43700</v>
      </c>
      <c r="C125" s="26" t="s">
        <v>133</v>
      </c>
      <c r="D125" s="26" t="s">
        <v>1175</v>
      </c>
      <c r="E125" s="26" t="s">
        <v>1249</v>
      </c>
      <c r="F125" s="26" t="s">
        <v>1230</v>
      </c>
      <c r="G125" s="26" t="s">
        <v>1175</v>
      </c>
      <c r="K125" s="53">
        <v>61.029999999999994</v>
      </c>
      <c r="M125" s="53">
        <v>420</v>
      </c>
      <c r="N125" s="53">
        <v>-25632.6</v>
      </c>
      <c r="R125" s="53">
        <v>-25632.6</v>
      </c>
      <c r="S125" s="53">
        <v>1.1078000199404003</v>
      </c>
      <c r="T125" s="53">
        <v>-23138.291693999996</v>
      </c>
      <c r="W125" s="87">
        <v>43700.704092361113</v>
      </c>
    </row>
    <row r="126" spans="2:23">
      <c r="B126" s="26">
        <v>43703</v>
      </c>
      <c r="C126" s="26" t="s">
        <v>133</v>
      </c>
      <c r="E126" s="26" t="s">
        <v>1249</v>
      </c>
      <c r="F126" s="26" t="s">
        <v>1058</v>
      </c>
      <c r="G126" s="26" t="s">
        <v>1621</v>
      </c>
      <c r="K126" s="53">
        <v>23.400000000000002</v>
      </c>
      <c r="M126" s="53">
        <v>1700</v>
      </c>
      <c r="N126" s="53">
        <v>-39780</v>
      </c>
      <c r="R126" s="53">
        <v>-39780</v>
      </c>
      <c r="S126" s="53">
        <v>1.1144047963982437</v>
      </c>
      <c r="T126" s="53">
        <v>-35696.185200000007</v>
      </c>
      <c r="W126" s="87">
        <v>43703.367658912037</v>
      </c>
    </row>
    <row r="127" spans="2:23">
      <c r="B127" s="26">
        <v>43704</v>
      </c>
      <c r="C127" s="26" t="s">
        <v>133</v>
      </c>
      <c r="D127" s="26" t="s">
        <v>1616</v>
      </c>
      <c r="E127" s="26" t="s">
        <v>1249</v>
      </c>
      <c r="F127" s="26" t="s">
        <v>1230</v>
      </c>
      <c r="G127" s="26" t="s">
        <v>1616</v>
      </c>
      <c r="K127" s="53">
        <v>953</v>
      </c>
      <c r="M127" s="53">
        <v>1100</v>
      </c>
      <c r="N127" s="53">
        <v>-1048300</v>
      </c>
      <c r="R127" s="53">
        <v>-1048300</v>
      </c>
      <c r="S127" s="53">
        <v>117.79331779331774</v>
      </c>
      <c r="T127" s="86">
        <v>-8899.49</v>
      </c>
      <c r="W127" s="87">
        <v>43704.448045254627</v>
      </c>
    </row>
    <row r="128" spans="2:23">
      <c r="B128" s="26">
        <v>43704</v>
      </c>
      <c r="C128" s="26" t="s">
        <v>133</v>
      </c>
      <c r="E128" s="26" t="s">
        <v>1249</v>
      </c>
      <c r="F128" s="26" t="s">
        <v>1058</v>
      </c>
      <c r="G128" s="26" t="s">
        <v>1623</v>
      </c>
      <c r="K128" s="53">
        <v>2505</v>
      </c>
      <c r="M128" s="53">
        <v>1100</v>
      </c>
      <c r="N128" s="53">
        <v>-2755500</v>
      </c>
      <c r="R128" s="53">
        <v>-2755500</v>
      </c>
      <c r="S128" s="53">
        <v>117.24390325049072</v>
      </c>
      <c r="T128" s="53">
        <v>-23502.288166855848</v>
      </c>
      <c r="W128" s="87">
        <v>43704.955766666666</v>
      </c>
    </row>
    <row r="129" spans="2:23">
      <c r="B129" s="26">
        <v>43705</v>
      </c>
      <c r="C129" s="26" t="s">
        <v>134</v>
      </c>
      <c r="D129" s="26" t="s">
        <v>1162</v>
      </c>
      <c r="E129" s="26" t="s">
        <v>1249</v>
      </c>
      <c r="F129" s="26" t="s">
        <v>1230</v>
      </c>
      <c r="G129" s="26" t="s">
        <v>1162</v>
      </c>
      <c r="K129" s="53">
        <v>71900</v>
      </c>
      <c r="M129" s="53">
        <v>-690</v>
      </c>
      <c r="N129" s="53">
        <v>49611000</v>
      </c>
      <c r="R129" s="53">
        <v>49611000</v>
      </c>
      <c r="S129" s="53">
        <v>1343.8245112064858</v>
      </c>
      <c r="T129" s="287">
        <v>36917.769999999997</v>
      </c>
    </row>
    <row r="130" spans="2:23">
      <c r="B130" s="26">
        <v>43706</v>
      </c>
      <c r="C130" s="26" t="s">
        <v>133</v>
      </c>
      <c r="D130" s="26" t="s">
        <v>1165</v>
      </c>
      <c r="E130" s="26" t="s">
        <v>1249</v>
      </c>
      <c r="F130" s="26" t="s">
        <v>1230</v>
      </c>
      <c r="G130" s="26" t="s">
        <v>1165</v>
      </c>
      <c r="K130" s="53">
        <v>36.520000000000003</v>
      </c>
      <c r="M130" s="53">
        <v>420</v>
      </c>
      <c r="N130" s="53">
        <v>-15338.400000000001</v>
      </c>
      <c r="R130" s="53">
        <v>-15338.400000000001</v>
      </c>
      <c r="S130" s="53">
        <v>1</v>
      </c>
      <c r="T130" s="86">
        <v>-15338.4</v>
      </c>
      <c r="W130" s="87">
        <v>43706.69808321759</v>
      </c>
    </row>
    <row r="131" spans="2:23">
      <c r="B131" s="26">
        <v>43709</v>
      </c>
      <c r="C131" s="26" t="s">
        <v>133</v>
      </c>
      <c r="D131" s="26" t="s">
        <v>1140</v>
      </c>
      <c r="E131" s="26" t="s">
        <v>1249</v>
      </c>
      <c r="F131" s="26" t="s">
        <v>1230</v>
      </c>
      <c r="G131" s="26" t="s">
        <v>1625</v>
      </c>
      <c r="K131" s="53">
        <v>2742</v>
      </c>
      <c r="M131" s="53">
        <v>1100</v>
      </c>
      <c r="N131" s="53">
        <v>-3016200</v>
      </c>
      <c r="R131" s="53">
        <v>-3016200</v>
      </c>
      <c r="S131" s="53">
        <v>116.80219780219767</v>
      </c>
      <c r="T131" s="86">
        <v>-25823.14</v>
      </c>
      <c r="W131" s="87">
        <v>43709.979146874997</v>
      </c>
    </row>
    <row r="132" spans="2:23">
      <c r="B132" s="26">
        <v>43709</v>
      </c>
      <c r="C132" s="26" t="s">
        <v>133</v>
      </c>
      <c r="D132" s="26" t="s">
        <v>1142</v>
      </c>
      <c r="E132" s="26" t="s">
        <v>1249</v>
      </c>
      <c r="F132" s="26" t="s">
        <v>1230</v>
      </c>
      <c r="G132" s="26" t="s">
        <v>1142</v>
      </c>
      <c r="K132" s="53">
        <v>3595</v>
      </c>
      <c r="M132" s="53">
        <v>1100</v>
      </c>
      <c r="N132" s="53">
        <v>-3954500</v>
      </c>
      <c r="R132" s="53">
        <v>-3954500</v>
      </c>
      <c r="S132" s="53">
        <v>116.80219780219785</v>
      </c>
      <c r="T132" s="86">
        <v>-33856.379999999997</v>
      </c>
      <c r="W132" s="87">
        <v>43709.980881134259</v>
      </c>
    </row>
    <row r="133" spans="2:23">
      <c r="B133" s="26">
        <v>43709</v>
      </c>
      <c r="C133" s="26" t="s">
        <v>134</v>
      </c>
      <c r="D133" s="26" t="s">
        <v>1141</v>
      </c>
      <c r="E133" s="26" t="s">
        <v>1249</v>
      </c>
      <c r="F133" s="26" t="s">
        <v>1230</v>
      </c>
      <c r="G133" s="26" t="s">
        <v>1626</v>
      </c>
      <c r="K133" s="53">
        <v>1017</v>
      </c>
      <c r="M133" s="53">
        <v>-690</v>
      </c>
      <c r="N133" s="53">
        <v>701730</v>
      </c>
      <c r="R133" s="53">
        <v>701730</v>
      </c>
      <c r="S133" s="53">
        <v>116.80219780219775</v>
      </c>
      <c r="T133" s="86">
        <v>6007.85</v>
      </c>
    </row>
    <row r="134" spans="2:23">
      <c r="B134" s="26">
        <v>43718</v>
      </c>
      <c r="C134" s="26" t="s">
        <v>133</v>
      </c>
      <c r="D134" s="26" t="s">
        <v>1163</v>
      </c>
      <c r="E134" s="26" t="s">
        <v>1249</v>
      </c>
      <c r="F134" s="26" t="s">
        <v>1230</v>
      </c>
      <c r="G134" s="26" t="s">
        <v>1163</v>
      </c>
      <c r="K134" s="53">
        <v>0.47000000000000003</v>
      </c>
      <c r="M134" s="53">
        <v>94000</v>
      </c>
      <c r="N134" s="53">
        <v>-44180</v>
      </c>
      <c r="R134" s="53">
        <v>-44180</v>
      </c>
      <c r="S134" s="53">
        <v>1.6099568103743467</v>
      </c>
      <c r="T134" s="86">
        <v>-27441.73</v>
      </c>
      <c r="W134" s="87">
        <v>43718.504809606478</v>
      </c>
    </row>
    <row r="135" spans="2:23">
      <c r="B135" s="26">
        <v>43721</v>
      </c>
      <c r="C135" s="26" t="s">
        <v>134</v>
      </c>
      <c r="D135" s="26" t="s">
        <v>1167</v>
      </c>
      <c r="E135" s="26" t="s">
        <v>1249</v>
      </c>
      <c r="F135" s="26" t="s">
        <v>1230</v>
      </c>
      <c r="G135" s="26" t="s">
        <v>1167</v>
      </c>
      <c r="K135" s="53">
        <v>43.12</v>
      </c>
      <c r="M135" s="53">
        <v>-700</v>
      </c>
      <c r="N135" s="53">
        <v>30184</v>
      </c>
      <c r="R135" s="53">
        <v>30184</v>
      </c>
      <c r="S135" s="53">
        <v>1</v>
      </c>
      <c r="T135" s="86">
        <v>30184</v>
      </c>
    </row>
    <row r="136" spans="2:23">
      <c r="B136" s="26">
        <v>43756</v>
      </c>
      <c r="C136" s="26" t="s">
        <v>133</v>
      </c>
      <c r="D136" s="26" t="s">
        <v>1163</v>
      </c>
      <c r="E136" s="26" t="s">
        <v>1249</v>
      </c>
      <c r="F136" s="26" t="s">
        <v>1230</v>
      </c>
      <c r="G136" s="26" t="s">
        <v>1163</v>
      </c>
      <c r="K136" s="53">
        <v>0.44</v>
      </c>
      <c r="M136" s="53">
        <v>70000</v>
      </c>
      <c r="N136" s="53">
        <v>-30800</v>
      </c>
      <c r="R136" s="53">
        <v>-30800</v>
      </c>
      <c r="S136" s="53">
        <v>1.6300716255894638</v>
      </c>
      <c r="T136" s="86">
        <v>-18894.88</v>
      </c>
      <c r="W136" s="87">
        <v>43756.421332986109</v>
      </c>
    </row>
    <row r="137" spans="2:23">
      <c r="B137" s="26">
        <v>43756</v>
      </c>
      <c r="C137" s="26" t="s">
        <v>133</v>
      </c>
      <c r="D137" s="26" t="s">
        <v>1575</v>
      </c>
      <c r="E137" s="26" t="s">
        <v>1249</v>
      </c>
      <c r="F137" s="26" t="s">
        <v>1230</v>
      </c>
      <c r="G137" s="26" t="s">
        <v>1575</v>
      </c>
      <c r="K137" s="53">
        <v>6140</v>
      </c>
      <c r="M137" s="53">
        <v>4300</v>
      </c>
      <c r="N137" s="53">
        <v>-26402000</v>
      </c>
      <c r="R137" s="53">
        <v>-26402000</v>
      </c>
      <c r="S137" s="53">
        <v>1310.8372631016996</v>
      </c>
      <c r="T137" s="86">
        <v>-20141.330000000002</v>
      </c>
      <c r="W137" s="87">
        <v>43756.422031481481</v>
      </c>
    </row>
    <row r="138" spans="2:23">
      <c r="B138" s="26">
        <v>43756</v>
      </c>
      <c r="C138" s="26" t="s">
        <v>133</v>
      </c>
      <c r="D138" s="26" t="s">
        <v>1173</v>
      </c>
      <c r="E138" s="26" t="s">
        <v>1249</v>
      </c>
      <c r="F138" s="26" t="s">
        <v>1230</v>
      </c>
      <c r="G138" s="26" t="s">
        <v>1173</v>
      </c>
      <c r="K138" s="53">
        <v>47.690000000000005</v>
      </c>
      <c r="M138" s="53">
        <v>550</v>
      </c>
      <c r="N138" s="53">
        <v>-26229.500000000004</v>
      </c>
      <c r="R138" s="53">
        <v>-26229.500000000004</v>
      </c>
      <c r="S138" s="53">
        <v>1</v>
      </c>
      <c r="T138" s="86">
        <v>-26229.5</v>
      </c>
      <c r="W138" s="87">
        <v>43756.426748148151</v>
      </c>
    </row>
    <row r="139" spans="2:23">
      <c r="B139" s="26">
        <v>43756</v>
      </c>
      <c r="C139" s="26" t="s">
        <v>133</v>
      </c>
      <c r="D139" s="26" t="s">
        <v>1156</v>
      </c>
      <c r="E139" s="26" t="s">
        <v>1249</v>
      </c>
      <c r="F139" s="26" t="s">
        <v>1230</v>
      </c>
      <c r="G139" s="26" t="s">
        <v>1156</v>
      </c>
      <c r="K139" s="53">
        <v>165000</v>
      </c>
      <c r="M139" s="53">
        <v>600</v>
      </c>
      <c r="N139" s="53">
        <v>-99000000</v>
      </c>
      <c r="R139" s="53">
        <v>-99000000</v>
      </c>
      <c r="S139" s="53">
        <v>1310.8372631016944</v>
      </c>
      <c r="T139" s="86">
        <v>-75524.25</v>
      </c>
      <c r="W139" s="87">
        <v>43756.645654513886</v>
      </c>
    </row>
    <row r="140" spans="2:23">
      <c r="B140" s="26">
        <v>43760</v>
      </c>
      <c r="C140" s="26" t="s">
        <v>133</v>
      </c>
      <c r="E140" s="26" t="s">
        <v>1249</v>
      </c>
      <c r="F140" s="26" t="s">
        <v>1058</v>
      </c>
      <c r="G140" s="26" t="s">
        <v>1632</v>
      </c>
      <c r="K140" s="53">
        <v>33</v>
      </c>
      <c r="M140" s="53">
        <v>680</v>
      </c>
      <c r="N140" s="53">
        <v>-22440</v>
      </c>
      <c r="R140" s="53">
        <v>-22440</v>
      </c>
      <c r="S140" s="53">
        <v>1</v>
      </c>
      <c r="T140" s="86">
        <v>-22440</v>
      </c>
      <c r="W140" s="87">
        <v>43760.725090856482</v>
      </c>
    </row>
    <row r="141" spans="2:23">
      <c r="B141" s="26">
        <v>43762</v>
      </c>
      <c r="C141" s="26" t="s">
        <v>134</v>
      </c>
      <c r="D141" s="26" t="s">
        <v>1144</v>
      </c>
      <c r="E141" s="26" t="s">
        <v>1249</v>
      </c>
      <c r="F141" s="26" t="s">
        <v>1230</v>
      </c>
      <c r="G141" s="26" t="s">
        <v>1144</v>
      </c>
      <c r="K141" s="53">
        <v>2398</v>
      </c>
      <c r="M141" s="53">
        <v>-1700</v>
      </c>
      <c r="N141" s="53">
        <v>4076600</v>
      </c>
      <c r="R141" s="53">
        <v>4076600</v>
      </c>
      <c r="S141" s="53">
        <v>120.95042012130651</v>
      </c>
      <c r="T141" s="86">
        <v>33704.720000000001</v>
      </c>
    </row>
    <row r="142" spans="2:23">
      <c r="B142" s="26">
        <v>43762</v>
      </c>
      <c r="C142" s="26" t="s">
        <v>133</v>
      </c>
      <c r="E142" s="26" t="s">
        <v>1249</v>
      </c>
      <c r="F142" s="26" t="s">
        <v>1058</v>
      </c>
      <c r="G142" s="26" t="s">
        <v>1633</v>
      </c>
      <c r="K142" s="53">
        <v>9.8249999999999993</v>
      </c>
      <c r="M142" s="53">
        <v>3200</v>
      </c>
      <c r="N142" s="53">
        <v>-31439.999999999996</v>
      </c>
      <c r="R142" s="53">
        <v>-31439.999999999996</v>
      </c>
      <c r="S142" s="53">
        <v>1.1129041233097769</v>
      </c>
      <c r="T142" s="86">
        <v>-28250.41</v>
      </c>
      <c r="W142" s="87">
        <v>43762.697917824073</v>
      </c>
    </row>
    <row r="143" spans="2:23">
      <c r="B143" s="26">
        <v>43762</v>
      </c>
      <c r="C143" s="26" t="s">
        <v>133</v>
      </c>
      <c r="E143" s="26" t="s">
        <v>1249</v>
      </c>
      <c r="F143" s="26" t="s">
        <v>1058</v>
      </c>
      <c r="G143" s="26" t="s">
        <v>1634</v>
      </c>
      <c r="K143" s="53">
        <v>0.28000000000000003</v>
      </c>
      <c r="M143" s="53">
        <v>150000</v>
      </c>
      <c r="N143" s="53">
        <v>-42000.000000000007</v>
      </c>
      <c r="R143" s="53">
        <v>-42000.000000000007</v>
      </c>
      <c r="S143" s="53">
        <v>1.6239608257748599</v>
      </c>
      <c r="T143" s="86">
        <v>-25862.69</v>
      </c>
      <c r="W143" s="87">
        <v>43762.710692245368</v>
      </c>
    </row>
    <row r="144" spans="2:23">
      <c r="B144" s="26">
        <v>43762</v>
      </c>
      <c r="C144" s="26" t="s">
        <v>134</v>
      </c>
      <c r="D144" s="26" t="s">
        <v>1151</v>
      </c>
      <c r="E144" s="26" t="s">
        <v>1249</v>
      </c>
      <c r="F144" s="26" t="s">
        <v>1230</v>
      </c>
      <c r="G144" s="26" t="s">
        <v>1151</v>
      </c>
      <c r="K144" s="53">
        <v>10730</v>
      </c>
      <c r="M144" s="53">
        <v>-600</v>
      </c>
      <c r="N144" s="53">
        <v>6438000</v>
      </c>
      <c r="R144" s="53">
        <v>6438000</v>
      </c>
      <c r="S144" s="53">
        <v>120.95042012130651</v>
      </c>
      <c r="T144" s="86">
        <v>53228.42</v>
      </c>
    </row>
    <row r="145" spans="2:23">
      <c r="B145" s="26">
        <v>43762</v>
      </c>
      <c r="C145" s="26" t="s">
        <v>134</v>
      </c>
      <c r="D145" s="26" t="s">
        <v>1137</v>
      </c>
      <c r="E145" s="26" t="s">
        <v>1249</v>
      </c>
      <c r="F145" s="26" t="s">
        <v>1230</v>
      </c>
      <c r="G145" s="26" t="s">
        <v>1584</v>
      </c>
      <c r="K145" s="53">
        <v>3325</v>
      </c>
      <c r="M145" s="53">
        <v>-2000</v>
      </c>
      <c r="N145" s="53">
        <v>6650000</v>
      </c>
      <c r="R145" s="53">
        <v>6650000</v>
      </c>
      <c r="S145" s="53">
        <v>120.95042012130675</v>
      </c>
      <c r="T145" s="86">
        <v>54981.21</v>
      </c>
    </row>
    <row r="146" spans="2:23">
      <c r="B146" s="26">
        <v>43763</v>
      </c>
      <c r="C146" s="26" t="s">
        <v>133</v>
      </c>
      <c r="D146" s="26" t="s">
        <v>1175</v>
      </c>
      <c r="E146" s="26" t="s">
        <v>1249</v>
      </c>
      <c r="F146" s="26" t="s">
        <v>1230</v>
      </c>
      <c r="G146" s="26" t="s">
        <v>1175</v>
      </c>
      <c r="K146" s="53">
        <v>64.81</v>
      </c>
      <c r="M146" s="53">
        <v>475</v>
      </c>
      <c r="N146" s="53">
        <v>-30784.75</v>
      </c>
      <c r="R146" s="53">
        <v>-30784.75</v>
      </c>
      <c r="S146" s="53">
        <v>1.1103955228852518</v>
      </c>
      <c r="T146" s="53">
        <v>-27724.130154999999</v>
      </c>
      <c r="W146" s="87">
        <v>43763.650407986112</v>
      </c>
    </row>
    <row r="147" spans="2:23">
      <c r="B147" s="26">
        <v>43763</v>
      </c>
      <c r="C147" s="26" t="s">
        <v>134</v>
      </c>
      <c r="D147" s="26" t="s">
        <v>1171</v>
      </c>
      <c r="E147" s="26" t="s">
        <v>1249</v>
      </c>
      <c r="F147" s="26" t="s">
        <v>1230</v>
      </c>
      <c r="G147" s="26" t="s">
        <v>1171</v>
      </c>
      <c r="K147" s="53">
        <v>66.08</v>
      </c>
      <c r="M147" s="53">
        <v>-900</v>
      </c>
      <c r="N147" s="53">
        <v>59472</v>
      </c>
      <c r="R147" s="53">
        <v>59472</v>
      </c>
      <c r="S147" s="53">
        <v>1</v>
      </c>
      <c r="T147" s="53">
        <v>59472</v>
      </c>
    </row>
    <row r="148" spans="2:23">
      <c r="B148" s="26">
        <v>43763</v>
      </c>
      <c r="C148" s="26" t="s">
        <v>133</v>
      </c>
      <c r="D148" s="26" t="s">
        <v>1637</v>
      </c>
      <c r="E148" s="26" t="s">
        <v>1249</v>
      </c>
      <c r="F148" s="26" t="s">
        <v>1230</v>
      </c>
      <c r="G148" s="26" t="s">
        <v>1637</v>
      </c>
      <c r="K148" s="53">
        <v>170.85</v>
      </c>
      <c r="M148" s="53">
        <v>370</v>
      </c>
      <c r="N148" s="53">
        <v>-63214.5</v>
      </c>
      <c r="R148" s="53">
        <v>-63214.5</v>
      </c>
      <c r="S148" s="53">
        <v>1</v>
      </c>
      <c r="T148" s="53">
        <v>-63214.5</v>
      </c>
      <c r="W148" s="87">
        <v>43763.677882638891</v>
      </c>
    </row>
    <row r="149" spans="2:23">
      <c r="B149" s="26">
        <v>43766</v>
      </c>
      <c r="C149" s="26" t="s">
        <v>134</v>
      </c>
      <c r="D149" s="26" t="s">
        <v>1567</v>
      </c>
      <c r="E149" s="26" t="s">
        <v>1640</v>
      </c>
      <c r="F149" s="26" t="s">
        <v>1230</v>
      </c>
      <c r="G149" s="26" t="s">
        <v>1567</v>
      </c>
      <c r="K149" s="53">
        <v>27.51</v>
      </c>
      <c r="M149" s="53">
        <v>-2220</v>
      </c>
      <c r="N149" s="53">
        <v>61072.200000000004</v>
      </c>
      <c r="R149" s="53">
        <v>61072.200000000004</v>
      </c>
      <c r="S149" s="53">
        <v>1</v>
      </c>
      <c r="T149" s="53">
        <v>61072.200000000004</v>
      </c>
    </row>
    <row r="150" spans="2:23">
      <c r="B150" s="26">
        <v>43769</v>
      </c>
      <c r="C150" s="26" t="s">
        <v>133</v>
      </c>
      <c r="D150" s="26" t="s">
        <v>1163</v>
      </c>
      <c r="E150" s="26" t="s">
        <v>1249</v>
      </c>
      <c r="F150" s="26" t="s">
        <v>1230</v>
      </c>
      <c r="G150" s="26" t="s">
        <v>1163</v>
      </c>
      <c r="K150" s="53">
        <v>0.4</v>
      </c>
      <c r="M150" s="53">
        <v>91000</v>
      </c>
      <c r="N150" s="53">
        <v>-36400</v>
      </c>
      <c r="R150" s="53">
        <v>-36400</v>
      </c>
      <c r="S150" s="53">
        <v>1.6151925263650724</v>
      </c>
      <c r="T150" s="53">
        <v>-22536.013141366358</v>
      </c>
      <c r="W150" s="87">
        <v>43769.445779398149</v>
      </c>
    </row>
    <row r="151" spans="2:23">
      <c r="B151" s="26">
        <v>43770</v>
      </c>
      <c r="C151" s="26" t="s">
        <v>133</v>
      </c>
      <c r="D151" s="26" t="s">
        <v>1582</v>
      </c>
      <c r="E151" s="26" t="s">
        <v>1249</v>
      </c>
      <c r="F151" s="26" t="s">
        <v>1230</v>
      </c>
      <c r="G151" s="26" t="s">
        <v>1582</v>
      </c>
      <c r="K151" s="53">
        <v>16.11</v>
      </c>
      <c r="M151" s="53">
        <v>1250</v>
      </c>
      <c r="N151" s="53">
        <v>-20137.5</v>
      </c>
      <c r="R151" s="53">
        <v>-20137.5</v>
      </c>
      <c r="S151" s="53">
        <v>1.1150012265013491</v>
      </c>
      <c r="T151" s="53">
        <v>-18060.518250000001</v>
      </c>
      <c r="W151" s="87">
        <v>43770.436891319441</v>
      </c>
    </row>
    <row r="152" spans="2:23">
      <c r="B152" s="26">
        <v>43774</v>
      </c>
      <c r="C152" s="26" t="s">
        <v>134</v>
      </c>
      <c r="D152" s="26" t="s">
        <v>1164</v>
      </c>
      <c r="E152" s="26" t="s">
        <v>1249</v>
      </c>
      <c r="F152" s="26" t="s">
        <v>1230</v>
      </c>
      <c r="G152" s="26" t="s">
        <v>1164</v>
      </c>
      <c r="K152" s="53">
        <v>40.06</v>
      </c>
      <c r="M152" s="53">
        <v>900</v>
      </c>
      <c r="N152" s="53">
        <v>-36054</v>
      </c>
      <c r="R152" s="53">
        <v>-36054</v>
      </c>
      <c r="S152" s="53">
        <v>1</v>
      </c>
      <c r="T152" s="53">
        <v>-36054</v>
      </c>
    </row>
    <row r="153" spans="2:23">
      <c r="B153" s="26">
        <v>43774</v>
      </c>
      <c r="C153" s="26" t="s">
        <v>134</v>
      </c>
      <c r="D153" s="26" t="s">
        <v>1151</v>
      </c>
      <c r="E153" s="26" t="s">
        <v>1249</v>
      </c>
      <c r="F153" s="26" t="s">
        <v>1230</v>
      </c>
      <c r="G153" s="26" t="s">
        <v>1151</v>
      </c>
      <c r="K153" s="53">
        <v>11340</v>
      </c>
      <c r="M153" s="53">
        <v>900</v>
      </c>
      <c r="N153" s="53">
        <v>-10206000</v>
      </c>
      <c r="R153" s="53">
        <v>-10206000</v>
      </c>
      <c r="S153" s="53">
        <v>120.78326657765905</v>
      </c>
      <c r="T153" s="53">
        <v>-84498.459837877701</v>
      </c>
    </row>
    <row r="154" spans="2:23">
      <c r="B154" s="26">
        <v>43795</v>
      </c>
      <c r="C154" s="26" t="s">
        <v>133</v>
      </c>
      <c r="D154" s="26" t="s">
        <v>1156</v>
      </c>
      <c r="E154" s="26" t="s">
        <v>1249</v>
      </c>
      <c r="F154" s="26" t="s">
        <v>1230</v>
      </c>
      <c r="G154" s="26" t="s">
        <v>1156</v>
      </c>
      <c r="K154" s="53">
        <v>168000</v>
      </c>
      <c r="M154" s="53">
        <v>280</v>
      </c>
      <c r="N154" s="53">
        <v>-47040000</v>
      </c>
      <c r="R154" s="53">
        <v>-47040000</v>
      </c>
      <c r="S154" s="53">
        <v>1291.7116363075659</v>
      </c>
      <c r="T154" s="53">
        <v>-36416.796657856721</v>
      </c>
      <c r="W154" s="87">
        <v>43795.726104629626</v>
      </c>
    </row>
    <row r="155" spans="2:23">
      <c r="B155" s="26">
        <v>43795</v>
      </c>
      <c r="C155" s="26" t="s">
        <v>133</v>
      </c>
      <c r="D155" s="26" t="s">
        <v>1163</v>
      </c>
      <c r="E155" s="26" t="s">
        <v>1249</v>
      </c>
      <c r="F155" s="26" t="s">
        <v>1230</v>
      </c>
      <c r="G155" s="26" t="s">
        <v>1163</v>
      </c>
      <c r="K155" s="53">
        <v>0.375</v>
      </c>
      <c r="M155" s="53">
        <v>160000</v>
      </c>
      <c r="N155" s="53">
        <v>-60000</v>
      </c>
      <c r="R155" s="53">
        <v>-60000</v>
      </c>
      <c r="S155" s="53">
        <v>1.6250523116230919</v>
      </c>
      <c r="T155" s="53">
        <v>-36921.888342211198</v>
      </c>
      <c r="W155" s="87">
        <v>43795.727863194443</v>
      </c>
    </row>
    <row r="156" spans="2:23">
      <c r="B156" s="26">
        <v>43795</v>
      </c>
      <c r="C156" s="26" t="s">
        <v>133</v>
      </c>
      <c r="D156" s="26" t="s">
        <v>1145</v>
      </c>
      <c r="E156" s="26" t="s">
        <v>1249</v>
      </c>
      <c r="F156" s="26" t="s">
        <v>1230</v>
      </c>
      <c r="G156" s="26" t="s">
        <v>1145</v>
      </c>
      <c r="K156" s="53">
        <v>499</v>
      </c>
      <c r="M156" s="53">
        <v>8900</v>
      </c>
      <c r="N156" s="53">
        <v>-4441100</v>
      </c>
      <c r="R156" s="53">
        <v>-4441100</v>
      </c>
      <c r="S156" s="53">
        <v>119.93127904671694</v>
      </c>
      <c r="T156" s="53">
        <v>-37030.373021120322</v>
      </c>
      <c r="W156" s="87">
        <v>43795.728642476854</v>
      </c>
    </row>
    <row r="157" spans="2:23">
      <c r="B157" s="26">
        <v>43795</v>
      </c>
      <c r="C157" s="26" t="s">
        <v>133</v>
      </c>
      <c r="D157" s="26" t="s">
        <v>1149</v>
      </c>
      <c r="E157" s="26" t="s">
        <v>1249</v>
      </c>
      <c r="F157" s="26" t="s">
        <v>1230</v>
      </c>
      <c r="G157" s="26" t="s">
        <v>1149</v>
      </c>
      <c r="K157" s="53">
        <v>2323</v>
      </c>
      <c r="M157" s="53">
        <v>1920</v>
      </c>
      <c r="N157" s="53">
        <v>-4460160</v>
      </c>
      <c r="R157" s="53">
        <v>-4460160</v>
      </c>
      <c r="S157" s="53">
        <v>119.93127904671688</v>
      </c>
      <c r="T157" s="53">
        <v>-37189.297366391234</v>
      </c>
      <c r="W157" s="87">
        <v>43795.72945810185</v>
      </c>
    </row>
    <row r="158" spans="2:23">
      <c r="B158" s="26">
        <v>43795</v>
      </c>
      <c r="C158" s="26" t="s">
        <v>133</v>
      </c>
      <c r="D158" s="26" t="s">
        <v>1148</v>
      </c>
      <c r="E158" s="26" t="s">
        <v>1249</v>
      </c>
      <c r="F158" s="26" t="s">
        <v>1230</v>
      </c>
      <c r="G158" s="26" t="s">
        <v>1148</v>
      </c>
      <c r="K158" s="53">
        <v>821.6</v>
      </c>
      <c r="M158" s="53">
        <v>5500</v>
      </c>
      <c r="N158" s="53">
        <v>-4518800</v>
      </c>
      <c r="R158" s="53">
        <v>-4518800</v>
      </c>
      <c r="S158" s="53">
        <v>119.93127904671699</v>
      </c>
      <c r="T158" s="53">
        <v>-37678.244040404054</v>
      </c>
      <c r="W158" s="87">
        <v>43795.730583449076</v>
      </c>
    </row>
    <row r="159" spans="2:23">
      <c r="B159" s="26">
        <v>43795</v>
      </c>
      <c r="C159" s="26" t="s">
        <v>133</v>
      </c>
      <c r="D159" s="26" t="s">
        <v>1158</v>
      </c>
      <c r="E159" s="26" t="s">
        <v>1249</v>
      </c>
      <c r="F159" s="26" t="s">
        <v>1230</v>
      </c>
      <c r="G159" s="26" t="s">
        <v>1158</v>
      </c>
      <c r="K159" s="53">
        <v>90000</v>
      </c>
      <c r="M159" s="53">
        <v>540</v>
      </c>
      <c r="N159" s="53">
        <v>-48600000</v>
      </c>
      <c r="R159" s="53">
        <v>-48600000</v>
      </c>
      <c r="S159" s="53">
        <v>1291.7116363075697</v>
      </c>
      <c r="T159" s="53">
        <v>-37624.496547020222</v>
      </c>
      <c r="W159" s="87">
        <v>43795.732494212964</v>
      </c>
    </row>
    <row r="160" spans="2:23">
      <c r="B160" s="26">
        <v>43795</v>
      </c>
      <c r="C160" s="26" t="s">
        <v>133</v>
      </c>
      <c r="D160" s="26" t="s">
        <v>1159</v>
      </c>
      <c r="E160" s="26" t="s">
        <v>1249</v>
      </c>
      <c r="F160" s="26" t="s">
        <v>1230</v>
      </c>
      <c r="G160" s="26" t="s">
        <v>1159</v>
      </c>
      <c r="K160" s="53">
        <v>112500</v>
      </c>
      <c r="M160" s="53">
        <v>435</v>
      </c>
      <c r="N160" s="53">
        <v>-48937500</v>
      </c>
      <c r="R160" s="53">
        <v>-48937500</v>
      </c>
      <c r="S160" s="53">
        <v>1291.7116363075704</v>
      </c>
      <c r="T160" s="53">
        <v>-37885.777773041176</v>
      </c>
      <c r="W160" s="87">
        <v>43795.733664467596</v>
      </c>
    </row>
    <row r="161" spans="2:23">
      <c r="B161" s="26">
        <v>43795</v>
      </c>
      <c r="C161" s="26" t="s">
        <v>133</v>
      </c>
      <c r="D161" s="26" t="s">
        <v>1071</v>
      </c>
      <c r="E161" s="26" t="s">
        <v>1249</v>
      </c>
      <c r="F161" s="26" t="s">
        <v>1230</v>
      </c>
      <c r="G161" s="26" t="s">
        <v>1134</v>
      </c>
      <c r="K161" s="53">
        <v>981</v>
      </c>
      <c r="M161" s="53">
        <v>4650</v>
      </c>
      <c r="N161" s="53">
        <v>-4561650</v>
      </c>
      <c r="R161" s="53">
        <v>-4561650</v>
      </c>
      <c r="S161" s="53">
        <v>119.93127904671704</v>
      </c>
      <c r="T161" s="53">
        <v>-38035.531983471068</v>
      </c>
      <c r="W161" s="87">
        <v>43795.734506597226</v>
      </c>
    </row>
    <row r="162" spans="2:23">
      <c r="B162" s="26">
        <v>43795</v>
      </c>
      <c r="C162" s="26" t="s">
        <v>133</v>
      </c>
      <c r="D162" s="26" t="s">
        <v>1634</v>
      </c>
      <c r="E162" s="26" t="s">
        <v>1249</v>
      </c>
      <c r="F162" s="26" t="s">
        <v>1230</v>
      </c>
      <c r="G162" s="26" t="s">
        <v>1634</v>
      </c>
      <c r="K162" s="53">
        <v>0.30499999999999999</v>
      </c>
      <c r="M162" s="53">
        <v>205000</v>
      </c>
      <c r="N162" s="53">
        <v>-62525</v>
      </c>
      <c r="R162" s="53">
        <v>-62525</v>
      </c>
      <c r="S162" s="53">
        <v>1.6250523116230884</v>
      </c>
      <c r="T162" s="53">
        <v>-38475.684476612674</v>
      </c>
      <c r="W162" s="87">
        <v>43795.735314467594</v>
      </c>
    </row>
    <row r="163" spans="2:23">
      <c r="B163" s="26">
        <v>43795</v>
      </c>
      <c r="C163" s="26" t="s">
        <v>134</v>
      </c>
      <c r="D163" s="26" t="s">
        <v>1576</v>
      </c>
      <c r="E163" s="26" t="s">
        <v>1249</v>
      </c>
      <c r="F163" s="26" t="s">
        <v>1230</v>
      </c>
      <c r="G163" s="26" t="s">
        <v>1576</v>
      </c>
      <c r="K163" s="53">
        <v>26.65</v>
      </c>
      <c r="M163" s="53">
        <v>-1700</v>
      </c>
      <c r="N163" s="53">
        <v>45305</v>
      </c>
      <c r="R163" s="53">
        <v>45305</v>
      </c>
      <c r="S163" s="53">
        <v>1.1012973282526817</v>
      </c>
      <c r="T163" s="53">
        <v>41137.846099999995</v>
      </c>
    </row>
    <row r="164" spans="2:23">
      <c r="B164" s="26">
        <v>43795</v>
      </c>
      <c r="C164" s="26" t="s">
        <v>134</v>
      </c>
      <c r="D164" s="26" t="s">
        <v>1153</v>
      </c>
      <c r="E164" s="26" t="s">
        <v>1249</v>
      </c>
      <c r="F164" s="26" t="s">
        <v>1230</v>
      </c>
      <c r="G164" s="26" t="s">
        <v>1153</v>
      </c>
      <c r="K164" s="53">
        <v>6405</v>
      </c>
      <c r="M164" s="53">
        <v>-1500</v>
      </c>
      <c r="N164" s="53">
        <v>9607500</v>
      </c>
      <c r="R164" s="53">
        <v>9607500</v>
      </c>
      <c r="S164" s="53">
        <v>119.93127904671695</v>
      </c>
      <c r="T164" s="53">
        <v>80108.37603305791</v>
      </c>
    </row>
    <row r="165" spans="2:23">
      <c r="B165" s="26">
        <v>43795</v>
      </c>
      <c r="C165" s="26" t="s">
        <v>133</v>
      </c>
      <c r="E165" s="26" t="s">
        <v>1645</v>
      </c>
      <c r="F165" s="26" t="s">
        <v>1230</v>
      </c>
      <c r="G165" s="26" t="s">
        <v>1147</v>
      </c>
      <c r="K165" s="53">
        <v>1325</v>
      </c>
      <c r="M165" s="53">
        <v>2200</v>
      </c>
      <c r="S165" s="53">
        <v>120.12868963541597</v>
      </c>
      <c r="T165" s="53">
        <v>-24265.643859488242</v>
      </c>
      <c r="W165" s="87">
        <v>43795.943657407406</v>
      </c>
    </row>
    <row r="166" spans="2:23">
      <c r="B166" s="26">
        <v>43795</v>
      </c>
      <c r="C166" s="26" t="s">
        <v>133</v>
      </c>
      <c r="E166" s="26" t="s">
        <v>1645</v>
      </c>
      <c r="F166" s="26" t="s">
        <v>1230</v>
      </c>
      <c r="G166" s="26" t="s">
        <v>1590</v>
      </c>
      <c r="K166" s="53">
        <v>2234</v>
      </c>
      <c r="M166" s="53">
        <v>2200</v>
      </c>
      <c r="S166" s="53">
        <v>120.1286896354159</v>
      </c>
      <c r="T166" s="53">
        <v>-40912.791231771138</v>
      </c>
      <c r="W166" s="87">
        <v>43795.944374999999</v>
      </c>
    </row>
    <row r="167" spans="2:23">
      <c r="B167" s="26">
        <v>43795</v>
      </c>
      <c r="C167" s="26" t="s">
        <v>133</v>
      </c>
      <c r="E167" s="26" t="s">
        <v>1645</v>
      </c>
      <c r="F167" s="26" t="s">
        <v>1230</v>
      </c>
      <c r="G167" s="26" t="s">
        <v>1646</v>
      </c>
      <c r="K167" s="53">
        <v>928</v>
      </c>
      <c r="M167" s="53">
        <v>2200</v>
      </c>
      <c r="S167" s="53">
        <v>120.12868963541607</v>
      </c>
      <c r="T167" s="53">
        <v>-16995.107548381184</v>
      </c>
      <c r="W167" s="87">
        <v>43795.94494212963</v>
      </c>
    </row>
    <row r="168" spans="2:23">
      <c r="B168" s="26">
        <v>43795</v>
      </c>
      <c r="C168" s="26" t="s">
        <v>133</v>
      </c>
      <c r="E168" s="26" t="s">
        <v>1645</v>
      </c>
      <c r="F168" s="26" t="s">
        <v>1230</v>
      </c>
      <c r="G168" s="26" t="s">
        <v>1647</v>
      </c>
      <c r="K168" s="53">
        <v>2.9</v>
      </c>
      <c r="M168" s="53">
        <v>22000</v>
      </c>
      <c r="S168" s="53">
        <v>1.6233955112878891</v>
      </c>
      <c r="T168" s="53">
        <v>-39300.342742345958</v>
      </c>
      <c r="W168" s="87">
        <v>43795.945914351854</v>
      </c>
    </row>
    <row r="169" spans="2:23">
      <c r="B169" s="26">
        <v>43795</v>
      </c>
      <c r="C169" s="26" t="s">
        <v>133</v>
      </c>
      <c r="G169" s="26" t="s">
        <v>1575</v>
      </c>
      <c r="K169" s="53">
        <v>4850</v>
      </c>
      <c r="M169" s="53">
        <v>6700</v>
      </c>
      <c r="S169" s="53">
        <v>1291.766287281981</v>
      </c>
      <c r="T169" s="53">
        <v>-25155.479222462967</v>
      </c>
      <c r="W169" s="87">
        <v>43795.962407407409</v>
      </c>
    </row>
    <row r="170" spans="2:23">
      <c r="B170" s="26">
        <v>43795</v>
      </c>
      <c r="C170" s="26" t="s">
        <v>133</v>
      </c>
      <c r="G170" s="26" t="s">
        <v>1574</v>
      </c>
      <c r="K170" s="53">
        <v>7570</v>
      </c>
      <c r="M170" s="53">
        <v>4200</v>
      </c>
      <c r="S170" s="53">
        <v>1291.7662872819822</v>
      </c>
      <c r="T170" s="53">
        <v>-24612.811398645539</v>
      </c>
      <c r="W170" s="87">
        <v>43795.963101851848</v>
      </c>
    </row>
    <row r="171" spans="2:23">
      <c r="B171" s="26">
        <v>43795</v>
      </c>
      <c r="C171" s="26" t="s">
        <v>133</v>
      </c>
      <c r="G171" s="26" t="s">
        <v>1160</v>
      </c>
      <c r="K171" s="53">
        <v>3680</v>
      </c>
      <c r="M171" s="53">
        <v>6900</v>
      </c>
      <c r="S171" s="53">
        <v>1291.7662847222223</v>
      </c>
    </row>
    <row r="172" spans="2:23">
      <c r="B172" s="26">
        <v>43795</v>
      </c>
      <c r="C172" s="26" t="s">
        <v>133</v>
      </c>
      <c r="G172" s="26" t="s">
        <v>1166</v>
      </c>
      <c r="K172" s="53">
        <v>42.43</v>
      </c>
      <c r="M172" s="53">
        <v>1000</v>
      </c>
      <c r="S172" s="53">
        <v>1</v>
      </c>
    </row>
    <row r="173" spans="2:23">
      <c r="B173" s="26">
        <v>43795</v>
      </c>
      <c r="C173" s="26" t="s">
        <v>133</v>
      </c>
      <c r="G173" s="26" t="s">
        <v>1165</v>
      </c>
      <c r="K173" s="53">
        <v>36.42</v>
      </c>
      <c r="M173" s="53">
        <v>1100</v>
      </c>
      <c r="S173" s="53">
        <v>1</v>
      </c>
    </row>
    <row r="174" spans="2:23">
      <c r="B174" s="26">
        <v>43795</v>
      </c>
      <c r="C174" s="26" t="s">
        <v>133</v>
      </c>
      <c r="G174" s="26" t="s">
        <v>1648</v>
      </c>
      <c r="K174" s="53">
        <v>175.88</v>
      </c>
      <c r="M174" s="53">
        <v>170</v>
      </c>
      <c r="S174" s="53">
        <v>1</v>
      </c>
    </row>
    <row r="175" spans="2:23">
      <c r="B175" s="26">
        <v>43796</v>
      </c>
      <c r="C175" s="26" t="s">
        <v>133</v>
      </c>
      <c r="D175" s="26" t="s">
        <v>1173</v>
      </c>
      <c r="E175" s="26" t="s">
        <v>1249</v>
      </c>
      <c r="F175" s="26" t="s">
        <v>1230</v>
      </c>
      <c r="G175" s="26" t="s">
        <v>1173</v>
      </c>
      <c r="K175" s="53">
        <v>43.935000000000002</v>
      </c>
      <c r="M175" s="53">
        <v>1170</v>
      </c>
      <c r="N175" s="53">
        <v>-51403.950000000004</v>
      </c>
      <c r="R175" s="53">
        <v>-51403.950000000004</v>
      </c>
      <c r="S175" s="53">
        <v>1</v>
      </c>
      <c r="T175" s="86">
        <v>-51403.95</v>
      </c>
      <c r="W175" s="87">
        <v>43796.44989398148</v>
      </c>
    </row>
    <row r="176" spans="2:23">
      <c r="B176" s="26">
        <v>43796</v>
      </c>
      <c r="C176" s="26" t="s">
        <v>133</v>
      </c>
      <c r="D176" s="26" t="s">
        <v>1175</v>
      </c>
      <c r="E176" s="26" t="s">
        <v>1249</v>
      </c>
      <c r="F176" s="26" t="s">
        <v>1230</v>
      </c>
      <c r="G176" s="26" t="s">
        <v>1175</v>
      </c>
      <c r="K176" s="53">
        <v>65.59</v>
      </c>
      <c r="M176" s="53">
        <v>690</v>
      </c>
      <c r="N176" s="53">
        <v>-45257.100000000006</v>
      </c>
      <c r="R176" s="53">
        <v>-45257.100000000006</v>
      </c>
      <c r="S176" s="53">
        <v>1.101794823767918</v>
      </c>
      <c r="T176" s="86">
        <v>-41075.800000000003</v>
      </c>
      <c r="W176" s="87">
        <v>43796.453060648149</v>
      </c>
    </row>
    <row r="177" spans="2:23">
      <c r="B177" s="26">
        <v>43796</v>
      </c>
      <c r="C177" s="26" t="s">
        <v>133</v>
      </c>
      <c r="D177" s="26" t="s">
        <v>1174</v>
      </c>
      <c r="E177" s="26" t="s">
        <v>1249</v>
      </c>
      <c r="F177" s="26" t="s">
        <v>1230</v>
      </c>
      <c r="G177" s="26" t="s">
        <v>1174</v>
      </c>
      <c r="K177" s="53">
        <v>23.189999999999998</v>
      </c>
      <c r="M177" s="53">
        <v>1100</v>
      </c>
      <c r="N177" s="53">
        <v>-25508.999999999996</v>
      </c>
      <c r="R177" s="53">
        <v>-25508.999999999996</v>
      </c>
      <c r="S177" s="53">
        <v>1.101794823767918</v>
      </c>
      <c r="T177" s="86">
        <v>-23152.22</v>
      </c>
      <c r="W177" s="87">
        <v>43796.453653819444</v>
      </c>
    </row>
    <row r="178" spans="2:23">
      <c r="B178" s="26">
        <v>43796</v>
      </c>
      <c r="C178" s="26" t="s">
        <v>133</v>
      </c>
      <c r="D178" s="26" t="s">
        <v>1582</v>
      </c>
      <c r="E178" s="26" t="s">
        <v>1249</v>
      </c>
      <c r="F178" s="26" t="s">
        <v>1230</v>
      </c>
      <c r="G178" s="26" t="s">
        <v>1582</v>
      </c>
      <c r="K178" s="53">
        <v>17.649999999999999</v>
      </c>
      <c r="M178" s="53">
        <v>2500</v>
      </c>
      <c r="N178" s="53">
        <v>-44125</v>
      </c>
      <c r="R178" s="53">
        <v>-44125</v>
      </c>
      <c r="S178" s="53">
        <v>1.101794823767918</v>
      </c>
      <c r="T178" s="86">
        <v>-40048.29</v>
      </c>
      <c r="W178" s="87">
        <v>43796.453947569447</v>
      </c>
    </row>
    <row r="179" spans="2:23">
      <c r="B179" s="26">
        <v>43796</v>
      </c>
      <c r="C179" s="26" t="s">
        <v>133</v>
      </c>
      <c r="D179" s="26" t="s">
        <v>1178</v>
      </c>
      <c r="E179" s="26" t="s">
        <v>1249</v>
      </c>
      <c r="F179" s="26" t="s">
        <v>1230</v>
      </c>
      <c r="G179" s="26" t="s">
        <v>1178</v>
      </c>
      <c r="K179" s="53">
        <v>16.71</v>
      </c>
      <c r="M179" s="53">
        <v>2200</v>
      </c>
      <c r="N179" s="53">
        <v>-36762</v>
      </c>
      <c r="R179" s="53">
        <v>-36762</v>
      </c>
      <c r="S179" s="53">
        <v>1.101794823767918</v>
      </c>
      <c r="T179" s="86">
        <v>-33365.56</v>
      </c>
      <c r="W179" s="87">
        <v>43796.454254861113</v>
      </c>
    </row>
    <row r="180" spans="2:23">
      <c r="B180" s="26">
        <v>43798</v>
      </c>
      <c r="C180" s="26" t="s">
        <v>133</v>
      </c>
      <c r="D180" s="26" t="s">
        <v>1156</v>
      </c>
      <c r="E180" s="26" t="s">
        <v>1249</v>
      </c>
      <c r="F180" s="26" t="s">
        <v>1230</v>
      </c>
      <c r="G180" s="26" t="s">
        <v>1156</v>
      </c>
      <c r="K180" s="53">
        <v>167000</v>
      </c>
      <c r="M180" s="53">
        <v>300</v>
      </c>
      <c r="N180" s="53">
        <v>-50100000</v>
      </c>
      <c r="R180" s="53">
        <v>-50100000</v>
      </c>
      <c r="S180" s="53">
        <v>1296.7276089421171</v>
      </c>
      <c r="T180" s="86">
        <v>-38635.72</v>
      </c>
      <c r="W180" s="87">
        <v>43798.527963194443</v>
      </c>
    </row>
    <row r="181" spans="2:23">
      <c r="B181" s="26">
        <v>43798</v>
      </c>
      <c r="C181" s="26" t="s">
        <v>133</v>
      </c>
      <c r="D181" s="26" t="s">
        <v>1158</v>
      </c>
      <c r="E181" s="26" t="s">
        <v>1249</v>
      </c>
      <c r="F181" s="26" t="s">
        <v>1230</v>
      </c>
      <c r="G181" s="26" t="s">
        <v>1158</v>
      </c>
      <c r="K181" s="53">
        <v>89500</v>
      </c>
      <c r="M181" s="53">
        <v>500</v>
      </c>
      <c r="N181" s="53">
        <v>-44750000</v>
      </c>
      <c r="R181" s="53">
        <v>-44750000</v>
      </c>
      <c r="S181" s="53">
        <v>1296.7276089421148</v>
      </c>
      <c r="T181" s="86">
        <v>-34509.949999999997</v>
      </c>
      <c r="W181" s="87">
        <v>43798.528320254627</v>
      </c>
    </row>
    <row r="182" spans="2:23">
      <c r="B182" s="26">
        <v>43798</v>
      </c>
      <c r="C182" s="26" t="s">
        <v>133</v>
      </c>
      <c r="D182" s="26" t="s">
        <v>1159</v>
      </c>
      <c r="E182" s="26" t="s">
        <v>1249</v>
      </c>
      <c r="F182" s="26" t="s">
        <v>1230</v>
      </c>
      <c r="G182" s="26" t="s">
        <v>1650</v>
      </c>
      <c r="K182" s="53">
        <v>111000</v>
      </c>
      <c r="M182" s="53">
        <v>420</v>
      </c>
      <c r="N182" s="53">
        <v>-46620000</v>
      </c>
      <c r="R182" s="53">
        <v>-46620000</v>
      </c>
      <c r="S182" s="53">
        <v>1296.7276089421146</v>
      </c>
      <c r="T182" s="86">
        <v>-35952.04</v>
      </c>
      <c r="W182" s="87">
        <v>43798.5287537037</v>
      </c>
    </row>
    <row r="183" spans="2:23">
      <c r="B183" s="26">
        <v>43798</v>
      </c>
      <c r="C183" s="26" t="s">
        <v>133</v>
      </c>
      <c r="D183" s="26" t="s">
        <v>1575</v>
      </c>
      <c r="E183" s="26" t="s">
        <v>1249</v>
      </c>
      <c r="F183" s="26" t="s">
        <v>1230</v>
      </c>
      <c r="G183" s="26" t="s">
        <v>1575</v>
      </c>
      <c r="K183" s="53">
        <v>4620</v>
      </c>
      <c r="M183" s="53">
        <v>4200</v>
      </c>
      <c r="N183" s="53">
        <v>-19404000</v>
      </c>
      <c r="R183" s="53">
        <v>-19404000</v>
      </c>
      <c r="S183" s="53">
        <v>1296.7276089421143</v>
      </c>
      <c r="T183" s="86">
        <v>-14963.82</v>
      </c>
      <c r="W183" s="87">
        <v>43798.529049074074</v>
      </c>
    </row>
    <row r="184" spans="2:23">
      <c r="B184" s="26">
        <v>43798</v>
      </c>
      <c r="C184" s="26" t="s">
        <v>133</v>
      </c>
      <c r="D184" s="26" t="s">
        <v>1160</v>
      </c>
      <c r="E184" s="26" t="s">
        <v>1249</v>
      </c>
      <c r="F184" s="26" t="s">
        <v>1230</v>
      </c>
      <c r="G184" s="26" t="s">
        <v>1160</v>
      </c>
      <c r="K184" s="53">
        <v>3650</v>
      </c>
      <c r="M184" s="53">
        <v>6900</v>
      </c>
      <c r="N184" s="53">
        <v>-25185000</v>
      </c>
      <c r="R184" s="53">
        <v>-25185000</v>
      </c>
      <c r="S184" s="53">
        <v>1296.7276089421123</v>
      </c>
      <c r="T184" s="86">
        <v>-19421.97</v>
      </c>
      <c r="W184" s="87">
        <v>43798.529292129628</v>
      </c>
    </row>
    <row r="185" spans="2:23">
      <c r="B185" s="26">
        <v>43811</v>
      </c>
      <c r="C185" s="26" t="s">
        <v>133</v>
      </c>
      <c r="D185" s="26" t="s">
        <v>1634</v>
      </c>
      <c r="E185" s="26" t="s">
        <v>1249</v>
      </c>
      <c r="F185" s="26" t="s">
        <v>1230</v>
      </c>
      <c r="G185" s="26" t="s">
        <v>1634</v>
      </c>
      <c r="K185" s="53">
        <v>0.255</v>
      </c>
      <c r="M185" s="53">
        <v>230000</v>
      </c>
      <c r="N185" s="53">
        <v>-58650</v>
      </c>
      <c r="R185" s="53">
        <v>-58650</v>
      </c>
      <c r="S185" s="53">
        <v>1.6188642711683332</v>
      </c>
      <c r="T185" s="86">
        <v>-36229.1</v>
      </c>
      <c r="W185" s="87">
        <v>43811.648815740744</v>
      </c>
    </row>
    <row r="186" spans="2:23">
      <c r="B186" s="26">
        <v>43811</v>
      </c>
      <c r="C186" s="26" t="s">
        <v>133</v>
      </c>
      <c r="D186" s="26" t="s">
        <v>1158</v>
      </c>
      <c r="E186" s="26" t="s">
        <v>1249</v>
      </c>
      <c r="F186" s="26" t="s">
        <v>1230</v>
      </c>
      <c r="G186" s="26" t="s">
        <v>1652</v>
      </c>
      <c r="K186" s="53">
        <v>89800</v>
      </c>
      <c r="M186" s="53">
        <v>750</v>
      </c>
      <c r="N186" s="53">
        <v>-67350000</v>
      </c>
      <c r="R186" s="53">
        <v>-67350000</v>
      </c>
      <c r="S186" s="53">
        <v>1322.6912077273173</v>
      </c>
      <c r="T186" s="86">
        <v>-50918.91</v>
      </c>
      <c r="W186" s="87">
        <v>43811.657576967591</v>
      </c>
    </row>
    <row r="187" spans="2:23">
      <c r="B187" s="26">
        <v>43811</v>
      </c>
      <c r="C187" s="26" t="s">
        <v>133</v>
      </c>
      <c r="D187" s="26" t="s">
        <v>1647</v>
      </c>
      <c r="E187" s="26" t="s">
        <v>1249</v>
      </c>
      <c r="F187" s="26" t="s">
        <v>1230</v>
      </c>
      <c r="G187" s="26" t="s">
        <v>1647</v>
      </c>
      <c r="K187" s="53">
        <v>3</v>
      </c>
      <c r="M187" s="53">
        <v>23500</v>
      </c>
      <c r="N187" s="53">
        <v>-70500</v>
      </c>
      <c r="R187" s="53">
        <v>-70500</v>
      </c>
      <c r="S187" s="53">
        <v>1.6188642711683294</v>
      </c>
      <c r="T187" s="86">
        <v>-43549.05</v>
      </c>
      <c r="W187" s="87">
        <v>43811.661746180558</v>
      </c>
    </row>
    <row r="188" spans="2:23">
      <c r="B188" s="26">
        <v>43832</v>
      </c>
      <c r="C188" s="26" t="s">
        <v>133</v>
      </c>
      <c r="D188" s="26" t="s">
        <v>1647</v>
      </c>
      <c r="E188" s="26" t="s">
        <v>1249</v>
      </c>
      <c r="F188" s="26" t="s">
        <v>1230</v>
      </c>
      <c r="G188" s="26" t="s">
        <v>1647</v>
      </c>
      <c r="K188" s="53">
        <v>2.97</v>
      </c>
      <c r="M188" s="53">
        <v>40000</v>
      </c>
      <c r="N188" s="53">
        <v>-118800.00000000001</v>
      </c>
      <c r="R188" s="53">
        <v>-118800.00000000001</v>
      </c>
      <c r="S188" s="53">
        <v>1.5975494921866287</v>
      </c>
      <c r="T188" s="86">
        <v>-74363.89</v>
      </c>
      <c r="W188" s="87">
        <v>43832.973064583333</v>
      </c>
    </row>
    <row r="189" spans="2:23">
      <c r="B189" s="26">
        <v>43833</v>
      </c>
      <c r="C189" s="26" t="s">
        <v>133</v>
      </c>
      <c r="D189" s="26" t="s">
        <v>1601</v>
      </c>
      <c r="E189" s="26" t="s">
        <v>1249</v>
      </c>
      <c r="F189" s="26" t="s">
        <v>1230</v>
      </c>
      <c r="G189" s="26" t="s">
        <v>1601</v>
      </c>
      <c r="K189" s="53">
        <v>4.4400000000000004</v>
      </c>
      <c r="M189" s="53">
        <v>142000</v>
      </c>
      <c r="N189" s="53">
        <v>-630480</v>
      </c>
      <c r="R189" s="53">
        <v>-630480</v>
      </c>
      <c r="S189" s="53">
        <v>8.6994839487970061</v>
      </c>
      <c r="T189" s="86">
        <v>-72473.259999999995</v>
      </c>
      <c r="W189" s="87">
        <v>43833.408938078705</v>
      </c>
    </row>
    <row r="190" spans="2:23">
      <c r="B190" s="26">
        <v>43833</v>
      </c>
      <c r="C190" s="26" t="s">
        <v>133</v>
      </c>
      <c r="D190" s="26" t="s">
        <v>1158</v>
      </c>
      <c r="E190" s="26" t="s">
        <v>1249</v>
      </c>
      <c r="F190" s="26" t="s">
        <v>1230</v>
      </c>
      <c r="G190" s="26" t="s">
        <v>1158</v>
      </c>
      <c r="K190" s="53">
        <v>92200</v>
      </c>
      <c r="M190" s="53">
        <v>1700</v>
      </c>
      <c r="N190" s="53">
        <v>-156740000</v>
      </c>
      <c r="R190" s="53">
        <v>-156740000</v>
      </c>
      <c r="S190" s="53">
        <v>1292.7529432790479</v>
      </c>
      <c r="T190" s="86">
        <v>-121245.13</v>
      </c>
      <c r="W190" s="87">
        <v>43833.41056689815</v>
      </c>
    </row>
    <row r="191" spans="2:23">
      <c r="B191" s="26">
        <v>43833</v>
      </c>
      <c r="C191" s="26" t="s">
        <v>133</v>
      </c>
      <c r="D191" s="26" t="s">
        <v>1159</v>
      </c>
      <c r="E191" s="26" t="s">
        <v>1249</v>
      </c>
      <c r="F191" s="26" t="s">
        <v>1230</v>
      </c>
      <c r="G191" s="26" t="s">
        <v>1159</v>
      </c>
      <c r="K191" s="53">
        <v>111000</v>
      </c>
      <c r="M191" s="53">
        <v>420</v>
      </c>
      <c r="N191" s="53">
        <v>-46620000</v>
      </c>
      <c r="R191" s="53">
        <v>-46620000</v>
      </c>
      <c r="S191" s="53">
        <v>1292.7529432790473</v>
      </c>
      <c r="T191" s="86">
        <v>-36062.58</v>
      </c>
      <c r="W191" s="87">
        <v>43833.410884375</v>
      </c>
    </row>
    <row r="192" spans="2:23">
      <c r="B192" s="26">
        <v>43833</v>
      </c>
      <c r="C192" s="26" t="s">
        <v>133</v>
      </c>
      <c r="D192" s="26" t="s">
        <v>1160</v>
      </c>
      <c r="E192" s="26" t="s">
        <v>1249</v>
      </c>
      <c r="F192" s="26" t="s">
        <v>1230</v>
      </c>
      <c r="G192" s="26" t="s">
        <v>1160</v>
      </c>
      <c r="K192" s="53">
        <v>3470</v>
      </c>
      <c r="M192" s="53">
        <v>11000</v>
      </c>
      <c r="N192" s="53">
        <v>-38170000</v>
      </c>
      <c r="R192" s="53">
        <v>-38170000</v>
      </c>
      <c r="S192" s="53">
        <v>1292.7529432790461</v>
      </c>
      <c r="T192" s="86">
        <v>-29526.14</v>
      </c>
      <c r="W192" s="87">
        <v>43833.411221064816</v>
      </c>
    </row>
    <row r="193" spans="2:23">
      <c r="B193" s="26">
        <v>43833</v>
      </c>
      <c r="C193" s="26" t="s">
        <v>134</v>
      </c>
      <c r="D193" s="26" t="s">
        <v>1599</v>
      </c>
      <c r="E193" s="26" t="s">
        <v>1249</v>
      </c>
      <c r="F193" s="26" t="s">
        <v>1230</v>
      </c>
      <c r="G193" s="26" t="s">
        <v>1599</v>
      </c>
      <c r="K193" s="53">
        <v>4.9400000000000004</v>
      </c>
      <c r="M193" s="53">
        <v>-17000</v>
      </c>
      <c r="N193" s="53">
        <v>83980</v>
      </c>
      <c r="R193" s="53">
        <v>83980</v>
      </c>
      <c r="S193" s="53">
        <v>1</v>
      </c>
      <c r="T193" s="86">
        <v>83980</v>
      </c>
    </row>
    <row r="194" spans="2:23">
      <c r="B194" s="26">
        <v>43833</v>
      </c>
      <c r="C194" s="26" t="s">
        <v>133</v>
      </c>
      <c r="D194" s="26" t="s">
        <v>1169</v>
      </c>
      <c r="E194" s="26" t="s">
        <v>1249</v>
      </c>
      <c r="F194" s="26" t="s">
        <v>1230</v>
      </c>
      <c r="G194" s="26" t="s">
        <v>1169</v>
      </c>
      <c r="K194" s="53">
        <v>114.30000000000001</v>
      </c>
      <c r="M194" s="53">
        <v>670</v>
      </c>
      <c r="N194" s="53">
        <v>-76581.000000000015</v>
      </c>
      <c r="R194" s="53">
        <v>-76581.000000000015</v>
      </c>
      <c r="S194" s="53">
        <v>1</v>
      </c>
      <c r="T194" s="86">
        <v>-76581</v>
      </c>
      <c r="W194" s="87">
        <v>43833.45717361111</v>
      </c>
    </row>
    <row r="195" spans="2:23">
      <c r="B195" s="26">
        <v>43837</v>
      </c>
      <c r="C195" s="26" t="s">
        <v>133</v>
      </c>
      <c r="D195" s="26" t="s">
        <v>1158</v>
      </c>
      <c r="E195" s="26" t="s">
        <v>1249</v>
      </c>
      <c r="F195" s="26" t="s">
        <v>1230</v>
      </c>
      <c r="G195" s="26" t="s">
        <v>1158</v>
      </c>
      <c r="K195" s="53">
        <v>92500</v>
      </c>
      <c r="M195" s="53">
        <v>670</v>
      </c>
      <c r="N195" s="53">
        <v>-61975000</v>
      </c>
      <c r="R195" s="53">
        <v>-61975000</v>
      </c>
      <c r="S195" s="53">
        <v>1306.1494034160862</v>
      </c>
      <c r="T195" s="86">
        <v>-47448.63</v>
      </c>
      <c r="W195" s="87">
        <v>43837.120826967592</v>
      </c>
    </row>
    <row r="196" spans="2:23">
      <c r="B196" s="26">
        <v>43838</v>
      </c>
      <c r="C196" s="26" t="s">
        <v>133</v>
      </c>
      <c r="D196" s="26" t="s">
        <v>1158</v>
      </c>
      <c r="E196" s="26" t="s">
        <v>1249</v>
      </c>
      <c r="F196" s="26" t="s">
        <v>1230</v>
      </c>
      <c r="G196" s="26" t="s">
        <v>1158</v>
      </c>
      <c r="K196" s="53">
        <v>91000</v>
      </c>
      <c r="M196" s="53">
        <v>670</v>
      </c>
      <c r="N196" s="53">
        <v>-60970000</v>
      </c>
      <c r="R196" s="53">
        <v>-60970000</v>
      </c>
      <c r="S196" s="53">
        <v>1301.6570396306793</v>
      </c>
      <c r="T196" s="53">
        <v>-46840.295211171062</v>
      </c>
      <c r="W196" s="87">
        <v>43838.050056250002</v>
      </c>
    </row>
    <row r="197" spans="2:23">
      <c r="B197" s="26">
        <v>43838</v>
      </c>
      <c r="C197" s="26" t="s">
        <v>133</v>
      </c>
      <c r="D197" s="26" t="s">
        <v>1159</v>
      </c>
      <c r="E197" s="26" t="s">
        <v>1249</v>
      </c>
      <c r="F197" s="26" t="s">
        <v>1230</v>
      </c>
      <c r="G197" s="26" t="s">
        <v>1159</v>
      </c>
      <c r="K197" s="53">
        <v>103000</v>
      </c>
      <c r="M197" s="53">
        <v>670</v>
      </c>
      <c r="N197" s="53">
        <v>-69010000</v>
      </c>
      <c r="R197" s="53">
        <v>-69010000</v>
      </c>
      <c r="S197" s="53">
        <v>1301.6570396306788</v>
      </c>
      <c r="T197" s="53">
        <v>-53017.037436819999</v>
      </c>
      <c r="W197" s="87">
        <v>43838.544846990742</v>
      </c>
    </row>
    <row r="198" spans="2:23">
      <c r="B198" s="26">
        <v>43838</v>
      </c>
      <c r="C198" s="26" t="s">
        <v>133</v>
      </c>
      <c r="D198" s="26" t="s">
        <v>1160</v>
      </c>
      <c r="E198" s="26" t="s">
        <v>1249</v>
      </c>
      <c r="F198" s="26" t="s">
        <v>1230</v>
      </c>
      <c r="G198" s="26" t="s">
        <v>1160</v>
      </c>
      <c r="K198" s="53">
        <v>3525</v>
      </c>
      <c r="M198" s="53">
        <v>6900</v>
      </c>
      <c r="N198" s="53">
        <v>-24322500</v>
      </c>
      <c r="R198" s="53">
        <v>-24322500</v>
      </c>
      <c r="S198" s="53">
        <v>1301.6570396306795</v>
      </c>
      <c r="T198" s="53">
        <v>-18685.797609868918</v>
      </c>
      <c r="W198" s="87">
        <v>43838.545520717591</v>
      </c>
    </row>
    <row r="199" spans="2:23">
      <c r="B199" s="26">
        <v>43838</v>
      </c>
      <c r="C199" s="26" t="s">
        <v>133</v>
      </c>
      <c r="D199" s="26" t="s">
        <v>1156</v>
      </c>
      <c r="E199" s="26" t="s">
        <v>1249</v>
      </c>
      <c r="F199" s="26" t="s">
        <v>1230</v>
      </c>
      <c r="G199" s="26" t="s">
        <v>1156</v>
      </c>
      <c r="K199" s="53">
        <v>165500</v>
      </c>
      <c r="M199" s="53">
        <v>670</v>
      </c>
      <c r="N199" s="53">
        <v>-110885000</v>
      </c>
      <c r="R199" s="53">
        <v>-110885000</v>
      </c>
      <c r="S199" s="53">
        <v>1301.6570396306811</v>
      </c>
      <c r="T199" s="53">
        <v>-85187.569862074713</v>
      </c>
      <c r="W199" s="87">
        <v>43838.546578472226</v>
      </c>
    </row>
    <row r="200" spans="2:23">
      <c r="B200" s="26">
        <v>43840</v>
      </c>
      <c r="C200" s="26" t="s">
        <v>133</v>
      </c>
      <c r="D200" s="26" t="s">
        <v>1156</v>
      </c>
      <c r="E200" s="26" t="s">
        <v>1249</v>
      </c>
      <c r="F200" s="26" t="s">
        <v>1230</v>
      </c>
      <c r="G200" s="26" t="s">
        <v>1156</v>
      </c>
      <c r="K200" s="53">
        <v>170000</v>
      </c>
      <c r="M200" s="53">
        <v>420</v>
      </c>
      <c r="N200" s="53">
        <v>-71400000</v>
      </c>
      <c r="R200" s="53">
        <v>-71400000</v>
      </c>
      <c r="S200" s="53">
        <v>1286.751804553031</v>
      </c>
      <c r="T200" s="53">
        <v>-55488.556338027956</v>
      </c>
      <c r="W200" s="87">
        <v>43840.035303240744</v>
      </c>
    </row>
    <row r="201" spans="2:23">
      <c r="B201" s="26">
        <v>43840</v>
      </c>
      <c r="C201" s="26" t="s">
        <v>133</v>
      </c>
      <c r="D201" s="26" t="s">
        <v>1159</v>
      </c>
      <c r="E201" s="26" t="s">
        <v>1249</v>
      </c>
      <c r="F201" s="26" t="s">
        <v>1230</v>
      </c>
      <c r="G201" s="26" t="s">
        <v>1159</v>
      </c>
      <c r="K201" s="53">
        <v>105000</v>
      </c>
      <c r="M201" s="53">
        <v>420</v>
      </c>
      <c r="N201" s="53">
        <v>-44100000</v>
      </c>
      <c r="R201" s="53">
        <v>-44100000</v>
      </c>
      <c r="S201" s="53">
        <v>1286.751804553026</v>
      </c>
      <c r="T201" s="53">
        <v>-34272.34362054681</v>
      </c>
      <c r="W201" s="87">
        <v>43840.035945023148</v>
      </c>
    </row>
    <row r="202" spans="2:23">
      <c r="B202" s="26">
        <v>43843</v>
      </c>
      <c r="C202" s="26" t="s">
        <v>133</v>
      </c>
      <c r="D202" s="26" t="s">
        <v>1071</v>
      </c>
      <c r="E202" s="26" t="s">
        <v>1249</v>
      </c>
      <c r="F202" s="26" t="s">
        <v>1230</v>
      </c>
      <c r="G202" s="26" t="s">
        <v>1134</v>
      </c>
      <c r="K202" s="53">
        <v>1041</v>
      </c>
      <c r="M202" s="53">
        <v>6700</v>
      </c>
      <c r="N202" s="53">
        <v>-6974700</v>
      </c>
      <c r="R202" s="53">
        <v>-6974700</v>
      </c>
      <c r="S202" s="53">
        <v>121.71959790054272</v>
      </c>
      <c r="T202" s="53">
        <v>-57301.372336926703</v>
      </c>
      <c r="W202" s="87">
        <v>43843.914539583333</v>
      </c>
    </row>
    <row r="203" spans="2:23">
      <c r="B203" s="26">
        <v>43843</v>
      </c>
      <c r="C203" s="26" t="s">
        <v>133</v>
      </c>
      <c r="D203" s="26" t="s">
        <v>1145</v>
      </c>
      <c r="E203" s="26" t="s">
        <v>1249</v>
      </c>
      <c r="F203" s="26" t="s">
        <v>1230</v>
      </c>
      <c r="G203" s="26" t="s">
        <v>1145</v>
      </c>
      <c r="K203" s="53">
        <v>482</v>
      </c>
      <c r="M203" s="53">
        <v>15900</v>
      </c>
      <c r="N203" s="53">
        <v>-7663800</v>
      </c>
      <c r="R203" s="53">
        <v>-7663800</v>
      </c>
      <c r="S203" s="53">
        <v>121.71959790054262</v>
      </c>
      <c r="T203" s="53">
        <v>-62962.744966197715</v>
      </c>
      <c r="W203" s="87">
        <v>43843.93230335648</v>
      </c>
    </row>
    <row r="204" spans="2:23">
      <c r="B204" s="26">
        <v>43843</v>
      </c>
      <c r="C204" s="26" t="s">
        <v>133</v>
      </c>
      <c r="D204" s="26" t="s">
        <v>1139</v>
      </c>
      <c r="E204" s="26" t="s">
        <v>1249</v>
      </c>
      <c r="F204" s="26" t="s">
        <v>1230</v>
      </c>
      <c r="G204" s="26" t="s">
        <v>1590</v>
      </c>
      <c r="K204" s="53">
        <v>2125</v>
      </c>
      <c r="M204" s="53">
        <v>5500</v>
      </c>
      <c r="N204" s="53">
        <v>-11687500</v>
      </c>
      <c r="R204" s="53">
        <v>-11687500</v>
      </c>
      <c r="S204" s="53">
        <v>121.71959790054248</v>
      </c>
      <c r="T204" s="53">
        <v>-96019.870272245709</v>
      </c>
      <c r="W204" s="87">
        <v>43843.937213425925</v>
      </c>
    </row>
    <row r="205" spans="2:23">
      <c r="B205" s="26">
        <v>43843</v>
      </c>
      <c r="C205" s="26" t="s">
        <v>133</v>
      </c>
      <c r="D205" s="26" t="s">
        <v>1647</v>
      </c>
      <c r="E205" s="26" t="s">
        <v>1249</v>
      </c>
      <c r="F205" s="26" t="s">
        <v>1230</v>
      </c>
      <c r="G205" s="26" t="s">
        <v>1647</v>
      </c>
      <c r="K205" s="53">
        <v>2.95</v>
      </c>
      <c r="M205" s="53">
        <v>17000</v>
      </c>
      <c r="N205" s="53">
        <v>-50150</v>
      </c>
      <c r="R205" s="53">
        <v>-50150</v>
      </c>
      <c r="S205" s="53">
        <v>1.6127829175155552</v>
      </c>
      <c r="T205" s="53">
        <v>-31095.319435336409</v>
      </c>
      <c r="W205" s="87">
        <v>43843.947643865744</v>
      </c>
    </row>
    <row r="206" spans="2:23">
      <c r="B206" s="26">
        <v>43850</v>
      </c>
      <c r="C206" s="26" t="s">
        <v>133</v>
      </c>
      <c r="D206" s="26" t="s">
        <v>1647</v>
      </c>
      <c r="E206" s="26" t="s">
        <v>1249</v>
      </c>
      <c r="F206" s="26" t="s">
        <v>1230</v>
      </c>
      <c r="G206" s="26" t="s">
        <v>1647</v>
      </c>
      <c r="K206" s="53">
        <v>2.86</v>
      </c>
      <c r="M206" s="53">
        <v>22000</v>
      </c>
      <c r="N206" s="53">
        <v>-62920</v>
      </c>
      <c r="R206" s="53">
        <v>-62920</v>
      </c>
      <c r="S206" s="53">
        <v>1.6134962522730258</v>
      </c>
      <c r="T206" s="86">
        <v>-38996.06</v>
      </c>
      <c r="W206" s="87">
        <v>43850.691771759259</v>
      </c>
    </row>
    <row r="207" spans="2:23">
      <c r="B207" s="26">
        <v>43850</v>
      </c>
      <c r="C207" s="26" t="s">
        <v>133</v>
      </c>
      <c r="D207" s="26" t="s">
        <v>1583</v>
      </c>
      <c r="E207" s="26" t="s">
        <v>1249</v>
      </c>
      <c r="F207" s="26" t="s">
        <v>1230</v>
      </c>
      <c r="G207" s="26" t="s">
        <v>1583</v>
      </c>
      <c r="K207" s="53">
        <v>1660</v>
      </c>
      <c r="M207" s="53">
        <v>4200</v>
      </c>
      <c r="N207" s="53">
        <v>-6972000</v>
      </c>
      <c r="R207" s="53">
        <v>-6972000</v>
      </c>
      <c r="S207" s="53">
        <v>122.12267707455554</v>
      </c>
      <c r="T207" s="86">
        <v>-57090.13</v>
      </c>
      <c r="W207" s="87">
        <v>43850.69378854167</v>
      </c>
    </row>
    <row r="208" spans="2:23">
      <c r="B208" s="26">
        <v>43851</v>
      </c>
      <c r="C208" s="26" t="s">
        <v>133</v>
      </c>
      <c r="D208" s="26" t="s">
        <v>1139</v>
      </c>
      <c r="E208" s="26" t="s">
        <v>1249</v>
      </c>
      <c r="F208" s="26" t="s">
        <v>1230</v>
      </c>
      <c r="G208" s="26" t="s">
        <v>1590</v>
      </c>
      <c r="K208" s="53">
        <v>2150</v>
      </c>
      <c r="M208" s="53">
        <v>1700</v>
      </c>
      <c r="N208" s="53">
        <v>-3655000</v>
      </c>
      <c r="R208" s="53">
        <v>-3655000</v>
      </c>
      <c r="S208" s="53">
        <v>121.34317952672721</v>
      </c>
      <c r="T208" s="53">
        <v>-30121.182041343698</v>
      </c>
      <c r="W208" s="87">
        <v>43851.70028125</v>
      </c>
    </row>
    <row r="209" spans="1:23">
      <c r="A209" s="60">
        <v>2019200230</v>
      </c>
      <c r="B209" s="26">
        <v>43852</v>
      </c>
      <c r="C209" s="26" t="s">
        <v>133</v>
      </c>
      <c r="D209" s="26" t="s">
        <v>1648</v>
      </c>
      <c r="E209" s="26" t="s">
        <v>1249</v>
      </c>
      <c r="F209" s="26" t="s">
        <v>1230</v>
      </c>
      <c r="G209" s="26" t="s">
        <v>1648</v>
      </c>
      <c r="K209" s="53">
        <v>180.42000000000002</v>
      </c>
      <c r="M209" s="53">
        <v>320</v>
      </c>
      <c r="N209" s="53">
        <v>-57734.400000000009</v>
      </c>
      <c r="R209" s="53">
        <v>-57734.400000000009</v>
      </c>
      <c r="S209" s="53">
        <v>1</v>
      </c>
      <c r="T209" s="86">
        <v>-57734.400000000001</v>
      </c>
      <c r="W209" s="87">
        <v>43852.484681712966</v>
      </c>
    </row>
    <row r="210" spans="1:23">
      <c r="A210" s="60">
        <v>2019200231</v>
      </c>
      <c r="B210" s="26">
        <v>43852</v>
      </c>
      <c r="C210" s="26" t="s">
        <v>133</v>
      </c>
      <c r="D210" s="26" t="s">
        <v>1139</v>
      </c>
      <c r="E210" s="26" t="s">
        <v>1249</v>
      </c>
      <c r="F210" s="26" t="s">
        <v>1230</v>
      </c>
      <c r="G210" s="26" t="s">
        <v>1590</v>
      </c>
      <c r="K210" s="53">
        <v>2164</v>
      </c>
      <c r="M210" s="53">
        <v>1700</v>
      </c>
      <c r="N210" s="53">
        <v>-3678800</v>
      </c>
      <c r="R210" s="53">
        <v>-3678800</v>
      </c>
      <c r="S210" s="53">
        <v>121.74741788199846</v>
      </c>
      <c r="T210" s="86">
        <v>-30216.66</v>
      </c>
      <c r="W210" s="87">
        <v>43852.702439930552</v>
      </c>
    </row>
    <row r="211" spans="1:23">
      <c r="A211" s="60">
        <v>2019200232</v>
      </c>
      <c r="B211" s="26">
        <v>43852</v>
      </c>
      <c r="C211" s="26" t="s">
        <v>133</v>
      </c>
      <c r="D211" s="26" t="s">
        <v>1136</v>
      </c>
      <c r="E211" s="26" t="s">
        <v>1249</v>
      </c>
      <c r="F211" s="26" t="s">
        <v>1230</v>
      </c>
      <c r="G211" s="26" t="s">
        <v>1646</v>
      </c>
      <c r="K211" s="53">
        <v>860</v>
      </c>
      <c r="M211" s="53">
        <v>6700</v>
      </c>
      <c r="N211" s="53">
        <v>-5762000</v>
      </c>
      <c r="R211" s="53">
        <v>-5762000</v>
      </c>
      <c r="S211" s="53">
        <v>121.74741788199835</v>
      </c>
      <c r="T211" s="86">
        <v>-47327.49</v>
      </c>
      <c r="W211" s="87">
        <v>43852.711632523147</v>
      </c>
    </row>
    <row r="212" spans="1:23" s="380" customFormat="1">
      <c r="A212" s="60">
        <v>2019200231</v>
      </c>
      <c r="B212" s="380">
        <v>43854</v>
      </c>
      <c r="C212" s="380" t="s">
        <v>133</v>
      </c>
      <c r="D212" s="380" t="s">
        <v>1660</v>
      </c>
      <c r="E212" s="380" t="s">
        <v>2031</v>
      </c>
      <c r="F212" s="380" t="s">
        <v>1230</v>
      </c>
      <c r="G212" s="380" t="s">
        <v>1660</v>
      </c>
      <c r="K212" s="53">
        <v>8.7573000000000008</v>
      </c>
      <c r="L212" s="53"/>
      <c r="M212" s="53">
        <v>4800</v>
      </c>
      <c r="N212" s="53">
        <v>-42035.040000000001</v>
      </c>
      <c r="O212" s="53"/>
      <c r="P212" s="53"/>
      <c r="Q212" s="53"/>
      <c r="R212" s="53">
        <v>-42035.040000000001</v>
      </c>
      <c r="S212" s="53">
        <v>0.84232048717410501</v>
      </c>
      <c r="T212" s="86">
        <v>-49903.855646469026</v>
      </c>
      <c r="U212" s="53"/>
      <c r="W212" s="87">
        <v>43854.368278587965</v>
      </c>
    </row>
    <row r="213" spans="1:23" s="380" customFormat="1">
      <c r="A213" s="60">
        <v>2019200232</v>
      </c>
      <c r="B213" s="380">
        <v>43854</v>
      </c>
      <c r="C213" s="380" t="s">
        <v>133</v>
      </c>
      <c r="D213" s="380" t="s">
        <v>1173</v>
      </c>
      <c r="E213" s="380" t="s">
        <v>1222</v>
      </c>
      <c r="F213" s="380" t="s">
        <v>1230</v>
      </c>
      <c r="G213" s="380" t="s">
        <v>1173</v>
      </c>
      <c r="K213" s="53">
        <v>36.413049999999998</v>
      </c>
      <c r="L213" s="53"/>
      <c r="M213" s="53">
        <v>1100</v>
      </c>
      <c r="N213" s="53">
        <v>-40054.354999999996</v>
      </c>
      <c r="O213" s="53"/>
      <c r="P213" s="53"/>
      <c r="Q213" s="53"/>
      <c r="R213" s="53">
        <v>-40054.354999999996</v>
      </c>
      <c r="S213" s="53">
        <v>1</v>
      </c>
      <c r="T213" s="86">
        <v>-40054.354999999996</v>
      </c>
      <c r="U213" s="53"/>
      <c r="W213" s="87">
        <v>43854.679037615744</v>
      </c>
    </row>
    <row r="214" spans="1:23" s="380" customFormat="1">
      <c r="A214" s="60">
        <v>2019200233</v>
      </c>
      <c r="B214" s="380">
        <v>43854</v>
      </c>
      <c r="C214" s="380" t="s">
        <v>133</v>
      </c>
      <c r="D214" s="380" t="s">
        <v>1661</v>
      </c>
      <c r="E214" s="380" t="s">
        <v>2032</v>
      </c>
      <c r="F214" s="380" t="s">
        <v>1230</v>
      </c>
      <c r="G214" s="380" t="s">
        <v>1661</v>
      </c>
      <c r="K214" s="53">
        <v>2.30457</v>
      </c>
      <c r="L214" s="53"/>
      <c r="M214" s="53">
        <v>17000</v>
      </c>
      <c r="N214" s="53">
        <v>-39177.69</v>
      </c>
      <c r="O214" s="53"/>
      <c r="P214" s="53"/>
      <c r="Q214" s="53"/>
      <c r="R214" s="53">
        <v>-39177.69</v>
      </c>
      <c r="S214" s="53">
        <v>0.84232048717410402</v>
      </c>
      <c r="T214" s="86">
        <v>-46511.61950415928</v>
      </c>
      <c r="U214" s="53"/>
      <c r="W214" s="87">
        <v>43854.680190277781</v>
      </c>
    </row>
    <row r="215" spans="1:23" s="380" customFormat="1">
      <c r="A215" s="60">
        <v>2019200234</v>
      </c>
      <c r="B215" s="380">
        <v>43854</v>
      </c>
      <c r="C215" s="380" t="s">
        <v>133</v>
      </c>
      <c r="D215" s="380" t="s">
        <v>1581</v>
      </c>
      <c r="E215" s="380" t="s">
        <v>1608</v>
      </c>
      <c r="F215" s="380" t="s">
        <v>1230</v>
      </c>
      <c r="G215" s="380" t="s">
        <v>1581</v>
      </c>
      <c r="K215" s="53">
        <v>11.164400000000001</v>
      </c>
      <c r="L215" s="53"/>
      <c r="M215" s="53">
        <v>4200</v>
      </c>
      <c r="N215" s="53">
        <v>-46890.48</v>
      </c>
      <c r="O215" s="53"/>
      <c r="P215" s="53"/>
      <c r="Q215" s="53"/>
      <c r="R215" s="53">
        <v>-46890.48</v>
      </c>
      <c r="S215" s="53">
        <v>1.1052044075551775</v>
      </c>
      <c r="T215" s="86">
        <v>-42426.975208799995</v>
      </c>
      <c r="U215" s="53"/>
      <c r="W215" s="87">
        <v>43854.877661458333</v>
      </c>
    </row>
    <row r="216" spans="1:23" s="380" customFormat="1">
      <c r="A216" s="60">
        <v>2019200235</v>
      </c>
      <c r="B216" s="380">
        <v>43857</v>
      </c>
      <c r="C216" s="380" t="s">
        <v>133</v>
      </c>
      <c r="D216" s="380" t="s">
        <v>1135</v>
      </c>
      <c r="E216" s="380" t="s">
        <v>1187</v>
      </c>
      <c r="F216" s="380" t="s">
        <v>1230</v>
      </c>
      <c r="G216" s="380" t="s">
        <v>2028</v>
      </c>
      <c r="K216" s="53">
        <v>3208.88042</v>
      </c>
      <c r="L216" s="53"/>
      <c r="M216" s="53">
        <v>3300</v>
      </c>
      <c r="N216" s="53">
        <v>-10589305.386</v>
      </c>
      <c r="O216" s="53"/>
      <c r="P216" s="53"/>
      <c r="Q216" s="53"/>
      <c r="R216" s="53">
        <v>-10589305.386</v>
      </c>
      <c r="S216" s="53">
        <v>120.44885856325565</v>
      </c>
      <c r="T216" s="86">
        <v>-87915.365179146596</v>
      </c>
      <c r="U216" s="53"/>
      <c r="W216" s="87">
        <v>43857.081628935186</v>
      </c>
    </row>
    <row r="217" spans="1:23" s="380" customFormat="1">
      <c r="A217" s="60">
        <v>2019200236</v>
      </c>
      <c r="B217" s="380">
        <v>43857</v>
      </c>
      <c r="C217" s="380" t="s">
        <v>133</v>
      </c>
      <c r="D217" s="380" t="s">
        <v>1071</v>
      </c>
      <c r="E217" s="380" t="s">
        <v>1186</v>
      </c>
      <c r="F217" s="380" t="s">
        <v>1230</v>
      </c>
      <c r="G217" s="380" t="s">
        <v>1134</v>
      </c>
      <c r="K217" s="53">
        <v>1104.7809500000001</v>
      </c>
      <c r="L217" s="53"/>
      <c r="M217" s="53">
        <v>4200</v>
      </c>
      <c r="N217" s="53">
        <v>-4640079.99</v>
      </c>
      <c r="O217" s="53"/>
      <c r="P217" s="53"/>
      <c r="Q217" s="53"/>
      <c r="R217" s="53">
        <v>-4640079.99</v>
      </c>
      <c r="S217" s="53">
        <v>120.44885856325583</v>
      </c>
      <c r="T217" s="86">
        <v>-38523.237541210743</v>
      </c>
      <c r="U217" s="53"/>
      <c r="W217" s="87">
        <v>43857.083069328706</v>
      </c>
    </row>
    <row r="218" spans="1:23" s="380" customFormat="1">
      <c r="A218" s="60">
        <v>2019200237</v>
      </c>
      <c r="B218" s="380">
        <v>43858</v>
      </c>
      <c r="C218" s="380" t="s">
        <v>133</v>
      </c>
      <c r="D218" s="380" t="s">
        <v>1647</v>
      </c>
      <c r="E218" s="380" t="s">
        <v>1654</v>
      </c>
      <c r="F218" s="380" t="s">
        <v>1230</v>
      </c>
      <c r="G218" s="380" t="s">
        <v>1647</v>
      </c>
      <c r="K218" s="53">
        <v>2.6299700000000001</v>
      </c>
      <c r="L218" s="53"/>
      <c r="M218" s="53">
        <v>22000</v>
      </c>
      <c r="N218" s="53">
        <v>-57859.340000000004</v>
      </c>
      <c r="O218" s="53"/>
      <c r="P218" s="53"/>
      <c r="Q218" s="53"/>
      <c r="R218" s="53">
        <v>-57859.340000000004</v>
      </c>
      <c r="S218" s="53">
        <v>1.6143916930301216</v>
      </c>
      <c r="T218" s="86">
        <v>-35839.716129486085</v>
      </c>
      <c r="U218" s="53"/>
      <c r="W218" s="87">
        <v>43858.050773842595</v>
      </c>
    </row>
    <row r="219" spans="1:23" s="380" customFormat="1">
      <c r="A219" s="60">
        <v>2019200238</v>
      </c>
      <c r="B219" s="380">
        <v>43858</v>
      </c>
      <c r="C219" s="380" t="s">
        <v>133</v>
      </c>
      <c r="D219" s="380" t="s">
        <v>1146</v>
      </c>
      <c r="E219" s="380" t="s">
        <v>1197</v>
      </c>
      <c r="F219" s="380" t="s">
        <v>1230</v>
      </c>
      <c r="G219" s="380" t="s">
        <v>1146</v>
      </c>
      <c r="K219" s="53">
        <v>1955.3227300000001</v>
      </c>
      <c r="L219" s="53"/>
      <c r="M219" s="53">
        <v>2200</v>
      </c>
      <c r="N219" s="53">
        <v>-4301710.0060000001</v>
      </c>
      <c r="O219" s="53"/>
      <c r="P219" s="53"/>
      <c r="Q219" s="53"/>
      <c r="R219" s="53">
        <v>-4301710.0060000001</v>
      </c>
      <c r="S219" s="53">
        <v>119.9532921334699</v>
      </c>
      <c r="T219" s="86">
        <v>-35861.541850919471</v>
      </c>
      <c r="U219" s="53"/>
      <c r="W219" s="87">
        <v>43858.052674999999</v>
      </c>
    </row>
    <row r="220" spans="1:23" s="380" customFormat="1">
      <c r="A220" s="60">
        <v>2019200239</v>
      </c>
      <c r="B220" s="380">
        <v>43858</v>
      </c>
      <c r="C220" s="380" t="s">
        <v>133</v>
      </c>
      <c r="D220" s="380" t="s">
        <v>1139</v>
      </c>
      <c r="E220" s="380" t="s">
        <v>1190</v>
      </c>
      <c r="F220" s="380" t="s">
        <v>1230</v>
      </c>
      <c r="G220" s="380" t="s">
        <v>1590</v>
      </c>
      <c r="K220" s="53">
        <v>2094.9888900000001</v>
      </c>
      <c r="L220" s="53"/>
      <c r="M220" s="53">
        <v>900</v>
      </c>
      <c r="N220" s="53">
        <v>-1885490.0010000002</v>
      </c>
      <c r="O220" s="53"/>
      <c r="P220" s="53"/>
      <c r="Q220" s="53"/>
      <c r="R220" s="53">
        <v>-1885490.0010000002</v>
      </c>
      <c r="S220" s="53">
        <v>119.9532921334696</v>
      </c>
      <c r="T220" s="86">
        <v>-15718.534835226144</v>
      </c>
      <c r="U220" s="53"/>
      <c r="W220" s="87">
        <v>43858.059005439813</v>
      </c>
    </row>
    <row r="221" spans="1:23" s="380" customFormat="1">
      <c r="A221" s="60">
        <v>2019200240</v>
      </c>
      <c r="B221" s="380">
        <v>43858</v>
      </c>
      <c r="C221" s="380" t="s">
        <v>133</v>
      </c>
      <c r="D221" s="380" t="s">
        <v>1159</v>
      </c>
      <c r="E221" s="380" t="s">
        <v>1209</v>
      </c>
      <c r="F221" s="380" t="s">
        <v>1230</v>
      </c>
      <c r="G221" s="380" t="s">
        <v>1159</v>
      </c>
      <c r="K221" s="53">
        <v>93516.865699999995</v>
      </c>
      <c r="L221" s="53"/>
      <c r="M221" s="53">
        <v>670</v>
      </c>
      <c r="N221" s="53">
        <v>-62656300.018999994</v>
      </c>
      <c r="O221" s="53"/>
      <c r="P221" s="53"/>
      <c r="Q221" s="53"/>
      <c r="R221" s="53">
        <v>-62656300.018999994</v>
      </c>
      <c r="S221" s="53">
        <v>1291.4755584045265</v>
      </c>
      <c r="T221" s="86">
        <v>-48515.28130846304</v>
      </c>
      <c r="U221" s="53"/>
      <c r="W221" s="87">
        <v>43858.068090509259</v>
      </c>
    </row>
    <row r="222" spans="1:23" s="380" customFormat="1">
      <c r="A222" s="60">
        <v>2019200241</v>
      </c>
      <c r="B222" s="380">
        <v>43860</v>
      </c>
      <c r="C222" s="380" t="s">
        <v>133</v>
      </c>
      <c r="D222" s="380" t="s">
        <v>1139</v>
      </c>
      <c r="E222" s="380" t="s">
        <v>1190</v>
      </c>
      <c r="F222" s="380" t="s">
        <v>1230</v>
      </c>
      <c r="G222" s="380" t="s">
        <v>1590</v>
      </c>
      <c r="K222" s="53">
        <v>2077.4058799999998</v>
      </c>
      <c r="L222" s="53"/>
      <c r="M222" s="53">
        <v>1700</v>
      </c>
      <c r="N222" s="53">
        <v>-3531589.9959999998</v>
      </c>
      <c r="O222" s="53"/>
      <c r="P222" s="53"/>
      <c r="Q222" s="53"/>
      <c r="R222" s="53">
        <v>-3531589.9959999998</v>
      </c>
      <c r="S222" s="53">
        <v>119.98678923322522</v>
      </c>
      <c r="T222" s="86">
        <v>-29433.15692142945</v>
      </c>
      <c r="U222" s="53"/>
      <c r="W222" s="87">
        <v>43860.10386516204</v>
      </c>
    </row>
    <row r="223" spans="1:23" s="380" customFormat="1">
      <c r="A223" s="60">
        <v>2019200242</v>
      </c>
      <c r="B223" s="380">
        <v>43860</v>
      </c>
      <c r="C223" s="380" t="s">
        <v>133</v>
      </c>
      <c r="D223" s="380" t="s">
        <v>1647</v>
      </c>
      <c r="E223" s="380" t="s">
        <v>1654</v>
      </c>
      <c r="F223" s="380" t="s">
        <v>1230</v>
      </c>
      <c r="G223" s="380" t="s">
        <v>1647</v>
      </c>
      <c r="K223" s="53">
        <v>2.6088399999999998</v>
      </c>
      <c r="L223" s="53"/>
      <c r="M223" s="53">
        <v>22000</v>
      </c>
      <c r="N223" s="53">
        <v>-57394.479999999996</v>
      </c>
      <c r="O223" s="53"/>
      <c r="P223" s="53"/>
      <c r="Q223" s="53"/>
      <c r="R223" s="53">
        <v>-57394.479999999996</v>
      </c>
      <c r="S223" s="53">
        <v>1.6302306379699476</v>
      </c>
      <c r="T223" s="86">
        <v>-35206.355875798494</v>
      </c>
      <c r="U223" s="53"/>
      <c r="W223" s="87">
        <v>43860.104826157411</v>
      </c>
    </row>
    <row r="224" spans="1:23" s="380" customFormat="1">
      <c r="A224" s="60">
        <v>2019200243</v>
      </c>
      <c r="B224" s="380">
        <v>43860</v>
      </c>
      <c r="C224" s="380" t="s">
        <v>133</v>
      </c>
      <c r="D224" s="380" t="s">
        <v>1633</v>
      </c>
      <c r="E224" s="380" t="s">
        <v>1641</v>
      </c>
      <c r="F224" s="380" t="s">
        <v>1230</v>
      </c>
      <c r="G224" s="380" t="s">
        <v>1633</v>
      </c>
      <c r="K224" s="53">
        <v>11.138999999999999</v>
      </c>
      <c r="L224" s="53"/>
      <c r="M224" s="53">
        <v>4200</v>
      </c>
      <c r="N224" s="53">
        <v>-46783.799999999996</v>
      </c>
      <c r="O224" s="53"/>
      <c r="P224" s="53"/>
      <c r="Q224" s="53"/>
      <c r="R224" s="53">
        <v>-46783.799999999996</v>
      </c>
      <c r="S224" s="53">
        <v>1.1008972312434635</v>
      </c>
      <c r="T224" s="86">
        <v>-42496.064729999991</v>
      </c>
      <c r="U224" s="53"/>
      <c r="W224" s="87">
        <v>43860.68221053241</v>
      </c>
    </row>
    <row r="225" spans="1:23">
      <c r="A225" s="60">
        <v>2019200244</v>
      </c>
      <c r="B225" s="406">
        <v>43868</v>
      </c>
      <c r="C225" s="406" t="s">
        <v>134</v>
      </c>
      <c r="D225" s="406" t="s">
        <v>1158</v>
      </c>
      <c r="E225" s="406" t="s">
        <v>1208</v>
      </c>
      <c r="F225" s="406" t="s">
        <v>1230</v>
      </c>
      <c r="G225" s="406" t="s">
        <v>1158</v>
      </c>
      <c r="H225" s="406"/>
      <c r="I225" s="406"/>
      <c r="J225" s="406"/>
      <c r="K225" s="53">
        <v>156500</v>
      </c>
      <c r="M225" s="53">
        <v>-840</v>
      </c>
      <c r="N225" s="53">
        <v>131460000</v>
      </c>
      <c r="R225" s="53">
        <v>130934168</v>
      </c>
      <c r="S225" s="53">
        <v>1301.3834209426657</v>
      </c>
      <c r="T225" s="86">
        <v>100611.52300922734</v>
      </c>
      <c r="V225" s="338" t="s">
        <v>1184</v>
      </c>
      <c r="W225" s="252">
        <v>43867.857933101855</v>
      </c>
    </row>
    <row r="226" spans="1:23">
      <c r="A226" s="60">
        <v>2019200245</v>
      </c>
      <c r="B226" s="406">
        <v>43871</v>
      </c>
      <c r="C226" s="406" t="s">
        <v>134</v>
      </c>
      <c r="D226" s="406" t="s">
        <v>132</v>
      </c>
      <c r="E226" s="406" t="s">
        <v>1219</v>
      </c>
      <c r="F226" s="406"/>
      <c r="G226" s="406" t="s">
        <v>1170</v>
      </c>
      <c r="H226" s="406"/>
      <c r="I226" s="406"/>
      <c r="J226" s="406"/>
      <c r="K226" s="53">
        <v>21.685009999999998</v>
      </c>
      <c r="M226" s="53">
        <v>-2000</v>
      </c>
      <c r="N226" s="53">
        <v>43370.02</v>
      </c>
      <c r="R226" s="53">
        <v>43344</v>
      </c>
      <c r="S226" s="53">
        <v>1</v>
      </c>
      <c r="T226" s="86">
        <v>43344</v>
      </c>
      <c r="V226" s="338" t="s">
        <v>1656</v>
      </c>
      <c r="W226" s="252">
        <v>43871.51514826389</v>
      </c>
    </row>
    <row r="227" spans="1:23">
      <c r="A227" s="60">
        <v>2019200246</v>
      </c>
      <c r="B227" s="406">
        <v>43871</v>
      </c>
      <c r="C227" s="406" t="s">
        <v>133</v>
      </c>
      <c r="D227" s="406" t="s">
        <v>1168</v>
      </c>
      <c r="E227" s="406" t="s">
        <v>1217</v>
      </c>
      <c r="F227" s="406" t="s">
        <v>1230</v>
      </c>
      <c r="G227" s="406" t="s">
        <v>1168</v>
      </c>
      <c r="H227" s="406"/>
      <c r="I227" s="406"/>
      <c r="J227" s="406"/>
      <c r="K227" s="53">
        <v>26.95439</v>
      </c>
      <c r="M227" s="53">
        <v>2500</v>
      </c>
      <c r="N227" s="53">
        <v>-67385.975000000006</v>
      </c>
      <c r="R227" s="53">
        <v>-67628.565000000002</v>
      </c>
      <c r="S227" s="53">
        <v>1</v>
      </c>
      <c r="T227" s="86">
        <v>-67628.565000000002</v>
      </c>
      <c r="V227" s="338" t="s">
        <v>1656</v>
      </c>
      <c r="W227" s="252">
        <v>43871.524733101855</v>
      </c>
    </row>
    <row r="228" spans="1:23">
      <c r="A228" s="60">
        <v>2019200247</v>
      </c>
      <c r="B228" s="406">
        <v>43872</v>
      </c>
      <c r="C228" s="406" t="s">
        <v>133</v>
      </c>
      <c r="D228" s="406" t="s">
        <v>1647</v>
      </c>
      <c r="E228" s="406" t="s">
        <v>1654</v>
      </c>
      <c r="F228" s="406" t="s">
        <v>1230</v>
      </c>
      <c r="G228" s="406" t="s">
        <v>1647</v>
      </c>
      <c r="H228" s="406"/>
      <c r="I228" s="406"/>
      <c r="J228" s="406"/>
      <c r="K228" s="53">
        <v>2.5236999999999998</v>
      </c>
      <c r="M228" s="53">
        <v>22000</v>
      </c>
      <c r="N228" s="53">
        <v>-55521.399999999994</v>
      </c>
      <c r="R228" s="53">
        <v>-55554.709999999992</v>
      </c>
      <c r="S228" s="53">
        <v>1.6401300022980165</v>
      </c>
      <c r="T228" s="86">
        <v>-33872.138136709444</v>
      </c>
      <c r="V228" s="288" t="s">
        <v>1656</v>
      </c>
      <c r="W228" s="252">
        <v>43871.933359490744</v>
      </c>
    </row>
    <row r="229" spans="1:23">
      <c r="A229" s="60">
        <v>2019200248</v>
      </c>
      <c r="B229" s="406">
        <v>43872</v>
      </c>
      <c r="C229" s="406" t="s">
        <v>133</v>
      </c>
      <c r="D229" s="406" t="s">
        <v>1160</v>
      </c>
      <c r="E229" s="406" t="s">
        <v>1210</v>
      </c>
      <c r="F229" s="406" t="s">
        <v>1230</v>
      </c>
      <c r="G229" s="406" t="s">
        <v>1160</v>
      </c>
      <c r="H229" s="406"/>
      <c r="I229" s="406"/>
      <c r="J229" s="406"/>
      <c r="K229" s="53">
        <v>3418.7653</v>
      </c>
      <c r="M229" s="53">
        <v>17000</v>
      </c>
      <c r="N229" s="53">
        <v>-58119010.100000001</v>
      </c>
      <c r="R229" s="53">
        <v>-58206189.100000001</v>
      </c>
      <c r="S229" s="53">
        <v>1303.7326417386168</v>
      </c>
      <c r="T229" s="86">
        <v>-44645.801782164526</v>
      </c>
      <c r="V229" s="288" t="s">
        <v>1184</v>
      </c>
      <c r="W229" s="252">
        <v>43871.936795833331</v>
      </c>
    </row>
    <row r="230" spans="1:23">
      <c r="A230" s="60">
        <v>2019200249</v>
      </c>
      <c r="B230" s="406">
        <v>43872</v>
      </c>
      <c r="C230" s="406" t="s">
        <v>133</v>
      </c>
      <c r="D230" s="406" t="s">
        <v>1160</v>
      </c>
      <c r="E230" s="406" t="s">
        <v>1210</v>
      </c>
      <c r="F230" s="406" t="s">
        <v>1230</v>
      </c>
      <c r="G230" s="406" t="s">
        <v>1160</v>
      </c>
      <c r="H230" s="406"/>
      <c r="I230" s="406"/>
      <c r="J230" s="406"/>
      <c r="K230" s="53">
        <v>3390</v>
      </c>
      <c r="M230" s="53">
        <v>580</v>
      </c>
      <c r="N230" s="53">
        <v>-1966200</v>
      </c>
      <c r="R230" s="53">
        <v>-1969149</v>
      </c>
      <c r="S230" s="53">
        <v>1303.7326417386168</v>
      </c>
      <c r="T230" s="86">
        <v>-1510.393263893435</v>
      </c>
      <c r="V230" s="288" t="s">
        <v>1184</v>
      </c>
      <c r="W230" s="252">
        <v>43871.936805555553</v>
      </c>
    </row>
    <row r="231" spans="1:23">
      <c r="A231" s="60">
        <v>2019200250</v>
      </c>
      <c r="B231" s="406">
        <v>43872</v>
      </c>
      <c r="C231" s="406" t="s">
        <v>133</v>
      </c>
      <c r="D231" s="406" t="s">
        <v>1169</v>
      </c>
      <c r="E231" s="406" t="s">
        <v>1218</v>
      </c>
      <c r="F231" s="406" t="s">
        <v>1230</v>
      </c>
      <c r="G231" s="406" t="s">
        <v>1169</v>
      </c>
      <c r="H231" s="406"/>
      <c r="I231" s="406"/>
      <c r="J231" s="406"/>
      <c r="K231" s="53">
        <v>103.9361</v>
      </c>
      <c r="M231" s="53">
        <v>420</v>
      </c>
      <c r="N231" s="53">
        <v>-43653.161999999997</v>
      </c>
      <c r="R231" s="53">
        <v>-43679.351999999999</v>
      </c>
      <c r="S231" s="53">
        <v>1</v>
      </c>
      <c r="T231" s="86">
        <v>-43679.351999999999</v>
      </c>
      <c r="V231" s="288" t="s">
        <v>1656</v>
      </c>
      <c r="W231" s="252">
        <v>43872.698958564812</v>
      </c>
    </row>
    <row r="232" spans="1:23">
      <c r="A232" s="60">
        <v>2019200251</v>
      </c>
      <c r="B232" s="406">
        <v>43873</v>
      </c>
      <c r="C232" s="406" t="s">
        <v>134</v>
      </c>
      <c r="D232" s="406" t="s">
        <v>1158</v>
      </c>
      <c r="E232" s="406" t="s">
        <v>1208</v>
      </c>
      <c r="F232" s="406" t="s">
        <v>1230</v>
      </c>
      <c r="G232" s="406" t="s">
        <v>1158</v>
      </c>
      <c r="H232" s="406"/>
      <c r="I232" s="406"/>
      <c r="J232" s="406"/>
      <c r="K232" s="53">
        <v>182000</v>
      </c>
      <c r="M232" s="53">
        <v>-321</v>
      </c>
      <c r="N232" s="53">
        <v>58422000</v>
      </c>
      <c r="R232" s="53">
        <v>58188312</v>
      </c>
      <c r="S232" s="53">
        <v>1289.222373806271</v>
      </c>
      <c r="T232" s="86">
        <v>45134.426133333494</v>
      </c>
      <c r="V232" s="288" t="s">
        <v>1657</v>
      </c>
      <c r="W232" s="252">
        <v>43873.040099652775</v>
      </c>
    </row>
    <row r="233" spans="1:23">
      <c r="A233" s="60">
        <v>2019200252</v>
      </c>
      <c r="B233" s="406">
        <v>43873</v>
      </c>
      <c r="C233" s="406" t="s">
        <v>133</v>
      </c>
      <c r="D233" s="406" t="s">
        <v>1616</v>
      </c>
      <c r="E233" s="406" t="s">
        <v>1617</v>
      </c>
      <c r="F233" s="406" t="s">
        <v>1230</v>
      </c>
      <c r="G233" s="406" t="s">
        <v>1616</v>
      </c>
      <c r="H233" s="406"/>
      <c r="I233" s="406"/>
      <c r="J233" s="406"/>
      <c r="K233" s="53">
        <v>1026.25</v>
      </c>
      <c r="M233" s="53">
        <v>1200</v>
      </c>
      <c r="N233" s="53">
        <v>-1231500</v>
      </c>
      <c r="R233" s="53">
        <v>-1232239</v>
      </c>
      <c r="S233" s="53">
        <v>119.80354706684855</v>
      </c>
      <c r="T233" s="86">
        <v>-10285.496800127541</v>
      </c>
      <c r="V233" s="288" t="s">
        <v>1656</v>
      </c>
      <c r="W233" s="252">
        <v>43873.483091203707</v>
      </c>
    </row>
    <row r="234" spans="1:23">
      <c r="A234" s="60">
        <v>2019200253</v>
      </c>
      <c r="B234" s="406">
        <v>43873</v>
      </c>
      <c r="C234" s="406" t="s">
        <v>133</v>
      </c>
      <c r="D234" s="406" t="s">
        <v>1594</v>
      </c>
      <c r="E234" s="406" t="s">
        <v>1614</v>
      </c>
      <c r="F234" s="406" t="s">
        <v>1230</v>
      </c>
      <c r="G234" s="406" t="s">
        <v>2034</v>
      </c>
      <c r="H234" s="406"/>
      <c r="I234" s="406"/>
      <c r="J234" s="406"/>
      <c r="K234" s="53">
        <v>1070</v>
      </c>
      <c r="M234" s="53">
        <v>6700</v>
      </c>
      <c r="N234" s="53">
        <v>-7169000</v>
      </c>
      <c r="R234" s="53">
        <v>-7173301</v>
      </c>
      <c r="S234" s="53">
        <v>119.80354706684852</v>
      </c>
      <c r="T234" s="86">
        <v>-59875.531030791681</v>
      </c>
      <c r="V234" s="288" t="s">
        <v>1656</v>
      </c>
      <c r="W234" s="252">
        <v>43873.48372384259</v>
      </c>
    </row>
    <row r="235" spans="1:23">
      <c r="A235" s="60">
        <v>2019200254</v>
      </c>
      <c r="B235" s="406">
        <v>43874</v>
      </c>
      <c r="C235" s="406" t="s">
        <v>133</v>
      </c>
      <c r="D235" s="406" t="s">
        <v>1616</v>
      </c>
      <c r="E235" s="406" t="s">
        <v>1617</v>
      </c>
      <c r="F235" s="406" t="s">
        <v>1230</v>
      </c>
      <c r="G235" s="406" t="s">
        <v>1616</v>
      </c>
      <c r="H235" s="406"/>
      <c r="I235" s="406"/>
      <c r="J235" s="406"/>
      <c r="K235" s="53">
        <v>1014.2381</v>
      </c>
      <c r="M235" s="53">
        <v>2100</v>
      </c>
      <c r="N235" s="53">
        <v>-2129900.0100000002</v>
      </c>
      <c r="R235" s="53">
        <v>-2131178.0100000002</v>
      </c>
      <c r="S235" s="53">
        <v>119.80354706684855</v>
      </c>
      <c r="T235" s="86">
        <v>-17788.939160631326</v>
      </c>
      <c r="V235" s="288" t="s">
        <v>1656</v>
      </c>
      <c r="W235" s="252">
        <v>43873.833059027776</v>
      </c>
    </row>
    <row r="236" spans="1:23">
      <c r="A236" s="60">
        <v>2019200255</v>
      </c>
      <c r="B236" s="406">
        <v>43875</v>
      </c>
      <c r="C236" s="406" t="s">
        <v>133</v>
      </c>
      <c r="D236" s="406" t="s">
        <v>1616</v>
      </c>
      <c r="E236" s="406" t="s">
        <v>1617</v>
      </c>
      <c r="F236" s="406" t="s">
        <v>1230</v>
      </c>
      <c r="G236" s="406" t="s">
        <v>1616</v>
      </c>
      <c r="H236" s="406"/>
      <c r="I236" s="406"/>
      <c r="J236" s="406"/>
      <c r="K236" s="53">
        <v>991.44047999999998</v>
      </c>
      <c r="M236" s="53">
        <v>4200</v>
      </c>
      <c r="N236" s="53">
        <v>-4164050.0159999998</v>
      </c>
      <c r="R236" s="53">
        <v>-4166548.0159999998</v>
      </c>
      <c r="S236" s="53">
        <v>119.66778275427232</v>
      </c>
      <c r="T236" s="86">
        <v>-34817.625263063943</v>
      </c>
      <c r="V236" s="288" t="s">
        <v>1656</v>
      </c>
      <c r="W236" s="252">
        <v>43874.895068518519</v>
      </c>
    </row>
    <row r="237" spans="1:23">
      <c r="A237" s="60">
        <v>2019200256</v>
      </c>
      <c r="B237" s="406">
        <v>43881</v>
      </c>
      <c r="C237" s="406" t="s">
        <v>133</v>
      </c>
      <c r="D237" s="406" t="s">
        <v>1166</v>
      </c>
      <c r="E237" s="406" t="s">
        <v>1215</v>
      </c>
      <c r="F237" s="406" t="s">
        <v>1230</v>
      </c>
      <c r="G237" s="406" t="s">
        <v>1166</v>
      </c>
      <c r="H237" s="406"/>
      <c r="I237" s="406"/>
      <c r="J237" s="406"/>
      <c r="K237" s="53">
        <v>32.887500000000003</v>
      </c>
      <c r="M237" s="53">
        <v>1300</v>
      </c>
      <c r="N237" s="53">
        <v>-42753.750000000007</v>
      </c>
      <c r="R237" s="53">
        <v>-42907.660000000011</v>
      </c>
      <c r="S237" s="53">
        <v>1</v>
      </c>
      <c r="T237" s="86">
        <v>-42907.660000000011</v>
      </c>
      <c r="V237" s="288" t="s">
        <v>1656</v>
      </c>
      <c r="W237" s="252">
        <v>43881.536782523151</v>
      </c>
    </row>
    <row r="238" spans="1:23">
      <c r="A238" s="60">
        <v>2019200257</v>
      </c>
      <c r="B238" s="406">
        <v>43885</v>
      </c>
      <c r="C238" s="406" t="s">
        <v>133</v>
      </c>
      <c r="D238" s="406" t="s">
        <v>1648</v>
      </c>
      <c r="E238" s="406" t="s">
        <v>1635</v>
      </c>
      <c r="F238" s="406" t="s">
        <v>1230</v>
      </c>
      <c r="G238" s="406" t="s">
        <v>1648</v>
      </c>
      <c r="H238" s="406"/>
      <c r="I238" s="406"/>
      <c r="J238" s="406"/>
      <c r="K238" s="53">
        <v>158.07650000000001</v>
      </c>
      <c r="M238" s="53">
        <v>400</v>
      </c>
      <c r="N238" s="53">
        <v>-63230.600000000006</v>
      </c>
      <c r="R238" s="53">
        <v>-63262.220000000008</v>
      </c>
      <c r="S238" s="53">
        <v>1</v>
      </c>
      <c r="T238" s="86">
        <v>-63262.220000000008</v>
      </c>
      <c r="V238" s="288" t="s">
        <v>1072</v>
      </c>
      <c r="W238" s="252">
        <v>43885.53717476852</v>
      </c>
    </row>
    <row r="239" spans="1:23">
      <c r="A239" s="60">
        <v>2019200258</v>
      </c>
      <c r="B239" s="406">
        <v>43885</v>
      </c>
      <c r="C239" s="406" t="s">
        <v>133</v>
      </c>
      <c r="D239" s="406" t="s">
        <v>1168</v>
      </c>
      <c r="E239" s="406" t="s">
        <v>1217</v>
      </c>
      <c r="F239" s="406" t="s">
        <v>1230</v>
      </c>
      <c r="G239" s="406" t="s">
        <v>1168</v>
      </c>
      <c r="H239" s="406"/>
      <c r="I239" s="406"/>
      <c r="J239" s="406"/>
      <c r="K239" s="53">
        <v>25.2135</v>
      </c>
      <c r="M239" s="53">
        <v>1300</v>
      </c>
      <c r="N239" s="53">
        <v>-32777.550000000003</v>
      </c>
      <c r="R239" s="53">
        <v>-32892.270000000004</v>
      </c>
      <c r="S239" s="53">
        <v>1</v>
      </c>
      <c r="T239" s="86">
        <v>-32892.270000000004</v>
      </c>
      <c r="V239" s="288" t="s">
        <v>1072</v>
      </c>
      <c r="W239" s="252">
        <v>43885.54159872685</v>
      </c>
    </row>
    <row r="240" spans="1:23">
      <c r="A240" s="60">
        <v>2019200259</v>
      </c>
      <c r="B240" s="406">
        <v>43886</v>
      </c>
      <c r="C240" s="406" t="s">
        <v>133</v>
      </c>
      <c r="D240" s="406" t="s">
        <v>1582</v>
      </c>
      <c r="E240" s="406" t="s">
        <v>1609</v>
      </c>
      <c r="F240" s="406" t="s">
        <v>1230</v>
      </c>
      <c r="G240" s="406" t="s">
        <v>1582</v>
      </c>
      <c r="H240" s="406"/>
      <c r="I240" s="406"/>
      <c r="J240" s="406"/>
      <c r="K240" s="53">
        <v>12.64432</v>
      </c>
      <c r="M240" s="53">
        <v>2200</v>
      </c>
      <c r="N240" s="53">
        <v>-27817.504000000001</v>
      </c>
      <c r="R240" s="53">
        <v>-27831.414000000001</v>
      </c>
      <c r="S240" s="53">
        <v>1.0851989712313752</v>
      </c>
      <c r="T240" s="86">
        <v>-25646.369686860002</v>
      </c>
      <c r="V240" s="288" t="s">
        <v>1656</v>
      </c>
      <c r="W240" s="252">
        <v>43886.823459490741</v>
      </c>
    </row>
    <row r="241" spans="1:23">
      <c r="A241" s="60">
        <v>2019200260</v>
      </c>
      <c r="B241" s="406">
        <v>43888</v>
      </c>
      <c r="C241" s="406" t="s">
        <v>133</v>
      </c>
      <c r="D241" s="406" t="s">
        <v>1582</v>
      </c>
      <c r="E241" s="406" t="s">
        <v>1609</v>
      </c>
      <c r="F241" s="406" t="s">
        <v>1230</v>
      </c>
      <c r="G241" s="406" t="s">
        <v>1582</v>
      </c>
      <c r="H241" s="406"/>
      <c r="I241" s="406"/>
      <c r="J241" s="406"/>
      <c r="K241" s="53">
        <v>9.99512</v>
      </c>
      <c r="M241" s="53">
        <v>4200</v>
      </c>
      <c r="N241" s="53">
        <v>-41979.504000000001</v>
      </c>
      <c r="R241" s="53">
        <v>-42000.493999999999</v>
      </c>
      <c r="S241" s="53">
        <v>1.0879025239338556</v>
      </c>
      <c r="T241" s="86">
        <v>-38606.854084799998</v>
      </c>
      <c r="V241" s="288" t="s">
        <v>1656</v>
      </c>
      <c r="W241" s="252">
        <v>43888.868312037041</v>
      </c>
    </row>
    <row r="242" spans="1:23">
      <c r="A242" s="60">
        <v>2019200261</v>
      </c>
      <c r="B242" s="406">
        <v>43889</v>
      </c>
      <c r="C242" s="406" t="s">
        <v>133</v>
      </c>
      <c r="D242" s="406" t="s">
        <v>1648</v>
      </c>
      <c r="E242" s="406" t="s">
        <v>1635</v>
      </c>
      <c r="F242" s="406" t="s">
        <v>1230</v>
      </c>
      <c r="G242" s="406" t="s">
        <v>1648</v>
      </c>
      <c r="H242" s="406"/>
      <c r="I242" s="406"/>
      <c r="J242" s="406"/>
      <c r="K242" s="53">
        <v>143.66499999999999</v>
      </c>
      <c r="M242" s="53">
        <v>370</v>
      </c>
      <c r="N242" s="53">
        <v>-53156.049999999996</v>
      </c>
      <c r="R242" s="53">
        <v>-53182.63</v>
      </c>
      <c r="S242" s="53">
        <v>1</v>
      </c>
      <c r="T242" s="86">
        <v>-53182.63</v>
      </c>
      <c r="V242" s="288" t="s">
        <v>1072</v>
      </c>
      <c r="W242" s="252">
        <v>43889.457901504633</v>
      </c>
    </row>
    <row r="243" spans="1:23">
      <c r="A243" s="60">
        <v>2019200262</v>
      </c>
      <c r="B243" s="406">
        <v>43889</v>
      </c>
      <c r="C243" s="406" t="s">
        <v>133</v>
      </c>
      <c r="D243" s="406" t="s">
        <v>1173</v>
      </c>
      <c r="E243" s="406" t="s">
        <v>1222</v>
      </c>
      <c r="F243" s="406" t="s">
        <v>1230</v>
      </c>
      <c r="G243" s="406" t="s">
        <v>1173</v>
      </c>
      <c r="H243" s="406"/>
      <c r="I243" s="406"/>
      <c r="J243" s="406"/>
      <c r="K243" s="53">
        <v>26.145900000000001</v>
      </c>
      <c r="M243" s="53">
        <v>2000</v>
      </c>
      <c r="N243" s="53">
        <v>-52291.8</v>
      </c>
      <c r="R243" s="53">
        <v>-52474.83</v>
      </c>
      <c r="S243" s="53">
        <v>1</v>
      </c>
      <c r="T243" s="86">
        <v>-52474.83</v>
      </c>
      <c r="V243" s="288" t="s">
        <v>1072</v>
      </c>
      <c r="W243" s="252">
        <v>43889.459537615738</v>
      </c>
    </row>
    <row r="244" spans="1:23">
      <c r="A244" s="60">
        <v>2019200263</v>
      </c>
      <c r="B244" s="406">
        <v>43889</v>
      </c>
      <c r="C244" s="406" t="s">
        <v>134</v>
      </c>
      <c r="D244" s="406" t="s">
        <v>132</v>
      </c>
      <c r="E244" s="406" t="s">
        <v>1612</v>
      </c>
      <c r="F244" s="406"/>
      <c r="G244" s="406" t="s">
        <v>2037</v>
      </c>
      <c r="H244" s="406"/>
      <c r="I244" s="406"/>
      <c r="J244" s="406"/>
      <c r="K244" s="53">
        <v>57.8249</v>
      </c>
      <c r="M244" s="53">
        <v>-1000</v>
      </c>
      <c r="N244" s="53">
        <v>57824.9</v>
      </c>
      <c r="R244" s="53">
        <v>57795.99</v>
      </c>
      <c r="S244" s="53">
        <v>1</v>
      </c>
      <c r="T244" s="86">
        <v>57795.99</v>
      </c>
      <c r="V244" s="288" t="s">
        <v>1072</v>
      </c>
      <c r="W244" s="252">
        <v>43889.466879282409</v>
      </c>
    </row>
    <row r="245" spans="1:23">
      <c r="A245" s="60">
        <v>2019200264</v>
      </c>
      <c r="B245" s="406">
        <v>43894</v>
      </c>
      <c r="C245" s="406" t="s">
        <v>133</v>
      </c>
      <c r="D245" s="406" t="s">
        <v>1647</v>
      </c>
      <c r="E245" s="406" t="s">
        <v>1654</v>
      </c>
      <c r="F245" s="406" t="s">
        <v>1230</v>
      </c>
      <c r="G245" s="406" t="s">
        <v>1647</v>
      </c>
      <c r="H245" s="406"/>
      <c r="I245" s="406"/>
      <c r="J245" s="406"/>
      <c r="K245" s="53">
        <v>2.4169200000000002</v>
      </c>
      <c r="M245" s="53">
        <v>17000</v>
      </c>
      <c r="N245" s="53">
        <v>-41087.64</v>
      </c>
      <c r="R245" s="53">
        <v>-41112.29</v>
      </c>
      <c r="S245" s="53">
        <v>1.6972005630152565</v>
      </c>
      <c r="T245" s="86">
        <v>-24223.589654577809</v>
      </c>
      <c r="V245" s="288" t="s">
        <v>1656</v>
      </c>
      <c r="W245" s="252">
        <v>43894.432877546293</v>
      </c>
    </row>
    <row r="246" spans="1:23">
      <c r="A246" s="60">
        <v>2019200265</v>
      </c>
      <c r="B246" s="406">
        <v>43894</v>
      </c>
      <c r="C246" s="406" t="s">
        <v>133</v>
      </c>
      <c r="D246" s="406" t="s">
        <v>1135</v>
      </c>
      <c r="E246" s="406" t="s">
        <v>1187</v>
      </c>
      <c r="F246" s="406" t="s">
        <v>1230</v>
      </c>
      <c r="G246" s="406" t="s">
        <v>2028</v>
      </c>
      <c r="H246" s="406"/>
      <c r="I246" s="406"/>
      <c r="J246" s="406"/>
      <c r="K246" s="53">
        <v>2625</v>
      </c>
      <c r="M246" s="53">
        <v>4200</v>
      </c>
      <c r="N246" s="53">
        <v>-11025000</v>
      </c>
      <c r="R246" s="53">
        <v>-11031615</v>
      </c>
      <c r="S246" s="53">
        <v>119.66308451931455</v>
      </c>
      <c r="T246" s="86">
        <v>-92188.957390776704</v>
      </c>
      <c r="V246" s="288" t="s">
        <v>1656</v>
      </c>
      <c r="W246" s="252">
        <v>43894.47167071759</v>
      </c>
    </row>
    <row r="247" spans="1:23">
      <c r="A247" s="60">
        <v>2019200266</v>
      </c>
      <c r="B247" s="406">
        <v>43899</v>
      </c>
      <c r="C247" s="406" t="s">
        <v>134</v>
      </c>
      <c r="D247" s="406" t="s">
        <v>132</v>
      </c>
      <c r="E247" s="406" t="s">
        <v>1207</v>
      </c>
      <c r="F247" s="406"/>
      <c r="G247" s="406" t="s">
        <v>1157</v>
      </c>
      <c r="H247" s="406"/>
      <c r="I247" s="406"/>
      <c r="J247" s="406"/>
      <c r="K247" s="53">
        <v>289000</v>
      </c>
      <c r="M247" s="53">
        <v>-400</v>
      </c>
      <c r="N247" s="53">
        <v>115600000</v>
      </c>
      <c r="R247" s="53">
        <v>115137600</v>
      </c>
      <c r="S247" s="53">
        <v>1374</v>
      </c>
      <c r="T247" s="86">
        <v>83797.37991266376</v>
      </c>
      <c r="V247" s="288" t="s">
        <v>1184</v>
      </c>
      <c r="W247" s="252">
        <v>43899.970605787035</v>
      </c>
    </row>
    <row r="248" spans="1:23">
      <c r="A248" s="60">
        <v>2019200267</v>
      </c>
      <c r="B248" s="406">
        <v>43915</v>
      </c>
      <c r="C248" s="406" t="s">
        <v>133</v>
      </c>
      <c r="D248" s="406" t="s">
        <v>1621</v>
      </c>
      <c r="E248" s="406" t="s">
        <v>1631</v>
      </c>
      <c r="F248" s="406" t="s">
        <v>1230</v>
      </c>
      <c r="G248" s="406" t="s">
        <v>1621</v>
      </c>
      <c r="H248" s="406"/>
      <c r="I248" s="406"/>
      <c r="J248" s="406"/>
      <c r="K248" s="53">
        <v>24.22437</v>
      </c>
      <c r="M248" s="53">
        <v>1970</v>
      </c>
      <c r="N248" s="53">
        <v>-47722.008900000001</v>
      </c>
      <c r="R248" s="53">
        <v>-47750.638899999998</v>
      </c>
      <c r="S248" s="53">
        <v>1.0787021056265103</v>
      </c>
      <c r="T248" s="86">
        <v>-44266.752285855997</v>
      </c>
      <c r="V248" s="288" t="s">
        <v>1656</v>
      </c>
      <c r="W248" s="252">
        <v>43915.548448379632</v>
      </c>
    </row>
    <row r="249" spans="1:23">
      <c r="A249" s="60">
        <v>2019200268</v>
      </c>
      <c r="B249" s="406">
        <v>43931</v>
      </c>
      <c r="C249" s="406" t="s">
        <v>133</v>
      </c>
      <c r="D249" s="406" t="s">
        <v>1594</v>
      </c>
      <c r="E249" s="406" t="s">
        <v>1614</v>
      </c>
      <c r="F249" s="406" t="s">
        <v>1230</v>
      </c>
      <c r="G249" s="406" t="s">
        <v>2034</v>
      </c>
      <c r="H249" s="406"/>
      <c r="I249" s="406"/>
      <c r="J249" s="406"/>
      <c r="K249" s="53">
        <v>718.54055000000005</v>
      </c>
      <c r="M249" s="53">
        <v>6700</v>
      </c>
      <c r="N249" s="53">
        <v>-4814221.6850000005</v>
      </c>
      <c r="R249" s="53">
        <v>-4815665.6850000005</v>
      </c>
      <c r="S249" s="53">
        <v>118.51479522706417</v>
      </c>
      <c r="T249" s="86">
        <v>-40633.455728237124</v>
      </c>
      <c r="V249" s="288" t="s">
        <v>1656</v>
      </c>
      <c r="W249" s="252">
        <v>43931.081108217593</v>
      </c>
    </row>
    <row r="250" spans="1:23">
      <c r="A250" s="60">
        <v>2019200269</v>
      </c>
      <c r="B250" s="406">
        <v>43949</v>
      </c>
      <c r="C250" s="406" t="s">
        <v>133</v>
      </c>
      <c r="D250" s="406" t="s">
        <v>1163</v>
      </c>
      <c r="E250" s="406" t="s">
        <v>1227</v>
      </c>
      <c r="F250" s="406" t="s">
        <v>1230</v>
      </c>
      <c r="G250" s="406" t="s">
        <v>1163</v>
      </c>
      <c r="H250" s="406"/>
      <c r="I250" s="406"/>
      <c r="J250" s="406"/>
      <c r="K250" s="53">
        <v>0.23427999999999999</v>
      </c>
      <c r="M250" s="53">
        <v>220000</v>
      </c>
      <c r="N250" s="53">
        <v>-51541.599999999999</v>
      </c>
      <c r="R250" s="53">
        <v>-51572.53</v>
      </c>
      <c r="S250" s="53">
        <v>1.6751269585178588</v>
      </c>
      <c r="T250" s="86">
        <v>-30787.236595864371</v>
      </c>
      <c r="V250" s="288" t="s">
        <v>1656</v>
      </c>
      <c r="W250" s="407">
        <v>43949.490571296294</v>
      </c>
    </row>
    <row r="251" spans="1:23">
      <c r="A251" s="60">
        <v>2019200270</v>
      </c>
      <c r="B251" s="406">
        <v>43971</v>
      </c>
      <c r="C251" s="406" t="s">
        <v>133</v>
      </c>
      <c r="D251" s="406" t="s">
        <v>1647</v>
      </c>
      <c r="E251" s="406" t="s">
        <v>1654</v>
      </c>
      <c r="F251" s="406" t="s">
        <v>1230</v>
      </c>
      <c r="G251" s="406" t="s">
        <v>1647</v>
      </c>
      <c r="H251" s="406"/>
      <c r="I251" s="406"/>
      <c r="J251" s="406"/>
      <c r="K251" s="53">
        <v>2.2915899999999998</v>
      </c>
      <c r="M251" s="53">
        <v>42000</v>
      </c>
      <c r="N251" s="53">
        <v>-96246.779999999984</v>
      </c>
      <c r="R251" s="53">
        <v>-96304.529999999984</v>
      </c>
      <c r="S251" s="53">
        <v>1.6708967204342142</v>
      </c>
      <c r="T251" s="86">
        <v>-57636.43486892082</v>
      </c>
      <c r="V251" s="288" t="s">
        <v>1656</v>
      </c>
      <c r="W251" s="407">
        <v>43971.130711805556</v>
      </c>
    </row>
    <row r="252" spans="1:23">
      <c r="A252" s="60">
        <v>2019200271</v>
      </c>
      <c r="B252" s="406">
        <v>43971</v>
      </c>
      <c r="C252" s="406" t="s">
        <v>134</v>
      </c>
      <c r="D252" s="406" t="s">
        <v>1158</v>
      </c>
      <c r="E252" s="406" t="s">
        <v>1208</v>
      </c>
      <c r="F252" s="406" t="s">
        <v>1230</v>
      </c>
      <c r="G252" s="406" t="s">
        <v>1158</v>
      </c>
      <c r="H252" s="406"/>
      <c r="I252" s="406"/>
      <c r="J252" s="406"/>
      <c r="K252" s="53">
        <v>168690</v>
      </c>
      <c r="M252" s="53">
        <v>-400</v>
      </c>
      <c r="N252" s="53">
        <v>67476000</v>
      </c>
      <c r="R252" s="53">
        <v>67206133</v>
      </c>
      <c r="S252" s="53">
        <v>1374</v>
      </c>
      <c r="T252" s="86">
        <v>48912.760553129548</v>
      </c>
      <c r="V252" s="288" t="s">
        <v>1184</v>
      </c>
      <c r="W252" s="407">
        <v>43971.132098842594</v>
      </c>
    </row>
    <row r="253" spans="1:23">
      <c r="A253" s="60">
        <v>2019200272</v>
      </c>
      <c r="B253" s="406">
        <v>43973</v>
      </c>
      <c r="C253" s="406" t="s">
        <v>133</v>
      </c>
      <c r="D253" s="406" t="s">
        <v>1647</v>
      </c>
      <c r="E253" s="406" t="s">
        <v>1654</v>
      </c>
      <c r="F253" s="406" t="s">
        <v>1230</v>
      </c>
      <c r="G253" s="406" t="s">
        <v>1647</v>
      </c>
      <c r="H253" s="406"/>
      <c r="I253" s="406"/>
      <c r="J253" s="406"/>
      <c r="K253" s="53">
        <v>2.2707000000000002</v>
      </c>
      <c r="M253" s="53">
        <v>22000</v>
      </c>
      <c r="N253" s="53">
        <v>-49955.4</v>
      </c>
      <c r="R253" s="53">
        <v>-49985.37</v>
      </c>
      <c r="S253" s="53">
        <v>1.6680279855035984</v>
      </c>
      <c r="T253" s="86">
        <v>-29966.745422984492</v>
      </c>
      <c r="V253" s="288" t="s">
        <v>1656</v>
      </c>
      <c r="W253" s="407">
        <v>43972.996930208334</v>
      </c>
    </row>
    <row r="254" spans="1:23">
      <c r="A254" s="60">
        <v>2019200273</v>
      </c>
      <c r="B254" s="406">
        <v>43973</v>
      </c>
      <c r="C254" s="406" t="s">
        <v>133</v>
      </c>
      <c r="D254" s="406" t="s">
        <v>1163</v>
      </c>
      <c r="E254" s="406" t="s">
        <v>1227</v>
      </c>
      <c r="F254" s="406" t="s">
        <v>1230</v>
      </c>
      <c r="G254" s="406" t="s">
        <v>1163</v>
      </c>
      <c r="H254" s="406"/>
      <c r="I254" s="406"/>
      <c r="J254" s="406"/>
      <c r="K254" s="53">
        <v>0.30391000000000001</v>
      </c>
      <c r="M254" s="53">
        <v>260000</v>
      </c>
      <c r="N254" s="53">
        <v>-79016.600000000006</v>
      </c>
      <c r="R254" s="53">
        <v>-79064.010000000009</v>
      </c>
      <c r="S254" s="53">
        <v>1.6680279855035978</v>
      </c>
      <c r="T254" s="86">
        <v>-47399.69034520103</v>
      </c>
      <c r="V254" s="288" t="s">
        <v>1656</v>
      </c>
      <c r="W254" s="407">
        <v>43972.998083217593</v>
      </c>
    </row>
    <row r="255" spans="1:23">
      <c r="A255" s="60">
        <v>2019200274</v>
      </c>
      <c r="B255" s="406">
        <v>43979</v>
      </c>
      <c r="C255" s="406" t="s">
        <v>133</v>
      </c>
      <c r="D255" s="406" t="s">
        <v>1071</v>
      </c>
      <c r="E255" s="406" t="s">
        <v>1186</v>
      </c>
      <c r="F255" s="406" t="s">
        <v>1230</v>
      </c>
      <c r="G255" s="406" t="s">
        <v>1134</v>
      </c>
      <c r="H255" s="406"/>
      <c r="I255" s="406"/>
      <c r="J255" s="406"/>
      <c r="K255" s="53">
        <v>961.1</v>
      </c>
      <c r="M255" s="53">
        <v>11000</v>
      </c>
      <c r="N255" s="53">
        <v>-10572100</v>
      </c>
      <c r="R255" s="53">
        <v>-10578443</v>
      </c>
      <c r="S255" s="53">
        <v>118.51370978390042</v>
      </c>
      <c r="T255" s="86">
        <v>-89259.2343897502</v>
      </c>
      <c r="V255" s="288" t="s">
        <v>1656</v>
      </c>
      <c r="W255" s="407">
        <v>43979.856964583334</v>
      </c>
    </row>
    <row r="256" spans="1:23">
      <c r="A256" s="60">
        <v>2019200275</v>
      </c>
      <c r="B256" s="406">
        <v>43979</v>
      </c>
      <c r="C256" s="406" t="s">
        <v>134</v>
      </c>
      <c r="D256" s="406" t="s">
        <v>1150</v>
      </c>
      <c r="E256" s="406" t="s">
        <v>1201</v>
      </c>
      <c r="F256" s="406" t="s">
        <v>1230</v>
      </c>
      <c r="G256" s="406" t="s">
        <v>1150</v>
      </c>
      <c r="H256" s="406"/>
      <c r="I256" s="406"/>
      <c r="J256" s="406"/>
      <c r="K256" s="53">
        <v>1600</v>
      </c>
      <c r="M256" s="53">
        <v>-4000</v>
      </c>
      <c r="N256" s="53">
        <v>6400000</v>
      </c>
      <c r="R256" s="53">
        <v>6396160</v>
      </c>
      <c r="S256" s="53">
        <v>118.51370978390042</v>
      </c>
      <c r="T256" s="86">
        <v>53969.789753968958</v>
      </c>
      <c r="V256" s="288" t="s">
        <v>1656</v>
      </c>
      <c r="W256" s="407">
        <v>43979.859993865743</v>
      </c>
    </row>
    <row r="257" spans="1:22">
      <c r="A257" s="377">
        <v>2019200276</v>
      </c>
      <c r="B257" s="26">
        <v>43985</v>
      </c>
      <c r="C257" s="26" t="s">
        <v>133</v>
      </c>
      <c r="D257" s="26" t="s">
        <v>1651</v>
      </c>
      <c r="E257" s="26" t="s">
        <v>1249</v>
      </c>
      <c r="F257" s="26" t="s">
        <v>1230</v>
      </c>
      <c r="G257" s="26" t="s">
        <v>1651</v>
      </c>
      <c r="I257" s="26" t="s">
        <v>1249</v>
      </c>
      <c r="J257" s="26" t="s">
        <v>1249</v>
      </c>
      <c r="K257" s="53">
        <v>0.14000000000000001</v>
      </c>
      <c r="M257" s="53">
        <v>67000</v>
      </c>
      <c r="N257" s="53">
        <v>-9380</v>
      </c>
      <c r="R257" s="53">
        <v>-9380</v>
      </c>
      <c r="S257" s="289">
        <v>1.5095949074074073</v>
      </c>
      <c r="T257" s="53">
        <v>-6213.5907073098815</v>
      </c>
      <c r="V257" s="26" t="s">
        <v>1656</v>
      </c>
    </row>
    <row r="258" spans="1:22">
      <c r="A258" s="377">
        <v>2019200277</v>
      </c>
      <c r="B258" s="26">
        <v>43986</v>
      </c>
      <c r="C258" s="26" t="s">
        <v>133</v>
      </c>
      <c r="D258" s="26" t="s">
        <v>1581</v>
      </c>
      <c r="E258" s="26" t="s">
        <v>1249</v>
      </c>
      <c r="F258" s="26" t="s">
        <v>1230</v>
      </c>
      <c r="G258" s="26" t="s">
        <v>1581</v>
      </c>
      <c r="I258" s="26" t="s">
        <v>1249</v>
      </c>
      <c r="J258" s="26" t="s">
        <v>1249</v>
      </c>
      <c r="K258" s="53">
        <v>8.1</v>
      </c>
      <c r="M258" s="53">
        <v>6700</v>
      </c>
      <c r="N258" s="53">
        <v>-54270</v>
      </c>
      <c r="R258" s="53">
        <v>-54270</v>
      </c>
      <c r="S258" s="289">
        <v>1.1232060185185184</v>
      </c>
      <c r="T258" s="53">
        <v>-48317.123699999989</v>
      </c>
      <c r="V258" s="26" t="s">
        <v>1656</v>
      </c>
    </row>
    <row r="259" spans="1:22">
      <c r="A259" s="377">
        <v>2019200278</v>
      </c>
      <c r="B259" s="26">
        <v>43986</v>
      </c>
      <c r="C259" s="26" t="s">
        <v>133</v>
      </c>
      <c r="D259" s="26" t="s">
        <v>1140</v>
      </c>
      <c r="E259" s="26" t="s">
        <v>1249</v>
      </c>
      <c r="F259" s="26" t="s">
        <v>1230</v>
      </c>
      <c r="G259" s="26" t="s">
        <v>1625</v>
      </c>
      <c r="I259" s="26" t="s">
        <v>1249</v>
      </c>
      <c r="J259" s="26" t="s">
        <v>1249</v>
      </c>
      <c r="K259" s="53">
        <v>2589</v>
      </c>
      <c r="M259" s="53">
        <v>2200</v>
      </c>
      <c r="N259" s="53">
        <v>-5695800</v>
      </c>
      <c r="R259" s="53">
        <v>-5695800</v>
      </c>
      <c r="S259" s="289">
        <v>122.30571759259259</v>
      </c>
      <c r="T259" s="53">
        <v>-46570.187326659921</v>
      </c>
      <c r="V259" s="26" t="s">
        <v>1656</v>
      </c>
    </row>
    <row r="260" spans="1:22">
      <c r="A260" s="377">
        <v>2019200279</v>
      </c>
      <c r="B260" s="26">
        <v>43986</v>
      </c>
      <c r="C260" s="26" t="s">
        <v>133</v>
      </c>
      <c r="D260" s="26" t="s">
        <v>1163</v>
      </c>
      <c r="E260" s="26" t="s">
        <v>1249</v>
      </c>
      <c r="F260" s="26" t="s">
        <v>1230</v>
      </c>
      <c r="G260" s="26" t="s">
        <v>1163</v>
      </c>
      <c r="I260" s="26" t="s">
        <v>1249</v>
      </c>
      <c r="J260" s="26" t="s">
        <v>1249</v>
      </c>
      <c r="K260" s="53">
        <v>0.32500000000000001</v>
      </c>
      <c r="M260" s="53">
        <v>170000</v>
      </c>
      <c r="N260" s="53">
        <v>-55250</v>
      </c>
      <c r="R260" s="53">
        <v>-55250</v>
      </c>
      <c r="S260" s="289">
        <v>1.6233680555555554</v>
      </c>
      <c r="T260" s="53">
        <v>-34034.1987822597</v>
      </c>
      <c r="V260" s="26" t="s">
        <v>1656</v>
      </c>
    </row>
    <row r="261" spans="1:22">
      <c r="A261" s="377">
        <v>2019200280</v>
      </c>
      <c r="B261" s="26">
        <v>43986</v>
      </c>
      <c r="C261" s="26" t="s">
        <v>133</v>
      </c>
      <c r="D261" s="26" t="s">
        <v>1647</v>
      </c>
      <c r="E261" s="26" t="s">
        <v>1249</v>
      </c>
      <c r="F261" s="26" t="s">
        <v>1230</v>
      </c>
      <c r="G261" s="26" t="s">
        <v>1647</v>
      </c>
      <c r="I261" s="26" t="s">
        <v>1249</v>
      </c>
      <c r="J261" s="26" t="s">
        <v>1249</v>
      </c>
      <c r="K261" s="53">
        <v>2.38</v>
      </c>
      <c r="M261" s="53">
        <v>22000</v>
      </c>
      <c r="N261" s="53">
        <v>-52360</v>
      </c>
      <c r="R261" s="53">
        <v>-52360</v>
      </c>
      <c r="S261" s="289">
        <v>1.6233680555555554</v>
      </c>
      <c r="T261" s="53">
        <v>-32253.948384418418</v>
      </c>
      <c r="V261" s="26" t="s">
        <v>1656</v>
      </c>
    </row>
    <row r="262" spans="1:22">
      <c r="A262" s="377">
        <v>2019200281</v>
      </c>
      <c r="B262" s="26">
        <v>43993</v>
      </c>
      <c r="C262" s="26" t="s">
        <v>134</v>
      </c>
      <c r="D262" s="26" t="s">
        <v>1158</v>
      </c>
      <c r="E262" s="26" t="s">
        <v>1249</v>
      </c>
      <c r="F262" s="26" t="s">
        <v>1230</v>
      </c>
      <c r="G262" s="26" t="s">
        <v>1158</v>
      </c>
      <c r="I262" s="26" t="s">
        <v>1249</v>
      </c>
      <c r="J262" s="26" t="s">
        <v>1249</v>
      </c>
      <c r="K262" s="53">
        <v>286000</v>
      </c>
      <c r="M262" s="53">
        <v>-690</v>
      </c>
      <c r="N262" s="53">
        <v>197340000</v>
      </c>
      <c r="R262" s="53">
        <v>197340000</v>
      </c>
      <c r="T262" s="86">
        <v>144677.42000000001</v>
      </c>
      <c r="V262" s="26" t="s">
        <v>1114</v>
      </c>
    </row>
    <row r="263" spans="1:22">
      <c r="A263" s="377" t="e">
        <v>#VALUE!</v>
      </c>
      <c r="B263" s="26">
        <v>44000</v>
      </c>
      <c r="C263" s="26" t="s">
        <v>133</v>
      </c>
      <c r="E263" s="26" t="s">
        <v>1249</v>
      </c>
      <c r="F263" s="26" t="s">
        <v>1058</v>
      </c>
      <c r="G263" s="26" t="s">
        <v>2057</v>
      </c>
      <c r="I263" s="26" t="s">
        <v>1249</v>
      </c>
      <c r="J263" s="26" t="s">
        <v>1249</v>
      </c>
      <c r="K263" s="53">
        <v>41300</v>
      </c>
      <c r="M263" s="53">
        <v>2200</v>
      </c>
      <c r="N263" s="53">
        <v>-90860000</v>
      </c>
      <c r="R263" s="53">
        <v>-90860000</v>
      </c>
      <c r="S263" s="289">
        <v>1366.4890277777777</v>
      </c>
      <c r="T263" s="86">
        <v>-66491.570000000007</v>
      </c>
      <c r="V263" s="26" t="s">
        <v>1114</v>
      </c>
    </row>
    <row r="264" spans="1:22">
      <c r="A264" s="377" t="e">
        <v>#VALUE!</v>
      </c>
      <c r="B264" s="26">
        <v>44000</v>
      </c>
      <c r="C264" s="26" t="s">
        <v>134</v>
      </c>
      <c r="D264" s="26" t="s">
        <v>1150</v>
      </c>
      <c r="E264" s="26" t="s">
        <v>1249</v>
      </c>
      <c r="F264" s="26" t="s">
        <v>1230</v>
      </c>
      <c r="G264" s="26" t="s">
        <v>1150</v>
      </c>
      <c r="I264" s="26" t="s">
        <v>1249</v>
      </c>
      <c r="J264" s="26" t="s">
        <v>1249</v>
      </c>
      <c r="K264" s="53">
        <v>1782</v>
      </c>
      <c r="M264" s="53">
        <v>-4000</v>
      </c>
      <c r="N264" s="53">
        <v>7128000</v>
      </c>
      <c r="R264" s="53">
        <v>7128000</v>
      </c>
      <c r="T264" s="86">
        <v>59400</v>
      </c>
      <c r="V264" s="26" t="s">
        <v>1656</v>
      </c>
    </row>
    <row r="265" spans="1:22">
      <c r="A265" s="377" t="e">
        <v>#VALUE!</v>
      </c>
      <c r="B265" s="26">
        <v>44000</v>
      </c>
      <c r="C265" s="26" t="s">
        <v>133</v>
      </c>
      <c r="E265" s="26" t="s">
        <v>1249</v>
      </c>
      <c r="F265" s="26" t="s">
        <v>1058</v>
      </c>
      <c r="G265" s="26" t="s">
        <v>2058</v>
      </c>
      <c r="I265" s="26" t="s">
        <v>1249</v>
      </c>
      <c r="J265" s="26" t="s">
        <v>1249</v>
      </c>
      <c r="K265" s="53">
        <v>58.050000000000004</v>
      </c>
      <c r="M265" s="53">
        <v>11000</v>
      </c>
      <c r="N265" s="53">
        <v>-638550</v>
      </c>
      <c r="R265" s="53">
        <v>-638550</v>
      </c>
      <c r="S265" s="289">
        <v>8.7133449074074072</v>
      </c>
      <c r="T265" s="86">
        <v>-73284.12</v>
      </c>
      <c r="V265" s="26" t="s">
        <v>1656</v>
      </c>
    </row>
    <row r="266" spans="1:22">
      <c r="A266" s="377">
        <v>2019200286</v>
      </c>
      <c r="B266" s="26">
        <v>44000</v>
      </c>
      <c r="C266" s="26" t="s">
        <v>133</v>
      </c>
      <c r="D266" s="26" t="s">
        <v>1071</v>
      </c>
      <c r="E266" s="26" t="s">
        <v>1249</v>
      </c>
      <c r="F266" s="26" t="s">
        <v>1230</v>
      </c>
      <c r="G266" s="26" t="s">
        <v>1134</v>
      </c>
      <c r="I266" s="26" t="s">
        <v>1249</v>
      </c>
      <c r="J266" s="26" t="s">
        <v>1249</v>
      </c>
      <c r="K266" s="53">
        <v>968.2</v>
      </c>
      <c r="M266" s="53">
        <v>11000</v>
      </c>
      <c r="N266" s="53">
        <v>-10650200</v>
      </c>
      <c r="R266" s="53">
        <v>-10650200</v>
      </c>
      <c r="S266" s="289">
        <v>120.30041666666666</v>
      </c>
      <c r="T266" s="86">
        <v>-88530.04</v>
      </c>
      <c r="V266" s="26" t="s">
        <v>1656</v>
      </c>
    </row>
    <row r="267" spans="1:22">
      <c r="A267" s="377">
        <v>2019200287</v>
      </c>
      <c r="B267" s="26">
        <v>44007</v>
      </c>
      <c r="C267" s="26" t="s">
        <v>133</v>
      </c>
      <c r="D267" s="26" t="s">
        <v>1071</v>
      </c>
      <c r="E267" s="26" t="s">
        <v>1249</v>
      </c>
      <c r="F267" s="26" t="s">
        <v>1230</v>
      </c>
      <c r="G267" s="26" t="s">
        <v>1134</v>
      </c>
      <c r="I267" s="26" t="s">
        <v>1249</v>
      </c>
      <c r="J267" s="26" t="s">
        <v>1249</v>
      </c>
      <c r="K267" s="53">
        <v>924.80000000000007</v>
      </c>
      <c r="M267" s="53">
        <v>11000</v>
      </c>
      <c r="N267" s="53">
        <v>-10172800</v>
      </c>
      <c r="R267" s="53">
        <v>-10172800</v>
      </c>
      <c r="S267" s="289">
        <v>120.39734953703703</v>
      </c>
      <c r="T267" s="86">
        <v>-84493.55</v>
      </c>
      <c r="V267" s="26" t="s">
        <v>1656</v>
      </c>
    </row>
    <row r="268" spans="1:22">
      <c r="A268" s="377">
        <v>2019200288</v>
      </c>
      <c r="B268" s="26">
        <v>44048</v>
      </c>
      <c r="C268" s="26" t="s">
        <v>134</v>
      </c>
      <c r="D268" s="26" t="s">
        <v>1156</v>
      </c>
      <c r="E268" s="26" t="s">
        <v>1249</v>
      </c>
      <c r="F268" s="26" t="s">
        <v>1230</v>
      </c>
      <c r="G268" s="26" t="s">
        <v>1156</v>
      </c>
      <c r="I268" s="26" t="s">
        <v>1249</v>
      </c>
      <c r="J268" s="26" t="s">
        <v>1249</v>
      </c>
      <c r="K268" s="53">
        <v>363000</v>
      </c>
      <c r="M268" s="53">
        <v>-450</v>
      </c>
      <c r="N268" s="53">
        <v>163350000</v>
      </c>
      <c r="R268" s="53">
        <v>163350000</v>
      </c>
      <c r="S268" s="289">
        <v>1407.9720601851852</v>
      </c>
      <c r="T268" s="53">
        <v>116017.92742205858</v>
      </c>
      <c r="V268" s="26" t="s">
        <v>1114</v>
      </c>
    </row>
    <row r="269" spans="1:22">
      <c r="A269" s="377">
        <v>2019200289</v>
      </c>
      <c r="B269" s="26">
        <v>44048</v>
      </c>
      <c r="C269" s="26" t="s">
        <v>133</v>
      </c>
      <c r="D269" s="26" t="s">
        <v>1618</v>
      </c>
      <c r="E269" s="26" t="s">
        <v>1249</v>
      </c>
      <c r="F269" s="26" t="s">
        <v>1230</v>
      </c>
      <c r="G269" s="26" t="s">
        <v>1618</v>
      </c>
      <c r="I269" s="26" t="s">
        <v>1249</v>
      </c>
      <c r="J269" s="26" t="s">
        <v>1249</v>
      </c>
      <c r="K269" s="53">
        <v>3.4550000000000001</v>
      </c>
      <c r="M269" s="53">
        <v>13000</v>
      </c>
      <c r="N269" s="53">
        <v>-44915</v>
      </c>
      <c r="R269" s="53">
        <v>-44915</v>
      </c>
      <c r="S269" s="84">
        <v>1</v>
      </c>
      <c r="T269" s="86">
        <v>-44915</v>
      </c>
      <c r="V269" s="26" t="s">
        <v>1656</v>
      </c>
    </row>
    <row r="270" spans="1:22">
      <c r="A270" s="377">
        <v>2019200290</v>
      </c>
      <c r="B270" s="26">
        <v>44048</v>
      </c>
      <c r="C270" s="26" t="s">
        <v>133</v>
      </c>
      <c r="D270" s="26" t="s">
        <v>1140</v>
      </c>
      <c r="E270" s="26" t="s">
        <v>1249</v>
      </c>
      <c r="F270" s="26" t="s">
        <v>1230</v>
      </c>
      <c r="G270" s="26" t="s">
        <v>1625</v>
      </c>
      <c r="I270" s="26" t="s">
        <v>1249</v>
      </c>
      <c r="J270" s="26" t="s">
        <v>1249</v>
      </c>
      <c r="K270" s="53">
        <v>2240</v>
      </c>
      <c r="M270" s="53">
        <v>4200</v>
      </c>
      <c r="N270" s="53">
        <v>-9408000</v>
      </c>
      <c r="R270" s="53">
        <v>-9408000</v>
      </c>
      <c r="S270" s="289">
        <v>124.72564814814815</v>
      </c>
      <c r="T270" s="53">
        <v>-75429.552317880589</v>
      </c>
      <c r="V270" s="26" t="s">
        <v>1656</v>
      </c>
    </row>
    <row r="271" spans="1:22">
      <c r="A271" s="377">
        <v>2019200291</v>
      </c>
      <c r="B271" s="26">
        <v>44049</v>
      </c>
      <c r="C271" s="26" t="s">
        <v>133</v>
      </c>
      <c r="D271" s="26" t="s">
        <v>1618</v>
      </c>
      <c r="E271" s="26" t="s">
        <v>1249</v>
      </c>
      <c r="F271" s="26" t="s">
        <v>1230</v>
      </c>
      <c r="G271" s="26" t="s">
        <v>1618</v>
      </c>
      <c r="I271" s="26" t="s">
        <v>1249</v>
      </c>
      <c r="J271" s="26" t="s">
        <v>1249</v>
      </c>
      <c r="K271" s="53">
        <v>3.45</v>
      </c>
      <c r="M271" s="53">
        <v>6320</v>
      </c>
      <c r="N271" s="53">
        <v>-21804</v>
      </c>
      <c r="R271" s="53">
        <v>-21804</v>
      </c>
      <c r="S271" s="84">
        <v>1</v>
      </c>
      <c r="T271" s="86">
        <v>-21804</v>
      </c>
      <c r="V271" s="26" t="s">
        <v>1111</v>
      </c>
    </row>
    <row r="272" spans="1:22">
      <c r="A272" s="377">
        <v>2019200321</v>
      </c>
      <c r="B272" s="26">
        <v>44102</v>
      </c>
      <c r="C272" s="26" t="s">
        <v>133</v>
      </c>
      <c r="D272" s="26" t="s">
        <v>1162</v>
      </c>
      <c r="E272" s="26" t="s">
        <v>1249</v>
      </c>
      <c r="F272" s="26" t="s">
        <v>1230</v>
      </c>
      <c r="G272" s="26" t="s">
        <v>1162</v>
      </c>
      <c r="I272" s="26" t="s">
        <v>1249</v>
      </c>
      <c r="J272" s="26" t="s">
        <v>1249</v>
      </c>
      <c r="K272" s="84">
        <v>45150</v>
      </c>
      <c r="M272" s="84">
        <v>1100</v>
      </c>
      <c r="N272" s="53">
        <v>-49665000</v>
      </c>
      <c r="O272" s="53">
        <v>-4813</v>
      </c>
      <c r="R272" s="53">
        <v>-49669813</v>
      </c>
      <c r="S272" s="289">
        <v>1365.7265802174807</v>
      </c>
      <c r="T272" s="287">
        <v>-36365.26</v>
      </c>
      <c r="U272" s="84">
        <v>44103</v>
      </c>
      <c r="V272" s="26" t="s">
        <v>1114</v>
      </c>
    </row>
    <row r="273" spans="1:23">
      <c r="A273" s="377" t="s">
        <v>2062</v>
      </c>
      <c r="B273" s="26">
        <v>44202</v>
      </c>
      <c r="C273" s="26" t="s">
        <v>133</v>
      </c>
      <c r="D273" s="26" t="s">
        <v>1146</v>
      </c>
      <c r="E273" s="26" t="s">
        <v>1249</v>
      </c>
      <c r="F273" s="26" t="s">
        <v>1230</v>
      </c>
      <c r="G273" s="26" t="s">
        <v>1146</v>
      </c>
      <c r="I273" s="26" t="s">
        <v>1249</v>
      </c>
      <c r="J273" s="26" t="s">
        <v>1249</v>
      </c>
      <c r="K273" s="84">
        <v>1924</v>
      </c>
      <c r="M273" s="84">
        <v>5800</v>
      </c>
      <c r="N273" s="53">
        <v>-11159200</v>
      </c>
      <c r="R273" s="53">
        <v>-11159200</v>
      </c>
      <c r="S273" s="289">
        <v>126.28473379629629</v>
      </c>
      <c r="T273" s="86">
        <v>-88365.39</v>
      </c>
      <c r="V273" s="26" t="s">
        <v>1656</v>
      </c>
    </row>
    <row r="274" spans="1:23">
      <c r="A274" s="377">
        <v>201900012</v>
      </c>
      <c r="B274" s="26">
        <v>43623</v>
      </c>
      <c r="C274" s="26" t="s">
        <v>133</v>
      </c>
      <c r="D274" s="26" t="s">
        <v>1135</v>
      </c>
      <c r="E274" s="26" t="s">
        <v>1187</v>
      </c>
      <c r="F274" s="26" t="s">
        <v>1230</v>
      </c>
      <c r="G274" s="26" t="s">
        <v>1135</v>
      </c>
      <c r="I274" s="26" t="s">
        <v>1090</v>
      </c>
      <c r="J274" s="26" t="s">
        <v>125</v>
      </c>
      <c r="K274" s="84">
        <v>2923.5</v>
      </c>
      <c r="M274" s="84">
        <v>6000</v>
      </c>
      <c r="N274" s="53">
        <v>-17541000</v>
      </c>
      <c r="O274" s="53">
        <v>-14033</v>
      </c>
      <c r="R274" s="53">
        <v>-17555033</v>
      </c>
      <c r="S274" s="289">
        <v>122.57940239991861</v>
      </c>
      <c r="T274" s="86">
        <v>-143213.56</v>
      </c>
      <c r="U274" s="84">
        <v>43629</v>
      </c>
      <c r="V274" s="26" t="s">
        <v>1183</v>
      </c>
    </row>
    <row r="275" spans="1:23">
      <c r="A275" s="377">
        <v>201900013</v>
      </c>
      <c r="B275" s="26">
        <v>43623</v>
      </c>
      <c r="C275" s="26" t="s">
        <v>133</v>
      </c>
      <c r="D275" s="26" t="s">
        <v>1136</v>
      </c>
      <c r="E275" s="26" t="s">
        <v>1188</v>
      </c>
      <c r="F275" s="26" t="s">
        <v>1230</v>
      </c>
      <c r="G275" s="26" t="s">
        <v>1136</v>
      </c>
      <c r="I275" s="26" t="s">
        <v>1138</v>
      </c>
      <c r="J275" s="26" t="s">
        <v>125</v>
      </c>
      <c r="K275" s="53">
        <v>872.15</v>
      </c>
      <c r="M275" s="53">
        <v>6000</v>
      </c>
      <c r="N275" s="53">
        <v>-5232900</v>
      </c>
      <c r="O275" s="53">
        <v>-4186</v>
      </c>
      <c r="R275" s="53">
        <v>-5237086</v>
      </c>
      <c r="S275" s="53">
        <v>122.57940239991845</v>
      </c>
      <c r="T275" s="53">
        <v>-42724.02946552042</v>
      </c>
      <c r="U275" s="84">
        <v>43629</v>
      </c>
      <c r="V275" s="26" t="s">
        <v>1183</v>
      </c>
    </row>
    <row r="276" spans="1:23">
      <c r="B276" s="26">
        <v>44272</v>
      </c>
      <c r="C276" s="26" t="s">
        <v>133</v>
      </c>
      <c r="D276" s="26" t="s">
        <v>1647</v>
      </c>
      <c r="E276" s="26" t="s">
        <v>1249</v>
      </c>
      <c r="F276" s="26" t="s">
        <v>1230</v>
      </c>
      <c r="G276" s="26" t="s">
        <v>1647</v>
      </c>
      <c r="I276" s="26" t="s">
        <v>1249</v>
      </c>
      <c r="J276" s="26" t="s">
        <v>1249</v>
      </c>
      <c r="K276" s="289">
        <v>2.0300000000000002</v>
      </c>
      <c r="M276" s="84">
        <v>70000</v>
      </c>
      <c r="N276" s="53">
        <v>-142100.00000000003</v>
      </c>
      <c r="R276" s="53">
        <v>-142100.00000000003</v>
      </c>
      <c r="S276" s="289">
        <v>1.5364699074074073</v>
      </c>
      <c r="T276" s="86">
        <v>-92484.52</v>
      </c>
      <c r="V276" s="26" t="s">
        <v>1656</v>
      </c>
    </row>
    <row r="277" spans="1:23">
      <c r="B277" s="26">
        <v>44277</v>
      </c>
      <c r="C277" s="26" t="s">
        <v>133</v>
      </c>
      <c r="D277" s="26" t="s">
        <v>1139</v>
      </c>
      <c r="E277" s="26" t="s">
        <v>1249</v>
      </c>
      <c r="F277" s="26" t="s">
        <v>1230</v>
      </c>
      <c r="G277" s="26" t="s">
        <v>1139</v>
      </c>
      <c r="I277" s="26" t="s">
        <v>1249</v>
      </c>
      <c r="J277" s="26" t="s">
        <v>1249</v>
      </c>
      <c r="K277" s="53">
        <v>2207</v>
      </c>
      <c r="M277" s="53">
        <v>2600</v>
      </c>
      <c r="N277" s="53">
        <v>-5738200</v>
      </c>
      <c r="R277" s="53">
        <v>-5738200</v>
      </c>
      <c r="S277" s="289">
        <v>129.58863425925927</v>
      </c>
      <c r="T277" s="86">
        <v>-44280.12</v>
      </c>
      <c r="V277" s="26" t="s">
        <v>1656</v>
      </c>
      <c r="W277" s="87">
        <v>44216.554416666666</v>
      </c>
    </row>
    <row r="278" spans="1:23">
      <c r="B278" s="26">
        <v>44279</v>
      </c>
      <c r="C278" s="26" t="s">
        <v>133</v>
      </c>
      <c r="D278" s="26" t="s">
        <v>1168</v>
      </c>
      <c r="E278" s="26" t="s">
        <v>1249</v>
      </c>
      <c r="F278" s="26" t="s">
        <v>1230</v>
      </c>
      <c r="G278" s="26" t="s">
        <v>1168</v>
      </c>
      <c r="I278" s="26" t="s">
        <v>1249</v>
      </c>
      <c r="J278" s="26" t="s">
        <v>1249</v>
      </c>
      <c r="K278" s="53">
        <v>28.080000000000002</v>
      </c>
      <c r="M278" s="53">
        <v>5000</v>
      </c>
      <c r="N278" s="53">
        <v>-140400</v>
      </c>
      <c r="R278" s="53">
        <v>-140400</v>
      </c>
      <c r="S278" s="84">
        <v>1</v>
      </c>
      <c r="T278" s="86">
        <v>-140400</v>
      </c>
      <c r="V278" s="26" t="s">
        <v>1111</v>
      </c>
      <c r="W278" s="87">
        <v>44216.554416666666</v>
      </c>
    </row>
    <row r="279" spans="1:23">
      <c r="B279" s="26">
        <v>44279</v>
      </c>
      <c r="C279" s="26" t="s">
        <v>133</v>
      </c>
      <c r="D279" s="26" t="s">
        <v>1168</v>
      </c>
      <c r="E279" s="26" t="s">
        <v>1249</v>
      </c>
      <c r="F279" s="26" t="s">
        <v>1230</v>
      </c>
      <c r="G279" s="26" t="s">
        <v>1168</v>
      </c>
      <c r="I279" s="26" t="s">
        <v>1249</v>
      </c>
      <c r="J279" s="26" t="s">
        <v>1249</v>
      </c>
      <c r="K279" s="53">
        <v>28.080000000000002</v>
      </c>
      <c r="M279" s="53">
        <v>5100</v>
      </c>
      <c r="N279" s="53">
        <v>-143208</v>
      </c>
      <c r="R279" s="53">
        <v>-143208</v>
      </c>
      <c r="S279" s="84">
        <v>1</v>
      </c>
      <c r="T279" s="86">
        <v>-143208</v>
      </c>
      <c r="V279" s="26" t="s">
        <v>1111</v>
      </c>
      <c r="W279" s="87">
        <v>44216.554416666666</v>
      </c>
    </row>
    <row r="280" spans="1:23">
      <c r="B280" s="26">
        <v>44280</v>
      </c>
      <c r="C280" s="26" t="s">
        <v>133</v>
      </c>
      <c r="D280" s="26" t="s">
        <v>1601</v>
      </c>
      <c r="E280" s="26" t="s">
        <v>1249</v>
      </c>
      <c r="F280" s="26" t="s">
        <v>1230</v>
      </c>
      <c r="G280" s="26" t="s">
        <v>1601</v>
      </c>
      <c r="I280" s="26" t="s">
        <v>1249</v>
      </c>
      <c r="J280" s="26" t="s">
        <v>1249</v>
      </c>
      <c r="K280" s="53">
        <v>2.46</v>
      </c>
      <c r="M280" s="53">
        <v>330000</v>
      </c>
      <c r="N280" s="53">
        <v>-811800</v>
      </c>
      <c r="R280" s="53">
        <v>-811800</v>
      </c>
      <c r="S280" s="289">
        <v>9.1756481481481487</v>
      </c>
      <c r="T280" s="86">
        <v>-88473.36</v>
      </c>
      <c r="V280" s="26" t="s">
        <v>1656</v>
      </c>
      <c r="W280" s="87">
        <v>44216.554416666666</v>
      </c>
    </row>
    <row r="281" spans="1:23">
      <c r="B281" s="26">
        <v>44280</v>
      </c>
      <c r="C281" s="26" t="s">
        <v>133</v>
      </c>
      <c r="D281" s="26" t="s">
        <v>12586</v>
      </c>
      <c r="E281" s="26" t="s">
        <v>1249</v>
      </c>
      <c r="F281" s="26" t="s">
        <v>1230</v>
      </c>
      <c r="G281" s="26" t="s">
        <v>12586</v>
      </c>
      <c r="I281" s="26" t="s">
        <v>1249</v>
      </c>
      <c r="J281" s="26" t="s">
        <v>1249</v>
      </c>
      <c r="K281" s="53">
        <v>829</v>
      </c>
      <c r="M281" s="53">
        <v>9100</v>
      </c>
      <c r="N281" s="53">
        <v>-7543900</v>
      </c>
      <c r="R281" s="53">
        <v>-7543900</v>
      </c>
      <c r="S281" s="289">
        <v>128.41956018518519</v>
      </c>
      <c r="T281" s="86">
        <v>-58744.17</v>
      </c>
      <c r="V281" s="26" t="s">
        <v>1656</v>
      </c>
      <c r="W281" s="87">
        <v>44216.554416666666</v>
      </c>
    </row>
    <row r="282" spans="1:23">
      <c r="B282" s="26">
        <v>44281</v>
      </c>
      <c r="C282" s="26" t="s">
        <v>133</v>
      </c>
      <c r="D282" s="26" t="s">
        <v>1169</v>
      </c>
      <c r="E282" s="26" t="s">
        <v>1249</v>
      </c>
      <c r="F282" s="26" t="s">
        <v>1230</v>
      </c>
      <c r="G282" s="26" t="s">
        <v>1169</v>
      </c>
      <c r="I282" s="26" t="s">
        <v>1249</v>
      </c>
      <c r="J282" s="26" t="s">
        <v>1249</v>
      </c>
      <c r="K282" s="53">
        <v>111.95</v>
      </c>
      <c r="M282" s="53">
        <v>1090</v>
      </c>
      <c r="N282" s="53">
        <v>-122025.5</v>
      </c>
      <c r="R282" s="53">
        <v>-122025.5</v>
      </c>
      <c r="S282" s="84">
        <v>1</v>
      </c>
      <c r="T282" s="53">
        <v>-122025.5</v>
      </c>
      <c r="V282" s="26" t="s">
        <v>1111</v>
      </c>
      <c r="W282" s="87">
        <v>44216.554416666666</v>
      </c>
    </row>
    <row r="283" spans="1:23">
      <c r="B283" s="26">
        <v>44293</v>
      </c>
      <c r="C283" s="26" t="s">
        <v>134</v>
      </c>
      <c r="D283" s="26" t="s">
        <v>2097</v>
      </c>
      <c r="E283" s="26" t="s">
        <v>1249</v>
      </c>
      <c r="F283" s="26" t="s">
        <v>1230</v>
      </c>
      <c r="G283" s="26" t="s">
        <v>2097</v>
      </c>
      <c r="I283" s="26" t="s">
        <v>1249</v>
      </c>
      <c r="J283" s="26" t="s">
        <v>1249</v>
      </c>
      <c r="K283" s="53">
        <v>4530</v>
      </c>
      <c r="M283" s="53">
        <v>-22000</v>
      </c>
      <c r="N283" s="53">
        <v>99660000</v>
      </c>
      <c r="R283" s="53">
        <v>99660000</v>
      </c>
      <c r="S283" s="289">
        <v>130.31552083333332</v>
      </c>
      <c r="T283" s="53">
        <v>764759.27282668103</v>
      </c>
      <c r="V283" s="26" t="s">
        <v>1656</v>
      </c>
      <c r="W283" s="87">
        <v>44216.554416666666</v>
      </c>
    </row>
    <row r="284" spans="1:23">
      <c r="B284" s="26">
        <v>44293</v>
      </c>
      <c r="C284" s="26" t="s">
        <v>133</v>
      </c>
      <c r="D284" s="26" t="s">
        <v>12586</v>
      </c>
      <c r="E284" s="26" t="s">
        <v>1249</v>
      </c>
      <c r="F284" s="26" t="s">
        <v>1230</v>
      </c>
      <c r="G284" s="26" t="s">
        <v>12586</v>
      </c>
      <c r="I284" s="26" t="s">
        <v>1249</v>
      </c>
      <c r="J284" s="26" t="s">
        <v>1249</v>
      </c>
      <c r="K284" s="53">
        <v>828</v>
      </c>
      <c r="M284" s="53">
        <v>10900</v>
      </c>
      <c r="N284" s="53">
        <v>-9025200</v>
      </c>
      <c r="R284" s="53">
        <v>-9025200</v>
      </c>
      <c r="S284" s="289">
        <v>130.31552083333332</v>
      </c>
      <c r="T284" s="53">
        <v>-69256.526079825038</v>
      </c>
      <c r="V284" s="26" t="s">
        <v>1656</v>
      </c>
      <c r="W284" s="87">
        <v>44216.554416666666</v>
      </c>
    </row>
    <row r="285" spans="1:23">
      <c r="B285" s="26">
        <v>44298</v>
      </c>
      <c r="C285" s="26" t="s">
        <v>133</v>
      </c>
      <c r="D285" s="26" t="s">
        <v>1146</v>
      </c>
      <c r="E285" s="26" t="s">
        <v>1249</v>
      </c>
      <c r="F285" s="26" t="s">
        <v>1230</v>
      </c>
      <c r="G285" s="26" t="s">
        <v>1146</v>
      </c>
      <c r="I285" s="26" t="s">
        <v>1249</v>
      </c>
      <c r="J285" s="26" t="s">
        <v>1249</v>
      </c>
      <c r="K285" s="53">
        <v>1844</v>
      </c>
      <c r="M285" s="53">
        <v>11600</v>
      </c>
      <c r="N285" s="53">
        <v>-21390400</v>
      </c>
      <c r="R285" s="53">
        <v>-21390400</v>
      </c>
      <c r="S285" s="53">
        <v>130.43943755799336</v>
      </c>
      <c r="T285" s="86">
        <v>-163987.21</v>
      </c>
      <c r="V285" s="26" t="s">
        <v>1656</v>
      </c>
      <c r="W285" s="87">
        <v>44216.554416666666</v>
      </c>
    </row>
    <row r="286" spans="1:23">
      <c r="B286" s="26">
        <v>44298</v>
      </c>
      <c r="C286" s="26" t="s">
        <v>134</v>
      </c>
      <c r="D286" s="26" t="s">
        <v>1594</v>
      </c>
      <c r="E286" s="26" t="s">
        <v>1249</v>
      </c>
      <c r="F286" s="26" t="s">
        <v>1230</v>
      </c>
      <c r="G286" s="26" t="s">
        <v>1594</v>
      </c>
      <c r="I286" s="26" t="s">
        <v>1249</v>
      </c>
      <c r="J286" s="26" t="s">
        <v>1249</v>
      </c>
      <c r="K286" s="84">
        <v>1226</v>
      </c>
    </row>
    <row r="287" spans="1:23">
      <c r="B287" s="26">
        <v>44299</v>
      </c>
      <c r="C287" s="26" t="s">
        <v>133</v>
      </c>
      <c r="D287" s="26" t="s">
        <v>1071</v>
      </c>
      <c r="E287" s="26" t="s">
        <v>1249</v>
      </c>
      <c r="F287" s="26" t="s">
        <v>1230</v>
      </c>
      <c r="G287" s="26" t="s">
        <v>1134</v>
      </c>
      <c r="I287" s="26" t="s">
        <v>1249</v>
      </c>
      <c r="J287" s="26" t="s">
        <v>1249</v>
      </c>
      <c r="K287" s="84">
        <v>1392</v>
      </c>
      <c r="M287" s="84">
        <v>5000</v>
      </c>
      <c r="N287" s="53">
        <v>-6960000</v>
      </c>
      <c r="R287" s="53">
        <v>-6960000</v>
      </c>
      <c r="S287" s="289">
        <v>130.24890046296295</v>
      </c>
      <c r="T287" s="86">
        <v>-53436.15</v>
      </c>
      <c r="V287" s="26" t="s">
        <v>1656</v>
      </c>
      <c r="W287" s="87">
        <v>44216.554416666666</v>
      </c>
    </row>
    <row r="288" spans="1:23">
      <c r="B288" s="26">
        <v>44299</v>
      </c>
      <c r="C288" s="26" t="s">
        <v>133</v>
      </c>
      <c r="D288" s="26" t="s">
        <v>1168</v>
      </c>
      <c r="E288" s="26" t="s">
        <v>1249</v>
      </c>
      <c r="F288" s="26" t="s">
        <v>1230</v>
      </c>
      <c r="G288" s="26" t="s">
        <v>1168</v>
      </c>
      <c r="I288" s="26" t="s">
        <v>1249</v>
      </c>
      <c r="J288" s="26" t="s">
        <v>1249</v>
      </c>
      <c r="K288" s="289">
        <v>27.51</v>
      </c>
      <c r="M288" s="84">
        <v>4200</v>
      </c>
      <c r="N288" s="53">
        <v>-115542</v>
      </c>
      <c r="R288" s="53">
        <v>-115542</v>
      </c>
      <c r="S288" s="289">
        <v>130.24890046296295</v>
      </c>
      <c r="T288" s="86">
        <v>-887.09</v>
      </c>
      <c r="V288" s="26" t="s">
        <v>1111</v>
      </c>
      <c r="W288" s="87">
        <v>44216.554416666666</v>
      </c>
    </row>
    <row r="289" spans="2:23">
      <c r="B289" s="26">
        <v>44301</v>
      </c>
      <c r="C289" s="26" t="s">
        <v>134</v>
      </c>
      <c r="D289" s="26" t="s">
        <v>2097</v>
      </c>
      <c r="E289" s="26" t="s">
        <v>1249</v>
      </c>
      <c r="F289" s="26" t="s">
        <v>1230</v>
      </c>
      <c r="G289" s="26" t="s">
        <v>2097</v>
      </c>
      <c r="I289" s="26" t="s">
        <v>1249</v>
      </c>
      <c r="J289" s="26" t="s">
        <v>1249</v>
      </c>
      <c r="K289" s="84">
        <v>4895</v>
      </c>
    </row>
    <row r="290" spans="2:23">
      <c r="B290" s="26">
        <v>44306</v>
      </c>
      <c r="C290" s="26" t="s">
        <v>134</v>
      </c>
      <c r="D290" s="26" t="s">
        <v>2109</v>
      </c>
      <c r="E290" s="26" t="s">
        <v>1249</v>
      </c>
      <c r="F290" s="26" t="s">
        <v>1230</v>
      </c>
      <c r="G290" s="26" t="s">
        <v>2109</v>
      </c>
      <c r="I290" s="26" t="s">
        <v>1249</v>
      </c>
      <c r="J290" s="26" t="s">
        <v>1249</v>
      </c>
      <c r="K290" s="289">
        <v>4.9649999999999999</v>
      </c>
    </row>
    <row r="291" spans="2:23">
      <c r="B291" s="26">
        <v>44307</v>
      </c>
      <c r="C291" s="26" t="s">
        <v>133</v>
      </c>
      <c r="E291" s="26" t="s">
        <v>1249</v>
      </c>
      <c r="F291" s="26" t="s">
        <v>1058</v>
      </c>
      <c r="G291" s="26" t="s">
        <v>1134</v>
      </c>
      <c r="I291" s="26" t="s">
        <v>1249</v>
      </c>
      <c r="J291" s="26" t="s">
        <v>1249</v>
      </c>
      <c r="K291" s="289">
        <v>1328.5</v>
      </c>
      <c r="M291" s="84">
        <v>11000</v>
      </c>
      <c r="N291" s="53">
        <v>-14613500</v>
      </c>
      <c r="R291" s="53">
        <v>-14613500</v>
      </c>
      <c r="S291" s="289">
        <v>130.24890046296295</v>
      </c>
      <c r="T291" s="86">
        <v>-112196.73</v>
      </c>
      <c r="V291" s="26" t="s">
        <v>1656</v>
      </c>
      <c r="W291" s="87">
        <v>44216.554416666666</v>
      </c>
    </row>
    <row r="292" spans="2:23">
      <c r="B292" s="26">
        <v>44307</v>
      </c>
      <c r="C292" s="26" t="s">
        <v>133</v>
      </c>
      <c r="E292" s="26" t="s">
        <v>1249</v>
      </c>
      <c r="F292" s="26" t="s">
        <v>1058</v>
      </c>
      <c r="G292" s="26" t="s">
        <v>2097</v>
      </c>
      <c r="I292" s="26" t="s">
        <v>1249</v>
      </c>
      <c r="J292" s="26" t="s">
        <v>1249</v>
      </c>
      <c r="K292" s="84">
        <v>4205</v>
      </c>
      <c r="M292" s="84">
        <v>11000</v>
      </c>
      <c r="N292" s="53">
        <v>-46255000</v>
      </c>
      <c r="R292" s="53">
        <v>-46255000</v>
      </c>
      <c r="S292" s="289">
        <v>130.24890046296295</v>
      </c>
      <c r="T292" s="86">
        <v>-355127.76</v>
      </c>
      <c r="V292" s="26" t="s">
        <v>1656</v>
      </c>
      <c r="W292" s="87">
        <v>44216.554416666666</v>
      </c>
    </row>
    <row r="293" spans="2:23">
      <c r="B293" s="26">
        <v>44309</v>
      </c>
      <c r="C293" s="26" t="s">
        <v>133</v>
      </c>
      <c r="E293" s="26" t="s">
        <v>1249</v>
      </c>
      <c r="F293" s="26" t="s">
        <v>1058</v>
      </c>
      <c r="G293" s="26" t="s">
        <v>1173</v>
      </c>
      <c r="I293" s="26" t="s">
        <v>1249</v>
      </c>
      <c r="J293" s="26" t="s">
        <v>1249</v>
      </c>
      <c r="K293" s="289">
        <v>33.975000000000001</v>
      </c>
      <c r="M293" s="84">
        <v>4500</v>
      </c>
      <c r="N293" s="53">
        <v>-152887.5</v>
      </c>
      <c r="R293" s="53">
        <v>-152887.5</v>
      </c>
      <c r="S293" s="84">
        <v>1</v>
      </c>
      <c r="T293" s="53">
        <v>-152887.5</v>
      </c>
      <c r="V293" s="26" t="s">
        <v>1111</v>
      </c>
      <c r="W293" s="87">
        <v>44216.554416666666</v>
      </c>
    </row>
    <row r="294" spans="2:23">
      <c r="B294" s="26">
        <v>44309</v>
      </c>
      <c r="C294" s="26" t="s">
        <v>134</v>
      </c>
      <c r="E294" s="26" t="s">
        <v>1249</v>
      </c>
      <c r="F294" s="26" t="s">
        <v>1058</v>
      </c>
      <c r="G294" s="26" t="s">
        <v>2109</v>
      </c>
      <c r="I294" s="26" t="s">
        <v>1249</v>
      </c>
      <c r="J294" s="26" t="s">
        <v>1249</v>
      </c>
      <c r="K294" s="289">
        <v>4.82</v>
      </c>
    </row>
    <row r="295" spans="2:23">
      <c r="B295" s="26">
        <v>44312</v>
      </c>
      <c r="C295" s="26" t="s">
        <v>134</v>
      </c>
      <c r="D295" s="26" t="s">
        <v>2109</v>
      </c>
      <c r="E295" s="26" t="s">
        <v>1249</v>
      </c>
      <c r="F295" s="26" t="s">
        <v>1230</v>
      </c>
      <c r="G295" s="26" t="s">
        <v>2109</v>
      </c>
      <c r="I295" s="26" t="s">
        <v>1249</v>
      </c>
      <c r="J295" s="26" t="s">
        <v>1249</v>
      </c>
      <c r="K295" s="289">
        <v>4.8499999999999996</v>
      </c>
    </row>
    <row r="296" spans="2:23">
      <c r="B296" s="26">
        <v>44312</v>
      </c>
      <c r="C296" s="26" t="s">
        <v>133</v>
      </c>
      <c r="D296" s="26" t="s">
        <v>1071</v>
      </c>
      <c r="E296" s="26" t="s">
        <v>1249</v>
      </c>
      <c r="F296" s="26" t="s">
        <v>1230</v>
      </c>
      <c r="G296" s="26" t="s">
        <v>1134</v>
      </c>
      <c r="I296" s="26" t="s">
        <v>1249</v>
      </c>
      <c r="J296" s="26" t="s">
        <v>1249</v>
      </c>
      <c r="K296" s="289">
        <v>1313.5</v>
      </c>
      <c r="M296" s="84">
        <v>9000</v>
      </c>
      <c r="N296" s="53">
        <v>-11821500</v>
      </c>
      <c r="R296" s="53">
        <v>-11821500</v>
      </c>
      <c r="S296" s="289">
        <v>130.5610300925926</v>
      </c>
      <c r="T296" s="53">
        <v>-90543.860300250002</v>
      </c>
      <c r="V296" s="26" t="s">
        <v>1656</v>
      </c>
      <c r="W296" s="87">
        <v>44216.554416666666</v>
      </c>
    </row>
    <row r="297" spans="2:23">
      <c r="B297" s="26">
        <v>44312</v>
      </c>
      <c r="C297" s="26" t="s">
        <v>133</v>
      </c>
      <c r="D297" s="26" t="s">
        <v>1146</v>
      </c>
      <c r="E297" s="26" t="s">
        <v>1249</v>
      </c>
      <c r="F297" s="26" t="s">
        <v>1230</v>
      </c>
      <c r="G297" s="26" t="s">
        <v>1146</v>
      </c>
      <c r="I297" s="26" t="s">
        <v>1249</v>
      </c>
      <c r="J297" s="26" t="s">
        <v>1249</v>
      </c>
      <c r="K297" s="84">
        <v>1790</v>
      </c>
      <c r="M297" s="84">
        <v>5000</v>
      </c>
      <c r="N297" s="53">
        <v>-8950000</v>
      </c>
      <c r="R297" s="53">
        <v>-8950000</v>
      </c>
      <c r="S297" s="289">
        <v>130.5610300925926</v>
      </c>
      <c r="T297" s="53">
        <v>-68550.315077379491</v>
      </c>
      <c r="V297" s="26" t="s">
        <v>1656</v>
      </c>
      <c r="W297" s="87">
        <v>44216.554416666666</v>
      </c>
    </row>
    <row r="298" spans="2:23">
      <c r="B298" s="26">
        <v>44313</v>
      </c>
      <c r="C298" s="26" t="s">
        <v>134</v>
      </c>
      <c r="D298" s="26" t="s">
        <v>2109</v>
      </c>
      <c r="E298" s="26" t="s">
        <v>1249</v>
      </c>
      <c r="F298" s="26" t="s">
        <v>1230</v>
      </c>
      <c r="G298" s="26" t="s">
        <v>2109</v>
      </c>
      <c r="I298" s="26" t="s">
        <v>1249</v>
      </c>
      <c r="J298" s="26" t="s">
        <v>1249</v>
      </c>
      <c r="K298" s="53">
        <v>4.7700000000000005</v>
      </c>
      <c r="M298" s="53">
        <v>-6489</v>
      </c>
      <c r="N298" s="53">
        <v>30952.530000000002</v>
      </c>
      <c r="R298" s="53">
        <v>30952.530000000002</v>
      </c>
      <c r="S298" s="53">
        <v>1</v>
      </c>
      <c r="T298" s="53">
        <v>30952.530000000002</v>
      </c>
      <c r="V298" s="26" t="s">
        <v>1656</v>
      </c>
      <c r="W298" s="87">
        <v>44216.554416666666</v>
      </c>
    </row>
    <row r="299" spans="2:23">
      <c r="B299" s="26">
        <v>44314</v>
      </c>
      <c r="C299" s="26" t="s">
        <v>134</v>
      </c>
      <c r="D299" s="26" t="s">
        <v>2109</v>
      </c>
      <c r="E299" s="26" t="s">
        <v>1249</v>
      </c>
      <c r="F299" s="26" t="s">
        <v>1230</v>
      </c>
      <c r="G299" s="26" t="s">
        <v>2109</v>
      </c>
      <c r="I299" s="26" t="s">
        <v>1249</v>
      </c>
      <c r="J299" s="26" t="s">
        <v>1249</v>
      </c>
      <c r="K299" s="53">
        <v>4.8</v>
      </c>
      <c r="M299" s="53">
        <v>-1427</v>
      </c>
      <c r="N299" s="53">
        <v>6849.5999999999995</v>
      </c>
      <c r="R299" s="53">
        <v>6849.5999999999995</v>
      </c>
      <c r="S299" s="53">
        <v>1</v>
      </c>
      <c r="T299" s="53">
        <v>6849.5999999999995</v>
      </c>
      <c r="V299" s="26" t="s">
        <v>1656</v>
      </c>
      <c r="W299" s="87">
        <v>44216.554416666666</v>
      </c>
    </row>
    <row r="300" spans="2:23">
      <c r="B300" s="26">
        <v>44316</v>
      </c>
      <c r="C300" s="26" t="s">
        <v>134</v>
      </c>
      <c r="D300" s="26" t="s">
        <v>12589</v>
      </c>
      <c r="E300" s="26" t="s">
        <v>1249</v>
      </c>
      <c r="F300" s="26" t="s">
        <v>1230</v>
      </c>
      <c r="G300" s="26" t="s">
        <v>12589</v>
      </c>
      <c r="I300" s="26" t="s">
        <v>1249</v>
      </c>
      <c r="J300" s="26" t="s">
        <v>1249</v>
      </c>
      <c r="K300" s="53">
        <v>4210</v>
      </c>
      <c r="M300" s="53">
        <v>-2200</v>
      </c>
      <c r="N300" s="53">
        <v>9262000</v>
      </c>
      <c r="R300" s="53">
        <v>9262000</v>
      </c>
      <c r="S300" s="53">
        <v>131.97692736482404</v>
      </c>
      <c r="T300" s="53">
        <v>70178.933431273472</v>
      </c>
      <c r="V300" s="26" t="s">
        <v>1656</v>
      </c>
      <c r="W300" s="87">
        <v>44216.554416666666</v>
      </c>
    </row>
    <row r="301" spans="2:23">
      <c r="B301" s="26">
        <v>44322</v>
      </c>
      <c r="C301" s="26" t="s">
        <v>133</v>
      </c>
      <c r="D301" s="26" t="s">
        <v>1071</v>
      </c>
      <c r="E301" s="26" t="s">
        <v>1249</v>
      </c>
      <c r="F301" s="26" t="s">
        <v>1230</v>
      </c>
      <c r="G301" s="26" t="s">
        <v>1134</v>
      </c>
      <c r="I301" s="26" t="s">
        <v>1249</v>
      </c>
      <c r="J301" s="26" t="s">
        <v>1249</v>
      </c>
      <c r="K301" s="53">
        <v>1271</v>
      </c>
      <c r="M301" s="53">
        <v>25000</v>
      </c>
      <c r="N301" s="53">
        <v>-31775000</v>
      </c>
      <c r="R301" s="53">
        <v>-31775000</v>
      </c>
      <c r="S301" s="53">
        <v>131.07000084034618</v>
      </c>
      <c r="T301" s="53">
        <v>-242427.70882945601</v>
      </c>
      <c r="V301" s="26" t="s">
        <v>1656</v>
      </c>
      <c r="W301" s="87">
        <v>44216.554416666666</v>
      </c>
    </row>
    <row r="302" spans="2:23">
      <c r="B302" s="26">
        <v>44327</v>
      </c>
      <c r="C302" s="26" t="s">
        <v>134</v>
      </c>
      <c r="D302" s="26" t="s">
        <v>1159</v>
      </c>
      <c r="E302" s="26" t="s">
        <v>1249</v>
      </c>
      <c r="F302" s="26" t="s">
        <v>1230</v>
      </c>
      <c r="G302" s="26" t="s">
        <v>1159</v>
      </c>
      <c r="I302" s="26" t="s">
        <v>1249</v>
      </c>
      <c r="J302" s="26" t="s">
        <v>1249</v>
      </c>
      <c r="K302" s="53">
        <v>187000</v>
      </c>
      <c r="M302" s="53">
        <v>-500</v>
      </c>
      <c r="N302" s="53">
        <v>93500000</v>
      </c>
      <c r="R302" s="53">
        <v>93500000</v>
      </c>
      <c r="S302" s="53">
        <v>1354.4216284400886</v>
      </c>
      <c r="T302" s="86">
        <v>69033.16</v>
      </c>
      <c r="V302" s="26" t="s">
        <v>1114</v>
      </c>
      <c r="W302" s="87">
        <v>44327.373985763887</v>
      </c>
    </row>
    <row r="303" spans="2:23">
      <c r="B303" s="26">
        <v>44327</v>
      </c>
      <c r="C303" s="26" t="s">
        <v>134</v>
      </c>
      <c r="D303" s="26" t="s">
        <v>1158</v>
      </c>
      <c r="E303" s="26" t="s">
        <v>1249</v>
      </c>
      <c r="F303" s="26" t="s">
        <v>1230</v>
      </c>
      <c r="G303" s="26" t="s">
        <v>1158</v>
      </c>
      <c r="I303" s="26" t="s">
        <v>1249</v>
      </c>
      <c r="J303" s="26" t="s">
        <v>1249</v>
      </c>
      <c r="K303" s="53">
        <v>439000</v>
      </c>
      <c r="M303" s="53">
        <v>-410</v>
      </c>
      <c r="N303" s="53">
        <v>179990000</v>
      </c>
      <c r="R303" s="53">
        <v>179990000</v>
      </c>
      <c r="S303" s="53">
        <v>1354.4216284400898</v>
      </c>
      <c r="T303" s="86">
        <v>132890.67000000001</v>
      </c>
      <c r="V303" s="26" t="s">
        <v>1114</v>
      </c>
      <c r="W303" s="87">
        <v>44327.374343981479</v>
      </c>
    </row>
    <row r="304" spans="2:23">
      <c r="B304" s="26">
        <v>44327</v>
      </c>
      <c r="C304" s="26" t="s">
        <v>134</v>
      </c>
      <c r="D304" s="26" t="s">
        <v>1156</v>
      </c>
      <c r="E304" s="26" t="s">
        <v>1249</v>
      </c>
      <c r="F304" s="26" t="s">
        <v>1230</v>
      </c>
      <c r="G304" s="26" t="s">
        <v>1156</v>
      </c>
      <c r="I304" s="26" t="s">
        <v>1249</v>
      </c>
      <c r="J304" s="26" t="s">
        <v>1249</v>
      </c>
      <c r="K304" s="53">
        <v>430000</v>
      </c>
      <c r="M304" s="53">
        <v>-600</v>
      </c>
      <c r="N304" s="53">
        <v>258000000</v>
      </c>
      <c r="R304" s="53">
        <v>258000000</v>
      </c>
      <c r="S304" s="53">
        <v>1354.4216284400868</v>
      </c>
      <c r="T304" s="86">
        <v>190487.21</v>
      </c>
      <c r="V304" s="26" t="s">
        <v>1114</v>
      </c>
      <c r="W304" s="87">
        <v>44327.374733101853</v>
      </c>
    </row>
    <row r="305" spans="2:23">
      <c r="B305" s="26">
        <v>44327</v>
      </c>
      <c r="C305" s="26" t="s">
        <v>133</v>
      </c>
      <c r="D305" s="26" t="s">
        <v>1071</v>
      </c>
      <c r="E305" s="26" t="s">
        <v>1249</v>
      </c>
      <c r="F305" s="26" t="s">
        <v>1230</v>
      </c>
      <c r="G305" s="26" t="s">
        <v>1134</v>
      </c>
      <c r="I305" s="26" t="s">
        <v>1249</v>
      </c>
      <c r="J305" s="26" t="s">
        <v>1249</v>
      </c>
      <c r="K305" s="53">
        <v>1215.5</v>
      </c>
      <c r="M305" s="53">
        <v>22000</v>
      </c>
      <c r="N305" s="53">
        <v>-26741000</v>
      </c>
      <c r="R305" s="53">
        <v>-26741000</v>
      </c>
      <c r="S305" s="53">
        <v>131.93930646354627</v>
      </c>
      <c r="T305" s="86">
        <v>-202676.52</v>
      </c>
      <c r="V305" s="26" t="s">
        <v>1656</v>
      </c>
      <c r="W305" s="87">
        <v>44216.554416666666</v>
      </c>
    </row>
    <row r="306" spans="2:23">
      <c r="B306" s="26">
        <v>44328</v>
      </c>
      <c r="C306" s="26" t="s">
        <v>133</v>
      </c>
      <c r="D306" s="26" t="s">
        <v>1071</v>
      </c>
      <c r="E306" s="26" t="s">
        <v>1249</v>
      </c>
      <c r="F306" s="26" t="s">
        <v>1230</v>
      </c>
      <c r="G306" s="26" t="s">
        <v>1134</v>
      </c>
      <c r="I306" s="26" t="s">
        <v>1249</v>
      </c>
      <c r="J306" s="26" t="s">
        <v>1249</v>
      </c>
      <c r="K306" s="53">
        <v>1215.5</v>
      </c>
      <c r="M306" s="53">
        <v>22000</v>
      </c>
      <c r="N306" s="53">
        <v>-26741000</v>
      </c>
      <c r="R306" s="53">
        <v>-26741000</v>
      </c>
      <c r="S306" s="53">
        <v>131.91711606665692</v>
      </c>
      <c r="T306" s="53">
        <v>-202710.61707025141</v>
      </c>
      <c r="V306" s="26" t="s">
        <v>1656</v>
      </c>
      <c r="W306" s="87">
        <v>44216.554416666666</v>
      </c>
    </row>
    <row r="307" spans="2:23">
      <c r="B307" s="26">
        <v>44328</v>
      </c>
      <c r="C307" s="26" t="s">
        <v>133</v>
      </c>
      <c r="D307" s="26" t="s">
        <v>1071</v>
      </c>
      <c r="E307" s="26" t="s">
        <v>1249</v>
      </c>
      <c r="F307" s="26" t="s">
        <v>1230</v>
      </c>
      <c r="G307" s="26" t="s">
        <v>1134</v>
      </c>
      <c r="I307" s="26" t="s">
        <v>1249</v>
      </c>
      <c r="J307" s="26" t="s">
        <v>1249</v>
      </c>
      <c r="K307" s="53">
        <v>1215.5</v>
      </c>
      <c r="M307" s="53">
        <v>22000</v>
      </c>
      <c r="N307" s="53">
        <v>-26741000</v>
      </c>
      <c r="R307" s="53">
        <v>-26741000</v>
      </c>
      <c r="S307" s="53">
        <v>131.91711606665692</v>
      </c>
      <c r="T307" s="53">
        <v>-202710.61707025141</v>
      </c>
      <c r="V307" s="26" t="s">
        <v>1656</v>
      </c>
      <c r="W307" s="87">
        <v>44216.554416666666</v>
      </c>
    </row>
    <row r="308" spans="2:23">
      <c r="B308" s="26">
        <v>44333</v>
      </c>
      <c r="C308" s="26" t="s">
        <v>133</v>
      </c>
      <c r="D308" s="26" t="s">
        <v>1623</v>
      </c>
      <c r="E308" s="26" t="s">
        <v>1249</v>
      </c>
      <c r="F308" s="26" t="s">
        <v>1230</v>
      </c>
      <c r="G308" s="26" t="s">
        <v>1623</v>
      </c>
      <c r="I308" s="26" t="s">
        <v>1249</v>
      </c>
      <c r="J308" s="26" t="s">
        <v>1249</v>
      </c>
      <c r="K308" s="53">
        <v>2937</v>
      </c>
      <c r="M308" s="53">
        <v>5000</v>
      </c>
      <c r="N308" s="53">
        <v>-14685000</v>
      </c>
      <c r="R308" s="53">
        <v>-14685000</v>
      </c>
      <c r="S308" s="53">
        <v>132.73928033797884</v>
      </c>
      <c r="T308" s="86">
        <v>-110630.39999999999</v>
      </c>
      <c r="V308" s="26" t="s">
        <v>1656</v>
      </c>
      <c r="W308" s="87">
        <v>44216.554416666666</v>
      </c>
    </row>
    <row r="309" spans="2:23">
      <c r="B309" s="26">
        <v>44333</v>
      </c>
      <c r="C309" s="26" t="s">
        <v>133</v>
      </c>
      <c r="D309" s="26" t="s">
        <v>12587</v>
      </c>
      <c r="E309" s="26" t="s">
        <v>1249</v>
      </c>
      <c r="F309" s="26" t="s">
        <v>1230</v>
      </c>
      <c r="G309" s="26" t="s">
        <v>12587</v>
      </c>
      <c r="I309" s="26" t="s">
        <v>1249</v>
      </c>
      <c r="J309" s="26" t="s">
        <v>1249</v>
      </c>
      <c r="K309" s="53">
        <v>2190</v>
      </c>
      <c r="M309" s="53">
        <v>5000</v>
      </c>
      <c r="N309" s="53">
        <v>-10950000</v>
      </c>
      <c r="R309" s="53">
        <v>-10950000</v>
      </c>
      <c r="S309" s="53">
        <v>132.7392803379787</v>
      </c>
      <c r="T309" s="86">
        <v>-82492.539999999994</v>
      </c>
      <c r="V309" s="26" t="s">
        <v>1656</v>
      </c>
      <c r="W309" s="87">
        <v>44216.554416666666</v>
      </c>
    </row>
    <row r="310" spans="2:23">
      <c r="B310" s="26">
        <v>44333</v>
      </c>
      <c r="C310" s="26" t="s">
        <v>133</v>
      </c>
      <c r="D310" s="26" t="s">
        <v>12597</v>
      </c>
      <c r="E310" s="26" t="s">
        <v>1249</v>
      </c>
      <c r="F310" s="26" t="s">
        <v>1230</v>
      </c>
      <c r="G310" s="26" t="s">
        <v>12597</v>
      </c>
      <c r="I310" s="26" t="s">
        <v>1249</v>
      </c>
      <c r="J310" s="26" t="s">
        <v>1249</v>
      </c>
      <c r="K310" s="53">
        <v>2591</v>
      </c>
      <c r="M310" s="53">
        <v>5000</v>
      </c>
      <c r="N310" s="53">
        <v>-12955000</v>
      </c>
      <c r="R310" s="53">
        <v>-12955000</v>
      </c>
      <c r="S310" s="53">
        <v>132.73928033797898</v>
      </c>
      <c r="T310" s="86">
        <v>-97597.33</v>
      </c>
      <c r="V310" s="26" t="s">
        <v>1656</v>
      </c>
      <c r="W310" s="87">
        <v>44216.554416666666</v>
      </c>
    </row>
    <row r="311" spans="2:23">
      <c r="B311" s="26">
        <v>44335</v>
      </c>
      <c r="C311" s="26" t="s">
        <v>133</v>
      </c>
      <c r="D311" s="26" t="s">
        <v>1071</v>
      </c>
      <c r="E311" s="26" t="s">
        <v>1249</v>
      </c>
      <c r="F311" s="26" t="s">
        <v>1230</v>
      </c>
      <c r="G311" s="26" t="s">
        <v>1134</v>
      </c>
      <c r="I311" s="26" t="s">
        <v>1249</v>
      </c>
      <c r="J311" s="26" t="s">
        <v>1249</v>
      </c>
      <c r="K311" s="53">
        <v>1190</v>
      </c>
      <c r="M311" s="53">
        <v>11000</v>
      </c>
      <c r="N311" s="53">
        <v>-13090000</v>
      </c>
      <c r="R311" s="53">
        <v>-13090000</v>
      </c>
      <c r="S311" s="53">
        <v>133.05145845807931</v>
      </c>
      <c r="T311" s="86">
        <v>-98382.99</v>
      </c>
      <c r="V311" s="26" t="s">
        <v>1656</v>
      </c>
      <c r="W311" s="87">
        <v>44216.554416666666</v>
      </c>
    </row>
    <row r="312" spans="2:23">
      <c r="B312" s="26">
        <v>44342</v>
      </c>
      <c r="C312" s="26" t="s">
        <v>133</v>
      </c>
      <c r="D312" s="26" t="s">
        <v>2098</v>
      </c>
      <c r="E312" s="26" t="s">
        <v>1249</v>
      </c>
      <c r="F312" s="26" t="s">
        <v>1230</v>
      </c>
      <c r="G312" s="26" t="s">
        <v>2098</v>
      </c>
      <c r="I312" s="26" t="s">
        <v>1249</v>
      </c>
      <c r="J312" s="26" t="s">
        <v>1249</v>
      </c>
      <c r="K312" s="53">
        <v>42800</v>
      </c>
      <c r="M312" s="53">
        <v>7800</v>
      </c>
      <c r="N312" s="53">
        <v>-333840000</v>
      </c>
      <c r="R312" s="53">
        <v>-333840000</v>
      </c>
      <c r="S312" s="53">
        <v>1374.8851567380834</v>
      </c>
      <c r="T312" s="53">
        <v>-242813.0075911473</v>
      </c>
      <c r="V312" s="26" t="s">
        <v>1114</v>
      </c>
      <c r="W312" s="87">
        <v>44216.554416666666</v>
      </c>
    </row>
    <row r="313" spans="2:23">
      <c r="B313" s="26">
        <v>44343</v>
      </c>
      <c r="C313" s="26" t="s">
        <v>133</v>
      </c>
      <c r="D313" s="26" t="s">
        <v>2098</v>
      </c>
      <c r="E313" s="26" t="s">
        <v>1249</v>
      </c>
      <c r="F313" s="26" t="s">
        <v>1230</v>
      </c>
      <c r="G313" s="26" t="s">
        <v>2098</v>
      </c>
      <c r="I313" s="26" t="s">
        <v>1249</v>
      </c>
      <c r="J313" s="26" t="s">
        <v>1249</v>
      </c>
      <c r="K313" s="53">
        <v>42950</v>
      </c>
      <c r="M313" s="53">
        <v>1900</v>
      </c>
      <c r="N313" s="53">
        <v>-81605000</v>
      </c>
      <c r="R313" s="53">
        <v>-81605000</v>
      </c>
      <c r="S313" s="53">
        <v>1361.1551307994257</v>
      </c>
      <c r="T313" s="86">
        <v>-59952.75</v>
      </c>
      <c r="V313" s="26" t="s">
        <v>1114</v>
      </c>
      <c r="W313" s="87">
        <v>44216.554416666666</v>
      </c>
    </row>
    <row r="314" spans="2:23">
      <c r="B314" s="26">
        <v>44347</v>
      </c>
      <c r="C314" s="26" t="s">
        <v>133</v>
      </c>
      <c r="D314" s="26" t="s">
        <v>1139</v>
      </c>
      <c r="E314" s="26" t="s">
        <v>1249</v>
      </c>
      <c r="F314" s="26" t="s">
        <v>1230</v>
      </c>
      <c r="G314" s="26" t="s">
        <v>1590</v>
      </c>
      <c r="I314" s="26" t="s">
        <v>1249</v>
      </c>
      <c r="J314" s="26" t="s">
        <v>1249</v>
      </c>
      <c r="K314" s="53">
        <v>2300</v>
      </c>
      <c r="M314" s="53">
        <v>4500</v>
      </c>
      <c r="N314" s="53">
        <v>-10350000</v>
      </c>
      <c r="R314" s="53">
        <v>-10350000</v>
      </c>
      <c r="S314" s="53">
        <v>133.84771029119571</v>
      </c>
      <c r="T314" s="86">
        <v>-77326.69</v>
      </c>
      <c r="V314" s="26" t="s">
        <v>1656</v>
      </c>
      <c r="W314" s="87">
        <v>44216.554416666666</v>
      </c>
    </row>
    <row r="315" spans="2:23">
      <c r="B315" s="26">
        <v>44351</v>
      </c>
      <c r="C315" s="26" t="s">
        <v>134</v>
      </c>
      <c r="D315" s="26" t="s">
        <v>2064</v>
      </c>
      <c r="E315" s="26" t="s">
        <v>1249</v>
      </c>
      <c r="F315" s="26" t="s">
        <v>1230</v>
      </c>
      <c r="G315" s="26" t="s">
        <v>2064</v>
      </c>
      <c r="I315" s="26" t="s">
        <v>1249</v>
      </c>
      <c r="J315" s="26" t="s">
        <v>1249</v>
      </c>
      <c r="K315" s="53">
        <v>344000</v>
      </c>
      <c r="M315" s="53">
        <v>-420</v>
      </c>
      <c r="N315" s="53">
        <v>144480000</v>
      </c>
      <c r="R315" s="53">
        <v>144480000</v>
      </c>
      <c r="S315" s="53">
        <v>1353.5965858803829</v>
      </c>
      <c r="T315" s="53">
        <v>106737.85787220334</v>
      </c>
      <c r="V315" s="26" t="s">
        <v>1114</v>
      </c>
      <c r="W315" s="87">
        <v>44351.389093518519</v>
      </c>
    </row>
    <row r="316" spans="2:23">
      <c r="B316" s="26">
        <v>44351</v>
      </c>
      <c r="C316" s="26" t="s">
        <v>134</v>
      </c>
      <c r="D316" s="26" t="s">
        <v>12630</v>
      </c>
      <c r="E316" s="26" t="s">
        <v>1249</v>
      </c>
      <c r="F316" s="26" t="s">
        <v>1230</v>
      </c>
      <c r="G316" s="26" t="s">
        <v>12630</v>
      </c>
      <c r="I316" s="26" t="s">
        <v>1249</v>
      </c>
      <c r="J316" s="26" t="s">
        <v>1249</v>
      </c>
      <c r="K316" s="53">
        <v>155000</v>
      </c>
      <c r="M316" s="53">
        <v>-373</v>
      </c>
      <c r="N316" s="53">
        <v>57815000</v>
      </c>
      <c r="R316" s="53">
        <v>57815000</v>
      </c>
      <c r="S316" s="53">
        <v>1353.5965858803888</v>
      </c>
      <c r="T316" s="53">
        <v>42712.134917506984</v>
      </c>
      <c r="V316" s="26" t="s">
        <v>1114</v>
      </c>
      <c r="W316" s="87">
        <v>44351.389583217591</v>
      </c>
    </row>
    <row r="317" spans="2:23">
      <c r="B317" s="26">
        <v>44351</v>
      </c>
      <c r="C317" s="26" t="s">
        <v>133</v>
      </c>
      <c r="D317" s="26" t="s">
        <v>1162</v>
      </c>
      <c r="E317" s="26" t="s">
        <v>1249</v>
      </c>
      <c r="F317" s="26" t="s">
        <v>1230</v>
      </c>
      <c r="G317" s="26" t="s">
        <v>1162</v>
      </c>
      <c r="I317" s="26" t="s">
        <v>1249</v>
      </c>
      <c r="J317" s="26" t="s">
        <v>1249</v>
      </c>
      <c r="K317" s="53">
        <v>37650</v>
      </c>
      <c r="M317" s="53">
        <v>5076</v>
      </c>
      <c r="N317" s="53">
        <v>-191111400</v>
      </c>
      <c r="R317" s="53">
        <v>-191111400</v>
      </c>
      <c r="S317" s="53">
        <v>1353.5965858803829</v>
      </c>
      <c r="T317" s="53">
        <v>-141187.85611128047</v>
      </c>
      <c r="V317" s="26" t="s">
        <v>1114</v>
      </c>
      <c r="W317" s="87">
        <v>44216.554416666666</v>
      </c>
    </row>
    <row r="318" spans="2:23">
      <c r="B318" s="26">
        <v>44364</v>
      </c>
      <c r="C318" s="26" t="s">
        <v>133</v>
      </c>
      <c r="D318" s="26" t="s">
        <v>1146</v>
      </c>
      <c r="E318" s="26" t="s">
        <v>1249</v>
      </c>
      <c r="F318" s="26" t="s">
        <v>1230</v>
      </c>
      <c r="G318" s="26" t="s">
        <v>1146</v>
      </c>
      <c r="I318" s="26" t="s">
        <v>1249</v>
      </c>
      <c r="J318" s="26" t="s">
        <v>1249</v>
      </c>
      <c r="K318" s="53">
        <v>1714</v>
      </c>
      <c r="M318" s="53">
        <v>5000</v>
      </c>
      <c r="N318" s="53">
        <v>-8570000</v>
      </c>
      <c r="R318" s="53">
        <v>-8570000</v>
      </c>
      <c r="S318" s="53">
        <v>132.76161919040521</v>
      </c>
      <c r="T318" s="53">
        <v>-64551.788779474002</v>
      </c>
      <c r="V318" s="26" t="s">
        <v>1656</v>
      </c>
      <c r="W318" s="87">
        <v>44216.554416666666</v>
      </c>
    </row>
    <row r="319" spans="2:23">
      <c r="B319" s="26">
        <v>44368</v>
      </c>
      <c r="C319" s="26" t="s">
        <v>133</v>
      </c>
      <c r="D319" s="26" t="s">
        <v>1173</v>
      </c>
      <c r="E319" s="26" t="s">
        <v>1249</v>
      </c>
      <c r="F319" s="26" t="s">
        <v>1230</v>
      </c>
      <c r="G319" s="26" t="s">
        <v>1173</v>
      </c>
      <c r="I319" s="26" t="s">
        <v>1249</v>
      </c>
      <c r="J319" s="26" t="s">
        <v>1249</v>
      </c>
      <c r="K319" s="53">
        <v>34.865000000000002</v>
      </c>
      <c r="M319" s="53">
        <v>3900</v>
      </c>
      <c r="N319" s="53">
        <v>-135973.5</v>
      </c>
      <c r="R319" s="53">
        <v>-135973.5</v>
      </c>
      <c r="S319" s="53">
        <v>1</v>
      </c>
      <c r="T319" s="53">
        <v>-135973.5</v>
      </c>
      <c r="V319" s="26" t="s">
        <v>1111</v>
      </c>
      <c r="W319" s="87">
        <v>44216.554416666666</v>
      </c>
    </row>
    <row r="320" spans="2:23">
      <c r="B320" s="26">
        <v>44368</v>
      </c>
      <c r="C320" s="26" t="s">
        <v>133</v>
      </c>
      <c r="D320" s="26" t="s">
        <v>1168</v>
      </c>
      <c r="E320" s="26" t="s">
        <v>1249</v>
      </c>
      <c r="F320" s="26" t="s">
        <v>1230</v>
      </c>
      <c r="G320" s="26" t="s">
        <v>1168</v>
      </c>
      <c r="I320" s="26" t="s">
        <v>1249</v>
      </c>
      <c r="J320" s="26" t="s">
        <v>1249</v>
      </c>
      <c r="K320" s="53">
        <v>26.220000000000002</v>
      </c>
      <c r="M320" s="53">
        <v>6800</v>
      </c>
      <c r="N320" s="53">
        <v>-178296.00000000003</v>
      </c>
      <c r="R320" s="53">
        <v>-178296.00000000003</v>
      </c>
      <c r="S320" s="53">
        <v>1</v>
      </c>
      <c r="T320" s="53">
        <v>-178296.00000000003</v>
      </c>
      <c r="V320" s="26" t="s">
        <v>1111</v>
      </c>
      <c r="W320" s="87">
        <v>44216.554416666666</v>
      </c>
    </row>
    <row r="321" spans="2:23">
      <c r="B321" s="26">
        <v>44372</v>
      </c>
      <c r="C321" s="26" t="s">
        <v>133</v>
      </c>
      <c r="D321" s="26" t="s">
        <v>1146</v>
      </c>
      <c r="E321" s="26" t="s">
        <v>1249</v>
      </c>
      <c r="F321" s="26" t="s">
        <v>1230</v>
      </c>
      <c r="G321" s="26" t="s">
        <v>1146</v>
      </c>
      <c r="I321" s="26" t="s">
        <v>1249</v>
      </c>
      <c r="J321" s="26" t="s">
        <v>1249</v>
      </c>
      <c r="K321" s="53">
        <v>1727</v>
      </c>
      <c r="M321" s="53">
        <v>6000</v>
      </c>
      <c r="N321" s="53">
        <v>-10362000</v>
      </c>
      <c r="R321" s="53">
        <v>-10362000</v>
      </c>
      <c r="S321" s="53">
        <v>132.25644818782632</v>
      </c>
      <c r="T321" s="53">
        <v>-78347.786758073402</v>
      </c>
      <c r="V321" s="26" t="s">
        <v>1656</v>
      </c>
      <c r="W321" s="87">
        <v>44216.554416666666</v>
      </c>
    </row>
    <row r="322" spans="2:23">
      <c r="B322" s="26">
        <v>44372</v>
      </c>
      <c r="C322" s="26" t="s">
        <v>134</v>
      </c>
      <c r="D322" s="26" t="s">
        <v>1071</v>
      </c>
      <c r="E322" s="26" t="s">
        <v>1249</v>
      </c>
      <c r="F322" s="26" t="s">
        <v>1230</v>
      </c>
      <c r="G322" s="26" t="s">
        <v>1134</v>
      </c>
      <c r="I322" s="26" t="s">
        <v>1249</v>
      </c>
      <c r="J322" s="26" t="s">
        <v>1249</v>
      </c>
      <c r="K322" s="53">
        <v>1309</v>
      </c>
      <c r="M322" s="53">
        <v>-4200</v>
      </c>
      <c r="N322" s="53">
        <v>5497800</v>
      </c>
      <c r="R322" s="53">
        <v>5497800</v>
      </c>
      <c r="S322" s="53">
        <v>132.25644818782661</v>
      </c>
      <c r="T322" s="53">
        <v>41569.239725780259</v>
      </c>
      <c r="V322" s="26" t="s">
        <v>1656</v>
      </c>
      <c r="W322" s="87">
        <v>44372.436921643515</v>
      </c>
    </row>
    <row r="323" spans="2:23" s="473" customFormat="1">
      <c r="B323" s="473">
        <v>44382</v>
      </c>
      <c r="C323" s="473" t="s">
        <v>134</v>
      </c>
      <c r="D323" s="473" t="s">
        <v>1071</v>
      </c>
      <c r="E323" s="473" t="s">
        <v>1249</v>
      </c>
      <c r="F323" s="473" t="s">
        <v>1230</v>
      </c>
      <c r="G323" s="473" t="s">
        <v>1134</v>
      </c>
      <c r="I323" s="473" t="s">
        <v>1249</v>
      </c>
      <c r="J323" s="473" t="s">
        <v>1249</v>
      </c>
      <c r="K323" s="53">
        <v>1321.5</v>
      </c>
      <c r="L323" s="53"/>
      <c r="M323" s="53">
        <v>-3300</v>
      </c>
      <c r="N323" s="53">
        <v>4360950</v>
      </c>
      <c r="O323" s="53"/>
      <c r="P323" s="53"/>
      <c r="Q323" s="53"/>
      <c r="R323" s="53">
        <v>4360950</v>
      </c>
      <c r="S323" s="53">
        <v>131.73723736193332</v>
      </c>
      <c r="T323" s="474">
        <v>33103.4</v>
      </c>
      <c r="U323" s="53"/>
      <c r="V323" s="473" t="s">
        <v>1656</v>
      </c>
      <c r="W323" s="87">
        <v>44382.351098611114</v>
      </c>
    </row>
    <row r="324" spans="2:23">
      <c r="B324" s="26">
        <v>44391</v>
      </c>
      <c r="C324" s="26" t="s">
        <v>133</v>
      </c>
      <c r="E324" s="26" t="s">
        <v>12765</v>
      </c>
      <c r="F324" s="26" t="s">
        <v>1230</v>
      </c>
      <c r="G324" s="26" t="s">
        <v>12714</v>
      </c>
      <c r="I324" s="26" t="s">
        <v>12765</v>
      </c>
      <c r="J324" s="26" t="s">
        <v>12765</v>
      </c>
      <c r="K324" s="53">
        <v>24.5</v>
      </c>
      <c r="M324" s="53">
        <v>4200</v>
      </c>
      <c r="N324" s="53">
        <v>0</v>
      </c>
      <c r="R324" s="53">
        <v>0</v>
      </c>
      <c r="S324" s="53">
        <v>1</v>
      </c>
      <c r="T324" s="53">
        <v>-147000</v>
      </c>
      <c r="V324" s="26" t="s">
        <v>1111</v>
      </c>
      <c r="W324" s="87">
        <v>44391.385765393519</v>
      </c>
    </row>
    <row r="325" spans="2:23">
      <c r="B325" s="26">
        <v>44392</v>
      </c>
      <c r="C325" s="26" t="s">
        <v>134</v>
      </c>
      <c r="D325" s="26" t="s">
        <v>12704</v>
      </c>
      <c r="E325" s="26" t="s">
        <v>1186</v>
      </c>
      <c r="F325" s="26" t="s">
        <v>1230</v>
      </c>
      <c r="G325" s="26" t="s">
        <v>12704</v>
      </c>
      <c r="J325" s="26" t="s">
        <v>125</v>
      </c>
      <c r="K325" s="53">
        <v>1315.5</v>
      </c>
      <c r="M325" s="53">
        <v>-5000</v>
      </c>
      <c r="N325" s="53">
        <v>6577500</v>
      </c>
      <c r="R325" s="53">
        <v>6577500</v>
      </c>
      <c r="S325" s="53">
        <v>129.88</v>
      </c>
      <c r="T325" s="53">
        <v>50642.901139513393</v>
      </c>
      <c r="V325" s="26" t="s">
        <v>1656</v>
      </c>
      <c r="W325" s="87">
        <v>44392.727456712964</v>
      </c>
    </row>
    <row r="326" spans="2:23">
      <c r="B326" s="26">
        <v>44392</v>
      </c>
      <c r="C326" s="26" t="s">
        <v>133</v>
      </c>
      <c r="E326" s="26" t="s">
        <v>12673</v>
      </c>
      <c r="F326" s="26" t="s">
        <v>1058</v>
      </c>
      <c r="G326" s="26" t="s">
        <v>12766</v>
      </c>
      <c r="J326" s="26" t="s">
        <v>123</v>
      </c>
      <c r="K326" s="53">
        <v>41450</v>
      </c>
      <c r="M326" s="53">
        <v>4200</v>
      </c>
      <c r="N326" s="53">
        <v>-174090000</v>
      </c>
      <c r="R326" s="53">
        <v>-174090000</v>
      </c>
      <c r="S326" s="53">
        <v>1350.73</v>
      </c>
      <c r="T326" s="53">
        <v>-128885.8617192185</v>
      </c>
      <c r="V326" s="26" t="s">
        <v>1114</v>
      </c>
      <c r="W326" s="87">
        <v>44392.73100104167</v>
      </c>
    </row>
    <row r="327" spans="2:23">
      <c r="B327" s="26">
        <v>44410</v>
      </c>
      <c r="C327" s="26" t="s">
        <v>134</v>
      </c>
      <c r="D327" s="26" t="s">
        <v>12725</v>
      </c>
      <c r="E327" s="26" t="s">
        <v>12678</v>
      </c>
      <c r="F327" s="26" t="s">
        <v>1230</v>
      </c>
      <c r="G327" s="26" t="s">
        <v>12725</v>
      </c>
      <c r="J327" s="26" t="s">
        <v>1069</v>
      </c>
      <c r="K327" s="53">
        <v>9.4700000000000006</v>
      </c>
      <c r="M327" s="53">
        <v>-11000</v>
      </c>
      <c r="N327" s="53">
        <v>104170</v>
      </c>
      <c r="R327" s="53">
        <v>104170</v>
      </c>
      <c r="S327" s="53">
        <v>1.61598</v>
      </c>
      <c r="T327" s="53">
        <v>64462.431465735965</v>
      </c>
      <c r="V327" s="26" t="s">
        <v>1656</v>
      </c>
      <c r="W327" s="87">
        <v>44410.417314120372</v>
      </c>
    </row>
    <row r="328" spans="2:23">
      <c r="B328" s="26">
        <v>44413</v>
      </c>
      <c r="C328" s="26" t="s">
        <v>134</v>
      </c>
      <c r="D328" s="26" t="s">
        <v>12704</v>
      </c>
      <c r="E328" s="26" t="s">
        <v>1186</v>
      </c>
      <c r="F328" s="26" t="s">
        <v>1230</v>
      </c>
      <c r="G328" s="26" t="s">
        <v>12704</v>
      </c>
      <c r="J328" s="26" t="s">
        <v>125</v>
      </c>
      <c r="K328" s="53">
        <v>1359.5</v>
      </c>
      <c r="M328" s="53">
        <v>-4000</v>
      </c>
      <c r="N328" s="53">
        <v>5438000</v>
      </c>
      <c r="R328" s="53">
        <v>5438000</v>
      </c>
      <c r="S328" s="289">
        <v>129.6</v>
      </c>
      <c r="T328" s="53">
        <v>41959.876543209881</v>
      </c>
      <c r="V328" s="26" t="s">
        <v>1656</v>
      </c>
      <c r="W328" s="87">
        <v>44413.326128472225</v>
      </c>
    </row>
    <row r="329" spans="2:23">
      <c r="B329" s="26">
        <v>44414</v>
      </c>
      <c r="C329" s="26" t="s">
        <v>134</v>
      </c>
      <c r="D329" s="26" t="s">
        <v>12717</v>
      </c>
      <c r="E329" s="26" t="s">
        <v>1227</v>
      </c>
      <c r="F329" s="26" t="s">
        <v>1230</v>
      </c>
      <c r="G329" s="26" t="s">
        <v>12717</v>
      </c>
      <c r="J329" s="26" t="s">
        <v>1069</v>
      </c>
      <c r="K329" s="53">
        <v>1.53</v>
      </c>
      <c r="M329" s="53">
        <v>-110000</v>
      </c>
      <c r="N329" s="53">
        <v>168300</v>
      </c>
      <c r="R329" s="53">
        <v>168300</v>
      </c>
      <c r="S329" s="53">
        <v>1.5989899999999999</v>
      </c>
      <c r="T329" s="53">
        <v>105253.94155060383</v>
      </c>
      <c r="V329" s="26" t="s">
        <v>1656</v>
      </c>
      <c r="W329" s="87">
        <v>44414.373979050928</v>
      </c>
    </row>
    <row r="330" spans="2:23">
      <c r="B330" s="26">
        <v>44418</v>
      </c>
      <c r="C330" s="26" t="s">
        <v>133</v>
      </c>
      <c r="D330" s="26" t="s">
        <v>12705</v>
      </c>
      <c r="E330" s="26" t="s">
        <v>1187</v>
      </c>
      <c r="F330" s="26" t="s">
        <v>1230</v>
      </c>
      <c r="G330" s="26" t="s">
        <v>12705</v>
      </c>
      <c r="J330" s="26" t="s">
        <v>125</v>
      </c>
      <c r="K330" s="53">
        <v>4195</v>
      </c>
      <c r="M330" s="53">
        <v>4100</v>
      </c>
      <c r="N330" s="53">
        <v>-17199500</v>
      </c>
      <c r="R330" s="53">
        <v>-17199500</v>
      </c>
      <c r="S330" s="53">
        <v>129.57</v>
      </c>
      <c r="T330" s="53">
        <v>-132742.9188855445</v>
      </c>
      <c r="V330" s="26" t="s">
        <v>1656</v>
      </c>
      <c r="W330" s="87">
        <v>44418.372908217592</v>
      </c>
    </row>
    <row r="331" spans="2:23">
      <c r="B331" s="26">
        <v>44418</v>
      </c>
      <c r="C331" s="26" t="s">
        <v>134</v>
      </c>
      <c r="D331" s="26" t="s">
        <v>12725</v>
      </c>
      <c r="E331" s="26" t="s">
        <v>12678</v>
      </c>
      <c r="F331" s="26" t="s">
        <v>1230</v>
      </c>
      <c r="G331" s="26" t="s">
        <v>12725</v>
      </c>
      <c r="J331" s="26" t="s">
        <v>1069</v>
      </c>
      <c r="K331" s="53">
        <v>9.83</v>
      </c>
      <c r="M331" s="53">
        <v>-22000</v>
      </c>
      <c r="N331" s="53">
        <v>216260</v>
      </c>
      <c r="R331" s="53">
        <v>216260</v>
      </c>
      <c r="S331" s="53">
        <v>1.5991299999999999</v>
      </c>
      <c r="T331" s="53">
        <v>135236.03459381039</v>
      </c>
      <c r="V331" s="26" t="s">
        <v>1656</v>
      </c>
      <c r="W331" s="87">
        <v>44418.373842476853</v>
      </c>
    </row>
    <row r="332" spans="2:23">
      <c r="B332" s="26">
        <v>44427</v>
      </c>
      <c r="C332" s="26" t="s">
        <v>134</v>
      </c>
      <c r="D332" s="26" t="s">
        <v>12736</v>
      </c>
      <c r="E332" s="26" t="s">
        <v>1607</v>
      </c>
      <c r="F332" s="26" t="s">
        <v>1230</v>
      </c>
      <c r="G332" s="26" t="s">
        <v>12788</v>
      </c>
      <c r="J332" s="26" t="s">
        <v>123</v>
      </c>
      <c r="K332" s="53">
        <v>19250</v>
      </c>
      <c r="M332" s="53">
        <v>-16371</v>
      </c>
      <c r="N332" s="53">
        <v>315141750</v>
      </c>
      <c r="R332" s="53">
        <v>315141750</v>
      </c>
      <c r="S332" s="53">
        <v>1372.37</v>
      </c>
      <c r="T332" s="53">
        <v>229633.22573358499</v>
      </c>
      <c r="V332" s="26" t="s">
        <v>1113</v>
      </c>
      <c r="W332" s="87">
        <v>44427.385445254629</v>
      </c>
    </row>
    <row r="333" spans="2:23">
      <c r="B333" s="26">
        <v>44427</v>
      </c>
      <c r="C333" s="26" t="s">
        <v>133</v>
      </c>
      <c r="E333" s="26" t="s">
        <v>12673</v>
      </c>
      <c r="F333" s="26" t="s">
        <v>1058</v>
      </c>
      <c r="G333" s="26" t="s">
        <v>12789</v>
      </c>
      <c r="J333" s="26" t="s">
        <v>123</v>
      </c>
      <c r="K333" s="53">
        <v>36800</v>
      </c>
      <c r="M333" s="53">
        <v>6730</v>
      </c>
      <c r="N333" s="53">
        <v>-247664000</v>
      </c>
      <c r="R333" s="53">
        <v>-247664000</v>
      </c>
      <c r="S333" s="53">
        <v>1372.37</v>
      </c>
      <c r="T333" s="53">
        <v>-180464.45200638313</v>
      </c>
      <c r="V333" s="26" t="s">
        <v>1113</v>
      </c>
      <c r="W333" s="87">
        <v>44427.385445370368</v>
      </c>
    </row>
    <row r="334" spans="2:23">
      <c r="B334" s="26">
        <v>44427</v>
      </c>
      <c r="C334" s="26" t="s">
        <v>133</v>
      </c>
      <c r="D334" s="26" t="s">
        <v>12741</v>
      </c>
      <c r="E334" s="26" t="s">
        <v>12670</v>
      </c>
      <c r="F334" s="26" t="s">
        <v>1230</v>
      </c>
      <c r="G334" s="26" t="s">
        <v>12741</v>
      </c>
      <c r="J334" s="26" t="s">
        <v>123</v>
      </c>
      <c r="K334" s="53">
        <v>54000</v>
      </c>
      <c r="M334" s="53">
        <v>2700</v>
      </c>
      <c r="N334" s="53">
        <v>-145800000</v>
      </c>
      <c r="R334" s="53">
        <v>-145800000</v>
      </c>
      <c r="S334" s="53">
        <v>1372.37</v>
      </c>
      <c r="T334" s="53">
        <v>-106239.57096118396</v>
      </c>
      <c r="V334" s="26" t="s">
        <v>1113</v>
      </c>
      <c r="W334" s="87">
        <v>44427.385445370368</v>
      </c>
    </row>
    <row r="335" spans="2:23">
      <c r="B335" s="26">
        <v>44427</v>
      </c>
      <c r="C335" s="26" t="s">
        <v>134</v>
      </c>
      <c r="D335" s="26" t="s">
        <v>12721</v>
      </c>
      <c r="E335" s="26" t="s">
        <v>1654</v>
      </c>
      <c r="F335" s="26" t="s">
        <v>1230</v>
      </c>
      <c r="G335" s="26" t="s">
        <v>12721</v>
      </c>
      <c r="J335" s="26" t="s">
        <v>1069</v>
      </c>
      <c r="K335" s="53">
        <v>2.99</v>
      </c>
      <c r="M335" s="53">
        <v>-250000</v>
      </c>
      <c r="N335" s="53">
        <v>747500</v>
      </c>
      <c r="R335" s="53">
        <v>747500</v>
      </c>
      <c r="S335" s="289">
        <v>1.6406712962962962</v>
      </c>
      <c r="T335" s="53">
        <v>455606.55098222068</v>
      </c>
      <c r="V335" s="26" t="s">
        <v>1656</v>
      </c>
      <c r="W335" s="87">
        <v>44427.385445254629</v>
      </c>
    </row>
    <row r="336" spans="2:23">
      <c r="B336" s="26">
        <v>44428</v>
      </c>
      <c r="C336" s="26" t="s">
        <v>133</v>
      </c>
      <c r="D336" s="26" t="s">
        <v>12705</v>
      </c>
      <c r="E336" s="26" t="s">
        <v>1187</v>
      </c>
      <c r="F336" s="26" t="s">
        <v>1230</v>
      </c>
      <c r="G336" s="26" t="s">
        <v>12705</v>
      </c>
      <c r="J336" s="26" t="s">
        <v>125</v>
      </c>
      <c r="K336" s="53">
        <v>3960</v>
      </c>
      <c r="M336" s="53">
        <v>4200</v>
      </c>
      <c r="N336" s="53">
        <v>-16632000</v>
      </c>
      <c r="R336" s="53">
        <v>-16632000</v>
      </c>
      <c r="S336" s="289">
        <v>128.15</v>
      </c>
      <c r="T336" s="53">
        <v>-129785.40772532189</v>
      </c>
      <c r="V336" s="26" t="s">
        <v>1656</v>
      </c>
      <c r="W336" s="87">
        <v>44427.385445370368</v>
      </c>
    </row>
    <row r="337" spans="1:23">
      <c r="B337" s="26">
        <v>44452</v>
      </c>
      <c r="C337" s="26" t="s">
        <v>134</v>
      </c>
      <c r="D337" s="26" t="s">
        <v>12704</v>
      </c>
      <c r="E337" s="26" t="s">
        <v>1186</v>
      </c>
      <c r="F337" s="26" t="s">
        <v>1230</v>
      </c>
      <c r="G337" s="26" t="s">
        <v>12704</v>
      </c>
      <c r="I337" s="26" t="s">
        <v>1081</v>
      </c>
      <c r="J337" s="26" t="s">
        <v>125</v>
      </c>
      <c r="K337" s="53">
        <v>1446</v>
      </c>
      <c r="M337" s="53">
        <v>-3500</v>
      </c>
      <c r="N337" s="53">
        <v>5061000</v>
      </c>
      <c r="R337" s="53">
        <v>5061000</v>
      </c>
      <c r="S337" s="289">
        <v>129.88</v>
      </c>
      <c r="T337" s="53">
        <v>38966.738527871887</v>
      </c>
      <c r="V337" s="26" t="s">
        <v>1656</v>
      </c>
      <c r="W337" s="87">
        <v>44452.852227314812</v>
      </c>
    </row>
    <row r="338" spans="1:23">
      <c r="B338" s="26">
        <v>44453</v>
      </c>
      <c r="C338" s="26" t="s">
        <v>133</v>
      </c>
      <c r="D338" s="26" t="s">
        <v>12705</v>
      </c>
      <c r="E338" s="26" t="s">
        <v>1187</v>
      </c>
      <c r="F338" s="26" t="s">
        <v>1230</v>
      </c>
      <c r="G338" s="26" t="s">
        <v>12705</v>
      </c>
      <c r="I338" s="26" t="s">
        <v>1090</v>
      </c>
      <c r="J338" s="26" t="s">
        <v>125</v>
      </c>
      <c r="K338" s="53">
        <v>4422</v>
      </c>
      <c r="M338" s="53">
        <v>6900</v>
      </c>
      <c r="N338" s="53">
        <v>-30511800</v>
      </c>
      <c r="R338" s="53">
        <v>-30511800</v>
      </c>
      <c r="S338" s="289">
        <v>130.09</v>
      </c>
      <c r="T338" s="53">
        <v>-234543.77738488736</v>
      </c>
      <c r="V338" s="26" t="s">
        <v>1656</v>
      </c>
      <c r="W338" s="87">
        <v>44453.475909490742</v>
      </c>
    </row>
    <row r="339" spans="1:23">
      <c r="B339" s="26">
        <v>44453</v>
      </c>
      <c r="C339" s="26" t="s">
        <v>134</v>
      </c>
      <c r="D339" s="26" t="s">
        <v>12707</v>
      </c>
      <c r="E339" s="26" t="s">
        <v>1196</v>
      </c>
      <c r="F339" s="26" t="s">
        <v>1230</v>
      </c>
      <c r="G339" s="26" t="s">
        <v>12707</v>
      </c>
      <c r="I339" s="26" t="s">
        <v>1088</v>
      </c>
      <c r="J339" s="26" t="s">
        <v>125</v>
      </c>
      <c r="K339" s="84">
        <v>609</v>
      </c>
    </row>
    <row r="340" spans="1:23">
      <c r="B340" s="26">
        <v>44457</v>
      </c>
      <c r="C340" s="26" t="s">
        <v>133</v>
      </c>
      <c r="D340" s="26" t="s">
        <v>12714</v>
      </c>
      <c r="E340" s="26" t="s">
        <v>1217</v>
      </c>
      <c r="F340" s="26" t="s">
        <v>1230</v>
      </c>
      <c r="G340" s="26" t="s">
        <v>12714</v>
      </c>
      <c r="I340" s="26" t="s">
        <v>12762</v>
      </c>
      <c r="J340" s="26" t="s">
        <v>2</v>
      </c>
      <c r="K340" s="53">
        <v>21.58</v>
      </c>
      <c r="M340" s="53">
        <v>11000</v>
      </c>
      <c r="N340" s="53">
        <v>-237379.99999999997</v>
      </c>
      <c r="R340" s="53">
        <v>-237379.99999999997</v>
      </c>
      <c r="S340" s="84">
        <v>1</v>
      </c>
      <c r="T340" s="53">
        <v>-237379.99999999997</v>
      </c>
      <c r="V340" s="26" t="s">
        <v>1111</v>
      </c>
      <c r="W340" s="87">
        <v>44457.411546759256</v>
      </c>
    </row>
    <row r="341" spans="1:23" s="499" customFormat="1">
      <c r="B341" s="499">
        <v>44468</v>
      </c>
      <c r="C341" s="499" t="s">
        <v>133</v>
      </c>
      <c r="E341" s="499" t="s">
        <v>1202</v>
      </c>
      <c r="F341" s="499" t="s">
        <v>1058</v>
      </c>
      <c r="G341" s="499" t="s">
        <v>12860</v>
      </c>
      <c r="I341" s="499" t="s">
        <v>12861</v>
      </c>
      <c r="J341" s="499" t="s">
        <v>125</v>
      </c>
      <c r="K341" s="53">
        <v>4095</v>
      </c>
      <c r="L341" s="53"/>
      <c r="M341" s="53">
        <v>6700</v>
      </c>
      <c r="N341" s="53">
        <v>-27436500</v>
      </c>
      <c r="O341" s="53"/>
      <c r="P341" s="53"/>
      <c r="Q341" s="53"/>
      <c r="R341" s="53">
        <v>-27436500</v>
      </c>
      <c r="S341" s="84">
        <v>130.26</v>
      </c>
      <c r="T341" s="53">
        <v>-210628.74251497007</v>
      </c>
      <c r="U341" s="53"/>
      <c r="V341" s="499" t="s">
        <v>1656</v>
      </c>
      <c r="W341" s="87">
        <v>44468.351708217589</v>
      </c>
    </row>
    <row r="342" spans="1:23" s="499" customFormat="1">
      <c r="B342" s="499">
        <v>44469</v>
      </c>
      <c r="C342" s="499" t="s">
        <v>133</v>
      </c>
      <c r="E342" s="499" t="s">
        <v>12863</v>
      </c>
      <c r="F342" s="499" t="s">
        <v>1058</v>
      </c>
      <c r="G342" s="499" t="s">
        <v>12862</v>
      </c>
      <c r="I342" s="499" t="s">
        <v>12861</v>
      </c>
      <c r="J342" s="499" t="s">
        <v>2</v>
      </c>
      <c r="K342" s="53">
        <v>51.4</v>
      </c>
      <c r="L342" s="53"/>
      <c r="M342" s="53">
        <v>3540</v>
      </c>
      <c r="N342" s="53">
        <v>-181956</v>
      </c>
      <c r="O342" s="53"/>
      <c r="P342" s="53"/>
      <c r="Q342" s="53"/>
      <c r="R342" s="53">
        <v>-181956</v>
      </c>
      <c r="S342" s="84">
        <v>1</v>
      </c>
      <c r="T342" s="53">
        <v>-181956</v>
      </c>
      <c r="U342" s="53"/>
      <c r="V342" s="499" t="s">
        <v>1111</v>
      </c>
      <c r="W342" s="87">
        <v>44469.437924189813</v>
      </c>
    </row>
    <row r="343" spans="1:23" s="499" customFormat="1">
      <c r="B343" s="499">
        <v>44469</v>
      </c>
      <c r="C343" s="499" t="s">
        <v>133</v>
      </c>
      <c r="E343" s="499" t="s">
        <v>12865</v>
      </c>
      <c r="F343" s="499" t="s">
        <v>1058</v>
      </c>
      <c r="G343" s="499" t="s">
        <v>12864</v>
      </c>
      <c r="I343" s="499" t="s">
        <v>12861</v>
      </c>
      <c r="J343" s="499" t="s">
        <v>125</v>
      </c>
      <c r="K343" s="53">
        <v>2871</v>
      </c>
      <c r="L343" s="53"/>
      <c r="M343" s="53">
        <v>22000</v>
      </c>
      <c r="N343" s="53">
        <v>-63162000</v>
      </c>
      <c r="O343" s="53"/>
      <c r="P343" s="53"/>
      <c r="Q343" s="53"/>
      <c r="R343" s="53">
        <v>-63162000</v>
      </c>
      <c r="S343" s="84">
        <v>129.59</v>
      </c>
      <c r="T343" s="53">
        <v>-487398.71903696266</v>
      </c>
      <c r="U343" s="53"/>
      <c r="V343" s="499" t="s">
        <v>1111</v>
      </c>
      <c r="W343" s="87">
        <v>44469.51668148148</v>
      </c>
    </row>
    <row r="344" spans="1:23" s="499" customFormat="1">
      <c r="B344" s="499">
        <v>44473</v>
      </c>
      <c r="C344" s="499" t="s">
        <v>134</v>
      </c>
      <c r="D344" s="499" t="s">
        <v>12721</v>
      </c>
      <c r="E344" s="499" t="s">
        <v>1654</v>
      </c>
      <c r="F344" s="499" t="s">
        <v>1230</v>
      </c>
      <c r="G344" s="499" t="s">
        <v>12721</v>
      </c>
      <c r="I344" s="499" t="s">
        <v>1655</v>
      </c>
      <c r="J344" s="499" t="s">
        <v>1069</v>
      </c>
      <c r="K344" s="53">
        <v>2.96</v>
      </c>
      <c r="L344" s="53"/>
      <c r="M344" s="53"/>
      <c r="N344" s="53"/>
      <c r="O344" s="53"/>
      <c r="P344" s="53"/>
      <c r="Q344" s="53"/>
      <c r="R344" s="53"/>
      <c r="S344" s="84"/>
      <c r="T344" s="53"/>
      <c r="U344" s="53"/>
      <c r="W344" s="87"/>
    </row>
    <row r="345" spans="1:23" s="499" customFormat="1">
      <c r="B345" s="499">
        <v>44473</v>
      </c>
      <c r="C345" s="499" t="s">
        <v>133</v>
      </c>
      <c r="D345" s="499" t="s">
        <v>12705</v>
      </c>
      <c r="E345" s="499" t="s">
        <v>1187</v>
      </c>
      <c r="F345" s="499" t="s">
        <v>1230</v>
      </c>
      <c r="G345" s="499" t="s">
        <v>12705</v>
      </c>
      <c r="I345" s="499" t="s">
        <v>1090</v>
      </c>
      <c r="J345" s="499" t="s">
        <v>125</v>
      </c>
      <c r="K345" s="53">
        <v>3920</v>
      </c>
      <c r="L345" s="53"/>
      <c r="M345" s="53">
        <v>8900</v>
      </c>
      <c r="N345" s="53">
        <v>-34888000</v>
      </c>
      <c r="O345" s="53"/>
      <c r="P345" s="53"/>
      <c r="Q345" s="53"/>
      <c r="R345" s="53">
        <v>-34888000</v>
      </c>
      <c r="S345" s="84">
        <v>129.27000000000001</v>
      </c>
      <c r="T345" s="53">
        <v>-269884.73737139319</v>
      </c>
      <c r="U345" s="53"/>
      <c r="V345" s="499" t="s">
        <v>1656</v>
      </c>
      <c r="W345" s="87">
        <v>44473.621874652781</v>
      </c>
    </row>
    <row r="346" spans="1:23" s="499" customFormat="1">
      <c r="B346" s="499">
        <v>44495</v>
      </c>
      <c r="C346" s="499" t="s">
        <v>134</v>
      </c>
      <c r="D346" s="499" t="s">
        <v>12704</v>
      </c>
      <c r="E346" s="499" t="s">
        <v>1186</v>
      </c>
      <c r="F346" s="499" t="s">
        <v>1230</v>
      </c>
      <c r="G346" s="499" t="s">
        <v>12704</v>
      </c>
      <c r="I346" s="499" t="s">
        <v>1081</v>
      </c>
      <c r="J346" s="499" t="s">
        <v>125</v>
      </c>
      <c r="K346" s="53">
        <v>1445.5</v>
      </c>
      <c r="L346" s="53"/>
      <c r="M346" s="53"/>
      <c r="N346" s="53"/>
      <c r="O346" s="53"/>
      <c r="P346" s="53"/>
      <c r="Q346" s="53"/>
      <c r="R346" s="53"/>
      <c r="S346" s="84"/>
      <c r="T346" s="53"/>
      <c r="U346" s="53"/>
      <c r="W346" s="87"/>
    </row>
    <row r="347" spans="1:23" s="499" customFormat="1">
      <c r="B347" s="499">
        <v>44507</v>
      </c>
      <c r="C347" s="499" t="s">
        <v>134</v>
      </c>
      <c r="D347" s="499" t="s">
        <v>12724</v>
      </c>
      <c r="E347" s="499" t="s">
        <v>12676</v>
      </c>
      <c r="F347" s="499" t="s">
        <v>1230</v>
      </c>
      <c r="G347" s="499" t="s">
        <v>12724</v>
      </c>
      <c r="I347" s="499" t="s">
        <v>12613</v>
      </c>
      <c r="J347" s="499" t="s">
        <v>125</v>
      </c>
      <c r="K347" s="53">
        <v>5122</v>
      </c>
      <c r="L347" s="53"/>
      <c r="M347" s="53"/>
      <c r="N347" s="53"/>
      <c r="O347" s="53"/>
      <c r="P347" s="53"/>
      <c r="Q347" s="53"/>
      <c r="R347" s="53"/>
      <c r="S347" s="84"/>
      <c r="T347" s="53"/>
      <c r="U347" s="53"/>
      <c r="W347" s="87"/>
    </row>
    <row r="348" spans="1:23" s="499" customFormat="1">
      <c r="A348" s="499">
        <v>2019200484</v>
      </c>
      <c r="B348" s="499">
        <v>44351</v>
      </c>
      <c r="C348" s="499" t="s">
        <v>134</v>
      </c>
      <c r="E348" s="499" t="s">
        <v>12689</v>
      </c>
      <c r="G348" s="499" t="s">
        <v>12630</v>
      </c>
      <c r="I348" s="499" t="s">
        <v>12631</v>
      </c>
      <c r="J348" s="499" t="s">
        <v>123</v>
      </c>
      <c r="K348" s="53">
        <v>152423.86060000001</v>
      </c>
      <c r="L348" s="53"/>
      <c r="M348" s="53">
        <v>-373</v>
      </c>
      <c r="N348" s="53">
        <v>56854100.003800005</v>
      </c>
      <c r="O348" s="53">
        <v>-85281</v>
      </c>
      <c r="P348" s="53">
        <v>-130729</v>
      </c>
      <c r="Q348" s="53"/>
      <c r="R348" s="53">
        <v>56638090.003800005</v>
      </c>
      <c r="S348" s="84">
        <v>1353.5965858803888</v>
      </c>
      <c r="T348" s="53">
        <v>41842.66611973034</v>
      </c>
      <c r="U348" s="53">
        <v>44355</v>
      </c>
      <c r="V348" s="499" t="s">
        <v>1114</v>
      </c>
      <c r="W348" s="87">
        <v>44351.389583217591</v>
      </c>
    </row>
    <row r="349" spans="1:23" s="499" customFormat="1">
      <c r="B349" s="499">
        <v>44507</v>
      </c>
      <c r="C349" s="499" t="s">
        <v>134</v>
      </c>
      <c r="D349" s="499" t="s">
        <v>12732</v>
      </c>
      <c r="E349" s="499" t="s">
        <v>1211</v>
      </c>
      <c r="F349" s="499" t="s">
        <v>1230</v>
      </c>
      <c r="G349" s="499" t="s">
        <v>12732</v>
      </c>
      <c r="I349" s="499" t="s">
        <v>1094</v>
      </c>
      <c r="J349" s="499" t="s">
        <v>123</v>
      </c>
      <c r="K349" s="53">
        <v>137000</v>
      </c>
      <c r="L349" s="53"/>
      <c r="M349" s="53"/>
      <c r="N349" s="53"/>
      <c r="O349" s="53"/>
      <c r="P349" s="53"/>
      <c r="Q349" s="53"/>
      <c r="R349" s="53"/>
      <c r="S349" s="84"/>
      <c r="T349" s="53"/>
      <c r="U349" s="53"/>
      <c r="W349" s="87"/>
    </row>
    <row r="350" spans="1:23" s="499" customFormat="1">
      <c r="B350" s="499">
        <v>44507</v>
      </c>
      <c r="C350" s="499" t="s">
        <v>134</v>
      </c>
      <c r="D350" s="499" t="s">
        <v>12724</v>
      </c>
      <c r="E350" s="499" t="s">
        <v>12676</v>
      </c>
      <c r="F350" s="499" t="s">
        <v>1230</v>
      </c>
      <c r="G350" s="499" t="s">
        <v>12873</v>
      </c>
      <c r="I350" s="499" t="s">
        <v>12613</v>
      </c>
      <c r="J350" s="499" t="s">
        <v>125</v>
      </c>
      <c r="K350" s="53">
        <v>5122</v>
      </c>
      <c r="L350" s="53"/>
      <c r="M350" s="53"/>
      <c r="N350" s="53"/>
      <c r="O350" s="53"/>
      <c r="P350" s="53"/>
      <c r="Q350" s="53"/>
      <c r="R350" s="53"/>
      <c r="S350" s="84"/>
      <c r="T350" s="53"/>
      <c r="U350" s="53"/>
      <c r="W350" s="87"/>
    </row>
    <row r="351" spans="1:23">
      <c r="B351" s="26">
        <v>44507</v>
      </c>
      <c r="C351" s="26" t="s">
        <v>133</v>
      </c>
      <c r="D351" s="26" t="s">
        <v>12711</v>
      </c>
      <c r="E351" s="26" t="s">
        <v>1209</v>
      </c>
      <c r="F351" s="26" t="s">
        <v>1230</v>
      </c>
      <c r="G351" s="26" t="s">
        <v>12711</v>
      </c>
      <c r="I351" s="26" t="s">
        <v>1102</v>
      </c>
      <c r="J351" s="26" t="s">
        <v>123</v>
      </c>
      <c r="K351" s="84">
        <v>143500</v>
      </c>
      <c r="M351" s="84">
        <v>1600</v>
      </c>
      <c r="N351" s="53">
        <v>-229600000</v>
      </c>
      <c r="R351" s="53">
        <v>-229600000</v>
      </c>
      <c r="S351" s="289">
        <v>1369.23</v>
      </c>
      <c r="T351" s="53">
        <v>-167685.48746375699</v>
      </c>
      <c r="V351" s="26" t="s">
        <v>1114</v>
      </c>
      <c r="W351" s="87">
        <v>44507.976485300926</v>
      </c>
    </row>
    <row r="352" spans="1:23">
      <c r="B352" s="26">
        <v>44507</v>
      </c>
      <c r="C352" s="26" t="s">
        <v>133</v>
      </c>
      <c r="D352" s="26" t="s">
        <v>12709</v>
      </c>
      <c r="E352" s="26" t="s">
        <v>1206</v>
      </c>
      <c r="F352" s="26" t="s">
        <v>1230</v>
      </c>
      <c r="G352" s="26" t="s">
        <v>12709</v>
      </c>
      <c r="I352" s="26" t="s">
        <v>1080</v>
      </c>
      <c r="J352" s="26" t="s">
        <v>123</v>
      </c>
      <c r="K352" s="84">
        <v>363500</v>
      </c>
      <c r="M352" s="84">
        <v>1100</v>
      </c>
      <c r="N352" s="53">
        <v>-399850000</v>
      </c>
      <c r="R352" s="53">
        <v>-399850000</v>
      </c>
      <c r="S352" s="289">
        <v>1369.23</v>
      </c>
      <c r="T352" s="53">
        <v>-292025.44495811511</v>
      </c>
      <c r="V352" s="26" t="s">
        <v>1114</v>
      </c>
      <c r="W352" s="87">
        <v>44507.978803124999</v>
      </c>
    </row>
    <row r="353" spans="2:23">
      <c r="B353" s="26">
        <v>44509</v>
      </c>
      <c r="C353" s="26" t="s">
        <v>133</v>
      </c>
      <c r="D353" s="26" t="s">
        <v>12711</v>
      </c>
      <c r="E353" s="26" t="s">
        <v>1209</v>
      </c>
      <c r="F353" s="26" t="s">
        <v>1230</v>
      </c>
      <c r="G353" s="26" t="s">
        <v>12711</v>
      </c>
      <c r="I353" s="26" t="s">
        <v>1102</v>
      </c>
      <c r="J353" s="26" t="s">
        <v>123</v>
      </c>
      <c r="K353" s="84">
        <v>142500</v>
      </c>
      <c r="M353" s="84">
        <v>650</v>
      </c>
      <c r="N353" s="53">
        <v>-92625000</v>
      </c>
      <c r="R353" s="53">
        <v>-92625000</v>
      </c>
      <c r="S353" s="289">
        <v>1366.27</v>
      </c>
      <c r="T353" s="53">
        <v>-67794.067058487708</v>
      </c>
      <c r="V353" s="26" t="s">
        <v>1114</v>
      </c>
      <c r="W353" s="87">
        <v>44509.359861226854</v>
      </c>
    </row>
    <row r="354" spans="2:23">
      <c r="B354" s="26">
        <v>44509</v>
      </c>
      <c r="C354" s="26" t="s">
        <v>134</v>
      </c>
      <c r="D354" s="26" t="s">
        <v>12724</v>
      </c>
      <c r="E354" s="26" t="s">
        <v>12676</v>
      </c>
      <c r="F354" s="26" t="s">
        <v>1230</v>
      </c>
      <c r="G354" s="26" t="s">
        <v>12873</v>
      </c>
      <c r="I354" s="26" t="s">
        <v>12613</v>
      </c>
      <c r="J354" s="26" t="s">
        <v>125</v>
      </c>
      <c r="K354" s="84">
        <v>4845</v>
      </c>
    </row>
    <row r="355" spans="2:23">
      <c r="B355" s="26">
        <v>44509</v>
      </c>
      <c r="C355" s="26" t="s">
        <v>133</v>
      </c>
      <c r="D355" s="26" t="s">
        <v>12709</v>
      </c>
      <c r="E355" s="26" t="s">
        <v>1206</v>
      </c>
      <c r="F355" s="26" t="s">
        <v>1230</v>
      </c>
      <c r="G355" s="26" t="s">
        <v>12709</v>
      </c>
      <c r="I355" s="26" t="s">
        <v>1080</v>
      </c>
      <c r="J355" s="26" t="s">
        <v>123</v>
      </c>
      <c r="K355" s="53">
        <v>350500</v>
      </c>
      <c r="M355" s="53">
        <v>500</v>
      </c>
      <c r="N355" s="53">
        <v>-175250000</v>
      </c>
      <c r="R355" s="53">
        <v>-175250000</v>
      </c>
      <c r="S355" s="289">
        <v>1366.27</v>
      </c>
      <c r="T355" s="53">
        <v>-128268.93659379186</v>
      </c>
      <c r="V355" s="26" t="s">
        <v>1114</v>
      </c>
      <c r="W355" s="87">
        <v>44509.361826273147</v>
      </c>
    </row>
    <row r="356" spans="2:23">
      <c r="B356" s="26">
        <v>44509</v>
      </c>
      <c r="C356" s="26" t="s">
        <v>133</v>
      </c>
      <c r="D356" s="26" t="s">
        <v>12789</v>
      </c>
      <c r="E356" s="26" t="s">
        <v>12673</v>
      </c>
      <c r="F356" s="26" t="s">
        <v>1230</v>
      </c>
      <c r="G356" s="26" t="s">
        <v>12789</v>
      </c>
      <c r="I356" s="26" t="s">
        <v>12610</v>
      </c>
      <c r="J356" s="26" t="s">
        <v>123</v>
      </c>
      <c r="K356" s="53">
        <v>35050</v>
      </c>
      <c r="M356" s="53">
        <v>11000</v>
      </c>
      <c r="N356" s="53">
        <v>-385550000</v>
      </c>
      <c r="R356" s="53">
        <v>-385550000</v>
      </c>
      <c r="S356" s="289">
        <v>1366.27</v>
      </c>
      <c r="T356" s="53">
        <v>-282191.66050634207</v>
      </c>
      <c r="V356" s="26" t="s">
        <v>1114</v>
      </c>
      <c r="W356" s="87">
        <v>44509.362659722225</v>
      </c>
    </row>
    <row r="357" spans="2:23">
      <c r="B357" s="26">
        <v>44511</v>
      </c>
      <c r="C357" s="26" t="s">
        <v>133</v>
      </c>
      <c r="D357" s="26" t="s">
        <v>12708</v>
      </c>
      <c r="E357" s="26" t="s">
        <v>1197</v>
      </c>
      <c r="F357" s="26" t="s">
        <v>1230</v>
      </c>
      <c r="G357" s="26" t="s">
        <v>12708</v>
      </c>
      <c r="I357" s="26" t="s">
        <v>1103</v>
      </c>
      <c r="J357" s="26" t="s">
        <v>125</v>
      </c>
      <c r="K357" s="84">
        <v>1437</v>
      </c>
      <c r="M357" s="84">
        <v>11000</v>
      </c>
      <c r="N357" s="53">
        <v>-15807000</v>
      </c>
      <c r="R357" s="53">
        <v>-15807000</v>
      </c>
      <c r="S357" s="289">
        <v>130.72</v>
      </c>
      <c r="T357" s="53">
        <v>-120922.58261933904</v>
      </c>
      <c r="V357" s="26" t="s">
        <v>1656</v>
      </c>
      <c r="W357" s="87">
        <v>44511.39211828704</v>
      </c>
    </row>
    <row r="358" spans="2:23">
      <c r="B358" s="26">
        <v>44511</v>
      </c>
      <c r="C358" s="26" t="s">
        <v>133</v>
      </c>
      <c r="D358" s="26" t="s">
        <v>12729</v>
      </c>
      <c r="E358" s="26" t="s">
        <v>1189</v>
      </c>
      <c r="F358" s="26" t="s">
        <v>1230</v>
      </c>
      <c r="G358" s="26" t="s">
        <v>12875</v>
      </c>
      <c r="I358" s="26" t="s">
        <v>12755</v>
      </c>
      <c r="J358" s="26" t="s">
        <v>125</v>
      </c>
      <c r="K358" s="84">
        <v>2780</v>
      </c>
      <c r="M358" s="84">
        <v>5000</v>
      </c>
      <c r="N358" s="53">
        <v>-13900000</v>
      </c>
      <c r="R358" s="53">
        <v>-13900000</v>
      </c>
      <c r="S358" s="289">
        <v>130.72</v>
      </c>
      <c r="T358" s="53">
        <v>-106334.14932680539</v>
      </c>
      <c r="V358" s="26" t="s">
        <v>1656</v>
      </c>
      <c r="W358" s="87">
        <v>44511.395658449073</v>
      </c>
    </row>
    <row r="359" spans="2:23">
      <c r="B359" s="26">
        <v>44518</v>
      </c>
      <c r="C359" s="26" t="s">
        <v>133</v>
      </c>
      <c r="D359" s="26" t="s">
        <v>12708</v>
      </c>
      <c r="E359" s="26" t="s">
        <v>1197</v>
      </c>
      <c r="F359" s="26" t="s">
        <v>1230</v>
      </c>
      <c r="G359" s="26" t="s">
        <v>12708</v>
      </c>
      <c r="I359" s="26" t="s">
        <v>1103</v>
      </c>
      <c r="J359" s="26" t="s">
        <v>125</v>
      </c>
      <c r="K359" s="84">
        <v>1412</v>
      </c>
      <c r="M359" s="84">
        <v>11000</v>
      </c>
      <c r="N359" s="53">
        <v>-15532000</v>
      </c>
      <c r="R359" s="53">
        <v>-15532000</v>
      </c>
      <c r="S359" s="289">
        <v>129.43</v>
      </c>
      <c r="T359" s="53">
        <v>-120003.09047361507</v>
      </c>
      <c r="V359" s="26" t="s">
        <v>1656</v>
      </c>
      <c r="W359" s="87">
        <v>44518.37735451389</v>
      </c>
    </row>
    <row r="360" spans="2:23">
      <c r="B360" s="26">
        <v>44518</v>
      </c>
      <c r="C360" s="26" t="s">
        <v>134</v>
      </c>
      <c r="D360" s="26" t="s">
        <v>12714</v>
      </c>
      <c r="E360" s="26" t="s">
        <v>1217</v>
      </c>
      <c r="F360" s="26" t="s">
        <v>1230</v>
      </c>
      <c r="G360" s="26" t="s">
        <v>12714</v>
      </c>
      <c r="I360" s="26" t="s">
        <v>12762</v>
      </c>
      <c r="J360" s="26" t="s">
        <v>2</v>
      </c>
      <c r="K360" s="289">
        <v>29.51</v>
      </c>
    </row>
    <row r="361" spans="2:23">
      <c r="B361" s="26">
        <v>44518</v>
      </c>
      <c r="C361" s="26" t="s">
        <v>133</v>
      </c>
      <c r="D361" s="26" t="s">
        <v>12862</v>
      </c>
      <c r="E361" s="26" t="s">
        <v>12863</v>
      </c>
      <c r="F361" s="26" t="s">
        <v>1230</v>
      </c>
      <c r="G361" s="26" t="s">
        <v>12862</v>
      </c>
      <c r="I361" s="26" t="s">
        <v>12866</v>
      </c>
      <c r="J361" s="26" t="s">
        <v>2</v>
      </c>
      <c r="K361" s="289">
        <v>48.1</v>
      </c>
      <c r="M361" s="84">
        <v>6800</v>
      </c>
      <c r="N361" s="53">
        <v>-327080</v>
      </c>
      <c r="R361" s="53">
        <v>-327080</v>
      </c>
      <c r="S361" s="84">
        <v>1</v>
      </c>
      <c r="T361" s="53">
        <v>-327080</v>
      </c>
      <c r="V361" s="26" t="s">
        <v>1111</v>
      </c>
      <c r="W361" s="87">
        <v>44518.379667361114</v>
      </c>
    </row>
    <row r="362" spans="2:23">
      <c r="B362" s="26">
        <v>44521</v>
      </c>
      <c r="C362" s="26" t="s">
        <v>133</v>
      </c>
      <c r="D362" s="26" t="s">
        <v>12739</v>
      </c>
      <c r="E362" s="26" t="s">
        <v>1630</v>
      </c>
      <c r="F362" s="26" t="s">
        <v>1230</v>
      </c>
      <c r="G362" s="26" t="s">
        <v>12739</v>
      </c>
      <c r="I362" s="26" t="s">
        <v>1624</v>
      </c>
      <c r="J362" s="26" t="s">
        <v>125</v>
      </c>
      <c r="K362" s="84">
        <v>2683</v>
      </c>
      <c r="M362" s="84">
        <v>3250</v>
      </c>
      <c r="N362" s="53">
        <v>-8719750</v>
      </c>
      <c r="R362" s="53">
        <v>-8719750</v>
      </c>
      <c r="S362" s="289">
        <v>128.71</v>
      </c>
      <c r="T362" s="53">
        <v>-67747.261285059431</v>
      </c>
      <c r="V362" s="26" t="s">
        <v>1656</v>
      </c>
      <c r="W362" s="87">
        <v>44521.890818518521</v>
      </c>
    </row>
    <row r="363" spans="2:23">
      <c r="B363" s="26">
        <v>44521</v>
      </c>
      <c r="C363" s="26" t="s">
        <v>134</v>
      </c>
      <c r="D363" s="26" t="s">
        <v>12721</v>
      </c>
      <c r="E363" s="26" t="s">
        <v>1654</v>
      </c>
      <c r="F363" s="26" t="s">
        <v>1230</v>
      </c>
      <c r="G363" s="26" t="s">
        <v>12721</v>
      </c>
      <c r="I363" s="26" t="s">
        <v>1655</v>
      </c>
      <c r="J363" s="26" t="s">
        <v>1069</v>
      </c>
      <c r="K363" s="53">
        <v>3.33</v>
      </c>
      <c r="M363" s="53">
        <v>-65414</v>
      </c>
      <c r="N363" s="53">
        <v>217828.62</v>
      </c>
      <c r="R363" s="53">
        <v>217828.62</v>
      </c>
      <c r="S363" s="53">
        <v>1.5601</v>
      </c>
      <c r="T363" s="53">
        <v>139624.78046279083</v>
      </c>
      <c r="V363" s="26" t="s">
        <v>1656</v>
      </c>
      <c r="W363" s="87">
        <v>44521.892127199077</v>
      </c>
    </row>
    <row r="364" spans="2:23">
      <c r="B364" s="26">
        <v>44521</v>
      </c>
      <c r="C364" s="26" t="s">
        <v>133</v>
      </c>
      <c r="D364" s="26" t="s">
        <v>12706</v>
      </c>
      <c r="E364" s="26" t="s">
        <v>1191</v>
      </c>
      <c r="F364" s="26" t="s">
        <v>1230</v>
      </c>
      <c r="G364" s="26" t="s">
        <v>12706</v>
      </c>
      <c r="I364" s="26" t="s">
        <v>1091</v>
      </c>
      <c r="J364" s="26" t="s">
        <v>125</v>
      </c>
      <c r="K364" s="53">
        <v>2636</v>
      </c>
      <c r="M364" s="53">
        <v>15300</v>
      </c>
      <c r="N364" s="53">
        <v>-40330800</v>
      </c>
      <c r="R364" s="53">
        <v>-40330800</v>
      </c>
      <c r="S364" s="53">
        <v>128.71</v>
      </c>
      <c r="T364" s="53">
        <v>-313346.28234014451</v>
      </c>
      <c r="V364" s="26" t="s">
        <v>1656</v>
      </c>
      <c r="W364" s="87">
        <v>44521.892384027778</v>
      </c>
    </row>
    <row r="365" spans="2:23">
      <c r="B365" s="26">
        <v>44522</v>
      </c>
      <c r="C365" s="26" t="s">
        <v>133</v>
      </c>
      <c r="D365" s="26" t="s">
        <v>12743</v>
      </c>
      <c r="E365" s="26" t="s">
        <v>12675</v>
      </c>
      <c r="F365" s="26" t="s">
        <v>1230</v>
      </c>
      <c r="G365" s="26" t="s">
        <v>12743</v>
      </c>
      <c r="I365" s="26" t="s">
        <v>12612</v>
      </c>
      <c r="J365" s="26" t="s">
        <v>125</v>
      </c>
      <c r="K365" s="84">
        <v>1327</v>
      </c>
      <c r="M365" s="84">
        <v>10100</v>
      </c>
      <c r="N365" s="53">
        <v>-13402700</v>
      </c>
      <c r="R365" s="53">
        <v>-13402700</v>
      </c>
      <c r="S365" s="289">
        <v>128.66</v>
      </c>
      <c r="T365" s="53">
        <v>-104171.45966112234</v>
      </c>
      <c r="V365" s="26" t="s">
        <v>1656</v>
      </c>
      <c r="W365" s="87">
        <v>44522.42391539352</v>
      </c>
    </row>
    <row r="366" spans="2:23">
      <c r="B366" s="26">
        <v>44522</v>
      </c>
      <c r="C366" s="26" t="s">
        <v>133</v>
      </c>
      <c r="D366" s="26" t="s">
        <v>12741</v>
      </c>
      <c r="E366" s="26" t="s">
        <v>12670</v>
      </c>
      <c r="F366" s="26" t="s">
        <v>1230</v>
      </c>
      <c r="G366" s="26" t="s">
        <v>12741</v>
      </c>
      <c r="I366" s="26" t="s">
        <v>12625</v>
      </c>
      <c r="J366" s="26" t="s">
        <v>123</v>
      </c>
      <c r="K366" s="84">
        <v>48400</v>
      </c>
      <c r="M366" s="84">
        <v>4100</v>
      </c>
      <c r="N366" s="53">
        <v>-198440000</v>
      </c>
      <c r="R366" s="53">
        <v>-198440000</v>
      </c>
      <c r="S366" s="289">
        <v>1338.88</v>
      </c>
      <c r="T366" s="53">
        <v>-148213.43212237093</v>
      </c>
      <c r="V366" s="26" t="s">
        <v>1114</v>
      </c>
      <c r="W366" s="87">
        <v>44522.424989467596</v>
      </c>
    </row>
    <row r="367" spans="2:23">
      <c r="B367" s="26">
        <v>44522</v>
      </c>
      <c r="C367" s="26" t="s">
        <v>133</v>
      </c>
      <c r="D367" s="26" t="s">
        <v>12711</v>
      </c>
      <c r="E367" s="26" t="s">
        <v>1209</v>
      </c>
      <c r="F367" s="26" t="s">
        <v>1230</v>
      </c>
      <c r="G367" s="26" t="s">
        <v>12711</v>
      </c>
      <c r="I367" s="26" t="s">
        <v>1102</v>
      </c>
      <c r="J367" s="26" t="s">
        <v>123</v>
      </c>
      <c r="K367" s="84">
        <v>135500</v>
      </c>
      <c r="M367" s="84">
        <v>900</v>
      </c>
      <c r="N367" s="53">
        <v>-121950000</v>
      </c>
      <c r="R367" s="53">
        <v>-121950000</v>
      </c>
      <c r="S367" s="289">
        <v>1338.88</v>
      </c>
      <c r="T367" s="53">
        <v>-91083.592256214135</v>
      </c>
      <c r="V367" s="26" t="s">
        <v>1114</v>
      </c>
      <c r="W367" s="87">
        <v>44522.42534652778</v>
      </c>
    </row>
    <row r="368" spans="2:23">
      <c r="B368" s="26">
        <v>44524</v>
      </c>
      <c r="C368" s="26" t="s">
        <v>133</v>
      </c>
      <c r="E368" s="26" t="e">
        <v>#N/A</v>
      </c>
      <c r="F368" s="26" t="s">
        <v>1230</v>
      </c>
      <c r="G368" s="26" t="s">
        <v>12862</v>
      </c>
      <c r="I368" s="26" t="e">
        <v>#N/A</v>
      </c>
      <c r="J368" s="26" t="e">
        <v>#N/A</v>
      </c>
      <c r="K368" s="289">
        <v>43.25</v>
      </c>
      <c r="M368" s="84">
        <v>4200</v>
      </c>
      <c r="N368" s="53">
        <v>0</v>
      </c>
      <c r="R368" s="53">
        <v>0</v>
      </c>
      <c r="S368" s="84">
        <v>1</v>
      </c>
      <c r="T368" s="53" t="e">
        <v>#DIV/0!</v>
      </c>
      <c r="V368" s="26" t="s">
        <v>1111</v>
      </c>
      <c r="W368" s="87">
        <v>44524.342790162038</v>
      </c>
    </row>
    <row r="369" spans="2:23">
      <c r="B369" s="26">
        <v>44525</v>
      </c>
      <c r="C369" s="26" t="s">
        <v>133</v>
      </c>
      <c r="D369" s="26" t="s">
        <v>12711</v>
      </c>
      <c r="E369" s="26" t="s">
        <v>1209</v>
      </c>
      <c r="F369" s="26" t="s">
        <v>1230</v>
      </c>
      <c r="G369" s="26" t="s">
        <v>12711</v>
      </c>
      <c r="I369" s="26" t="s">
        <v>1102</v>
      </c>
      <c r="J369" s="26" t="s">
        <v>123</v>
      </c>
      <c r="K369" s="84">
        <v>135000</v>
      </c>
      <c r="M369" s="84">
        <v>1280</v>
      </c>
      <c r="N369" s="53">
        <v>-172800000</v>
      </c>
      <c r="R369" s="53">
        <v>-172800000</v>
      </c>
      <c r="S369" s="289">
        <v>1333.71</v>
      </c>
      <c r="T369" s="53">
        <v>-129563.39833996896</v>
      </c>
      <c r="V369" s="26" t="s">
        <v>1114</v>
      </c>
      <c r="W369" s="87">
        <v>44525.314445023148</v>
      </c>
    </row>
    <row r="370" spans="2:23">
      <c r="B370" s="26">
        <v>44525</v>
      </c>
      <c r="C370" s="26" t="s">
        <v>134</v>
      </c>
      <c r="D370" s="26" t="s">
        <v>12721</v>
      </c>
      <c r="E370" s="26" t="s">
        <v>1654</v>
      </c>
      <c r="F370" s="26" t="s">
        <v>1230</v>
      </c>
      <c r="G370" s="26" t="s">
        <v>12721</v>
      </c>
      <c r="I370" s="26" t="s">
        <v>1655</v>
      </c>
      <c r="J370" s="26" t="s">
        <v>1069</v>
      </c>
      <c r="K370" s="289">
        <v>3.14</v>
      </c>
    </row>
    <row r="371" spans="2:23">
      <c r="B371" s="26">
        <v>44526</v>
      </c>
      <c r="C371" s="26" t="s">
        <v>133</v>
      </c>
      <c r="D371" s="26" t="s">
        <v>12711</v>
      </c>
      <c r="E371" s="26" t="s">
        <v>1209</v>
      </c>
      <c r="F371" s="26" t="s">
        <v>1230</v>
      </c>
      <c r="G371" s="26" t="s">
        <v>12711</v>
      </c>
      <c r="I371" s="26" t="s">
        <v>1102</v>
      </c>
      <c r="J371" s="26" t="s">
        <v>123</v>
      </c>
      <c r="K371" s="84">
        <v>125500</v>
      </c>
      <c r="M371" s="84">
        <v>690</v>
      </c>
      <c r="N371" s="53">
        <v>-86595000</v>
      </c>
      <c r="R371" s="53">
        <v>-86595000</v>
      </c>
      <c r="S371" s="289">
        <v>1347.16</v>
      </c>
      <c r="T371" s="53">
        <v>-64279.669823925884</v>
      </c>
      <c r="V371" s="26" t="s">
        <v>1114</v>
      </c>
      <c r="W371" s="87">
        <v>44526.514342939816</v>
      </c>
    </row>
    <row r="372" spans="2:23">
      <c r="B372" s="26">
        <v>44526</v>
      </c>
      <c r="C372" s="26" t="s">
        <v>133</v>
      </c>
      <c r="D372" s="26" t="s">
        <v>12709</v>
      </c>
      <c r="E372" s="26" t="s">
        <v>1206</v>
      </c>
      <c r="F372" s="26" t="s">
        <v>1230</v>
      </c>
      <c r="G372" s="26" t="s">
        <v>12709</v>
      </c>
      <c r="I372" s="26" t="s">
        <v>1080</v>
      </c>
      <c r="J372" s="26" t="s">
        <v>123</v>
      </c>
      <c r="K372" s="84">
        <v>340000</v>
      </c>
      <c r="M372" s="84">
        <v>470</v>
      </c>
      <c r="N372" s="53">
        <v>-159800000</v>
      </c>
      <c r="R372" s="53">
        <v>-159800000</v>
      </c>
      <c r="S372" s="289">
        <v>1347.16</v>
      </c>
      <c r="T372" s="53">
        <v>-118619.91151756287</v>
      </c>
      <c r="V372" s="26" t="s">
        <v>1114</v>
      </c>
      <c r="W372" s="87">
        <v>44526.514342939816</v>
      </c>
    </row>
    <row r="373" spans="2:23">
      <c r="B373" s="26">
        <v>44532</v>
      </c>
      <c r="C373" s="26" t="s">
        <v>133</v>
      </c>
      <c r="D373" s="26" t="s">
        <v>12706</v>
      </c>
      <c r="E373" s="26" t="s">
        <v>1191</v>
      </c>
      <c r="F373" s="26" t="s">
        <v>1230</v>
      </c>
      <c r="G373" s="26" t="s">
        <v>12706</v>
      </c>
      <c r="I373" s="26" t="s">
        <v>1091</v>
      </c>
      <c r="J373" s="26" t="s">
        <v>125</v>
      </c>
      <c r="K373" s="84">
        <v>2388</v>
      </c>
      <c r="M373" s="84">
        <v>4200</v>
      </c>
      <c r="N373" s="53">
        <v>-10029600</v>
      </c>
      <c r="R373" s="53">
        <v>-10029600</v>
      </c>
      <c r="S373" s="289">
        <v>128.15</v>
      </c>
      <c r="T373" s="53">
        <v>-78264.53374951228</v>
      </c>
      <c r="V373" s="26" t="s">
        <v>1656</v>
      </c>
      <c r="W373" s="87">
        <v>44526.514342939816</v>
      </c>
    </row>
    <row r="374" spans="2:23">
      <c r="B374" s="26">
        <v>44532</v>
      </c>
      <c r="C374" s="26" t="s">
        <v>133</v>
      </c>
      <c r="E374" s="26" t="s">
        <v>12865</v>
      </c>
      <c r="F374" s="26" t="s">
        <v>1058</v>
      </c>
      <c r="G374" s="26" t="s">
        <v>12877</v>
      </c>
      <c r="I374" s="26" t="s">
        <v>12867</v>
      </c>
      <c r="J374" s="26" t="s">
        <v>125</v>
      </c>
      <c r="K374" s="84">
        <v>2140</v>
      </c>
      <c r="M374" s="84">
        <v>6700</v>
      </c>
      <c r="N374" s="53">
        <v>-14338000</v>
      </c>
      <c r="R374" s="53">
        <v>-14338000</v>
      </c>
      <c r="S374" s="289">
        <v>128.15</v>
      </c>
      <c r="T374" s="53">
        <v>-111884.51033944596</v>
      </c>
      <c r="V374" s="26" t="s">
        <v>1656</v>
      </c>
      <c r="W374" s="87">
        <v>44526.514342939816</v>
      </c>
    </row>
    <row r="375" spans="2:23">
      <c r="B375" s="26">
        <v>44526</v>
      </c>
      <c r="C375" s="26" t="s">
        <v>134</v>
      </c>
      <c r="D375" s="26" t="s">
        <v>12740</v>
      </c>
      <c r="E375" s="26" t="s">
        <v>2032</v>
      </c>
      <c r="F375" s="26" t="s">
        <v>1230</v>
      </c>
      <c r="G375" s="26" t="s">
        <v>12740</v>
      </c>
      <c r="I375" s="26" t="s">
        <v>12607</v>
      </c>
      <c r="J375" s="26" t="s">
        <v>124</v>
      </c>
      <c r="K375" s="289">
        <v>363.4</v>
      </c>
    </row>
    <row r="376" spans="2:23">
      <c r="B376" s="26">
        <v>44533</v>
      </c>
      <c r="C376" s="26" t="s">
        <v>133</v>
      </c>
      <c r="E376" s="26" t="s">
        <v>1614</v>
      </c>
      <c r="F376" s="26" t="s">
        <v>1058</v>
      </c>
      <c r="G376" s="26" t="s">
        <v>12878</v>
      </c>
      <c r="I376" s="26" t="s">
        <v>12861</v>
      </c>
      <c r="J376" s="26" t="s">
        <v>125</v>
      </c>
      <c r="K376" s="84">
        <v>1118</v>
      </c>
      <c r="M376" s="84">
        <v>11000</v>
      </c>
      <c r="N376" s="53">
        <v>-12298000</v>
      </c>
      <c r="R376" s="53">
        <v>-12298000</v>
      </c>
      <c r="S376" s="289">
        <v>127.99</v>
      </c>
      <c r="T376" s="53">
        <v>-96085.63168997578</v>
      </c>
      <c r="V376" s="26" t="s">
        <v>1656</v>
      </c>
      <c r="W376" s="87">
        <v>44526.514342939816</v>
      </c>
    </row>
    <row r="377" spans="2:23">
      <c r="B377" s="26">
        <v>44533</v>
      </c>
      <c r="C377" s="26" t="s">
        <v>134</v>
      </c>
      <c r="D377" s="26" t="s">
        <v>12724</v>
      </c>
      <c r="E377" s="26" t="s">
        <v>12676</v>
      </c>
      <c r="F377" s="26" t="s">
        <v>1230</v>
      </c>
      <c r="G377" s="26" t="s">
        <v>12724</v>
      </c>
      <c r="I377" s="26" t="s">
        <v>12613</v>
      </c>
      <c r="J377" s="26" t="s">
        <v>125</v>
      </c>
      <c r="K377" s="84">
        <v>4743</v>
      </c>
    </row>
    <row r="378" spans="2:23">
      <c r="B378" s="26">
        <v>44533</v>
      </c>
      <c r="C378" s="26" t="s">
        <v>133</v>
      </c>
      <c r="E378" s="26" t="s">
        <v>1212</v>
      </c>
      <c r="F378" s="26" t="s">
        <v>1058</v>
      </c>
      <c r="G378" s="26" t="s">
        <v>12879</v>
      </c>
      <c r="I378" s="26" t="s">
        <v>12608</v>
      </c>
      <c r="J378" s="26" t="s">
        <v>123</v>
      </c>
      <c r="K378" s="53">
        <v>36400</v>
      </c>
      <c r="M378" s="53">
        <v>4100</v>
      </c>
      <c r="N378" s="53">
        <v>-149240000</v>
      </c>
      <c r="R378" s="53">
        <v>-149240000</v>
      </c>
      <c r="S378" s="53">
        <v>1332.03</v>
      </c>
      <c r="T378" s="53">
        <v>-112039.5186294603</v>
      </c>
      <c r="V378" s="26" t="s">
        <v>1656</v>
      </c>
      <c r="W378" s="87">
        <v>44526.514342939816</v>
      </c>
    </row>
    <row r="379" spans="2:23">
      <c r="B379" s="26">
        <v>44533</v>
      </c>
      <c r="C379" s="26" t="s">
        <v>133</v>
      </c>
      <c r="D379" s="26" t="s">
        <v>12709</v>
      </c>
      <c r="E379" s="26" t="s">
        <v>1206</v>
      </c>
      <c r="F379" s="26" t="s">
        <v>1230</v>
      </c>
      <c r="G379" s="26" t="s">
        <v>12709</v>
      </c>
      <c r="I379" s="26" t="s">
        <v>1080</v>
      </c>
      <c r="J379" s="26" t="s">
        <v>123</v>
      </c>
      <c r="K379" s="84">
        <v>337500</v>
      </c>
      <c r="M379" s="84">
        <v>330</v>
      </c>
      <c r="N379" s="53">
        <v>-111375000</v>
      </c>
      <c r="R379" s="53">
        <v>-111375000</v>
      </c>
      <c r="S379" s="289">
        <v>1332.03</v>
      </c>
      <c r="T379" s="53">
        <v>-83612.981689601584</v>
      </c>
      <c r="V379" s="26" t="s">
        <v>1656</v>
      </c>
      <c r="W379" s="87">
        <v>44526.514342939816</v>
      </c>
    </row>
    <row r="380" spans="2:23">
      <c r="B380" s="26">
        <v>44533</v>
      </c>
      <c r="C380" s="26" t="s">
        <v>133</v>
      </c>
      <c r="D380" s="26" t="s">
        <v>12711</v>
      </c>
      <c r="E380" s="26" t="s">
        <v>1209</v>
      </c>
      <c r="F380" s="26" t="s">
        <v>1230</v>
      </c>
      <c r="G380" s="26" t="s">
        <v>12711</v>
      </c>
      <c r="I380" s="26" t="s">
        <v>1102</v>
      </c>
      <c r="J380" s="26" t="s">
        <v>123</v>
      </c>
      <c r="K380" s="84">
        <v>123500</v>
      </c>
      <c r="M380" s="84">
        <v>983</v>
      </c>
      <c r="N380" s="53">
        <v>-121400500</v>
      </c>
      <c r="R380" s="53">
        <v>-121400500</v>
      </c>
      <c r="S380" s="289">
        <v>1332.03</v>
      </c>
      <c r="T380" s="53">
        <v>-91139.463825889805</v>
      </c>
      <c r="V380" s="26" t="s">
        <v>1656</v>
      </c>
      <c r="W380" s="87">
        <v>44526.514342939816</v>
      </c>
    </row>
    <row r="381" spans="2:23">
      <c r="B381" s="26">
        <v>44559</v>
      </c>
      <c r="C381" s="26" t="s">
        <v>134</v>
      </c>
      <c r="D381" s="26" t="s">
        <v>12721</v>
      </c>
      <c r="E381" s="26" t="s">
        <v>1654</v>
      </c>
      <c r="F381" s="26" t="s">
        <v>1230</v>
      </c>
      <c r="G381" s="26" t="s">
        <v>12721</v>
      </c>
      <c r="I381" s="26" t="s">
        <v>1655</v>
      </c>
      <c r="J381" s="26" t="s">
        <v>1069</v>
      </c>
      <c r="K381" s="289">
        <v>3.41</v>
      </c>
    </row>
    <row r="382" spans="2:23">
      <c r="B382" s="26">
        <v>44559</v>
      </c>
      <c r="C382" s="26" t="s">
        <v>134</v>
      </c>
      <c r="D382" s="26" t="s">
        <v>12750</v>
      </c>
      <c r="E382" s="26" t="s">
        <v>12685</v>
      </c>
      <c r="F382" s="26" t="s">
        <v>1230</v>
      </c>
      <c r="G382" s="26" t="s">
        <v>12750</v>
      </c>
      <c r="I382" s="26" t="s">
        <v>12621</v>
      </c>
      <c r="J382" s="26" t="s">
        <v>125</v>
      </c>
      <c r="K382" s="84">
        <v>3590</v>
      </c>
    </row>
    <row r="383" spans="2:23">
      <c r="B383" s="26">
        <v>44560</v>
      </c>
      <c r="C383" s="26" t="s">
        <v>134</v>
      </c>
      <c r="D383" s="26" t="s">
        <v>12717</v>
      </c>
      <c r="E383" s="26" t="s">
        <v>1227</v>
      </c>
      <c r="F383" s="26" t="s">
        <v>1230</v>
      </c>
      <c r="G383" s="26" t="s">
        <v>12717</v>
      </c>
      <c r="I383" s="26" t="s">
        <v>1092</v>
      </c>
      <c r="J383" s="26" t="s">
        <v>1069</v>
      </c>
      <c r="K383" s="289">
        <v>1.7999999999999998</v>
      </c>
    </row>
    <row r="384" spans="2:23">
      <c r="B384" s="26">
        <v>44560</v>
      </c>
      <c r="C384" s="26" t="s">
        <v>133</v>
      </c>
      <c r="D384" s="26" t="s">
        <v>12709</v>
      </c>
      <c r="E384" s="26" t="s">
        <v>1206</v>
      </c>
      <c r="F384" s="26" t="s">
        <v>1230</v>
      </c>
      <c r="G384" s="26" t="s">
        <v>12709</v>
      </c>
      <c r="I384" s="26" t="s">
        <v>1080</v>
      </c>
      <c r="J384" s="26" t="s">
        <v>123</v>
      </c>
      <c r="K384" s="84">
        <v>287000</v>
      </c>
      <c r="M384" s="84">
        <v>1200</v>
      </c>
      <c r="N384" s="53">
        <v>-344400000</v>
      </c>
      <c r="R384" s="53">
        <v>-344400000</v>
      </c>
      <c r="S384" s="289">
        <v>1345.13</v>
      </c>
      <c r="T384" s="53">
        <v>-256034.73270241535</v>
      </c>
      <c r="V384" s="26" t="s">
        <v>1114</v>
      </c>
      <c r="W384" s="87">
        <v>44526.514342939816</v>
      </c>
    </row>
    <row r="385" spans="1:23">
      <c r="B385" s="26">
        <v>44560</v>
      </c>
      <c r="C385" s="26" t="s">
        <v>133</v>
      </c>
      <c r="D385" s="26" t="s">
        <v>12711</v>
      </c>
      <c r="E385" s="26" t="s">
        <v>1209</v>
      </c>
      <c r="F385" s="26" t="s">
        <v>1230</v>
      </c>
      <c r="G385" s="26" t="s">
        <v>12711</v>
      </c>
      <c r="I385" s="26" t="s">
        <v>1102</v>
      </c>
      <c r="J385" s="26" t="s">
        <v>123</v>
      </c>
      <c r="K385" s="84">
        <v>141000</v>
      </c>
      <c r="M385" s="84">
        <v>1293</v>
      </c>
      <c r="N385" s="53">
        <v>-182313000</v>
      </c>
      <c r="R385" s="53">
        <v>-182313000</v>
      </c>
      <c r="S385" s="289">
        <v>1345.13</v>
      </c>
      <c r="T385" s="53">
        <v>-135535.59878970805</v>
      </c>
      <c r="V385" s="26" t="s">
        <v>1114</v>
      </c>
      <c r="W385" s="87">
        <v>44526.514342939816</v>
      </c>
    </row>
    <row r="386" spans="1:23">
      <c r="B386" s="26">
        <v>44589</v>
      </c>
      <c r="C386" s="26" t="s">
        <v>133</v>
      </c>
      <c r="D386" s="26" t="s">
        <v>12709</v>
      </c>
      <c r="E386" s="26" t="s">
        <v>1206</v>
      </c>
      <c r="F386" s="26" t="s">
        <v>1230</v>
      </c>
      <c r="G386" s="26" t="s">
        <v>12709</v>
      </c>
      <c r="I386" s="26" t="s">
        <v>1080</v>
      </c>
      <c r="J386" s="26" t="s">
        <v>123</v>
      </c>
      <c r="K386" s="84">
        <v>302500</v>
      </c>
      <c r="M386" s="84">
        <v>1400</v>
      </c>
      <c r="N386" s="53">
        <v>-423500000</v>
      </c>
      <c r="R386" s="53">
        <v>-423500000</v>
      </c>
      <c r="S386" s="289">
        <v>1345.97</v>
      </c>
      <c r="T386" s="53">
        <v>-314642.97124007222</v>
      </c>
      <c r="V386" s="26" t="s">
        <v>1114</v>
      </c>
      <c r="W386" s="87">
        <v>44589.305020370368</v>
      </c>
    </row>
    <row r="387" spans="1:23">
      <c r="B387" s="26">
        <v>44589</v>
      </c>
      <c r="C387" s="26" t="s">
        <v>133</v>
      </c>
      <c r="D387" s="26" t="s">
        <v>12711</v>
      </c>
      <c r="E387" s="26" t="s">
        <v>1209</v>
      </c>
      <c r="F387" s="26" t="s">
        <v>1230</v>
      </c>
      <c r="G387" s="26" t="s">
        <v>12711</v>
      </c>
      <c r="I387" s="26" t="s">
        <v>1102</v>
      </c>
      <c r="J387" s="26" t="s">
        <v>123</v>
      </c>
      <c r="K387" s="84">
        <v>134000</v>
      </c>
      <c r="M387" s="84">
        <v>1100</v>
      </c>
      <c r="N387" s="53">
        <v>-147400000</v>
      </c>
      <c r="R387" s="53">
        <v>-147400000</v>
      </c>
      <c r="S387" s="289">
        <v>1345.97</v>
      </c>
      <c r="T387" s="53">
        <v>-109512.09908096019</v>
      </c>
      <c r="V387" s="26" t="s">
        <v>1114</v>
      </c>
      <c r="W387" s="87">
        <v>44589.305552662037</v>
      </c>
    </row>
    <row r="388" spans="1:23">
      <c r="B388" s="26">
        <v>44589</v>
      </c>
      <c r="C388" s="26" t="s">
        <v>133</v>
      </c>
      <c r="D388" s="26" t="s">
        <v>12723</v>
      </c>
      <c r="E388" s="26" t="s">
        <v>12672</v>
      </c>
      <c r="F388" s="26" t="s">
        <v>1230</v>
      </c>
      <c r="G388" s="26" t="s">
        <v>12723</v>
      </c>
      <c r="I388" s="26" t="s">
        <v>12754</v>
      </c>
      <c r="J388" s="26" t="s">
        <v>123</v>
      </c>
      <c r="K388" s="84">
        <v>265000</v>
      </c>
      <c r="M388" s="84">
        <v>1110</v>
      </c>
      <c r="N388" s="53">
        <v>-294150000</v>
      </c>
      <c r="R388" s="53">
        <v>-294150000</v>
      </c>
      <c r="S388" s="289">
        <v>1345.97</v>
      </c>
      <c r="T388" s="53">
        <v>-218541.27506556609</v>
      </c>
      <c r="V388" s="26" t="s">
        <v>1114</v>
      </c>
      <c r="W388" s="87">
        <v>44589.307017476851</v>
      </c>
    </row>
    <row r="389" spans="1:23">
      <c r="B389" s="26">
        <v>44589</v>
      </c>
      <c r="C389" s="26" t="s">
        <v>133</v>
      </c>
      <c r="E389" s="26" t="s">
        <v>1212</v>
      </c>
      <c r="F389" s="26" t="s">
        <v>1058</v>
      </c>
      <c r="G389" s="26" t="s">
        <v>12733</v>
      </c>
      <c r="I389" s="26" t="s">
        <v>12608</v>
      </c>
      <c r="J389" s="26" t="s">
        <v>123</v>
      </c>
      <c r="K389" s="84">
        <v>29100</v>
      </c>
      <c r="M389" s="84">
        <v>4200</v>
      </c>
      <c r="N389" s="53">
        <v>-122220000</v>
      </c>
      <c r="R389" s="53">
        <v>-122220000</v>
      </c>
      <c r="S389" s="289">
        <v>1345.97</v>
      </c>
      <c r="T389" s="53">
        <v>-90804.401286804306</v>
      </c>
      <c r="V389" s="26" t="s">
        <v>1114</v>
      </c>
      <c r="W389" s="87">
        <v>44589.307465046295</v>
      </c>
    </row>
    <row r="390" spans="1:23">
      <c r="B390" s="26">
        <v>44589</v>
      </c>
      <c r="C390" s="26" t="s">
        <v>134</v>
      </c>
      <c r="D390" s="26" t="s">
        <v>12750</v>
      </c>
      <c r="E390" s="26" t="s">
        <v>12685</v>
      </c>
      <c r="F390" s="26" t="s">
        <v>1230</v>
      </c>
      <c r="G390" s="26" t="s">
        <v>12750</v>
      </c>
      <c r="I390" s="26" t="s">
        <v>12621</v>
      </c>
      <c r="J390" s="26" t="s">
        <v>125</v>
      </c>
      <c r="K390" s="84">
        <v>3535</v>
      </c>
    </row>
    <row r="391" spans="1:23">
      <c r="B391" s="26">
        <v>44589</v>
      </c>
      <c r="C391" s="26" t="s">
        <v>134</v>
      </c>
      <c r="D391" s="26" t="s">
        <v>12721</v>
      </c>
      <c r="E391" s="26" t="s">
        <v>1654</v>
      </c>
      <c r="F391" s="26" t="s">
        <v>1230</v>
      </c>
      <c r="G391" s="26" t="s">
        <v>12721</v>
      </c>
      <c r="I391" s="26" t="s">
        <v>1655</v>
      </c>
      <c r="J391" s="26" t="s">
        <v>1069</v>
      </c>
      <c r="K391" s="289">
        <v>3.43</v>
      </c>
    </row>
    <row r="392" spans="1:23">
      <c r="B392" s="26">
        <v>44589</v>
      </c>
      <c r="C392" s="26" t="s">
        <v>133</v>
      </c>
      <c r="D392" s="26" t="s">
        <v>12860</v>
      </c>
      <c r="E392" s="26" t="s">
        <v>1202</v>
      </c>
      <c r="F392" s="26" t="s">
        <v>1230</v>
      </c>
      <c r="G392" s="26" t="s">
        <v>12860</v>
      </c>
      <c r="I392" s="26" t="s">
        <v>1105</v>
      </c>
      <c r="J392" s="26" t="s">
        <v>125</v>
      </c>
      <c r="K392" s="84">
        <v>3885</v>
      </c>
      <c r="M392" s="84">
        <v>4300</v>
      </c>
      <c r="N392" s="53">
        <v>-16705500</v>
      </c>
      <c r="R392" s="53">
        <v>-16705500</v>
      </c>
      <c r="S392" s="289">
        <v>128.69</v>
      </c>
      <c r="T392" s="53">
        <v>-129811.95120055949</v>
      </c>
      <c r="V392" s="26" t="s">
        <v>1656</v>
      </c>
      <c r="W392" s="87">
        <v>44589.313929976852</v>
      </c>
    </row>
    <row r="393" spans="1:23">
      <c r="B393" s="26">
        <v>44589</v>
      </c>
      <c r="C393" s="26" t="s">
        <v>133</v>
      </c>
      <c r="D393" s="26" t="s">
        <v>12729</v>
      </c>
      <c r="E393" s="26" t="s">
        <v>1189</v>
      </c>
      <c r="F393" s="26" t="s">
        <v>1230</v>
      </c>
      <c r="G393" s="26" t="s">
        <v>12729</v>
      </c>
      <c r="I393" s="26" t="s">
        <v>12755</v>
      </c>
      <c r="J393" s="26" t="s">
        <v>125</v>
      </c>
      <c r="K393" s="84">
        <v>2590</v>
      </c>
      <c r="M393" s="84">
        <v>5000</v>
      </c>
      <c r="N393" s="53">
        <v>-12950000</v>
      </c>
      <c r="R393" s="53">
        <v>-12950000</v>
      </c>
      <c r="S393" s="289">
        <v>128.69</v>
      </c>
      <c r="T393" s="53">
        <v>-100629.41953531743</v>
      </c>
      <c r="V393" s="26" t="s">
        <v>1656</v>
      </c>
      <c r="W393" s="87">
        <v>44589.314483333335</v>
      </c>
    </row>
    <row r="394" spans="1:23">
      <c r="B394" s="26">
        <v>44589</v>
      </c>
      <c r="C394" s="26" t="s">
        <v>134</v>
      </c>
      <c r="D394" s="26" t="s">
        <v>12716</v>
      </c>
      <c r="E394" s="26" t="s">
        <v>1222</v>
      </c>
      <c r="F394" s="26" t="s">
        <v>1230</v>
      </c>
      <c r="G394" s="26" t="s">
        <v>12716</v>
      </c>
      <c r="I394" s="26" t="s">
        <v>130</v>
      </c>
      <c r="J394" s="26" t="s">
        <v>2</v>
      </c>
      <c r="K394" s="289">
        <v>35.43</v>
      </c>
    </row>
    <row r="395" spans="1:23">
      <c r="A395" s="377">
        <v>2019200277</v>
      </c>
      <c r="B395" s="26">
        <v>43986</v>
      </c>
      <c r="C395" s="26" t="s">
        <v>133</v>
      </c>
      <c r="E395" s="26" t="s">
        <v>1608</v>
      </c>
      <c r="G395" s="26" t="s">
        <v>1581</v>
      </c>
      <c r="I395" s="26" t="s">
        <v>1585</v>
      </c>
      <c r="J395" s="26" t="s">
        <v>3</v>
      </c>
      <c r="K395" s="53">
        <v>8.1206300000000002</v>
      </c>
      <c r="M395" s="53">
        <v>6700</v>
      </c>
      <c r="N395" s="53">
        <v>-54408.221000000005</v>
      </c>
      <c r="O395" s="53">
        <v>-27.2</v>
      </c>
      <c r="R395" s="53">
        <v>-54435.421000000002</v>
      </c>
      <c r="S395" s="53">
        <v>1.1232042771618875</v>
      </c>
      <c r="T395" s="53">
        <v>-48464.39967051</v>
      </c>
      <c r="U395" s="84">
        <v>43990</v>
      </c>
      <c r="V395" s="26" t="s">
        <v>1656</v>
      </c>
      <c r="W395" s="87">
        <v>43986.86677951389</v>
      </c>
    </row>
    <row r="396" spans="1:23">
      <c r="B396" s="26">
        <v>44594</v>
      </c>
      <c r="C396" s="26" t="s">
        <v>134</v>
      </c>
      <c r="D396" s="26" t="s">
        <v>12718</v>
      </c>
      <c r="E396" s="26" t="s">
        <v>1608</v>
      </c>
      <c r="F396" s="26" t="s">
        <v>1230</v>
      </c>
      <c r="G396" s="26" t="s">
        <v>12718</v>
      </c>
      <c r="I396" s="26" t="s">
        <v>1585</v>
      </c>
      <c r="J396" s="26" t="s">
        <v>3</v>
      </c>
      <c r="K396" s="53">
        <v>11.375</v>
      </c>
      <c r="M396" s="53">
        <v>-14400</v>
      </c>
      <c r="N396" s="53">
        <v>163800</v>
      </c>
      <c r="R396" s="53">
        <v>163800</v>
      </c>
      <c r="S396" s="289">
        <v>1.1304976851851851</v>
      </c>
      <c r="T396" s="53">
        <v>144891.64086687306</v>
      </c>
      <c r="V396" s="26" t="s">
        <v>1656</v>
      </c>
      <c r="W396" s="87">
        <v>44594.893130324075</v>
      </c>
    </row>
    <row r="397" spans="1:23">
      <c r="B397" s="26">
        <v>44595</v>
      </c>
      <c r="C397" s="26" t="s">
        <v>133</v>
      </c>
      <c r="E397" s="26" t="s">
        <v>1631</v>
      </c>
      <c r="F397" s="26" t="s">
        <v>1058</v>
      </c>
      <c r="G397" s="26" t="s">
        <v>12892</v>
      </c>
      <c r="I397" s="26" t="s">
        <v>12757</v>
      </c>
      <c r="J397" s="26" t="s">
        <v>3</v>
      </c>
      <c r="K397" s="289">
        <v>28.06</v>
      </c>
      <c r="M397" s="84">
        <v>9830</v>
      </c>
      <c r="N397" s="53">
        <v>-275829.8</v>
      </c>
      <c r="R397" s="53">
        <v>-275829.8</v>
      </c>
      <c r="S397" s="289">
        <v>1.1293981481481481</v>
      </c>
      <c r="T397" s="53">
        <v>-244226.84611298033</v>
      </c>
      <c r="V397" s="26" t="s">
        <v>1111</v>
      </c>
      <c r="W397" s="87">
        <v>44595.407505902775</v>
      </c>
    </row>
    <row r="398" spans="1:23">
      <c r="B398" s="26">
        <v>44596</v>
      </c>
      <c r="C398" s="26" t="s">
        <v>134</v>
      </c>
      <c r="D398" s="26" t="s">
        <v>12718</v>
      </c>
      <c r="E398" s="26" t="s">
        <v>1608</v>
      </c>
      <c r="F398" s="26" t="s">
        <v>1230</v>
      </c>
      <c r="G398" s="26" t="s">
        <v>12718</v>
      </c>
      <c r="I398" s="26" t="s">
        <v>1585</v>
      </c>
      <c r="J398" s="26" t="s">
        <v>3</v>
      </c>
      <c r="K398" s="289">
        <v>11.26</v>
      </c>
    </row>
    <row r="399" spans="1:23">
      <c r="B399" s="26">
        <v>44599</v>
      </c>
      <c r="C399" s="26" t="s">
        <v>133</v>
      </c>
      <c r="D399" s="26" t="s">
        <v>12718</v>
      </c>
      <c r="E399" s="26" t="s">
        <v>1608</v>
      </c>
      <c r="F399" s="26" t="s">
        <v>1230</v>
      </c>
      <c r="G399" s="26" t="s">
        <v>12718</v>
      </c>
      <c r="I399" s="26" t="s">
        <v>1585</v>
      </c>
      <c r="J399" s="26" t="s">
        <v>3</v>
      </c>
      <c r="K399" s="289">
        <v>9.92</v>
      </c>
      <c r="M399" s="84">
        <v>14000</v>
      </c>
      <c r="N399" s="53">
        <v>-138880</v>
      </c>
      <c r="R399" s="53">
        <v>-138880</v>
      </c>
      <c r="S399" s="289">
        <v>1.1425000000000001</v>
      </c>
      <c r="T399" s="53">
        <v>-121557.98687089715</v>
      </c>
      <c r="V399" s="26" t="s">
        <v>1656</v>
      </c>
      <c r="W399" s="87">
        <v>44599.433659259259</v>
      </c>
    </row>
    <row r="400" spans="1:23">
      <c r="B400" s="26">
        <v>44601</v>
      </c>
      <c r="C400" s="26" t="s">
        <v>134</v>
      </c>
      <c r="D400" s="26" t="s">
        <v>12716</v>
      </c>
      <c r="E400" s="26" t="s">
        <v>1222</v>
      </c>
      <c r="F400" s="26" t="s">
        <v>1230</v>
      </c>
      <c r="G400" s="26" t="s">
        <v>12716</v>
      </c>
      <c r="I400" s="26" t="s">
        <v>130</v>
      </c>
      <c r="J400" s="26" t="s">
        <v>2</v>
      </c>
      <c r="K400" s="289">
        <v>36.32</v>
      </c>
    </row>
    <row r="401" spans="1:23">
      <c r="B401" s="26">
        <v>44606</v>
      </c>
      <c r="C401" s="26" t="s">
        <v>134</v>
      </c>
      <c r="D401" s="26" t="s">
        <v>12719</v>
      </c>
      <c r="E401" s="26" t="s">
        <v>1610</v>
      </c>
      <c r="F401" s="26" t="s">
        <v>1230</v>
      </c>
      <c r="G401" s="26" t="s">
        <v>12719</v>
      </c>
      <c r="I401" s="26" t="s">
        <v>1587</v>
      </c>
      <c r="J401" s="26" t="s">
        <v>125</v>
      </c>
      <c r="K401" s="53">
        <v>1884.5</v>
      </c>
      <c r="M401" s="53">
        <v>-6400</v>
      </c>
      <c r="N401" s="53">
        <v>12060800</v>
      </c>
      <c r="R401" s="53">
        <v>12060800</v>
      </c>
      <c r="S401" s="53">
        <v>130.16999999999999</v>
      </c>
      <c r="T401" s="53">
        <v>92654.221402780982</v>
      </c>
      <c r="V401" s="26" t="s">
        <v>1656</v>
      </c>
      <c r="W401" s="87">
        <v>44606.36784467593</v>
      </c>
    </row>
    <row r="402" spans="1:23">
      <c r="B402" s="26">
        <v>44606</v>
      </c>
      <c r="C402" s="26" t="s">
        <v>133</v>
      </c>
      <c r="D402" s="26" t="s">
        <v>12717</v>
      </c>
      <c r="E402" s="26" t="s">
        <v>1227</v>
      </c>
      <c r="F402" s="26" t="s">
        <v>1230</v>
      </c>
      <c r="G402" s="26" t="s">
        <v>12717</v>
      </c>
      <c r="I402" s="26" t="s">
        <v>1092</v>
      </c>
      <c r="J402" s="26" t="s">
        <v>1069</v>
      </c>
      <c r="K402" s="289">
        <v>1.39</v>
      </c>
      <c r="M402" s="84">
        <v>67000</v>
      </c>
      <c r="N402" s="53">
        <v>-93130</v>
      </c>
      <c r="R402" s="53">
        <v>-93130</v>
      </c>
      <c r="S402" s="289">
        <v>1.5943171296296295</v>
      </c>
      <c r="T402" s="53">
        <v>-58413.618345125193</v>
      </c>
      <c r="V402" s="26" t="s">
        <v>1656</v>
      </c>
      <c r="W402" s="87">
        <v>44606.368223958336</v>
      </c>
    </row>
    <row r="403" spans="1:23">
      <c r="B403" s="26">
        <v>44606</v>
      </c>
      <c r="C403" s="26" t="s">
        <v>133</v>
      </c>
      <c r="D403" s="26" t="s">
        <v>12730</v>
      </c>
      <c r="E403" s="26" t="s">
        <v>1190</v>
      </c>
      <c r="F403" s="26" t="s">
        <v>1230</v>
      </c>
      <c r="G403" s="26" t="s">
        <v>12730</v>
      </c>
      <c r="I403" s="26" t="s">
        <v>1085</v>
      </c>
      <c r="J403" s="26" t="s">
        <v>125</v>
      </c>
      <c r="K403" s="84">
        <v>2863</v>
      </c>
      <c r="M403" s="84">
        <v>6900</v>
      </c>
      <c r="N403" s="53">
        <v>-19754700</v>
      </c>
      <c r="R403" s="53">
        <v>-19754700</v>
      </c>
      <c r="S403" s="289">
        <v>130.16999999999999</v>
      </c>
      <c r="T403" s="53">
        <v>-151760.77437197513</v>
      </c>
      <c r="V403" s="26" t="s">
        <v>1656</v>
      </c>
      <c r="W403" s="87">
        <v>44606.369277314814</v>
      </c>
    </row>
    <row r="404" spans="1:23">
      <c r="B404" s="26">
        <v>44606</v>
      </c>
      <c r="C404" s="26" t="s">
        <v>133</v>
      </c>
      <c r="D404" s="26" t="s">
        <v>12711</v>
      </c>
      <c r="E404" s="26" t="s">
        <v>1209</v>
      </c>
      <c r="F404" s="26" t="s">
        <v>1230</v>
      </c>
      <c r="G404" s="26" t="s">
        <v>12711</v>
      </c>
      <c r="I404" s="26" t="s">
        <v>1102</v>
      </c>
      <c r="J404" s="26" t="s">
        <v>123</v>
      </c>
      <c r="K404" s="84">
        <v>124000</v>
      </c>
      <c r="M404" s="84">
        <v>690</v>
      </c>
      <c r="N404" s="53">
        <v>-85560000</v>
      </c>
      <c r="R404" s="53">
        <v>-85560000</v>
      </c>
      <c r="S404" s="289">
        <v>1358.43</v>
      </c>
      <c r="T404" s="53">
        <v>-62984.474724498134</v>
      </c>
      <c r="V404" s="26" t="s">
        <v>1114</v>
      </c>
      <c r="W404" s="87">
        <v>44606.370648032411</v>
      </c>
    </row>
    <row r="405" spans="1:23">
      <c r="B405" s="26">
        <v>44606</v>
      </c>
      <c r="C405" s="26" t="s">
        <v>133</v>
      </c>
      <c r="D405" s="26" t="s">
        <v>12704</v>
      </c>
      <c r="E405" s="26" t="s">
        <v>1186</v>
      </c>
      <c r="F405" s="26" t="s">
        <v>1230</v>
      </c>
      <c r="G405" s="26" t="s">
        <v>12704</v>
      </c>
      <c r="I405" s="26" t="s">
        <v>1081</v>
      </c>
      <c r="J405" s="26" t="s">
        <v>125</v>
      </c>
      <c r="K405" s="289">
        <v>1222.5</v>
      </c>
      <c r="M405" s="84">
        <v>7000</v>
      </c>
      <c r="N405" s="53">
        <v>-8557500</v>
      </c>
      <c r="R405" s="53">
        <v>-8557500</v>
      </c>
      <c r="S405" s="289">
        <v>130.29</v>
      </c>
      <c r="T405" s="53">
        <v>-65680.405249827309</v>
      </c>
      <c r="V405" s="26" t="s">
        <v>1656</v>
      </c>
      <c r="W405" s="87">
        <v>44606.464351736111</v>
      </c>
    </row>
    <row r="406" spans="1:23">
      <c r="B406" s="26">
        <v>44607</v>
      </c>
      <c r="C406" s="26" t="s">
        <v>133</v>
      </c>
      <c r="D406" s="26" t="s">
        <v>12730</v>
      </c>
      <c r="E406" s="26" t="s">
        <v>1190</v>
      </c>
      <c r="F406" s="26" t="s">
        <v>1230</v>
      </c>
      <c r="G406" s="26" t="s">
        <v>12730</v>
      </c>
      <c r="I406" s="26" t="s">
        <v>1085</v>
      </c>
      <c r="J406" s="26" t="s">
        <v>125</v>
      </c>
      <c r="K406" s="84">
        <v>2780</v>
      </c>
      <c r="M406" s="84">
        <v>3300</v>
      </c>
      <c r="N406" s="53">
        <v>-9174000</v>
      </c>
      <c r="R406" s="53">
        <v>-9174000</v>
      </c>
      <c r="S406" s="289">
        <v>130.93</v>
      </c>
      <c r="T406" s="53">
        <v>-70067.975253952492</v>
      </c>
      <c r="V406" s="26" t="s">
        <v>1656</v>
      </c>
      <c r="W406" s="87">
        <v>44607.347873842591</v>
      </c>
    </row>
    <row r="407" spans="1:23">
      <c r="B407" s="26">
        <v>44607</v>
      </c>
      <c r="C407" s="26" t="s">
        <v>133</v>
      </c>
      <c r="D407" s="26" t="s">
        <v>12711</v>
      </c>
      <c r="E407" s="26" t="s">
        <v>1209</v>
      </c>
      <c r="F407" s="26" t="s">
        <v>1230</v>
      </c>
      <c r="G407" s="26" t="s">
        <v>12711</v>
      </c>
      <c r="I407" s="26" t="s">
        <v>1102</v>
      </c>
      <c r="J407" s="26" t="s">
        <v>123</v>
      </c>
      <c r="K407" s="84">
        <v>121000</v>
      </c>
      <c r="M407" s="84">
        <v>500</v>
      </c>
      <c r="N407" s="53">
        <v>-60500000</v>
      </c>
      <c r="R407" s="53">
        <v>-60500000</v>
      </c>
      <c r="S407" s="289">
        <v>1357.81</v>
      </c>
      <c r="T407" s="53">
        <v>-44557.044063602421</v>
      </c>
      <c r="V407" s="26" t="s">
        <v>1114</v>
      </c>
      <c r="W407" s="87">
        <v>44607.350303935185</v>
      </c>
    </row>
    <row r="408" spans="1:23">
      <c r="B408" s="26">
        <v>44617</v>
      </c>
      <c r="C408" s="26" t="s">
        <v>134</v>
      </c>
      <c r="D408" s="26" t="s">
        <v>12713</v>
      </c>
      <c r="E408" s="26" t="s">
        <v>1215</v>
      </c>
      <c r="F408" s="26" t="s">
        <v>1230</v>
      </c>
      <c r="G408" s="26" t="s">
        <v>12713</v>
      </c>
      <c r="I408" s="26" t="s">
        <v>1064</v>
      </c>
      <c r="J408" s="26" t="s">
        <v>2</v>
      </c>
      <c r="K408" s="289">
        <v>112.6</v>
      </c>
    </row>
    <row r="409" spans="1:23">
      <c r="B409" s="26">
        <v>44623</v>
      </c>
      <c r="C409" s="26" t="s">
        <v>134</v>
      </c>
      <c r="D409" s="26" t="s">
        <v>12705</v>
      </c>
      <c r="E409" s="26" t="s">
        <v>1187</v>
      </c>
      <c r="F409" s="26" t="s">
        <v>1230</v>
      </c>
      <c r="G409" s="26" t="s">
        <v>12705</v>
      </c>
      <c r="I409" s="26" t="s">
        <v>1090</v>
      </c>
      <c r="J409" s="26" t="s">
        <v>125</v>
      </c>
      <c r="K409" s="53">
        <v>6228</v>
      </c>
      <c r="M409" s="53">
        <v>-5200</v>
      </c>
      <c r="N409" s="53">
        <v>32385600</v>
      </c>
      <c r="R409" s="53">
        <v>32385600</v>
      </c>
      <c r="S409" s="53">
        <v>128.56</v>
      </c>
      <c r="T409" s="53">
        <v>251910.39203484755</v>
      </c>
      <c r="V409" s="26" t="s">
        <v>1656</v>
      </c>
      <c r="W409" s="87">
        <v>44623.407591782408</v>
      </c>
    </row>
    <row r="410" spans="1:23">
      <c r="B410" s="26">
        <v>44627</v>
      </c>
      <c r="C410" s="26" t="s">
        <v>134</v>
      </c>
      <c r="D410" s="26" t="s">
        <v>12705</v>
      </c>
      <c r="E410" s="26" t="s">
        <v>1187</v>
      </c>
      <c r="F410" s="26" t="s">
        <v>1230</v>
      </c>
      <c r="G410" s="26" t="s">
        <v>12705</v>
      </c>
      <c r="I410" s="26" t="s">
        <v>1090</v>
      </c>
      <c r="J410" s="26" t="s">
        <v>125</v>
      </c>
      <c r="K410" s="53">
        <v>6340</v>
      </c>
      <c r="M410" s="53">
        <v>-3800</v>
      </c>
      <c r="N410" s="53">
        <v>24092000</v>
      </c>
      <c r="R410" s="53">
        <v>24092000</v>
      </c>
      <c r="S410" s="53">
        <v>124.9</v>
      </c>
      <c r="T410" s="53">
        <v>192890.31224979984</v>
      </c>
      <c r="V410" s="26" t="s">
        <v>1656</v>
      </c>
      <c r="W410" s="87">
        <v>44627.38759027778</v>
      </c>
    </row>
    <row r="411" spans="1:23">
      <c r="B411" s="26">
        <v>44635</v>
      </c>
      <c r="C411" s="26" t="s">
        <v>133</v>
      </c>
      <c r="E411" s="26" t="s">
        <v>12765</v>
      </c>
      <c r="F411" s="26" t="s">
        <v>1230</v>
      </c>
      <c r="G411" s="26" t="s">
        <v>12711</v>
      </c>
      <c r="I411" s="26" t="s">
        <v>12765</v>
      </c>
      <c r="J411" s="26" t="s">
        <v>12765</v>
      </c>
      <c r="K411" s="53">
        <v>123500</v>
      </c>
      <c r="M411" s="53">
        <v>633</v>
      </c>
      <c r="N411" s="53">
        <v>0</v>
      </c>
      <c r="R411" s="53">
        <v>0</v>
      </c>
      <c r="S411" s="53">
        <v>1363.57</v>
      </c>
      <c r="T411" s="53" t="e">
        <v>#DIV/0!</v>
      </c>
      <c r="V411" s="26" t="s">
        <v>1114</v>
      </c>
      <c r="W411" s="87">
        <v>44635.874279861113</v>
      </c>
    </row>
    <row r="412" spans="1:23">
      <c r="A412" s="377">
        <v>2019200584</v>
      </c>
      <c r="B412" s="26">
        <v>44617</v>
      </c>
      <c r="C412" s="26" t="s">
        <v>134</v>
      </c>
      <c r="D412" s="26" t="s">
        <v>12713</v>
      </c>
      <c r="E412" s="26" t="s">
        <v>1215</v>
      </c>
      <c r="F412" s="26" t="s">
        <v>1230</v>
      </c>
      <c r="G412" s="26" t="s">
        <v>12713</v>
      </c>
      <c r="I412" s="26" t="s">
        <v>1064</v>
      </c>
      <c r="J412" s="26" t="s">
        <v>2</v>
      </c>
      <c r="K412" s="53">
        <v>112.28</v>
      </c>
      <c r="M412" s="53">
        <v>-670</v>
      </c>
      <c r="N412" s="53">
        <v>75227.600000000006</v>
      </c>
      <c r="O412" s="53">
        <v>-45.14</v>
      </c>
      <c r="R412" s="53">
        <v>75182.460000000006</v>
      </c>
      <c r="S412" s="53">
        <v>1</v>
      </c>
      <c r="T412" s="53">
        <v>75182.460000000006</v>
      </c>
      <c r="U412" s="84">
        <v>44621</v>
      </c>
      <c r="V412" s="26" t="s">
        <v>1111</v>
      </c>
      <c r="W412" s="87">
        <v>44617.557539351852</v>
      </c>
    </row>
    <row r="413" spans="1:23">
      <c r="B413" s="26">
        <v>44637</v>
      </c>
      <c r="C413" s="26" t="s">
        <v>134</v>
      </c>
      <c r="D413" s="26" t="s">
        <v>12713</v>
      </c>
      <c r="E413" s="26" t="s">
        <v>1215</v>
      </c>
      <c r="F413" s="26" t="s">
        <v>1230</v>
      </c>
      <c r="G413" s="26" t="s">
        <v>12713</v>
      </c>
      <c r="I413" s="26" t="s">
        <v>1064</v>
      </c>
      <c r="J413" s="26" t="s">
        <v>2</v>
      </c>
      <c r="K413" s="53">
        <v>122.8</v>
      </c>
      <c r="M413" s="53">
        <v>-940</v>
      </c>
      <c r="N413" s="53">
        <v>115432</v>
      </c>
      <c r="R413" s="53">
        <v>115432</v>
      </c>
      <c r="S413" s="53">
        <v>1</v>
      </c>
      <c r="T413" s="53">
        <v>115432</v>
      </c>
      <c r="V413" s="26" t="s">
        <v>1111</v>
      </c>
      <c r="W413" s="87">
        <v>44637.345227546299</v>
      </c>
    </row>
    <row r="414" spans="1:23">
      <c r="B414" s="26">
        <v>44637</v>
      </c>
      <c r="C414" s="26" t="s">
        <v>133</v>
      </c>
      <c r="D414" s="26" t="s">
        <v>12709</v>
      </c>
      <c r="E414" s="26" t="s">
        <v>1206</v>
      </c>
      <c r="F414" s="26" t="s">
        <v>1230</v>
      </c>
      <c r="G414" s="26" t="s">
        <v>12709</v>
      </c>
      <c r="I414" s="26" t="s">
        <v>1080</v>
      </c>
      <c r="J414" s="26" t="s">
        <v>123</v>
      </c>
      <c r="K414" s="53">
        <v>253500</v>
      </c>
      <c r="M414" s="53">
        <v>1100</v>
      </c>
      <c r="N414" s="53">
        <v>-278850000</v>
      </c>
      <c r="R414" s="53">
        <v>-278850000</v>
      </c>
      <c r="S414" s="53">
        <v>1338.58</v>
      </c>
      <c r="T414" s="53">
        <v>-208317.76957671563</v>
      </c>
      <c r="V414" s="26" t="s">
        <v>1114</v>
      </c>
      <c r="W414" s="87">
        <v>44637.355601504627</v>
      </c>
    </row>
    <row r="415" spans="1:23">
      <c r="B415" s="26">
        <v>44638</v>
      </c>
      <c r="C415" s="26" t="s">
        <v>134</v>
      </c>
      <c r="D415" s="26" t="s">
        <v>12705</v>
      </c>
      <c r="E415" s="26" t="s">
        <v>1187</v>
      </c>
      <c r="F415" s="26" t="s">
        <v>1230</v>
      </c>
      <c r="G415" s="26" t="s">
        <v>12705</v>
      </c>
      <c r="I415" s="26" t="s">
        <v>1090</v>
      </c>
      <c r="J415" s="26" t="s">
        <v>125</v>
      </c>
      <c r="K415" s="53">
        <v>5994</v>
      </c>
      <c r="M415" s="53">
        <v>-3800</v>
      </c>
      <c r="N415" s="53">
        <v>22777200</v>
      </c>
      <c r="R415" s="53">
        <v>22777200</v>
      </c>
      <c r="S415" s="53">
        <v>131.61000000000001</v>
      </c>
      <c r="T415" s="53">
        <v>173065.87645315705</v>
      </c>
      <c r="V415" s="26" t="s">
        <v>1656</v>
      </c>
      <c r="W415" s="87">
        <v>44638.378433564816</v>
      </c>
    </row>
    <row r="416" spans="1:23">
      <c r="B416" s="26">
        <v>44684</v>
      </c>
      <c r="C416" s="26" t="s">
        <v>134</v>
      </c>
      <c r="D416" s="26" t="s">
        <v>12717</v>
      </c>
      <c r="E416" s="26" t="s">
        <v>1227</v>
      </c>
      <c r="F416" s="26" t="s">
        <v>1230</v>
      </c>
      <c r="G416" s="26" t="s">
        <v>12717</v>
      </c>
      <c r="I416" s="26" t="s">
        <v>1092</v>
      </c>
      <c r="J416" s="26" t="s">
        <v>1069</v>
      </c>
      <c r="K416" s="53">
        <v>1.865</v>
      </c>
      <c r="M416" s="53">
        <v>-156680</v>
      </c>
      <c r="N416" s="53">
        <v>292208.2</v>
      </c>
      <c r="R416" s="53">
        <v>292208.2</v>
      </c>
      <c r="S416" s="53">
        <v>1.47942</v>
      </c>
      <c r="T416" s="53">
        <v>197515.3776479972</v>
      </c>
      <c r="V416" s="26" t="s">
        <v>1656</v>
      </c>
      <c r="W416" s="87">
        <v>44684.389683449073</v>
      </c>
    </row>
    <row r="417" spans="2:23">
      <c r="B417" s="26">
        <v>44684</v>
      </c>
      <c r="C417" s="26" t="s">
        <v>134</v>
      </c>
      <c r="D417" s="26" t="s">
        <v>12789</v>
      </c>
      <c r="E417" s="26" t="s">
        <v>12673</v>
      </c>
      <c r="F417" s="26" t="s">
        <v>1230</v>
      </c>
      <c r="G417" s="26" t="s">
        <v>12789</v>
      </c>
      <c r="I417" s="26" t="s">
        <v>12610</v>
      </c>
      <c r="J417" s="26" t="s">
        <v>123</v>
      </c>
      <c r="K417" s="53">
        <v>39750</v>
      </c>
      <c r="M417" s="53">
        <v>-11000</v>
      </c>
      <c r="N417" s="53">
        <v>437250000</v>
      </c>
      <c r="R417" s="53">
        <v>437250000</v>
      </c>
      <c r="S417" s="53">
        <v>1331.01</v>
      </c>
      <c r="T417" s="53">
        <v>328509.92855049926</v>
      </c>
      <c r="V417" s="26" t="s">
        <v>1114</v>
      </c>
      <c r="W417" s="87">
        <v>44684.395324074074</v>
      </c>
    </row>
    <row r="418" spans="2:23">
      <c r="B418" s="26">
        <v>44684</v>
      </c>
      <c r="C418" s="26" t="s">
        <v>134</v>
      </c>
      <c r="D418" s="26" t="s">
        <v>12741</v>
      </c>
      <c r="E418" s="26" t="s">
        <v>12670</v>
      </c>
      <c r="F418" s="26" t="s">
        <v>1230</v>
      </c>
      <c r="G418" s="26" t="s">
        <v>12741</v>
      </c>
      <c r="I418" s="26" t="s">
        <v>12625</v>
      </c>
      <c r="J418" s="26" t="s">
        <v>123</v>
      </c>
      <c r="K418" s="53">
        <v>48600</v>
      </c>
      <c r="M418" s="53">
        <v>-2000</v>
      </c>
      <c r="N418" s="53">
        <v>97200000</v>
      </c>
      <c r="R418" s="53">
        <v>97200000</v>
      </c>
      <c r="S418" s="53">
        <v>1331.01</v>
      </c>
      <c r="T418" s="53">
        <v>73027.249983095549</v>
      </c>
      <c r="V418" s="26" t="s">
        <v>1114</v>
      </c>
      <c r="W418" s="87">
        <v>44684.398615162034</v>
      </c>
    </row>
    <row r="419" spans="2:23">
      <c r="B419" s="26">
        <v>44684</v>
      </c>
      <c r="C419" s="26" t="s">
        <v>134</v>
      </c>
      <c r="D419" s="26" t="s">
        <v>12713</v>
      </c>
      <c r="E419" s="26" t="s">
        <v>1215</v>
      </c>
      <c r="F419" s="26" t="s">
        <v>1230</v>
      </c>
      <c r="G419" s="26" t="s">
        <v>12713</v>
      </c>
      <c r="I419" s="26" t="s">
        <v>1064</v>
      </c>
      <c r="J419" s="26" t="s">
        <v>2</v>
      </c>
      <c r="K419" s="53">
        <v>124.3</v>
      </c>
      <c r="M419" s="53">
        <v>-1100</v>
      </c>
      <c r="N419" s="53">
        <v>136730</v>
      </c>
      <c r="R419" s="53">
        <v>136730</v>
      </c>
      <c r="S419" s="53">
        <v>1</v>
      </c>
      <c r="T419" s="53">
        <v>136730</v>
      </c>
      <c r="V419" s="26" t="s">
        <v>1111</v>
      </c>
      <c r="W419" s="87">
        <v>44684.604497222223</v>
      </c>
    </row>
    <row r="420" spans="2:23">
      <c r="B420" s="26">
        <v>44685</v>
      </c>
      <c r="C420" s="26" t="s">
        <v>134</v>
      </c>
      <c r="D420" s="26" t="s">
        <v>12720</v>
      </c>
      <c r="E420" s="26" t="s">
        <v>1611</v>
      </c>
      <c r="F420" s="26" t="s">
        <v>1230</v>
      </c>
      <c r="G420" s="26" t="s">
        <v>12720</v>
      </c>
      <c r="I420" s="26" t="s">
        <v>1602</v>
      </c>
      <c r="J420" s="26" t="s">
        <v>1065</v>
      </c>
      <c r="K420" s="53">
        <v>2.44</v>
      </c>
      <c r="M420" s="53">
        <v>-580000</v>
      </c>
      <c r="N420" s="53">
        <v>1415200</v>
      </c>
      <c r="R420" s="53">
        <v>1415200</v>
      </c>
      <c r="S420" s="53">
        <v>8.2622</v>
      </c>
      <c r="T420" s="53">
        <v>171286.098133669</v>
      </c>
      <c r="V420" s="26" t="s">
        <v>1656</v>
      </c>
      <c r="W420" s="87">
        <v>44685.399717708337</v>
      </c>
    </row>
    <row r="421" spans="2:23">
      <c r="B421" s="26">
        <v>44685</v>
      </c>
      <c r="C421" s="26" t="s">
        <v>134</v>
      </c>
      <c r="D421" s="26" t="s">
        <v>12789</v>
      </c>
      <c r="E421" s="26" t="s">
        <v>12673</v>
      </c>
      <c r="F421" s="26" t="s">
        <v>1230</v>
      </c>
      <c r="G421" s="26" t="s">
        <v>12789</v>
      </c>
      <c r="I421" s="26" t="s">
        <v>12610</v>
      </c>
      <c r="J421" s="26" t="s">
        <v>123</v>
      </c>
      <c r="K421" s="53">
        <v>39150</v>
      </c>
      <c r="M421" s="53">
        <v>-11000</v>
      </c>
      <c r="N421" s="53">
        <v>430650000</v>
      </c>
      <c r="R421" s="53">
        <v>430650000</v>
      </c>
      <c r="S421" s="53">
        <v>1328.93</v>
      </c>
      <c r="T421" s="53">
        <v>324057.70055608643</v>
      </c>
      <c r="V421" s="26" t="s">
        <v>1114</v>
      </c>
      <c r="W421" s="87">
        <v>44685.40125185185</v>
      </c>
    </row>
    <row r="422" spans="2:23">
      <c r="B422" s="26">
        <v>44717</v>
      </c>
      <c r="C422" s="26" t="s">
        <v>134</v>
      </c>
      <c r="D422" s="26" t="s">
        <v>12877</v>
      </c>
      <c r="E422" s="26" t="s">
        <v>12865</v>
      </c>
      <c r="F422" s="26" t="s">
        <v>1230</v>
      </c>
      <c r="G422" s="26" t="s">
        <v>12877</v>
      </c>
      <c r="I422" s="26" t="s">
        <v>12867</v>
      </c>
      <c r="J422" s="26" t="s">
        <v>125</v>
      </c>
      <c r="K422" s="53">
        <v>3895</v>
      </c>
      <c r="M422" s="53">
        <v>-6000</v>
      </c>
      <c r="N422" s="53">
        <v>23370000</v>
      </c>
      <c r="R422" s="53">
        <v>23370000</v>
      </c>
      <c r="S422" s="53">
        <v>140.33000000000001</v>
      </c>
      <c r="T422" s="53">
        <v>166536.02223330719</v>
      </c>
      <c r="V422" s="26" t="s">
        <v>1656</v>
      </c>
      <c r="W422" s="87">
        <v>44717.982696990737</v>
      </c>
    </row>
    <row r="423" spans="2:23">
      <c r="B423" s="26">
        <v>44717</v>
      </c>
      <c r="C423" s="26" t="s">
        <v>133</v>
      </c>
      <c r="E423" s="26" t="s">
        <v>13231</v>
      </c>
      <c r="F423" s="26" t="s">
        <v>1058</v>
      </c>
      <c r="G423" s="26" t="s">
        <v>13230</v>
      </c>
      <c r="I423" s="26" t="s">
        <v>12861</v>
      </c>
      <c r="J423" s="26" t="s">
        <v>125</v>
      </c>
      <c r="K423" s="53">
        <v>2237</v>
      </c>
      <c r="M423" s="53">
        <v>11000</v>
      </c>
      <c r="N423" s="53">
        <v>-24607000</v>
      </c>
      <c r="R423" s="53">
        <v>-24607000</v>
      </c>
      <c r="S423" s="53">
        <v>140.33000000000001</v>
      </c>
      <c r="T423" s="53">
        <v>-175350.95845507018</v>
      </c>
      <c r="V423" s="26" t="s">
        <v>1656</v>
      </c>
      <c r="W423" s="87">
        <v>44717.983495370368</v>
      </c>
    </row>
    <row r="424" spans="2:23">
      <c r="B424" s="26">
        <v>44719</v>
      </c>
      <c r="C424" s="26" t="s">
        <v>134</v>
      </c>
      <c r="D424" s="26" t="s">
        <v>12877</v>
      </c>
      <c r="E424" s="26" t="s">
        <v>12865</v>
      </c>
      <c r="F424" s="26" t="s">
        <v>1230</v>
      </c>
      <c r="G424" s="26" t="s">
        <v>12877</v>
      </c>
      <c r="I424" s="26" t="s">
        <v>12867</v>
      </c>
      <c r="J424" s="26" t="s">
        <v>125</v>
      </c>
      <c r="K424" s="53">
        <v>4005</v>
      </c>
      <c r="M424" s="53">
        <v>-6000</v>
      </c>
      <c r="N424" s="53">
        <v>24030000</v>
      </c>
      <c r="R424" s="53">
        <v>24030000</v>
      </c>
      <c r="S424" s="53">
        <v>141.85</v>
      </c>
      <c r="T424" s="53">
        <v>169404.30031723651</v>
      </c>
      <c r="V424" s="26" t="s">
        <v>1656</v>
      </c>
      <c r="W424" s="87">
        <v>44719.464104166669</v>
      </c>
    </row>
    <row r="425" spans="2:23">
      <c r="B425" s="26">
        <v>44719</v>
      </c>
      <c r="C425" s="26" t="s">
        <v>133</v>
      </c>
      <c r="E425" s="26" t="s">
        <v>13231</v>
      </c>
      <c r="F425" s="26" t="s">
        <v>1058</v>
      </c>
      <c r="G425" s="26" t="s">
        <v>13230</v>
      </c>
      <c r="I425" s="26" t="s">
        <v>13232</v>
      </c>
      <c r="J425" s="26" t="s">
        <v>125</v>
      </c>
      <c r="K425" s="53">
        <v>2278</v>
      </c>
      <c r="M425" s="53">
        <v>6900</v>
      </c>
      <c r="N425" s="53">
        <v>-15718200</v>
      </c>
      <c r="R425" s="53">
        <v>-15718200</v>
      </c>
      <c r="S425" s="53">
        <v>141.85</v>
      </c>
      <c r="T425" s="53">
        <v>-110808.60063447304</v>
      </c>
      <c r="V425" s="26" t="s">
        <v>1656</v>
      </c>
      <c r="W425" s="87">
        <v>44719.464808449076</v>
      </c>
    </row>
    <row r="426" spans="2:23">
      <c r="B426" s="26">
        <v>44729</v>
      </c>
      <c r="C426" s="26" t="s">
        <v>134</v>
      </c>
      <c r="D426" s="26" t="s">
        <v>12877</v>
      </c>
      <c r="E426" s="26" t="s">
        <v>12865</v>
      </c>
      <c r="F426" s="26" t="s">
        <v>1230</v>
      </c>
      <c r="G426" s="26" t="s">
        <v>12877</v>
      </c>
      <c r="I426" s="26" t="s">
        <v>12867</v>
      </c>
      <c r="J426" s="26" t="s">
        <v>125</v>
      </c>
      <c r="K426" s="53">
        <v>3830</v>
      </c>
      <c r="M426" s="53">
        <v>-6800</v>
      </c>
      <c r="N426" s="53">
        <v>26044000</v>
      </c>
      <c r="R426" s="53">
        <v>26044000</v>
      </c>
      <c r="S426" s="53">
        <v>141.72</v>
      </c>
      <c r="T426" s="53">
        <v>183770.81569291561</v>
      </c>
      <c r="V426" s="26" t="s">
        <v>1656</v>
      </c>
      <c r="W426" s="87">
        <v>44729.488027662039</v>
      </c>
    </row>
  </sheetData>
  <conditionalFormatting sqref="V225:V227">
    <cfRule type="expression" dxfId="17" priority="6">
      <formula>$C225="SELL"</formula>
    </cfRule>
  </conditionalFormatting>
  <dataValidations count="1">
    <dataValidation allowBlank="1" showInputMessage="1" showErrorMessage="1" sqref="D212:D256" xr:uid="{3DDBDA7B-258E-46C7-9FA7-C20038F4C668}"/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88D6-6C53-40A4-8F8F-817C2CE5F062}">
  <sheetPr codeName="Foglio1"/>
  <dimension ref="A10:AF12"/>
  <sheetViews>
    <sheetView workbookViewId="0">
      <selection activeCell="A11" sqref="A11"/>
    </sheetView>
  </sheetViews>
  <sheetFormatPr defaultColWidth="9" defaultRowHeight="14.5"/>
  <cols>
    <col min="1" max="1" width="11.26953125" style="22" customWidth="1"/>
    <col min="2" max="2" width="9.54296875" style="26" customWidth="1"/>
    <col min="3" max="3" width="9" style="22" customWidth="1"/>
    <col min="4" max="4" width="14.81640625" style="22" customWidth="1"/>
    <col min="5" max="7" width="9" style="57" customWidth="1"/>
    <col min="8" max="8" width="9" style="57"/>
    <col min="9" max="9" width="12.26953125" style="53" customWidth="1"/>
    <col min="10" max="15" width="9" style="53" customWidth="1"/>
    <col min="16" max="16" width="9" style="53"/>
    <col min="17" max="18" width="9" style="53" customWidth="1"/>
    <col min="19" max="19" width="9" style="53"/>
    <col min="20" max="20" width="9" style="87"/>
    <col min="21" max="16384" width="9" style="22"/>
  </cols>
  <sheetData>
    <row r="10" spans="1:32" s="2" customFormat="1" ht="26">
      <c r="A10" s="3" t="s">
        <v>27</v>
      </c>
      <c r="B10" s="79" t="s">
        <v>135</v>
      </c>
      <c r="C10" s="3"/>
      <c r="D10" s="4" t="s">
        <v>34</v>
      </c>
      <c r="E10" s="92" t="s">
        <v>45</v>
      </c>
      <c r="F10" s="95"/>
      <c r="G10" s="92" t="s">
        <v>5</v>
      </c>
      <c r="H10" s="92" t="s">
        <v>20</v>
      </c>
      <c r="I10" s="93" t="s">
        <v>36</v>
      </c>
      <c r="J10" s="92" t="s">
        <v>46</v>
      </c>
      <c r="K10" s="92" t="s">
        <v>120</v>
      </c>
      <c r="L10" s="92" t="s">
        <v>30</v>
      </c>
      <c r="M10" s="92" t="s">
        <v>31</v>
      </c>
      <c r="N10" s="92" t="s">
        <v>48</v>
      </c>
      <c r="O10" s="92" t="s">
        <v>119</v>
      </c>
      <c r="P10" s="61" t="s">
        <v>25</v>
      </c>
      <c r="Q10" s="92" t="s">
        <v>47</v>
      </c>
      <c r="R10" s="61" t="s">
        <v>32</v>
      </c>
      <c r="S10" s="61" t="s">
        <v>33</v>
      </c>
      <c r="T10" s="61" t="s">
        <v>142</v>
      </c>
      <c r="U10" s="16"/>
      <c r="V10" s="94"/>
      <c r="W10" s="94"/>
      <c r="X10" s="18"/>
      <c r="Y10" s="94"/>
      <c r="Z10" s="6"/>
      <c r="AA10" s="6"/>
      <c r="AB10" s="6"/>
      <c r="AC10" s="6"/>
      <c r="AD10" s="6"/>
      <c r="AE10" s="6"/>
      <c r="AF10" s="6"/>
    </row>
    <row r="11" spans="1:32">
      <c r="A11" s="22">
        <v>43514</v>
      </c>
      <c r="B11" s="26" t="s">
        <v>133</v>
      </c>
      <c r="D11" s="22" t="s">
        <v>1073</v>
      </c>
      <c r="E11" s="57" t="s">
        <v>1058</v>
      </c>
      <c r="H11" s="57">
        <v>88.652000000000001</v>
      </c>
      <c r="I11" s="50">
        <v>100000</v>
      </c>
      <c r="J11" s="53">
        <v>-88652</v>
      </c>
      <c r="O11" s="53">
        <v>-88652</v>
      </c>
      <c r="P11" s="53">
        <v>1</v>
      </c>
      <c r="Q11" s="86">
        <v>-86186.25</v>
      </c>
      <c r="T11" s="87">
        <v>43514.692830324071</v>
      </c>
    </row>
    <row r="12" spans="1:32">
      <c r="A12" s="22">
        <v>44491</v>
      </c>
      <c r="B12" s="26" t="s">
        <v>134</v>
      </c>
      <c r="E12" s="57" t="s">
        <v>1230</v>
      </c>
      <c r="F12" s="57" t="e">
        <v>#N/A</v>
      </c>
      <c r="G12" s="57" t="e">
        <v>#N/A</v>
      </c>
      <c r="H12" s="57" t="s">
        <v>12872</v>
      </c>
      <c r="I12" s="53">
        <v>100000</v>
      </c>
      <c r="J12" s="53" t="e">
        <v>#VALUE!</v>
      </c>
      <c r="O12" s="53" t="e">
        <v>#VALUE!</v>
      </c>
      <c r="P12" s="53">
        <v>158</v>
      </c>
    </row>
  </sheetData>
  <sheetProtection selectLockedCells="1" selectUnlockedCells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F25F-40B7-44A7-A33C-5D4A00833AFC}">
  <sheetPr codeName="Foglio11"/>
  <dimension ref="A10:BP15"/>
  <sheetViews>
    <sheetView topLeftCell="A3" workbookViewId="0">
      <selection activeCell="B22" sqref="B22"/>
    </sheetView>
  </sheetViews>
  <sheetFormatPr defaultColWidth="9" defaultRowHeight="14.5"/>
  <cols>
    <col min="1" max="1" width="11.54296875" style="26" customWidth="1"/>
    <col min="2" max="2" width="12" style="26" customWidth="1"/>
    <col min="3" max="3" width="9" style="26" customWidth="1"/>
    <col min="4" max="4" width="13.26953125" style="53" bestFit="1" customWidth="1"/>
    <col min="5" max="7" width="9" style="53" customWidth="1"/>
    <col min="8" max="9" width="9" style="53"/>
    <col min="10" max="14" width="9" style="53" customWidth="1"/>
    <col min="15" max="15" width="9" style="53"/>
    <col min="16" max="17" width="9" style="53" customWidth="1"/>
    <col min="18" max="18" width="9" style="53"/>
    <col min="19" max="19" width="13" style="87" customWidth="1"/>
    <col min="20" max="16384" width="9" style="22"/>
  </cols>
  <sheetData>
    <row r="10" spans="1:68" s="2" customFormat="1" ht="26">
      <c r="A10" s="3" t="s">
        <v>27</v>
      </c>
      <c r="B10" s="79" t="s">
        <v>135</v>
      </c>
      <c r="C10" s="3"/>
      <c r="D10" s="76" t="s">
        <v>34</v>
      </c>
      <c r="E10" s="92" t="s">
        <v>110</v>
      </c>
      <c r="F10" s="92"/>
      <c r="G10" s="92" t="s">
        <v>5</v>
      </c>
      <c r="H10" s="92" t="s">
        <v>20</v>
      </c>
      <c r="I10" s="93" t="s">
        <v>11</v>
      </c>
      <c r="J10" s="92" t="s">
        <v>46</v>
      </c>
      <c r="K10" s="92" t="s">
        <v>29</v>
      </c>
      <c r="L10" s="92" t="s">
        <v>30</v>
      </c>
      <c r="M10" s="92" t="s">
        <v>31</v>
      </c>
      <c r="N10" s="92" t="s">
        <v>119</v>
      </c>
      <c r="O10" s="61" t="s">
        <v>25</v>
      </c>
      <c r="P10" s="92" t="s">
        <v>47</v>
      </c>
      <c r="Q10" s="61" t="s">
        <v>32</v>
      </c>
      <c r="R10" s="61" t="s">
        <v>33</v>
      </c>
      <c r="S10" s="61" t="s">
        <v>142</v>
      </c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>
      <c r="A11" s="26">
        <v>43523</v>
      </c>
      <c r="B11" s="26" t="s">
        <v>133</v>
      </c>
      <c r="D11" s="53" t="s">
        <v>1075</v>
      </c>
      <c r="E11" s="53" t="s">
        <v>1058</v>
      </c>
      <c r="H11" s="53">
        <v>45.1</v>
      </c>
      <c r="I11" s="53">
        <v>2200</v>
      </c>
      <c r="J11" s="53">
        <v>-99220</v>
      </c>
      <c r="N11" s="53">
        <v>-99220</v>
      </c>
      <c r="O11" s="53">
        <v>0.85924745261000746</v>
      </c>
      <c r="P11" s="86">
        <v>-115473.14</v>
      </c>
      <c r="Q11" s="84">
        <v>43525</v>
      </c>
      <c r="S11" s="87">
        <v>43523.420672337961</v>
      </c>
    </row>
    <row r="12" spans="1:68">
      <c r="A12" s="26">
        <v>43523</v>
      </c>
      <c r="B12" s="26" t="s">
        <v>133</v>
      </c>
      <c r="D12" s="53" t="s">
        <v>1076</v>
      </c>
      <c r="E12" s="53" t="s">
        <v>1058</v>
      </c>
      <c r="H12" s="53">
        <v>61.664000000000001</v>
      </c>
      <c r="I12" s="53">
        <v>2200</v>
      </c>
      <c r="J12" s="53">
        <v>-135660.80000000002</v>
      </c>
      <c r="N12" s="53">
        <v>-135660.80000000002</v>
      </c>
      <c r="O12" s="53">
        <v>1</v>
      </c>
      <c r="P12" s="86">
        <v>-135660.79999999999</v>
      </c>
      <c r="Q12" s="84">
        <v>43525</v>
      </c>
      <c r="S12" s="87">
        <v>43523.421083333335</v>
      </c>
    </row>
    <row r="13" spans="1:68">
      <c r="P13" s="86"/>
    </row>
    <row r="14" spans="1:68">
      <c r="P14" s="86"/>
    </row>
    <row r="15" spans="1:68">
      <c r="P15" s="86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22C-4230-4B59-9DE2-DEE05BD382A4}">
  <sheetPr codeName="Foglio20"/>
  <dimension ref="A4:B12"/>
  <sheetViews>
    <sheetView workbookViewId="0">
      <selection activeCell="I13" sqref="I13"/>
    </sheetView>
  </sheetViews>
  <sheetFormatPr defaultRowHeight="14.5"/>
  <cols>
    <col min="1" max="1" width="15.54296875" bestFit="1" customWidth="1"/>
    <col min="2" max="2" width="13.81640625" bestFit="1" customWidth="1"/>
  </cols>
  <sheetData>
    <row r="4" spans="1:2">
      <c r="A4" t="s">
        <v>1183</v>
      </c>
      <c r="B4" s="327" t="s">
        <v>1691</v>
      </c>
    </row>
    <row r="5" spans="1:2">
      <c r="A5" t="s">
        <v>1628</v>
      </c>
      <c r="B5" s="327" t="s">
        <v>1692</v>
      </c>
    </row>
    <row r="6" spans="1:2">
      <c r="A6" t="s">
        <v>1072</v>
      </c>
      <c r="B6" s="327" t="s">
        <v>1693</v>
      </c>
    </row>
    <row r="7" spans="1:2">
      <c r="A7" t="s">
        <v>1603</v>
      </c>
      <c r="B7" s="327" t="s">
        <v>1694</v>
      </c>
    </row>
    <row r="8" spans="1:2">
      <c r="A8" t="s">
        <v>1114</v>
      </c>
      <c r="B8" s="327" t="s">
        <v>1695</v>
      </c>
    </row>
    <row r="9" spans="1:2">
      <c r="A9" t="s">
        <v>1656</v>
      </c>
      <c r="B9" s="327" t="s">
        <v>1692</v>
      </c>
    </row>
    <row r="10" spans="1:2">
      <c r="A10" t="s">
        <v>2068</v>
      </c>
      <c r="B10" s="327" t="s">
        <v>2069</v>
      </c>
    </row>
    <row r="11" spans="1:2">
      <c r="A11" t="s">
        <v>12667</v>
      </c>
      <c r="B11" s="471" t="s">
        <v>1800</v>
      </c>
    </row>
    <row r="12" spans="1:2">
      <c r="A12" t="s">
        <v>12950</v>
      </c>
      <c r="B12" s="471" t="s">
        <v>12951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227D-A4FA-4E71-85E1-80ED5FE15A1A}">
  <sheetPr codeName="Foglio21"/>
  <dimension ref="A1:C35"/>
  <sheetViews>
    <sheetView workbookViewId="0">
      <selection activeCell="H29" sqref="H29"/>
    </sheetView>
  </sheetViews>
  <sheetFormatPr defaultRowHeight="14.5"/>
  <cols>
    <col min="1" max="1" width="7.453125" customWidth="1"/>
    <col min="2" max="2" width="13.81640625" bestFit="1" customWidth="1"/>
    <col min="3" max="3" width="10" bestFit="1" customWidth="1"/>
  </cols>
  <sheetData>
    <row r="1" spans="1:3">
      <c r="A1" s="327" t="s">
        <v>1696</v>
      </c>
      <c r="B1" s="328" t="s">
        <v>1697</v>
      </c>
      <c r="C1" s="328" t="s">
        <v>1698</v>
      </c>
    </row>
    <row r="2" spans="1:3">
      <c r="A2" s="327" t="s">
        <v>1699</v>
      </c>
      <c r="B2" s="329" t="s">
        <v>1700</v>
      </c>
      <c r="C2" s="327" t="s">
        <v>1701</v>
      </c>
    </row>
    <row r="3" spans="1:3">
      <c r="A3" s="327" t="s">
        <v>1702</v>
      </c>
      <c r="B3" s="327" t="s">
        <v>1703</v>
      </c>
      <c r="C3" s="327" t="s">
        <v>1247</v>
      </c>
    </row>
    <row r="4" spans="1:3">
      <c r="A4" s="327" t="s">
        <v>1704</v>
      </c>
      <c r="B4" s="327" t="s">
        <v>1705</v>
      </c>
      <c r="C4" s="327" t="s">
        <v>1706</v>
      </c>
    </row>
    <row r="5" spans="1:3">
      <c r="A5" s="327" t="s">
        <v>1707</v>
      </c>
      <c r="B5" s="327" t="s">
        <v>1708</v>
      </c>
      <c r="C5" s="327" t="s">
        <v>1709</v>
      </c>
    </row>
    <row r="6" spans="1:3">
      <c r="A6" s="327" t="s">
        <v>1710</v>
      </c>
      <c r="B6" s="327" t="s">
        <v>1711</v>
      </c>
      <c r="C6" s="327" t="s">
        <v>1712</v>
      </c>
    </row>
    <row r="7" spans="1:3">
      <c r="A7" s="327" t="s">
        <v>1713</v>
      </c>
      <c r="B7" s="327" t="s">
        <v>1714</v>
      </c>
      <c r="C7" s="327" t="s">
        <v>1715</v>
      </c>
    </row>
    <row r="8" spans="1:3">
      <c r="A8" s="327" t="s">
        <v>1716</v>
      </c>
      <c r="B8" s="327" t="s">
        <v>1714</v>
      </c>
      <c r="C8" s="327" t="s">
        <v>1717</v>
      </c>
    </row>
    <row r="9" spans="1:3">
      <c r="A9" s="330" t="s">
        <v>1716</v>
      </c>
      <c r="B9" s="327" t="s">
        <v>1714</v>
      </c>
      <c r="C9" s="327" t="s">
        <v>1718</v>
      </c>
    </row>
    <row r="10" spans="1:3">
      <c r="A10" s="327" t="s">
        <v>1719</v>
      </c>
      <c r="B10" s="329" t="s">
        <v>1720</v>
      </c>
      <c r="C10" s="327" t="s">
        <v>1721</v>
      </c>
    </row>
    <row r="11" spans="1:3">
      <c r="A11" s="327" t="s">
        <v>1541</v>
      </c>
      <c r="B11" s="329" t="s">
        <v>1722</v>
      </c>
      <c r="C11" s="327" t="s">
        <v>1723</v>
      </c>
    </row>
    <row r="12" spans="1:3">
      <c r="A12" s="327" t="s">
        <v>1724</v>
      </c>
      <c r="B12" s="327" t="s">
        <v>1725</v>
      </c>
      <c r="C12" s="327" t="s">
        <v>1726</v>
      </c>
    </row>
    <row r="13" spans="1:3">
      <c r="A13" s="327" t="s">
        <v>1727</v>
      </c>
      <c r="B13" s="327" t="s">
        <v>1728</v>
      </c>
      <c r="C13" s="327" t="s">
        <v>1729</v>
      </c>
    </row>
    <row r="14" spans="1:3">
      <c r="A14" s="327" t="s">
        <v>1730</v>
      </c>
      <c r="B14" s="329" t="s">
        <v>1731</v>
      </c>
      <c r="C14" s="327" t="s">
        <v>1732</v>
      </c>
    </row>
    <row r="15" spans="1:3">
      <c r="A15" s="327" t="s">
        <v>1451</v>
      </c>
      <c r="B15" s="327" t="s">
        <v>1733</v>
      </c>
      <c r="C15" s="327" t="s">
        <v>1734</v>
      </c>
    </row>
    <row r="16" spans="1:3">
      <c r="A16" s="327" t="s">
        <v>1735</v>
      </c>
      <c r="B16" s="329" t="s">
        <v>1736</v>
      </c>
      <c r="C16" s="330" t="s">
        <v>1245</v>
      </c>
    </row>
    <row r="17" spans="1:3">
      <c r="A17" s="327" t="s">
        <v>1737</v>
      </c>
      <c r="B17" s="327" t="s">
        <v>1738</v>
      </c>
      <c r="C17" s="327" t="s">
        <v>1739</v>
      </c>
    </row>
    <row r="18" spans="1:3">
      <c r="A18" s="327" t="s">
        <v>1740</v>
      </c>
      <c r="B18" s="327" t="s">
        <v>1741</v>
      </c>
      <c r="C18" s="327" t="s">
        <v>1742</v>
      </c>
    </row>
    <row r="19" spans="1:3">
      <c r="A19" s="327" t="s">
        <v>1743</v>
      </c>
      <c r="B19" s="329" t="s">
        <v>1744</v>
      </c>
      <c r="C19" s="327" t="s">
        <v>1745</v>
      </c>
    </row>
    <row r="20" spans="1:3">
      <c r="A20" s="327" t="s">
        <v>1746</v>
      </c>
      <c r="B20" s="327" t="s">
        <v>1747</v>
      </c>
      <c r="C20" s="327" t="s">
        <v>1748</v>
      </c>
    </row>
    <row r="21" spans="1:3">
      <c r="A21" s="327" t="s">
        <v>1749</v>
      </c>
      <c r="B21" s="327" t="s">
        <v>1750</v>
      </c>
      <c r="C21" s="327" t="s">
        <v>1751</v>
      </c>
    </row>
    <row r="22" spans="1:3">
      <c r="A22" s="327" t="s">
        <v>1752</v>
      </c>
      <c r="B22" s="327" t="s">
        <v>1753</v>
      </c>
      <c r="C22" s="327" t="s">
        <v>1754</v>
      </c>
    </row>
    <row r="23" spans="1:3">
      <c r="A23" s="327" t="s">
        <v>1755</v>
      </c>
      <c r="B23" s="329" t="s">
        <v>1756</v>
      </c>
      <c r="C23" s="327" t="s">
        <v>1757</v>
      </c>
    </row>
    <row r="24" spans="1:3">
      <c r="A24" s="330" t="s">
        <v>1758</v>
      </c>
      <c r="B24" s="327" t="s">
        <v>1759</v>
      </c>
      <c r="C24" s="327" t="s">
        <v>1760</v>
      </c>
    </row>
    <row r="25" spans="1:3">
      <c r="A25" s="330" t="s">
        <v>1270</v>
      </c>
      <c r="B25" s="329" t="s">
        <v>1761</v>
      </c>
      <c r="C25" s="330" t="s">
        <v>1271</v>
      </c>
    </row>
    <row r="26" spans="1:3">
      <c r="A26" s="327" t="s">
        <v>1762</v>
      </c>
      <c r="B26" s="327" t="s">
        <v>1763</v>
      </c>
      <c r="C26" s="327" t="s">
        <v>1515</v>
      </c>
    </row>
    <row r="27" spans="1:3">
      <c r="A27" s="327" t="s">
        <v>1764</v>
      </c>
      <c r="B27" s="329" t="s">
        <v>1765</v>
      </c>
      <c r="C27" s="330" t="s">
        <v>1766</v>
      </c>
    </row>
    <row r="28" spans="1:3">
      <c r="A28" s="327" t="s">
        <v>1058</v>
      </c>
      <c r="B28" s="327" t="s">
        <v>1767</v>
      </c>
      <c r="C28" s="327" t="s">
        <v>1768</v>
      </c>
    </row>
    <row r="29" spans="1:3">
      <c r="A29" s="327" t="s">
        <v>1769</v>
      </c>
      <c r="B29" s="327" t="s">
        <v>1770</v>
      </c>
      <c r="C29" s="327" t="s">
        <v>1771</v>
      </c>
    </row>
    <row r="30" spans="1:3">
      <c r="A30" s="327" t="s">
        <v>1772</v>
      </c>
      <c r="B30" s="327"/>
      <c r="C30" s="327" t="s">
        <v>1773</v>
      </c>
    </row>
    <row r="31" spans="1:3">
      <c r="A31" s="327" t="s">
        <v>1774</v>
      </c>
      <c r="B31" s="327"/>
      <c r="C31" s="327" t="s">
        <v>1775</v>
      </c>
    </row>
    <row r="32" spans="1:3">
      <c r="A32" s="327"/>
      <c r="B32" s="327"/>
      <c r="C32" s="327" t="s">
        <v>1776</v>
      </c>
    </row>
    <row r="33" spans="1:3">
      <c r="A33" s="327"/>
      <c r="B33" s="327"/>
      <c r="C33" s="327" t="s">
        <v>1777</v>
      </c>
    </row>
    <row r="34" spans="1:3">
      <c r="A34" s="327" t="s">
        <v>1778</v>
      </c>
      <c r="B34" s="327" t="s">
        <v>1770</v>
      </c>
      <c r="C34" s="327" t="s">
        <v>1771</v>
      </c>
    </row>
    <row r="35" spans="1:3">
      <c r="A35" s="327" t="s">
        <v>2029</v>
      </c>
      <c r="B35" s="327" t="s">
        <v>1714</v>
      </c>
      <c r="C35" s="327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E2B25-D522-495F-8EDA-C235159B7951}">
  <sheetPr codeName="Foglio23"/>
  <dimension ref="A1:BM298"/>
  <sheetViews>
    <sheetView topLeftCell="BE1" workbookViewId="0">
      <selection activeCell="BG10" sqref="BG10"/>
    </sheetView>
  </sheetViews>
  <sheetFormatPr defaultRowHeight="14.5"/>
  <cols>
    <col min="1" max="1" width="15" customWidth="1"/>
    <col min="2" max="2" width="13.81640625" bestFit="1" customWidth="1"/>
    <col min="3" max="3" width="8.81640625" bestFit="1" customWidth="1"/>
    <col min="4" max="4" width="9.26953125" bestFit="1" customWidth="1"/>
    <col min="5" max="5" width="21.81640625" bestFit="1" customWidth="1"/>
    <col min="6" max="6" width="12" bestFit="1" customWidth="1"/>
    <col min="7" max="7" width="11.54296875" bestFit="1" customWidth="1"/>
    <col min="8" max="8" width="10.54296875" bestFit="1" customWidth="1"/>
    <col min="9" max="9" width="9.1796875" bestFit="1" customWidth="1"/>
    <col min="10" max="10" width="20.26953125" bestFit="1" customWidth="1"/>
    <col min="11" max="11" width="21.54296875" bestFit="1" customWidth="1"/>
    <col min="12" max="12" width="14.7265625" bestFit="1" customWidth="1"/>
    <col min="13" max="13" width="14.1796875" bestFit="1" customWidth="1"/>
    <col min="14" max="14" width="20.7265625" bestFit="1" customWidth="1"/>
    <col min="15" max="15" width="19.26953125" bestFit="1" customWidth="1"/>
    <col min="16" max="16" width="7.26953125" bestFit="1" customWidth="1"/>
    <col min="17" max="17" width="12.453125" bestFit="1" customWidth="1"/>
    <col min="18" max="18" width="14.7265625" bestFit="1" customWidth="1"/>
    <col min="19" max="19" width="11.54296875" bestFit="1" customWidth="1"/>
    <col min="20" max="20" width="15" bestFit="1" customWidth="1"/>
    <col min="21" max="21" width="20.81640625" bestFit="1" customWidth="1"/>
    <col min="22" max="22" width="13.1796875" bestFit="1" customWidth="1"/>
    <col min="23" max="23" width="12.1796875" bestFit="1" customWidth="1"/>
    <col min="24" max="24" width="10.26953125" bestFit="1" customWidth="1"/>
    <col min="25" max="25" width="10.81640625" bestFit="1" customWidth="1"/>
    <col min="26" max="26" width="5.26953125" bestFit="1" customWidth="1"/>
    <col min="27" max="27" width="5.453125" bestFit="1" customWidth="1"/>
    <col min="28" max="28" width="6.26953125" bestFit="1" customWidth="1"/>
    <col min="29" max="29" width="13.81640625" bestFit="1" customWidth="1"/>
    <col min="30" max="30" width="7.26953125" bestFit="1" customWidth="1"/>
    <col min="31" max="31" width="12.453125" bestFit="1" customWidth="1"/>
    <col min="32" max="32" width="15" bestFit="1" customWidth="1"/>
    <col min="33" max="33" width="10.7265625" bestFit="1" customWidth="1"/>
    <col min="34" max="34" width="14.54296875" bestFit="1" customWidth="1"/>
    <col min="35" max="35" width="9.54296875" bestFit="1" customWidth="1"/>
    <col min="36" max="36" width="14.54296875" bestFit="1" customWidth="1"/>
    <col min="37" max="37" width="12.7265625" bestFit="1" customWidth="1"/>
    <col min="38" max="38" width="9.54296875" bestFit="1" customWidth="1"/>
    <col min="39" max="39" width="11.1796875" bestFit="1" customWidth="1"/>
    <col min="40" max="40" width="14" bestFit="1" customWidth="1"/>
    <col min="41" max="41" width="15.26953125" bestFit="1" customWidth="1"/>
    <col min="42" max="42" width="11.54296875" bestFit="1" customWidth="1"/>
    <col min="43" max="43" width="9.26953125" bestFit="1" customWidth="1"/>
    <col min="44" max="44" width="11.26953125" bestFit="1" customWidth="1"/>
    <col min="45" max="45" width="8.81640625" bestFit="1" customWidth="1"/>
    <col min="46" max="46" width="11.1796875" bestFit="1" customWidth="1"/>
    <col min="47" max="47" width="9.453125" bestFit="1" customWidth="1"/>
    <col min="48" max="48" width="12.1796875" bestFit="1" customWidth="1"/>
    <col min="49" max="49" width="17.54296875" bestFit="1" customWidth="1"/>
    <col min="50" max="50" width="9.26953125" bestFit="1" customWidth="1"/>
    <col min="51" max="51" width="14.453125" bestFit="1" customWidth="1"/>
    <col min="52" max="52" width="18.7265625" bestFit="1" customWidth="1"/>
    <col min="53" max="53" width="14.1796875" bestFit="1" customWidth="1"/>
    <col min="54" max="54" width="24.54296875" bestFit="1" customWidth="1"/>
    <col min="55" max="55" width="8.26953125" bestFit="1" customWidth="1"/>
    <col min="56" max="56" width="28.7265625" bestFit="1" customWidth="1"/>
    <col min="57" max="57" width="29" bestFit="1" customWidth="1"/>
    <col min="58" max="58" width="32" bestFit="1" customWidth="1"/>
    <col min="59" max="59" width="26.1796875" bestFit="1" customWidth="1"/>
    <col min="60" max="60" width="22" bestFit="1" customWidth="1"/>
    <col min="61" max="61" width="19.453125" bestFit="1" customWidth="1"/>
    <col min="62" max="62" width="20.26953125" bestFit="1" customWidth="1"/>
    <col min="63" max="63" width="13.81640625" bestFit="1" customWidth="1"/>
    <col min="64" max="64" width="9.54296875" bestFit="1" customWidth="1"/>
    <col min="65" max="65" width="12.81640625" bestFit="1" customWidth="1"/>
  </cols>
  <sheetData>
    <row r="1" spans="1:65">
      <c r="A1" s="340" t="s">
        <v>1908</v>
      </c>
      <c r="B1" s="328" t="s">
        <v>1909</v>
      </c>
      <c r="C1" s="328" t="s">
        <v>1910</v>
      </c>
      <c r="D1" s="374" t="s">
        <v>1911</v>
      </c>
      <c r="E1" s="328" t="s">
        <v>1912</v>
      </c>
      <c r="F1" s="339" t="s">
        <v>1913</v>
      </c>
      <c r="G1" s="328" t="s">
        <v>1914</v>
      </c>
      <c r="H1" s="339" t="s">
        <v>1915</v>
      </c>
      <c r="I1" s="340" t="s">
        <v>1916</v>
      </c>
      <c r="J1" s="340" t="s">
        <v>1917</v>
      </c>
      <c r="K1" s="374" t="s">
        <v>1918</v>
      </c>
      <c r="L1" s="374" t="s">
        <v>1919</v>
      </c>
      <c r="M1" s="328" t="s">
        <v>1697</v>
      </c>
      <c r="N1" s="328" t="s">
        <v>1920</v>
      </c>
      <c r="O1" s="328" t="s">
        <v>1921</v>
      </c>
      <c r="P1" s="328" t="s">
        <v>1922</v>
      </c>
      <c r="Q1" s="328" t="s">
        <v>1923</v>
      </c>
      <c r="R1" s="328" t="s">
        <v>1924</v>
      </c>
      <c r="S1" s="328" t="s">
        <v>1925</v>
      </c>
      <c r="T1" s="328" t="s">
        <v>1926</v>
      </c>
      <c r="U1" s="328" t="s">
        <v>1927</v>
      </c>
      <c r="V1" s="328" t="s">
        <v>1928</v>
      </c>
      <c r="W1" s="328" t="s">
        <v>1929</v>
      </c>
      <c r="X1" s="328" t="s">
        <v>1930</v>
      </c>
      <c r="Y1" s="328" t="s">
        <v>1931</v>
      </c>
      <c r="Z1" s="328" t="s">
        <v>186</v>
      </c>
      <c r="AA1" s="328" t="s">
        <v>1932</v>
      </c>
      <c r="AB1" s="328" t="s">
        <v>1933</v>
      </c>
      <c r="AC1" s="328" t="s">
        <v>1934</v>
      </c>
      <c r="AD1" s="328" t="s">
        <v>1935</v>
      </c>
      <c r="AE1" s="340" t="s">
        <v>1936</v>
      </c>
      <c r="AF1" s="340" t="s">
        <v>1937</v>
      </c>
      <c r="AG1" s="340" t="s">
        <v>1938</v>
      </c>
      <c r="AH1" s="340" t="s">
        <v>1939</v>
      </c>
      <c r="AI1" s="340" t="s">
        <v>1940</v>
      </c>
      <c r="AJ1" s="374" t="s">
        <v>1941</v>
      </c>
      <c r="AK1" s="374" t="s">
        <v>1942</v>
      </c>
      <c r="AL1" s="340" t="s">
        <v>1943</v>
      </c>
      <c r="AM1" s="374" t="s">
        <v>1944</v>
      </c>
      <c r="AN1" s="340" t="s">
        <v>1945</v>
      </c>
      <c r="AO1" s="340" t="s">
        <v>1946</v>
      </c>
      <c r="AP1" s="340" t="s">
        <v>1947</v>
      </c>
      <c r="AQ1" s="328" t="s">
        <v>1948</v>
      </c>
      <c r="AR1" s="328" t="s">
        <v>1949</v>
      </c>
      <c r="AS1" s="328" t="s">
        <v>1950</v>
      </c>
      <c r="AT1" s="328" t="s">
        <v>1951</v>
      </c>
      <c r="AU1" s="328" t="s">
        <v>1952</v>
      </c>
      <c r="AV1" s="340" t="s">
        <v>1953</v>
      </c>
      <c r="AW1" s="341" t="s">
        <v>1954</v>
      </c>
      <c r="AX1" s="341" t="s">
        <v>1955</v>
      </c>
      <c r="AY1" s="341" t="s">
        <v>1956</v>
      </c>
      <c r="AZ1" s="328" t="s">
        <v>1779</v>
      </c>
      <c r="BA1" s="328" t="s">
        <v>1697</v>
      </c>
      <c r="BB1" s="328" t="s">
        <v>1780</v>
      </c>
      <c r="BC1" s="328" t="s">
        <v>1781</v>
      </c>
      <c r="BD1" s="328" t="s">
        <v>1782</v>
      </c>
      <c r="BE1" s="328" t="s">
        <v>1783</v>
      </c>
      <c r="BF1" s="328" t="s">
        <v>1784</v>
      </c>
      <c r="BG1" s="328" t="s">
        <v>1785</v>
      </c>
      <c r="BH1" s="328" t="s">
        <v>1786</v>
      </c>
      <c r="BI1" s="328" t="s">
        <v>1787</v>
      </c>
      <c r="BJ1" s="328" t="s">
        <v>1788</v>
      </c>
      <c r="BK1" s="328" t="s">
        <v>1789</v>
      </c>
      <c r="BL1" s="328" t="s">
        <v>1790</v>
      </c>
      <c r="BM1" s="328" t="s">
        <v>1791</v>
      </c>
    </row>
    <row r="2" spans="1:65" s="327" customFormat="1">
      <c r="A2" s="911">
        <v>2019200611</v>
      </c>
      <c r="D2" t="str">
        <f>$D$19</f>
        <v>NEW</v>
      </c>
      <c r="F2" s="343">
        <f>VLOOKUP(A2,TradesEquity!$1:$1048576,2,FALSE)</f>
        <v>44719</v>
      </c>
      <c r="H2" s="343">
        <f>VLOOKUP(A2,TradesEquity!$1:$1048576,21,FALSE)</f>
        <v>44721</v>
      </c>
      <c r="I2" s="344" t="str">
        <f>IF(VLOOKUP(A2,TradesEquity!$1:$1048576,3,FALSE)="BUY","B","S")</f>
        <v>S</v>
      </c>
      <c r="J2" s="344" t="e">
        <f ca="1">VLOOKUP(A2,TradesEquity!$1:$1048576,5,FALSE)</f>
        <v>#NAME?</v>
      </c>
      <c r="K2" t="str">
        <f>$K$19</f>
        <v>ISIN</v>
      </c>
      <c r="L2" t="str">
        <f>$L$19</f>
        <v>EQT</v>
      </c>
      <c r="AE2" s="346" t="e">
        <f ca="1">VLOOKUP(A2,TradesEquity!$1:$1048576,10,FALSE)</f>
        <v>#NAME?</v>
      </c>
      <c r="AF2" s="346" t="e">
        <f ca="1">AE2</f>
        <v>#NAME?</v>
      </c>
      <c r="AG2" s="346" t="e">
        <f t="shared" ref="AG2:AH12" ca="1" si="0">AF2</f>
        <v>#NAME?</v>
      </c>
      <c r="AH2" s="346" t="e">
        <f t="shared" ca="1" si="0"/>
        <v>#NAME?</v>
      </c>
      <c r="AI2" s="346">
        <f>ABS(VLOOKUP(A2,TradesEquity!$1:$1048576,13,FALSE))</f>
        <v>6000</v>
      </c>
      <c r="AJ2" s="100">
        <f>$AJ$19</f>
        <v>0</v>
      </c>
      <c r="AK2" s="100">
        <f>$AK$19</f>
        <v>1</v>
      </c>
      <c r="AL2" s="346">
        <f>VLOOKUP(A2,TradesEquity!$1:$1048576,11,FALSE)</f>
        <v>4040.3049999999998</v>
      </c>
      <c r="AM2" s="100">
        <f t="shared" ref="AM2:AM16" si="1">$AM$19</f>
        <v>1</v>
      </c>
      <c r="AN2" s="346">
        <f>ABS(VLOOKUP(A2,TradesEquity!$1:$1048576,14,FALSE))</f>
        <v>24241830</v>
      </c>
      <c r="AO2" s="346">
        <f>ABS(VLOOKUP(A2,TradesEquity!$1:$1048576,15,FALSE))</f>
        <v>14545</v>
      </c>
      <c r="AP2" s="348">
        <f>ABS(VLOOKUP(A2,TradesEquity!$1:$1048576,16,FALSE))</f>
        <v>0</v>
      </c>
      <c r="AQ2"/>
      <c r="AR2"/>
      <c r="AS2"/>
      <c r="AT2"/>
      <c r="AU2"/>
      <c r="AV2" s="348">
        <f>ABS(VLOOKUP(A2,TradesEquity!$1:$1048576,18,FALSE))</f>
        <v>24227285</v>
      </c>
      <c r="AW2" s="100">
        <f>$AW$19</f>
        <v>0</v>
      </c>
      <c r="AX2" s="350">
        <f>$AX$19</f>
        <v>4542</v>
      </c>
      <c r="AY2" s="351" t="str">
        <f>$AY$19</f>
        <v>TIFA</v>
      </c>
      <c r="AZ2" s="352" t="e">
        <f ca="1">(VLOOKUP(A2,TradesEquity!$1:$1048576,29,FALSE))</f>
        <v>#NAME?</v>
      </c>
      <c r="BA2" s="352" t="e">
        <f ca="1">(VLOOKUP(A2,TradesEquity!$1:$1048576,30,FALSE))</f>
        <v>#NAME?</v>
      </c>
      <c r="BB2" s="352" t="e">
        <f ca="1">(VLOOKUP(A2,TradesEquity!$1:$1048576,31,FALSE))</f>
        <v>#NAME?</v>
      </c>
      <c r="BC2" s="352" t="e">
        <f ca="1">(VLOOKUP(A2,TradesEquity!$1:$1048576,32,FALSE))</f>
        <v>#NAME?</v>
      </c>
      <c r="BD2" s="352"/>
      <c r="BE2" s="352"/>
      <c r="BF2" s="352"/>
      <c r="BG2" s="352"/>
      <c r="BH2" s="352"/>
      <c r="BI2" s="375">
        <f>(VLOOKUP(A2,TradesEquity!$1:$1048576,38,FALSE))</f>
        <v>0</v>
      </c>
      <c r="BJ2" s="375">
        <f>(VLOOKUP(A2,TradesEquity!$1:$1048576,39,FALSE))</f>
        <v>0</v>
      </c>
      <c r="BK2" s="352" t="e">
        <f ca="1">(VLOOKUP(A2,TradesEquity!$1:$1048576,40,FALSE))</f>
        <v>#NAME?</v>
      </c>
      <c r="BL2" s="352"/>
      <c r="BM2" s="352"/>
    </row>
    <row r="3" spans="1:65">
      <c r="A3" s="911">
        <v>2019200612</v>
      </c>
      <c r="D3" t="str">
        <f t="shared" ref="D3:D16" si="2">$D$19</f>
        <v>NEW</v>
      </c>
      <c r="F3" s="343">
        <f>VLOOKUP(A3,TradesEquity!$1:$1048576,2,FALSE)</f>
        <v>44719</v>
      </c>
      <c r="H3" s="343">
        <f>VLOOKUP(A3,TradesEquity!$1:$1048576,21,FALSE)</f>
        <v>44721</v>
      </c>
      <c r="I3" s="344" t="str">
        <f>IF(VLOOKUP(A3,TradesEquity!$1:$1048576,3,FALSE)="BUY","B","S")</f>
        <v>B</v>
      </c>
      <c r="J3" s="344" t="e">
        <f ca="1">VLOOKUP(A3,TradesEquity!$1:$1048576,5,FALSE)</f>
        <v>#NAME?</v>
      </c>
      <c r="K3" t="str">
        <f t="shared" ref="K3:K16" si="3">$K$19</f>
        <v>ISIN</v>
      </c>
      <c r="L3" t="str">
        <f t="shared" ref="L3:L16" si="4">$L$19</f>
        <v>EQT</v>
      </c>
      <c r="AE3" s="346" t="e">
        <f ca="1">VLOOKUP(A3,TradesEquity!$1:$1048576,10,FALSE)</f>
        <v>#NAME?</v>
      </c>
      <c r="AF3" s="346" t="e">
        <f t="shared" ref="AF3:AH16" ca="1" si="5">AE3</f>
        <v>#NAME?</v>
      </c>
      <c r="AG3" s="346" t="e">
        <f t="shared" ca="1" si="0"/>
        <v>#NAME?</v>
      </c>
      <c r="AH3" s="346" t="e">
        <f t="shared" ca="1" si="0"/>
        <v>#NAME?</v>
      </c>
      <c r="AI3" s="346">
        <f>ABS(VLOOKUP(A3,TradesEquity!$1:$1048576,13,FALSE))</f>
        <v>6900</v>
      </c>
      <c r="AJ3" s="100">
        <f t="shared" ref="AJ3:AJ16" si="6">$AJ$19</f>
        <v>0</v>
      </c>
      <c r="AK3" s="100">
        <f t="shared" ref="AK3:AK16" si="7">$AK$19</f>
        <v>1</v>
      </c>
      <c r="AL3" s="346">
        <f>VLOOKUP(A3,TradesEquity!$1:$1048576,11,FALSE)</f>
        <v>2288.7347829999999</v>
      </c>
      <c r="AM3" s="100">
        <f t="shared" si="1"/>
        <v>1</v>
      </c>
      <c r="AN3" s="346">
        <f>ABS(VLOOKUP(A3,TradesEquity!$1:$1048576,14,FALSE))</f>
        <v>15792270.002699999</v>
      </c>
      <c r="AO3" s="346">
        <f>ABS(VLOOKUP(A3,TradesEquity!$1:$1048576,15,FALSE))</f>
        <v>9475</v>
      </c>
      <c r="AP3" s="348">
        <f>ABS(VLOOKUP(A3,TradesEquity!$1:$1048576,16,FALSE))</f>
        <v>0</v>
      </c>
      <c r="AV3" s="348">
        <f>ABS(VLOOKUP(A3,TradesEquity!$1:$1048576,18,FALSE))</f>
        <v>15801745.002699999</v>
      </c>
      <c r="AW3" s="100">
        <f t="shared" ref="AW3:AW16" si="8">$AW$19</f>
        <v>0</v>
      </c>
      <c r="AX3" s="350">
        <f t="shared" ref="AX3:AX16" si="9">$AX$19</f>
        <v>4542</v>
      </c>
      <c r="AY3" s="351" t="str">
        <f t="shared" ref="AY3:AY16" si="10">$AY$19</f>
        <v>TIFA</v>
      </c>
      <c r="AZ3" s="352" t="e">
        <f ca="1">(VLOOKUP(A3,TradesEquity!$1:$1048576,29,FALSE))</f>
        <v>#NAME?</v>
      </c>
      <c r="BA3" s="352" t="e">
        <f ca="1">(VLOOKUP(A3,TradesEquity!$1:$1048576,30,FALSE))</f>
        <v>#NAME?</v>
      </c>
      <c r="BB3" s="352" t="e">
        <f ca="1">(VLOOKUP(A3,TradesEquity!$1:$1048576,31,FALSE))</f>
        <v>#NAME?</v>
      </c>
      <c r="BC3" s="352" t="e">
        <f ca="1">(VLOOKUP(A3,TradesEquity!$1:$1048576,32,FALSE))</f>
        <v>#NAME?</v>
      </c>
      <c r="BI3" s="375">
        <f>(VLOOKUP(A3,TradesEquity!$1:$1048576,38,FALSE))</f>
        <v>0</v>
      </c>
      <c r="BJ3" s="375">
        <f>(VLOOKUP(A3,TradesEquity!$1:$1048576,39,FALSE))</f>
        <v>0</v>
      </c>
      <c r="BK3" s="352" t="e">
        <f ca="1">(VLOOKUP(A3,TradesEquity!$1:$1048576,40,FALSE))</f>
        <v>#NAME?</v>
      </c>
    </row>
    <row r="4" spans="1:65">
      <c r="A4" s="909">
        <v>2019200613</v>
      </c>
      <c r="D4" t="str">
        <f t="shared" si="2"/>
        <v>NEW</v>
      </c>
      <c r="F4" s="343">
        <f>VLOOKUP(A4,TradesEquity!$1:$1048576,2,FALSE)</f>
        <v>44729</v>
      </c>
      <c r="H4" s="343">
        <f>VLOOKUP(A4,TradesEquity!$1:$1048576,21,FALSE)</f>
        <v>44733</v>
      </c>
      <c r="I4" s="344" t="str">
        <f>IF(VLOOKUP(A4,TradesEquity!$1:$1048576,3,FALSE)="BUY","B","S")</f>
        <v>S</v>
      </c>
      <c r="J4" s="344" t="e">
        <f ca="1">VLOOKUP(A4,TradesEquity!$1:$1048576,5,FALSE)</f>
        <v>#NAME?</v>
      </c>
      <c r="K4" t="str">
        <f t="shared" si="3"/>
        <v>ISIN</v>
      </c>
      <c r="L4" t="str">
        <f t="shared" si="4"/>
        <v>EQT</v>
      </c>
      <c r="AE4" s="346" t="e">
        <f ca="1">VLOOKUP(A4,TradesEquity!$1:$1048576,10,FALSE)</f>
        <v>#NAME?</v>
      </c>
      <c r="AF4" s="346" t="e">
        <f t="shared" ca="1" si="5"/>
        <v>#NAME?</v>
      </c>
      <c r="AG4" s="346" t="e">
        <f t="shared" ca="1" si="0"/>
        <v>#NAME?</v>
      </c>
      <c r="AH4" s="346" t="e">
        <f t="shared" ca="1" si="0"/>
        <v>#NAME?</v>
      </c>
      <c r="AI4" s="346">
        <f>ABS(VLOOKUP(A4,TradesEquity!$1:$1048576,13,FALSE))</f>
        <v>6800</v>
      </c>
      <c r="AJ4" s="100">
        <f t="shared" si="6"/>
        <v>0</v>
      </c>
      <c r="AK4" s="100">
        <f t="shared" si="7"/>
        <v>1</v>
      </c>
      <c r="AL4" s="346">
        <f>VLOOKUP(A4,TradesEquity!$1:$1048576,11,FALSE)</f>
        <v>3790.1367650000002</v>
      </c>
      <c r="AM4" s="100">
        <f t="shared" si="1"/>
        <v>1</v>
      </c>
      <c r="AN4" s="346">
        <f>ABS(VLOOKUP(A4,TradesEquity!$1:$1048576,14,FALSE))</f>
        <v>25772930.002</v>
      </c>
      <c r="AO4" s="346">
        <f>ABS(VLOOKUP(A4,TradesEquity!$1:$1048576,15,FALSE))</f>
        <v>15464</v>
      </c>
      <c r="AP4" s="348">
        <f>ABS(VLOOKUP(A4,TradesEquity!$1:$1048576,16,FALSE))</f>
        <v>0</v>
      </c>
      <c r="AV4" s="348">
        <f>ABS(VLOOKUP(A4,TradesEquity!$1:$1048576,18,FALSE))</f>
        <v>25757466.002</v>
      </c>
      <c r="AW4" s="100">
        <f t="shared" si="8"/>
        <v>0</v>
      </c>
      <c r="AX4" s="350">
        <f t="shared" si="9"/>
        <v>4542</v>
      </c>
      <c r="AY4" s="351" t="str">
        <f t="shared" si="10"/>
        <v>TIFA</v>
      </c>
      <c r="AZ4" s="352" t="e">
        <f ca="1">(VLOOKUP(A4,TradesEquity!$1:$1048576,29,FALSE))</f>
        <v>#NAME?</v>
      </c>
      <c r="BA4" s="352" t="e">
        <f ca="1">(VLOOKUP(A4,TradesEquity!$1:$1048576,30,FALSE))</f>
        <v>#NAME?</v>
      </c>
      <c r="BB4" s="352" t="e">
        <f ca="1">(VLOOKUP(A4,TradesEquity!$1:$1048576,31,FALSE))</f>
        <v>#NAME?</v>
      </c>
      <c r="BC4" s="352" t="e">
        <f ca="1">(VLOOKUP(A4,TradesEquity!$1:$1048576,32,FALSE))</f>
        <v>#NAME?</v>
      </c>
      <c r="BI4" s="375">
        <f>(VLOOKUP(A4,TradesEquity!$1:$1048576,38,FALSE))</f>
        <v>0</v>
      </c>
      <c r="BJ4" s="375">
        <f>(VLOOKUP(A4,TradesEquity!$1:$1048576,39,FALSE))</f>
        <v>0</v>
      </c>
      <c r="BK4" s="352" t="e">
        <f ca="1">(VLOOKUP(A4,TradesEquity!$1:$1048576,40,FALSE))</f>
        <v>#NAME?</v>
      </c>
    </row>
    <row r="5" spans="1:65">
      <c r="D5" t="str">
        <f t="shared" si="2"/>
        <v>NEW</v>
      </c>
      <c r="F5" s="343" t="e">
        <f>VLOOKUP(A5,TradesEquity!$1:$1048576,2,FALSE)</f>
        <v>#N/A</v>
      </c>
      <c r="H5" s="343" t="e">
        <f>VLOOKUP(A5,TradesEquity!$1:$1048576,21,FALSE)</f>
        <v>#N/A</v>
      </c>
      <c r="I5" s="344" t="e">
        <f>IF(VLOOKUP(A5,TradesEquity!$1:$1048576,3,FALSE)="BUY","B","S")</f>
        <v>#N/A</v>
      </c>
      <c r="J5" s="344" t="e">
        <f>VLOOKUP(A5,TradesEquity!$1:$1048576,5,FALSE)</f>
        <v>#N/A</v>
      </c>
      <c r="K5" t="str">
        <f t="shared" si="3"/>
        <v>ISIN</v>
      </c>
      <c r="L5" t="str">
        <f t="shared" si="4"/>
        <v>EQT</v>
      </c>
      <c r="AE5" s="346" t="e">
        <f>VLOOKUP(A5,TradesEquity!$1:$1048576,10,FALSE)</f>
        <v>#N/A</v>
      </c>
      <c r="AF5" s="346" t="e">
        <f t="shared" si="5"/>
        <v>#N/A</v>
      </c>
      <c r="AG5" s="346" t="e">
        <f t="shared" si="0"/>
        <v>#N/A</v>
      </c>
      <c r="AH5" s="346" t="e">
        <f t="shared" si="0"/>
        <v>#N/A</v>
      </c>
      <c r="AI5" s="346" t="e">
        <f>ABS(VLOOKUP(A5,TradesEquity!$1:$1048576,13,FALSE))</f>
        <v>#N/A</v>
      </c>
      <c r="AJ5" s="100">
        <f t="shared" si="6"/>
        <v>0</v>
      </c>
      <c r="AK5" s="100">
        <f t="shared" si="7"/>
        <v>1</v>
      </c>
      <c r="AL5" s="346" t="e">
        <f>VLOOKUP(A5,TradesEquity!$1:$1048576,11,FALSE)</f>
        <v>#N/A</v>
      </c>
      <c r="AM5" s="100">
        <f t="shared" si="1"/>
        <v>1</v>
      </c>
      <c r="AN5" s="346" t="e">
        <f>ABS(VLOOKUP(A5,TradesEquity!$1:$1048576,14,FALSE))</f>
        <v>#N/A</v>
      </c>
      <c r="AO5" s="346" t="e">
        <f>ABS(VLOOKUP(A5,TradesEquity!$1:$1048576,15,FALSE))</f>
        <v>#N/A</v>
      </c>
      <c r="AP5" s="348" t="e">
        <f>ABS(VLOOKUP(A5,TradesEquity!$1:$1048576,16,FALSE))</f>
        <v>#N/A</v>
      </c>
      <c r="AV5" s="348" t="e">
        <f>ABS(VLOOKUP(A5,TradesEquity!$1:$1048576,18,FALSE))</f>
        <v>#N/A</v>
      </c>
      <c r="AW5" s="100">
        <f t="shared" si="8"/>
        <v>0</v>
      </c>
      <c r="AX5" s="350">
        <f t="shared" si="9"/>
        <v>4542</v>
      </c>
      <c r="AY5" s="351" t="str">
        <f t="shared" si="10"/>
        <v>TIFA</v>
      </c>
      <c r="AZ5" s="352" t="e">
        <f>(VLOOKUP(A5,TradesEquity!$1:$1048576,29,FALSE))</f>
        <v>#N/A</v>
      </c>
      <c r="BA5" s="352" t="e">
        <f>(VLOOKUP(A5,TradesEquity!$1:$1048576,30,FALSE))</f>
        <v>#N/A</v>
      </c>
      <c r="BB5" s="352" t="e">
        <f>(VLOOKUP(A5,TradesEquity!$1:$1048576,31,FALSE))</f>
        <v>#N/A</v>
      </c>
      <c r="BC5" s="352" t="e">
        <f>(VLOOKUP(A5,TradesEquity!$1:$1048576,32,FALSE))</f>
        <v>#N/A</v>
      </c>
      <c r="BI5" s="375" t="e">
        <f>(VLOOKUP(A5,TradesEquity!$1:$1048576,38,FALSE))</f>
        <v>#N/A</v>
      </c>
      <c r="BJ5" s="375" t="e">
        <f>(VLOOKUP(A5,TradesEquity!$1:$1048576,39,FALSE))</f>
        <v>#N/A</v>
      </c>
      <c r="BK5" s="352" t="e">
        <f>(VLOOKUP(A5,TradesEquity!$1:$1048576,40,FALSE))</f>
        <v>#N/A</v>
      </c>
    </row>
    <row r="6" spans="1:65">
      <c r="D6" t="str">
        <f t="shared" si="2"/>
        <v>NEW</v>
      </c>
      <c r="F6" s="343" t="e">
        <f>VLOOKUP(A6,TradesEquity!$1:$1048576,2,FALSE)</f>
        <v>#N/A</v>
      </c>
      <c r="H6" s="343" t="e">
        <f>VLOOKUP(A6,TradesEquity!$1:$1048576,21,FALSE)</f>
        <v>#N/A</v>
      </c>
      <c r="I6" s="344" t="e">
        <f>IF(VLOOKUP(A6,TradesEquity!$1:$1048576,3,FALSE)="BUY","B","S")</f>
        <v>#N/A</v>
      </c>
      <c r="J6" s="344" t="e">
        <f>VLOOKUP(A6,TradesEquity!$1:$1048576,5,FALSE)</f>
        <v>#N/A</v>
      </c>
      <c r="K6" t="str">
        <f t="shared" si="3"/>
        <v>ISIN</v>
      </c>
      <c r="L6" t="str">
        <f t="shared" si="4"/>
        <v>EQT</v>
      </c>
      <c r="AE6" s="346" t="e">
        <f>VLOOKUP(A6,TradesEquity!$1:$1048576,10,FALSE)</f>
        <v>#N/A</v>
      </c>
      <c r="AF6" s="346" t="e">
        <f t="shared" si="5"/>
        <v>#N/A</v>
      </c>
      <c r="AG6" s="346" t="e">
        <f t="shared" si="0"/>
        <v>#N/A</v>
      </c>
      <c r="AH6" s="346" t="e">
        <f t="shared" si="0"/>
        <v>#N/A</v>
      </c>
      <c r="AI6" s="346" t="e">
        <f>ABS(VLOOKUP(A6,TradesEquity!$1:$1048576,13,FALSE))</f>
        <v>#N/A</v>
      </c>
      <c r="AJ6" s="100">
        <f t="shared" si="6"/>
        <v>0</v>
      </c>
      <c r="AK6" s="100">
        <f t="shared" si="7"/>
        <v>1</v>
      </c>
      <c r="AL6" s="346" t="e">
        <f>VLOOKUP(A6,TradesEquity!$1:$1048576,11,FALSE)</f>
        <v>#N/A</v>
      </c>
      <c r="AM6" s="100">
        <f t="shared" si="1"/>
        <v>1</v>
      </c>
      <c r="AN6" s="346" t="e">
        <f>ABS(VLOOKUP(A6,TradesEquity!$1:$1048576,14,FALSE))</f>
        <v>#N/A</v>
      </c>
      <c r="AO6" s="346" t="e">
        <f>ABS(VLOOKUP(A6,TradesEquity!$1:$1048576,15,FALSE))</f>
        <v>#N/A</v>
      </c>
      <c r="AP6" s="348" t="e">
        <f>ABS(VLOOKUP(A6,TradesEquity!$1:$1048576,16,FALSE))</f>
        <v>#N/A</v>
      </c>
      <c r="AV6" s="348" t="e">
        <f>ABS(VLOOKUP(A6,TradesEquity!$1:$1048576,18,FALSE))</f>
        <v>#N/A</v>
      </c>
      <c r="AW6" s="100">
        <f t="shared" si="8"/>
        <v>0</v>
      </c>
      <c r="AX6" s="350">
        <f t="shared" si="9"/>
        <v>4542</v>
      </c>
      <c r="AY6" s="351" t="str">
        <f t="shared" si="10"/>
        <v>TIFA</v>
      </c>
      <c r="AZ6" s="352" t="e">
        <f>(VLOOKUP(A6,TradesEquity!$1:$1048576,29,FALSE))</f>
        <v>#N/A</v>
      </c>
      <c r="BA6" s="352" t="e">
        <f>(VLOOKUP(A6,TradesEquity!$1:$1048576,30,FALSE))</f>
        <v>#N/A</v>
      </c>
      <c r="BB6" s="352" t="e">
        <f>(VLOOKUP(A6,TradesEquity!$1:$1048576,31,FALSE))</f>
        <v>#N/A</v>
      </c>
      <c r="BC6" s="352" t="e">
        <f>(VLOOKUP(A6,TradesEquity!$1:$1048576,32,FALSE))</f>
        <v>#N/A</v>
      </c>
      <c r="BI6" s="375" t="e">
        <f>(VLOOKUP(A6,TradesEquity!$1:$1048576,38,FALSE))</f>
        <v>#N/A</v>
      </c>
      <c r="BJ6" s="375" t="e">
        <f>(VLOOKUP(A6,TradesEquity!$1:$1048576,39,FALSE))</f>
        <v>#N/A</v>
      </c>
      <c r="BK6" s="352" t="e">
        <f>(VLOOKUP(A6,TradesEquity!$1:$1048576,40,FALSE))</f>
        <v>#N/A</v>
      </c>
    </row>
    <row r="7" spans="1:65">
      <c r="D7" t="str">
        <f t="shared" si="2"/>
        <v>NEW</v>
      </c>
      <c r="F7" s="343" t="e">
        <f>VLOOKUP(A7,TradesEquity!$1:$1048576,2,FALSE)</f>
        <v>#N/A</v>
      </c>
      <c r="H7" s="343" t="e">
        <f>VLOOKUP(A7,TradesEquity!$1:$1048576,21,FALSE)</f>
        <v>#N/A</v>
      </c>
      <c r="I7" s="344" t="e">
        <f>IF(VLOOKUP(A7,TradesEquity!$1:$1048576,3,FALSE)="BUY","B","S")</f>
        <v>#N/A</v>
      </c>
      <c r="J7" s="344" t="e">
        <f>VLOOKUP(A7,TradesEquity!$1:$1048576,5,FALSE)</f>
        <v>#N/A</v>
      </c>
      <c r="K7" t="str">
        <f t="shared" si="3"/>
        <v>ISIN</v>
      </c>
      <c r="L7" t="str">
        <f t="shared" si="4"/>
        <v>EQT</v>
      </c>
      <c r="AE7" s="346" t="e">
        <f>VLOOKUP(A7,TradesEquity!$1:$1048576,10,FALSE)</f>
        <v>#N/A</v>
      </c>
      <c r="AF7" s="346" t="e">
        <f t="shared" si="5"/>
        <v>#N/A</v>
      </c>
      <c r="AG7" s="346" t="e">
        <f t="shared" si="0"/>
        <v>#N/A</v>
      </c>
      <c r="AH7" s="346" t="e">
        <f t="shared" si="0"/>
        <v>#N/A</v>
      </c>
      <c r="AI7" s="346" t="e">
        <f>ABS(VLOOKUP(A7,TradesEquity!$1:$1048576,13,FALSE))</f>
        <v>#N/A</v>
      </c>
      <c r="AJ7" s="100">
        <f t="shared" si="6"/>
        <v>0</v>
      </c>
      <c r="AK7" s="100">
        <f t="shared" si="7"/>
        <v>1</v>
      </c>
      <c r="AL7" s="346" t="e">
        <f>VLOOKUP(A7,TradesEquity!$1:$1048576,11,FALSE)</f>
        <v>#N/A</v>
      </c>
      <c r="AM7" s="100">
        <f t="shared" si="1"/>
        <v>1</v>
      </c>
      <c r="AN7" s="346" t="e">
        <f>ABS(VLOOKUP(A7,TradesEquity!$1:$1048576,14,FALSE))</f>
        <v>#N/A</v>
      </c>
      <c r="AO7" s="346" t="e">
        <f>ABS(VLOOKUP(A7,TradesEquity!$1:$1048576,15,FALSE))</f>
        <v>#N/A</v>
      </c>
      <c r="AP7" s="348" t="e">
        <f>ABS(VLOOKUP(A7,TradesEquity!$1:$1048576,16,FALSE))</f>
        <v>#N/A</v>
      </c>
      <c r="AV7" s="348" t="e">
        <f>ABS(VLOOKUP(A7,TradesEquity!$1:$1048576,18,FALSE))</f>
        <v>#N/A</v>
      </c>
      <c r="AW7" s="100">
        <f t="shared" si="8"/>
        <v>0</v>
      </c>
      <c r="AX7" s="350">
        <f t="shared" si="9"/>
        <v>4542</v>
      </c>
      <c r="AY7" s="351" t="str">
        <f t="shared" si="10"/>
        <v>TIFA</v>
      </c>
      <c r="AZ7" s="352" t="e">
        <f>(VLOOKUP(A7,TradesEquity!$1:$1048576,29,FALSE))</f>
        <v>#N/A</v>
      </c>
      <c r="BA7" s="352" t="e">
        <f>(VLOOKUP(A7,TradesEquity!$1:$1048576,30,FALSE))</f>
        <v>#N/A</v>
      </c>
      <c r="BB7" s="352" t="e">
        <f>(VLOOKUP(A7,TradesEquity!$1:$1048576,31,FALSE))</f>
        <v>#N/A</v>
      </c>
      <c r="BC7" s="352" t="e">
        <f>(VLOOKUP(A7,TradesEquity!$1:$1048576,32,FALSE))</f>
        <v>#N/A</v>
      </c>
      <c r="BI7" s="375" t="e">
        <f>(VLOOKUP(A7,TradesEquity!$1:$1048576,38,FALSE))</f>
        <v>#N/A</v>
      </c>
      <c r="BJ7" s="375" t="e">
        <f>(VLOOKUP(A7,TradesEquity!$1:$1048576,39,FALSE))</f>
        <v>#N/A</v>
      </c>
      <c r="BK7" s="352" t="e">
        <f>(VLOOKUP(A7,TradesEquity!$1:$1048576,40,FALSE))</f>
        <v>#N/A</v>
      </c>
    </row>
    <row r="8" spans="1:65">
      <c r="A8" s="1014"/>
      <c r="D8" t="str">
        <f t="shared" si="2"/>
        <v>NEW</v>
      </c>
      <c r="F8" s="343" t="e">
        <f>VLOOKUP(A8,TradesEquity!$1:$1048576,2,FALSE)</f>
        <v>#N/A</v>
      </c>
      <c r="H8" s="343" t="e">
        <f>VLOOKUP(A8,TradesEquity!$1:$1048576,21,FALSE)</f>
        <v>#N/A</v>
      </c>
      <c r="I8" s="344" t="e">
        <f>IF(VLOOKUP(A8,TradesEquity!$1:$1048576,3,FALSE)="BUY","B","S")</f>
        <v>#N/A</v>
      </c>
      <c r="J8" s="344" t="e">
        <f>VLOOKUP(A8,TradesEquity!$1:$1048576,5,FALSE)</f>
        <v>#N/A</v>
      </c>
      <c r="K8" t="str">
        <f t="shared" si="3"/>
        <v>ISIN</v>
      </c>
      <c r="L8" t="str">
        <f t="shared" si="4"/>
        <v>EQT</v>
      </c>
      <c r="AE8" s="346" t="e">
        <f>VLOOKUP(A8,TradesEquity!$1:$1048576,10,FALSE)</f>
        <v>#N/A</v>
      </c>
      <c r="AF8" s="346" t="e">
        <f t="shared" si="5"/>
        <v>#N/A</v>
      </c>
      <c r="AG8" s="346" t="e">
        <f t="shared" si="0"/>
        <v>#N/A</v>
      </c>
      <c r="AH8" s="346" t="e">
        <f t="shared" si="0"/>
        <v>#N/A</v>
      </c>
      <c r="AI8" s="346" t="e">
        <f>ABS(VLOOKUP(A8,TradesEquity!$1:$1048576,13,FALSE))</f>
        <v>#N/A</v>
      </c>
      <c r="AJ8" s="100">
        <f t="shared" si="6"/>
        <v>0</v>
      </c>
      <c r="AK8" s="100">
        <f t="shared" si="7"/>
        <v>1</v>
      </c>
      <c r="AL8" s="346" t="e">
        <f>VLOOKUP(A8,TradesEquity!$1:$1048576,11,FALSE)</f>
        <v>#N/A</v>
      </c>
      <c r="AM8" s="100">
        <f t="shared" si="1"/>
        <v>1</v>
      </c>
      <c r="AN8" s="346" t="e">
        <f>ABS(VLOOKUP(A8,TradesEquity!$1:$1048576,14,FALSE))</f>
        <v>#N/A</v>
      </c>
      <c r="AO8" s="346" t="e">
        <f>ABS(VLOOKUP(A8,TradesEquity!$1:$1048576,15,FALSE))</f>
        <v>#N/A</v>
      </c>
      <c r="AP8" s="348" t="e">
        <f>ABS(VLOOKUP(A8,TradesEquity!$1:$1048576,16,FALSE))</f>
        <v>#N/A</v>
      </c>
      <c r="AV8" s="348" t="e">
        <f>ABS(VLOOKUP(A8,TradesEquity!$1:$1048576,18,FALSE))</f>
        <v>#N/A</v>
      </c>
      <c r="AW8" s="100">
        <f t="shared" si="8"/>
        <v>0</v>
      </c>
      <c r="AX8" s="350">
        <f t="shared" si="9"/>
        <v>4542</v>
      </c>
      <c r="AY8" s="351" t="str">
        <f t="shared" si="10"/>
        <v>TIFA</v>
      </c>
      <c r="AZ8" s="352" t="e">
        <f>(VLOOKUP(A8,TradesEquity!$1:$1048576,29,FALSE))</f>
        <v>#N/A</v>
      </c>
      <c r="BA8" s="352" t="e">
        <f>(VLOOKUP(A8,TradesEquity!$1:$1048576,30,FALSE))</f>
        <v>#N/A</v>
      </c>
      <c r="BB8" s="352" t="e">
        <f>(VLOOKUP(A8,TradesEquity!$1:$1048576,31,FALSE))</f>
        <v>#N/A</v>
      </c>
      <c r="BC8" s="352" t="e">
        <f>(VLOOKUP(A8,TradesEquity!$1:$1048576,32,FALSE))</f>
        <v>#N/A</v>
      </c>
      <c r="BI8" s="375" t="e">
        <f>(VLOOKUP(A8,TradesEquity!$1:$1048576,38,FALSE))</f>
        <v>#N/A</v>
      </c>
      <c r="BJ8" s="375" t="e">
        <f>(VLOOKUP(A8,TradesEquity!$1:$1048576,39,FALSE))</f>
        <v>#N/A</v>
      </c>
      <c r="BK8" s="352" t="e">
        <f>(VLOOKUP(A8,TradesEquity!$1:$1048576,40,FALSE))</f>
        <v>#N/A</v>
      </c>
    </row>
    <row r="9" spans="1:65" ht="16.5">
      <c r="A9" s="1014"/>
      <c r="D9" t="str">
        <f t="shared" si="2"/>
        <v>NEW</v>
      </c>
      <c r="F9" s="343" t="e">
        <f>VLOOKUP(A9,TradesEquity!$1:$1048576,2,FALSE)</f>
        <v>#N/A</v>
      </c>
      <c r="H9" s="343" t="e">
        <f>VLOOKUP(A9,TradesEquity!$1:$1048576,21,FALSE)</f>
        <v>#N/A</v>
      </c>
      <c r="I9" s="344" t="e">
        <f>IF(VLOOKUP(A9,TradesEquity!$1:$1048576,3,FALSE)="BUY","B","S")</f>
        <v>#N/A</v>
      </c>
      <c r="J9" s="344" t="e">
        <f>VLOOKUP(A9,TradesEquity!$1:$1048576,5,FALSE)</f>
        <v>#N/A</v>
      </c>
      <c r="K9" t="str">
        <f t="shared" si="3"/>
        <v>ISIN</v>
      </c>
      <c r="L9" t="str">
        <f t="shared" si="4"/>
        <v>EQT</v>
      </c>
      <c r="AE9" s="346" t="e">
        <f>VLOOKUP(A9,TradesEquity!$1:$1048576,10,FALSE)</f>
        <v>#N/A</v>
      </c>
      <c r="AF9" s="346" t="e">
        <f t="shared" si="5"/>
        <v>#N/A</v>
      </c>
      <c r="AG9" s="346" t="e">
        <f t="shared" si="0"/>
        <v>#N/A</v>
      </c>
      <c r="AH9" s="346" t="e">
        <f t="shared" si="0"/>
        <v>#N/A</v>
      </c>
      <c r="AI9" s="346" t="e">
        <f>ABS(VLOOKUP(A9,TradesEquity!$1:$1048576,13,FALSE))</f>
        <v>#N/A</v>
      </c>
      <c r="AJ9" s="100">
        <f t="shared" si="6"/>
        <v>0</v>
      </c>
      <c r="AK9" s="100">
        <f t="shared" si="7"/>
        <v>1</v>
      </c>
      <c r="AL9" s="346" t="e">
        <f>VLOOKUP(A9,TradesEquity!$1:$1048576,11,FALSE)</f>
        <v>#N/A</v>
      </c>
      <c r="AM9" s="100">
        <f t="shared" si="1"/>
        <v>1</v>
      </c>
      <c r="AN9" s="346" t="e">
        <f>ABS(VLOOKUP(A9,TradesEquity!$1:$1048576,14,FALSE))</f>
        <v>#N/A</v>
      </c>
      <c r="AO9" s="346" t="e">
        <f>ABS(VLOOKUP(A9,TradesEquity!$1:$1048576,15,FALSE))</f>
        <v>#N/A</v>
      </c>
      <c r="AP9" s="348" t="e">
        <f>ABS(VLOOKUP(A9,TradesEquity!$1:$1048576,16,FALSE))</f>
        <v>#N/A</v>
      </c>
      <c r="AV9" s="348" t="e">
        <f>ABS(VLOOKUP(A9,TradesEquity!$1:$1048576,18,FALSE))</f>
        <v>#N/A</v>
      </c>
      <c r="AW9" s="100">
        <f t="shared" si="8"/>
        <v>0</v>
      </c>
      <c r="AX9" s="350">
        <f t="shared" si="9"/>
        <v>4542</v>
      </c>
      <c r="AY9" s="351" t="str">
        <f t="shared" si="10"/>
        <v>TIFA</v>
      </c>
      <c r="AZ9" s="352" t="e">
        <f>(VLOOKUP(A9,TradesEquity!$1:$1048576,29,FALSE))</f>
        <v>#N/A</v>
      </c>
      <c r="BA9" s="352" t="e">
        <f>(VLOOKUP(A9,TradesEquity!$1:$1048576,30,FALSE))</f>
        <v>#N/A</v>
      </c>
      <c r="BB9" s="352" t="e">
        <f>(VLOOKUP(A9,TradesEquity!$1:$1048576,31,FALSE))</f>
        <v>#N/A</v>
      </c>
      <c r="BC9" s="352" t="e">
        <f>(VLOOKUP(A9,TradesEquity!$1:$1048576,32,FALSE))</f>
        <v>#N/A</v>
      </c>
      <c r="BF9" s="379"/>
      <c r="BI9" s="375" t="e">
        <f>(VLOOKUP(A9,TradesEquity!$1:$1048576,38,FALSE))</f>
        <v>#N/A</v>
      </c>
      <c r="BJ9" s="375" t="e">
        <f>(VLOOKUP(A9,TradesEquity!$1:$1048576,39,FALSE))</f>
        <v>#N/A</v>
      </c>
      <c r="BK9" s="352" t="e">
        <f>(VLOOKUP(A9,TradesEquity!$1:$1048576,40,FALSE))</f>
        <v>#N/A</v>
      </c>
    </row>
    <row r="10" spans="1:65">
      <c r="A10" s="1014"/>
      <c r="D10" t="str">
        <f t="shared" si="2"/>
        <v>NEW</v>
      </c>
      <c r="F10" s="343" t="e">
        <f>VLOOKUP(A10,TradesEquity!$1:$1048576,2,FALSE)</f>
        <v>#N/A</v>
      </c>
      <c r="H10" s="343" t="e">
        <f>VLOOKUP(A10,TradesEquity!$1:$1048576,21,FALSE)</f>
        <v>#N/A</v>
      </c>
      <c r="I10" s="344" t="e">
        <f>IF(VLOOKUP(A10,TradesEquity!$1:$1048576,3,FALSE)="BUY","B","S")</f>
        <v>#N/A</v>
      </c>
      <c r="J10" s="344" t="e">
        <f>VLOOKUP(A10,TradesEquity!$1:$1048576,5,FALSE)</f>
        <v>#N/A</v>
      </c>
      <c r="K10" t="str">
        <f t="shared" si="3"/>
        <v>ISIN</v>
      </c>
      <c r="L10" t="str">
        <f t="shared" si="4"/>
        <v>EQT</v>
      </c>
      <c r="AE10" s="346" t="e">
        <f>VLOOKUP(A10,TradesEquity!$1:$1048576,10,FALSE)</f>
        <v>#N/A</v>
      </c>
      <c r="AF10" s="346" t="e">
        <f t="shared" si="5"/>
        <v>#N/A</v>
      </c>
      <c r="AG10" s="346" t="e">
        <f t="shared" si="0"/>
        <v>#N/A</v>
      </c>
      <c r="AH10" s="346" t="e">
        <f t="shared" si="0"/>
        <v>#N/A</v>
      </c>
      <c r="AI10" s="346" t="e">
        <f>ABS(VLOOKUP(A10,TradesEquity!$1:$1048576,13,FALSE))</f>
        <v>#N/A</v>
      </c>
      <c r="AJ10" s="100">
        <f t="shared" si="6"/>
        <v>0</v>
      </c>
      <c r="AK10" s="100">
        <f t="shared" si="7"/>
        <v>1</v>
      </c>
      <c r="AL10" s="346" t="e">
        <f>VLOOKUP(A10,TradesEquity!$1:$1048576,11,FALSE)</f>
        <v>#N/A</v>
      </c>
      <c r="AM10" s="100">
        <f t="shared" si="1"/>
        <v>1</v>
      </c>
      <c r="AN10" s="346" t="e">
        <f>ABS(VLOOKUP(A10,TradesEquity!$1:$1048576,14,FALSE))</f>
        <v>#N/A</v>
      </c>
      <c r="AO10" s="346" t="e">
        <f>ABS(VLOOKUP(A10,TradesEquity!$1:$1048576,15,FALSE))</f>
        <v>#N/A</v>
      </c>
      <c r="AP10" s="348" t="e">
        <f>ABS(VLOOKUP(A10,TradesEquity!$1:$1048576,16,FALSE))</f>
        <v>#N/A</v>
      </c>
      <c r="AV10" s="348" t="e">
        <f>ABS(VLOOKUP(A10,TradesEquity!$1:$1048576,18,FALSE))</f>
        <v>#N/A</v>
      </c>
      <c r="AW10" s="100">
        <f t="shared" si="8"/>
        <v>0</v>
      </c>
      <c r="AX10" s="350">
        <f t="shared" si="9"/>
        <v>4542</v>
      </c>
      <c r="AY10" s="351" t="str">
        <f t="shared" si="10"/>
        <v>TIFA</v>
      </c>
      <c r="AZ10" s="352" t="e">
        <f>(VLOOKUP(A10,TradesEquity!$1:$1048576,29,FALSE))</f>
        <v>#N/A</v>
      </c>
      <c r="BA10" s="352" t="e">
        <f>(VLOOKUP(A10,TradesEquity!$1:$1048576,30,FALSE))</f>
        <v>#N/A</v>
      </c>
      <c r="BB10" s="352" t="e">
        <f>(VLOOKUP(A10,TradesEquity!$1:$1048576,31,FALSE))</f>
        <v>#N/A</v>
      </c>
      <c r="BC10" s="352" t="e">
        <f>(VLOOKUP(A10,TradesEquity!$1:$1048576,32,FALSE))</f>
        <v>#N/A</v>
      </c>
      <c r="BI10" s="375" t="e">
        <f>(VLOOKUP(A10,TradesEquity!$1:$1048576,38,FALSE))</f>
        <v>#N/A</v>
      </c>
      <c r="BJ10" s="375" t="e">
        <f>(VLOOKUP(A10,TradesEquity!$1:$1048576,39,FALSE))</f>
        <v>#N/A</v>
      </c>
      <c r="BK10" s="352" t="e">
        <f>(VLOOKUP(A10,TradesEquity!$1:$1048576,40,FALSE))</f>
        <v>#N/A</v>
      </c>
    </row>
    <row r="11" spans="1:65">
      <c r="A11" s="1014"/>
      <c r="D11" t="str">
        <f t="shared" si="2"/>
        <v>NEW</v>
      </c>
      <c r="F11" s="343" t="e">
        <f>VLOOKUP(A11,TradesEquity!$1:$1048576,2,FALSE)</f>
        <v>#N/A</v>
      </c>
      <c r="H11" s="343" t="e">
        <f>VLOOKUP(A11,TradesEquity!$1:$1048576,21,FALSE)</f>
        <v>#N/A</v>
      </c>
      <c r="I11" s="344" t="e">
        <f>IF(VLOOKUP(A11,TradesEquity!$1:$1048576,3,FALSE)="BUY","B","S")</f>
        <v>#N/A</v>
      </c>
      <c r="J11" s="344" t="e">
        <f>VLOOKUP(A11,TradesEquity!$1:$1048576,5,FALSE)</f>
        <v>#N/A</v>
      </c>
      <c r="K11" t="str">
        <f t="shared" si="3"/>
        <v>ISIN</v>
      </c>
      <c r="L11" t="str">
        <f t="shared" si="4"/>
        <v>EQT</v>
      </c>
      <c r="AE11" s="346" t="e">
        <f>VLOOKUP(A11,TradesEquity!$1:$1048576,10,FALSE)</f>
        <v>#N/A</v>
      </c>
      <c r="AF11" s="346" t="e">
        <f t="shared" si="5"/>
        <v>#N/A</v>
      </c>
      <c r="AG11" s="346" t="e">
        <f t="shared" si="0"/>
        <v>#N/A</v>
      </c>
      <c r="AH11" s="346" t="e">
        <f t="shared" si="0"/>
        <v>#N/A</v>
      </c>
      <c r="AI11" s="346" t="e">
        <f>ABS(VLOOKUP(A11,TradesEquity!$1:$1048576,13,FALSE))</f>
        <v>#N/A</v>
      </c>
      <c r="AJ11" s="100">
        <f t="shared" si="6"/>
        <v>0</v>
      </c>
      <c r="AK11" s="100">
        <f t="shared" si="7"/>
        <v>1</v>
      </c>
      <c r="AL11" s="346" t="e">
        <f>VLOOKUP(A11,TradesEquity!$1:$1048576,11,FALSE)</f>
        <v>#N/A</v>
      </c>
      <c r="AM11" s="100">
        <f t="shared" si="1"/>
        <v>1</v>
      </c>
      <c r="AN11" s="346" t="e">
        <f>ABS(VLOOKUP(A11,TradesEquity!$1:$1048576,14,FALSE))</f>
        <v>#N/A</v>
      </c>
      <c r="AO11" s="346" t="e">
        <f>ABS(VLOOKUP(A11,TradesEquity!$1:$1048576,15,FALSE))</f>
        <v>#N/A</v>
      </c>
      <c r="AP11" s="348" t="e">
        <f>ABS(VLOOKUP(A11,TradesEquity!$1:$1048576,16,FALSE))</f>
        <v>#N/A</v>
      </c>
      <c r="AV11" s="348" t="e">
        <f>ABS(VLOOKUP(A11,TradesEquity!$1:$1048576,18,FALSE))</f>
        <v>#N/A</v>
      </c>
      <c r="AW11" s="100">
        <f t="shared" si="8"/>
        <v>0</v>
      </c>
      <c r="AX11" s="350">
        <f t="shared" si="9"/>
        <v>4542</v>
      </c>
      <c r="AY11" s="351" t="str">
        <f t="shared" si="10"/>
        <v>TIFA</v>
      </c>
      <c r="AZ11" s="352" t="e">
        <f>(VLOOKUP(A11,TradesEquity!$1:$1048576,29,FALSE))</f>
        <v>#N/A</v>
      </c>
      <c r="BA11" s="352" t="e">
        <f>(VLOOKUP(A11,TradesEquity!$1:$1048576,30,FALSE))</f>
        <v>#N/A</v>
      </c>
      <c r="BB11" s="352" t="e">
        <f>(VLOOKUP(A11,TradesEquity!$1:$1048576,31,FALSE))</f>
        <v>#N/A</v>
      </c>
      <c r="BC11" s="352" t="e">
        <f>(VLOOKUP(A11,TradesEquity!$1:$1048576,32,FALSE))</f>
        <v>#N/A</v>
      </c>
      <c r="BI11" s="375" t="e">
        <f>(VLOOKUP(A11,TradesEquity!$1:$1048576,38,FALSE))</f>
        <v>#N/A</v>
      </c>
      <c r="BJ11" s="375" t="e">
        <f>(VLOOKUP(A11,TradesEquity!$1:$1048576,39,FALSE))</f>
        <v>#N/A</v>
      </c>
      <c r="BK11" s="352" t="e">
        <f>(VLOOKUP(A11,TradesEquity!$1:$1048576,40,FALSE))</f>
        <v>#N/A</v>
      </c>
    </row>
    <row r="12" spans="1:65">
      <c r="A12" s="1014"/>
      <c r="D12" t="str">
        <f t="shared" si="2"/>
        <v>NEW</v>
      </c>
      <c r="F12" s="343" t="e">
        <f>VLOOKUP(A12,TradesEquity!$1:$1048576,2,FALSE)</f>
        <v>#N/A</v>
      </c>
      <c r="H12" s="343" t="e">
        <f>VLOOKUP(A12,TradesEquity!$1:$1048576,21,FALSE)</f>
        <v>#N/A</v>
      </c>
      <c r="I12" s="344" t="e">
        <f>IF(VLOOKUP(A12,TradesEquity!$1:$1048576,3,FALSE)="BUY","B","S")</f>
        <v>#N/A</v>
      </c>
      <c r="J12" s="344" t="e">
        <f>VLOOKUP(A12,TradesEquity!$1:$1048576,5,FALSE)</f>
        <v>#N/A</v>
      </c>
      <c r="K12" t="str">
        <f t="shared" si="3"/>
        <v>ISIN</v>
      </c>
      <c r="L12" t="str">
        <f t="shared" si="4"/>
        <v>EQT</v>
      </c>
      <c r="AE12" s="346" t="e">
        <f>VLOOKUP(A12,TradesEquity!$1:$1048576,10,FALSE)</f>
        <v>#N/A</v>
      </c>
      <c r="AF12" s="346" t="e">
        <f t="shared" si="5"/>
        <v>#N/A</v>
      </c>
      <c r="AG12" s="346" t="e">
        <f t="shared" si="0"/>
        <v>#N/A</v>
      </c>
      <c r="AH12" s="346" t="e">
        <f t="shared" si="0"/>
        <v>#N/A</v>
      </c>
      <c r="AI12" s="346" t="e">
        <f>ABS(VLOOKUP(A12,TradesEquity!$1:$1048576,13,FALSE))</f>
        <v>#N/A</v>
      </c>
      <c r="AJ12" s="100">
        <f t="shared" si="6"/>
        <v>0</v>
      </c>
      <c r="AK12" s="100">
        <f t="shared" si="7"/>
        <v>1</v>
      </c>
      <c r="AL12" s="346" t="e">
        <f>VLOOKUP(A12,TradesEquity!$1:$1048576,11,FALSE)</f>
        <v>#N/A</v>
      </c>
      <c r="AM12" s="100">
        <f t="shared" si="1"/>
        <v>1</v>
      </c>
      <c r="AN12" s="346" t="e">
        <f>ABS(VLOOKUP(A12,TradesEquity!$1:$1048576,14,FALSE))</f>
        <v>#N/A</v>
      </c>
      <c r="AO12" s="346" t="e">
        <f>ABS(VLOOKUP(A12,TradesEquity!$1:$1048576,15,FALSE))</f>
        <v>#N/A</v>
      </c>
      <c r="AP12" s="348" t="e">
        <f>ABS(VLOOKUP(A12,TradesEquity!$1:$1048576,16,FALSE))</f>
        <v>#N/A</v>
      </c>
      <c r="AV12" s="348" t="e">
        <f>ABS(VLOOKUP(A12,TradesEquity!$1:$1048576,18,FALSE))</f>
        <v>#N/A</v>
      </c>
      <c r="AW12" s="100">
        <f t="shared" si="8"/>
        <v>0</v>
      </c>
      <c r="AX12" s="350">
        <f t="shared" si="9"/>
        <v>4542</v>
      </c>
      <c r="AY12" s="351" t="str">
        <f t="shared" si="10"/>
        <v>TIFA</v>
      </c>
      <c r="AZ12" s="352" t="e">
        <f>(VLOOKUP(A12,TradesEquity!$1:$1048576,29,FALSE))</f>
        <v>#N/A</v>
      </c>
      <c r="BA12" s="352" t="e">
        <f>(VLOOKUP(A12,TradesEquity!$1:$1048576,30,FALSE))</f>
        <v>#N/A</v>
      </c>
      <c r="BB12" s="352" t="e">
        <f>(VLOOKUP(A12,TradesEquity!$1:$1048576,31,FALSE))</f>
        <v>#N/A</v>
      </c>
      <c r="BC12" s="352" t="e">
        <f>(VLOOKUP(A12,TradesEquity!$1:$1048576,32,FALSE))</f>
        <v>#N/A</v>
      </c>
      <c r="BI12" s="375" t="e">
        <f>(VLOOKUP(A12,TradesEquity!$1:$1048576,38,FALSE))</f>
        <v>#N/A</v>
      </c>
      <c r="BJ12" s="375" t="e">
        <f>(VLOOKUP(A12,TradesEquity!$1:$1048576,39,FALSE))</f>
        <v>#N/A</v>
      </c>
      <c r="BK12" s="352" t="e">
        <f>(VLOOKUP(A12,TradesEquity!$1:$1048576,40,FALSE))</f>
        <v>#N/A</v>
      </c>
    </row>
    <row r="13" spans="1:65">
      <c r="A13" s="1014"/>
      <c r="D13" t="str">
        <f t="shared" si="2"/>
        <v>NEW</v>
      </c>
      <c r="F13" s="343" t="e">
        <f>VLOOKUP(A13,TradesEquity!$1:$1048576,2,FALSE)</f>
        <v>#N/A</v>
      </c>
      <c r="H13" s="343" t="e">
        <f>VLOOKUP(A13,TradesEquity!$1:$1048576,21,FALSE)</f>
        <v>#N/A</v>
      </c>
      <c r="I13" s="344" t="e">
        <f>IF(VLOOKUP(A13,TradesEquity!$1:$1048576,3,FALSE)="BUY","B","S")</f>
        <v>#N/A</v>
      </c>
      <c r="J13" s="344" t="e">
        <f>VLOOKUP(A13,TradesEquity!$1:$1048576,5,FALSE)</f>
        <v>#N/A</v>
      </c>
      <c r="K13" t="str">
        <f t="shared" si="3"/>
        <v>ISIN</v>
      </c>
      <c r="L13" t="str">
        <f t="shared" si="4"/>
        <v>EQT</v>
      </c>
      <c r="AE13" s="346" t="e">
        <f>VLOOKUP(A13,TradesEquity!$1:$1048576,10,FALSE)</f>
        <v>#N/A</v>
      </c>
      <c r="AF13" s="346" t="e">
        <f t="shared" si="5"/>
        <v>#N/A</v>
      </c>
      <c r="AG13" s="346" t="e">
        <f t="shared" si="5"/>
        <v>#N/A</v>
      </c>
      <c r="AH13" s="346" t="e">
        <f t="shared" si="5"/>
        <v>#N/A</v>
      </c>
      <c r="AI13" s="346" t="e">
        <f>ABS(VLOOKUP(A13,TradesEquity!$1:$1048576,13,FALSE))</f>
        <v>#N/A</v>
      </c>
      <c r="AJ13" s="100">
        <f t="shared" si="6"/>
        <v>0</v>
      </c>
      <c r="AK13" s="100">
        <f t="shared" si="7"/>
        <v>1</v>
      </c>
      <c r="AL13" s="346" t="e">
        <f>VLOOKUP(A13,TradesEquity!$1:$1048576,11,FALSE)</f>
        <v>#N/A</v>
      </c>
      <c r="AM13" s="100">
        <f t="shared" si="1"/>
        <v>1</v>
      </c>
      <c r="AN13" s="346" t="e">
        <f>ABS(VLOOKUP(A13,TradesEquity!$1:$1048576,14,FALSE))</f>
        <v>#N/A</v>
      </c>
      <c r="AO13" s="346" t="e">
        <f>ABS(VLOOKUP(A13,TradesEquity!$1:$1048576,15,FALSE))</f>
        <v>#N/A</v>
      </c>
      <c r="AP13" s="348" t="e">
        <f>ABS(VLOOKUP(A13,TradesEquity!$1:$1048576,16,FALSE))</f>
        <v>#N/A</v>
      </c>
      <c r="AV13" s="348" t="e">
        <f>ABS(VLOOKUP(A13,TradesEquity!$1:$1048576,18,FALSE))</f>
        <v>#N/A</v>
      </c>
      <c r="AW13" s="100">
        <f t="shared" si="8"/>
        <v>0</v>
      </c>
      <c r="AX13" s="350">
        <f t="shared" si="9"/>
        <v>4542</v>
      </c>
      <c r="AY13" s="351" t="str">
        <f t="shared" si="10"/>
        <v>TIFA</v>
      </c>
      <c r="AZ13" s="352" t="e">
        <f>(VLOOKUP(A13,TradesEquity!$1:$1048576,29,FALSE))</f>
        <v>#N/A</v>
      </c>
      <c r="BA13" s="352" t="e">
        <f>(VLOOKUP(A13,TradesEquity!$1:$1048576,30,FALSE))</f>
        <v>#N/A</v>
      </c>
      <c r="BB13" s="352" t="e">
        <f>(VLOOKUP(A13,TradesEquity!$1:$1048576,31,FALSE))</f>
        <v>#N/A</v>
      </c>
      <c r="BC13" s="352" t="e">
        <f>(VLOOKUP(A13,TradesEquity!$1:$1048576,32,FALSE))</f>
        <v>#N/A</v>
      </c>
      <c r="BI13" s="375" t="e">
        <f>(VLOOKUP(A13,TradesEquity!$1:$1048576,38,FALSE))</f>
        <v>#N/A</v>
      </c>
      <c r="BJ13" s="375" t="e">
        <f>(VLOOKUP(A13,TradesEquity!$1:$1048576,39,FALSE))</f>
        <v>#N/A</v>
      </c>
      <c r="BK13" s="352" t="e">
        <f>(VLOOKUP(A13,TradesEquity!$1:$1048576,40,FALSE))</f>
        <v>#N/A</v>
      </c>
    </row>
    <row r="14" spans="1:65">
      <c r="A14" s="1014"/>
      <c r="D14" t="str">
        <f t="shared" si="2"/>
        <v>NEW</v>
      </c>
      <c r="F14" s="343" t="e">
        <f>VLOOKUP(A14,TradesEquity!$1:$1048576,2,FALSE)</f>
        <v>#N/A</v>
      </c>
      <c r="H14" s="343" t="e">
        <f>VLOOKUP(A14,TradesEquity!$1:$1048576,21,FALSE)</f>
        <v>#N/A</v>
      </c>
      <c r="I14" s="344" t="e">
        <f>IF(VLOOKUP(A14,TradesEquity!$1:$1048576,3,FALSE)="BUY","B","S")</f>
        <v>#N/A</v>
      </c>
      <c r="J14" s="344" t="e">
        <f>VLOOKUP(A14,TradesEquity!$1:$1048576,5,FALSE)</f>
        <v>#N/A</v>
      </c>
      <c r="K14" t="str">
        <f t="shared" si="3"/>
        <v>ISIN</v>
      </c>
      <c r="L14" t="str">
        <f t="shared" si="4"/>
        <v>EQT</v>
      </c>
      <c r="AE14" s="346" t="e">
        <f>VLOOKUP(A14,TradesEquity!$1:$1048576,10,FALSE)</f>
        <v>#N/A</v>
      </c>
      <c r="AF14" s="346" t="e">
        <f t="shared" si="5"/>
        <v>#N/A</v>
      </c>
      <c r="AG14" s="346" t="e">
        <f t="shared" si="5"/>
        <v>#N/A</v>
      </c>
      <c r="AH14" s="346" t="e">
        <f t="shared" si="5"/>
        <v>#N/A</v>
      </c>
      <c r="AI14" s="346" t="e">
        <f>ABS(VLOOKUP(A14,TradesEquity!$1:$1048576,13,FALSE))</f>
        <v>#N/A</v>
      </c>
      <c r="AJ14" s="100">
        <f t="shared" si="6"/>
        <v>0</v>
      </c>
      <c r="AK14" s="100">
        <f t="shared" si="7"/>
        <v>1</v>
      </c>
      <c r="AL14" s="346" t="e">
        <f>VLOOKUP(A14,TradesEquity!$1:$1048576,11,FALSE)</f>
        <v>#N/A</v>
      </c>
      <c r="AM14" s="100">
        <f t="shared" si="1"/>
        <v>1</v>
      </c>
      <c r="AN14" s="346" t="e">
        <f>ABS(VLOOKUP(A14,TradesEquity!$1:$1048576,14,FALSE))</f>
        <v>#N/A</v>
      </c>
      <c r="AO14" s="346" t="e">
        <f>ABS(VLOOKUP(A14,TradesEquity!$1:$1048576,15,FALSE))</f>
        <v>#N/A</v>
      </c>
      <c r="AP14" s="348" t="e">
        <f>ABS(VLOOKUP(A14,TradesEquity!$1:$1048576,16,FALSE))</f>
        <v>#N/A</v>
      </c>
      <c r="AV14" s="348" t="e">
        <f>ABS(VLOOKUP(A14,TradesEquity!$1:$1048576,18,FALSE))</f>
        <v>#N/A</v>
      </c>
      <c r="AW14" s="100">
        <f t="shared" si="8"/>
        <v>0</v>
      </c>
      <c r="AX14" s="350">
        <f t="shared" si="9"/>
        <v>4542</v>
      </c>
      <c r="AY14" s="351" t="str">
        <f t="shared" si="10"/>
        <v>TIFA</v>
      </c>
      <c r="AZ14" s="352" t="e">
        <f>(VLOOKUP(A14,TradesEquity!$1:$1048576,29,FALSE))</f>
        <v>#N/A</v>
      </c>
      <c r="BA14" s="352" t="e">
        <f>(VLOOKUP(A14,TradesEquity!$1:$1048576,30,FALSE))</f>
        <v>#N/A</v>
      </c>
      <c r="BB14" s="352" t="e">
        <f>(VLOOKUP(A14,TradesEquity!$1:$1048576,31,FALSE))</f>
        <v>#N/A</v>
      </c>
      <c r="BC14" s="352" t="e">
        <f>(VLOOKUP(A14,TradesEquity!$1:$1048576,32,FALSE))</f>
        <v>#N/A</v>
      </c>
      <c r="BI14" s="375" t="e">
        <f>(VLOOKUP(A14,TradesEquity!$1:$1048576,38,FALSE))</f>
        <v>#N/A</v>
      </c>
      <c r="BJ14" s="375" t="e">
        <f>(VLOOKUP(A14,TradesEquity!$1:$1048576,39,FALSE))</f>
        <v>#N/A</v>
      </c>
      <c r="BK14" s="352" t="e">
        <f>(VLOOKUP(A14,TradesEquity!$1:$1048576,40,FALSE))</f>
        <v>#N/A</v>
      </c>
    </row>
    <row r="15" spans="1:65">
      <c r="D15" t="str">
        <f t="shared" si="2"/>
        <v>NEW</v>
      </c>
      <c r="F15" s="343" t="e">
        <f>VLOOKUP(A15,TradesEquity!$1:$1048576,2,FALSE)</f>
        <v>#N/A</v>
      </c>
      <c r="H15" s="343" t="e">
        <f>VLOOKUP(A15,TradesEquity!$1:$1048576,21,FALSE)</f>
        <v>#N/A</v>
      </c>
      <c r="I15" s="344" t="e">
        <f>IF(VLOOKUP(A15,TradesEquity!$1:$1048576,3,FALSE)="BUY","B","S")</f>
        <v>#N/A</v>
      </c>
      <c r="J15" s="344" t="e">
        <f>VLOOKUP(A15,TradesEquity!$1:$1048576,5,FALSE)</f>
        <v>#N/A</v>
      </c>
      <c r="K15" t="str">
        <f t="shared" si="3"/>
        <v>ISIN</v>
      </c>
      <c r="L15" t="str">
        <f t="shared" si="4"/>
        <v>EQT</v>
      </c>
      <c r="AE15" s="346" t="e">
        <f>VLOOKUP(A15,TradesEquity!$1:$1048576,10,FALSE)</f>
        <v>#N/A</v>
      </c>
      <c r="AF15" s="346" t="e">
        <f t="shared" si="5"/>
        <v>#N/A</v>
      </c>
      <c r="AG15" s="346" t="e">
        <f t="shared" si="5"/>
        <v>#N/A</v>
      </c>
      <c r="AH15" s="346" t="e">
        <f t="shared" si="5"/>
        <v>#N/A</v>
      </c>
      <c r="AI15" s="346" t="e">
        <f>ABS(VLOOKUP(A15,TradesEquity!$1:$1048576,13,FALSE))</f>
        <v>#N/A</v>
      </c>
      <c r="AJ15" s="100">
        <f t="shared" si="6"/>
        <v>0</v>
      </c>
      <c r="AK15" s="100">
        <f t="shared" si="7"/>
        <v>1</v>
      </c>
      <c r="AL15" s="346" t="e">
        <f>VLOOKUP(A15,TradesEquity!$1:$1048576,11,FALSE)</f>
        <v>#N/A</v>
      </c>
      <c r="AM15" s="100">
        <f t="shared" si="1"/>
        <v>1</v>
      </c>
      <c r="AN15" s="346" t="e">
        <f>ABS(VLOOKUP(A15,TradesEquity!$1:$1048576,14,FALSE))</f>
        <v>#N/A</v>
      </c>
      <c r="AO15" s="346" t="e">
        <f>ABS(VLOOKUP(A15,TradesEquity!$1:$1048576,15,FALSE))</f>
        <v>#N/A</v>
      </c>
      <c r="AP15" s="348" t="e">
        <f>ABS(VLOOKUP(A15,TradesEquity!$1:$1048576,16,FALSE))</f>
        <v>#N/A</v>
      </c>
      <c r="AV15" s="348" t="e">
        <f>ABS(VLOOKUP(A15,TradesEquity!$1:$1048576,18,FALSE))</f>
        <v>#N/A</v>
      </c>
      <c r="AW15" s="100">
        <f t="shared" si="8"/>
        <v>0</v>
      </c>
      <c r="AX15" s="350">
        <f t="shared" si="9"/>
        <v>4542</v>
      </c>
      <c r="AY15" s="351" t="str">
        <f t="shared" si="10"/>
        <v>TIFA</v>
      </c>
      <c r="AZ15" s="352" t="e">
        <f>(VLOOKUP(A15,TradesEquity!$1:$1048576,29,FALSE))</f>
        <v>#N/A</v>
      </c>
      <c r="BA15" s="352" t="e">
        <f>(VLOOKUP(A15,TradesEquity!$1:$1048576,30,FALSE))</f>
        <v>#N/A</v>
      </c>
      <c r="BB15" s="352" t="e">
        <f>(VLOOKUP(A15,TradesEquity!$1:$1048576,31,FALSE))</f>
        <v>#N/A</v>
      </c>
      <c r="BC15" s="352" t="e">
        <f>(VLOOKUP(A15,TradesEquity!$1:$1048576,32,FALSE))</f>
        <v>#N/A</v>
      </c>
      <c r="BI15" s="375" t="e">
        <f>(VLOOKUP(A15,TradesEquity!$1:$1048576,38,FALSE))</f>
        <v>#N/A</v>
      </c>
      <c r="BJ15" s="375" t="e">
        <f>(VLOOKUP(A15,TradesEquity!$1:$1048576,39,FALSE))</f>
        <v>#N/A</v>
      </c>
      <c r="BK15" s="352" t="e">
        <f>(VLOOKUP(A15,TradesEquity!$1:$1048576,40,FALSE))</f>
        <v>#N/A</v>
      </c>
    </row>
    <row r="16" spans="1:65">
      <c r="D16" t="str">
        <f t="shared" si="2"/>
        <v>NEW</v>
      </c>
      <c r="F16" s="343" t="e">
        <f>VLOOKUP(A16,TradesEquity!$1:$1048576,2,FALSE)</f>
        <v>#N/A</v>
      </c>
      <c r="H16" s="343" t="e">
        <f>VLOOKUP(A16,TradesEquity!$1:$1048576,21,FALSE)</f>
        <v>#N/A</v>
      </c>
      <c r="I16" s="344" t="e">
        <f>IF(VLOOKUP(A16,TradesEquity!$1:$1048576,3,FALSE)="BUY","B","S")</f>
        <v>#N/A</v>
      </c>
      <c r="J16" s="344" t="e">
        <f>VLOOKUP(A16,TradesEquity!$1:$1048576,5,FALSE)</f>
        <v>#N/A</v>
      </c>
      <c r="K16" t="str">
        <f t="shared" si="3"/>
        <v>ISIN</v>
      </c>
      <c r="L16" t="str">
        <f t="shared" si="4"/>
        <v>EQT</v>
      </c>
      <c r="AE16" s="346" t="e">
        <f>VLOOKUP(A16,TradesEquity!$1:$1048576,10,FALSE)</f>
        <v>#N/A</v>
      </c>
      <c r="AF16" s="346" t="e">
        <f t="shared" si="5"/>
        <v>#N/A</v>
      </c>
      <c r="AG16" s="346" t="e">
        <f t="shared" si="5"/>
        <v>#N/A</v>
      </c>
      <c r="AH16" s="346" t="e">
        <f t="shared" si="5"/>
        <v>#N/A</v>
      </c>
      <c r="AI16" s="346" t="e">
        <f>ABS(VLOOKUP(A16,TradesEquity!$1:$1048576,13,FALSE))</f>
        <v>#N/A</v>
      </c>
      <c r="AJ16" s="100">
        <f t="shared" si="6"/>
        <v>0</v>
      </c>
      <c r="AK16" s="100">
        <f t="shared" si="7"/>
        <v>1</v>
      </c>
      <c r="AL16" s="346" t="e">
        <f>VLOOKUP(A16,TradesEquity!$1:$1048576,11,FALSE)</f>
        <v>#N/A</v>
      </c>
      <c r="AM16" s="100">
        <f t="shared" si="1"/>
        <v>1</v>
      </c>
      <c r="AN16" s="346" t="e">
        <f>ABS(VLOOKUP(A16,TradesEquity!$1:$1048576,14,FALSE))</f>
        <v>#N/A</v>
      </c>
      <c r="AO16" s="346" t="e">
        <f>ABS(VLOOKUP(A16,TradesEquity!$1:$1048576,15,FALSE))</f>
        <v>#N/A</v>
      </c>
      <c r="AP16" s="348" t="e">
        <f>ABS(VLOOKUP(A16,TradesEquity!$1:$1048576,16,FALSE))</f>
        <v>#N/A</v>
      </c>
      <c r="AV16" s="348" t="e">
        <f>ABS(VLOOKUP(A16,TradesEquity!$1:$1048576,18,FALSE))</f>
        <v>#N/A</v>
      </c>
      <c r="AW16" s="100">
        <f t="shared" si="8"/>
        <v>0</v>
      </c>
      <c r="AX16" s="350">
        <f t="shared" si="9"/>
        <v>4542</v>
      </c>
      <c r="AY16" s="351" t="str">
        <f t="shared" si="10"/>
        <v>TIFA</v>
      </c>
      <c r="AZ16" s="352" t="e">
        <f>(VLOOKUP(A16,TradesEquity!$1:$1048576,29,FALSE))</f>
        <v>#N/A</v>
      </c>
      <c r="BA16" s="352" t="e">
        <f>(VLOOKUP(A16,TradesEquity!$1:$1048576,30,FALSE))</f>
        <v>#N/A</v>
      </c>
      <c r="BB16" s="352" t="e">
        <f>(VLOOKUP(A16,TradesEquity!$1:$1048576,31,FALSE))</f>
        <v>#N/A</v>
      </c>
      <c r="BC16" s="352" t="e">
        <f>(VLOOKUP(A16,TradesEquity!$1:$1048576,32,FALSE))</f>
        <v>#N/A</v>
      </c>
      <c r="BI16" s="375" t="e">
        <f>(VLOOKUP(A16,TradesEquity!$1:$1048576,38,FALSE))</f>
        <v>#N/A</v>
      </c>
      <c r="BJ16" s="375" t="e">
        <f>(VLOOKUP(A16,TradesEquity!$1:$1048576,39,FALSE))</f>
        <v>#N/A</v>
      </c>
      <c r="BK16" s="352" t="e">
        <f>(VLOOKUP(A16,TradesEquity!$1:$1048576,40,FALSE))</f>
        <v>#N/A</v>
      </c>
    </row>
    <row r="19" spans="1:63">
      <c r="A19" s="378"/>
      <c r="D19" s="342" t="s">
        <v>1957</v>
      </c>
      <c r="K19" s="342" t="s">
        <v>19</v>
      </c>
      <c r="L19" s="345" t="s">
        <v>1958</v>
      </c>
      <c r="AE19" s="346"/>
      <c r="AF19" s="346"/>
      <c r="AG19" s="346"/>
      <c r="AH19" s="346"/>
      <c r="AI19" s="346"/>
      <c r="AJ19" s="347">
        <v>0</v>
      </c>
      <c r="AK19" s="347">
        <v>1</v>
      </c>
      <c r="AL19" s="346"/>
      <c r="AM19" s="347">
        <v>1</v>
      </c>
      <c r="AN19" s="346"/>
      <c r="AO19" s="346"/>
      <c r="AP19" s="348"/>
      <c r="AQ19" s="286">
        <v>0</v>
      </c>
      <c r="AR19" s="286">
        <v>0</v>
      </c>
      <c r="AS19" s="286">
        <v>0</v>
      </c>
      <c r="AT19" s="286">
        <v>0</v>
      </c>
      <c r="AU19" s="286">
        <v>0</v>
      </c>
      <c r="AV19" s="348" t="e">
        <f>ABS(VLOOKUP(A19,TradesEquity!$1:$1048576,18,FALSE))</f>
        <v>#N/A</v>
      </c>
      <c r="AW19" s="349">
        <v>0</v>
      </c>
      <c r="AX19" s="350">
        <v>4542</v>
      </c>
      <c r="AY19" s="351" t="s">
        <v>1959</v>
      </c>
      <c r="AZ19" s="352"/>
      <c r="BA19" s="352"/>
      <c r="BB19" s="352"/>
      <c r="BC19" s="352"/>
      <c r="BI19" s="375"/>
      <c r="BJ19" s="375"/>
      <c r="BK19" s="352"/>
    </row>
    <row r="20" spans="1:63">
      <c r="N20" s="462" t="s">
        <v>1678</v>
      </c>
      <c r="O20" s="462" t="s">
        <v>1679</v>
      </c>
    </row>
    <row r="21" spans="1:63">
      <c r="N21" s="318" t="s">
        <v>144</v>
      </c>
      <c r="O21" s="22" t="s">
        <v>144</v>
      </c>
    </row>
    <row r="22" spans="1:63">
      <c r="N22" s="318" t="s">
        <v>143</v>
      </c>
      <c r="O22" s="22" t="s">
        <v>143</v>
      </c>
    </row>
    <row r="23" spans="1:63">
      <c r="N23" s="318" t="s">
        <v>1681</v>
      </c>
      <c r="O23" s="22" t="s">
        <v>1682</v>
      </c>
    </row>
    <row r="24" spans="1:63">
      <c r="N24" s="318" t="s">
        <v>1683</v>
      </c>
      <c r="O24" s="22" t="s">
        <v>1684</v>
      </c>
    </row>
    <row r="25" spans="1:63">
      <c r="N25" s="318" t="s">
        <v>1685</v>
      </c>
      <c r="O25" s="319" t="s">
        <v>1686</v>
      </c>
    </row>
    <row r="26" spans="1:63">
      <c r="N26" s="318" t="s">
        <v>1687</v>
      </c>
      <c r="O26" s="22"/>
    </row>
    <row r="27" spans="1:63">
      <c r="N27" s="317" t="s">
        <v>1680</v>
      </c>
      <c r="O27" s="317" t="s">
        <v>1688</v>
      </c>
    </row>
    <row r="28" spans="1:63">
      <c r="N28" s="317" t="s">
        <v>2026</v>
      </c>
      <c r="O28" s="317" t="s">
        <v>2027</v>
      </c>
    </row>
    <row r="29" spans="1:63">
      <c r="N29" s="317" t="s">
        <v>12726</v>
      </c>
      <c r="O29" s="317" t="s">
        <v>12727</v>
      </c>
    </row>
    <row r="199" spans="4:63">
      <c r="D199" s="342" t="s">
        <v>1957</v>
      </c>
      <c r="F199" s="343" t="e">
        <f>VLOOKUP(A199,TradesEquity!$1:$1048576,2,FALSE)</f>
        <v>#N/A</v>
      </c>
      <c r="H199" s="343" t="e">
        <f>VLOOKUP(A199,TradesEquity!$1:$1048576,21,FALSE)</f>
        <v>#N/A</v>
      </c>
      <c r="I199" s="344" t="e">
        <f>IF(VLOOKUP(A199,TradesEquity!$1:$1048576,3,FALSE)="BUY","B","S")</f>
        <v>#N/A</v>
      </c>
      <c r="J199" s="344" t="e">
        <f>VLOOKUP(A199,TradesEquity!$1:$1048576,5,FALSE)</f>
        <v>#N/A</v>
      </c>
      <c r="K199" s="342" t="s">
        <v>19</v>
      </c>
      <c r="L199" s="345" t="s">
        <v>1958</v>
      </c>
      <c r="AE199" s="346" t="e">
        <f>VLOOKUP(A199,TradesEquity!$1:$1048576,10,FALSE)</f>
        <v>#N/A</v>
      </c>
      <c r="AF199" s="346" t="e">
        <f t="shared" ref="AF199:AF232" si="11">AE199</f>
        <v>#N/A</v>
      </c>
      <c r="AG199" s="346" t="e">
        <f t="shared" ref="AG199:AG232" si="12">AF199</f>
        <v>#N/A</v>
      </c>
      <c r="AH199" s="346" t="e">
        <f t="shared" ref="AH199:AH232" si="13">AG199</f>
        <v>#N/A</v>
      </c>
      <c r="AI199" s="346" t="e">
        <f>ABS(VLOOKUP(A199,TradesEquity!$1:$1048576,13,FALSE))</f>
        <v>#N/A</v>
      </c>
      <c r="AJ199" s="347">
        <v>0</v>
      </c>
      <c r="AK199" s="347">
        <v>1</v>
      </c>
      <c r="AL199" s="346" t="e">
        <f>VLOOKUP(A199,TradesEquity!$1:$1048576,11,FALSE)</f>
        <v>#N/A</v>
      </c>
      <c r="AM199" s="347">
        <v>1</v>
      </c>
      <c r="AN199" s="346" t="e">
        <f>ABS(VLOOKUP(A199,TradesEquity!$1:$1048576,14,FALSE))</f>
        <v>#N/A</v>
      </c>
      <c r="AO199" s="346" t="e">
        <f>ABS(VLOOKUP(A199,TradesEquity!$1:$1048576,15,FALSE))</f>
        <v>#N/A</v>
      </c>
      <c r="AP199" s="348" t="e">
        <f>ABS(VLOOKUP(A199,TradesEquity!$1:$1048576,16,FALSE))</f>
        <v>#N/A</v>
      </c>
      <c r="AQ199" s="286">
        <v>0</v>
      </c>
      <c r="AR199" s="286">
        <v>0</v>
      </c>
      <c r="AS199" s="286">
        <v>0</v>
      </c>
      <c r="AT199" s="286">
        <v>0</v>
      </c>
      <c r="AU199" s="286">
        <v>0</v>
      </c>
      <c r="AV199" s="348" t="e">
        <f>ABS(VLOOKUP(A199,TradesEquity!$1:$1048576,18,FALSE))</f>
        <v>#N/A</v>
      </c>
      <c r="AW199" s="349">
        <v>0</v>
      </c>
      <c r="AX199" s="350">
        <v>4542</v>
      </c>
      <c r="AY199" s="351" t="s">
        <v>1959</v>
      </c>
      <c r="AZ199" s="352" t="e">
        <f>(VLOOKUP(A199,TradesEquity!$1:$1048576,29,FALSE))</f>
        <v>#N/A</v>
      </c>
      <c r="BA199" s="352" t="e">
        <f>(VLOOKUP(A199,TradesEquity!$1:$1048576,30,FALSE))</f>
        <v>#N/A</v>
      </c>
      <c r="BB199" s="352" t="e">
        <f>(VLOOKUP(A199,TradesEquity!$1:$1048576,31,FALSE))</f>
        <v>#N/A</v>
      </c>
      <c r="BC199" s="352" t="e">
        <f>(VLOOKUP(A199,TradesEquity!$1:$1048576,32,FALSE))</f>
        <v>#N/A</v>
      </c>
      <c r="BI199" s="352" t="e">
        <f>(VLOOKUP(A199,TradesEquity!$1:$1048576,38,FALSE))</f>
        <v>#N/A</v>
      </c>
      <c r="BJ199" s="352" t="e">
        <f>(VLOOKUP(A199,TradesEquity!$1:$1048576,39,FALSE))</f>
        <v>#N/A</v>
      </c>
      <c r="BK199" s="352" t="e">
        <f>(VLOOKUP(A199,TradesEquity!$1:$1048576,40,FALSE))</f>
        <v>#N/A</v>
      </c>
    </row>
    <row r="200" spans="4:63">
      <c r="D200" s="342" t="s">
        <v>1957</v>
      </c>
      <c r="F200" s="343" t="e">
        <f>VLOOKUP(A200,TradesEquity!$1:$1048576,2,FALSE)</f>
        <v>#N/A</v>
      </c>
      <c r="H200" s="343" t="e">
        <f>VLOOKUP(A200,TradesEquity!$1:$1048576,21,FALSE)</f>
        <v>#N/A</v>
      </c>
      <c r="I200" s="344" t="e">
        <f>IF(VLOOKUP(A200,TradesEquity!$1:$1048576,3,FALSE)="BUY","B","S")</f>
        <v>#N/A</v>
      </c>
      <c r="J200" s="344" t="e">
        <f>VLOOKUP(A200,TradesEquity!$1:$1048576,5,FALSE)</f>
        <v>#N/A</v>
      </c>
      <c r="K200" s="342" t="s">
        <v>19</v>
      </c>
      <c r="L200" s="345" t="s">
        <v>1958</v>
      </c>
      <c r="AE200" s="346" t="e">
        <f>VLOOKUP(A200,TradesEquity!$1:$1048576,10,FALSE)</f>
        <v>#N/A</v>
      </c>
      <c r="AF200" s="346" t="e">
        <f t="shared" si="11"/>
        <v>#N/A</v>
      </c>
      <c r="AG200" s="346" t="e">
        <f t="shared" si="12"/>
        <v>#N/A</v>
      </c>
      <c r="AH200" s="346" t="e">
        <f t="shared" si="13"/>
        <v>#N/A</v>
      </c>
      <c r="AI200" s="346" t="e">
        <f>ABS(VLOOKUP(A200,TradesEquity!$1:$1048576,13,FALSE))</f>
        <v>#N/A</v>
      </c>
      <c r="AJ200" s="347">
        <v>0</v>
      </c>
      <c r="AK200" s="347">
        <v>1</v>
      </c>
      <c r="AL200" s="346" t="e">
        <f>VLOOKUP(A200,TradesEquity!$1:$1048576,11,FALSE)</f>
        <v>#N/A</v>
      </c>
      <c r="AM200" s="347">
        <v>1</v>
      </c>
      <c r="AN200" s="346" t="e">
        <f>ABS(VLOOKUP(A200,TradesEquity!$1:$1048576,14,FALSE))</f>
        <v>#N/A</v>
      </c>
      <c r="AO200" s="346" t="e">
        <f>ABS(VLOOKUP(A200,TradesEquity!$1:$1048576,15,FALSE))</f>
        <v>#N/A</v>
      </c>
      <c r="AP200" s="348" t="e">
        <f>ABS(VLOOKUP(A200,TradesEquity!$1:$1048576,16,FALSE))</f>
        <v>#N/A</v>
      </c>
      <c r="AQ200" s="286">
        <v>0</v>
      </c>
      <c r="AR200" s="286">
        <v>0</v>
      </c>
      <c r="AS200" s="286">
        <v>0</v>
      </c>
      <c r="AT200" s="286">
        <v>0</v>
      </c>
      <c r="AU200" s="286">
        <v>0</v>
      </c>
      <c r="AV200" s="348" t="e">
        <f>ABS(VLOOKUP(A200,TradesEquity!$1:$1048576,18,FALSE))</f>
        <v>#N/A</v>
      </c>
      <c r="AW200" s="349">
        <v>0</v>
      </c>
      <c r="AX200" s="350">
        <v>4542</v>
      </c>
      <c r="AY200" s="351" t="s">
        <v>1959</v>
      </c>
      <c r="AZ200" s="352" t="e">
        <f>(VLOOKUP(A200,TradesEquity!$1:$1048576,29,FALSE))</f>
        <v>#N/A</v>
      </c>
      <c r="BA200" s="352" t="e">
        <f>(VLOOKUP(A200,TradesEquity!$1:$1048576,30,FALSE))</f>
        <v>#N/A</v>
      </c>
      <c r="BB200" s="352" t="e">
        <f>(VLOOKUP(A200,TradesEquity!$1:$1048576,31,FALSE))</f>
        <v>#N/A</v>
      </c>
      <c r="BC200" s="352" t="e">
        <f>(VLOOKUP(A200,TradesEquity!$1:$1048576,32,FALSE))</f>
        <v>#N/A</v>
      </c>
      <c r="BI200" s="352" t="e">
        <f>(VLOOKUP(A200,TradesEquity!$1:$1048576,38,FALSE))</f>
        <v>#N/A</v>
      </c>
      <c r="BJ200" s="352" t="e">
        <f>(VLOOKUP(A200,TradesEquity!$1:$1048576,39,FALSE))</f>
        <v>#N/A</v>
      </c>
      <c r="BK200" s="352" t="e">
        <f>(VLOOKUP(A200,TradesEquity!$1:$1048576,40,FALSE))</f>
        <v>#N/A</v>
      </c>
    </row>
    <row r="201" spans="4:63">
      <c r="D201" s="342" t="s">
        <v>1957</v>
      </c>
      <c r="F201" s="343" t="e">
        <f>VLOOKUP(A201,TradesEquity!$1:$1048576,2,FALSE)</f>
        <v>#N/A</v>
      </c>
      <c r="H201" s="343" t="e">
        <f>VLOOKUP(A201,TradesEquity!$1:$1048576,21,FALSE)</f>
        <v>#N/A</v>
      </c>
      <c r="I201" s="344" t="e">
        <f>IF(VLOOKUP(A201,TradesEquity!$1:$1048576,3,FALSE)="BUY","B","S")</f>
        <v>#N/A</v>
      </c>
      <c r="J201" s="344" t="e">
        <f>VLOOKUP(A201,TradesEquity!$1:$1048576,5,FALSE)</f>
        <v>#N/A</v>
      </c>
      <c r="K201" s="342" t="s">
        <v>19</v>
      </c>
      <c r="L201" s="345" t="s">
        <v>1958</v>
      </c>
      <c r="AE201" s="346" t="e">
        <f>VLOOKUP(A201,TradesEquity!$1:$1048576,10,FALSE)</f>
        <v>#N/A</v>
      </c>
      <c r="AF201" s="346" t="e">
        <f t="shared" si="11"/>
        <v>#N/A</v>
      </c>
      <c r="AG201" s="346" t="e">
        <f t="shared" si="12"/>
        <v>#N/A</v>
      </c>
      <c r="AH201" s="346" t="e">
        <f t="shared" si="13"/>
        <v>#N/A</v>
      </c>
      <c r="AI201" s="346" t="e">
        <f>ABS(VLOOKUP(A201,TradesEquity!$1:$1048576,13,FALSE))</f>
        <v>#N/A</v>
      </c>
      <c r="AJ201" s="347">
        <v>0</v>
      </c>
      <c r="AK201" s="347">
        <v>1</v>
      </c>
      <c r="AL201" s="346" t="e">
        <f>VLOOKUP(A201,TradesEquity!$1:$1048576,11,FALSE)</f>
        <v>#N/A</v>
      </c>
      <c r="AM201" s="347">
        <v>1</v>
      </c>
      <c r="AN201" s="346" t="e">
        <f>ABS(VLOOKUP(A201,TradesEquity!$1:$1048576,14,FALSE))</f>
        <v>#N/A</v>
      </c>
      <c r="AO201" s="346" t="e">
        <f>ABS(VLOOKUP(A201,TradesEquity!$1:$1048576,15,FALSE))</f>
        <v>#N/A</v>
      </c>
      <c r="AP201" s="348" t="e">
        <f>ABS(VLOOKUP(A201,TradesEquity!$1:$1048576,16,FALSE))</f>
        <v>#N/A</v>
      </c>
      <c r="AQ201" s="286">
        <v>0</v>
      </c>
      <c r="AR201" s="286">
        <v>0</v>
      </c>
      <c r="AS201" s="286">
        <v>0</v>
      </c>
      <c r="AT201" s="286">
        <v>0</v>
      </c>
      <c r="AU201" s="286">
        <v>0</v>
      </c>
      <c r="AV201" s="348" t="e">
        <f>ABS(VLOOKUP(A201,TradesEquity!$1:$1048576,18,FALSE))</f>
        <v>#N/A</v>
      </c>
      <c r="AW201" s="349">
        <v>0</v>
      </c>
      <c r="AX201" s="350">
        <v>4542</v>
      </c>
      <c r="AY201" s="351" t="s">
        <v>1959</v>
      </c>
      <c r="AZ201" s="352" t="e">
        <f>(VLOOKUP(A201,TradesEquity!$1:$1048576,29,FALSE))</f>
        <v>#N/A</v>
      </c>
      <c r="BA201" s="352" t="e">
        <f>(VLOOKUP(A201,TradesEquity!$1:$1048576,30,FALSE))</f>
        <v>#N/A</v>
      </c>
      <c r="BB201" s="352" t="e">
        <f>(VLOOKUP(A201,TradesEquity!$1:$1048576,31,FALSE))</f>
        <v>#N/A</v>
      </c>
      <c r="BC201" s="352" t="e">
        <f>(VLOOKUP(A201,TradesEquity!$1:$1048576,32,FALSE))</f>
        <v>#N/A</v>
      </c>
      <c r="BI201" s="352" t="e">
        <f>(VLOOKUP(A201,TradesEquity!$1:$1048576,38,FALSE))</f>
        <v>#N/A</v>
      </c>
      <c r="BJ201" s="352" t="e">
        <f>(VLOOKUP(A201,TradesEquity!$1:$1048576,39,FALSE))</f>
        <v>#N/A</v>
      </c>
      <c r="BK201" s="352" t="e">
        <f>(VLOOKUP(A201,TradesEquity!$1:$1048576,40,FALSE))</f>
        <v>#N/A</v>
      </c>
    </row>
    <row r="202" spans="4:63">
      <c r="D202" s="342" t="s">
        <v>1957</v>
      </c>
      <c r="F202" s="343" t="e">
        <f>VLOOKUP(A202,TradesEquity!$1:$1048576,2,FALSE)</f>
        <v>#N/A</v>
      </c>
      <c r="H202" s="343" t="e">
        <f>VLOOKUP(A202,TradesEquity!$1:$1048576,21,FALSE)</f>
        <v>#N/A</v>
      </c>
      <c r="I202" s="344" t="e">
        <f>IF(VLOOKUP(A202,TradesEquity!$1:$1048576,3,FALSE)="BUY","B","S")</f>
        <v>#N/A</v>
      </c>
      <c r="J202" s="344" t="e">
        <f>VLOOKUP(A202,TradesEquity!$1:$1048576,5,FALSE)</f>
        <v>#N/A</v>
      </c>
      <c r="K202" s="342" t="s">
        <v>19</v>
      </c>
      <c r="L202" s="345" t="s">
        <v>1958</v>
      </c>
      <c r="AE202" s="346" t="e">
        <f>VLOOKUP(A202,TradesEquity!$1:$1048576,10,FALSE)</f>
        <v>#N/A</v>
      </c>
      <c r="AF202" s="346" t="e">
        <f t="shared" si="11"/>
        <v>#N/A</v>
      </c>
      <c r="AG202" s="346" t="e">
        <f t="shared" si="12"/>
        <v>#N/A</v>
      </c>
      <c r="AH202" s="346" t="e">
        <f t="shared" si="13"/>
        <v>#N/A</v>
      </c>
      <c r="AI202" s="346" t="e">
        <f>ABS(VLOOKUP(A202,TradesEquity!$1:$1048576,13,FALSE))</f>
        <v>#N/A</v>
      </c>
      <c r="AJ202" s="347">
        <v>0</v>
      </c>
      <c r="AK202" s="347">
        <v>1</v>
      </c>
      <c r="AL202" s="346" t="e">
        <f>VLOOKUP(A202,TradesEquity!$1:$1048576,11,FALSE)</f>
        <v>#N/A</v>
      </c>
      <c r="AM202" s="347">
        <v>1</v>
      </c>
      <c r="AN202" s="346" t="e">
        <f>ABS(VLOOKUP(A202,TradesEquity!$1:$1048576,14,FALSE))</f>
        <v>#N/A</v>
      </c>
      <c r="AO202" s="346" t="e">
        <f>ABS(VLOOKUP(A202,TradesEquity!$1:$1048576,15,FALSE))</f>
        <v>#N/A</v>
      </c>
      <c r="AP202" s="348" t="e">
        <f>ABS(VLOOKUP(A202,TradesEquity!$1:$1048576,16,FALSE))</f>
        <v>#N/A</v>
      </c>
      <c r="AQ202" s="286">
        <v>0</v>
      </c>
      <c r="AR202" s="286">
        <v>0</v>
      </c>
      <c r="AS202" s="286">
        <v>0</v>
      </c>
      <c r="AT202" s="286">
        <v>0</v>
      </c>
      <c r="AU202" s="286">
        <v>0</v>
      </c>
      <c r="AV202" s="348" t="e">
        <f>ABS(VLOOKUP(A202,TradesEquity!$1:$1048576,18,FALSE))</f>
        <v>#N/A</v>
      </c>
      <c r="AW202" s="349">
        <v>0</v>
      </c>
      <c r="AX202" s="350">
        <v>4542</v>
      </c>
      <c r="AY202" s="351" t="s">
        <v>1959</v>
      </c>
      <c r="AZ202" s="352" t="e">
        <f>(VLOOKUP(A202,TradesEquity!$1:$1048576,29,FALSE))</f>
        <v>#N/A</v>
      </c>
      <c r="BA202" s="352" t="e">
        <f>(VLOOKUP(A202,TradesEquity!$1:$1048576,30,FALSE))</f>
        <v>#N/A</v>
      </c>
      <c r="BB202" s="352" t="e">
        <f>(VLOOKUP(A202,TradesEquity!$1:$1048576,31,FALSE))</f>
        <v>#N/A</v>
      </c>
      <c r="BC202" s="352" t="e">
        <f>(VLOOKUP(A202,TradesEquity!$1:$1048576,32,FALSE))</f>
        <v>#N/A</v>
      </c>
      <c r="BI202" s="352" t="e">
        <f>(VLOOKUP(A202,TradesEquity!$1:$1048576,38,FALSE))</f>
        <v>#N/A</v>
      </c>
      <c r="BJ202" s="352" t="e">
        <f>(VLOOKUP(A202,TradesEquity!$1:$1048576,39,FALSE))</f>
        <v>#N/A</v>
      </c>
      <c r="BK202" s="352" t="e">
        <f>(VLOOKUP(A202,TradesEquity!$1:$1048576,40,FALSE))</f>
        <v>#N/A</v>
      </c>
    </row>
    <row r="203" spans="4:63">
      <c r="D203" s="342" t="s">
        <v>1957</v>
      </c>
      <c r="F203" s="343" t="e">
        <f>VLOOKUP(A203,TradesEquity!$1:$1048576,2,FALSE)</f>
        <v>#N/A</v>
      </c>
      <c r="H203" s="343" t="e">
        <f>VLOOKUP(A203,TradesEquity!$1:$1048576,21,FALSE)</f>
        <v>#N/A</v>
      </c>
      <c r="I203" s="344" t="e">
        <f>IF(VLOOKUP(A203,TradesEquity!$1:$1048576,3,FALSE)="BUY","B","S")</f>
        <v>#N/A</v>
      </c>
      <c r="J203" s="344" t="e">
        <f>VLOOKUP(A203,TradesEquity!$1:$1048576,5,FALSE)</f>
        <v>#N/A</v>
      </c>
      <c r="K203" s="342" t="s">
        <v>19</v>
      </c>
      <c r="L203" s="345" t="s">
        <v>1958</v>
      </c>
      <c r="AE203" s="346" t="e">
        <f>VLOOKUP(A203,TradesEquity!$1:$1048576,10,FALSE)</f>
        <v>#N/A</v>
      </c>
      <c r="AF203" s="346" t="e">
        <f t="shared" si="11"/>
        <v>#N/A</v>
      </c>
      <c r="AG203" s="346" t="e">
        <f t="shared" si="12"/>
        <v>#N/A</v>
      </c>
      <c r="AH203" s="346" t="e">
        <f t="shared" si="13"/>
        <v>#N/A</v>
      </c>
      <c r="AI203" s="346" t="e">
        <f>ABS(VLOOKUP(A203,TradesEquity!$1:$1048576,13,FALSE))</f>
        <v>#N/A</v>
      </c>
      <c r="AJ203" s="347">
        <v>0</v>
      </c>
      <c r="AK203" s="347">
        <v>1</v>
      </c>
      <c r="AL203" s="346" t="e">
        <f>VLOOKUP(A203,TradesEquity!$1:$1048576,11,FALSE)</f>
        <v>#N/A</v>
      </c>
      <c r="AM203" s="347">
        <v>1</v>
      </c>
      <c r="AN203" s="346" t="e">
        <f>ABS(VLOOKUP(A203,TradesEquity!$1:$1048576,14,FALSE))</f>
        <v>#N/A</v>
      </c>
      <c r="AO203" s="346" t="e">
        <f>ABS(VLOOKUP(A203,TradesEquity!$1:$1048576,15,FALSE))</f>
        <v>#N/A</v>
      </c>
      <c r="AP203" s="348" t="e">
        <f>ABS(VLOOKUP(A203,TradesEquity!$1:$1048576,16,FALSE))</f>
        <v>#N/A</v>
      </c>
      <c r="AQ203" s="286">
        <v>0</v>
      </c>
      <c r="AR203" s="286">
        <v>0</v>
      </c>
      <c r="AS203" s="286">
        <v>0</v>
      </c>
      <c r="AT203" s="286">
        <v>0</v>
      </c>
      <c r="AU203" s="286">
        <v>0</v>
      </c>
      <c r="AV203" s="348" t="e">
        <f>ABS(VLOOKUP(A203,TradesEquity!$1:$1048576,18,FALSE))</f>
        <v>#N/A</v>
      </c>
      <c r="AW203" s="349">
        <v>0</v>
      </c>
      <c r="AX203" s="350">
        <v>4542</v>
      </c>
      <c r="AY203" s="351" t="s">
        <v>1959</v>
      </c>
      <c r="AZ203" s="352" t="e">
        <f>(VLOOKUP(A203,TradesEquity!$1:$1048576,29,FALSE))</f>
        <v>#N/A</v>
      </c>
      <c r="BA203" s="352" t="e">
        <f>(VLOOKUP(A203,TradesEquity!$1:$1048576,30,FALSE))</f>
        <v>#N/A</v>
      </c>
      <c r="BB203" s="352" t="e">
        <f>(VLOOKUP(A203,TradesEquity!$1:$1048576,31,FALSE))</f>
        <v>#N/A</v>
      </c>
      <c r="BC203" s="352" t="e">
        <f>(VLOOKUP(A203,TradesEquity!$1:$1048576,32,FALSE))</f>
        <v>#N/A</v>
      </c>
      <c r="BI203" s="352" t="e">
        <f>(VLOOKUP(A203,TradesEquity!$1:$1048576,38,FALSE))</f>
        <v>#N/A</v>
      </c>
      <c r="BJ203" s="352" t="e">
        <f>(VLOOKUP(A203,TradesEquity!$1:$1048576,39,FALSE))</f>
        <v>#N/A</v>
      </c>
      <c r="BK203" s="352" t="e">
        <f>(VLOOKUP(A203,TradesEquity!$1:$1048576,40,FALSE))</f>
        <v>#N/A</v>
      </c>
    </row>
    <row r="204" spans="4:63">
      <c r="D204" s="342" t="s">
        <v>1957</v>
      </c>
      <c r="F204" s="343" t="e">
        <f>VLOOKUP(A204,TradesEquity!$1:$1048576,2,FALSE)</f>
        <v>#N/A</v>
      </c>
      <c r="H204" s="343" t="e">
        <f>VLOOKUP(A204,TradesEquity!$1:$1048576,21,FALSE)</f>
        <v>#N/A</v>
      </c>
      <c r="I204" s="344" t="e">
        <f>IF(VLOOKUP(A204,TradesEquity!$1:$1048576,3,FALSE)="BUY","B","S")</f>
        <v>#N/A</v>
      </c>
      <c r="J204" s="344" t="e">
        <f>VLOOKUP(A204,TradesEquity!$1:$1048576,5,FALSE)</f>
        <v>#N/A</v>
      </c>
      <c r="K204" s="342" t="s">
        <v>19</v>
      </c>
      <c r="L204" s="345" t="s">
        <v>1958</v>
      </c>
      <c r="AE204" s="346" t="e">
        <f>VLOOKUP(A204,TradesEquity!$1:$1048576,10,FALSE)</f>
        <v>#N/A</v>
      </c>
      <c r="AF204" s="346" t="e">
        <f t="shared" si="11"/>
        <v>#N/A</v>
      </c>
      <c r="AG204" s="346" t="e">
        <f t="shared" si="12"/>
        <v>#N/A</v>
      </c>
      <c r="AH204" s="346" t="e">
        <f t="shared" si="13"/>
        <v>#N/A</v>
      </c>
      <c r="AI204" s="346" t="e">
        <f>ABS(VLOOKUP(A204,TradesEquity!$1:$1048576,13,FALSE))</f>
        <v>#N/A</v>
      </c>
      <c r="AJ204" s="347">
        <v>0</v>
      </c>
      <c r="AK204" s="347">
        <v>1</v>
      </c>
      <c r="AL204" s="346" t="e">
        <f>VLOOKUP(A204,TradesEquity!$1:$1048576,11,FALSE)</f>
        <v>#N/A</v>
      </c>
      <c r="AM204" s="347">
        <v>1</v>
      </c>
      <c r="AN204" s="346" t="e">
        <f>ABS(VLOOKUP(A204,TradesEquity!$1:$1048576,14,FALSE))</f>
        <v>#N/A</v>
      </c>
      <c r="AO204" s="346" t="e">
        <f>ABS(VLOOKUP(A204,TradesEquity!$1:$1048576,15,FALSE))</f>
        <v>#N/A</v>
      </c>
      <c r="AP204" s="348" t="e">
        <f>ABS(VLOOKUP(A204,TradesEquity!$1:$1048576,16,FALSE))</f>
        <v>#N/A</v>
      </c>
      <c r="AQ204" s="286">
        <v>0</v>
      </c>
      <c r="AR204" s="286">
        <v>0</v>
      </c>
      <c r="AS204" s="286">
        <v>0</v>
      </c>
      <c r="AT204" s="286">
        <v>0</v>
      </c>
      <c r="AU204" s="286">
        <v>0</v>
      </c>
      <c r="AV204" s="348" t="e">
        <f>ABS(VLOOKUP(A204,TradesEquity!$1:$1048576,18,FALSE))</f>
        <v>#N/A</v>
      </c>
      <c r="AW204" s="349">
        <v>0</v>
      </c>
      <c r="AX204" s="350">
        <v>4542</v>
      </c>
      <c r="AY204" s="351" t="s">
        <v>1959</v>
      </c>
      <c r="AZ204" s="352" t="e">
        <f>(VLOOKUP(A204,TradesEquity!$1:$1048576,29,FALSE))</f>
        <v>#N/A</v>
      </c>
      <c r="BA204" s="352" t="e">
        <f>(VLOOKUP(A204,TradesEquity!$1:$1048576,30,FALSE))</f>
        <v>#N/A</v>
      </c>
      <c r="BB204" s="352" t="e">
        <f>(VLOOKUP(A204,TradesEquity!$1:$1048576,31,FALSE))</f>
        <v>#N/A</v>
      </c>
      <c r="BC204" s="352" t="e">
        <f>(VLOOKUP(A204,TradesEquity!$1:$1048576,32,FALSE))</f>
        <v>#N/A</v>
      </c>
      <c r="BI204" s="352" t="e">
        <f>(VLOOKUP(A204,TradesEquity!$1:$1048576,38,FALSE))</f>
        <v>#N/A</v>
      </c>
      <c r="BJ204" s="352" t="e">
        <f>(VLOOKUP(A204,TradesEquity!$1:$1048576,39,FALSE))</f>
        <v>#N/A</v>
      </c>
      <c r="BK204" s="352" t="e">
        <f>(VLOOKUP(A204,TradesEquity!$1:$1048576,40,FALSE))</f>
        <v>#N/A</v>
      </c>
    </row>
    <row r="205" spans="4:63">
      <c r="D205" s="342" t="s">
        <v>1957</v>
      </c>
      <c r="F205" s="343" t="e">
        <f>VLOOKUP(A205,TradesEquity!$1:$1048576,2,FALSE)</f>
        <v>#N/A</v>
      </c>
      <c r="H205" s="343" t="e">
        <f>VLOOKUP(A205,TradesEquity!$1:$1048576,21,FALSE)</f>
        <v>#N/A</v>
      </c>
      <c r="I205" s="344" t="e">
        <f>IF(VLOOKUP(A205,TradesEquity!$1:$1048576,3,FALSE)="BUY","B","S")</f>
        <v>#N/A</v>
      </c>
      <c r="J205" s="344" t="e">
        <f>VLOOKUP(A205,TradesEquity!$1:$1048576,5,FALSE)</f>
        <v>#N/A</v>
      </c>
      <c r="K205" s="342" t="s">
        <v>19</v>
      </c>
      <c r="L205" s="345" t="s">
        <v>1958</v>
      </c>
      <c r="AE205" s="346" t="e">
        <f>VLOOKUP(A205,TradesEquity!$1:$1048576,10,FALSE)</f>
        <v>#N/A</v>
      </c>
      <c r="AF205" s="346" t="e">
        <f t="shared" si="11"/>
        <v>#N/A</v>
      </c>
      <c r="AG205" s="346" t="e">
        <f t="shared" si="12"/>
        <v>#N/A</v>
      </c>
      <c r="AH205" s="346" t="e">
        <f t="shared" si="13"/>
        <v>#N/A</v>
      </c>
      <c r="AI205" s="346" t="e">
        <f>ABS(VLOOKUP(A205,TradesEquity!$1:$1048576,13,FALSE))</f>
        <v>#N/A</v>
      </c>
      <c r="AJ205" s="347">
        <v>0</v>
      </c>
      <c r="AK205" s="347">
        <v>1</v>
      </c>
      <c r="AL205" s="346" t="e">
        <f>VLOOKUP(A205,TradesEquity!$1:$1048576,11,FALSE)</f>
        <v>#N/A</v>
      </c>
      <c r="AM205" s="347">
        <v>1</v>
      </c>
      <c r="AN205" s="346" t="e">
        <f>ABS(VLOOKUP(A205,TradesEquity!$1:$1048576,14,FALSE))</f>
        <v>#N/A</v>
      </c>
      <c r="AO205" s="346" t="e">
        <f>ABS(VLOOKUP(A205,TradesEquity!$1:$1048576,15,FALSE))</f>
        <v>#N/A</v>
      </c>
      <c r="AP205" s="348" t="e">
        <f>ABS(VLOOKUP(A205,TradesEquity!$1:$1048576,16,FALSE))</f>
        <v>#N/A</v>
      </c>
      <c r="AQ205" s="286">
        <v>0</v>
      </c>
      <c r="AR205" s="286">
        <v>0</v>
      </c>
      <c r="AS205" s="286">
        <v>0</v>
      </c>
      <c r="AT205" s="286">
        <v>0</v>
      </c>
      <c r="AU205" s="286">
        <v>0</v>
      </c>
      <c r="AV205" s="348" t="e">
        <f>ABS(VLOOKUP(A205,TradesEquity!$1:$1048576,18,FALSE))</f>
        <v>#N/A</v>
      </c>
      <c r="AW205" s="349">
        <v>0</v>
      </c>
      <c r="AX205" s="350">
        <v>4542</v>
      </c>
      <c r="AY205" s="351" t="s">
        <v>1959</v>
      </c>
      <c r="AZ205" s="352" t="e">
        <f>(VLOOKUP(A205,TradesEquity!$1:$1048576,29,FALSE))</f>
        <v>#N/A</v>
      </c>
      <c r="BA205" s="352" t="e">
        <f>(VLOOKUP(A205,TradesEquity!$1:$1048576,30,FALSE))</f>
        <v>#N/A</v>
      </c>
      <c r="BB205" s="352" t="e">
        <f>(VLOOKUP(A205,TradesEquity!$1:$1048576,31,FALSE))</f>
        <v>#N/A</v>
      </c>
      <c r="BC205" s="352" t="e">
        <f>(VLOOKUP(A205,TradesEquity!$1:$1048576,32,FALSE))</f>
        <v>#N/A</v>
      </c>
      <c r="BI205" s="352" t="e">
        <f>(VLOOKUP(A205,TradesEquity!$1:$1048576,38,FALSE))</f>
        <v>#N/A</v>
      </c>
      <c r="BJ205" s="352" t="e">
        <f>(VLOOKUP(A205,TradesEquity!$1:$1048576,39,FALSE))</f>
        <v>#N/A</v>
      </c>
      <c r="BK205" s="352" t="e">
        <f>(VLOOKUP(A205,TradesEquity!$1:$1048576,40,FALSE))</f>
        <v>#N/A</v>
      </c>
    </row>
    <row r="206" spans="4:63">
      <c r="D206" s="342" t="s">
        <v>1957</v>
      </c>
      <c r="F206" s="343" t="e">
        <f>VLOOKUP(A206,TradesEquity!$1:$1048576,2,FALSE)</f>
        <v>#N/A</v>
      </c>
      <c r="H206" s="343" t="e">
        <f>VLOOKUP(A206,TradesEquity!$1:$1048576,21,FALSE)</f>
        <v>#N/A</v>
      </c>
      <c r="I206" s="344" t="e">
        <f>IF(VLOOKUP(A206,TradesEquity!$1:$1048576,3,FALSE)="BUY","B","S")</f>
        <v>#N/A</v>
      </c>
      <c r="J206" s="344" t="e">
        <f>VLOOKUP(A206,TradesEquity!$1:$1048576,5,FALSE)</f>
        <v>#N/A</v>
      </c>
      <c r="K206" s="342" t="s">
        <v>19</v>
      </c>
      <c r="L206" s="345" t="s">
        <v>1958</v>
      </c>
      <c r="AE206" s="346" t="e">
        <f>VLOOKUP(A206,TradesEquity!$1:$1048576,10,FALSE)</f>
        <v>#N/A</v>
      </c>
      <c r="AF206" s="346" t="e">
        <f t="shared" si="11"/>
        <v>#N/A</v>
      </c>
      <c r="AG206" s="346" t="e">
        <f t="shared" si="12"/>
        <v>#N/A</v>
      </c>
      <c r="AH206" s="346" t="e">
        <f t="shared" si="13"/>
        <v>#N/A</v>
      </c>
      <c r="AI206" s="346" t="e">
        <f>ABS(VLOOKUP(A206,TradesEquity!$1:$1048576,13,FALSE))</f>
        <v>#N/A</v>
      </c>
      <c r="AJ206" s="347">
        <v>0</v>
      </c>
      <c r="AK206" s="347">
        <v>1</v>
      </c>
      <c r="AL206" s="346" t="e">
        <f>VLOOKUP(A206,TradesEquity!$1:$1048576,11,FALSE)</f>
        <v>#N/A</v>
      </c>
      <c r="AM206" s="347">
        <v>1</v>
      </c>
      <c r="AN206" s="346" t="e">
        <f>ABS(VLOOKUP(A206,TradesEquity!$1:$1048576,14,FALSE))</f>
        <v>#N/A</v>
      </c>
      <c r="AO206" s="346" t="e">
        <f>ABS(VLOOKUP(A206,TradesEquity!$1:$1048576,15,FALSE))</f>
        <v>#N/A</v>
      </c>
      <c r="AP206" s="348" t="e">
        <f>ABS(VLOOKUP(A206,TradesEquity!$1:$1048576,16,FALSE))</f>
        <v>#N/A</v>
      </c>
      <c r="AQ206" s="286">
        <v>0</v>
      </c>
      <c r="AR206" s="286">
        <v>0</v>
      </c>
      <c r="AS206" s="286">
        <v>0</v>
      </c>
      <c r="AT206" s="286">
        <v>0</v>
      </c>
      <c r="AU206" s="286">
        <v>0</v>
      </c>
      <c r="AV206" s="348" t="e">
        <f>ABS(VLOOKUP(A206,TradesEquity!$1:$1048576,18,FALSE))</f>
        <v>#N/A</v>
      </c>
      <c r="AW206" s="349">
        <v>0</v>
      </c>
      <c r="AX206" s="350">
        <v>4542</v>
      </c>
      <c r="AY206" s="351" t="s">
        <v>1959</v>
      </c>
      <c r="AZ206" s="352" t="e">
        <f>(VLOOKUP(A206,TradesEquity!$1:$1048576,29,FALSE))</f>
        <v>#N/A</v>
      </c>
      <c r="BA206" s="352" t="e">
        <f>(VLOOKUP(A206,TradesEquity!$1:$1048576,30,FALSE))</f>
        <v>#N/A</v>
      </c>
      <c r="BB206" s="352" t="e">
        <f>(VLOOKUP(A206,TradesEquity!$1:$1048576,31,FALSE))</f>
        <v>#N/A</v>
      </c>
      <c r="BC206" s="352" t="e">
        <f>(VLOOKUP(A206,TradesEquity!$1:$1048576,32,FALSE))</f>
        <v>#N/A</v>
      </c>
      <c r="BI206" s="352" t="e">
        <f>(VLOOKUP(A206,TradesEquity!$1:$1048576,38,FALSE))</f>
        <v>#N/A</v>
      </c>
      <c r="BJ206" s="352" t="e">
        <f>(VLOOKUP(A206,TradesEquity!$1:$1048576,39,FALSE))</f>
        <v>#N/A</v>
      </c>
      <c r="BK206" s="352" t="e">
        <f>(VLOOKUP(A206,TradesEquity!$1:$1048576,40,FALSE))</f>
        <v>#N/A</v>
      </c>
    </row>
    <row r="207" spans="4:63">
      <c r="D207" s="342" t="s">
        <v>1957</v>
      </c>
      <c r="F207" s="343" t="e">
        <f>VLOOKUP(A207,TradesEquity!$1:$1048576,2,FALSE)</f>
        <v>#N/A</v>
      </c>
      <c r="H207" s="343" t="e">
        <f>VLOOKUP(A207,TradesEquity!$1:$1048576,21,FALSE)</f>
        <v>#N/A</v>
      </c>
      <c r="I207" s="344" t="e">
        <f>IF(VLOOKUP(A207,TradesEquity!$1:$1048576,3,FALSE)="BUY","B","S")</f>
        <v>#N/A</v>
      </c>
      <c r="J207" s="344" t="e">
        <f>VLOOKUP(A207,TradesEquity!$1:$1048576,5,FALSE)</f>
        <v>#N/A</v>
      </c>
      <c r="K207" s="342" t="s">
        <v>19</v>
      </c>
      <c r="L207" s="345" t="s">
        <v>1958</v>
      </c>
      <c r="AE207" s="346" t="e">
        <f>VLOOKUP(A207,TradesEquity!$1:$1048576,10,FALSE)</f>
        <v>#N/A</v>
      </c>
      <c r="AF207" s="346" t="e">
        <f t="shared" si="11"/>
        <v>#N/A</v>
      </c>
      <c r="AG207" s="346" t="e">
        <f t="shared" si="12"/>
        <v>#N/A</v>
      </c>
      <c r="AH207" s="346" t="e">
        <f t="shared" si="13"/>
        <v>#N/A</v>
      </c>
      <c r="AI207" s="346" t="e">
        <f>ABS(VLOOKUP(A207,TradesEquity!$1:$1048576,13,FALSE))</f>
        <v>#N/A</v>
      </c>
      <c r="AJ207" s="347">
        <v>0</v>
      </c>
      <c r="AK207" s="347">
        <v>1</v>
      </c>
      <c r="AL207" s="346" t="e">
        <f>VLOOKUP(A207,TradesEquity!$1:$1048576,11,FALSE)</f>
        <v>#N/A</v>
      </c>
      <c r="AM207" s="347">
        <v>1</v>
      </c>
      <c r="AN207" s="346" t="e">
        <f>ABS(VLOOKUP(A207,TradesEquity!$1:$1048576,14,FALSE))</f>
        <v>#N/A</v>
      </c>
      <c r="AO207" s="346" t="e">
        <f>ABS(VLOOKUP(A207,TradesEquity!$1:$1048576,15,FALSE))</f>
        <v>#N/A</v>
      </c>
      <c r="AP207" s="348" t="e">
        <f>ABS(VLOOKUP(A207,TradesEquity!$1:$1048576,16,FALSE))</f>
        <v>#N/A</v>
      </c>
      <c r="AQ207" s="286">
        <v>0</v>
      </c>
      <c r="AR207" s="286">
        <v>0</v>
      </c>
      <c r="AS207" s="286">
        <v>0</v>
      </c>
      <c r="AT207" s="286">
        <v>0</v>
      </c>
      <c r="AU207" s="286">
        <v>0</v>
      </c>
      <c r="AV207" s="348" t="e">
        <f>ABS(VLOOKUP(A207,TradesEquity!$1:$1048576,18,FALSE))</f>
        <v>#N/A</v>
      </c>
      <c r="AW207" s="349">
        <v>0</v>
      </c>
      <c r="AX207" s="350">
        <v>4542</v>
      </c>
      <c r="AY207" s="351" t="s">
        <v>1959</v>
      </c>
      <c r="AZ207" s="352" t="e">
        <f>(VLOOKUP(A207,TradesEquity!$1:$1048576,29,FALSE))</f>
        <v>#N/A</v>
      </c>
      <c r="BA207" s="352" t="e">
        <f>(VLOOKUP(A207,TradesEquity!$1:$1048576,30,FALSE))</f>
        <v>#N/A</v>
      </c>
      <c r="BB207" s="352" t="e">
        <f>(VLOOKUP(A207,TradesEquity!$1:$1048576,31,FALSE))</f>
        <v>#N/A</v>
      </c>
      <c r="BC207" s="352" t="e">
        <f>(VLOOKUP(A207,TradesEquity!$1:$1048576,32,FALSE))</f>
        <v>#N/A</v>
      </c>
      <c r="BI207" s="352" t="e">
        <f>(VLOOKUP(A207,TradesEquity!$1:$1048576,38,FALSE))</f>
        <v>#N/A</v>
      </c>
      <c r="BJ207" s="352" t="e">
        <f>(VLOOKUP(A207,TradesEquity!$1:$1048576,39,FALSE))</f>
        <v>#N/A</v>
      </c>
      <c r="BK207" s="352" t="e">
        <f>(VLOOKUP(A207,TradesEquity!$1:$1048576,40,FALSE))</f>
        <v>#N/A</v>
      </c>
    </row>
    <row r="208" spans="4:63">
      <c r="D208" s="342" t="s">
        <v>1957</v>
      </c>
      <c r="F208" s="343" t="e">
        <f>VLOOKUP(A208,TradesEquity!$1:$1048576,2,FALSE)</f>
        <v>#N/A</v>
      </c>
      <c r="H208" s="343" t="e">
        <f>VLOOKUP(A208,TradesEquity!$1:$1048576,21,FALSE)</f>
        <v>#N/A</v>
      </c>
      <c r="I208" s="344" t="e">
        <f>IF(VLOOKUP(A208,TradesEquity!$1:$1048576,3,FALSE)="BUY","B","S")</f>
        <v>#N/A</v>
      </c>
      <c r="J208" s="344" t="e">
        <f>VLOOKUP(A208,TradesEquity!$1:$1048576,5,FALSE)</f>
        <v>#N/A</v>
      </c>
      <c r="K208" s="342" t="s">
        <v>19</v>
      </c>
      <c r="L208" s="345" t="s">
        <v>1958</v>
      </c>
      <c r="AE208" s="346" t="e">
        <f>VLOOKUP(A208,TradesEquity!$1:$1048576,10,FALSE)</f>
        <v>#N/A</v>
      </c>
      <c r="AF208" s="346" t="e">
        <f t="shared" si="11"/>
        <v>#N/A</v>
      </c>
      <c r="AG208" s="346" t="e">
        <f t="shared" si="12"/>
        <v>#N/A</v>
      </c>
      <c r="AH208" s="346" t="e">
        <f t="shared" si="13"/>
        <v>#N/A</v>
      </c>
      <c r="AI208" s="346" t="e">
        <f>ABS(VLOOKUP(A208,TradesEquity!$1:$1048576,13,FALSE))</f>
        <v>#N/A</v>
      </c>
      <c r="AJ208" s="347">
        <v>0</v>
      </c>
      <c r="AK208" s="347">
        <v>1</v>
      </c>
      <c r="AL208" s="346" t="e">
        <f>VLOOKUP(A208,TradesEquity!$1:$1048576,11,FALSE)</f>
        <v>#N/A</v>
      </c>
      <c r="AM208" s="347">
        <v>1</v>
      </c>
      <c r="AN208" s="346" t="e">
        <f>ABS(VLOOKUP(A208,TradesEquity!$1:$1048576,14,FALSE))</f>
        <v>#N/A</v>
      </c>
      <c r="AO208" s="346" t="e">
        <f>ABS(VLOOKUP(A208,TradesEquity!$1:$1048576,15,FALSE))</f>
        <v>#N/A</v>
      </c>
      <c r="AP208" s="348" t="e">
        <f>ABS(VLOOKUP(A208,TradesEquity!$1:$1048576,16,FALSE))</f>
        <v>#N/A</v>
      </c>
      <c r="AQ208" s="286">
        <v>0</v>
      </c>
      <c r="AR208" s="286">
        <v>0</v>
      </c>
      <c r="AS208" s="286">
        <v>0</v>
      </c>
      <c r="AT208" s="286">
        <v>0</v>
      </c>
      <c r="AU208" s="286">
        <v>0</v>
      </c>
      <c r="AV208" s="348" t="e">
        <f>ABS(VLOOKUP(A208,TradesEquity!$1:$1048576,18,FALSE))</f>
        <v>#N/A</v>
      </c>
      <c r="AW208" s="349">
        <v>0</v>
      </c>
      <c r="AX208" s="350">
        <v>4542</v>
      </c>
      <c r="AY208" s="351" t="s">
        <v>1959</v>
      </c>
      <c r="AZ208" s="352" t="e">
        <f>(VLOOKUP(A208,TradesEquity!$1:$1048576,29,FALSE))</f>
        <v>#N/A</v>
      </c>
      <c r="BA208" s="352" t="e">
        <f>(VLOOKUP(A208,TradesEquity!$1:$1048576,30,FALSE))</f>
        <v>#N/A</v>
      </c>
      <c r="BB208" s="352" t="e">
        <f>(VLOOKUP(A208,TradesEquity!$1:$1048576,31,FALSE))</f>
        <v>#N/A</v>
      </c>
      <c r="BC208" s="352" t="e">
        <f>(VLOOKUP(A208,TradesEquity!$1:$1048576,32,FALSE))</f>
        <v>#N/A</v>
      </c>
      <c r="BI208" s="352" t="e">
        <f>(VLOOKUP(A208,TradesEquity!$1:$1048576,38,FALSE))</f>
        <v>#N/A</v>
      </c>
      <c r="BJ208" s="352" t="e">
        <f>(VLOOKUP(A208,TradesEquity!$1:$1048576,39,FALSE))</f>
        <v>#N/A</v>
      </c>
      <c r="BK208" s="352" t="e">
        <f>(VLOOKUP(A208,TradesEquity!$1:$1048576,40,FALSE))</f>
        <v>#N/A</v>
      </c>
    </row>
    <row r="209" spans="4:63">
      <c r="D209" s="342" t="s">
        <v>1957</v>
      </c>
      <c r="F209" s="343" t="e">
        <f>VLOOKUP(A209,TradesEquity!$1:$1048576,2,FALSE)</f>
        <v>#N/A</v>
      </c>
      <c r="H209" s="343" t="e">
        <f>VLOOKUP(A209,TradesEquity!$1:$1048576,21,FALSE)</f>
        <v>#N/A</v>
      </c>
      <c r="I209" s="344" t="e">
        <f>IF(VLOOKUP(A209,TradesEquity!$1:$1048576,3,FALSE)="BUY","B","S")</f>
        <v>#N/A</v>
      </c>
      <c r="J209" s="344" t="e">
        <f>VLOOKUP(A209,TradesEquity!$1:$1048576,5,FALSE)</f>
        <v>#N/A</v>
      </c>
      <c r="K209" s="342" t="s">
        <v>19</v>
      </c>
      <c r="L209" s="345" t="s">
        <v>1958</v>
      </c>
      <c r="AE209" s="346" t="e">
        <f>VLOOKUP(A209,TradesEquity!$1:$1048576,10,FALSE)</f>
        <v>#N/A</v>
      </c>
      <c r="AF209" s="346" t="e">
        <f t="shared" si="11"/>
        <v>#N/A</v>
      </c>
      <c r="AG209" s="346" t="e">
        <f t="shared" si="12"/>
        <v>#N/A</v>
      </c>
      <c r="AH209" s="346" t="e">
        <f t="shared" si="13"/>
        <v>#N/A</v>
      </c>
      <c r="AI209" s="346" t="e">
        <f>ABS(VLOOKUP(A209,TradesEquity!$1:$1048576,13,FALSE))</f>
        <v>#N/A</v>
      </c>
      <c r="AJ209" s="347">
        <v>0</v>
      </c>
      <c r="AK209" s="347">
        <v>1</v>
      </c>
      <c r="AL209" s="346" t="e">
        <f>VLOOKUP(A209,TradesEquity!$1:$1048576,11,FALSE)</f>
        <v>#N/A</v>
      </c>
      <c r="AM209" s="347">
        <v>1</v>
      </c>
      <c r="AN209" s="346" t="e">
        <f>ABS(VLOOKUP(A209,TradesEquity!$1:$1048576,14,FALSE))</f>
        <v>#N/A</v>
      </c>
      <c r="AO209" s="346" t="e">
        <f>ABS(VLOOKUP(A209,TradesEquity!$1:$1048576,15,FALSE))</f>
        <v>#N/A</v>
      </c>
      <c r="AP209" s="348" t="e">
        <f>ABS(VLOOKUP(A209,TradesEquity!$1:$1048576,16,FALSE))</f>
        <v>#N/A</v>
      </c>
      <c r="AQ209" s="286">
        <v>0</v>
      </c>
      <c r="AR209" s="286">
        <v>0</v>
      </c>
      <c r="AS209" s="286">
        <v>0</v>
      </c>
      <c r="AT209" s="286">
        <v>0</v>
      </c>
      <c r="AU209" s="286">
        <v>0</v>
      </c>
      <c r="AV209" s="348" t="e">
        <f>ABS(VLOOKUP(A209,TradesEquity!$1:$1048576,18,FALSE))</f>
        <v>#N/A</v>
      </c>
      <c r="AW209" s="349">
        <v>0</v>
      </c>
      <c r="AX209" s="350">
        <v>4542</v>
      </c>
      <c r="AY209" s="351" t="s">
        <v>1959</v>
      </c>
      <c r="AZ209" s="352" t="e">
        <f>(VLOOKUP(A209,TradesEquity!$1:$1048576,29,FALSE))</f>
        <v>#N/A</v>
      </c>
      <c r="BA209" s="352" t="e">
        <f>(VLOOKUP(A209,TradesEquity!$1:$1048576,30,FALSE))</f>
        <v>#N/A</v>
      </c>
      <c r="BB209" s="352" t="e">
        <f>(VLOOKUP(A209,TradesEquity!$1:$1048576,31,FALSE))</f>
        <v>#N/A</v>
      </c>
      <c r="BC209" s="352" t="e">
        <f>(VLOOKUP(A209,TradesEquity!$1:$1048576,32,FALSE))</f>
        <v>#N/A</v>
      </c>
      <c r="BI209" s="352" t="e">
        <f>(VLOOKUP(A209,TradesEquity!$1:$1048576,38,FALSE))</f>
        <v>#N/A</v>
      </c>
      <c r="BJ209" s="352" t="e">
        <f>(VLOOKUP(A209,TradesEquity!$1:$1048576,39,FALSE))</f>
        <v>#N/A</v>
      </c>
      <c r="BK209" s="352" t="e">
        <f>(VLOOKUP(A209,TradesEquity!$1:$1048576,40,FALSE))</f>
        <v>#N/A</v>
      </c>
    </row>
    <row r="210" spans="4:63">
      <c r="D210" s="342" t="s">
        <v>1957</v>
      </c>
      <c r="F210" s="343" t="e">
        <f>VLOOKUP(A210,TradesEquity!$1:$1048576,2,FALSE)</f>
        <v>#N/A</v>
      </c>
      <c r="H210" s="343" t="e">
        <f>VLOOKUP(A210,TradesEquity!$1:$1048576,21,FALSE)</f>
        <v>#N/A</v>
      </c>
      <c r="I210" s="344" t="e">
        <f>IF(VLOOKUP(A210,TradesEquity!$1:$1048576,3,FALSE)="BUY","B","S")</f>
        <v>#N/A</v>
      </c>
      <c r="J210" s="344" t="e">
        <f>VLOOKUP(A210,TradesEquity!$1:$1048576,5,FALSE)</f>
        <v>#N/A</v>
      </c>
      <c r="K210" s="342" t="s">
        <v>19</v>
      </c>
      <c r="L210" s="345" t="s">
        <v>1958</v>
      </c>
      <c r="AE210" s="346" t="e">
        <f>VLOOKUP(A210,TradesEquity!$1:$1048576,10,FALSE)</f>
        <v>#N/A</v>
      </c>
      <c r="AF210" s="346" t="e">
        <f t="shared" si="11"/>
        <v>#N/A</v>
      </c>
      <c r="AG210" s="346" t="e">
        <f t="shared" si="12"/>
        <v>#N/A</v>
      </c>
      <c r="AH210" s="346" t="e">
        <f t="shared" si="13"/>
        <v>#N/A</v>
      </c>
      <c r="AI210" s="346" t="e">
        <f>ABS(VLOOKUP(A210,TradesEquity!$1:$1048576,13,FALSE))</f>
        <v>#N/A</v>
      </c>
      <c r="AJ210" s="347">
        <v>0</v>
      </c>
      <c r="AK210" s="347">
        <v>1</v>
      </c>
      <c r="AL210" s="346" t="e">
        <f>VLOOKUP(A210,TradesEquity!$1:$1048576,11,FALSE)</f>
        <v>#N/A</v>
      </c>
      <c r="AM210" s="347">
        <v>1</v>
      </c>
      <c r="AN210" s="346" t="e">
        <f>ABS(VLOOKUP(A210,TradesEquity!$1:$1048576,14,FALSE))</f>
        <v>#N/A</v>
      </c>
      <c r="AO210" s="346" t="e">
        <f>ABS(VLOOKUP(A210,TradesEquity!$1:$1048576,15,FALSE))</f>
        <v>#N/A</v>
      </c>
      <c r="AP210" s="348" t="e">
        <f>ABS(VLOOKUP(A210,TradesEquity!$1:$1048576,16,FALSE))</f>
        <v>#N/A</v>
      </c>
      <c r="AQ210" s="286">
        <v>0</v>
      </c>
      <c r="AR210" s="286">
        <v>0</v>
      </c>
      <c r="AS210" s="286">
        <v>0</v>
      </c>
      <c r="AT210" s="286">
        <v>0</v>
      </c>
      <c r="AU210" s="286">
        <v>0</v>
      </c>
      <c r="AV210" s="348" t="e">
        <f>ABS(VLOOKUP(A210,TradesEquity!$1:$1048576,18,FALSE))</f>
        <v>#N/A</v>
      </c>
      <c r="AW210" s="349">
        <v>0</v>
      </c>
      <c r="AX210" s="350">
        <v>4542</v>
      </c>
      <c r="AY210" s="351" t="s">
        <v>1959</v>
      </c>
      <c r="AZ210" s="352" t="e">
        <f>(VLOOKUP(A210,TradesEquity!$1:$1048576,29,FALSE))</f>
        <v>#N/A</v>
      </c>
      <c r="BA210" s="352" t="e">
        <f>(VLOOKUP(A210,TradesEquity!$1:$1048576,30,FALSE))</f>
        <v>#N/A</v>
      </c>
      <c r="BB210" s="352" t="e">
        <f>(VLOOKUP(A210,TradesEquity!$1:$1048576,31,FALSE))</f>
        <v>#N/A</v>
      </c>
      <c r="BC210" s="352" t="e">
        <f>(VLOOKUP(A210,TradesEquity!$1:$1048576,32,FALSE))</f>
        <v>#N/A</v>
      </c>
      <c r="BI210" s="352" t="e">
        <f>(VLOOKUP(A210,TradesEquity!$1:$1048576,38,FALSE))</f>
        <v>#N/A</v>
      </c>
      <c r="BJ210" s="352" t="e">
        <f>(VLOOKUP(A210,TradesEquity!$1:$1048576,39,FALSE))</f>
        <v>#N/A</v>
      </c>
      <c r="BK210" s="352" t="e">
        <f>(VLOOKUP(A210,TradesEquity!$1:$1048576,40,FALSE))</f>
        <v>#N/A</v>
      </c>
    </row>
    <row r="211" spans="4:63">
      <c r="D211" s="342" t="s">
        <v>1957</v>
      </c>
      <c r="F211" s="343" t="e">
        <f>VLOOKUP(A211,TradesEquity!$1:$1048576,2,FALSE)</f>
        <v>#N/A</v>
      </c>
      <c r="H211" s="343" t="e">
        <f>VLOOKUP(A211,TradesEquity!$1:$1048576,21,FALSE)</f>
        <v>#N/A</v>
      </c>
      <c r="I211" s="344" t="e">
        <f>IF(VLOOKUP(A211,TradesEquity!$1:$1048576,3,FALSE)="BUY","B","S")</f>
        <v>#N/A</v>
      </c>
      <c r="J211" s="344" t="e">
        <f>VLOOKUP(A211,TradesEquity!$1:$1048576,5,FALSE)</f>
        <v>#N/A</v>
      </c>
      <c r="K211" s="342" t="s">
        <v>19</v>
      </c>
      <c r="L211" s="345" t="s">
        <v>1958</v>
      </c>
      <c r="AE211" s="346" t="e">
        <f>VLOOKUP(A211,TradesEquity!$1:$1048576,10,FALSE)</f>
        <v>#N/A</v>
      </c>
      <c r="AF211" s="346" t="e">
        <f t="shared" si="11"/>
        <v>#N/A</v>
      </c>
      <c r="AG211" s="346" t="e">
        <f t="shared" si="12"/>
        <v>#N/A</v>
      </c>
      <c r="AH211" s="346" t="e">
        <f t="shared" si="13"/>
        <v>#N/A</v>
      </c>
      <c r="AI211" s="346" t="e">
        <f>ABS(VLOOKUP(A211,TradesEquity!$1:$1048576,13,FALSE))</f>
        <v>#N/A</v>
      </c>
      <c r="AJ211" s="347">
        <v>0</v>
      </c>
      <c r="AK211" s="347">
        <v>1</v>
      </c>
      <c r="AL211" s="346" t="e">
        <f>VLOOKUP(A211,TradesEquity!$1:$1048576,11,FALSE)</f>
        <v>#N/A</v>
      </c>
      <c r="AM211" s="347">
        <v>1</v>
      </c>
      <c r="AN211" s="346" t="e">
        <f>ABS(VLOOKUP(A211,TradesEquity!$1:$1048576,14,FALSE))</f>
        <v>#N/A</v>
      </c>
      <c r="AO211" s="346" t="e">
        <f>ABS(VLOOKUP(A211,TradesEquity!$1:$1048576,15,FALSE))</f>
        <v>#N/A</v>
      </c>
      <c r="AP211" s="348" t="e">
        <f>ABS(VLOOKUP(A211,TradesEquity!$1:$1048576,16,FALSE))</f>
        <v>#N/A</v>
      </c>
      <c r="AQ211" s="286">
        <v>0</v>
      </c>
      <c r="AR211" s="286">
        <v>0</v>
      </c>
      <c r="AS211" s="286">
        <v>0</v>
      </c>
      <c r="AT211" s="286">
        <v>0</v>
      </c>
      <c r="AU211" s="286">
        <v>0</v>
      </c>
      <c r="AV211" s="348" t="e">
        <f>ABS(VLOOKUP(A211,TradesEquity!$1:$1048576,18,FALSE))</f>
        <v>#N/A</v>
      </c>
      <c r="AW211" s="349">
        <v>0</v>
      </c>
      <c r="AX211" s="350">
        <v>4542</v>
      </c>
      <c r="AY211" s="351" t="s">
        <v>1959</v>
      </c>
      <c r="AZ211" s="352" t="e">
        <f>(VLOOKUP(A211,TradesEquity!$1:$1048576,29,FALSE))</f>
        <v>#N/A</v>
      </c>
      <c r="BA211" s="352" t="e">
        <f>(VLOOKUP(A211,TradesEquity!$1:$1048576,30,FALSE))</f>
        <v>#N/A</v>
      </c>
      <c r="BB211" s="352" t="e">
        <f>(VLOOKUP(A211,TradesEquity!$1:$1048576,31,FALSE))</f>
        <v>#N/A</v>
      </c>
      <c r="BC211" s="352" t="e">
        <f>(VLOOKUP(A211,TradesEquity!$1:$1048576,32,FALSE))</f>
        <v>#N/A</v>
      </c>
      <c r="BI211" s="352" t="e">
        <f>(VLOOKUP(A211,TradesEquity!$1:$1048576,38,FALSE))</f>
        <v>#N/A</v>
      </c>
      <c r="BJ211" s="352" t="e">
        <f>(VLOOKUP(A211,TradesEquity!$1:$1048576,39,FALSE))</f>
        <v>#N/A</v>
      </c>
      <c r="BK211" s="352" t="e">
        <f>(VLOOKUP(A211,TradesEquity!$1:$1048576,40,FALSE))</f>
        <v>#N/A</v>
      </c>
    </row>
    <row r="212" spans="4:63">
      <c r="D212" s="342" t="s">
        <v>1957</v>
      </c>
      <c r="F212" s="343" t="e">
        <f>VLOOKUP(A212,TradesEquity!$1:$1048576,2,FALSE)</f>
        <v>#N/A</v>
      </c>
      <c r="H212" s="343" t="e">
        <f>VLOOKUP(A212,TradesEquity!$1:$1048576,21,FALSE)</f>
        <v>#N/A</v>
      </c>
      <c r="I212" s="344" t="e">
        <f>IF(VLOOKUP(A212,TradesEquity!$1:$1048576,3,FALSE)="BUY","B","S")</f>
        <v>#N/A</v>
      </c>
      <c r="J212" s="344" t="e">
        <f>VLOOKUP(A212,TradesEquity!$1:$1048576,5,FALSE)</f>
        <v>#N/A</v>
      </c>
      <c r="K212" s="342" t="s">
        <v>19</v>
      </c>
      <c r="L212" s="345" t="s">
        <v>1958</v>
      </c>
      <c r="AE212" s="346" t="e">
        <f>VLOOKUP(A212,TradesEquity!$1:$1048576,10,FALSE)</f>
        <v>#N/A</v>
      </c>
      <c r="AF212" s="346" t="e">
        <f t="shared" si="11"/>
        <v>#N/A</v>
      </c>
      <c r="AG212" s="346" t="e">
        <f t="shared" si="12"/>
        <v>#N/A</v>
      </c>
      <c r="AH212" s="346" t="e">
        <f t="shared" si="13"/>
        <v>#N/A</v>
      </c>
      <c r="AI212" s="346" t="e">
        <f>ABS(VLOOKUP(A212,TradesEquity!$1:$1048576,13,FALSE))</f>
        <v>#N/A</v>
      </c>
      <c r="AJ212" s="347">
        <v>0</v>
      </c>
      <c r="AK212" s="347">
        <v>1</v>
      </c>
      <c r="AL212" s="346" t="e">
        <f>VLOOKUP(A212,TradesEquity!$1:$1048576,11,FALSE)</f>
        <v>#N/A</v>
      </c>
      <c r="AM212" s="347">
        <v>1</v>
      </c>
      <c r="AN212" s="346" t="e">
        <f>ABS(VLOOKUP(A212,TradesEquity!$1:$1048576,14,FALSE))</f>
        <v>#N/A</v>
      </c>
      <c r="AO212" s="346" t="e">
        <f>ABS(VLOOKUP(A212,TradesEquity!$1:$1048576,15,FALSE))</f>
        <v>#N/A</v>
      </c>
      <c r="AP212" s="348" t="e">
        <f>ABS(VLOOKUP(A212,TradesEquity!$1:$1048576,16,FALSE))</f>
        <v>#N/A</v>
      </c>
      <c r="AQ212" s="286">
        <v>0</v>
      </c>
      <c r="AR212" s="286">
        <v>0</v>
      </c>
      <c r="AS212" s="286">
        <v>0</v>
      </c>
      <c r="AT212" s="286">
        <v>0</v>
      </c>
      <c r="AU212" s="286">
        <v>0</v>
      </c>
      <c r="AV212" s="348" t="e">
        <f>ABS(VLOOKUP(A212,TradesEquity!$1:$1048576,18,FALSE))</f>
        <v>#N/A</v>
      </c>
      <c r="AW212" s="349">
        <v>0</v>
      </c>
      <c r="AX212" s="350">
        <v>4542</v>
      </c>
      <c r="AY212" s="351" t="s">
        <v>1959</v>
      </c>
      <c r="AZ212" s="352" t="e">
        <f>(VLOOKUP(A212,TradesEquity!$1:$1048576,29,FALSE))</f>
        <v>#N/A</v>
      </c>
      <c r="BA212" s="352" t="e">
        <f>(VLOOKUP(A212,TradesEquity!$1:$1048576,30,FALSE))</f>
        <v>#N/A</v>
      </c>
      <c r="BB212" s="352" t="e">
        <f>(VLOOKUP(A212,TradesEquity!$1:$1048576,31,FALSE))</f>
        <v>#N/A</v>
      </c>
      <c r="BC212" s="352" t="e">
        <f>(VLOOKUP(A212,TradesEquity!$1:$1048576,32,FALSE))</f>
        <v>#N/A</v>
      </c>
      <c r="BI212" s="352" t="e">
        <f>(VLOOKUP(A212,TradesEquity!$1:$1048576,38,FALSE))</f>
        <v>#N/A</v>
      </c>
      <c r="BJ212" s="352" t="e">
        <f>(VLOOKUP(A212,TradesEquity!$1:$1048576,39,FALSE))</f>
        <v>#N/A</v>
      </c>
      <c r="BK212" s="352" t="e">
        <f>(VLOOKUP(A212,TradesEquity!$1:$1048576,40,FALSE))</f>
        <v>#N/A</v>
      </c>
    </row>
    <row r="213" spans="4:63">
      <c r="D213" s="342" t="s">
        <v>1957</v>
      </c>
      <c r="F213" s="343" t="e">
        <f>VLOOKUP(A213,TradesEquity!$1:$1048576,2,FALSE)</f>
        <v>#N/A</v>
      </c>
      <c r="H213" s="343" t="e">
        <f>VLOOKUP(A213,TradesEquity!$1:$1048576,21,FALSE)</f>
        <v>#N/A</v>
      </c>
      <c r="I213" s="344" t="e">
        <f>IF(VLOOKUP(A213,TradesEquity!$1:$1048576,3,FALSE)="BUY","B","S")</f>
        <v>#N/A</v>
      </c>
      <c r="J213" s="344" t="e">
        <f>VLOOKUP(A213,TradesEquity!$1:$1048576,5,FALSE)</f>
        <v>#N/A</v>
      </c>
      <c r="K213" s="342" t="s">
        <v>19</v>
      </c>
      <c r="L213" s="345" t="s">
        <v>1958</v>
      </c>
      <c r="AE213" s="346" t="e">
        <f>VLOOKUP(A213,TradesEquity!$1:$1048576,10,FALSE)</f>
        <v>#N/A</v>
      </c>
      <c r="AF213" s="346" t="e">
        <f t="shared" si="11"/>
        <v>#N/A</v>
      </c>
      <c r="AG213" s="346" t="e">
        <f t="shared" si="12"/>
        <v>#N/A</v>
      </c>
      <c r="AH213" s="346" t="e">
        <f t="shared" si="13"/>
        <v>#N/A</v>
      </c>
      <c r="AI213" s="346" t="e">
        <f>ABS(VLOOKUP(A213,TradesEquity!$1:$1048576,13,FALSE))</f>
        <v>#N/A</v>
      </c>
      <c r="AJ213" s="347">
        <v>0</v>
      </c>
      <c r="AK213" s="347">
        <v>1</v>
      </c>
      <c r="AL213" s="346" t="e">
        <f>VLOOKUP(A213,TradesEquity!$1:$1048576,11,FALSE)</f>
        <v>#N/A</v>
      </c>
      <c r="AM213" s="347">
        <v>1</v>
      </c>
      <c r="AN213" s="346" t="e">
        <f>ABS(VLOOKUP(A213,TradesEquity!$1:$1048576,14,FALSE))</f>
        <v>#N/A</v>
      </c>
      <c r="AO213" s="346" t="e">
        <f>ABS(VLOOKUP(A213,TradesEquity!$1:$1048576,15,FALSE))</f>
        <v>#N/A</v>
      </c>
      <c r="AP213" s="348" t="e">
        <f>ABS(VLOOKUP(A213,TradesEquity!$1:$1048576,16,FALSE))</f>
        <v>#N/A</v>
      </c>
      <c r="AQ213" s="286">
        <v>0</v>
      </c>
      <c r="AR213" s="286">
        <v>0</v>
      </c>
      <c r="AS213" s="286">
        <v>0</v>
      </c>
      <c r="AT213" s="286">
        <v>0</v>
      </c>
      <c r="AU213" s="286">
        <v>0</v>
      </c>
      <c r="AV213" s="348" t="e">
        <f>ABS(VLOOKUP(A213,TradesEquity!$1:$1048576,18,FALSE))</f>
        <v>#N/A</v>
      </c>
      <c r="AW213" s="349">
        <v>0</v>
      </c>
      <c r="AX213" s="350">
        <v>4542</v>
      </c>
      <c r="AY213" s="351" t="s">
        <v>1959</v>
      </c>
      <c r="AZ213" s="352" t="e">
        <f>(VLOOKUP(A213,TradesEquity!$1:$1048576,29,FALSE))</f>
        <v>#N/A</v>
      </c>
      <c r="BA213" s="352" t="e">
        <f>(VLOOKUP(A213,TradesEquity!$1:$1048576,30,FALSE))</f>
        <v>#N/A</v>
      </c>
      <c r="BB213" s="352" t="e">
        <f>(VLOOKUP(A213,TradesEquity!$1:$1048576,31,FALSE))</f>
        <v>#N/A</v>
      </c>
      <c r="BC213" s="352" t="e">
        <f>(VLOOKUP(A213,TradesEquity!$1:$1048576,32,FALSE))</f>
        <v>#N/A</v>
      </c>
      <c r="BI213" s="352" t="e">
        <f>(VLOOKUP(A213,TradesEquity!$1:$1048576,38,FALSE))</f>
        <v>#N/A</v>
      </c>
      <c r="BJ213" s="352" t="e">
        <f>(VLOOKUP(A213,TradesEquity!$1:$1048576,39,FALSE))</f>
        <v>#N/A</v>
      </c>
      <c r="BK213" s="352" t="e">
        <f>(VLOOKUP(A213,TradesEquity!$1:$1048576,40,FALSE))</f>
        <v>#N/A</v>
      </c>
    </row>
    <row r="214" spans="4:63">
      <c r="D214" s="342" t="s">
        <v>1957</v>
      </c>
      <c r="F214" s="343" t="e">
        <f>VLOOKUP(A214,TradesEquity!$1:$1048576,2,FALSE)</f>
        <v>#N/A</v>
      </c>
      <c r="H214" s="343" t="e">
        <f>VLOOKUP(A214,TradesEquity!$1:$1048576,21,FALSE)</f>
        <v>#N/A</v>
      </c>
      <c r="I214" s="344" t="e">
        <f>IF(VLOOKUP(A214,TradesEquity!$1:$1048576,3,FALSE)="BUY","B","S")</f>
        <v>#N/A</v>
      </c>
      <c r="J214" s="344" t="e">
        <f>VLOOKUP(A214,TradesEquity!$1:$1048576,5,FALSE)</f>
        <v>#N/A</v>
      </c>
      <c r="K214" s="342" t="s">
        <v>19</v>
      </c>
      <c r="L214" s="345" t="s">
        <v>1958</v>
      </c>
      <c r="AE214" s="346" t="e">
        <f>VLOOKUP(A214,TradesEquity!$1:$1048576,10,FALSE)</f>
        <v>#N/A</v>
      </c>
      <c r="AF214" s="346" t="e">
        <f t="shared" si="11"/>
        <v>#N/A</v>
      </c>
      <c r="AG214" s="346" t="e">
        <f t="shared" si="12"/>
        <v>#N/A</v>
      </c>
      <c r="AH214" s="346" t="e">
        <f t="shared" si="13"/>
        <v>#N/A</v>
      </c>
      <c r="AI214" s="346" t="e">
        <f>ABS(VLOOKUP(A214,TradesEquity!$1:$1048576,13,FALSE))</f>
        <v>#N/A</v>
      </c>
      <c r="AJ214" s="347">
        <v>0</v>
      </c>
      <c r="AK214" s="347">
        <v>1</v>
      </c>
      <c r="AL214" s="346" t="e">
        <f>VLOOKUP(A214,TradesEquity!$1:$1048576,11,FALSE)</f>
        <v>#N/A</v>
      </c>
      <c r="AM214" s="347">
        <v>1</v>
      </c>
      <c r="AN214" s="346" t="e">
        <f>ABS(VLOOKUP(A214,TradesEquity!$1:$1048576,14,FALSE))</f>
        <v>#N/A</v>
      </c>
      <c r="AO214" s="346" t="e">
        <f>ABS(VLOOKUP(A214,TradesEquity!$1:$1048576,15,FALSE))</f>
        <v>#N/A</v>
      </c>
      <c r="AP214" s="348" t="e">
        <f>ABS(VLOOKUP(A214,TradesEquity!$1:$1048576,16,FALSE))</f>
        <v>#N/A</v>
      </c>
      <c r="AQ214" s="286">
        <v>0</v>
      </c>
      <c r="AR214" s="286">
        <v>0</v>
      </c>
      <c r="AS214" s="286">
        <v>0</v>
      </c>
      <c r="AT214" s="286">
        <v>0</v>
      </c>
      <c r="AU214" s="286">
        <v>0</v>
      </c>
      <c r="AV214" s="348" t="e">
        <f>ABS(VLOOKUP(A214,TradesEquity!$1:$1048576,18,FALSE))</f>
        <v>#N/A</v>
      </c>
      <c r="AW214" s="349">
        <v>0</v>
      </c>
      <c r="AX214" s="350">
        <v>4542</v>
      </c>
      <c r="AY214" s="351" t="s">
        <v>1959</v>
      </c>
      <c r="AZ214" s="352" t="e">
        <f>(VLOOKUP(A214,TradesEquity!$1:$1048576,29,FALSE))</f>
        <v>#N/A</v>
      </c>
      <c r="BA214" s="352" t="e">
        <f>(VLOOKUP(A214,TradesEquity!$1:$1048576,30,FALSE))</f>
        <v>#N/A</v>
      </c>
      <c r="BB214" s="352" t="e">
        <f>(VLOOKUP(A214,TradesEquity!$1:$1048576,31,FALSE))</f>
        <v>#N/A</v>
      </c>
      <c r="BC214" s="352" t="e">
        <f>(VLOOKUP(A214,TradesEquity!$1:$1048576,32,FALSE))</f>
        <v>#N/A</v>
      </c>
      <c r="BI214" s="352" t="e">
        <f>(VLOOKUP(A214,TradesEquity!$1:$1048576,38,FALSE))</f>
        <v>#N/A</v>
      </c>
      <c r="BJ214" s="352" t="e">
        <f>(VLOOKUP(A214,TradesEquity!$1:$1048576,39,FALSE))</f>
        <v>#N/A</v>
      </c>
      <c r="BK214" s="352" t="e">
        <f>(VLOOKUP(A214,TradesEquity!$1:$1048576,40,FALSE))</f>
        <v>#N/A</v>
      </c>
    </row>
    <row r="215" spans="4:63">
      <c r="D215" s="342" t="s">
        <v>1957</v>
      </c>
      <c r="F215" s="343" t="e">
        <f>VLOOKUP(A215,TradesEquity!$1:$1048576,2,FALSE)</f>
        <v>#N/A</v>
      </c>
      <c r="H215" s="343" t="e">
        <f>VLOOKUP(A215,TradesEquity!$1:$1048576,21,FALSE)</f>
        <v>#N/A</v>
      </c>
      <c r="I215" s="344" t="e">
        <f>IF(VLOOKUP(A215,TradesEquity!$1:$1048576,3,FALSE)="BUY","B","S")</f>
        <v>#N/A</v>
      </c>
      <c r="J215" s="344" t="e">
        <f>VLOOKUP(A215,TradesEquity!$1:$1048576,5,FALSE)</f>
        <v>#N/A</v>
      </c>
      <c r="K215" s="342" t="s">
        <v>19</v>
      </c>
      <c r="L215" s="345" t="s">
        <v>1958</v>
      </c>
      <c r="AE215" s="346" t="e">
        <f>VLOOKUP(A215,TradesEquity!$1:$1048576,10,FALSE)</f>
        <v>#N/A</v>
      </c>
      <c r="AF215" s="346" t="e">
        <f t="shared" si="11"/>
        <v>#N/A</v>
      </c>
      <c r="AG215" s="346" t="e">
        <f t="shared" si="12"/>
        <v>#N/A</v>
      </c>
      <c r="AH215" s="346" t="e">
        <f t="shared" si="13"/>
        <v>#N/A</v>
      </c>
      <c r="AI215" s="346" t="e">
        <f>ABS(VLOOKUP(A215,TradesEquity!$1:$1048576,13,FALSE))</f>
        <v>#N/A</v>
      </c>
      <c r="AJ215" s="347">
        <v>0</v>
      </c>
      <c r="AK215" s="347">
        <v>1</v>
      </c>
      <c r="AL215" s="346" t="e">
        <f>VLOOKUP(A215,TradesEquity!$1:$1048576,11,FALSE)</f>
        <v>#N/A</v>
      </c>
      <c r="AM215" s="347">
        <v>1</v>
      </c>
      <c r="AN215" s="346" t="e">
        <f>ABS(VLOOKUP(A215,TradesEquity!$1:$1048576,14,FALSE))</f>
        <v>#N/A</v>
      </c>
      <c r="AO215" s="346" t="e">
        <f>ABS(VLOOKUP(A215,TradesEquity!$1:$1048576,15,FALSE))</f>
        <v>#N/A</v>
      </c>
      <c r="AP215" s="348" t="e">
        <f>ABS(VLOOKUP(A215,TradesEquity!$1:$1048576,16,FALSE))</f>
        <v>#N/A</v>
      </c>
      <c r="AQ215" s="286">
        <v>0</v>
      </c>
      <c r="AR215" s="286">
        <v>0</v>
      </c>
      <c r="AS215" s="286">
        <v>0</v>
      </c>
      <c r="AT215" s="286">
        <v>0</v>
      </c>
      <c r="AU215" s="286">
        <v>0</v>
      </c>
      <c r="AV215" s="348" t="e">
        <f>ABS(VLOOKUP(A215,TradesEquity!$1:$1048576,18,FALSE))</f>
        <v>#N/A</v>
      </c>
      <c r="AW215" s="349">
        <v>0</v>
      </c>
      <c r="AX215" s="350">
        <v>4542</v>
      </c>
      <c r="AY215" s="351" t="s">
        <v>1959</v>
      </c>
      <c r="AZ215" s="352" t="e">
        <f>(VLOOKUP(A215,TradesEquity!$1:$1048576,29,FALSE))</f>
        <v>#N/A</v>
      </c>
      <c r="BA215" s="352" t="e">
        <f>(VLOOKUP(A215,TradesEquity!$1:$1048576,30,FALSE))</f>
        <v>#N/A</v>
      </c>
      <c r="BB215" s="352" t="e">
        <f>(VLOOKUP(A215,TradesEquity!$1:$1048576,31,FALSE))</f>
        <v>#N/A</v>
      </c>
      <c r="BC215" s="352" t="e">
        <f>(VLOOKUP(A215,TradesEquity!$1:$1048576,32,FALSE))</f>
        <v>#N/A</v>
      </c>
      <c r="BI215" s="352" t="e">
        <f>(VLOOKUP(A215,TradesEquity!$1:$1048576,38,FALSE))</f>
        <v>#N/A</v>
      </c>
      <c r="BJ215" s="352" t="e">
        <f>(VLOOKUP(A215,TradesEquity!$1:$1048576,39,FALSE))</f>
        <v>#N/A</v>
      </c>
      <c r="BK215" s="352" t="e">
        <f>(VLOOKUP(A215,TradesEquity!$1:$1048576,40,FALSE))</f>
        <v>#N/A</v>
      </c>
    </row>
    <row r="216" spans="4:63">
      <c r="D216" s="342" t="s">
        <v>1957</v>
      </c>
      <c r="F216" s="343" t="e">
        <f>VLOOKUP(A216,TradesEquity!$1:$1048576,2,FALSE)</f>
        <v>#N/A</v>
      </c>
      <c r="H216" s="343" t="e">
        <f>VLOOKUP(A216,TradesEquity!$1:$1048576,21,FALSE)</f>
        <v>#N/A</v>
      </c>
      <c r="I216" s="344" t="e">
        <f>IF(VLOOKUP(A216,TradesEquity!$1:$1048576,3,FALSE)="BUY","B","S")</f>
        <v>#N/A</v>
      </c>
      <c r="J216" s="344" t="e">
        <f>VLOOKUP(A216,TradesEquity!$1:$1048576,5,FALSE)</f>
        <v>#N/A</v>
      </c>
      <c r="K216" s="342" t="s">
        <v>19</v>
      </c>
      <c r="L216" s="345" t="s">
        <v>1958</v>
      </c>
      <c r="AE216" s="346" t="e">
        <f>VLOOKUP(A216,TradesEquity!$1:$1048576,10,FALSE)</f>
        <v>#N/A</v>
      </c>
      <c r="AF216" s="346" t="e">
        <f t="shared" si="11"/>
        <v>#N/A</v>
      </c>
      <c r="AG216" s="346" t="e">
        <f t="shared" si="12"/>
        <v>#N/A</v>
      </c>
      <c r="AH216" s="346" t="e">
        <f t="shared" si="13"/>
        <v>#N/A</v>
      </c>
      <c r="AI216" s="346" t="e">
        <f>ABS(VLOOKUP(A216,TradesEquity!$1:$1048576,13,FALSE))</f>
        <v>#N/A</v>
      </c>
      <c r="AJ216" s="347">
        <v>0</v>
      </c>
      <c r="AK216" s="347">
        <v>1</v>
      </c>
      <c r="AL216" s="346" t="e">
        <f>VLOOKUP(A216,TradesEquity!$1:$1048576,11,FALSE)</f>
        <v>#N/A</v>
      </c>
      <c r="AM216" s="347">
        <v>1</v>
      </c>
      <c r="AN216" s="346" t="e">
        <f>ABS(VLOOKUP(A216,TradesEquity!$1:$1048576,14,FALSE))</f>
        <v>#N/A</v>
      </c>
      <c r="AO216" s="346" t="e">
        <f>ABS(VLOOKUP(A216,TradesEquity!$1:$1048576,15,FALSE))</f>
        <v>#N/A</v>
      </c>
      <c r="AP216" s="348" t="e">
        <f>ABS(VLOOKUP(A216,TradesEquity!$1:$1048576,16,FALSE))</f>
        <v>#N/A</v>
      </c>
      <c r="AQ216" s="286">
        <v>0</v>
      </c>
      <c r="AR216" s="286">
        <v>0</v>
      </c>
      <c r="AS216" s="286">
        <v>0</v>
      </c>
      <c r="AT216" s="286">
        <v>0</v>
      </c>
      <c r="AU216" s="286">
        <v>0</v>
      </c>
      <c r="AV216" s="348" t="e">
        <f>ABS(VLOOKUP(A216,TradesEquity!$1:$1048576,18,FALSE))</f>
        <v>#N/A</v>
      </c>
      <c r="AW216" s="349">
        <v>0</v>
      </c>
      <c r="AX216" s="350">
        <v>4542</v>
      </c>
      <c r="AY216" s="351" t="s">
        <v>1959</v>
      </c>
      <c r="AZ216" s="352" t="e">
        <f>(VLOOKUP(A216,TradesEquity!$1:$1048576,29,FALSE))</f>
        <v>#N/A</v>
      </c>
      <c r="BA216" s="352" t="e">
        <f>(VLOOKUP(A216,TradesEquity!$1:$1048576,30,FALSE))</f>
        <v>#N/A</v>
      </c>
      <c r="BB216" s="352" t="e">
        <f>(VLOOKUP(A216,TradesEquity!$1:$1048576,31,FALSE))</f>
        <v>#N/A</v>
      </c>
      <c r="BC216" s="352" t="e">
        <f>(VLOOKUP(A216,TradesEquity!$1:$1048576,32,FALSE))</f>
        <v>#N/A</v>
      </c>
      <c r="BI216" s="352" t="e">
        <f>(VLOOKUP(A216,TradesEquity!$1:$1048576,38,FALSE))</f>
        <v>#N/A</v>
      </c>
      <c r="BJ216" s="352" t="e">
        <f>(VLOOKUP(A216,TradesEquity!$1:$1048576,39,FALSE))</f>
        <v>#N/A</v>
      </c>
      <c r="BK216" s="352" t="e">
        <f>(VLOOKUP(A216,TradesEquity!$1:$1048576,40,FALSE))</f>
        <v>#N/A</v>
      </c>
    </row>
    <row r="217" spans="4:63">
      <c r="D217" s="342" t="s">
        <v>1957</v>
      </c>
      <c r="F217" s="343" t="e">
        <f>VLOOKUP(A217,TradesEquity!$1:$1048576,2,FALSE)</f>
        <v>#N/A</v>
      </c>
      <c r="H217" s="343" t="e">
        <f>VLOOKUP(A217,TradesEquity!$1:$1048576,21,FALSE)</f>
        <v>#N/A</v>
      </c>
      <c r="I217" s="344" t="e">
        <f>IF(VLOOKUP(A217,TradesEquity!$1:$1048576,3,FALSE)="BUY","B","S")</f>
        <v>#N/A</v>
      </c>
      <c r="J217" s="344" t="e">
        <f>VLOOKUP(A217,TradesEquity!$1:$1048576,5,FALSE)</f>
        <v>#N/A</v>
      </c>
      <c r="K217" s="342" t="s">
        <v>19</v>
      </c>
      <c r="L217" s="345" t="s">
        <v>1958</v>
      </c>
      <c r="AE217" s="346" t="e">
        <f>VLOOKUP(A217,TradesEquity!$1:$1048576,10,FALSE)</f>
        <v>#N/A</v>
      </c>
      <c r="AF217" s="346" t="e">
        <f t="shared" si="11"/>
        <v>#N/A</v>
      </c>
      <c r="AG217" s="346" t="e">
        <f t="shared" si="12"/>
        <v>#N/A</v>
      </c>
      <c r="AH217" s="346" t="e">
        <f t="shared" si="13"/>
        <v>#N/A</v>
      </c>
      <c r="AI217" s="346" t="e">
        <f>ABS(VLOOKUP(A217,TradesEquity!$1:$1048576,13,FALSE))</f>
        <v>#N/A</v>
      </c>
      <c r="AJ217" s="347">
        <v>0</v>
      </c>
      <c r="AK217" s="347">
        <v>1</v>
      </c>
      <c r="AL217" s="346" t="e">
        <f>VLOOKUP(A217,TradesEquity!$1:$1048576,11,FALSE)</f>
        <v>#N/A</v>
      </c>
      <c r="AM217" s="347">
        <v>1</v>
      </c>
      <c r="AN217" s="346" t="e">
        <f>ABS(VLOOKUP(A217,TradesEquity!$1:$1048576,14,FALSE))</f>
        <v>#N/A</v>
      </c>
      <c r="AO217" s="346" t="e">
        <f>ABS(VLOOKUP(A217,TradesEquity!$1:$1048576,15,FALSE))</f>
        <v>#N/A</v>
      </c>
      <c r="AP217" s="348" t="e">
        <f>ABS(VLOOKUP(A217,TradesEquity!$1:$1048576,16,FALSE))</f>
        <v>#N/A</v>
      </c>
      <c r="AQ217" s="286">
        <v>0</v>
      </c>
      <c r="AR217" s="286">
        <v>0</v>
      </c>
      <c r="AS217" s="286">
        <v>0</v>
      </c>
      <c r="AT217" s="286">
        <v>0</v>
      </c>
      <c r="AU217" s="286">
        <v>0</v>
      </c>
      <c r="AV217" s="348" t="e">
        <f>ABS(VLOOKUP(A217,TradesEquity!$1:$1048576,18,FALSE))</f>
        <v>#N/A</v>
      </c>
      <c r="AW217" s="349">
        <v>0</v>
      </c>
      <c r="AX217" s="350">
        <v>4542</v>
      </c>
      <c r="AY217" s="351" t="s">
        <v>1959</v>
      </c>
      <c r="AZ217" s="352" t="e">
        <f>(VLOOKUP(A217,TradesEquity!$1:$1048576,29,FALSE))</f>
        <v>#N/A</v>
      </c>
      <c r="BA217" s="352" t="e">
        <f>(VLOOKUP(A217,TradesEquity!$1:$1048576,30,FALSE))</f>
        <v>#N/A</v>
      </c>
      <c r="BB217" s="352" t="e">
        <f>(VLOOKUP(A217,TradesEquity!$1:$1048576,31,FALSE))</f>
        <v>#N/A</v>
      </c>
      <c r="BC217" s="352" t="e">
        <f>(VLOOKUP(A217,TradesEquity!$1:$1048576,32,FALSE))</f>
        <v>#N/A</v>
      </c>
      <c r="BI217" s="352" t="e">
        <f>(VLOOKUP(A217,TradesEquity!$1:$1048576,38,FALSE))</f>
        <v>#N/A</v>
      </c>
      <c r="BJ217" s="352" t="e">
        <f>(VLOOKUP(A217,TradesEquity!$1:$1048576,39,FALSE))</f>
        <v>#N/A</v>
      </c>
      <c r="BK217" s="352" t="e">
        <f>(VLOOKUP(A217,TradesEquity!$1:$1048576,40,FALSE))</f>
        <v>#N/A</v>
      </c>
    </row>
    <row r="218" spans="4:63">
      <c r="D218" s="342" t="s">
        <v>1957</v>
      </c>
      <c r="F218" s="343" t="e">
        <f>VLOOKUP(A218,TradesEquity!$1:$1048576,2,FALSE)</f>
        <v>#N/A</v>
      </c>
      <c r="H218" s="343" t="e">
        <f>VLOOKUP(A218,TradesEquity!$1:$1048576,21,FALSE)</f>
        <v>#N/A</v>
      </c>
      <c r="I218" s="344" t="e">
        <f>IF(VLOOKUP(A218,TradesEquity!$1:$1048576,3,FALSE)="BUY","B","S")</f>
        <v>#N/A</v>
      </c>
      <c r="J218" s="344" t="e">
        <f>VLOOKUP(A218,TradesEquity!$1:$1048576,5,FALSE)</f>
        <v>#N/A</v>
      </c>
      <c r="K218" s="342" t="s">
        <v>19</v>
      </c>
      <c r="L218" s="345" t="s">
        <v>1958</v>
      </c>
      <c r="AE218" s="346" t="e">
        <f>VLOOKUP(A218,TradesEquity!$1:$1048576,10,FALSE)</f>
        <v>#N/A</v>
      </c>
      <c r="AF218" s="346" t="e">
        <f t="shared" si="11"/>
        <v>#N/A</v>
      </c>
      <c r="AG218" s="346" t="e">
        <f t="shared" si="12"/>
        <v>#N/A</v>
      </c>
      <c r="AH218" s="346" t="e">
        <f t="shared" si="13"/>
        <v>#N/A</v>
      </c>
      <c r="AI218" s="346" t="e">
        <f>ABS(VLOOKUP(A218,TradesEquity!$1:$1048576,13,FALSE))</f>
        <v>#N/A</v>
      </c>
      <c r="AJ218" s="347">
        <v>0</v>
      </c>
      <c r="AK218" s="347">
        <v>1</v>
      </c>
      <c r="AL218" s="346" t="e">
        <f>VLOOKUP(A218,TradesEquity!$1:$1048576,11,FALSE)</f>
        <v>#N/A</v>
      </c>
      <c r="AM218" s="347">
        <v>1</v>
      </c>
      <c r="AN218" s="346" t="e">
        <f>ABS(VLOOKUP(A218,TradesEquity!$1:$1048576,14,FALSE))</f>
        <v>#N/A</v>
      </c>
      <c r="AO218" s="346" t="e">
        <f>ABS(VLOOKUP(A218,TradesEquity!$1:$1048576,15,FALSE))</f>
        <v>#N/A</v>
      </c>
      <c r="AP218" s="348" t="e">
        <f>ABS(VLOOKUP(A218,TradesEquity!$1:$1048576,16,FALSE))</f>
        <v>#N/A</v>
      </c>
      <c r="AQ218" s="286">
        <v>0</v>
      </c>
      <c r="AR218" s="286">
        <v>0</v>
      </c>
      <c r="AS218" s="286">
        <v>0</v>
      </c>
      <c r="AT218" s="286">
        <v>0</v>
      </c>
      <c r="AU218" s="286">
        <v>0</v>
      </c>
      <c r="AV218" s="348" t="e">
        <f>ABS(VLOOKUP(A218,TradesEquity!$1:$1048576,18,FALSE))</f>
        <v>#N/A</v>
      </c>
      <c r="AW218" s="349">
        <v>0</v>
      </c>
      <c r="AX218" s="350">
        <v>4542</v>
      </c>
      <c r="AY218" s="351" t="s">
        <v>1959</v>
      </c>
      <c r="AZ218" s="352" t="e">
        <f>(VLOOKUP(A218,TradesEquity!$1:$1048576,29,FALSE))</f>
        <v>#N/A</v>
      </c>
      <c r="BA218" s="352" t="e">
        <f>(VLOOKUP(A218,TradesEquity!$1:$1048576,30,FALSE))</f>
        <v>#N/A</v>
      </c>
      <c r="BB218" s="352" t="e">
        <f>(VLOOKUP(A218,TradesEquity!$1:$1048576,31,FALSE))</f>
        <v>#N/A</v>
      </c>
      <c r="BC218" s="352" t="e">
        <f>(VLOOKUP(A218,TradesEquity!$1:$1048576,32,FALSE))</f>
        <v>#N/A</v>
      </c>
      <c r="BI218" s="352" t="e">
        <f>(VLOOKUP(A218,TradesEquity!$1:$1048576,38,FALSE))</f>
        <v>#N/A</v>
      </c>
      <c r="BJ218" s="352" t="e">
        <f>(VLOOKUP(A218,TradesEquity!$1:$1048576,39,FALSE))</f>
        <v>#N/A</v>
      </c>
      <c r="BK218" s="352" t="e">
        <f>(VLOOKUP(A218,TradesEquity!$1:$1048576,40,FALSE))</f>
        <v>#N/A</v>
      </c>
    </row>
    <row r="219" spans="4:63">
      <c r="D219" s="342" t="s">
        <v>1957</v>
      </c>
      <c r="F219" s="343" t="e">
        <f>VLOOKUP(A219,TradesEquity!$1:$1048576,2,FALSE)</f>
        <v>#N/A</v>
      </c>
      <c r="H219" s="343" t="e">
        <f>VLOOKUP(A219,TradesEquity!$1:$1048576,21,FALSE)</f>
        <v>#N/A</v>
      </c>
      <c r="I219" s="344" t="e">
        <f>IF(VLOOKUP(A219,TradesEquity!$1:$1048576,3,FALSE)="BUY","B","S")</f>
        <v>#N/A</v>
      </c>
      <c r="J219" s="344" t="e">
        <f>VLOOKUP(A219,TradesEquity!$1:$1048576,5,FALSE)</f>
        <v>#N/A</v>
      </c>
      <c r="K219" s="342" t="s">
        <v>19</v>
      </c>
      <c r="L219" s="345" t="s">
        <v>1958</v>
      </c>
      <c r="AE219" s="346" t="e">
        <f>VLOOKUP(A219,TradesEquity!$1:$1048576,10,FALSE)</f>
        <v>#N/A</v>
      </c>
      <c r="AF219" s="346" t="e">
        <f t="shared" si="11"/>
        <v>#N/A</v>
      </c>
      <c r="AG219" s="346" t="e">
        <f t="shared" si="12"/>
        <v>#N/A</v>
      </c>
      <c r="AH219" s="346" t="e">
        <f t="shared" si="13"/>
        <v>#N/A</v>
      </c>
      <c r="AI219" s="346" t="e">
        <f>ABS(VLOOKUP(A219,TradesEquity!$1:$1048576,13,FALSE))</f>
        <v>#N/A</v>
      </c>
      <c r="AJ219" s="347">
        <v>0</v>
      </c>
      <c r="AK219" s="347">
        <v>1</v>
      </c>
      <c r="AL219" s="346" t="e">
        <f>VLOOKUP(A219,TradesEquity!$1:$1048576,11,FALSE)</f>
        <v>#N/A</v>
      </c>
      <c r="AM219" s="347">
        <v>1</v>
      </c>
      <c r="AN219" s="346" t="e">
        <f>ABS(VLOOKUP(A219,TradesEquity!$1:$1048576,14,FALSE))</f>
        <v>#N/A</v>
      </c>
      <c r="AO219" s="346" t="e">
        <f>ABS(VLOOKUP(A219,TradesEquity!$1:$1048576,15,FALSE))</f>
        <v>#N/A</v>
      </c>
      <c r="AP219" s="348" t="e">
        <f>ABS(VLOOKUP(A219,TradesEquity!$1:$1048576,16,FALSE))</f>
        <v>#N/A</v>
      </c>
      <c r="AQ219" s="286">
        <v>0</v>
      </c>
      <c r="AR219" s="286">
        <v>0</v>
      </c>
      <c r="AS219" s="286">
        <v>0</v>
      </c>
      <c r="AT219" s="286">
        <v>0</v>
      </c>
      <c r="AU219" s="286">
        <v>0</v>
      </c>
      <c r="AV219" s="348" t="e">
        <f>ABS(VLOOKUP(A219,TradesEquity!$1:$1048576,18,FALSE))</f>
        <v>#N/A</v>
      </c>
      <c r="AW219" s="349">
        <v>0</v>
      </c>
      <c r="AX219" s="350">
        <v>4542</v>
      </c>
      <c r="AY219" s="351" t="s">
        <v>1959</v>
      </c>
      <c r="AZ219" s="352" t="e">
        <f>(VLOOKUP(A219,TradesEquity!$1:$1048576,29,FALSE))</f>
        <v>#N/A</v>
      </c>
      <c r="BA219" s="352" t="e">
        <f>(VLOOKUP(A219,TradesEquity!$1:$1048576,30,FALSE))</f>
        <v>#N/A</v>
      </c>
      <c r="BB219" s="352" t="e">
        <f>(VLOOKUP(A219,TradesEquity!$1:$1048576,31,FALSE))</f>
        <v>#N/A</v>
      </c>
      <c r="BC219" s="352" t="e">
        <f>(VLOOKUP(A219,TradesEquity!$1:$1048576,32,FALSE))</f>
        <v>#N/A</v>
      </c>
      <c r="BI219" s="352" t="e">
        <f>(VLOOKUP(A219,TradesEquity!$1:$1048576,38,FALSE))</f>
        <v>#N/A</v>
      </c>
      <c r="BJ219" s="352" t="e">
        <f>(VLOOKUP(A219,TradesEquity!$1:$1048576,39,FALSE))</f>
        <v>#N/A</v>
      </c>
      <c r="BK219" s="352" t="e">
        <f>(VLOOKUP(A219,TradesEquity!$1:$1048576,40,FALSE))</f>
        <v>#N/A</v>
      </c>
    </row>
    <row r="220" spans="4:63">
      <c r="D220" s="342" t="s">
        <v>1957</v>
      </c>
      <c r="F220" s="343" t="e">
        <f>VLOOKUP(A220,TradesEquity!$1:$1048576,2,FALSE)</f>
        <v>#N/A</v>
      </c>
      <c r="H220" s="343" t="e">
        <f>VLOOKUP(A220,TradesEquity!$1:$1048576,21,FALSE)</f>
        <v>#N/A</v>
      </c>
      <c r="I220" s="344" t="e">
        <f>IF(VLOOKUP(A220,TradesEquity!$1:$1048576,3,FALSE)="BUY","B","S")</f>
        <v>#N/A</v>
      </c>
      <c r="J220" s="344" t="e">
        <f>VLOOKUP(A220,TradesEquity!$1:$1048576,5,FALSE)</f>
        <v>#N/A</v>
      </c>
      <c r="K220" s="342" t="s">
        <v>19</v>
      </c>
      <c r="L220" s="345" t="s">
        <v>1958</v>
      </c>
      <c r="AE220" s="346" t="e">
        <f>VLOOKUP(A220,TradesEquity!$1:$1048576,10,FALSE)</f>
        <v>#N/A</v>
      </c>
      <c r="AF220" s="346" t="e">
        <f t="shared" si="11"/>
        <v>#N/A</v>
      </c>
      <c r="AG220" s="346" t="e">
        <f t="shared" si="12"/>
        <v>#N/A</v>
      </c>
      <c r="AH220" s="346" t="e">
        <f t="shared" si="13"/>
        <v>#N/A</v>
      </c>
      <c r="AI220" s="346" t="e">
        <f>ABS(VLOOKUP(A220,TradesEquity!$1:$1048576,13,FALSE))</f>
        <v>#N/A</v>
      </c>
      <c r="AJ220" s="347">
        <v>0</v>
      </c>
      <c r="AK220" s="347">
        <v>1</v>
      </c>
      <c r="AL220" s="346" t="e">
        <f>VLOOKUP(A220,TradesEquity!$1:$1048576,11,FALSE)</f>
        <v>#N/A</v>
      </c>
      <c r="AM220" s="347">
        <v>1</v>
      </c>
      <c r="AN220" s="346" t="e">
        <f>ABS(VLOOKUP(A220,TradesEquity!$1:$1048576,14,FALSE))</f>
        <v>#N/A</v>
      </c>
      <c r="AO220" s="346" t="e">
        <f>ABS(VLOOKUP(A220,TradesEquity!$1:$1048576,15,FALSE))</f>
        <v>#N/A</v>
      </c>
      <c r="AP220" s="348" t="e">
        <f>ABS(VLOOKUP(A220,TradesEquity!$1:$1048576,16,FALSE))</f>
        <v>#N/A</v>
      </c>
      <c r="AQ220" s="286">
        <v>0</v>
      </c>
      <c r="AR220" s="286">
        <v>0</v>
      </c>
      <c r="AS220" s="286">
        <v>0</v>
      </c>
      <c r="AT220" s="286">
        <v>0</v>
      </c>
      <c r="AU220" s="286">
        <v>0</v>
      </c>
      <c r="AV220" s="348" t="e">
        <f>ABS(VLOOKUP(A220,TradesEquity!$1:$1048576,18,FALSE))</f>
        <v>#N/A</v>
      </c>
      <c r="AW220" s="349">
        <v>0</v>
      </c>
      <c r="AX220" s="350">
        <v>4542</v>
      </c>
      <c r="AY220" s="351" t="s">
        <v>1959</v>
      </c>
      <c r="AZ220" s="352" t="e">
        <f>(VLOOKUP(A220,TradesEquity!$1:$1048576,29,FALSE))</f>
        <v>#N/A</v>
      </c>
      <c r="BA220" s="352" t="e">
        <f>(VLOOKUP(A220,TradesEquity!$1:$1048576,30,FALSE))</f>
        <v>#N/A</v>
      </c>
      <c r="BB220" s="352" t="e">
        <f>(VLOOKUP(A220,TradesEquity!$1:$1048576,31,FALSE))</f>
        <v>#N/A</v>
      </c>
      <c r="BC220" s="352" t="e">
        <f>(VLOOKUP(A220,TradesEquity!$1:$1048576,32,FALSE))</f>
        <v>#N/A</v>
      </c>
      <c r="BI220" s="352" t="e">
        <f>(VLOOKUP(A220,TradesEquity!$1:$1048576,38,FALSE))</f>
        <v>#N/A</v>
      </c>
      <c r="BJ220" s="352" t="e">
        <f>(VLOOKUP(A220,TradesEquity!$1:$1048576,39,FALSE))</f>
        <v>#N/A</v>
      </c>
      <c r="BK220" s="352" t="e">
        <f>(VLOOKUP(A220,TradesEquity!$1:$1048576,40,FALSE))</f>
        <v>#N/A</v>
      </c>
    </row>
    <row r="221" spans="4:63">
      <c r="D221" s="342" t="s">
        <v>1957</v>
      </c>
      <c r="F221" s="343" t="e">
        <f>VLOOKUP(A221,TradesEquity!$1:$1048576,2,FALSE)</f>
        <v>#N/A</v>
      </c>
      <c r="H221" s="343" t="e">
        <f>VLOOKUP(A221,TradesEquity!$1:$1048576,21,FALSE)</f>
        <v>#N/A</v>
      </c>
      <c r="I221" s="344" t="e">
        <f>IF(VLOOKUP(A221,TradesEquity!$1:$1048576,3,FALSE)="BUY","B","S")</f>
        <v>#N/A</v>
      </c>
      <c r="J221" s="344" t="e">
        <f>VLOOKUP(A221,TradesEquity!$1:$1048576,5,FALSE)</f>
        <v>#N/A</v>
      </c>
      <c r="K221" s="342" t="s">
        <v>19</v>
      </c>
      <c r="L221" s="345" t="s">
        <v>1958</v>
      </c>
      <c r="AE221" s="346" t="e">
        <f>VLOOKUP(A221,TradesEquity!$1:$1048576,10,FALSE)</f>
        <v>#N/A</v>
      </c>
      <c r="AF221" s="346" t="e">
        <f t="shared" si="11"/>
        <v>#N/A</v>
      </c>
      <c r="AG221" s="346" t="e">
        <f t="shared" si="12"/>
        <v>#N/A</v>
      </c>
      <c r="AH221" s="346" t="e">
        <f t="shared" si="13"/>
        <v>#N/A</v>
      </c>
      <c r="AI221" s="346" t="e">
        <f>ABS(VLOOKUP(A221,TradesEquity!$1:$1048576,13,FALSE))</f>
        <v>#N/A</v>
      </c>
      <c r="AJ221" s="347">
        <v>0</v>
      </c>
      <c r="AK221" s="347">
        <v>1</v>
      </c>
      <c r="AL221" s="346" t="e">
        <f>VLOOKUP(A221,TradesEquity!$1:$1048576,11,FALSE)</f>
        <v>#N/A</v>
      </c>
      <c r="AM221" s="347">
        <v>1</v>
      </c>
      <c r="AN221" s="346" t="e">
        <f>ABS(VLOOKUP(A221,TradesEquity!$1:$1048576,14,FALSE))</f>
        <v>#N/A</v>
      </c>
      <c r="AO221" s="346" t="e">
        <f>ABS(VLOOKUP(A221,TradesEquity!$1:$1048576,15,FALSE))</f>
        <v>#N/A</v>
      </c>
      <c r="AP221" s="348" t="e">
        <f>ABS(VLOOKUP(A221,TradesEquity!$1:$1048576,16,FALSE))</f>
        <v>#N/A</v>
      </c>
      <c r="AQ221" s="286">
        <v>0</v>
      </c>
      <c r="AR221" s="286">
        <v>0</v>
      </c>
      <c r="AS221" s="286">
        <v>0</v>
      </c>
      <c r="AT221" s="286">
        <v>0</v>
      </c>
      <c r="AU221" s="286">
        <v>0</v>
      </c>
      <c r="AV221" s="348" t="e">
        <f>ABS(VLOOKUP(A221,TradesEquity!$1:$1048576,18,FALSE))</f>
        <v>#N/A</v>
      </c>
      <c r="AW221" s="349">
        <v>0</v>
      </c>
      <c r="AX221" s="350">
        <v>4542</v>
      </c>
      <c r="AY221" s="351" t="s">
        <v>1959</v>
      </c>
      <c r="AZ221" s="352" t="e">
        <f>(VLOOKUP(A221,TradesEquity!$1:$1048576,29,FALSE))</f>
        <v>#N/A</v>
      </c>
      <c r="BA221" s="352" t="e">
        <f>(VLOOKUP(A221,TradesEquity!$1:$1048576,30,FALSE))</f>
        <v>#N/A</v>
      </c>
      <c r="BB221" s="352" t="e">
        <f>(VLOOKUP(A221,TradesEquity!$1:$1048576,31,FALSE))</f>
        <v>#N/A</v>
      </c>
      <c r="BC221" s="352" t="e">
        <f>(VLOOKUP(A221,TradesEquity!$1:$1048576,32,FALSE))</f>
        <v>#N/A</v>
      </c>
      <c r="BI221" s="352" t="e">
        <f>(VLOOKUP(A221,TradesEquity!$1:$1048576,38,FALSE))</f>
        <v>#N/A</v>
      </c>
      <c r="BJ221" s="352" t="e">
        <f>(VLOOKUP(A221,TradesEquity!$1:$1048576,39,FALSE))</f>
        <v>#N/A</v>
      </c>
      <c r="BK221" s="352" t="e">
        <f>(VLOOKUP(A221,TradesEquity!$1:$1048576,40,FALSE))</f>
        <v>#N/A</v>
      </c>
    </row>
    <row r="222" spans="4:63">
      <c r="D222" s="342" t="s">
        <v>1957</v>
      </c>
      <c r="F222" s="343" t="e">
        <f>VLOOKUP(A222,TradesEquity!$1:$1048576,2,FALSE)</f>
        <v>#N/A</v>
      </c>
      <c r="H222" s="343" t="e">
        <f>VLOOKUP(A222,TradesEquity!$1:$1048576,21,FALSE)</f>
        <v>#N/A</v>
      </c>
      <c r="I222" s="344" t="e">
        <f>IF(VLOOKUP(A222,TradesEquity!$1:$1048576,3,FALSE)="BUY","B","S")</f>
        <v>#N/A</v>
      </c>
      <c r="J222" s="344" t="e">
        <f>VLOOKUP(A222,TradesEquity!$1:$1048576,5,FALSE)</f>
        <v>#N/A</v>
      </c>
      <c r="K222" s="342" t="s">
        <v>19</v>
      </c>
      <c r="L222" s="345" t="s">
        <v>1958</v>
      </c>
      <c r="AE222" s="346" t="e">
        <f>VLOOKUP(A222,TradesEquity!$1:$1048576,10,FALSE)</f>
        <v>#N/A</v>
      </c>
      <c r="AF222" s="346" t="e">
        <f t="shared" si="11"/>
        <v>#N/A</v>
      </c>
      <c r="AG222" s="346" t="e">
        <f t="shared" si="12"/>
        <v>#N/A</v>
      </c>
      <c r="AH222" s="346" t="e">
        <f t="shared" si="13"/>
        <v>#N/A</v>
      </c>
      <c r="AI222" s="346" t="e">
        <f>ABS(VLOOKUP(A222,TradesEquity!$1:$1048576,13,FALSE))</f>
        <v>#N/A</v>
      </c>
      <c r="AJ222" s="347">
        <v>0</v>
      </c>
      <c r="AK222" s="347">
        <v>1</v>
      </c>
      <c r="AL222" s="346" t="e">
        <f>VLOOKUP(A222,TradesEquity!$1:$1048576,11,FALSE)</f>
        <v>#N/A</v>
      </c>
      <c r="AM222" s="347">
        <v>1</v>
      </c>
      <c r="AN222" s="346" t="e">
        <f>ABS(VLOOKUP(A222,TradesEquity!$1:$1048576,14,FALSE))</f>
        <v>#N/A</v>
      </c>
      <c r="AO222" s="346" t="e">
        <f>ABS(VLOOKUP(A222,TradesEquity!$1:$1048576,15,FALSE))</f>
        <v>#N/A</v>
      </c>
      <c r="AP222" s="348" t="e">
        <f>ABS(VLOOKUP(A222,TradesEquity!$1:$1048576,16,FALSE))</f>
        <v>#N/A</v>
      </c>
      <c r="AQ222" s="286">
        <v>0</v>
      </c>
      <c r="AR222" s="286">
        <v>0</v>
      </c>
      <c r="AS222" s="286">
        <v>0</v>
      </c>
      <c r="AT222" s="286">
        <v>0</v>
      </c>
      <c r="AU222" s="286">
        <v>0</v>
      </c>
      <c r="AV222" s="348" t="e">
        <f>ABS(VLOOKUP(A222,TradesEquity!$1:$1048576,18,FALSE))</f>
        <v>#N/A</v>
      </c>
      <c r="AW222" s="349">
        <v>0</v>
      </c>
      <c r="AX222" s="350">
        <v>4542</v>
      </c>
      <c r="AY222" s="351" t="s">
        <v>1959</v>
      </c>
      <c r="AZ222" s="352" t="e">
        <f>(VLOOKUP(A222,TradesEquity!$1:$1048576,29,FALSE))</f>
        <v>#N/A</v>
      </c>
      <c r="BA222" s="352" t="e">
        <f>(VLOOKUP(A222,TradesEquity!$1:$1048576,30,FALSE))</f>
        <v>#N/A</v>
      </c>
      <c r="BB222" s="352" t="e">
        <f>(VLOOKUP(A222,TradesEquity!$1:$1048576,31,FALSE))</f>
        <v>#N/A</v>
      </c>
      <c r="BC222" s="352" t="e">
        <f>(VLOOKUP(A222,TradesEquity!$1:$1048576,32,FALSE))</f>
        <v>#N/A</v>
      </c>
      <c r="BI222" s="352" t="e">
        <f>(VLOOKUP(A222,TradesEquity!$1:$1048576,38,FALSE))</f>
        <v>#N/A</v>
      </c>
      <c r="BJ222" s="352" t="e">
        <f>(VLOOKUP(A222,TradesEquity!$1:$1048576,39,FALSE))</f>
        <v>#N/A</v>
      </c>
      <c r="BK222" s="352" t="e">
        <f>(VLOOKUP(A222,TradesEquity!$1:$1048576,40,FALSE))</f>
        <v>#N/A</v>
      </c>
    </row>
    <row r="223" spans="4:63">
      <c r="D223" s="342" t="s">
        <v>1957</v>
      </c>
      <c r="F223" s="343" t="e">
        <f>VLOOKUP(A223,TradesEquity!$1:$1048576,2,FALSE)</f>
        <v>#N/A</v>
      </c>
      <c r="H223" s="343" t="e">
        <f>VLOOKUP(A223,TradesEquity!$1:$1048576,21,FALSE)</f>
        <v>#N/A</v>
      </c>
      <c r="I223" s="344" t="e">
        <f>IF(VLOOKUP(A223,TradesEquity!$1:$1048576,3,FALSE)="BUY","B","S")</f>
        <v>#N/A</v>
      </c>
      <c r="J223" s="344" t="e">
        <f>VLOOKUP(A223,TradesEquity!$1:$1048576,5,FALSE)</f>
        <v>#N/A</v>
      </c>
      <c r="K223" s="342" t="s">
        <v>19</v>
      </c>
      <c r="L223" s="345" t="s">
        <v>1958</v>
      </c>
      <c r="AE223" s="346" t="e">
        <f>VLOOKUP(A223,TradesEquity!$1:$1048576,10,FALSE)</f>
        <v>#N/A</v>
      </c>
      <c r="AF223" s="346" t="e">
        <f t="shared" si="11"/>
        <v>#N/A</v>
      </c>
      <c r="AG223" s="346" t="e">
        <f t="shared" si="12"/>
        <v>#N/A</v>
      </c>
      <c r="AH223" s="346" t="e">
        <f t="shared" si="13"/>
        <v>#N/A</v>
      </c>
      <c r="AI223" s="346" t="e">
        <f>ABS(VLOOKUP(A223,TradesEquity!$1:$1048576,13,FALSE))</f>
        <v>#N/A</v>
      </c>
      <c r="AJ223" s="347">
        <v>0</v>
      </c>
      <c r="AK223" s="347">
        <v>1</v>
      </c>
      <c r="AL223" s="346" t="e">
        <f>VLOOKUP(A223,TradesEquity!$1:$1048576,11,FALSE)</f>
        <v>#N/A</v>
      </c>
      <c r="AM223" s="347">
        <v>1</v>
      </c>
      <c r="AN223" s="346" t="e">
        <f>ABS(VLOOKUP(A223,TradesEquity!$1:$1048576,14,FALSE))</f>
        <v>#N/A</v>
      </c>
      <c r="AO223" s="346" t="e">
        <f>ABS(VLOOKUP(A223,TradesEquity!$1:$1048576,15,FALSE))</f>
        <v>#N/A</v>
      </c>
      <c r="AP223" s="348" t="e">
        <f>ABS(VLOOKUP(A223,TradesEquity!$1:$1048576,16,FALSE))</f>
        <v>#N/A</v>
      </c>
      <c r="AQ223" s="286">
        <v>0</v>
      </c>
      <c r="AR223" s="286">
        <v>0</v>
      </c>
      <c r="AS223" s="286">
        <v>0</v>
      </c>
      <c r="AT223" s="286">
        <v>0</v>
      </c>
      <c r="AU223" s="286">
        <v>0</v>
      </c>
      <c r="AV223" s="348" t="e">
        <f>ABS(VLOOKUP(A223,TradesEquity!$1:$1048576,18,FALSE))</f>
        <v>#N/A</v>
      </c>
      <c r="AW223" s="349">
        <v>0</v>
      </c>
      <c r="AX223" s="350">
        <v>4542</v>
      </c>
      <c r="AY223" s="351" t="s">
        <v>1959</v>
      </c>
      <c r="AZ223" s="352" t="e">
        <f>(VLOOKUP(A223,TradesEquity!$1:$1048576,29,FALSE))</f>
        <v>#N/A</v>
      </c>
      <c r="BA223" s="352" t="e">
        <f>(VLOOKUP(A223,TradesEquity!$1:$1048576,30,FALSE))</f>
        <v>#N/A</v>
      </c>
      <c r="BB223" s="352" t="e">
        <f>(VLOOKUP(A223,TradesEquity!$1:$1048576,31,FALSE))</f>
        <v>#N/A</v>
      </c>
      <c r="BC223" s="352" t="e">
        <f>(VLOOKUP(A223,TradesEquity!$1:$1048576,32,FALSE))</f>
        <v>#N/A</v>
      </c>
      <c r="BI223" s="352" t="e">
        <f>(VLOOKUP(A223,TradesEquity!$1:$1048576,38,FALSE))</f>
        <v>#N/A</v>
      </c>
      <c r="BJ223" s="352" t="e">
        <f>(VLOOKUP(A223,TradesEquity!$1:$1048576,39,FALSE))</f>
        <v>#N/A</v>
      </c>
      <c r="BK223" s="352" t="e">
        <f>(VLOOKUP(A223,TradesEquity!$1:$1048576,40,FALSE))</f>
        <v>#N/A</v>
      </c>
    </row>
    <row r="224" spans="4:63">
      <c r="D224" s="342" t="s">
        <v>1957</v>
      </c>
      <c r="F224" s="343" t="e">
        <f>VLOOKUP(A224,TradesEquity!$1:$1048576,2,FALSE)</f>
        <v>#N/A</v>
      </c>
      <c r="H224" s="343" t="e">
        <f>VLOOKUP(A224,TradesEquity!$1:$1048576,21,FALSE)</f>
        <v>#N/A</v>
      </c>
      <c r="I224" s="344" t="e">
        <f>IF(VLOOKUP(A224,TradesEquity!$1:$1048576,3,FALSE)="BUY","B","S")</f>
        <v>#N/A</v>
      </c>
      <c r="J224" s="344" t="e">
        <f>VLOOKUP(A224,TradesEquity!$1:$1048576,5,FALSE)</f>
        <v>#N/A</v>
      </c>
      <c r="K224" s="342" t="s">
        <v>19</v>
      </c>
      <c r="L224" s="345" t="s">
        <v>1958</v>
      </c>
      <c r="AE224" s="346" t="e">
        <f>VLOOKUP(A224,TradesEquity!$1:$1048576,10,FALSE)</f>
        <v>#N/A</v>
      </c>
      <c r="AF224" s="346" t="e">
        <f t="shared" si="11"/>
        <v>#N/A</v>
      </c>
      <c r="AG224" s="346" t="e">
        <f t="shared" si="12"/>
        <v>#N/A</v>
      </c>
      <c r="AH224" s="346" t="e">
        <f t="shared" si="13"/>
        <v>#N/A</v>
      </c>
      <c r="AI224" s="346" t="e">
        <f>ABS(VLOOKUP(A224,TradesEquity!$1:$1048576,13,FALSE))</f>
        <v>#N/A</v>
      </c>
      <c r="AJ224" s="347">
        <v>0</v>
      </c>
      <c r="AK224" s="347">
        <v>1</v>
      </c>
      <c r="AL224" s="346" t="e">
        <f>VLOOKUP(A224,TradesEquity!$1:$1048576,11,FALSE)</f>
        <v>#N/A</v>
      </c>
      <c r="AM224" s="347">
        <v>1</v>
      </c>
      <c r="AN224" s="346" t="e">
        <f>ABS(VLOOKUP(A224,TradesEquity!$1:$1048576,14,FALSE))</f>
        <v>#N/A</v>
      </c>
      <c r="AO224" s="346" t="e">
        <f>ABS(VLOOKUP(A224,TradesEquity!$1:$1048576,15,FALSE))</f>
        <v>#N/A</v>
      </c>
      <c r="AP224" s="348" t="e">
        <f>ABS(VLOOKUP(A224,TradesEquity!$1:$1048576,16,FALSE))</f>
        <v>#N/A</v>
      </c>
      <c r="AQ224" s="286">
        <v>0</v>
      </c>
      <c r="AR224" s="286">
        <v>0</v>
      </c>
      <c r="AS224" s="286">
        <v>0</v>
      </c>
      <c r="AT224" s="286">
        <v>0</v>
      </c>
      <c r="AU224" s="286">
        <v>0</v>
      </c>
      <c r="AV224" s="348" t="e">
        <f>ABS(VLOOKUP(A224,TradesEquity!$1:$1048576,18,FALSE))</f>
        <v>#N/A</v>
      </c>
      <c r="AW224" s="349">
        <v>0</v>
      </c>
      <c r="AX224" s="350">
        <v>4542</v>
      </c>
      <c r="AY224" s="351" t="s">
        <v>1959</v>
      </c>
      <c r="AZ224" s="352" t="e">
        <f>(VLOOKUP(A224,TradesEquity!$1:$1048576,29,FALSE))</f>
        <v>#N/A</v>
      </c>
      <c r="BA224" s="352" t="e">
        <f>(VLOOKUP(A224,TradesEquity!$1:$1048576,30,FALSE))</f>
        <v>#N/A</v>
      </c>
      <c r="BB224" s="352" t="e">
        <f>(VLOOKUP(A224,TradesEquity!$1:$1048576,31,FALSE))</f>
        <v>#N/A</v>
      </c>
      <c r="BC224" s="352" t="e">
        <f>(VLOOKUP(A224,TradesEquity!$1:$1048576,32,FALSE))</f>
        <v>#N/A</v>
      </c>
      <c r="BI224" s="352" t="e">
        <f>(VLOOKUP(A224,TradesEquity!$1:$1048576,38,FALSE))</f>
        <v>#N/A</v>
      </c>
      <c r="BJ224" s="352" t="e">
        <f>(VLOOKUP(A224,TradesEquity!$1:$1048576,39,FALSE))</f>
        <v>#N/A</v>
      </c>
      <c r="BK224" s="352" t="e">
        <f>(VLOOKUP(A224,TradesEquity!$1:$1048576,40,FALSE))</f>
        <v>#N/A</v>
      </c>
    </row>
    <row r="225" spans="4:63">
      <c r="D225" s="342" t="s">
        <v>1957</v>
      </c>
      <c r="F225" s="343" t="e">
        <f>VLOOKUP(A225,TradesEquity!$1:$1048576,2,FALSE)</f>
        <v>#N/A</v>
      </c>
      <c r="H225" s="343" t="e">
        <f>VLOOKUP(A225,TradesEquity!$1:$1048576,21,FALSE)</f>
        <v>#N/A</v>
      </c>
      <c r="I225" s="344" t="e">
        <f>IF(VLOOKUP(A225,TradesEquity!$1:$1048576,3,FALSE)="BUY","B","S")</f>
        <v>#N/A</v>
      </c>
      <c r="J225" s="344" t="e">
        <f>VLOOKUP(A225,TradesEquity!$1:$1048576,5,FALSE)</f>
        <v>#N/A</v>
      </c>
      <c r="K225" s="342" t="s">
        <v>19</v>
      </c>
      <c r="L225" s="345" t="s">
        <v>1958</v>
      </c>
      <c r="AE225" s="346" t="e">
        <f>VLOOKUP(A225,TradesEquity!$1:$1048576,10,FALSE)</f>
        <v>#N/A</v>
      </c>
      <c r="AF225" s="346" t="e">
        <f t="shared" si="11"/>
        <v>#N/A</v>
      </c>
      <c r="AG225" s="346" t="e">
        <f t="shared" si="12"/>
        <v>#N/A</v>
      </c>
      <c r="AH225" s="346" t="e">
        <f t="shared" si="13"/>
        <v>#N/A</v>
      </c>
      <c r="AI225" s="346" t="e">
        <f>ABS(VLOOKUP(A225,TradesEquity!$1:$1048576,13,FALSE))</f>
        <v>#N/A</v>
      </c>
      <c r="AJ225" s="347">
        <v>0</v>
      </c>
      <c r="AK225" s="347">
        <v>1</v>
      </c>
      <c r="AL225" s="346" t="e">
        <f>VLOOKUP(A225,TradesEquity!$1:$1048576,11,FALSE)</f>
        <v>#N/A</v>
      </c>
      <c r="AM225" s="347">
        <v>1</v>
      </c>
      <c r="AN225" s="346" t="e">
        <f>ABS(VLOOKUP(A225,TradesEquity!$1:$1048576,14,FALSE))</f>
        <v>#N/A</v>
      </c>
      <c r="AO225" s="346" t="e">
        <f>ABS(VLOOKUP(A225,TradesEquity!$1:$1048576,15,FALSE))</f>
        <v>#N/A</v>
      </c>
      <c r="AP225" s="348" t="e">
        <f>ABS(VLOOKUP(A225,TradesEquity!$1:$1048576,16,FALSE))</f>
        <v>#N/A</v>
      </c>
      <c r="AQ225" s="286">
        <v>0</v>
      </c>
      <c r="AR225" s="286">
        <v>0</v>
      </c>
      <c r="AS225" s="286">
        <v>0</v>
      </c>
      <c r="AT225" s="286">
        <v>0</v>
      </c>
      <c r="AU225" s="286">
        <v>0</v>
      </c>
      <c r="AV225" s="348" t="e">
        <f>ABS(VLOOKUP(A225,TradesEquity!$1:$1048576,18,FALSE))</f>
        <v>#N/A</v>
      </c>
      <c r="AW225" s="349">
        <v>0</v>
      </c>
      <c r="AX225" s="350">
        <v>4542</v>
      </c>
      <c r="AY225" s="351" t="s">
        <v>1959</v>
      </c>
      <c r="AZ225" s="352" t="e">
        <f>(VLOOKUP(A225,TradesEquity!$1:$1048576,29,FALSE))</f>
        <v>#N/A</v>
      </c>
      <c r="BA225" s="352" t="e">
        <f>(VLOOKUP(A225,TradesEquity!$1:$1048576,30,FALSE))</f>
        <v>#N/A</v>
      </c>
      <c r="BB225" s="352" t="e">
        <f>(VLOOKUP(A225,TradesEquity!$1:$1048576,31,FALSE))</f>
        <v>#N/A</v>
      </c>
      <c r="BC225" s="352" t="e">
        <f>(VLOOKUP(A225,TradesEquity!$1:$1048576,32,FALSE))</f>
        <v>#N/A</v>
      </c>
      <c r="BI225" s="352" t="e">
        <f>(VLOOKUP(A225,TradesEquity!$1:$1048576,38,FALSE))</f>
        <v>#N/A</v>
      </c>
      <c r="BJ225" s="352" t="e">
        <f>(VLOOKUP(A225,TradesEquity!$1:$1048576,39,FALSE))</f>
        <v>#N/A</v>
      </c>
      <c r="BK225" s="352" t="e">
        <f>(VLOOKUP(A225,TradesEquity!$1:$1048576,40,FALSE))</f>
        <v>#N/A</v>
      </c>
    </row>
    <row r="226" spans="4:63">
      <c r="D226" s="342" t="s">
        <v>1957</v>
      </c>
      <c r="F226" s="343" t="e">
        <f>VLOOKUP(A226,TradesEquity!$1:$1048576,2,FALSE)</f>
        <v>#N/A</v>
      </c>
      <c r="H226" s="343" t="e">
        <f>VLOOKUP(A226,TradesEquity!$1:$1048576,21,FALSE)</f>
        <v>#N/A</v>
      </c>
      <c r="I226" s="344" t="e">
        <f>IF(VLOOKUP(A226,TradesEquity!$1:$1048576,3,FALSE)="BUY","B","S")</f>
        <v>#N/A</v>
      </c>
      <c r="J226" s="344" t="e">
        <f>VLOOKUP(A226,TradesEquity!$1:$1048576,5,FALSE)</f>
        <v>#N/A</v>
      </c>
      <c r="K226" s="342" t="s">
        <v>19</v>
      </c>
      <c r="L226" s="345" t="s">
        <v>1958</v>
      </c>
      <c r="AE226" s="346" t="e">
        <f>VLOOKUP(A226,TradesEquity!$1:$1048576,10,FALSE)</f>
        <v>#N/A</v>
      </c>
      <c r="AF226" s="346" t="e">
        <f t="shared" si="11"/>
        <v>#N/A</v>
      </c>
      <c r="AG226" s="346" t="e">
        <f t="shared" si="12"/>
        <v>#N/A</v>
      </c>
      <c r="AH226" s="346" t="e">
        <f t="shared" si="13"/>
        <v>#N/A</v>
      </c>
      <c r="AI226" s="346" t="e">
        <f>ABS(VLOOKUP(A226,TradesEquity!$1:$1048576,13,FALSE))</f>
        <v>#N/A</v>
      </c>
      <c r="AJ226" s="347">
        <v>0</v>
      </c>
      <c r="AK226" s="347">
        <v>1</v>
      </c>
      <c r="AL226" s="346" t="e">
        <f>VLOOKUP(A226,TradesEquity!$1:$1048576,11,FALSE)</f>
        <v>#N/A</v>
      </c>
      <c r="AM226" s="347">
        <v>1</v>
      </c>
      <c r="AN226" s="346" t="e">
        <f>ABS(VLOOKUP(A226,TradesEquity!$1:$1048576,14,FALSE))</f>
        <v>#N/A</v>
      </c>
      <c r="AO226" s="346" t="e">
        <f>ABS(VLOOKUP(A226,TradesEquity!$1:$1048576,15,FALSE))</f>
        <v>#N/A</v>
      </c>
      <c r="AP226" s="348" t="e">
        <f>ABS(VLOOKUP(A226,TradesEquity!$1:$1048576,16,FALSE))</f>
        <v>#N/A</v>
      </c>
      <c r="AQ226" s="286">
        <v>0</v>
      </c>
      <c r="AR226" s="286">
        <v>0</v>
      </c>
      <c r="AS226" s="286">
        <v>0</v>
      </c>
      <c r="AT226" s="286">
        <v>0</v>
      </c>
      <c r="AU226" s="286">
        <v>0</v>
      </c>
      <c r="AV226" s="348" t="e">
        <f>ABS(VLOOKUP(A226,TradesEquity!$1:$1048576,18,FALSE))</f>
        <v>#N/A</v>
      </c>
      <c r="AW226" s="349">
        <v>0</v>
      </c>
      <c r="AX226" s="350">
        <v>4542</v>
      </c>
      <c r="AY226" s="351" t="s">
        <v>1959</v>
      </c>
      <c r="AZ226" s="352" t="e">
        <f>(VLOOKUP(A226,TradesEquity!$1:$1048576,29,FALSE))</f>
        <v>#N/A</v>
      </c>
      <c r="BA226" s="352" t="e">
        <f>(VLOOKUP(A226,TradesEquity!$1:$1048576,30,FALSE))</f>
        <v>#N/A</v>
      </c>
      <c r="BB226" s="352" t="e">
        <f>(VLOOKUP(A226,TradesEquity!$1:$1048576,31,FALSE))</f>
        <v>#N/A</v>
      </c>
      <c r="BC226" s="352" t="e">
        <f>(VLOOKUP(A226,TradesEquity!$1:$1048576,32,FALSE))</f>
        <v>#N/A</v>
      </c>
      <c r="BI226" s="352" t="e">
        <f>(VLOOKUP(A226,TradesEquity!$1:$1048576,38,FALSE))</f>
        <v>#N/A</v>
      </c>
      <c r="BJ226" s="352" t="e">
        <f>(VLOOKUP(A226,TradesEquity!$1:$1048576,39,FALSE))</f>
        <v>#N/A</v>
      </c>
      <c r="BK226" s="352" t="e">
        <f>(VLOOKUP(A226,TradesEquity!$1:$1048576,40,FALSE))</f>
        <v>#N/A</v>
      </c>
    </row>
    <row r="227" spans="4:63">
      <c r="D227" s="342" t="s">
        <v>1957</v>
      </c>
      <c r="F227" s="343" t="e">
        <f>VLOOKUP(A227,TradesEquity!$1:$1048576,2,FALSE)</f>
        <v>#N/A</v>
      </c>
      <c r="H227" s="343" t="e">
        <f>VLOOKUP(A227,TradesEquity!$1:$1048576,21,FALSE)</f>
        <v>#N/A</v>
      </c>
      <c r="I227" s="344" t="e">
        <f>IF(VLOOKUP(A227,TradesEquity!$1:$1048576,3,FALSE)="BUY","B","S")</f>
        <v>#N/A</v>
      </c>
      <c r="J227" s="344" t="e">
        <f>VLOOKUP(A227,TradesEquity!$1:$1048576,5,FALSE)</f>
        <v>#N/A</v>
      </c>
      <c r="K227" s="342" t="s">
        <v>19</v>
      </c>
      <c r="L227" s="345" t="s">
        <v>1958</v>
      </c>
      <c r="AE227" s="346" t="e">
        <f>VLOOKUP(A227,TradesEquity!$1:$1048576,10,FALSE)</f>
        <v>#N/A</v>
      </c>
      <c r="AF227" s="346" t="e">
        <f t="shared" si="11"/>
        <v>#N/A</v>
      </c>
      <c r="AG227" s="346" t="e">
        <f t="shared" si="12"/>
        <v>#N/A</v>
      </c>
      <c r="AH227" s="346" t="e">
        <f t="shared" si="13"/>
        <v>#N/A</v>
      </c>
      <c r="AI227" s="346" t="e">
        <f>ABS(VLOOKUP(A227,TradesEquity!$1:$1048576,13,FALSE))</f>
        <v>#N/A</v>
      </c>
      <c r="AJ227" s="347">
        <v>0</v>
      </c>
      <c r="AK227" s="347">
        <v>1</v>
      </c>
      <c r="AL227" s="346" t="e">
        <f>VLOOKUP(A227,TradesEquity!$1:$1048576,11,FALSE)</f>
        <v>#N/A</v>
      </c>
      <c r="AM227" s="347">
        <v>1</v>
      </c>
      <c r="AN227" s="346" t="e">
        <f>ABS(VLOOKUP(A227,TradesEquity!$1:$1048576,14,FALSE))</f>
        <v>#N/A</v>
      </c>
      <c r="AO227" s="346" t="e">
        <f>ABS(VLOOKUP(A227,TradesEquity!$1:$1048576,15,FALSE))</f>
        <v>#N/A</v>
      </c>
      <c r="AP227" s="348" t="e">
        <f>ABS(VLOOKUP(A227,TradesEquity!$1:$1048576,16,FALSE))</f>
        <v>#N/A</v>
      </c>
      <c r="AQ227" s="286">
        <v>0</v>
      </c>
      <c r="AR227" s="286">
        <v>0</v>
      </c>
      <c r="AS227" s="286">
        <v>0</v>
      </c>
      <c r="AT227" s="286">
        <v>0</v>
      </c>
      <c r="AU227" s="286">
        <v>0</v>
      </c>
      <c r="AV227" s="348" t="e">
        <f>ABS(VLOOKUP(A227,TradesEquity!$1:$1048576,18,FALSE))</f>
        <v>#N/A</v>
      </c>
      <c r="AW227" s="349">
        <v>0</v>
      </c>
      <c r="AX227" s="350">
        <v>4542</v>
      </c>
      <c r="AY227" s="351" t="s">
        <v>1959</v>
      </c>
      <c r="AZ227" s="352" t="e">
        <f>(VLOOKUP(A227,TradesEquity!$1:$1048576,29,FALSE))</f>
        <v>#N/A</v>
      </c>
      <c r="BA227" s="352" t="e">
        <f>(VLOOKUP(A227,TradesEquity!$1:$1048576,30,FALSE))</f>
        <v>#N/A</v>
      </c>
      <c r="BB227" s="352" t="e">
        <f>(VLOOKUP(A227,TradesEquity!$1:$1048576,31,FALSE))</f>
        <v>#N/A</v>
      </c>
      <c r="BC227" s="352" t="e">
        <f>(VLOOKUP(A227,TradesEquity!$1:$1048576,32,FALSE))</f>
        <v>#N/A</v>
      </c>
      <c r="BI227" s="352" t="e">
        <f>(VLOOKUP(A227,TradesEquity!$1:$1048576,38,FALSE))</f>
        <v>#N/A</v>
      </c>
      <c r="BJ227" s="352" t="e">
        <f>(VLOOKUP(A227,TradesEquity!$1:$1048576,39,FALSE))</f>
        <v>#N/A</v>
      </c>
      <c r="BK227" s="352" t="e">
        <f>(VLOOKUP(A227,TradesEquity!$1:$1048576,40,FALSE))</f>
        <v>#N/A</v>
      </c>
    </row>
    <row r="228" spans="4:63">
      <c r="D228" s="342" t="s">
        <v>1957</v>
      </c>
      <c r="F228" s="343" t="e">
        <f>VLOOKUP(A228,TradesEquity!$1:$1048576,2,FALSE)</f>
        <v>#N/A</v>
      </c>
      <c r="H228" s="343" t="e">
        <f>VLOOKUP(A228,TradesEquity!$1:$1048576,21,FALSE)</f>
        <v>#N/A</v>
      </c>
      <c r="I228" s="344" t="e">
        <f>IF(VLOOKUP(A228,TradesEquity!$1:$1048576,3,FALSE)="BUY","B","S")</f>
        <v>#N/A</v>
      </c>
      <c r="J228" s="344" t="e">
        <f>VLOOKUP(A228,TradesEquity!$1:$1048576,5,FALSE)</f>
        <v>#N/A</v>
      </c>
      <c r="K228" s="342" t="s">
        <v>19</v>
      </c>
      <c r="L228" s="345" t="s">
        <v>1958</v>
      </c>
      <c r="AE228" s="346" t="e">
        <f>VLOOKUP(A228,TradesEquity!$1:$1048576,10,FALSE)</f>
        <v>#N/A</v>
      </c>
      <c r="AF228" s="346" t="e">
        <f t="shared" si="11"/>
        <v>#N/A</v>
      </c>
      <c r="AG228" s="346" t="e">
        <f t="shared" si="12"/>
        <v>#N/A</v>
      </c>
      <c r="AH228" s="346" t="e">
        <f t="shared" si="13"/>
        <v>#N/A</v>
      </c>
      <c r="AI228" s="346" t="e">
        <f>ABS(VLOOKUP(A228,TradesEquity!$1:$1048576,13,FALSE))</f>
        <v>#N/A</v>
      </c>
      <c r="AJ228" s="347">
        <v>0</v>
      </c>
      <c r="AK228" s="347">
        <v>1</v>
      </c>
      <c r="AL228" s="346" t="e">
        <f>VLOOKUP(A228,TradesEquity!$1:$1048576,11,FALSE)</f>
        <v>#N/A</v>
      </c>
      <c r="AM228" s="347">
        <v>1</v>
      </c>
      <c r="AN228" s="346" t="e">
        <f>ABS(VLOOKUP(A228,TradesEquity!$1:$1048576,14,FALSE))</f>
        <v>#N/A</v>
      </c>
      <c r="AO228" s="346" t="e">
        <f>ABS(VLOOKUP(A228,TradesEquity!$1:$1048576,15,FALSE))</f>
        <v>#N/A</v>
      </c>
      <c r="AP228" s="348" t="e">
        <f>ABS(VLOOKUP(A228,TradesEquity!$1:$1048576,16,FALSE))</f>
        <v>#N/A</v>
      </c>
      <c r="AQ228" s="286">
        <v>0</v>
      </c>
      <c r="AR228" s="286">
        <v>0</v>
      </c>
      <c r="AS228" s="286">
        <v>0</v>
      </c>
      <c r="AT228" s="286">
        <v>0</v>
      </c>
      <c r="AU228" s="286">
        <v>0</v>
      </c>
      <c r="AV228" s="348" t="e">
        <f>ABS(VLOOKUP(A228,TradesEquity!$1:$1048576,18,FALSE))</f>
        <v>#N/A</v>
      </c>
      <c r="AW228" s="349">
        <v>0</v>
      </c>
      <c r="AX228" s="350">
        <v>4542</v>
      </c>
      <c r="AY228" s="351" t="s">
        <v>1959</v>
      </c>
      <c r="AZ228" s="352" t="e">
        <f>(VLOOKUP(A228,TradesEquity!$1:$1048576,29,FALSE))</f>
        <v>#N/A</v>
      </c>
      <c r="BA228" s="352" t="e">
        <f>(VLOOKUP(A228,TradesEquity!$1:$1048576,30,FALSE))</f>
        <v>#N/A</v>
      </c>
      <c r="BB228" s="352" t="e">
        <f>(VLOOKUP(A228,TradesEquity!$1:$1048576,31,FALSE))</f>
        <v>#N/A</v>
      </c>
      <c r="BC228" s="352" t="e">
        <f>(VLOOKUP(A228,TradesEquity!$1:$1048576,32,FALSE))</f>
        <v>#N/A</v>
      </c>
      <c r="BI228" s="352" t="e">
        <f>(VLOOKUP(A228,TradesEquity!$1:$1048576,38,FALSE))</f>
        <v>#N/A</v>
      </c>
      <c r="BJ228" s="352" t="e">
        <f>(VLOOKUP(A228,TradesEquity!$1:$1048576,39,FALSE))</f>
        <v>#N/A</v>
      </c>
      <c r="BK228" s="352" t="e">
        <f>(VLOOKUP(A228,TradesEquity!$1:$1048576,40,FALSE))</f>
        <v>#N/A</v>
      </c>
    </row>
    <row r="229" spans="4:63">
      <c r="D229" s="342" t="s">
        <v>1957</v>
      </c>
      <c r="F229" s="343" t="e">
        <f>VLOOKUP(A229,TradesEquity!$1:$1048576,2,FALSE)</f>
        <v>#N/A</v>
      </c>
      <c r="H229" s="343" t="e">
        <f>VLOOKUP(A229,TradesEquity!$1:$1048576,21,FALSE)</f>
        <v>#N/A</v>
      </c>
      <c r="I229" s="344" t="e">
        <f>IF(VLOOKUP(A229,TradesEquity!$1:$1048576,3,FALSE)="BUY","B","S")</f>
        <v>#N/A</v>
      </c>
      <c r="J229" s="344" t="e">
        <f>VLOOKUP(A229,TradesEquity!$1:$1048576,5,FALSE)</f>
        <v>#N/A</v>
      </c>
      <c r="K229" s="342" t="s">
        <v>19</v>
      </c>
      <c r="L229" s="345" t="s">
        <v>1958</v>
      </c>
      <c r="AE229" s="346" t="e">
        <f>VLOOKUP(A229,TradesEquity!$1:$1048576,10,FALSE)</f>
        <v>#N/A</v>
      </c>
      <c r="AF229" s="346" t="e">
        <f t="shared" si="11"/>
        <v>#N/A</v>
      </c>
      <c r="AG229" s="346" t="e">
        <f t="shared" si="12"/>
        <v>#N/A</v>
      </c>
      <c r="AH229" s="346" t="e">
        <f t="shared" si="13"/>
        <v>#N/A</v>
      </c>
      <c r="AI229" s="346" t="e">
        <f>ABS(VLOOKUP(A229,TradesEquity!$1:$1048576,13,FALSE))</f>
        <v>#N/A</v>
      </c>
      <c r="AJ229" s="347">
        <v>0</v>
      </c>
      <c r="AK229" s="347">
        <v>1</v>
      </c>
      <c r="AL229" s="346" t="e">
        <f>VLOOKUP(A229,TradesEquity!$1:$1048576,11,FALSE)</f>
        <v>#N/A</v>
      </c>
      <c r="AM229" s="347">
        <v>1</v>
      </c>
      <c r="AN229" s="346" t="e">
        <f>ABS(VLOOKUP(A229,TradesEquity!$1:$1048576,14,FALSE))</f>
        <v>#N/A</v>
      </c>
      <c r="AO229" s="346" t="e">
        <f>ABS(VLOOKUP(A229,TradesEquity!$1:$1048576,15,FALSE))</f>
        <v>#N/A</v>
      </c>
      <c r="AP229" s="348" t="e">
        <f>ABS(VLOOKUP(A229,TradesEquity!$1:$1048576,16,FALSE))</f>
        <v>#N/A</v>
      </c>
      <c r="AQ229" s="286">
        <v>0</v>
      </c>
      <c r="AR229" s="286">
        <v>0</v>
      </c>
      <c r="AS229" s="286">
        <v>0</v>
      </c>
      <c r="AT229" s="286">
        <v>0</v>
      </c>
      <c r="AU229" s="286">
        <v>0</v>
      </c>
      <c r="AV229" s="348" t="e">
        <f>ABS(VLOOKUP(A229,TradesEquity!$1:$1048576,18,FALSE))</f>
        <v>#N/A</v>
      </c>
      <c r="AW229" s="349">
        <v>0</v>
      </c>
      <c r="AX229" s="350">
        <v>4542</v>
      </c>
      <c r="AY229" s="351" t="s">
        <v>1959</v>
      </c>
      <c r="AZ229" s="352" t="e">
        <f>(VLOOKUP(A229,TradesEquity!$1:$1048576,29,FALSE))</f>
        <v>#N/A</v>
      </c>
      <c r="BA229" s="352" t="e">
        <f>(VLOOKUP(A229,TradesEquity!$1:$1048576,30,FALSE))</f>
        <v>#N/A</v>
      </c>
      <c r="BB229" s="352" t="e">
        <f>(VLOOKUP(A229,TradesEquity!$1:$1048576,31,FALSE))</f>
        <v>#N/A</v>
      </c>
      <c r="BC229" s="352" t="e">
        <f>(VLOOKUP(A229,TradesEquity!$1:$1048576,32,FALSE))</f>
        <v>#N/A</v>
      </c>
      <c r="BI229" s="352" t="e">
        <f>(VLOOKUP(A229,TradesEquity!$1:$1048576,38,FALSE))</f>
        <v>#N/A</v>
      </c>
      <c r="BJ229" s="352" t="e">
        <f>(VLOOKUP(A229,TradesEquity!$1:$1048576,39,FALSE))</f>
        <v>#N/A</v>
      </c>
      <c r="BK229" s="352" t="e">
        <f>(VLOOKUP(A229,TradesEquity!$1:$1048576,40,FALSE))</f>
        <v>#N/A</v>
      </c>
    </row>
    <row r="230" spans="4:63">
      <c r="D230" s="342" t="s">
        <v>1957</v>
      </c>
      <c r="F230" s="343" t="e">
        <f>VLOOKUP(A230,TradesEquity!$1:$1048576,2,FALSE)</f>
        <v>#N/A</v>
      </c>
      <c r="H230" s="343" t="e">
        <f>VLOOKUP(A230,TradesEquity!$1:$1048576,21,FALSE)</f>
        <v>#N/A</v>
      </c>
      <c r="I230" s="344" t="e">
        <f>IF(VLOOKUP(A230,TradesEquity!$1:$1048576,3,FALSE)="BUY","B","S")</f>
        <v>#N/A</v>
      </c>
      <c r="J230" s="344" t="e">
        <f>VLOOKUP(A230,TradesEquity!$1:$1048576,5,FALSE)</f>
        <v>#N/A</v>
      </c>
      <c r="K230" s="342" t="s">
        <v>19</v>
      </c>
      <c r="L230" s="345" t="s">
        <v>1958</v>
      </c>
      <c r="AE230" s="346" t="e">
        <f>VLOOKUP(A230,TradesEquity!$1:$1048576,10,FALSE)</f>
        <v>#N/A</v>
      </c>
      <c r="AF230" s="346" t="e">
        <f t="shared" si="11"/>
        <v>#N/A</v>
      </c>
      <c r="AG230" s="346" t="e">
        <f t="shared" si="12"/>
        <v>#N/A</v>
      </c>
      <c r="AH230" s="346" t="e">
        <f t="shared" si="13"/>
        <v>#N/A</v>
      </c>
      <c r="AI230" s="346" t="e">
        <f>ABS(VLOOKUP(A230,TradesEquity!$1:$1048576,13,FALSE))</f>
        <v>#N/A</v>
      </c>
      <c r="AJ230" s="347">
        <v>0</v>
      </c>
      <c r="AK230" s="347">
        <v>1</v>
      </c>
      <c r="AL230" s="346" t="e">
        <f>VLOOKUP(A230,TradesEquity!$1:$1048576,11,FALSE)</f>
        <v>#N/A</v>
      </c>
      <c r="AM230" s="347">
        <v>1</v>
      </c>
      <c r="AN230" s="346" t="e">
        <f>ABS(VLOOKUP(A230,TradesEquity!$1:$1048576,14,FALSE))</f>
        <v>#N/A</v>
      </c>
      <c r="AO230" s="346" t="e">
        <f>ABS(VLOOKUP(A230,TradesEquity!$1:$1048576,15,FALSE))</f>
        <v>#N/A</v>
      </c>
      <c r="AP230" s="348" t="e">
        <f>ABS(VLOOKUP(A230,TradesEquity!$1:$1048576,16,FALSE))</f>
        <v>#N/A</v>
      </c>
      <c r="AQ230" s="286">
        <v>0</v>
      </c>
      <c r="AR230" s="286">
        <v>0</v>
      </c>
      <c r="AS230" s="286">
        <v>0</v>
      </c>
      <c r="AT230" s="286">
        <v>0</v>
      </c>
      <c r="AU230" s="286">
        <v>0</v>
      </c>
      <c r="AV230" s="348" t="e">
        <f>ABS(VLOOKUP(A230,TradesEquity!$1:$1048576,18,FALSE))</f>
        <v>#N/A</v>
      </c>
      <c r="AW230" s="349">
        <v>0</v>
      </c>
      <c r="AX230" s="350">
        <v>4542</v>
      </c>
      <c r="AY230" s="351" t="s">
        <v>1959</v>
      </c>
      <c r="AZ230" s="352" t="e">
        <f>(VLOOKUP(A230,TradesEquity!$1:$1048576,29,FALSE))</f>
        <v>#N/A</v>
      </c>
      <c r="BA230" s="352" t="e">
        <f>(VLOOKUP(A230,TradesEquity!$1:$1048576,30,FALSE))</f>
        <v>#N/A</v>
      </c>
      <c r="BB230" s="352" t="e">
        <f>(VLOOKUP(A230,TradesEquity!$1:$1048576,31,FALSE))</f>
        <v>#N/A</v>
      </c>
      <c r="BC230" s="352" t="e">
        <f>(VLOOKUP(A230,TradesEquity!$1:$1048576,32,FALSE))</f>
        <v>#N/A</v>
      </c>
      <c r="BI230" s="352" t="e">
        <f>(VLOOKUP(A230,TradesEquity!$1:$1048576,38,FALSE))</f>
        <v>#N/A</v>
      </c>
      <c r="BJ230" s="352" t="e">
        <f>(VLOOKUP(A230,TradesEquity!$1:$1048576,39,FALSE))</f>
        <v>#N/A</v>
      </c>
      <c r="BK230" s="352" t="e">
        <f>(VLOOKUP(A230,TradesEquity!$1:$1048576,40,FALSE))</f>
        <v>#N/A</v>
      </c>
    </row>
    <row r="231" spans="4:63">
      <c r="D231" s="342" t="s">
        <v>1957</v>
      </c>
      <c r="F231" s="343" t="e">
        <f>VLOOKUP(A231,TradesEquity!$1:$1048576,2,FALSE)</f>
        <v>#N/A</v>
      </c>
      <c r="H231" s="343" t="e">
        <f>VLOOKUP(A231,TradesEquity!$1:$1048576,21,FALSE)</f>
        <v>#N/A</v>
      </c>
      <c r="I231" s="344" t="e">
        <f>IF(VLOOKUP(A231,TradesEquity!$1:$1048576,3,FALSE)="BUY","B","S")</f>
        <v>#N/A</v>
      </c>
      <c r="J231" s="344" t="e">
        <f>VLOOKUP(A231,TradesEquity!$1:$1048576,5,FALSE)</f>
        <v>#N/A</v>
      </c>
      <c r="K231" s="342" t="s">
        <v>19</v>
      </c>
      <c r="L231" s="345" t="s">
        <v>1958</v>
      </c>
      <c r="AE231" s="346" t="e">
        <f>VLOOKUP(A231,TradesEquity!$1:$1048576,10,FALSE)</f>
        <v>#N/A</v>
      </c>
      <c r="AF231" s="346" t="e">
        <f t="shared" si="11"/>
        <v>#N/A</v>
      </c>
      <c r="AG231" s="346" t="e">
        <f t="shared" si="12"/>
        <v>#N/A</v>
      </c>
      <c r="AH231" s="346" t="e">
        <f t="shared" si="13"/>
        <v>#N/A</v>
      </c>
      <c r="AI231" s="346" t="e">
        <f>ABS(VLOOKUP(A231,TradesEquity!$1:$1048576,13,FALSE))</f>
        <v>#N/A</v>
      </c>
      <c r="AJ231" s="347">
        <v>0</v>
      </c>
      <c r="AK231" s="347">
        <v>1</v>
      </c>
      <c r="AL231" s="346" t="e">
        <f>VLOOKUP(A231,TradesEquity!$1:$1048576,11,FALSE)</f>
        <v>#N/A</v>
      </c>
      <c r="AM231" s="347">
        <v>1</v>
      </c>
      <c r="AN231" s="346" t="e">
        <f>ABS(VLOOKUP(A231,TradesEquity!$1:$1048576,14,FALSE))</f>
        <v>#N/A</v>
      </c>
      <c r="AO231" s="346" t="e">
        <f>ABS(VLOOKUP(A231,TradesEquity!$1:$1048576,15,FALSE))</f>
        <v>#N/A</v>
      </c>
      <c r="AP231" s="348" t="e">
        <f>ABS(VLOOKUP(A231,TradesEquity!$1:$1048576,16,FALSE))</f>
        <v>#N/A</v>
      </c>
      <c r="AQ231" s="286">
        <v>0</v>
      </c>
      <c r="AR231" s="286">
        <v>0</v>
      </c>
      <c r="AS231" s="286">
        <v>0</v>
      </c>
      <c r="AT231" s="286">
        <v>0</v>
      </c>
      <c r="AU231" s="286">
        <v>0</v>
      </c>
      <c r="AV231" s="348" t="e">
        <f>ABS(VLOOKUP(A231,TradesEquity!$1:$1048576,18,FALSE))</f>
        <v>#N/A</v>
      </c>
      <c r="AW231" s="349">
        <v>0</v>
      </c>
      <c r="AX231" s="350">
        <v>4542</v>
      </c>
      <c r="AY231" s="351" t="s">
        <v>1959</v>
      </c>
      <c r="AZ231" s="352" t="e">
        <f>(VLOOKUP(A231,TradesEquity!$1:$1048576,29,FALSE))</f>
        <v>#N/A</v>
      </c>
      <c r="BA231" s="352" t="e">
        <f>(VLOOKUP(A231,TradesEquity!$1:$1048576,30,FALSE))</f>
        <v>#N/A</v>
      </c>
      <c r="BB231" s="352" t="e">
        <f>(VLOOKUP(A231,TradesEquity!$1:$1048576,31,FALSE))</f>
        <v>#N/A</v>
      </c>
      <c r="BC231" s="352" t="e">
        <f>(VLOOKUP(A231,TradesEquity!$1:$1048576,32,FALSE))</f>
        <v>#N/A</v>
      </c>
      <c r="BI231" s="352" t="e">
        <f>(VLOOKUP(A231,TradesEquity!$1:$1048576,38,FALSE))</f>
        <v>#N/A</v>
      </c>
      <c r="BJ231" s="352" t="e">
        <f>(VLOOKUP(A231,TradesEquity!$1:$1048576,39,FALSE))</f>
        <v>#N/A</v>
      </c>
      <c r="BK231" s="352" t="e">
        <f>(VLOOKUP(A231,TradesEquity!$1:$1048576,40,FALSE))</f>
        <v>#N/A</v>
      </c>
    </row>
    <row r="232" spans="4:63">
      <c r="D232" s="342" t="s">
        <v>1957</v>
      </c>
      <c r="F232" s="343" t="e">
        <f>VLOOKUP(A232,TradesEquity!$1:$1048576,2,FALSE)</f>
        <v>#N/A</v>
      </c>
      <c r="H232" s="343" t="e">
        <f>VLOOKUP(A232,TradesEquity!$1:$1048576,21,FALSE)</f>
        <v>#N/A</v>
      </c>
      <c r="I232" s="344" t="e">
        <f>IF(VLOOKUP(A232,TradesEquity!$1:$1048576,3,FALSE)="BUY","B","S")</f>
        <v>#N/A</v>
      </c>
      <c r="J232" s="344" t="e">
        <f>VLOOKUP(A232,TradesEquity!$1:$1048576,5,FALSE)</f>
        <v>#N/A</v>
      </c>
      <c r="K232" s="342" t="s">
        <v>19</v>
      </c>
      <c r="L232" s="345" t="s">
        <v>1958</v>
      </c>
      <c r="AE232" s="346" t="e">
        <f>VLOOKUP(A232,TradesEquity!$1:$1048576,10,FALSE)</f>
        <v>#N/A</v>
      </c>
      <c r="AF232" s="346" t="e">
        <f t="shared" si="11"/>
        <v>#N/A</v>
      </c>
      <c r="AG232" s="346" t="e">
        <f t="shared" si="12"/>
        <v>#N/A</v>
      </c>
      <c r="AH232" s="346" t="e">
        <f t="shared" si="13"/>
        <v>#N/A</v>
      </c>
      <c r="AI232" s="346" t="e">
        <f>ABS(VLOOKUP(A232,TradesEquity!$1:$1048576,13,FALSE))</f>
        <v>#N/A</v>
      </c>
      <c r="AJ232" s="347">
        <v>0</v>
      </c>
      <c r="AK232" s="347">
        <v>1</v>
      </c>
      <c r="AL232" s="346" t="e">
        <f>VLOOKUP(A232,TradesEquity!$1:$1048576,11,FALSE)</f>
        <v>#N/A</v>
      </c>
      <c r="AM232" s="347">
        <v>1</v>
      </c>
      <c r="AN232" s="346" t="e">
        <f>ABS(VLOOKUP(A232,TradesEquity!$1:$1048576,14,FALSE))</f>
        <v>#N/A</v>
      </c>
      <c r="AO232" s="346" t="e">
        <f>ABS(VLOOKUP(A232,TradesEquity!$1:$1048576,15,FALSE))</f>
        <v>#N/A</v>
      </c>
      <c r="AP232" s="348" t="e">
        <f>ABS(VLOOKUP(A232,TradesEquity!$1:$1048576,16,FALSE))</f>
        <v>#N/A</v>
      </c>
      <c r="AQ232" s="286">
        <v>0</v>
      </c>
      <c r="AR232" s="286">
        <v>0</v>
      </c>
      <c r="AS232" s="286">
        <v>0</v>
      </c>
      <c r="AT232" s="286">
        <v>0</v>
      </c>
      <c r="AU232" s="286">
        <v>0</v>
      </c>
      <c r="AV232" s="348" t="e">
        <f>ABS(VLOOKUP(A232,TradesEquity!$1:$1048576,18,FALSE))</f>
        <v>#N/A</v>
      </c>
      <c r="AW232" s="349">
        <v>0</v>
      </c>
      <c r="AX232" s="350">
        <v>4542</v>
      </c>
      <c r="AY232" s="351" t="s">
        <v>1959</v>
      </c>
      <c r="AZ232" s="352" t="e">
        <f>(VLOOKUP(A232,TradesEquity!$1:$1048576,29,FALSE))</f>
        <v>#N/A</v>
      </c>
      <c r="BA232" s="352" t="e">
        <f>(VLOOKUP(A232,TradesEquity!$1:$1048576,30,FALSE))</f>
        <v>#N/A</v>
      </c>
      <c r="BB232" s="352" t="e">
        <f>(VLOOKUP(A232,TradesEquity!$1:$1048576,31,FALSE))</f>
        <v>#N/A</v>
      </c>
      <c r="BC232" s="352" t="e">
        <f>(VLOOKUP(A232,TradesEquity!$1:$1048576,32,FALSE))</f>
        <v>#N/A</v>
      </c>
      <c r="BI232" s="352" t="e">
        <f>(VLOOKUP(A232,TradesEquity!$1:$1048576,38,FALSE))</f>
        <v>#N/A</v>
      </c>
      <c r="BJ232" s="352" t="e">
        <f>(VLOOKUP(A232,TradesEquity!$1:$1048576,39,FALSE))</f>
        <v>#N/A</v>
      </c>
      <c r="BK232" s="352" t="e">
        <f>(VLOOKUP(A232,TradesEquity!$1:$1048576,40,FALSE))</f>
        <v>#N/A</v>
      </c>
    </row>
    <row r="233" spans="4:63">
      <c r="D233" s="342" t="s">
        <v>1957</v>
      </c>
      <c r="F233" s="343" t="e">
        <f>VLOOKUP(A233,TradesEquity!$1:$1048576,2,FALSE)</f>
        <v>#N/A</v>
      </c>
      <c r="H233" s="343" t="e">
        <f>VLOOKUP(A233,TradesEquity!$1:$1048576,21,FALSE)</f>
        <v>#N/A</v>
      </c>
      <c r="I233" s="344" t="e">
        <f>IF(VLOOKUP(A233,TradesEquity!$1:$1048576,3,FALSE)="BUY","B","S")</f>
        <v>#N/A</v>
      </c>
      <c r="J233" s="344" t="e">
        <f>VLOOKUP(A233,TradesEquity!$1:$1048576,5,FALSE)</f>
        <v>#N/A</v>
      </c>
      <c r="K233" s="342" t="s">
        <v>19</v>
      </c>
      <c r="L233" s="345" t="s">
        <v>1958</v>
      </c>
      <c r="AE233" s="346" t="e">
        <f>VLOOKUP(A233,TradesEquity!$1:$1048576,10,FALSE)</f>
        <v>#N/A</v>
      </c>
      <c r="AF233" s="346" t="e">
        <f t="shared" ref="AF233:AF296" si="14">AE233</f>
        <v>#N/A</v>
      </c>
      <c r="AG233" s="346" t="e">
        <f t="shared" ref="AG233:AG296" si="15">AF233</f>
        <v>#N/A</v>
      </c>
      <c r="AH233" s="346" t="e">
        <f t="shared" ref="AH233:AH296" si="16">AG233</f>
        <v>#N/A</v>
      </c>
      <c r="AI233" s="346" t="e">
        <f>ABS(VLOOKUP(A233,TradesEquity!$1:$1048576,13,FALSE))</f>
        <v>#N/A</v>
      </c>
      <c r="AJ233" s="347">
        <v>0</v>
      </c>
      <c r="AK233" s="347">
        <v>1</v>
      </c>
      <c r="AL233" s="346" t="e">
        <f>VLOOKUP(A233,TradesEquity!$1:$1048576,11,FALSE)</f>
        <v>#N/A</v>
      </c>
      <c r="AM233" s="347">
        <v>1</v>
      </c>
      <c r="AN233" s="346" t="e">
        <f>ABS(VLOOKUP(A233,TradesEquity!$1:$1048576,14,FALSE))</f>
        <v>#N/A</v>
      </c>
      <c r="AO233" s="346" t="e">
        <f>ABS(VLOOKUP(A233,TradesEquity!$1:$1048576,15,FALSE))</f>
        <v>#N/A</v>
      </c>
      <c r="AP233" s="348" t="e">
        <f>ABS(VLOOKUP(A233,TradesEquity!$1:$1048576,16,FALSE))</f>
        <v>#N/A</v>
      </c>
      <c r="AQ233" s="286">
        <v>0</v>
      </c>
      <c r="AR233" s="286">
        <v>0</v>
      </c>
      <c r="AS233" s="286">
        <v>0</v>
      </c>
      <c r="AT233" s="286">
        <v>0</v>
      </c>
      <c r="AU233" s="286">
        <v>0</v>
      </c>
      <c r="AV233" s="348" t="e">
        <f>ABS(VLOOKUP(A233,TradesEquity!$1:$1048576,18,FALSE))</f>
        <v>#N/A</v>
      </c>
      <c r="AW233" s="349">
        <v>0</v>
      </c>
      <c r="AX233" s="350">
        <v>4542</v>
      </c>
      <c r="AY233" s="351" t="s">
        <v>1959</v>
      </c>
      <c r="AZ233" s="352" t="e">
        <f>(VLOOKUP(A233,TradesEquity!$1:$1048576,29,FALSE))</f>
        <v>#N/A</v>
      </c>
      <c r="BA233" s="352" t="e">
        <f>(VLOOKUP(A233,TradesEquity!$1:$1048576,30,FALSE))</f>
        <v>#N/A</v>
      </c>
      <c r="BB233" s="352" t="e">
        <f>(VLOOKUP(A233,TradesEquity!$1:$1048576,31,FALSE))</f>
        <v>#N/A</v>
      </c>
      <c r="BC233" s="352" t="e">
        <f>(VLOOKUP(A233,TradesEquity!$1:$1048576,32,FALSE))</f>
        <v>#N/A</v>
      </c>
      <c r="BI233" s="352" t="e">
        <f>(VLOOKUP(A233,TradesEquity!$1:$1048576,38,FALSE))</f>
        <v>#N/A</v>
      </c>
      <c r="BJ233" s="352" t="e">
        <f>(VLOOKUP(A233,TradesEquity!$1:$1048576,39,FALSE))</f>
        <v>#N/A</v>
      </c>
      <c r="BK233" s="352" t="e">
        <f>(VLOOKUP(A233,TradesEquity!$1:$1048576,40,FALSE))</f>
        <v>#N/A</v>
      </c>
    </row>
    <row r="234" spans="4:63">
      <c r="D234" s="342" t="s">
        <v>1957</v>
      </c>
      <c r="F234" s="343" t="e">
        <f>VLOOKUP(A234,TradesEquity!$1:$1048576,2,FALSE)</f>
        <v>#N/A</v>
      </c>
      <c r="H234" s="343" t="e">
        <f>VLOOKUP(A234,TradesEquity!$1:$1048576,21,FALSE)</f>
        <v>#N/A</v>
      </c>
      <c r="I234" s="344" t="e">
        <f>IF(VLOOKUP(A234,TradesEquity!$1:$1048576,3,FALSE)="BUY","B","S")</f>
        <v>#N/A</v>
      </c>
      <c r="J234" s="344" t="e">
        <f>VLOOKUP(A234,TradesEquity!$1:$1048576,5,FALSE)</f>
        <v>#N/A</v>
      </c>
      <c r="K234" s="342" t="s">
        <v>19</v>
      </c>
      <c r="L234" s="345" t="s">
        <v>1958</v>
      </c>
      <c r="AE234" s="346" t="e">
        <f>VLOOKUP(A234,TradesEquity!$1:$1048576,10,FALSE)</f>
        <v>#N/A</v>
      </c>
      <c r="AF234" s="346" t="e">
        <f t="shared" si="14"/>
        <v>#N/A</v>
      </c>
      <c r="AG234" s="346" t="e">
        <f t="shared" si="15"/>
        <v>#N/A</v>
      </c>
      <c r="AH234" s="346" t="e">
        <f t="shared" si="16"/>
        <v>#N/A</v>
      </c>
      <c r="AI234" s="346" t="e">
        <f>ABS(VLOOKUP(A234,TradesEquity!$1:$1048576,13,FALSE))</f>
        <v>#N/A</v>
      </c>
      <c r="AJ234" s="347">
        <v>0</v>
      </c>
      <c r="AK234" s="347">
        <v>1</v>
      </c>
      <c r="AL234" s="346" t="e">
        <f>VLOOKUP(A234,TradesEquity!$1:$1048576,11,FALSE)</f>
        <v>#N/A</v>
      </c>
      <c r="AM234" s="347">
        <v>1</v>
      </c>
      <c r="AN234" s="346" t="e">
        <f>ABS(VLOOKUP(A234,TradesEquity!$1:$1048576,14,FALSE))</f>
        <v>#N/A</v>
      </c>
      <c r="AO234" s="346" t="e">
        <f>ABS(VLOOKUP(A234,TradesEquity!$1:$1048576,15,FALSE))</f>
        <v>#N/A</v>
      </c>
      <c r="AP234" s="348" t="e">
        <f>ABS(VLOOKUP(A234,TradesEquity!$1:$1048576,16,FALSE))</f>
        <v>#N/A</v>
      </c>
      <c r="AQ234" s="286">
        <v>0</v>
      </c>
      <c r="AR234" s="286">
        <v>0</v>
      </c>
      <c r="AS234" s="286">
        <v>0</v>
      </c>
      <c r="AT234" s="286">
        <v>0</v>
      </c>
      <c r="AU234" s="286">
        <v>0</v>
      </c>
      <c r="AV234" s="348" t="e">
        <f>ABS(VLOOKUP(A234,TradesEquity!$1:$1048576,18,FALSE))</f>
        <v>#N/A</v>
      </c>
      <c r="AW234" s="349">
        <v>0</v>
      </c>
      <c r="AX234" s="350">
        <v>4542</v>
      </c>
      <c r="AY234" s="351" t="s">
        <v>1959</v>
      </c>
      <c r="AZ234" s="352" t="e">
        <f>(VLOOKUP(A234,TradesEquity!$1:$1048576,29,FALSE))</f>
        <v>#N/A</v>
      </c>
      <c r="BA234" s="352" t="e">
        <f>(VLOOKUP(A234,TradesEquity!$1:$1048576,30,FALSE))</f>
        <v>#N/A</v>
      </c>
      <c r="BB234" s="352" t="e">
        <f>(VLOOKUP(A234,TradesEquity!$1:$1048576,31,FALSE))</f>
        <v>#N/A</v>
      </c>
      <c r="BC234" s="352" t="e">
        <f>(VLOOKUP(A234,TradesEquity!$1:$1048576,32,FALSE))</f>
        <v>#N/A</v>
      </c>
      <c r="BI234" s="352" t="e">
        <f>(VLOOKUP(A234,TradesEquity!$1:$1048576,38,FALSE))</f>
        <v>#N/A</v>
      </c>
      <c r="BJ234" s="352" t="e">
        <f>(VLOOKUP(A234,TradesEquity!$1:$1048576,39,FALSE))</f>
        <v>#N/A</v>
      </c>
      <c r="BK234" s="352" t="e">
        <f>(VLOOKUP(A234,TradesEquity!$1:$1048576,40,FALSE))</f>
        <v>#N/A</v>
      </c>
    </row>
    <row r="235" spans="4:63">
      <c r="D235" s="342" t="s">
        <v>1957</v>
      </c>
      <c r="F235" s="343" t="e">
        <f>VLOOKUP(A235,TradesEquity!$1:$1048576,2,FALSE)</f>
        <v>#N/A</v>
      </c>
      <c r="H235" s="343" t="e">
        <f>VLOOKUP(A235,TradesEquity!$1:$1048576,21,FALSE)</f>
        <v>#N/A</v>
      </c>
      <c r="I235" s="344" t="e">
        <f>IF(VLOOKUP(A235,TradesEquity!$1:$1048576,3,FALSE)="BUY","B","S")</f>
        <v>#N/A</v>
      </c>
      <c r="J235" s="344" t="e">
        <f>VLOOKUP(A235,TradesEquity!$1:$1048576,5,FALSE)</f>
        <v>#N/A</v>
      </c>
      <c r="K235" s="342" t="s">
        <v>19</v>
      </c>
      <c r="L235" s="345" t="s">
        <v>1958</v>
      </c>
      <c r="AE235" s="346" t="e">
        <f>VLOOKUP(A235,TradesEquity!$1:$1048576,10,FALSE)</f>
        <v>#N/A</v>
      </c>
      <c r="AF235" s="346" t="e">
        <f t="shared" si="14"/>
        <v>#N/A</v>
      </c>
      <c r="AG235" s="346" t="e">
        <f t="shared" si="15"/>
        <v>#N/A</v>
      </c>
      <c r="AH235" s="346" t="e">
        <f t="shared" si="16"/>
        <v>#N/A</v>
      </c>
      <c r="AI235" s="346" t="e">
        <f>ABS(VLOOKUP(A235,TradesEquity!$1:$1048576,13,FALSE))</f>
        <v>#N/A</v>
      </c>
      <c r="AJ235" s="347">
        <v>0</v>
      </c>
      <c r="AK235" s="347">
        <v>1</v>
      </c>
      <c r="AL235" s="346" t="e">
        <f>VLOOKUP(A235,TradesEquity!$1:$1048576,11,FALSE)</f>
        <v>#N/A</v>
      </c>
      <c r="AM235" s="347">
        <v>1</v>
      </c>
      <c r="AN235" s="346" t="e">
        <f>ABS(VLOOKUP(A235,TradesEquity!$1:$1048576,14,FALSE))</f>
        <v>#N/A</v>
      </c>
      <c r="AO235" s="346" t="e">
        <f>ABS(VLOOKUP(A235,TradesEquity!$1:$1048576,15,FALSE))</f>
        <v>#N/A</v>
      </c>
      <c r="AP235" s="348" t="e">
        <f>ABS(VLOOKUP(A235,TradesEquity!$1:$1048576,16,FALSE))</f>
        <v>#N/A</v>
      </c>
      <c r="AQ235" s="286">
        <v>0</v>
      </c>
      <c r="AR235" s="286">
        <v>0</v>
      </c>
      <c r="AS235" s="286">
        <v>0</v>
      </c>
      <c r="AT235" s="286">
        <v>0</v>
      </c>
      <c r="AU235" s="286">
        <v>0</v>
      </c>
      <c r="AV235" s="348" t="e">
        <f>ABS(VLOOKUP(A235,TradesEquity!$1:$1048576,18,FALSE))</f>
        <v>#N/A</v>
      </c>
      <c r="AW235" s="349">
        <v>0</v>
      </c>
      <c r="AX235" s="350">
        <v>4542</v>
      </c>
      <c r="AY235" s="351" t="s">
        <v>1959</v>
      </c>
      <c r="AZ235" s="352" t="e">
        <f>(VLOOKUP(A235,TradesEquity!$1:$1048576,29,FALSE))</f>
        <v>#N/A</v>
      </c>
      <c r="BA235" s="352" t="e">
        <f>(VLOOKUP(A235,TradesEquity!$1:$1048576,30,FALSE))</f>
        <v>#N/A</v>
      </c>
      <c r="BB235" s="352" t="e">
        <f>(VLOOKUP(A235,TradesEquity!$1:$1048576,31,FALSE))</f>
        <v>#N/A</v>
      </c>
      <c r="BC235" s="352" t="e">
        <f>(VLOOKUP(A235,TradesEquity!$1:$1048576,32,FALSE))</f>
        <v>#N/A</v>
      </c>
      <c r="BI235" s="352" t="e">
        <f>(VLOOKUP(A235,TradesEquity!$1:$1048576,38,FALSE))</f>
        <v>#N/A</v>
      </c>
      <c r="BJ235" s="352" t="e">
        <f>(VLOOKUP(A235,TradesEquity!$1:$1048576,39,FALSE))</f>
        <v>#N/A</v>
      </c>
      <c r="BK235" s="352" t="e">
        <f>(VLOOKUP(A235,TradesEquity!$1:$1048576,40,FALSE))</f>
        <v>#N/A</v>
      </c>
    </row>
    <row r="236" spans="4:63">
      <c r="D236" s="342" t="s">
        <v>1957</v>
      </c>
      <c r="F236" s="343" t="e">
        <f>VLOOKUP(A236,TradesEquity!$1:$1048576,2,FALSE)</f>
        <v>#N/A</v>
      </c>
      <c r="H236" s="343" t="e">
        <f>VLOOKUP(A236,TradesEquity!$1:$1048576,21,FALSE)</f>
        <v>#N/A</v>
      </c>
      <c r="I236" s="344" t="e">
        <f>IF(VLOOKUP(A236,TradesEquity!$1:$1048576,3,FALSE)="BUY","B","S")</f>
        <v>#N/A</v>
      </c>
      <c r="J236" s="344" t="e">
        <f>VLOOKUP(A236,TradesEquity!$1:$1048576,5,FALSE)</f>
        <v>#N/A</v>
      </c>
      <c r="K236" s="342" t="s">
        <v>19</v>
      </c>
      <c r="L236" s="345" t="s">
        <v>1958</v>
      </c>
      <c r="AE236" s="346" t="e">
        <f>VLOOKUP(A236,TradesEquity!$1:$1048576,10,FALSE)</f>
        <v>#N/A</v>
      </c>
      <c r="AF236" s="346" t="e">
        <f t="shared" si="14"/>
        <v>#N/A</v>
      </c>
      <c r="AG236" s="346" t="e">
        <f t="shared" si="15"/>
        <v>#N/A</v>
      </c>
      <c r="AH236" s="346" t="e">
        <f t="shared" si="16"/>
        <v>#N/A</v>
      </c>
      <c r="AI236" s="346" t="e">
        <f>ABS(VLOOKUP(A236,TradesEquity!$1:$1048576,13,FALSE))</f>
        <v>#N/A</v>
      </c>
      <c r="AJ236" s="347">
        <v>0</v>
      </c>
      <c r="AK236" s="347">
        <v>1</v>
      </c>
      <c r="AL236" s="346" t="e">
        <f>VLOOKUP(A236,TradesEquity!$1:$1048576,11,FALSE)</f>
        <v>#N/A</v>
      </c>
      <c r="AM236" s="347">
        <v>1</v>
      </c>
      <c r="AN236" s="346" t="e">
        <f>ABS(VLOOKUP(A236,TradesEquity!$1:$1048576,14,FALSE))</f>
        <v>#N/A</v>
      </c>
      <c r="AO236" s="346" t="e">
        <f>ABS(VLOOKUP(A236,TradesEquity!$1:$1048576,15,FALSE))</f>
        <v>#N/A</v>
      </c>
      <c r="AP236" s="348" t="e">
        <f>ABS(VLOOKUP(A236,TradesEquity!$1:$1048576,16,FALSE))</f>
        <v>#N/A</v>
      </c>
      <c r="AQ236" s="286">
        <v>0</v>
      </c>
      <c r="AR236" s="286">
        <v>0</v>
      </c>
      <c r="AS236" s="286">
        <v>0</v>
      </c>
      <c r="AT236" s="286">
        <v>0</v>
      </c>
      <c r="AU236" s="286">
        <v>0</v>
      </c>
      <c r="AV236" s="348" t="e">
        <f>ABS(VLOOKUP(A236,TradesEquity!$1:$1048576,18,FALSE))</f>
        <v>#N/A</v>
      </c>
      <c r="AW236" s="349">
        <v>0</v>
      </c>
      <c r="AX236" s="350">
        <v>4542</v>
      </c>
      <c r="AY236" s="351" t="s">
        <v>1959</v>
      </c>
      <c r="AZ236" s="352" t="e">
        <f>(VLOOKUP(A236,TradesEquity!$1:$1048576,29,FALSE))</f>
        <v>#N/A</v>
      </c>
      <c r="BA236" s="352" t="e">
        <f>(VLOOKUP(A236,TradesEquity!$1:$1048576,30,FALSE))</f>
        <v>#N/A</v>
      </c>
      <c r="BB236" s="352" t="e">
        <f>(VLOOKUP(A236,TradesEquity!$1:$1048576,31,FALSE))</f>
        <v>#N/A</v>
      </c>
      <c r="BC236" s="352" t="e">
        <f>(VLOOKUP(A236,TradesEquity!$1:$1048576,32,FALSE))</f>
        <v>#N/A</v>
      </c>
      <c r="BI236" s="352" t="e">
        <f>(VLOOKUP(A236,TradesEquity!$1:$1048576,38,FALSE))</f>
        <v>#N/A</v>
      </c>
      <c r="BJ236" s="352" t="e">
        <f>(VLOOKUP(A236,TradesEquity!$1:$1048576,39,FALSE))</f>
        <v>#N/A</v>
      </c>
      <c r="BK236" s="352" t="e">
        <f>(VLOOKUP(A236,TradesEquity!$1:$1048576,40,FALSE))</f>
        <v>#N/A</v>
      </c>
    </row>
    <row r="237" spans="4:63">
      <c r="D237" s="342" t="s">
        <v>1957</v>
      </c>
      <c r="F237" s="343" t="e">
        <f>VLOOKUP(A237,TradesEquity!$1:$1048576,2,FALSE)</f>
        <v>#N/A</v>
      </c>
      <c r="H237" s="343" t="e">
        <f>VLOOKUP(A237,TradesEquity!$1:$1048576,21,FALSE)</f>
        <v>#N/A</v>
      </c>
      <c r="I237" s="344" t="e">
        <f>IF(VLOOKUP(A237,TradesEquity!$1:$1048576,3,FALSE)="BUY","B","S")</f>
        <v>#N/A</v>
      </c>
      <c r="J237" s="344" t="e">
        <f>VLOOKUP(A237,TradesEquity!$1:$1048576,5,FALSE)</f>
        <v>#N/A</v>
      </c>
      <c r="K237" s="342" t="s">
        <v>19</v>
      </c>
      <c r="L237" s="345" t="s">
        <v>1958</v>
      </c>
      <c r="AE237" s="346" t="e">
        <f>VLOOKUP(A237,TradesEquity!$1:$1048576,10,FALSE)</f>
        <v>#N/A</v>
      </c>
      <c r="AF237" s="346" t="e">
        <f t="shared" si="14"/>
        <v>#N/A</v>
      </c>
      <c r="AG237" s="346" t="e">
        <f t="shared" si="15"/>
        <v>#N/A</v>
      </c>
      <c r="AH237" s="346" t="e">
        <f t="shared" si="16"/>
        <v>#N/A</v>
      </c>
      <c r="AI237" s="346" t="e">
        <f>ABS(VLOOKUP(A237,TradesEquity!$1:$1048576,13,FALSE))</f>
        <v>#N/A</v>
      </c>
      <c r="AJ237" s="347">
        <v>0</v>
      </c>
      <c r="AK237" s="347">
        <v>1</v>
      </c>
      <c r="AL237" s="346" t="e">
        <f>VLOOKUP(A237,TradesEquity!$1:$1048576,11,FALSE)</f>
        <v>#N/A</v>
      </c>
      <c r="AM237" s="347">
        <v>1</v>
      </c>
      <c r="AN237" s="346" t="e">
        <f>ABS(VLOOKUP(A237,TradesEquity!$1:$1048576,14,FALSE))</f>
        <v>#N/A</v>
      </c>
      <c r="AO237" s="346" t="e">
        <f>ABS(VLOOKUP(A237,TradesEquity!$1:$1048576,15,FALSE))</f>
        <v>#N/A</v>
      </c>
      <c r="AP237" s="348" t="e">
        <f>ABS(VLOOKUP(A237,TradesEquity!$1:$1048576,16,FALSE))</f>
        <v>#N/A</v>
      </c>
      <c r="AQ237" s="286">
        <v>0</v>
      </c>
      <c r="AR237" s="286">
        <v>0</v>
      </c>
      <c r="AS237" s="286">
        <v>0</v>
      </c>
      <c r="AT237" s="286">
        <v>0</v>
      </c>
      <c r="AU237" s="286">
        <v>0</v>
      </c>
      <c r="AV237" s="348" t="e">
        <f>ABS(VLOOKUP(A237,TradesEquity!$1:$1048576,18,FALSE))</f>
        <v>#N/A</v>
      </c>
      <c r="AW237" s="349">
        <v>0</v>
      </c>
      <c r="AX237" s="350">
        <v>4542</v>
      </c>
      <c r="AY237" s="351" t="s">
        <v>1959</v>
      </c>
      <c r="AZ237" s="352" t="e">
        <f>(VLOOKUP(A237,TradesEquity!$1:$1048576,29,FALSE))</f>
        <v>#N/A</v>
      </c>
      <c r="BA237" s="352" t="e">
        <f>(VLOOKUP(A237,TradesEquity!$1:$1048576,30,FALSE))</f>
        <v>#N/A</v>
      </c>
      <c r="BB237" s="352" t="e">
        <f>(VLOOKUP(A237,TradesEquity!$1:$1048576,31,FALSE))</f>
        <v>#N/A</v>
      </c>
      <c r="BC237" s="352" t="e">
        <f>(VLOOKUP(A237,TradesEquity!$1:$1048576,32,FALSE))</f>
        <v>#N/A</v>
      </c>
      <c r="BI237" s="352" t="e">
        <f>(VLOOKUP(A237,TradesEquity!$1:$1048576,38,FALSE))</f>
        <v>#N/A</v>
      </c>
      <c r="BJ237" s="352" t="e">
        <f>(VLOOKUP(A237,TradesEquity!$1:$1048576,39,FALSE))</f>
        <v>#N/A</v>
      </c>
      <c r="BK237" s="352" t="e">
        <f>(VLOOKUP(A237,TradesEquity!$1:$1048576,40,FALSE))</f>
        <v>#N/A</v>
      </c>
    </row>
    <row r="238" spans="4:63">
      <c r="D238" s="342" t="s">
        <v>1957</v>
      </c>
      <c r="F238" s="343" t="e">
        <f>VLOOKUP(A238,TradesEquity!$1:$1048576,2,FALSE)</f>
        <v>#N/A</v>
      </c>
      <c r="H238" s="343" t="e">
        <f>VLOOKUP(A238,TradesEquity!$1:$1048576,21,FALSE)</f>
        <v>#N/A</v>
      </c>
      <c r="I238" s="344" t="e">
        <f>IF(VLOOKUP(A238,TradesEquity!$1:$1048576,3,FALSE)="BUY","B","S")</f>
        <v>#N/A</v>
      </c>
      <c r="J238" s="344" t="e">
        <f>VLOOKUP(A238,TradesEquity!$1:$1048576,5,FALSE)</f>
        <v>#N/A</v>
      </c>
      <c r="K238" s="342" t="s">
        <v>19</v>
      </c>
      <c r="L238" s="345" t="s">
        <v>1958</v>
      </c>
      <c r="AE238" s="346" t="e">
        <f>VLOOKUP(A238,TradesEquity!$1:$1048576,10,FALSE)</f>
        <v>#N/A</v>
      </c>
      <c r="AF238" s="346" t="e">
        <f t="shared" si="14"/>
        <v>#N/A</v>
      </c>
      <c r="AG238" s="346" t="e">
        <f t="shared" si="15"/>
        <v>#N/A</v>
      </c>
      <c r="AH238" s="346" t="e">
        <f t="shared" si="16"/>
        <v>#N/A</v>
      </c>
      <c r="AI238" s="346" t="e">
        <f>ABS(VLOOKUP(A238,TradesEquity!$1:$1048576,13,FALSE))</f>
        <v>#N/A</v>
      </c>
      <c r="AJ238" s="347">
        <v>0</v>
      </c>
      <c r="AK238" s="347">
        <v>1</v>
      </c>
      <c r="AL238" s="346" t="e">
        <f>VLOOKUP(A238,TradesEquity!$1:$1048576,11,FALSE)</f>
        <v>#N/A</v>
      </c>
      <c r="AM238" s="347">
        <v>1</v>
      </c>
      <c r="AN238" s="346" t="e">
        <f>ABS(VLOOKUP(A238,TradesEquity!$1:$1048576,14,FALSE))</f>
        <v>#N/A</v>
      </c>
      <c r="AO238" s="346" t="e">
        <f>ABS(VLOOKUP(A238,TradesEquity!$1:$1048576,15,FALSE))</f>
        <v>#N/A</v>
      </c>
      <c r="AP238" s="348" t="e">
        <f>ABS(VLOOKUP(A238,TradesEquity!$1:$1048576,16,FALSE))</f>
        <v>#N/A</v>
      </c>
      <c r="AQ238" s="286">
        <v>0</v>
      </c>
      <c r="AR238" s="286">
        <v>0</v>
      </c>
      <c r="AS238" s="286">
        <v>0</v>
      </c>
      <c r="AT238" s="286">
        <v>0</v>
      </c>
      <c r="AU238" s="286">
        <v>0</v>
      </c>
      <c r="AV238" s="348" t="e">
        <f>ABS(VLOOKUP(A238,TradesEquity!$1:$1048576,18,FALSE))</f>
        <v>#N/A</v>
      </c>
      <c r="AW238" s="349">
        <v>0</v>
      </c>
      <c r="AX238" s="350">
        <v>4542</v>
      </c>
      <c r="AY238" s="351" t="s">
        <v>1959</v>
      </c>
      <c r="AZ238" s="352" t="e">
        <f>(VLOOKUP(A238,TradesEquity!$1:$1048576,29,FALSE))</f>
        <v>#N/A</v>
      </c>
      <c r="BA238" s="352" t="e">
        <f>(VLOOKUP(A238,TradesEquity!$1:$1048576,30,FALSE))</f>
        <v>#N/A</v>
      </c>
      <c r="BB238" s="352" t="e">
        <f>(VLOOKUP(A238,TradesEquity!$1:$1048576,31,FALSE))</f>
        <v>#N/A</v>
      </c>
      <c r="BC238" s="352" t="e">
        <f>(VLOOKUP(A238,TradesEquity!$1:$1048576,32,FALSE))</f>
        <v>#N/A</v>
      </c>
      <c r="BI238" s="352" t="e">
        <f>(VLOOKUP(A238,TradesEquity!$1:$1048576,38,FALSE))</f>
        <v>#N/A</v>
      </c>
      <c r="BJ238" s="352" t="e">
        <f>(VLOOKUP(A238,TradesEquity!$1:$1048576,39,FALSE))</f>
        <v>#N/A</v>
      </c>
      <c r="BK238" s="352" t="e">
        <f>(VLOOKUP(A238,TradesEquity!$1:$1048576,40,FALSE))</f>
        <v>#N/A</v>
      </c>
    </row>
    <row r="239" spans="4:63">
      <c r="D239" s="342" t="s">
        <v>1957</v>
      </c>
      <c r="F239" s="343" t="e">
        <f>VLOOKUP(A239,TradesEquity!$1:$1048576,2,FALSE)</f>
        <v>#N/A</v>
      </c>
      <c r="H239" s="343" t="e">
        <f>VLOOKUP(A239,TradesEquity!$1:$1048576,21,FALSE)</f>
        <v>#N/A</v>
      </c>
      <c r="I239" s="344" t="e">
        <f>IF(VLOOKUP(A239,TradesEquity!$1:$1048576,3,FALSE)="BUY","B","S")</f>
        <v>#N/A</v>
      </c>
      <c r="J239" s="344" t="e">
        <f>VLOOKUP(A239,TradesEquity!$1:$1048576,5,FALSE)</f>
        <v>#N/A</v>
      </c>
      <c r="K239" s="342" t="s">
        <v>19</v>
      </c>
      <c r="L239" s="345" t="s">
        <v>1958</v>
      </c>
      <c r="AE239" s="346" t="e">
        <f>VLOOKUP(A239,TradesEquity!$1:$1048576,10,FALSE)</f>
        <v>#N/A</v>
      </c>
      <c r="AF239" s="346" t="e">
        <f t="shared" si="14"/>
        <v>#N/A</v>
      </c>
      <c r="AG239" s="346" t="e">
        <f t="shared" si="15"/>
        <v>#N/A</v>
      </c>
      <c r="AH239" s="346" t="e">
        <f t="shared" si="16"/>
        <v>#N/A</v>
      </c>
      <c r="AI239" s="346" t="e">
        <f>ABS(VLOOKUP(A239,TradesEquity!$1:$1048576,13,FALSE))</f>
        <v>#N/A</v>
      </c>
      <c r="AJ239" s="347">
        <v>0</v>
      </c>
      <c r="AK239" s="347">
        <v>1</v>
      </c>
      <c r="AL239" s="346" t="e">
        <f>VLOOKUP(A239,TradesEquity!$1:$1048576,11,FALSE)</f>
        <v>#N/A</v>
      </c>
      <c r="AM239" s="347">
        <v>1</v>
      </c>
      <c r="AN239" s="346" t="e">
        <f>ABS(VLOOKUP(A239,TradesEquity!$1:$1048576,14,FALSE))</f>
        <v>#N/A</v>
      </c>
      <c r="AO239" s="346" t="e">
        <f>ABS(VLOOKUP(A239,TradesEquity!$1:$1048576,15,FALSE))</f>
        <v>#N/A</v>
      </c>
      <c r="AP239" s="348" t="e">
        <f>ABS(VLOOKUP(A239,TradesEquity!$1:$1048576,16,FALSE))</f>
        <v>#N/A</v>
      </c>
      <c r="AQ239" s="286">
        <v>0</v>
      </c>
      <c r="AR239" s="286">
        <v>0</v>
      </c>
      <c r="AS239" s="286">
        <v>0</v>
      </c>
      <c r="AT239" s="286">
        <v>0</v>
      </c>
      <c r="AU239" s="286">
        <v>0</v>
      </c>
      <c r="AV239" s="348" t="e">
        <f>ABS(VLOOKUP(A239,TradesEquity!$1:$1048576,18,FALSE))</f>
        <v>#N/A</v>
      </c>
      <c r="AW239" s="349">
        <v>0</v>
      </c>
      <c r="AX239" s="350">
        <v>4542</v>
      </c>
      <c r="AY239" s="351" t="s">
        <v>1959</v>
      </c>
      <c r="AZ239" s="352" t="e">
        <f>(VLOOKUP(A239,TradesEquity!$1:$1048576,29,FALSE))</f>
        <v>#N/A</v>
      </c>
      <c r="BA239" s="352" t="e">
        <f>(VLOOKUP(A239,TradesEquity!$1:$1048576,30,FALSE))</f>
        <v>#N/A</v>
      </c>
      <c r="BB239" s="352" t="e">
        <f>(VLOOKUP(A239,TradesEquity!$1:$1048576,31,FALSE))</f>
        <v>#N/A</v>
      </c>
      <c r="BC239" s="352" t="e">
        <f>(VLOOKUP(A239,TradesEquity!$1:$1048576,32,FALSE))</f>
        <v>#N/A</v>
      </c>
      <c r="BI239" s="352" t="e">
        <f>(VLOOKUP(A239,TradesEquity!$1:$1048576,38,FALSE))</f>
        <v>#N/A</v>
      </c>
      <c r="BJ239" s="352" t="e">
        <f>(VLOOKUP(A239,TradesEquity!$1:$1048576,39,FALSE))</f>
        <v>#N/A</v>
      </c>
      <c r="BK239" s="352" t="e">
        <f>(VLOOKUP(A239,TradesEquity!$1:$1048576,40,FALSE))</f>
        <v>#N/A</v>
      </c>
    </row>
    <row r="240" spans="4:63">
      <c r="D240" s="342" t="s">
        <v>1957</v>
      </c>
      <c r="F240" s="343" t="e">
        <f>VLOOKUP(A240,TradesEquity!$1:$1048576,2,FALSE)</f>
        <v>#N/A</v>
      </c>
      <c r="H240" s="343" t="e">
        <f>VLOOKUP(A240,TradesEquity!$1:$1048576,21,FALSE)</f>
        <v>#N/A</v>
      </c>
      <c r="I240" s="344" t="e">
        <f>IF(VLOOKUP(A240,TradesEquity!$1:$1048576,3,FALSE)="BUY","B","S")</f>
        <v>#N/A</v>
      </c>
      <c r="J240" s="344" t="e">
        <f>VLOOKUP(A240,TradesEquity!$1:$1048576,5,FALSE)</f>
        <v>#N/A</v>
      </c>
      <c r="K240" s="342" t="s">
        <v>19</v>
      </c>
      <c r="L240" s="345" t="s">
        <v>1958</v>
      </c>
      <c r="AE240" s="346" t="e">
        <f>VLOOKUP(A240,TradesEquity!$1:$1048576,10,FALSE)</f>
        <v>#N/A</v>
      </c>
      <c r="AF240" s="346" t="e">
        <f t="shared" si="14"/>
        <v>#N/A</v>
      </c>
      <c r="AG240" s="346" t="e">
        <f t="shared" si="15"/>
        <v>#N/A</v>
      </c>
      <c r="AH240" s="346" t="e">
        <f t="shared" si="16"/>
        <v>#N/A</v>
      </c>
      <c r="AI240" s="346" t="e">
        <f>ABS(VLOOKUP(A240,TradesEquity!$1:$1048576,13,FALSE))</f>
        <v>#N/A</v>
      </c>
      <c r="AJ240" s="347">
        <v>0</v>
      </c>
      <c r="AK240" s="347">
        <v>1</v>
      </c>
      <c r="AL240" s="346" t="e">
        <f>VLOOKUP(A240,TradesEquity!$1:$1048576,11,FALSE)</f>
        <v>#N/A</v>
      </c>
      <c r="AM240" s="347">
        <v>1</v>
      </c>
      <c r="AN240" s="346" t="e">
        <f>ABS(VLOOKUP(A240,TradesEquity!$1:$1048576,14,FALSE))</f>
        <v>#N/A</v>
      </c>
      <c r="AO240" s="346" t="e">
        <f>ABS(VLOOKUP(A240,TradesEquity!$1:$1048576,15,FALSE))</f>
        <v>#N/A</v>
      </c>
      <c r="AP240" s="348" t="e">
        <f>ABS(VLOOKUP(A240,TradesEquity!$1:$1048576,16,FALSE))</f>
        <v>#N/A</v>
      </c>
      <c r="AQ240" s="286">
        <v>0</v>
      </c>
      <c r="AR240" s="286">
        <v>0</v>
      </c>
      <c r="AS240" s="286">
        <v>0</v>
      </c>
      <c r="AT240" s="286">
        <v>0</v>
      </c>
      <c r="AU240" s="286">
        <v>0</v>
      </c>
      <c r="AV240" s="348" t="e">
        <f>ABS(VLOOKUP(A240,TradesEquity!$1:$1048576,18,FALSE))</f>
        <v>#N/A</v>
      </c>
      <c r="AW240" s="349">
        <v>0</v>
      </c>
      <c r="AX240" s="350">
        <v>4542</v>
      </c>
      <c r="AY240" s="351" t="s">
        <v>1959</v>
      </c>
      <c r="AZ240" s="352" t="e">
        <f>(VLOOKUP(A240,TradesEquity!$1:$1048576,29,FALSE))</f>
        <v>#N/A</v>
      </c>
      <c r="BA240" s="352" t="e">
        <f>(VLOOKUP(A240,TradesEquity!$1:$1048576,30,FALSE))</f>
        <v>#N/A</v>
      </c>
      <c r="BB240" s="352" t="e">
        <f>(VLOOKUP(A240,TradesEquity!$1:$1048576,31,FALSE))</f>
        <v>#N/A</v>
      </c>
      <c r="BC240" s="352" t="e">
        <f>(VLOOKUP(A240,TradesEquity!$1:$1048576,32,FALSE))</f>
        <v>#N/A</v>
      </c>
      <c r="BI240" s="352" t="e">
        <f>(VLOOKUP(A240,TradesEquity!$1:$1048576,38,FALSE))</f>
        <v>#N/A</v>
      </c>
      <c r="BJ240" s="352" t="e">
        <f>(VLOOKUP(A240,TradesEquity!$1:$1048576,39,FALSE))</f>
        <v>#N/A</v>
      </c>
      <c r="BK240" s="352" t="e">
        <f>(VLOOKUP(A240,TradesEquity!$1:$1048576,40,FALSE))</f>
        <v>#N/A</v>
      </c>
    </row>
    <row r="241" spans="4:63">
      <c r="D241" s="342" t="s">
        <v>1957</v>
      </c>
      <c r="F241" s="343" t="e">
        <f>VLOOKUP(A241,TradesEquity!$1:$1048576,2,FALSE)</f>
        <v>#N/A</v>
      </c>
      <c r="H241" s="343" t="e">
        <f>VLOOKUP(A241,TradesEquity!$1:$1048576,21,FALSE)</f>
        <v>#N/A</v>
      </c>
      <c r="I241" s="344" t="e">
        <f>IF(VLOOKUP(A241,TradesEquity!$1:$1048576,3,FALSE)="BUY","B","S")</f>
        <v>#N/A</v>
      </c>
      <c r="J241" s="344" t="e">
        <f>VLOOKUP(A241,TradesEquity!$1:$1048576,5,FALSE)</f>
        <v>#N/A</v>
      </c>
      <c r="K241" s="342" t="s">
        <v>19</v>
      </c>
      <c r="L241" s="345" t="s">
        <v>1958</v>
      </c>
      <c r="AE241" s="346" t="e">
        <f>VLOOKUP(A241,TradesEquity!$1:$1048576,10,FALSE)</f>
        <v>#N/A</v>
      </c>
      <c r="AF241" s="346" t="e">
        <f t="shared" si="14"/>
        <v>#N/A</v>
      </c>
      <c r="AG241" s="346" t="e">
        <f t="shared" si="15"/>
        <v>#N/A</v>
      </c>
      <c r="AH241" s="346" t="e">
        <f t="shared" si="16"/>
        <v>#N/A</v>
      </c>
      <c r="AI241" s="346" t="e">
        <f>ABS(VLOOKUP(A241,TradesEquity!$1:$1048576,13,FALSE))</f>
        <v>#N/A</v>
      </c>
      <c r="AJ241" s="347">
        <v>0</v>
      </c>
      <c r="AK241" s="347">
        <v>1</v>
      </c>
      <c r="AL241" s="346" t="e">
        <f>VLOOKUP(A241,TradesEquity!$1:$1048576,11,FALSE)</f>
        <v>#N/A</v>
      </c>
      <c r="AM241" s="347">
        <v>1</v>
      </c>
      <c r="AN241" s="346" t="e">
        <f>ABS(VLOOKUP(A241,TradesEquity!$1:$1048576,14,FALSE))</f>
        <v>#N/A</v>
      </c>
      <c r="AO241" s="346" t="e">
        <f>ABS(VLOOKUP(A241,TradesEquity!$1:$1048576,15,FALSE))</f>
        <v>#N/A</v>
      </c>
      <c r="AP241" s="348" t="e">
        <f>ABS(VLOOKUP(A241,TradesEquity!$1:$1048576,16,FALSE))</f>
        <v>#N/A</v>
      </c>
      <c r="AQ241" s="286">
        <v>0</v>
      </c>
      <c r="AR241" s="286">
        <v>0</v>
      </c>
      <c r="AS241" s="286">
        <v>0</v>
      </c>
      <c r="AT241" s="286">
        <v>0</v>
      </c>
      <c r="AU241" s="286">
        <v>0</v>
      </c>
      <c r="AV241" s="348" t="e">
        <f>ABS(VLOOKUP(A241,TradesEquity!$1:$1048576,18,FALSE))</f>
        <v>#N/A</v>
      </c>
      <c r="AW241" s="349">
        <v>0</v>
      </c>
      <c r="AX241" s="350">
        <v>4542</v>
      </c>
      <c r="AY241" s="351" t="s">
        <v>1959</v>
      </c>
      <c r="AZ241" s="352" t="e">
        <f>(VLOOKUP(A241,TradesEquity!$1:$1048576,29,FALSE))</f>
        <v>#N/A</v>
      </c>
      <c r="BA241" s="352" t="e">
        <f>(VLOOKUP(A241,TradesEquity!$1:$1048576,30,FALSE))</f>
        <v>#N/A</v>
      </c>
      <c r="BB241" s="352" t="e">
        <f>(VLOOKUP(A241,TradesEquity!$1:$1048576,31,FALSE))</f>
        <v>#N/A</v>
      </c>
      <c r="BC241" s="352" t="e">
        <f>(VLOOKUP(A241,TradesEquity!$1:$1048576,32,FALSE))</f>
        <v>#N/A</v>
      </c>
      <c r="BI241" s="352" t="e">
        <f>(VLOOKUP(A241,TradesEquity!$1:$1048576,38,FALSE))</f>
        <v>#N/A</v>
      </c>
      <c r="BJ241" s="352" t="e">
        <f>(VLOOKUP(A241,TradesEquity!$1:$1048576,39,FALSE))</f>
        <v>#N/A</v>
      </c>
      <c r="BK241" s="352" t="e">
        <f>(VLOOKUP(A241,TradesEquity!$1:$1048576,40,FALSE))</f>
        <v>#N/A</v>
      </c>
    </row>
    <row r="242" spans="4:63">
      <c r="D242" s="342" t="s">
        <v>1957</v>
      </c>
      <c r="F242" s="343" t="e">
        <f>VLOOKUP(A242,TradesEquity!$1:$1048576,2,FALSE)</f>
        <v>#N/A</v>
      </c>
      <c r="H242" s="343" t="e">
        <f>VLOOKUP(A242,TradesEquity!$1:$1048576,21,FALSE)</f>
        <v>#N/A</v>
      </c>
      <c r="I242" s="344" t="e">
        <f>IF(VLOOKUP(A242,TradesEquity!$1:$1048576,3,FALSE)="BUY","B","S")</f>
        <v>#N/A</v>
      </c>
      <c r="J242" s="344" t="e">
        <f>VLOOKUP(A242,TradesEquity!$1:$1048576,5,FALSE)</f>
        <v>#N/A</v>
      </c>
      <c r="K242" s="342" t="s">
        <v>19</v>
      </c>
      <c r="L242" s="345" t="s">
        <v>1958</v>
      </c>
      <c r="AE242" s="346" t="e">
        <f>VLOOKUP(A242,TradesEquity!$1:$1048576,10,FALSE)</f>
        <v>#N/A</v>
      </c>
      <c r="AF242" s="346" t="e">
        <f t="shared" si="14"/>
        <v>#N/A</v>
      </c>
      <c r="AG242" s="346" t="e">
        <f t="shared" si="15"/>
        <v>#N/A</v>
      </c>
      <c r="AH242" s="346" t="e">
        <f t="shared" si="16"/>
        <v>#N/A</v>
      </c>
      <c r="AI242" s="346" t="e">
        <f>ABS(VLOOKUP(A242,TradesEquity!$1:$1048576,13,FALSE))</f>
        <v>#N/A</v>
      </c>
      <c r="AJ242" s="347">
        <v>0</v>
      </c>
      <c r="AK242" s="347">
        <v>1</v>
      </c>
      <c r="AL242" s="346" t="e">
        <f>VLOOKUP(A242,TradesEquity!$1:$1048576,11,FALSE)</f>
        <v>#N/A</v>
      </c>
      <c r="AM242" s="347">
        <v>1</v>
      </c>
      <c r="AN242" s="346" t="e">
        <f>ABS(VLOOKUP(A242,TradesEquity!$1:$1048576,14,FALSE))</f>
        <v>#N/A</v>
      </c>
      <c r="AO242" s="346" t="e">
        <f>ABS(VLOOKUP(A242,TradesEquity!$1:$1048576,15,FALSE))</f>
        <v>#N/A</v>
      </c>
      <c r="AP242" s="348" t="e">
        <f>ABS(VLOOKUP(A242,TradesEquity!$1:$1048576,16,FALSE))</f>
        <v>#N/A</v>
      </c>
      <c r="AQ242" s="286">
        <v>0</v>
      </c>
      <c r="AR242" s="286">
        <v>0</v>
      </c>
      <c r="AS242" s="286">
        <v>0</v>
      </c>
      <c r="AT242" s="286">
        <v>0</v>
      </c>
      <c r="AU242" s="286">
        <v>0</v>
      </c>
      <c r="AV242" s="348" t="e">
        <f>ABS(VLOOKUP(A242,TradesEquity!$1:$1048576,18,FALSE))</f>
        <v>#N/A</v>
      </c>
      <c r="AW242" s="349">
        <v>0</v>
      </c>
      <c r="AX242" s="350">
        <v>4542</v>
      </c>
      <c r="AY242" s="351" t="s">
        <v>1959</v>
      </c>
      <c r="AZ242" s="352" t="e">
        <f>(VLOOKUP(A242,TradesEquity!$1:$1048576,29,FALSE))</f>
        <v>#N/A</v>
      </c>
      <c r="BA242" s="352" t="e">
        <f>(VLOOKUP(A242,TradesEquity!$1:$1048576,30,FALSE))</f>
        <v>#N/A</v>
      </c>
      <c r="BB242" s="352" t="e">
        <f>(VLOOKUP(A242,TradesEquity!$1:$1048576,31,FALSE))</f>
        <v>#N/A</v>
      </c>
      <c r="BC242" s="352" t="e">
        <f>(VLOOKUP(A242,TradesEquity!$1:$1048576,32,FALSE))</f>
        <v>#N/A</v>
      </c>
      <c r="BI242" s="352" t="e">
        <f>(VLOOKUP(A242,TradesEquity!$1:$1048576,38,FALSE))</f>
        <v>#N/A</v>
      </c>
      <c r="BJ242" s="352" t="e">
        <f>(VLOOKUP(A242,TradesEquity!$1:$1048576,39,FALSE))</f>
        <v>#N/A</v>
      </c>
      <c r="BK242" s="352" t="e">
        <f>(VLOOKUP(A242,TradesEquity!$1:$1048576,40,FALSE))</f>
        <v>#N/A</v>
      </c>
    </row>
    <row r="243" spans="4:63">
      <c r="D243" s="342" t="s">
        <v>1957</v>
      </c>
      <c r="F243" s="343" t="e">
        <f>VLOOKUP(A243,TradesEquity!$1:$1048576,2,FALSE)</f>
        <v>#N/A</v>
      </c>
      <c r="H243" s="343" t="e">
        <f>VLOOKUP(A243,TradesEquity!$1:$1048576,21,FALSE)</f>
        <v>#N/A</v>
      </c>
      <c r="I243" s="344" t="e">
        <f>IF(VLOOKUP(A243,TradesEquity!$1:$1048576,3,FALSE)="BUY","B","S")</f>
        <v>#N/A</v>
      </c>
      <c r="J243" s="344" t="e">
        <f>VLOOKUP(A243,TradesEquity!$1:$1048576,5,FALSE)</f>
        <v>#N/A</v>
      </c>
      <c r="K243" s="342" t="s">
        <v>19</v>
      </c>
      <c r="L243" s="345" t="s">
        <v>1958</v>
      </c>
      <c r="AE243" s="346" t="e">
        <f>VLOOKUP(A243,TradesEquity!$1:$1048576,10,FALSE)</f>
        <v>#N/A</v>
      </c>
      <c r="AF243" s="346" t="e">
        <f t="shared" si="14"/>
        <v>#N/A</v>
      </c>
      <c r="AG243" s="346" t="e">
        <f t="shared" si="15"/>
        <v>#N/A</v>
      </c>
      <c r="AH243" s="346" t="e">
        <f t="shared" si="16"/>
        <v>#N/A</v>
      </c>
      <c r="AI243" s="346" t="e">
        <f>ABS(VLOOKUP(A243,TradesEquity!$1:$1048576,13,FALSE))</f>
        <v>#N/A</v>
      </c>
      <c r="AJ243" s="347">
        <v>0</v>
      </c>
      <c r="AK243" s="347">
        <v>1</v>
      </c>
      <c r="AL243" s="346" t="e">
        <f>VLOOKUP(A243,TradesEquity!$1:$1048576,11,FALSE)</f>
        <v>#N/A</v>
      </c>
      <c r="AM243" s="347">
        <v>1</v>
      </c>
      <c r="AN243" s="346" t="e">
        <f>ABS(VLOOKUP(A243,TradesEquity!$1:$1048576,14,FALSE))</f>
        <v>#N/A</v>
      </c>
      <c r="AO243" s="346" t="e">
        <f>ABS(VLOOKUP(A243,TradesEquity!$1:$1048576,15,FALSE))</f>
        <v>#N/A</v>
      </c>
      <c r="AP243" s="348" t="e">
        <f>ABS(VLOOKUP(A243,TradesEquity!$1:$1048576,16,FALSE))</f>
        <v>#N/A</v>
      </c>
      <c r="AQ243" s="286">
        <v>0</v>
      </c>
      <c r="AR243" s="286">
        <v>0</v>
      </c>
      <c r="AS243" s="286">
        <v>0</v>
      </c>
      <c r="AT243" s="286">
        <v>0</v>
      </c>
      <c r="AU243" s="286">
        <v>0</v>
      </c>
      <c r="AV243" s="348" t="e">
        <f>ABS(VLOOKUP(A243,TradesEquity!$1:$1048576,18,FALSE))</f>
        <v>#N/A</v>
      </c>
      <c r="AW243" s="349">
        <v>0</v>
      </c>
      <c r="AX243" s="350">
        <v>4542</v>
      </c>
      <c r="AY243" s="351" t="s">
        <v>1959</v>
      </c>
      <c r="AZ243" s="352" t="e">
        <f>(VLOOKUP(A243,TradesEquity!$1:$1048576,29,FALSE))</f>
        <v>#N/A</v>
      </c>
      <c r="BA243" s="352" t="e">
        <f>(VLOOKUP(A243,TradesEquity!$1:$1048576,30,FALSE))</f>
        <v>#N/A</v>
      </c>
      <c r="BB243" s="352" t="e">
        <f>(VLOOKUP(A243,TradesEquity!$1:$1048576,31,FALSE))</f>
        <v>#N/A</v>
      </c>
      <c r="BC243" s="352" t="e">
        <f>(VLOOKUP(A243,TradesEquity!$1:$1048576,32,FALSE))</f>
        <v>#N/A</v>
      </c>
      <c r="BI243" s="352" t="e">
        <f>(VLOOKUP(A243,TradesEquity!$1:$1048576,38,FALSE))</f>
        <v>#N/A</v>
      </c>
      <c r="BJ243" s="352" t="e">
        <f>(VLOOKUP(A243,TradesEquity!$1:$1048576,39,FALSE))</f>
        <v>#N/A</v>
      </c>
      <c r="BK243" s="352" t="e">
        <f>(VLOOKUP(A243,TradesEquity!$1:$1048576,40,FALSE))</f>
        <v>#N/A</v>
      </c>
    </row>
    <row r="244" spans="4:63">
      <c r="D244" s="342" t="s">
        <v>1957</v>
      </c>
      <c r="F244" s="343" t="e">
        <f>VLOOKUP(A244,TradesEquity!$1:$1048576,2,FALSE)</f>
        <v>#N/A</v>
      </c>
      <c r="H244" s="343" t="e">
        <f>VLOOKUP(A244,TradesEquity!$1:$1048576,21,FALSE)</f>
        <v>#N/A</v>
      </c>
      <c r="I244" s="344" t="e">
        <f>IF(VLOOKUP(A244,TradesEquity!$1:$1048576,3,FALSE)="BUY","B","S")</f>
        <v>#N/A</v>
      </c>
      <c r="J244" s="344" t="e">
        <f>VLOOKUP(A244,TradesEquity!$1:$1048576,5,FALSE)</f>
        <v>#N/A</v>
      </c>
      <c r="K244" s="342" t="s">
        <v>19</v>
      </c>
      <c r="L244" s="345" t="s">
        <v>1958</v>
      </c>
      <c r="AE244" s="346" t="e">
        <f>VLOOKUP(A244,TradesEquity!$1:$1048576,10,FALSE)</f>
        <v>#N/A</v>
      </c>
      <c r="AF244" s="346" t="e">
        <f t="shared" si="14"/>
        <v>#N/A</v>
      </c>
      <c r="AG244" s="346" t="e">
        <f t="shared" si="15"/>
        <v>#N/A</v>
      </c>
      <c r="AH244" s="346" t="e">
        <f t="shared" si="16"/>
        <v>#N/A</v>
      </c>
      <c r="AI244" s="346" t="e">
        <f>ABS(VLOOKUP(A244,TradesEquity!$1:$1048576,13,FALSE))</f>
        <v>#N/A</v>
      </c>
      <c r="AJ244" s="347">
        <v>0</v>
      </c>
      <c r="AK244" s="347">
        <v>1</v>
      </c>
      <c r="AL244" s="346" t="e">
        <f>VLOOKUP(A244,TradesEquity!$1:$1048576,11,FALSE)</f>
        <v>#N/A</v>
      </c>
      <c r="AM244" s="347">
        <v>1</v>
      </c>
      <c r="AN244" s="346" t="e">
        <f>ABS(VLOOKUP(A244,TradesEquity!$1:$1048576,14,FALSE))</f>
        <v>#N/A</v>
      </c>
      <c r="AO244" s="346" t="e">
        <f>ABS(VLOOKUP(A244,TradesEquity!$1:$1048576,15,FALSE))</f>
        <v>#N/A</v>
      </c>
      <c r="AP244" s="348" t="e">
        <f>ABS(VLOOKUP(A244,TradesEquity!$1:$1048576,16,FALSE))</f>
        <v>#N/A</v>
      </c>
      <c r="AQ244" s="286">
        <v>0</v>
      </c>
      <c r="AR244" s="286">
        <v>0</v>
      </c>
      <c r="AS244" s="286">
        <v>0</v>
      </c>
      <c r="AT244" s="286">
        <v>0</v>
      </c>
      <c r="AU244" s="286">
        <v>0</v>
      </c>
      <c r="AV244" s="348" t="e">
        <f>ABS(VLOOKUP(A244,TradesEquity!$1:$1048576,18,FALSE))</f>
        <v>#N/A</v>
      </c>
      <c r="AW244" s="349">
        <v>0</v>
      </c>
      <c r="AX244" s="350">
        <v>4542</v>
      </c>
      <c r="AY244" s="351" t="s">
        <v>1959</v>
      </c>
      <c r="AZ244" s="352" t="e">
        <f>(VLOOKUP(A244,TradesEquity!$1:$1048576,29,FALSE))</f>
        <v>#N/A</v>
      </c>
      <c r="BA244" s="352" t="e">
        <f>(VLOOKUP(A244,TradesEquity!$1:$1048576,30,FALSE))</f>
        <v>#N/A</v>
      </c>
      <c r="BB244" s="352" t="e">
        <f>(VLOOKUP(A244,TradesEquity!$1:$1048576,31,FALSE))</f>
        <v>#N/A</v>
      </c>
      <c r="BC244" s="352" t="e">
        <f>(VLOOKUP(A244,TradesEquity!$1:$1048576,32,FALSE))</f>
        <v>#N/A</v>
      </c>
      <c r="BI244" s="352" t="e">
        <f>(VLOOKUP(A244,TradesEquity!$1:$1048576,38,FALSE))</f>
        <v>#N/A</v>
      </c>
      <c r="BJ244" s="352" t="e">
        <f>(VLOOKUP(A244,TradesEquity!$1:$1048576,39,FALSE))</f>
        <v>#N/A</v>
      </c>
      <c r="BK244" s="352" t="e">
        <f>(VLOOKUP(A244,TradesEquity!$1:$1048576,40,FALSE))</f>
        <v>#N/A</v>
      </c>
    </row>
    <row r="245" spans="4:63">
      <c r="D245" s="342" t="s">
        <v>1957</v>
      </c>
      <c r="F245" s="343" t="e">
        <f>VLOOKUP(A245,TradesEquity!$1:$1048576,2,FALSE)</f>
        <v>#N/A</v>
      </c>
      <c r="H245" s="343" t="e">
        <f>VLOOKUP(A245,TradesEquity!$1:$1048576,21,FALSE)</f>
        <v>#N/A</v>
      </c>
      <c r="I245" s="344" t="e">
        <f>IF(VLOOKUP(A245,TradesEquity!$1:$1048576,3,FALSE)="BUY","B","S")</f>
        <v>#N/A</v>
      </c>
      <c r="J245" s="344" t="e">
        <f>VLOOKUP(A245,TradesEquity!$1:$1048576,5,FALSE)</f>
        <v>#N/A</v>
      </c>
      <c r="K245" s="342" t="s">
        <v>19</v>
      </c>
      <c r="L245" s="345" t="s">
        <v>1958</v>
      </c>
      <c r="AE245" s="346" t="e">
        <f>VLOOKUP(A245,TradesEquity!$1:$1048576,10,FALSE)</f>
        <v>#N/A</v>
      </c>
      <c r="AF245" s="346" t="e">
        <f t="shared" si="14"/>
        <v>#N/A</v>
      </c>
      <c r="AG245" s="346" t="e">
        <f t="shared" si="15"/>
        <v>#N/A</v>
      </c>
      <c r="AH245" s="346" t="e">
        <f t="shared" si="16"/>
        <v>#N/A</v>
      </c>
      <c r="AI245" s="346" t="e">
        <f>ABS(VLOOKUP(A245,TradesEquity!$1:$1048576,13,FALSE))</f>
        <v>#N/A</v>
      </c>
      <c r="AJ245" s="347">
        <v>0</v>
      </c>
      <c r="AK245" s="347">
        <v>1</v>
      </c>
      <c r="AL245" s="346" t="e">
        <f>VLOOKUP(A245,TradesEquity!$1:$1048576,11,FALSE)</f>
        <v>#N/A</v>
      </c>
      <c r="AM245" s="347">
        <v>1</v>
      </c>
      <c r="AN245" s="346" t="e">
        <f>ABS(VLOOKUP(A245,TradesEquity!$1:$1048576,14,FALSE))</f>
        <v>#N/A</v>
      </c>
      <c r="AO245" s="346" t="e">
        <f>ABS(VLOOKUP(A245,TradesEquity!$1:$1048576,15,FALSE))</f>
        <v>#N/A</v>
      </c>
      <c r="AP245" s="348" t="e">
        <f>ABS(VLOOKUP(A245,TradesEquity!$1:$1048576,16,FALSE))</f>
        <v>#N/A</v>
      </c>
      <c r="AQ245" s="286">
        <v>0</v>
      </c>
      <c r="AR245" s="286">
        <v>0</v>
      </c>
      <c r="AS245" s="286">
        <v>0</v>
      </c>
      <c r="AT245" s="286">
        <v>0</v>
      </c>
      <c r="AU245" s="286">
        <v>0</v>
      </c>
      <c r="AV245" s="348" t="e">
        <f>ABS(VLOOKUP(A245,TradesEquity!$1:$1048576,18,FALSE))</f>
        <v>#N/A</v>
      </c>
      <c r="AW245" s="349">
        <v>0</v>
      </c>
      <c r="AX245" s="350">
        <v>4542</v>
      </c>
      <c r="AY245" s="351" t="s">
        <v>1959</v>
      </c>
      <c r="AZ245" s="352" t="e">
        <f>(VLOOKUP(A245,TradesEquity!$1:$1048576,29,FALSE))</f>
        <v>#N/A</v>
      </c>
      <c r="BA245" s="352" t="e">
        <f>(VLOOKUP(A245,TradesEquity!$1:$1048576,30,FALSE))</f>
        <v>#N/A</v>
      </c>
      <c r="BB245" s="352" t="e">
        <f>(VLOOKUP(A245,TradesEquity!$1:$1048576,31,FALSE))</f>
        <v>#N/A</v>
      </c>
      <c r="BC245" s="352" t="e">
        <f>(VLOOKUP(A245,TradesEquity!$1:$1048576,32,FALSE))</f>
        <v>#N/A</v>
      </c>
      <c r="BI245" s="352" t="e">
        <f>(VLOOKUP(A245,TradesEquity!$1:$1048576,38,FALSE))</f>
        <v>#N/A</v>
      </c>
      <c r="BJ245" s="352" t="e">
        <f>(VLOOKUP(A245,TradesEquity!$1:$1048576,39,FALSE))</f>
        <v>#N/A</v>
      </c>
      <c r="BK245" s="352" t="e">
        <f>(VLOOKUP(A245,TradesEquity!$1:$1048576,40,FALSE))</f>
        <v>#N/A</v>
      </c>
    </row>
    <row r="246" spans="4:63">
      <c r="D246" s="342" t="s">
        <v>1957</v>
      </c>
      <c r="F246" s="343" t="e">
        <f>VLOOKUP(A246,TradesEquity!$1:$1048576,2,FALSE)</f>
        <v>#N/A</v>
      </c>
      <c r="H246" s="343" t="e">
        <f>VLOOKUP(A246,TradesEquity!$1:$1048576,21,FALSE)</f>
        <v>#N/A</v>
      </c>
      <c r="I246" s="344" t="e">
        <f>IF(VLOOKUP(A246,TradesEquity!$1:$1048576,3,FALSE)="BUY","B","S")</f>
        <v>#N/A</v>
      </c>
      <c r="J246" s="344" t="e">
        <f>VLOOKUP(A246,TradesEquity!$1:$1048576,5,FALSE)</f>
        <v>#N/A</v>
      </c>
      <c r="K246" s="342" t="s">
        <v>19</v>
      </c>
      <c r="L246" s="345" t="s">
        <v>1958</v>
      </c>
      <c r="AE246" s="346" t="e">
        <f>VLOOKUP(A246,TradesEquity!$1:$1048576,10,FALSE)</f>
        <v>#N/A</v>
      </c>
      <c r="AF246" s="346" t="e">
        <f t="shared" si="14"/>
        <v>#N/A</v>
      </c>
      <c r="AG246" s="346" t="e">
        <f t="shared" si="15"/>
        <v>#N/A</v>
      </c>
      <c r="AH246" s="346" t="e">
        <f t="shared" si="16"/>
        <v>#N/A</v>
      </c>
      <c r="AI246" s="346" t="e">
        <f>ABS(VLOOKUP(A246,TradesEquity!$1:$1048576,13,FALSE))</f>
        <v>#N/A</v>
      </c>
      <c r="AJ246" s="347">
        <v>0</v>
      </c>
      <c r="AK246" s="347">
        <v>1</v>
      </c>
      <c r="AL246" s="346" t="e">
        <f>VLOOKUP(A246,TradesEquity!$1:$1048576,11,FALSE)</f>
        <v>#N/A</v>
      </c>
      <c r="AM246" s="347">
        <v>1</v>
      </c>
      <c r="AN246" s="346" t="e">
        <f>ABS(VLOOKUP(A246,TradesEquity!$1:$1048576,14,FALSE))</f>
        <v>#N/A</v>
      </c>
      <c r="AO246" s="346" t="e">
        <f>ABS(VLOOKUP(A246,TradesEquity!$1:$1048576,15,FALSE))</f>
        <v>#N/A</v>
      </c>
      <c r="AP246" s="348" t="e">
        <f>ABS(VLOOKUP(A246,TradesEquity!$1:$1048576,16,FALSE))</f>
        <v>#N/A</v>
      </c>
      <c r="AQ246" s="286">
        <v>0</v>
      </c>
      <c r="AR246" s="286">
        <v>0</v>
      </c>
      <c r="AS246" s="286">
        <v>0</v>
      </c>
      <c r="AT246" s="286">
        <v>0</v>
      </c>
      <c r="AU246" s="286">
        <v>0</v>
      </c>
      <c r="AV246" s="348" t="e">
        <f>ABS(VLOOKUP(A246,TradesEquity!$1:$1048576,18,FALSE))</f>
        <v>#N/A</v>
      </c>
      <c r="AW246" s="349">
        <v>0</v>
      </c>
      <c r="AX246" s="350">
        <v>4542</v>
      </c>
      <c r="AY246" s="351" t="s">
        <v>1959</v>
      </c>
      <c r="AZ246" s="352" t="e">
        <f>(VLOOKUP(A246,TradesEquity!$1:$1048576,29,FALSE))</f>
        <v>#N/A</v>
      </c>
      <c r="BA246" s="352" t="e">
        <f>(VLOOKUP(A246,TradesEquity!$1:$1048576,30,FALSE))</f>
        <v>#N/A</v>
      </c>
      <c r="BB246" s="352" t="e">
        <f>(VLOOKUP(A246,TradesEquity!$1:$1048576,31,FALSE))</f>
        <v>#N/A</v>
      </c>
      <c r="BC246" s="352" t="e">
        <f>(VLOOKUP(A246,TradesEquity!$1:$1048576,32,FALSE))</f>
        <v>#N/A</v>
      </c>
      <c r="BI246" s="352" t="e">
        <f>(VLOOKUP(A246,TradesEquity!$1:$1048576,38,FALSE))</f>
        <v>#N/A</v>
      </c>
      <c r="BJ246" s="352" t="e">
        <f>(VLOOKUP(A246,TradesEquity!$1:$1048576,39,FALSE))</f>
        <v>#N/A</v>
      </c>
      <c r="BK246" s="352" t="e">
        <f>(VLOOKUP(A246,TradesEquity!$1:$1048576,40,FALSE))</f>
        <v>#N/A</v>
      </c>
    </row>
    <row r="247" spans="4:63">
      <c r="D247" s="342" t="s">
        <v>1957</v>
      </c>
      <c r="F247" s="343" t="e">
        <f>VLOOKUP(A247,TradesEquity!$1:$1048576,2,FALSE)</f>
        <v>#N/A</v>
      </c>
      <c r="H247" s="343" t="e">
        <f>VLOOKUP(A247,TradesEquity!$1:$1048576,21,FALSE)</f>
        <v>#N/A</v>
      </c>
      <c r="I247" s="344" t="e">
        <f>IF(VLOOKUP(A247,TradesEquity!$1:$1048576,3,FALSE)="BUY","B","S")</f>
        <v>#N/A</v>
      </c>
      <c r="J247" s="344" t="e">
        <f>VLOOKUP(A247,TradesEquity!$1:$1048576,5,FALSE)</f>
        <v>#N/A</v>
      </c>
      <c r="K247" s="342" t="s">
        <v>19</v>
      </c>
      <c r="L247" s="345" t="s">
        <v>1958</v>
      </c>
      <c r="AE247" s="346" t="e">
        <f>VLOOKUP(A247,TradesEquity!$1:$1048576,10,FALSE)</f>
        <v>#N/A</v>
      </c>
      <c r="AF247" s="346" t="e">
        <f t="shared" si="14"/>
        <v>#N/A</v>
      </c>
      <c r="AG247" s="346" t="e">
        <f t="shared" si="15"/>
        <v>#N/A</v>
      </c>
      <c r="AH247" s="346" t="e">
        <f t="shared" si="16"/>
        <v>#N/A</v>
      </c>
      <c r="AI247" s="346" t="e">
        <f>ABS(VLOOKUP(A247,TradesEquity!$1:$1048576,13,FALSE))</f>
        <v>#N/A</v>
      </c>
      <c r="AJ247" s="347">
        <v>0</v>
      </c>
      <c r="AK247" s="347">
        <v>1</v>
      </c>
      <c r="AL247" s="346" t="e">
        <f>VLOOKUP(A247,TradesEquity!$1:$1048576,11,FALSE)</f>
        <v>#N/A</v>
      </c>
      <c r="AM247" s="347">
        <v>1</v>
      </c>
      <c r="AN247" s="346" t="e">
        <f>ABS(VLOOKUP(A247,TradesEquity!$1:$1048576,14,FALSE))</f>
        <v>#N/A</v>
      </c>
      <c r="AO247" s="346" t="e">
        <f>ABS(VLOOKUP(A247,TradesEquity!$1:$1048576,15,FALSE))</f>
        <v>#N/A</v>
      </c>
      <c r="AP247" s="348" t="e">
        <f>ABS(VLOOKUP(A247,TradesEquity!$1:$1048576,16,FALSE))</f>
        <v>#N/A</v>
      </c>
      <c r="AQ247" s="286">
        <v>0</v>
      </c>
      <c r="AR247" s="286">
        <v>0</v>
      </c>
      <c r="AS247" s="286">
        <v>0</v>
      </c>
      <c r="AT247" s="286">
        <v>0</v>
      </c>
      <c r="AU247" s="286">
        <v>0</v>
      </c>
      <c r="AV247" s="348" t="e">
        <f>ABS(VLOOKUP(A247,TradesEquity!$1:$1048576,18,FALSE))</f>
        <v>#N/A</v>
      </c>
      <c r="AW247" s="349">
        <v>0</v>
      </c>
      <c r="AX247" s="350">
        <v>4542</v>
      </c>
      <c r="AY247" s="351" t="s">
        <v>1959</v>
      </c>
      <c r="AZ247" s="352" t="e">
        <f>(VLOOKUP(A247,TradesEquity!$1:$1048576,29,FALSE))</f>
        <v>#N/A</v>
      </c>
      <c r="BA247" s="352" t="e">
        <f>(VLOOKUP(A247,TradesEquity!$1:$1048576,30,FALSE))</f>
        <v>#N/A</v>
      </c>
      <c r="BB247" s="352" t="e">
        <f>(VLOOKUP(A247,TradesEquity!$1:$1048576,31,FALSE))</f>
        <v>#N/A</v>
      </c>
      <c r="BC247" s="352" t="e">
        <f>(VLOOKUP(A247,TradesEquity!$1:$1048576,32,FALSE))</f>
        <v>#N/A</v>
      </c>
      <c r="BI247" s="352" t="e">
        <f>(VLOOKUP(A247,TradesEquity!$1:$1048576,38,FALSE))</f>
        <v>#N/A</v>
      </c>
      <c r="BJ247" s="352" t="e">
        <f>(VLOOKUP(A247,TradesEquity!$1:$1048576,39,FALSE))</f>
        <v>#N/A</v>
      </c>
      <c r="BK247" s="352" t="e">
        <f>(VLOOKUP(A247,TradesEquity!$1:$1048576,40,FALSE))</f>
        <v>#N/A</v>
      </c>
    </row>
    <row r="248" spans="4:63">
      <c r="D248" s="342" t="s">
        <v>1957</v>
      </c>
      <c r="F248" s="343" t="e">
        <f>VLOOKUP(A248,TradesEquity!$1:$1048576,2,FALSE)</f>
        <v>#N/A</v>
      </c>
      <c r="H248" s="343" t="e">
        <f>VLOOKUP(A248,TradesEquity!$1:$1048576,21,FALSE)</f>
        <v>#N/A</v>
      </c>
      <c r="I248" s="344" t="e">
        <f>IF(VLOOKUP(A248,TradesEquity!$1:$1048576,3,FALSE)="BUY","B","S")</f>
        <v>#N/A</v>
      </c>
      <c r="J248" s="344" t="e">
        <f>VLOOKUP(A248,TradesEquity!$1:$1048576,5,FALSE)</f>
        <v>#N/A</v>
      </c>
      <c r="K248" s="342" t="s">
        <v>19</v>
      </c>
      <c r="L248" s="345" t="s">
        <v>1958</v>
      </c>
      <c r="AE248" s="346" t="e">
        <f>VLOOKUP(A248,TradesEquity!$1:$1048576,10,FALSE)</f>
        <v>#N/A</v>
      </c>
      <c r="AF248" s="346" t="e">
        <f t="shared" si="14"/>
        <v>#N/A</v>
      </c>
      <c r="AG248" s="346" t="e">
        <f t="shared" si="15"/>
        <v>#N/A</v>
      </c>
      <c r="AH248" s="346" t="e">
        <f t="shared" si="16"/>
        <v>#N/A</v>
      </c>
      <c r="AI248" s="346" t="e">
        <f>ABS(VLOOKUP(A248,TradesEquity!$1:$1048576,13,FALSE))</f>
        <v>#N/A</v>
      </c>
      <c r="AJ248" s="347">
        <v>0</v>
      </c>
      <c r="AK248" s="347">
        <v>1</v>
      </c>
      <c r="AL248" s="346" t="e">
        <f>VLOOKUP(A248,TradesEquity!$1:$1048576,11,FALSE)</f>
        <v>#N/A</v>
      </c>
      <c r="AM248" s="347">
        <v>1</v>
      </c>
      <c r="AN248" s="346" t="e">
        <f>ABS(VLOOKUP(A248,TradesEquity!$1:$1048576,14,FALSE))</f>
        <v>#N/A</v>
      </c>
      <c r="AO248" s="346" t="e">
        <f>ABS(VLOOKUP(A248,TradesEquity!$1:$1048576,15,FALSE))</f>
        <v>#N/A</v>
      </c>
      <c r="AP248" s="348" t="e">
        <f>ABS(VLOOKUP(A248,TradesEquity!$1:$1048576,16,FALSE))</f>
        <v>#N/A</v>
      </c>
      <c r="AQ248" s="286">
        <v>0</v>
      </c>
      <c r="AR248" s="286">
        <v>0</v>
      </c>
      <c r="AS248" s="286">
        <v>0</v>
      </c>
      <c r="AT248" s="286">
        <v>0</v>
      </c>
      <c r="AU248" s="286">
        <v>0</v>
      </c>
      <c r="AV248" s="348" t="e">
        <f>ABS(VLOOKUP(A248,TradesEquity!$1:$1048576,18,FALSE))</f>
        <v>#N/A</v>
      </c>
      <c r="AW248" s="349">
        <v>0</v>
      </c>
      <c r="AX248" s="350">
        <v>4542</v>
      </c>
      <c r="AY248" s="351" t="s">
        <v>1959</v>
      </c>
      <c r="AZ248" s="352" t="e">
        <f>(VLOOKUP(A248,TradesEquity!$1:$1048576,29,FALSE))</f>
        <v>#N/A</v>
      </c>
      <c r="BA248" s="352" t="e">
        <f>(VLOOKUP(A248,TradesEquity!$1:$1048576,30,FALSE))</f>
        <v>#N/A</v>
      </c>
      <c r="BB248" s="352" t="e">
        <f>(VLOOKUP(A248,TradesEquity!$1:$1048576,31,FALSE))</f>
        <v>#N/A</v>
      </c>
      <c r="BC248" s="352" t="e">
        <f>(VLOOKUP(A248,TradesEquity!$1:$1048576,32,FALSE))</f>
        <v>#N/A</v>
      </c>
      <c r="BI248" s="352" t="e">
        <f>(VLOOKUP(A248,TradesEquity!$1:$1048576,38,FALSE))</f>
        <v>#N/A</v>
      </c>
      <c r="BJ248" s="352" t="e">
        <f>(VLOOKUP(A248,TradesEquity!$1:$1048576,39,FALSE))</f>
        <v>#N/A</v>
      </c>
      <c r="BK248" s="352" t="e">
        <f>(VLOOKUP(A248,TradesEquity!$1:$1048576,40,FALSE))</f>
        <v>#N/A</v>
      </c>
    </row>
    <row r="249" spans="4:63">
      <c r="D249" s="342" t="s">
        <v>1957</v>
      </c>
      <c r="F249" s="343" t="e">
        <f>VLOOKUP(A249,TradesEquity!$1:$1048576,2,FALSE)</f>
        <v>#N/A</v>
      </c>
      <c r="H249" s="343" t="e">
        <f>VLOOKUP(A249,TradesEquity!$1:$1048576,21,FALSE)</f>
        <v>#N/A</v>
      </c>
      <c r="I249" s="344" t="e">
        <f>IF(VLOOKUP(A249,TradesEquity!$1:$1048576,3,FALSE)="BUY","B","S")</f>
        <v>#N/A</v>
      </c>
      <c r="J249" s="344" t="e">
        <f>VLOOKUP(A249,TradesEquity!$1:$1048576,5,FALSE)</f>
        <v>#N/A</v>
      </c>
      <c r="K249" s="342" t="s">
        <v>19</v>
      </c>
      <c r="L249" s="345" t="s">
        <v>1958</v>
      </c>
      <c r="AE249" s="346" t="e">
        <f>VLOOKUP(A249,TradesEquity!$1:$1048576,10,FALSE)</f>
        <v>#N/A</v>
      </c>
      <c r="AF249" s="346" t="e">
        <f t="shared" si="14"/>
        <v>#N/A</v>
      </c>
      <c r="AG249" s="346" t="e">
        <f t="shared" si="15"/>
        <v>#N/A</v>
      </c>
      <c r="AH249" s="346" t="e">
        <f t="shared" si="16"/>
        <v>#N/A</v>
      </c>
      <c r="AI249" s="346" t="e">
        <f>ABS(VLOOKUP(A249,TradesEquity!$1:$1048576,13,FALSE))</f>
        <v>#N/A</v>
      </c>
      <c r="AJ249" s="347">
        <v>0</v>
      </c>
      <c r="AK249" s="347">
        <v>1</v>
      </c>
      <c r="AL249" s="346" t="e">
        <f>VLOOKUP(A249,TradesEquity!$1:$1048576,11,FALSE)</f>
        <v>#N/A</v>
      </c>
      <c r="AM249" s="347">
        <v>1</v>
      </c>
      <c r="AN249" s="346" t="e">
        <f>ABS(VLOOKUP(A249,TradesEquity!$1:$1048576,14,FALSE))</f>
        <v>#N/A</v>
      </c>
      <c r="AO249" s="346" t="e">
        <f>ABS(VLOOKUP(A249,TradesEquity!$1:$1048576,15,FALSE))</f>
        <v>#N/A</v>
      </c>
      <c r="AP249" s="348" t="e">
        <f>ABS(VLOOKUP(A249,TradesEquity!$1:$1048576,16,FALSE))</f>
        <v>#N/A</v>
      </c>
      <c r="AQ249" s="286">
        <v>0</v>
      </c>
      <c r="AR249" s="286">
        <v>0</v>
      </c>
      <c r="AS249" s="286">
        <v>0</v>
      </c>
      <c r="AT249" s="286">
        <v>0</v>
      </c>
      <c r="AU249" s="286">
        <v>0</v>
      </c>
      <c r="AV249" s="348" t="e">
        <f>ABS(VLOOKUP(A249,TradesEquity!$1:$1048576,18,FALSE))</f>
        <v>#N/A</v>
      </c>
      <c r="AW249" s="349">
        <v>0</v>
      </c>
      <c r="AX249" s="350">
        <v>4542</v>
      </c>
      <c r="AY249" s="351" t="s">
        <v>1959</v>
      </c>
      <c r="AZ249" s="352" t="e">
        <f>(VLOOKUP(A249,TradesEquity!$1:$1048576,29,FALSE))</f>
        <v>#N/A</v>
      </c>
      <c r="BA249" s="352" t="e">
        <f>(VLOOKUP(A249,TradesEquity!$1:$1048576,30,FALSE))</f>
        <v>#N/A</v>
      </c>
      <c r="BB249" s="352" t="e">
        <f>(VLOOKUP(A249,TradesEquity!$1:$1048576,31,FALSE))</f>
        <v>#N/A</v>
      </c>
      <c r="BC249" s="352" t="e">
        <f>(VLOOKUP(A249,TradesEquity!$1:$1048576,32,FALSE))</f>
        <v>#N/A</v>
      </c>
      <c r="BI249" s="352" t="e">
        <f>(VLOOKUP(A249,TradesEquity!$1:$1048576,38,FALSE))</f>
        <v>#N/A</v>
      </c>
      <c r="BJ249" s="352" t="e">
        <f>(VLOOKUP(A249,TradesEquity!$1:$1048576,39,FALSE))</f>
        <v>#N/A</v>
      </c>
      <c r="BK249" s="352" t="e">
        <f>(VLOOKUP(A249,TradesEquity!$1:$1048576,40,FALSE))</f>
        <v>#N/A</v>
      </c>
    </row>
    <row r="250" spans="4:63">
      <c r="D250" s="342" t="s">
        <v>1957</v>
      </c>
      <c r="F250" s="343" t="e">
        <f>VLOOKUP(A250,TradesEquity!$1:$1048576,2,FALSE)</f>
        <v>#N/A</v>
      </c>
      <c r="H250" s="343" t="e">
        <f>VLOOKUP(A250,TradesEquity!$1:$1048576,21,FALSE)</f>
        <v>#N/A</v>
      </c>
      <c r="I250" s="344" t="e">
        <f>IF(VLOOKUP(A250,TradesEquity!$1:$1048576,3,FALSE)="BUY","B","S")</f>
        <v>#N/A</v>
      </c>
      <c r="J250" s="344" t="e">
        <f>VLOOKUP(A250,TradesEquity!$1:$1048576,5,FALSE)</f>
        <v>#N/A</v>
      </c>
      <c r="K250" s="342" t="s">
        <v>19</v>
      </c>
      <c r="L250" s="345" t="s">
        <v>1958</v>
      </c>
      <c r="AE250" s="346" t="e">
        <f>VLOOKUP(A250,TradesEquity!$1:$1048576,10,FALSE)</f>
        <v>#N/A</v>
      </c>
      <c r="AF250" s="346" t="e">
        <f t="shared" si="14"/>
        <v>#N/A</v>
      </c>
      <c r="AG250" s="346" t="e">
        <f t="shared" si="15"/>
        <v>#N/A</v>
      </c>
      <c r="AH250" s="346" t="e">
        <f t="shared" si="16"/>
        <v>#N/A</v>
      </c>
      <c r="AI250" s="346" t="e">
        <f>ABS(VLOOKUP(A250,TradesEquity!$1:$1048576,13,FALSE))</f>
        <v>#N/A</v>
      </c>
      <c r="AJ250" s="347">
        <v>0</v>
      </c>
      <c r="AK250" s="347">
        <v>1</v>
      </c>
      <c r="AL250" s="346" t="e">
        <f>VLOOKUP(A250,TradesEquity!$1:$1048576,11,FALSE)</f>
        <v>#N/A</v>
      </c>
      <c r="AM250" s="347">
        <v>1</v>
      </c>
      <c r="AN250" s="346" t="e">
        <f>ABS(VLOOKUP(A250,TradesEquity!$1:$1048576,14,FALSE))</f>
        <v>#N/A</v>
      </c>
      <c r="AO250" s="346" t="e">
        <f>ABS(VLOOKUP(A250,TradesEquity!$1:$1048576,15,FALSE))</f>
        <v>#N/A</v>
      </c>
      <c r="AP250" s="348" t="e">
        <f>ABS(VLOOKUP(A250,TradesEquity!$1:$1048576,16,FALSE))</f>
        <v>#N/A</v>
      </c>
      <c r="AQ250" s="286">
        <v>0</v>
      </c>
      <c r="AR250" s="286">
        <v>0</v>
      </c>
      <c r="AS250" s="286">
        <v>0</v>
      </c>
      <c r="AT250" s="286">
        <v>0</v>
      </c>
      <c r="AU250" s="286">
        <v>0</v>
      </c>
      <c r="AV250" s="348" t="e">
        <f>ABS(VLOOKUP(A250,TradesEquity!$1:$1048576,18,FALSE))</f>
        <v>#N/A</v>
      </c>
      <c r="AW250" s="349">
        <v>0</v>
      </c>
      <c r="AX250" s="350">
        <v>4542</v>
      </c>
      <c r="AY250" s="351" t="s">
        <v>1959</v>
      </c>
      <c r="AZ250" s="352" t="e">
        <f>(VLOOKUP(A250,TradesEquity!$1:$1048576,29,FALSE))</f>
        <v>#N/A</v>
      </c>
      <c r="BA250" s="352" t="e">
        <f>(VLOOKUP(A250,TradesEquity!$1:$1048576,30,FALSE))</f>
        <v>#N/A</v>
      </c>
      <c r="BB250" s="352" t="e">
        <f>(VLOOKUP(A250,TradesEquity!$1:$1048576,31,FALSE))</f>
        <v>#N/A</v>
      </c>
      <c r="BC250" s="352" t="e">
        <f>(VLOOKUP(A250,TradesEquity!$1:$1048576,32,FALSE))</f>
        <v>#N/A</v>
      </c>
      <c r="BI250" s="352" t="e">
        <f>(VLOOKUP(A250,TradesEquity!$1:$1048576,38,FALSE))</f>
        <v>#N/A</v>
      </c>
      <c r="BJ250" s="352" t="e">
        <f>(VLOOKUP(A250,TradesEquity!$1:$1048576,39,FALSE))</f>
        <v>#N/A</v>
      </c>
      <c r="BK250" s="352" t="e">
        <f>(VLOOKUP(A250,TradesEquity!$1:$1048576,40,FALSE))</f>
        <v>#N/A</v>
      </c>
    </row>
    <row r="251" spans="4:63">
      <c r="D251" s="342" t="s">
        <v>1957</v>
      </c>
      <c r="F251" s="343" t="e">
        <f>VLOOKUP(A251,TradesEquity!$1:$1048576,2,FALSE)</f>
        <v>#N/A</v>
      </c>
      <c r="H251" s="343" t="e">
        <f>VLOOKUP(A251,TradesEquity!$1:$1048576,21,FALSE)</f>
        <v>#N/A</v>
      </c>
      <c r="I251" s="344" t="e">
        <f>IF(VLOOKUP(A251,TradesEquity!$1:$1048576,3,FALSE)="BUY","B","S")</f>
        <v>#N/A</v>
      </c>
      <c r="J251" s="344" t="e">
        <f>VLOOKUP(A251,TradesEquity!$1:$1048576,5,FALSE)</f>
        <v>#N/A</v>
      </c>
      <c r="K251" s="342" t="s">
        <v>19</v>
      </c>
      <c r="L251" s="345" t="s">
        <v>1958</v>
      </c>
      <c r="AE251" s="346" t="e">
        <f>VLOOKUP(A251,TradesEquity!$1:$1048576,10,FALSE)</f>
        <v>#N/A</v>
      </c>
      <c r="AF251" s="346" t="e">
        <f t="shared" si="14"/>
        <v>#N/A</v>
      </c>
      <c r="AG251" s="346" t="e">
        <f t="shared" si="15"/>
        <v>#N/A</v>
      </c>
      <c r="AH251" s="346" t="e">
        <f t="shared" si="16"/>
        <v>#N/A</v>
      </c>
      <c r="AI251" s="346" t="e">
        <f>ABS(VLOOKUP(A251,TradesEquity!$1:$1048576,13,FALSE))</f>
        <v>#N/A</v>
      </c>
      <c r="AJ251" s="347">
        <v>0</v>
      </c>
      <c r="AK251" s="347">
        <v>1</v>
      </c>
      <c r="AL251" s="346" t="e">
        <f>VLOOKUP(A251,TradesEquity!$1:$1048576,11,FALSE)</f>
        <v>#N/A</v>
      </c>
      <c r="AM251" s="347">
        <v>1</v>
      </c>
      <c r="AN251" s="346" t="e">
        <f>ABS(VLOOKUP(A251,TradesEquity!$1:$1048576,14,FALSE))</f>
        <v>#N/A</v>
      </c>
      <c r="AO251" s="346" t="e">
        <f>ABS(VLOOKUP(A251,TradesEquity!$1:$1048576,15,FALSE))</f>
        <v>#N/A</v>
      </c>
      <c r="AP251" s="348" t="e">
        <f>ABS(VLOOKUP(A251,TradesEquity!$1:$1048576,16,FALSE))</f>
        <v>#N/A</v>
      </c>
      <c r="AQ251" s="286">
        <v>0</v>
      </c>
      <c r="AR251" s="286">
        <v>0</v>
      </c>
      <c r="AS251" s="286">
        <v>0</v>
      </c>
      <c r="AT251" s="286">
        <v>0</v>
      </c>
      <c r="AU251" s="286">
        <v>0</v>
      </c>
      <c r="AV251" s="348" t="e">
        <f>ABS(VLOOKUP(A251,TradesEquity!$1:$1048576,18,FALSE))</f>
        <v>#N/A</v>
      </c>
      <c r="AW251" s="349">
        <v>0</v>
      </c>
      <c r="AX251" s="350">
        <v>4542</v>
      </c>
      <c r="AY251" s="351" t="s">
        <v>1959</v>
      </c>
      <c r="AZ251" s="352" t="e">
        <f>(VLOOKUP(A251,TradesEquity!$1:$1048576,29,FALSE))</f>
        <v>#N/A</v>
      </c>
      <c r="BA251" s="352" t="e">
        <f>(VLOOKUP(A251,TradesEquity!$1:$1048576,30,FALSE))</f>
        <v>#N/A</v>
      </c>
      <c r="BB251" s="352" t="e">
        <f>(VLOOKUP(A251,TradesEquity!$1:$1048576,31,FALSE))</f>
        <v>#N/A</v>
      </c>
      <c r="BC251" s="352" t="e">
        <f>(VLOOKUP(A251,TradesEquity!$1:$1048576,32,FALSE))</f>
        <v>#N/A</v>
      </c>
      <c r="BI251" s="352" t="e">
        <f>(VLOOKUP(A251,TradesEquity!$1:$1048576,38,FALSE))</f>
        <v>#N/A</v>
      </c>
      <c r="BJ251" s="352" t="e">
        <f>(VLOOKUP(A251,TradesEquity!$1:$1048576,39,FALSE))</f>
        <v>#N/A</v>
      </c>
      <c r="BK251" s="352" t="e">
        <f>(VLOOKUP(A251,TradesEquity!$1:$1048576,40,FALSE))</f>
        <v>#N/A</v>
      </c>
    </row>
    <row r="252" spans="4:63">
      <c r="D252" s="342" t="s">
        <v>1957</v>
      </c>
      <c r="F252" s="343" t="e">
        <f>VLOOKUP(A252,TradesEquity!$1:$1048576,2,FALSE)</f>
        <v>#N/A</v>
      </c>
      <c r="H252" s="343" t="e">
        <f>VLOOKUP(A252,TradesEquity!$1:$1048576,21,FALSE)</f>
        <v>#N/A</v>
      </c>
      <c r="I252" s="344" t="e">
        <f>IF(VLOOKUP(A252,TradesEquity!$1:$1048576,3,FALSE)="BUY","B","S")</f>
        <v>#N/A</v>
      </c>
      <c r="J252" s="344" t="e">
        <f>VLOOKUP(A252,TradesEquity!$1:$1048576,5,FALSE)</f>
        <v>#N/A</v>
      </c>
      <c r="K252" s="342" t="s">
        <v>19</v>
      </c>
      <c r="L252" s="345" t="s">
        <v>1958</v>
      </c>
      <c r="AE252" s="346" t="e">
        <f>VLOOKUP(A252,TradesEquity!$1:$1048576,10,FALSE)</f>
        <v>#N/A</v>
      </c>
      <c r="AF252" s="346" t="e">
        <f t="shared" si="14"/>
        <v>#N/A</v>
      </c>
      <c r="AG252" s="346" t="e">
        <f t="shared" si="15"/>
        <v>#N/A</v>
      </c>
      <c r="AH252" s="346" t="e">
        <f t="shared" si="16"/>
        <v>#N/A</v>
      </c>
      <c r="AI252" s="346" t="e">
        <f>ABS(VLOOKUP(A252,TradesEquity!$1:$1048576,13,FALSE))</f>
        <v>#N/A</v>
      </c>
      <c r="AJ252" s="347">
        <v>0</v>
      </c>
      <c r="AK252" s="347">
        <v>1</v>
      </c>
      <c r="AL252" s="346" t="e">
        <f>VLOOKUP(A252,TradesEquity!$1:$1048576,11,FALSE)</f>
        <v>#N/A</v>
      </c>
      <c r="AM252" s="347">
        <v>1</v>
      </c>
      <c r="AN252" s="346" t="e">
        <f>ABS(VLOOKUP(A252,TradesEquity!$1:$1048576,14,FALSE))</f>
        <v>#N/A</v>
      </c>
      <c r="AO252" s="346" t="e">
        <f>ABS(VLOOKUP(A252,TradesEquity!$1:$1048576,15,FALSE))</f>
        <v>#N/A</v>
      </c>
      <c r="AP252" s="348" t="e">
        <f>ABS(VLOOKUP(A252,TradesEquity!$1:$1048576,16,FALSE))</f>
        <v>#N/A</v>
      </c>
      <c r="AQ252" s="286">
        <v>0</v>
      </c>
      <c r="AR252" s="286">
        <v>0</v>
      </c>
      <c r="AS252" s="286">
        <v>0</v>
      </c>
      <c r="AT252" s="286">
        <v>0</v>
      </c>
      <c r="AU252" s="286">
        <v>0</v>
      </c>
      <c r="AV252" s="348" t="e">
        <f>ABS(VLOOKUP(A252,TradesEquity!$1:$1048576,18,FALSE))</f>
        <v>#N/A</v>
      </c>
      <c r="AW252" s="349">
        <v>0</v>
      </c>
      <c r="AX252" s="350">
        <v>4542</v>
      </c>
      <c r="AY252" s="351" t="s">
        <v>1959</v>
      </c>
      <c r="AZ252" s="352" t="e">
        <f>(VLOOKUP(A252,TradesEquity!$1:$1048576,29,FALSE))</f>
        <v>#N/A</v>
      </c>
      <c r="BA252" s="352" t="e">
        <f>(VLOOKUP(A252,TradesEquity!$1:$1048576,30,FALSE))</f>
        <v>#N/A</v>
      </c>
      <c r="BB252" s="352" t="e">
        <f>(VLOOKUP(A252,TradesEquity!$1:$1048576,31,FALSE))</f>
        <v>#N/A</v>
      </c>
      <c r="BC252" s="352" t="e">
        <f>(VLOOKUP(A252,TradesEquity!$1:$1048576,32,FALSE))</f>
        <v>#N/A</v>
      </c>
      <c r="BI252" s="352" t="e">
        <f>(VLOOKUP(A252,TradesEquity!$1:$1048576,38,FALSE))</f>
        <v>#N/A</v>
      </c>
      <c r="BJ252" s="352" t="e">
        <f>(VLOOKUP(A252,TradesEquity!$1:$1048576,39,FALSE))</f>
        <v>#N/A</v>
      </c>
      <c r="BK252" s="352" t="e">
        <f>(VLOOKUP(A252,TradesEquity!$1:$1048576,40,FALSE))</f>
        <v>#N/A</v>
      </c>
    </row>
    <row r="253" spans="4:63">
      <c r="D253" s="342" t="s">
        <v>1957</v>
      </c>
      <c r="F253" s="343" t="e">
        <f>VLOOKUP(A253,TradesEquity!$1:$1048576,2,FALSE)</f>
        <v>#N/A</v>
      </c>
      <c r="H253" s="343" t="e">
        <f>VLOOKUP(A253,TradesEquity!$1:$1048576,21,FALSE)</f>
        <v>#N/A</v>
      </c>
      <c r="I253" s="344" t="e">
        <f>IF(VLOOKUP(A253,TradesEquity!$1:$1048576,3,FALSE)="BUY","B","S")</f>
        <v>#N/A</v>
      </c>
      <c r="J253" s="344" t="e">
        <f>VLOOKUP(A253,TradesEquity!$1:$1048576,5,FALSE)</f>
        <v>#N/A</v>
      </c>
      <c r="K253" s="342" t="s">
        <v>19</v>
      </c>
      <c r="L253" s="345" t="s">
        <v>1958</v>
      </c>
      <c r="AE253" s="346" t="e">
        <f>VLOOKUP(A253,TradesEquity!$1:$1048576,10,FALSE)</f>
        <v>#N/A</v>
      </c>
      <c r="AF253" s="346" t="e">
        <f t="shared" si="14"/>
        <v>#N/A</v>
      </c>
      <c r="AG253" s="346" t="e">
        <f t="shared" si="15"/>
        <v>#N/A</v>
      </c>
      <c r="AH253" s="346" t="e">
        <f t="shared" si="16"/>
        <v>#N/A</v>
      </c>
      <c r="AI253" s="346" t="e">
        <f>ABS(VLOOKUP(A253,TradesEquity!$1:$1048576,13,FALSE))</f>
        <v>#N/A</v>
      </c>
      <c r="AJ253" s="347">
        <v>0</v>
      </c>
      <c r="AK253" s="347">
        <v>1</v>
      </c>
      <c r="AL253" s="346" t="e">
        <f>VLOOKUP(A253,TradesEquity!$1:$1048576,11,FALSE)</f>
        <v>#N/A</v>
      </c>
      <c r="AM253" s="347">
        <v>1</v>
      </c>
      <c r="AN253" s="346" t="e">
        <f>ABS(VLOOKUP(A253,TradesEquity!$1:$1048576,14,FALSE))</f>
        <v>#N/A</v>
      </c>
      <c r="AO253" s="346" t="e">
        <f>ABS(VLOOKUP(A253,TradesEquity!$1:$1048576,15,FALSE))</f>
        <v>#N/A</v>
      </c>
      <c r="AP253" s="348" t="e">
        <f>ABS(VLOOKUP(A253,TradesEquity!$1:$1048576,16,FALSE))</f>
        <v>#N/A</v>
      </c>
      <c r="AQ253" s="286">
        <v>0</v>
      </c>
      <c r="AR253" s="286">
        <v>0</v>
      </c>
      <c r="AS253" s="286">
        <v>0</v>
      </c>
      <c r="AT253" s="286">
        <v>0</v>
      </c>
      <c r="AU253" s="286">
        <v>0</v>
      </c>
      <c r="AV253" s="348" t="e">
        <f>ABS(VLOOKUP(A253,TradesEquity!$1:$1048576,18,FALSE))</f>
        <v>#N/A</v>
      </c>
      <c r="AW253" s="349">
        <v>0</v>
      </c>
      <c r="AX253" s="350">
        <v>4542</v>
      </c>
      <c r="AY253" s="351" t="s">
        <v>1959</v>
      </c>
      <c r="AZ253" s="352" t="e">
        <f>(VLOOKUP(A253,TradesEquity!$1:$1048576,29,FALSE))</f>
        <v>#N/A</v>
      </c>
      <c r="BA253" s="352" t="e">
        <f>(VLOOKUP(A253,TradesEquity!$1:$1048576,30,FALSE))</f>
        <v>#N/A</v>
      </c>
      <c r="BB253" s="352" t="e">
        <f>(VLOOKUP(A253,TradesEquity!$1:$1048576,31,FALSE))</f>
        <v>#N/A</v>
      </c>
      <c r="BC253" s="352" t="e">
        <f>(VLOOKUP(A253,TradesEquity!$1:$1048576,32,FALSE))</f>
        <v>#N/A</v>
      </c>
      <c r="BI253" s="352" t="e">
        <f>(VLOOKUP(A253,TradesEquity!$1:$1048576,38,FALSE))</f>
        <v>#N/A</v>
      </c>
      <c r="BJ253" s="352" t="e">
        <f>(VLOOKUP(A253,TradesEquity!$1:$1048576,39,FALSE))</f>
        <v>#N/A</v>
      </c>
      <c r="BK253" s="352" t="e">
        <f>(VLOOKUP(A253,TradesEquity!$1:$1048576,40,FALSE))</f>
        <v>#N/A</v>
      </c>
    </row>
    <row r="254" spans="4:63">
      <c r="D254" s="342" t="s">
        <v>1957</v>
      </c>
      <c r="F254" s="343" t="e">
        <f>VLOOKUP(A254,TradesEquity!$1:$1048576,2,FALSE)</f>
        <v>#N/A</v>
      </c>
      <c r="H254" s="343" t="e">
        <f>VLOOKUP(A254,TradesEquity!$1:$1048576,21,FALSE)</f>
        <v>#N/A</v>
      </c>
      <c r="I254" s="344" t="e">
        <f>IF(VLOOKUP(A254,TradesEquity!$1:$1048576,3,FALSE)="BUY","B","S")</f>
        <v>#N/A</v>
      </c>
      <c r="J254" s="344" t="e">
        <f>VLOOKUP(A254,TradesEquity!$1:$1048576,5,FALSE)</f>
        <v>#N/A</v>
      </c>
      <c r="K254" s="342" t="s">
        <v>19</v>
      </c>
      <c r="L254" s="345" t="s">
        <v>1958</v>
      </c>
      <c r="AE254" s="346" t="e">
        <f>VLOOKUP(A254,TradesEquity!$1:$1048576,10,FALSE)</f>
        <v>#N/A</v>
      </c>
      <c r="AF254" s="346" t="e">
        <f t="shared" si="14"/>
        <v>#N/A</v>
      </c>
      <c r="AG254" s="346" t="e">
        <f t="shared" si="15"/>
        <v>#N/A</v>
      </c>
      <c r="AH254" s="346" t="e">
        <f t="shared" si="16"/>
        <v>#N/A</v>
      </c>
      <c r="AI254" s="346" t="e">
        <f>ABS(VLOOKUP(A254,TradesEquity!$1:$1048576,13,FALSE))</f>
        <v>#N/A</v>
      </c>
      <c r="AJ254" s="347">
        <v>0</v>
      </c>
      <c r="AK254" s="347">
        <v>1</v>
      </c>
      <c r="AL254" s="346" t="e">
        <f>VLOOKUP(A254,TradesEquity!$1:$1048576,11,FALSE)</f>
        <v>#N/A</v>
      </c>
      <c r="AM254" s="347">
        <v>1</v>
      </c>
      <c r="AN254" s="346" t="e">
        <f>ABS(VLOOKUP(A254,TradesEquity!$1:$1048576,14,FALSE))</f>
        <v>#N/A</v>
      </c>
      <c r="AO254" s="346" t="e">
        <f>ABS(VLOOKUP(A254,TradesEquity!$1:$1048576,15,FALSE))</f>
        <v>#N/A</v>
      </c>
      <c r="AP254" s="348" t="e">
        <f>ABS(VLOOKUP(A254,TradesEquity!$1:$1048576,16,FALSE))</f>
        <v>#N/A</v>
      </c>
      <c r="AQ254" s="286">
        <v>0</v>
      </c>
      <c r="AR254" s="286">
        <v>0</v>
      </c>
      <c r="AS254" s="286">
        <v>0</v>
      </c>
      <c r="AT254" s="286">
        <v>0</v>
      </c>
      <c r="AU254" s="286">
        <v>0</v>
      </c>
      <c r="AV254" s="348" t="e">
        <f>ABS(VLOOKUP(A254,TradesEquity!$1:$1048576,18,FALSE))</f>
        <v>#N/A</v>
      </c>
      <c r="AW254" s="349">
        <v>0</v>
      </c>
      <c r="AX254" s="350">
        <v>4542</v>
      </c>
      <c r="AY254" s="351" t="s">
        <v>1959</v>
      </c>
      <c r="AZ254" s="352" t="e">
        <f>(VLOOKUP(A254,TradesEquity!$1:$1048576,29,FALSE))</f>
        <v>#N/A</v>
      </c>
      <c r="BA254" s="352" t="e">
        <f>(VLOOKUP(A254,TradesEquity!$1:$1048576,30,FALSE))</f>
        <v>#N/A</v>
      </c>
      <c r="BB254" s="352" t="e">
        <f>(VLOOKUP(A254,TradesEquity!$1:$1048576,31,FALSE))</f>
        <v>#N/A</v>
      </c>
      <c r="BC254" s="352" t="e">
        <f>(VLOOKUP(A254,TradesEquity!$1:$1048576,32,FALSE))</f>
        <v>#N/A</v>
      </c>
      <c r="BI254" s="352" t="e">
        <f>(VLOOKUP(A254,TradesEquity!$1:$1048576,38,FALSE))</f>
        <v>#N/A</v>
      </c>
      <c r="BJ254" s="352" t="e">
        <f>(VLOOKUP(A254,TradesEquity!$1:$1048576,39,FALSE))</f>
        <v>#N/A</v>
      </c>
      <c r="BK254" s="352" t="e">
        <f>(VLOOKUP(A254,TradesEquity!$1:$1048576,40,FALSE))</f>
        <v>#N/A</v>
      </c>
    </row>
    <row r="255" spans="4:63">
      <c r="D255" s="342" t="s">
        <v>1957</v>
      </c>
      <c r="F255" s="343" t="e">
        <f>VLOOKUP(A255,TradesEquity!$1:$1048576,2,FALSE)</f>
        <v>#N/A</v>
      </c>
      <c r="H255" s="343" t="e">
        <f>VLOOKUP(A255,TradesEquity!$1:$1048576,21,FALSE)</f>
        <v>#N/A</v>
      </c>
      <c r="I255" s="344" t="e">
        <f>IF(VLOOKUP(A255,TradesEquity!$1:$1048576,3,FALSE)="BUY","B","S")</f>
        <v>#N/A</v>
      </c>
      <c r="J255" s="344" t="e">
        <f>VLOOKUP(A255,TradesEquity!$1:$1048576,5,FALSE)</f>
        <v>#N/A</v>
      </c>
      <c r="K255" s="342" t="s">
        <v>19</v>
      </c>
      <c r="L255" s="345" t="s">
        <v>1958</v>
      </c>
      <c r="AE255" s="346" t="e">
        <f>VLOOKUP(A255,TradesEquity!$1:$1048576,10,FALSE)</f>
        <v>#N/A</v>
      </c>
      <c r="AF255" s="346" t="e">
        <f t="shared" si="14"/>
        <v>#N/A</v>
      </c>
      <c r="AG255" s="346" t="e">
        <f t="shared" si="15"/>
        <v>#N/A</v>
      </c>
      <c r="AH255" s="346" t="e">
        <f t="shared" si="16"/>
        <v>#N/A</v>
      </c>
      <c r="AI255" s="346" t="e">
        <f>ABS(VLOOKUP(A255,TradesEquity!$1:$1048576,13,FALSE))</f>
        <v>#N/A</v>
      </c>
      <c r="AJ255" s="347">
        <v>0</v>
      </c>
      <c r="AK255" s="347">
        <v>1</v>
      </c>
      <c r="AL255" s="346" t="e">
        <f>VLOOKUP(A255,TradesEquity!$1:$1048576,11,FALSE)</f>
        <v>#N/A</v>
      </c>
      <c r="AM255" s="347">
        <v>1</v>
      </c>
      <c r="AN255" s="346" t="e">
        <f>ABS(VLOOKUP(A255,TradesEquity!$1:$1048576,14,FALSE))</f>
        <v>#N/A</v>
      </c>
      <c r="AO255" s="346" t="e">
        <f>ABS(VLOOKUP(A255,TradesEquity!$1:$1048576,15,FALSE))</f>
        <v>#N/A</v>
      </c>
      <c r="AP255" s="348" t="e">
        <f>ABS(VLOOKUP(A255,TradesEquity!$1:$1048576,16,FALSE))</f>
        <v>#N/A</v>
      </c>
      <c r="AQ255" s="286">
        <v>0</v>
      </c>
      <c r="AR255" s="286">
        <v>0</v>
      </c>
      <c r="AS255" s="286">
        <v>0</v>
      </c>
      <c r="AT255" s="286">
        <v>0</v>
      </c>
      <c r="AU255" s="286">
        <v>0</v>
      </c>
      <c r="AV255" s="348" t="e">
        <f>ABS(VLOOKUP(A255,TradesEquity!$1:$1048576,18,FALSE))</f>
        <v>#N/A</v>
      </c>
      <c r="AW255" s="349">
        <v>0</v>
      </c>
      <c r="AX255" s="350">
        <v>4542</v>
      </c>
      <c r="AY255" s="351" t="s">
        <v>1959</v>
      </c>
      <c r="AZ255" s="352" t="e">
        <f>(VLOOKUP(A255,TradesEquity!$1:$1048576,29,FALSE))</f>
        <v>#N/A</v>
      </c>
      <c r="BA255" s="352" t="e">
        <f>(VLOOKUP(A255,TradesEquity!$1:$1048576,30,FALSE))</f>
        <v>#N/A</v>
      </c>
      <c r="BB255" s="352" t="e">
        <f>(VLOOKUP(A255,TradesEquity!$1:$1048576,31,FALSE))</f>
        <v>#N/A</v>
      </c>
      <c r="BC255" s="352" t="e">
        <f>(VLOOKUP(A255,TradesEquity!$1:$1048576,32,FALSE))</f>
        <v>#N/A</v>
      </c>
      <c r="BI255" s="352" t="e">
        <f>(VLOOKUP(A255,TradesEquity!$1:$1048576,38,FALSE))</f>
        <v>#N/A</v>
      </c>
      <c r="BJ255" s="352" t="e">
        <f>(VLOOKUP(A255,TradesEquity!$1:$1048576,39,FALSE))</f>
        <v>#N/A</v>
      </c>
      <c r="BK255" s="352" t="e">
        <f>(VLOOKUP(A255,TradesEquity!$1:$1048576,40,FALSE))</f>
        <v>#N/A</v>
      </c>
    </row>
    <row r="256" spans="4:63">
      <c r="D256" s="342" t="s">
        <v>1957</v>
      </c>
      <c r="F256" s="343" t="e">
        <f>VLOOKUP(A256,TradesEquity!$1:$1048576,2,FALSE)</f>
        <v>#N/A</v>
      </c>
      <c r="H256" s="343" t="e">
        <f>VLOOKUP(A256,TradesEquity!$1:$1048576,21,FALSE)</f>
        <v>#N/A</v>
      </c>
      <c r="I256" s="344" t="e">
        <f>IF(VLOOKUP(A256,TradesEquity!$1:$1048576,3,FALSE)="BUY","B","S")</f>
        <v>#N/A</v>
      </c>
      <c r="J256" s="344" t="e">
        <f>VLOOKUP(A256,TradesEquity!$1:$1048576,5,FALSE)</f>
        <v>#N/A</v>
      </c>
      <c r="K256" s="342" t="s">
        <v>19</v>
      </c>
      <c r="L256" s="345" t="s">
        <v>1958</v>
      </c>
      <c r="AE256" s="346" t="e">
        <f>VLOOKUP(A256,TradesEquity!$1:$1048576,10,FALSE)</f>
        <v>#N/A</v>
      </c>
      <c r="AF256" s="346" t="e">
        <f t="shared" si="14"/>
        <v>#N/A</v>
      </c>
      <c r="AG256" s="346" t="e">
        <f t="shared" si="15"/>
        <v>#N/A</v>
      </c>
      <c r="AH256" s="346" t="e">
        <f t="shared" si="16"/>
        <v>#N/A</v>
      </c>
      <c r="AI256" s="346" t="e">
        <f>ABS(VLOOKUP(A256,TradesEquity!$1:$1048576,13,FALSE))</f>
        <v>#N/A</v>
      </c>
      <c r="AJ256" s="347">
        <v>0</v>
      </c>
      <c r="AK256" s="347">
        <v>1</v>
      </c>
      <c r="AL256" s="346" t="e">
        <f>VLOOKUP(A256,TradesEquity!$1:$1048576,11,FALSE)</f>
        <v>#N/A</v>
      </c>
      <c r="AM256" s="347">
        <v>1</v>
      </c>
      <c r="AN256" s="346" t="e">
        <f>ABS(VLOOKUP(A256,TradesEquity!$1:$1048576,14,FALSE))</f>
        <v>#N/A</v>
      </c>
      <c r="AO256" s="346" t="e">
        <f>ABS(VLOOKUP(A256,TradesEquity!$1:$1048576,15,FALSE))</f>
        <v>#N/A</v>
      </c>
      <c r="AP256" s="348" t="e">
        <f>ABS(VLOOKUP(A256,TradesEquity!$1:$1048576,16,FALSE))</f>
        <v>#N/A</v>
      </c>
      <c r="AQ256" s="286">
        <v>0</v>
      </c>
      <c r="AR256" s="286">
        <v>0</v>
      </c>
      <c r="AS256" s="286">
        <v>0</v>
      </c>
      <c r="AT256" s="286">
        <v>0</v>
      </c>
      <c r="AU256" s="286">
        <v>0</v>
      </c>
      <c r="AV256" s="348" t="e">
        <f>ABS(VLOOKUP(A256,TradesEquity!$1:$1048576,18,FALSE))</f>
        <v>#N/A</v>
      </c>
      <c r="AW256" s="349">
        <v>0</v>
      </c>
      <c r="AX256" s="350">
        <v>4542</v>
      </c>
      <c r="AY256" s="351" t="s">
        <v>1959</v>
      </c>
      <c r="AZ256" s="352" t="e">
        <f>(VLOOKUP(A256,TradesEquity!$1:$1048576,29,FALSE))</f>
        <v>#N/A</v>
      </c>
      <c r="BA256" s="352" t="e">
        <f>(VLOOKUP(A256,TradesEquity!$1:$1048576,30,FALSE))</f>
        <v>#N/A</v>
      </c>
      <c r="BB256" s="352" t="e">
        <f>(VLOOKUP(A256,TradesEquity!$1:$1048576,31,FALSE))</f>
        <v>#N/A</v>
      </c>
      <c r="BC256" s="352" t="e">
        <f>(VLOOKUP(A256,TradesEquity!$1:$1048576,32,FALSE))</f>
        <v>#N/A</v>
      </c>
      <c r="BI256" s="352" t="e">
        <f>(VLOOKUP(A256,TradesEquity!$1:$1048576,38,FALSE))</f>
        <v>#N/A</v>
      </c>
      <c r="BJ256" s="352" t="e">
        <f>(VLOOKUP(A256,TradesEquity!$1:$1048576,39,FALSE))</f>
        <v>#N/A</v>
      </c>
      <c r="BK256" s="352" t="e">
        <f>(VLOOKUP(A256,TradesEquity!$1:$1048576,40,FALSE))</f>
        <v>#N/A</v>
      </c>
    </row>
    <row r="257" spans="4:63">
      <c r="D257" s="342" t="s">
        <v>1957</v>
      </c>
      <c r="F257" s="343" t="e">
        <f>VLOOKUP(A257,TradesEquity!$1:$1048576,2,FALSE)</f>
        <v>#N/A</v>
      </c>
      <c r="H257" s="343" t="e">
        <f>VLOOKUP(A257,TradesEquity!$1:$1048576,21,FALSE)</f>
        <v>#N/A</v>
      </c>
      <c r="I257" s="344" t="e">
        <f>IF(VLOOKUP(A257,TradesEquity!$1:$1048576,3,FALSE)="BUY","B","S")</f>
        <v>#N/A</v>
      </c>
      <c r="J257" s="344" t="e">
        <f>VLOOKUP(A257,TradesEquity!$1:$1048576,5,FALSE)</f>
        <v>#N/A</v>
      </c>
      <c r="K257" s="342" t="s">
        <v>19</v>
      </c>
      <c r="L257" s="345" t="s">
        <v>1958</v>
      </c>
      <c r="AE257" s="346" t="e">
        <f>VLOOKUP(A257,TradesEquity!$1:$1048576,10,FALSE)</f>
        <v>#N/A</v>
      </c>
      <c r="AF257" s="346" t="e">
        <f t="shared" si="14"/>
        <v>#N/A</v>
      </c>
      <c r="AG257" s="346" t="e">
        <f t="shared" si="15"/>
        <v>#N/A</v>
      </c>
      <c r="AH257" s="346" t="e">
        <f t="shared" si="16"/>
        <v>#N/A</v>
      </c>
      <c r="AI257" s="346" t="e">
        <f>ABS(VLOOKUP(A257,TradesEquity!$1:$1048576,13,FALSE))</f>
        <v>#N/A</v>
      </c>
      <c r="AJ257" s="347">
        <v>0</v>
      </c>
      <c r="AK257" s="347">
        <v>1</v>
      </c>
      <c r="AL257" s="346" t="e">
        <f>VLOOKUP(A257,TradesEquity!$1:$1048576,11,FALSE)</f>
        <v>#N/A</v>
      </c>
      <c r="AM257" s="347">
        <v>1</v>
      </c>
      <c r="AN257" s="346" t="e">
        <f>ABS(VLOOKUP(A257,TradesEquity!$1:$1048576,14,FALSE))</f>
        <v>#N/A</v>
      </c>
      <c r="AO257" s="346" t="e">
        <f>ABS(VLOOKUP(A257,TradesEquity!$1:$1048576,15,FALSE))</f>
        <v>#N/A</v>
      </c>
      <c r="AP257" s="348" t="e">
        <f>ABS(VLOOKUP(A257,TradesEquity!$1:$1048576,16,FALSE))</f>
        <v>#N/A</v>
      </c>
      <c r="AQ257" s="286">
        <v>0</v>
      </c>
      <c r="AR257" s="286">
        <v>0</v>
      </c>
      <c r="AS257" s="286">
        <v>0</v>
      </c>
      <c r="AT257" s="286">
        <v>0</v>
      </c>
      <c r="AU257" s="286">
        <v>0</v>
      </c>
      <c r="AV257" s="348" t="e">
        <f>ABS(VLOOKUP(A257,TradesEquity!$1:$1048576,18,FALSE))</f>
        <v>#N/A</v>
      </c>
      <c r="AW257" s="349">
        <v>0</v>
      </c>
      <c r="AX257" s="350">
        <v>4542</v>
      </c>
      <c r="AY257" s="351" t="s">
        <v>1959</v>
      </c>
      <c r="AZ257" s="352" t="e">
        <f>(VLOOKUP(A257,TradesEquity!$1:$1048576,29,FALSE))</f>
        <v>#N/A</v>
      </c>
      <c r="BA257" s="352" t="e">
        <f>(VLOOKUP(A257,TradesEquity!$1:$1048576,30,FALSE))</f>
        <v>#N/A</v>
      </c>
      <c r="BB257" s="352" t="e">
        <f>(VLOOKUP(A257,TradesEquity!$1:$1048576,31,FALSE))</f>
        <v>#N/A</v>
      </c>
      <c r="BC257" s="352" t="e">
        <f>(VLOOKUP(A257,TradesEquity!$1:$1048576,32,FALSE))</f>
        <v>#N/A</v>
      </c>
      <c r="BI257" s="352" t="e">
        <f>(VLOOKUP(A257,TradesEquity!$1:$1048576,38,FALSE))</f>
        <v>#N/A</v>
      </c>
      <c r="BJ257" s="352" t="e">
        <f>(VLOOKUP(A257,TradesEquity!$1:$1048576,39,FALSE))</f>
        <v>#N/A</v>
      </c>
      <c r="BK257" s="352" t="e">
        <f>(VLOOKUP(A257,TradesEquity!$1:$1048576,40,FALSE))</f>
        <v>#N/A</v>
      </c>
    </row>
    <row r="258" spans="4:63">
      <c r="D258" s="342" t="s">
        <v>1957</v>
      </c>
      <c r="F258" s="343" t="e">
        <f>VLOOKUP(A258,TradesEquity!$1:$1048576,2,FALSE)</f>
        <v>#N/A</v>
      </c>
      <c r="H258" s="343" t="e">
        <f>VLOOKUP(A258,TradesEquity!$1:$1048576,21,FALSE)</f>
        <v>#N/A</v>
      </c>
      <c r="I258" s="344" t="e">
        <f>IF(VLOOKUP(A258,TradesEquity!$1:$1048576,3,FALSE)="BUY","B","S")</f>
        <v>#N/A</v>
      </c>
      <c r="J258" s="344" t="e">
        <f>VLOOKUP(A258,TradesEquity!$1:$1048576,5,FALSE)</f>
        <v>#N/A</v>
      </c>
      <c r="K258" s="342" t="s">
        <v>19</v>
      </c>
      <c r="L258" s="345" t="s">
        <v>1958</v>
      </c>
      <c r="AE258" s="346" t="e">
        <f>VLOOKUP(A258,TradesEquity!$1:$1048576,10,FALSE)</f>
        <v>#N/A</v>
      </c>
      <c r="AF258" s="346" t="e">
        <f t="shared" si="14"/>
        <v>#N/A</v>
      </c>
      <c r="AG258" s="346" t="e">
        <f t="shared" si="15"/>
        <v>#N/A</v>
      </c>
      <c r="AH258" s="346" t="e">
        <f t="shared" si="16"/>
        <v>#N/A</v>
      </c>
      <c r="AI258" s="346" t="e">
        <f>ABS(VLOOKUP(A258,TradesEquity!$1:$1048576,13,FALSE))</f>
        <v>#N/A</v>
      </c>
      <c r="AJ258" s="347">
        <v>0</v>
      </c>
      <c r="AK258" s="347">
        <v>1</v>
      </c>
      <c r="AL258" s="346" t="e">
        <f>VLOOKUP(A258,TradesEquity!$1:$1048576,11,FALSE)</f>
        <v>#N/A</v>
      </c>
      <c r="AM258" s="347">
        <v>1</v>
      </c>
      <c r="AN258" s="346" t="e">
        <f>ABS(VLOOKUP(A258,TradesEquity!$1:$1048576,14,FALSE))</f>
        <v>#N/A</v>
      </c>
      <c r="AO258" s="346" t="e">
        <f>ABS(VLOOKUP(A258,TradesEquity!$1:$1048576,15,FALSE))</f>
        <v>#N/A</v>
      </c>
      <c r="AP258" s="348" t="e">
        <f>ABS(VLOOKUP(A258,TradesEquity!$1:$1048576,16,FALSE))</f>
        <v>#N/A</v>
      </c>
      <c r="AQ258" s="286">
        <v>0</v>
      </c>
      <c r="AR258" s="286">
        <v>0</v>
      </c>
      <c r="AS258" s="286">
        <v>0</v>
      </c>
      <c r="AT258" s="286">
        <v>0</v>
      </c>
      <c r="AU258" s="286">
        <v>0</v>
      </c>
      <c r="AV258" s="348" t="e">
        <f>ABS(VLOOKUP(A258,TradesEquity!$1:$1048576,18,FALSE))</f>
        <v>#N/A</v>
      </c>
      <c r="AW258" s="349">
        <v>0</v>
      </c>
      <c r="AX258" s="350">
        <v>4542</v>
      </c>
      <c r="AY258" s="351" t="s">
        <v>1959</v>
      </c>
      <c r="AZ258" s="352" t="e">
        <f>(VLOOKUP(A258,TradesEquity!$1:$1048576,29,FALSE))</f>
        <v>#N/A</v>
      </c>
      <c r="BA258" s="352" t="e">
        <f>(VLOOKUP(A258,TradesEquity!$1:$1048576,30,FALSE))</f>
        <v>#N/A</v>
      </c>
      <c r="BB258" s="352" t="e">
        <f>(VLOOKUP(A258,TradesEquity!$1:$1048576,31,FALSE))</f>
        <v>#N/A</v>
      </c>
      <c r="BC258" s="352" t="e">
        <f>(VLOOKUP(A258,TradesEquity!$1:$1048576,32,FALSE))</f>
        <v>#N/A</v>
      </c>
      <c r="BI258" s="352" t="e">
        <f>(VLOOKUP(A258,TradesEquity!$1:$1048576,38,FALSE))</f>
        <v>#N/A</v>
      </c>
      <c r="BJ258" s="352" t="e">
        <f>(VLOOKUP(A258,TradesEquity!$1:$1048576,39,FALSE))</f>
        <v>#N/A</v>
      </c>
      <c r="BK258" s="352" t="e">
        <f>(VLOOKUP(A258,TradesEquity!$1:$1048576,40,FALSE))</f>
        <v>#N/A</v>
      </c>
    </row>
    <row r="259" spans="4:63">
      <c r="D259" s="342" t="s">
        <v>1957</v>
      </c>
      <c r="F259" s="343" t="e">
        <f>VLOOKUP(A259,TradesEquity!$1:$1048576,2,FALSE)</f>
        <v>#N/A</v>
      </c>
      <c r="H259" s="343" t="e">
        <f>VLOOKUP(A259,TradesEquity!$1:$1048576,21,FALSE)</f>
        <v>#N/A</v>
      </c>
      <c r="I259" s="344" t="e">
        <f>IF(VLOOKUP(A259,TradesEquity!$1:$1048576,3,FALSE)="BUY","B","S")</f>
        <v>#N/A</v>
      </c>
      <c r="J259" s="344" t="e">
        <f>VLOOKUP(A259,TradesEquity!$1:$1048576,5,FALSE)</f>
        <v>#N/A</v>
      </c>
      <c r="K259" s="342" t="s">
        <v>19</v>
      </c>
      <c r="L259" s="345" t="s">
        <v>1958</v>
      </c>
      <c r="AE259" s="346" t="e">
        <f>VLOOKUP(A259,TradesEquity!$1:$1048576,10,FALSE)</f>
        <v>#N/A</v>
      </c>
      <c r="AF259" s="346" t="e">
        <f t="shared" si="14"/>
        <v>#N/A</v>
      </c>
      <c r="AG259" s="346" t="e">
        <f t="shared" si="15"/>
        <v>#N/A</v>
      </c>
      <c r="AH259" s="346" t="e">
        <f t="shared" si="16"/>
        <v>#N/A</v>
      </c>
      <c r="AI259" s="346" t="e">
        <f>ABS(VLOOKUP(A259,TradesEquity!$1:$1048576,13,FALSE))</f>
        <v>#N/A</v>
      </c>
      <c r="AJ259" s="347">
        <v>0</v>
      </c>
      <c r="AK259" s="347">
        <v>1</v>
      </c>
      <c r="AL259" s="346" t="e">
        <f>VLOOKUP(A259,TradesEquity!$1:$1048576,11,FALSE)</f>
        <v>#N/A</v>
      </c>
      <c r="AM259" s="347">
        <v>1</v>
      </c>
      <c r="AN259" s="346" t="e">
        <f>ABS(VLOOKUP(A259,TradesEquity!$1:$1048576,14,FALSE))</f>
        <v>#N/A</v>
      </c>
      <c r="AO259" s="346" t="e">
        <f>ABS(VLOOKUP(A259,TradesEquity!$1:$1048576,15,FALSE))</f>
        <v>#N/A</v>
      </c>
      <c r="AP259" s="348" t="e">
        <f>ABS(VLOOKUP(A259,TradesEquity!$1:$1048576,16,FALSE))</f>
        <v>#N/A</v>
      </c>
      <c r="AQ259" s="286">
        <v>0</v>
      </c>
      <c r="AR259" s="286">
        <v>0</v>
      </c>
      <c r="AS259" s="286">
        <v>0</v>
      </c>
      <c r="AT259" s="286">
        <v>0</v>
      </c>
      <c r="AU259" s="286">
        <v>0</v>
      </c>
      <c r="AV259" s="348" t="e">
        <f>ABS(VLOOKUP(A259,TradesEquity!$1:$1048576,18,FALSE))</f>
        <v>#N/A</v>
      </c>
      <c r="AW259" s="349">
        <v>0</v>
      </c>
      <c r="AX259" s="350">
        <v>4542</v>
      </c>
      <c r="AY259" s="351" t="s">
        <v>1959</v>
      </c>
      <c r="AZ259" s="352" t="e">
        <f>(VLOOKUP(A259,TradesEquity!$1:$1048576,29,FALSE))</f>
        <v>#N/A</v>
      </c>
      <c r="BA259" s="352" t="e">
        <f>(VLOOKUP(A259,TradesEquity!$1:$1048576,30,FALSE))</f>
        <v>#N/A</v>
      </c>
      <c r="BB259" s="352" t="e">
        <f>(VLOOKUP(A259,TradesEquity!$1:$1048576,31,FALSE))</f>
        <v>#N/A</v>
      </c>
      <c r="BC259" s="352" t="e">
        <f>(VLOOKUP(A259,TradesEquity!$1:$1048576,32,FALSE))</f>
        <v>#N/A</v>
      </c>
      <c r="BI259" s="352" t="e">
        <f>(VLOOKUP(A259,TradesEquity!$1:$1048576,38,FALSE))</f>
        <v>#N/A</v>
      </c>
      <c r="BJ259" s="352" t="e">
        <f>(VLOOKUP(A259,TradesEquity!$1:$1048576,39,FALSE))</f>
        <v>#N/A</v>
      </c>
      <c r="BK259" s="352" t="e">
        <f>(VLOOKUP(A259,TradesEquity!$1:$1048576,40,FALSE))</f>
        <v>#N/A</v>
      </c>
    </row>
    <row r="260" spans="4:63">
      <c r="D260" s="342" t="s">
        <v>1957</v>
      </c>
      <c r="F260" s="343" t="e">
        <f>VLOOKUP(A260,TradesEquity!$1:$1048576,2,FALSE)</f>
        <v>#N/A</v>
      </c>
      <c r="H260" s="343" t="e">
        <f>VLOOKUP(A260,TradesEquity!$1:$1048576,21,FALSE)</f>
        <v>#N/A</v>
      </c>
      <c r="I260" s="344" t="e">
        <f>IF(VLOOKUP(A260,TradesEquity!$1:$1048576,3,FALSE)="BUY","B","S")</f>
        <v>#N/A</v>
      </c>
      <c r="J260" s="344" t="e">
        <f>VLOOKUP(A260,TradesEquity!$1:$1048576,5,FALSE)</f>
        <v>#N/A</v>
      </c>
      <c r="K260" s="342" t="s">
        <v>19</v>
      </c>
      <c r="L260" s="345" t="s">
        <v>1958</v>
      </c>
      <c r="AE260" s="346" t="e">
        <f>VLOOKUP(A260,TradesEquity!$1:$1048576,10,FALSE)</f>
        <v>#N/A</v>
      </c>
      <c r="AF260" s="346" t="e">
        <f t="shared" si="14"/>
        <v>#N/A</v>
      </c>
      <c r="AG260" s="346" t="e">
        <f t="shared" si="15"/>
        <v>#N/A</v>
      </c>
      <c r="AH260" s="346" t="e">
        <f t="shared" si="16"/>
        <v>#N/A</v>
      </c>
      <c r="AI260" s="346" t="e">
        <f>ABS(VLOOKUP(A260,TradesEquity!$1:$1048576,13,FALSE))</f>
        <v>#N/A</v>
      </c>
      <c r="AJ260" s="347">
        <v>0</v>
      </c>
      <c r="AK260" s="347">
        <v>1</v>
      </c>
      <c r="AL260" s="346" t="e">
        <f>VLOOKUP(A260,TradesEquity!$1:$1048576,11,FALSE)</f>
        <v>#N/A</v>
      </c>
      <c r="AM260" s="347">
        <v>1</v>
      </c>
      <c r="AN260" s="346" t="e">
        <f>ABS(VLOOKUP(A260,TradesEquity!$1:$1048576,14,FALSE))</f>
        <v>#N/A</v>
      </c>
      <c r="AO260" s="346" t="e">
        <f>ABS(VLOOKUP(A260,TradesEquity!$1:$1048576,15,FALSE))</f>
        <v>#N/A</v>
      </c>
      <c r="AP260" s="348" t="e">
        <f>ABS(VLOOKUP(A260,TradesEquity!$1:$1048576,16,FALSE))</f>
        <v>#N/A</v>
      </c>
      <c r="AQ260" s="286">
        <v>0</v>
      </c>
      <c r="AR260" s="286">
        <v>0</v>
      </c>
      <c r="AS260" s="286">
        <v>0</v>
      </c>
      <c r="AT260" s="286">
        <v>0</v>
      </c>
      <c r="AU260" s="286">
        <v>0</v>
      </c>
      <c r="AV260" s="348" t="e">
        <f>ABS(VLOOKUP(A260,TradesEquity!$1:$1048576,18,FALSE))</f>
        <v>#N/A</v>
      </c>
      <c r="AW260" s="349">
        <v>0</v>
      </c>
      <c r="AX260" s="350">
        <v>4542</v>
      </c>
      <c r="AY260" s="351" t="s">
        <v>1959</v>
      </c>
      <c r="AZ260" s="352" t="e">
        <f>(VLOOKUP(A260,TradesEquity!$1:$1048576,29,FALSE))</f>
        <v>#N/A</v>
      </c>
      <c r="BA260" s="352" t="e">
        <f>(VLOOKUP(A260,TradesEquity!$1:$1048576,30,FALSE))</f>
        <v>#N/A</v>
      </c>
      <c r="BB260" s="352" t="e">
        <f>(VLOOKUP(A260,TradesEquity!$1:$1048576,31,FALSE))</f>
        <v>#N/A</v>
      </c>
      <c r="BC260" s="352" t="e">
        <f>(VLOOKUP(A260,TradesEquity!$1:$1048576,32,FALSE))</f>
        <v>#N/A</v>
      </c>
      <c r="BI260" s="352" t="e">
        <f>(VLOOKUP(A260,TradesEquity!$1:$1048576,38,FALSE))</f>
        <v>#N/A</v>
      </c>
      <c r="BJ260" s="352" t="e">
        <f>(VLOOKUP(A260,TradesEquity!$1:$1048576,39,FALSE))</f>
        <v>#N/A</v>
      </c>
      <c r="BK260" s="352" t="e">
        <f>(VLOOKUP(A260,TradesEquity!$1:$1048576,40,FALSE))</f>
        <v>#N/A</v>
      </c>
    </row>
    <row r="261" spans="4:63">
      <c r="D261" s="342" t="s">
        <v>1957</v>
      </c>
      <c r="F261" s="343" t="e">
        <f>VLOOKUP(A261,TradesEquity!$1:$1048576,2,FALSE)</f>
        <v>#N/A</v>
      </c>
      <c r="H261" s="343" t="e">
        <f>VLOOKUP(A261,TradesEquity!$1:$1048576,21,FALSE)</f>
        <v>#N/A</v>
      </c>
      <c r="I261" s="344" t="e">
        <f>IF(VLOOKUP(A261,TradesEquity!$1:$1048576,3,FALSE)="BUY","B","S")</f>
        <v>#N/A</v>
      </c>
      <c r="J261" s="344" t="e">
        <f>VLOOKUP(A261,TradesEquity!$1:$1048576,5,FALSE)</f>
        <v>#N/A</v>
      </c>
      <c r="K261" s="342" t="s">
        <v>19</v>
      </c>
      <c r="L261" s="345" t="s">
        <v>1958</v>
      </c>
      <c r="AE261" s="346" t="e">
        <f>VLOOKUP(A261,TradesEquity!$1:$1048576,10,FALSE)</f>
        <v>#N/A</v>
      </c>
      <c r="AF261" s="346" t="e">
        <f t="shared" si="14"/>
        <v>#N/A</v>
      </c>
      <c r="AG261" s="346" t="e">
        <f t="shared" si="15"/>
        <v>#N/A</v>
      </c>
      <c r="AH261" s="346" t="e">
        <f t="shared" si="16"/>
        <v>#N/A</v>
      </c>
      <c r="AI261" s="346" t="e">
        <f>ABS(VLOOKUP(A261,TradesEquity!$1:$1048576,13,FALSE))</f>
        <v>#N/A</v>
      </c>
      <c r="AJ261" s="347">
        <v>0</v>
      </c>
      <c r="AK261" s="347">
        <v>1</v>
      </c>
      <c r="AL261" s="346" t="e">
        <f>VLOOKUP(A261,TradesEquity!$1:$1048576,11,FALSE)</f>
        <v>#N/A</v>
      </c>
      <c r="AM261" s="347">
        <v>1</v>
      </c>
      <c r="AN261" s="346" t="e">
        <f>ABS(VLOOKUP(A261,TradesEquity!$1:$1048576,14,FALSE))</f>
        <v>#N/A</v>
      </c>
      <c r="AO261" s="346" t="e">
        <f>ABS(VLOOKUP(A261,TradesEquity!$1:$1048576,15,FALSE))</f>
        <v>#N/A</v>
      </c>
      <c r="AP261" s="348" t="e">
        <f>ABS(VLOOKUP(A261,TradesEquity!$1:$1048576,16,FALSE))</f>
        <v>#N/A</v>
      </c>
      <c r="AQ261" s="286">
        <v>0</v>
      </c>
      <c r="AR261" s="286">
        <v>0</v>
      </c>
      <c r="AS261" s="286">
        <v>0</v>
      </c>
      <c r="AT261" s="286">
        <v>0</v>
      </c>
      <c r="AU261" s="286">
        <v>0</v>
      </c>
      <c r="AV261" s="348" t="e">
        <f>ABS(VLOOKUP(A261,TradesEquity!$1:$1048576,18,FALSE))</f>
        <v>#N/A</v>
      </c>
      <c r="AW261" s="349">
        <v>0</v>
      </c>
      <c r="AX261" s="350">
        <v>4542</v>
      </c>
      <c r="AY261" s="351" t="s">
        <v>1959</v>
      </c>
      <c r="AZ261" s="352" t="e">
        <f>(VLOOKUP(A261,TradesEquity!$1:$1048576,29,FALSE))</f>
        <v>#N/A</v>
      </c>
      <c r="BA261" s="352" t="e">
        <f>(VLOOKUP(A261,TradesEquity!$1:$1048576,30,FALSE))</f>
        <v>#N/A</v>
      </c>
      <c r="BB261" s="352" t="e">
        <f>(VLOOKUP(A261,TradesEquity!$1:$1048576,31,FALSE))</f>
        <v>#N/A</v>
      </c>
      <c r="BC261" s="352" t="e">
        <f>(VLOOKUP(A261,TradesEquity!$1:$1048576,32,FALSE))</f>
        <v>#N/A</v>
      </c>
      <c r="BI261" s="352" t="e">
        <f>(VLOOKUP(A261,TradesEquity!$1:$1048576,38,FALSE))</f>
        <v>#N/A</v>
      </c>
      <c r="BJ261" s="352" t="e">
        <f>(VLOOKUP(A261,TradesEquity!$1:$1048576,39,FALSE))</f>
        <v>#N/A</v>
      </c>
      <c r="BK261" s="352" t="e">
        <f>(VLOOKUP(A261,TradesEquity!$1:$1048576,40,FALSE))</f>
        <v>#N/A</v>
      </c>
    </row>
    <row r="262" spans="4:63">
      <c r="D262" s="342" t="s">
        <v>1957</v>
      </c>
      <c r="F262" s="343" t="e">
        <f>VLOOKUP(A262,TradesEquity!$1:$1048576,2,FALSE)</f>
        <v>#N/A</v>
      </c>
      <c r="H262" s="343" t="e">
        <f>VLOOKUP(A262,TradesEquity!$1:$1048576,21,FALSE)</f>
        <v>#N/A</v>
      </c>
      <c r="I262" s="344" t="e">
        <f>IF(VLOOKUP(A262,TradesEquity!$1:$1048576,3,FALSE)="BUY","B","S")</f>
        <v>#N/A</v>
      </c>
      <c r="J262" s="344" t="e">
        <f>VLOOKUP(A262,TradesEquity!$1:$1048576,5,FALSE)</f>
        <v>#N/A</v>
      </c>
      <c r="K262" s="342" t="s">
        <v>19</v>
      </c>
      <c r="L262" s="345" t="s">
        <v>1958</v>
      </c>
      <c r="AE262" s="346" t="e">
        <f>VLOOKUP(A262,TradesEquity!$1:$1048576,10,FALSE)</f>
        <v>#N/A</v>
      </c>
      <c r="AF262" s="346" t="e">
        <f t="shared" si="14"/>
        <v>#N/A</v>
      </c>
      <c r="AG262" s="346" t="e">
        <f t="shared" si="15"/>
        <v>#N/A</v>
      </c>
      <c r="AH262" s="346" t="e">
        <f t="shared" si="16"/>
        <v>#N/A</v>
      </c>
      <c r="AI262" s="346" t="e">
        <f>ABS(VLOOKUP(A262,TradesEquity!$1:$1048576,13,FALSE))</f>
        <v>#N/A</v>
      </c>
      <c r="AJ262" s="347">
        <v>0</v>
      </c>
      <c r="AK262" s="347">
        <v>1</v>
      </c>
      <c r="AL262" s="346" t="e">
        <f>VLOOKUP(A262,TradesEquity!$1:$1048576,11,FALSE)</f>
        <v>#N/A</v>
      </c>
      <c r="AM262" s="347">
        <v>1</v>
      </c>
      <c r="AN262" s="346" t="e">
        <f>ABS(VLOOKUP(A262,TradesEquity!$1:$1048576,14,FALSE))</f>
        <v>#N/A</v>
      </c>
      <c r="AO262" s="346" t="e">
        <f>ABS(VLOOKUP(A262,TradesEquity!$1:$1048576,15,FALSE))</f>
        <v>#N/A</v>
      </c>
      <c r="AP262" s="348" t="e">
        <f>ABS(VLOOKUP(A262,TradesEquity!$1:$1048576,16,FALSE))</f>
        <v>#N/A</v>
      </c>
      <c r="AQ262" s="286">
        <v>0</v>
      </c>
      <c r="AR262" s="286">
        <v>0</v>
      </c>
      <c r="AS262" s="286">
        <v>0</v>
      </c>
      <c r="AT262" s="286">
        <v>0</v>
      </c>
      <c r="AU262" s="286">
        <v>0</v>
      </c>
      <c r="AV262" s="348" t="e">
        <f>ABS(VLOOKUP(A262,TradesEquity!$1:$1048576,18,FALSE))</f>
        <v>#N/A</v>
      </c>
      <c r="AW262" s="349">
        <v>0</v>
      </c>
      <c r="AX262" s="350">
        <v>4542</v>
      </c>
      <c r="AY262" s="351" t="s">
        <v>1959</v>
      </c>
      <c r="AZ262" s="352" t="e">
        <f>(VLOOKUP(A262,TradesEquity!$1:$1048576,29,FALSE))</f>
        <v>#N/A</v>
      </c>
      <c r="BA262" s="352" t="e">
        <f>(VLOOKUP(A262,TradesEquity!$1:$1048576,30,FALSE))</f>
        <v>#N/A</v>
      </c>
      <c r="BB262" s="352" t="e">
        <f>(VLOOKUP(A262,TradesEquity!$1:$1048576,31,FALSE))</f>
        <v>#N/A</v>
      </c>
      <c r="BC262" s="352" t="e">
        <f>(VLOOKUP(A262,TradesEquity!$1:$1048576,32,FALSE))</f>
        <v>#N/A</v>
      </c>
      <c r="BI262" s="352" t="e">
        <f>(VLOOKUP(A262,TradesEquity!$1:$1048576,38,FALSE))</f>
        <v>#N/A</v>
      </c>
      <c r="BJ262" s="352" t="e">
        <f>(VLOOKUP(A262,TradesEquity!$1:$1048576,39,FALSE))</f>
        <v>#N/A</v>
      </c>
      <c r="BK262" s="352" t="e">
        <f>(VLOOKUP(A262,TradesEquity!$1:$1048576,40,FALSE))</f>
        <v>#N/A</v>
      </c>
    </row>
    <row r="263" spans="4:63">
      <c r="D263" s="342" t="s">
        <v>1957</v>
      </c>
      <c r="F263" s="343" t="e">
        <f>VLOOKUP(A263,TradesEquity!$1:$1048576,2,FALSE)</f>
        <v>#N/A</v>
      </c>
      <c r="H263" s="343" t="e">
        <f>VLOOKUP(A263,TradesEquity!$1:$1048576,21,FALSE)</f>
        <v>#N/A</v>
      </c>
      <c r="I263" s="344" t="e">
        <f>IF(VLOOKUP(A263,TradesEquity!$1:$1048576,3,FALSE)="BUY","B","S")</f>
        <v>#N/A</v>
      </c>
      <c r="J263" s="344" t="e">
        <f>VLOOKUP(A263,TradesEquity!$1:$1048576,5,FALSE)</f>
        <v>#N/A</v>
      </c>
      <c r="K263" s="342" t="s">
        <v>19</v>
      </c>
      <c r="L263" s="345" t="s">
        <v>1958</v>
      </c>
      <c r="AE263" s="346" t="e">
        <f>VLOOKUP(A263,TradesEquity!$1:$1048576,10,FALSE)</f>
        <v>#N/A</v>
      </c>
      <c r="AF263" s="346" t="e">
        <f t="shared" si="14"/>
        <v>#N/A</v>
      </c>
      <c r="AG263" s="346" t="e">
        <f t="shared" si="15"/>
        <v>#N/A</v>
      </c>
      <c r="AH263" s="346" t="e">
        <f t="shared" si="16"/>
        <v>#N/A</v>
      </c>
      <c r="AI263" s="346" t="e">
        <f>ABS(VLOOKUP(A263,TradesEquity!$1:$1048576,13,FALSE))</f>
        <v>#N/A</v>
      </c>
      <c r="AJ263" s="347">
        <v>0</v>
      </c>
      <c r="AK263" s="347">
        <v>1</v>
      </c>
      <c r="AL263" s="346" t="e">
        <f>VLOOKUP(A263,TradesEquity!$1:$1048576,11,FALSE)</f>
        <v>#N/A</v>
      </c>
      <c r="AM263" s="347">
        <v>1</v>
      </c>
      <c r="AN263" s="346" t="e">
        <f>ABS(VLOOKUP(A263,TradesEquity!$1:$1048576,14,FALSE))</f>
        <v>#N/A</v>
      </c>
      <c r="AO263" s="346" t="e">
        <f>ABS(VLOOKUP(A263,TradesEquity!$1:$1048576,15,FALSE))</f>
        <v>#N/A</v>
      </c>
      <c r="AP263" s="348" t="e">
        <f>ABS(VLOOKUP(A263,TradesEquity!$1:$1048576,16,FALSE))</f>
        <v>#N/A</v>
      </c>
      <c r="AQ263" s="286">
        <v>0</v>
      </c>
      <c r="AR263" s="286">
        <v>0</v>
      </c>
      <c r="AS263" s="286">
        <v>0</v>
      </c>
      <c r="AT263" s="286">
        <v>0</v>
      </c>
      <c r="AU263" s="286">
        <v>0</v>
      </c>
      <c r="AV263" s="348" t="e">
        <f>ABS(VLOOKUP(A263,TradesEquity!$1:$1048576,18,FALSE))</f>
        <v>#N/A</v>
      </c>
      <c r="AW263" s="349">
        <v>0</v>
      </c>
      <c r="AX263" s="350">
        <v>4542</v>
      </c>
      <c r="AY263" s="351" t="s">
        <v>1959</v>
      </c>
      <c r="AZ263" s="352" t="e">
        <f>(VLOOKUP(A263,TradesEquity!$1:$1048576,29,FALSE))</f>
        <v>#N/A</v>
      </c>
      <c r="BA263" s="352" t="e">
        <f>(VLOOKUP(A263,TradesEquity!$1:$1048576,30,FALSE))</f>
        <v>#N/A</v>
      </c>
      <c r="BB263" s="352" t="e">
        <f>(VLOOKUP(A263,TradesEquity!$1:$1048576,31,FALSE))</f>
        <v>#N/A</v>
      </c>
      <c r="BC263" s="352" t="e">
        <f>(VLOOKUP(A263,TradesEquity!$1:$1048576,32,FALSE))</f>
        <v>#N/A</v>
      </c>
      <c r="BI263" s="352" t="e">
        <f>(VLOOKUP(A263,TradesEquity!$1:$1048576,38,FALSE))</f>
        <v>#N/A</v>
      </c>
      <c r="BJ263" s="352" t="e">
        <f>(VLOOKUP(A263,TradesEquity!$1:$1048576,39,FALSE))</f>
        <v>#N/A</v>
      </c>
      <c r="BK263" s="352" t="e">
        <f>(VLOOKUP(A263,TradesEquity!$1:$1048576,40,FALSE))</f>
        <v>#N/A</v>
      </c>
    </row>
    <row r="264" spans="4:63">
      <c r="D264" s="342" t="s">
        <v>1957</v>
      </c>
      <c r="F264" s="343" t="e">
        <f>VLOOKUP(A264,TradesEquity!$1:$1048576,2,FALSE)</f>
        <v>#N/A</v>
      </c>
      <c r="H264" s="343" t="e">
        <f>VLOOKUP(A264,TradesEquity!$1:$1048576,21,FALSE)</f>
        <v>#N/A</v>
      </c>
      <c r="I264" s="344" t="e">
        <f>IF(VLOOKUP(A264,TradesEquity!$1:$1048576,3,FALSE)="BUY","B","S")</f>
        <v>#N/A</v>
      </c>
      <c r="J264" s="344" t="e">
        <f>VLOOKUP(A264,TradesEquity!$1:$1048576,5,FALSE)</f>
        <v>#N/A</v>
      </c>
      <c r="K264" s="342" t="s">
        <v>19</v>
      </c>
      <c r="L264" s="345" t="s">
        <v>1958</v>
      </c>
      <c r="AE264" s="346" t="e">
        <f>VLOOKUP(A264,TradesEquity!$1:$1048576,10,FALSE)</f>
        <v>#N/A</v>
      </c>
      <c r="AF264" s="346" t="e">
        <f t="shared" si="14"/>
        <v>#N/A</v>
      </c>
      <c r="AG264" s="346" t="e">
        <f t="shared" si="15"/>
        <v>#N/A</v>
      </c>
      <c r="AH264" s="346" t="e">
        <f t="shared" si="16"/>
        <v>#N/A</v>
      </c>
      <c r="AI264" s="346" t="e">
        <f>ABS(VLOOKUP(A264,TradesEquity!$1:$1048576,13,FALSE))</f>
        <v>#N/A</v>
      </c>
      <c r="AJ264" s="347">
        <v>0</v>
      </c>
      <c r="AK264" s="347">
        <v>1</v>
      </c>
      <c r="AL264" s="346" t="e">
        <f>VLOOKUP(A264,TradesEquity!$1:$1048576,11,FALSE)</f>
        <v>#N/A</v>
      </c>
      <c r="AM264" s="347">
        <v>1</v>
      </c>
      <c r="AN264" s="346" t="e">
        <f>ABS(VLOOKUP(A264,TradesEquity!$1:$1048576,14,FALSE))</f>
        <v>#N/A</v>
      </c>
      <c r="AO264" s="346" t="e">
        <f>ABS(VLOOKUP(A264,TradesEquity!$1:$1048576,15,FALSE))</f>
        <v>#N/A</v>
      </c>
      <c r="AP264" s="348" t="e">
        <f>ABS(VLOOKUP(A264,TradesEquity!$1:$1048576,16,FALSE))</f>
        <v>#N/A</v>
      </c>
      <c r="AQ264" s="286">
        <v>0</v>
      </c>
      <c r="AR264" s="286">
        <v>0</v>
      </c>
      <c r="AS264" s="286">
        <v>0</v>
      </c>
      <c r="AT264" s="286">
        <v>0</v>
      </c>
      <c r="AU264" s="286">
        <v>0</v>
      </c>
      <c r="AV264" s="348" t="e">
        <f>ABS(VLOOKUP(A264,TradesEquity!$1:$1048576,18,FALSE))</f>
        <v>#N/A</v>
      </c>
      <c r="AW264" s="349">
        <v>0</v>
      </c>
      <c r="AX264" s="350">
        <v>4542</v>
      </c>
      <c r="AY264" s="351" t="s">
        <v>1959</v>
      </c>
      <c r="AZ264" s="352" t="e">
        <f>(VLOOKUP(A264,TradesEquity!$1:$1048576,29,FALSE))</f>
        <v>#N/A</v>
      </c>
      <c r="BA264" s="352" t="e">
        <f>(VLOOKUP(A264,TradesEquity!$1:$1048576,30,FALSE))</f>
        <v>#N/A</v>
      </c>
      <c r="BB264" s="352" t="e">
        <f>(VLOOKUP(A264,TradesEquity!$1:$1048576,31,FALSE))</f>
        <v>#N/A</v>
      </c>
      <c r="BC264" s="352" t="e">
        <f>(VLOOKUP(A264,TradesEquity!$1:$1048576,32,FALSE))</f>
        <v>#N/A</v>
      </c>
      <c r="BI264" s="352" t="e">
        <f>(VLOOKUP(A264,TradesEquity!$1:$1048576,38,FALSE))</f>
        <v>#N/A</v>
      </c>
      <c r="BJ264" s="352" t="e">
        <f>(VLOOKUP(A264,TradesEquity!$1:$1048576,39,FALSE))</f>
        <v>#N/A</v>
      </c>
      <c r="BK264" s="352" t="e">
        <f>(VLOOKUP(A264,TradesEquity!$1:$1048576,40,FALSE))</f>
        <v>#N/A</v>
      </c>
    </row>
    <row r="265" spans="4:63">
      <c r="D265" s="342" t="s">
        <v>1957</v>
      </c>
      <c r="F265" s="343" t="e">
        <f>VLOOKUP(A265,TradesEquity!$1:$1048576,2,FALSE)</f>
        <v>#N/A</v>
      </c>
      <c r="H265" s="343" t="e">
        <f>VLOOKUP(A265,TradesEquity!$1:$1048576,21,FALSE)</f>
        <v>#N/A</v>
      </c>
      <c r="I265" s="344" t="e">
        <f>IF(VLOOKUP(A265,TradesEquity!$1:$1048576,3,FALSE)="BUY","B","S")</f>
        <v>#N/A</v>
      </c>
      <c r="J265" s="344" t="e">
        <f>VLOOKUP(A265,TradesEquity!$1:$1048576,5,FALSE)</f>
        <v>#N/A</v>
      </c>
      <c r="K265" s="342" t="s">
        <v>19</v>
      </c>
      <c r="L265" s="345" t="s">
        <v>1958</v>
      </c>
      <c r="AE265" s="346" t="e">
        <f>VLOOKUP(A265,TradesEquity!$1:$1048576,10,FALSE)</f>
        <v>#N/A</v>
      </c>
      <c r="AF265" s="346" t="e">
        <f t="shared" si="14"/>
        <v>#N/A</v>
      </c>
      <c r="AG265" s="346" t="e">
        <f t="shared" si="15"/>
        <v>#N/A</v>
      </c>
      <c r="AH265" s="346" t="e">
        <f t="shared" si="16"/>
        <v>#N/A</v>
      </c>
      <c r="AI265" s="346" t="e">
        <f>ABS(VLOOKUP(A265,TradesEquity!$1:$1048576,13,FALSE))</f>
        <v>#N/A</v>
      </c>
      <c r="AJ265" s="347">
        <v>0</v>
      </c>
      <c r="AK265" s="347">
        <v>1</v>
      </c>
      <c r="AL265" s="346" t="e">
        <f>VLOOKUP(A265,TradesEquity!$1:$1048576,11,FALSE)</f>
        <v>#N/A</v>
      </c>
      <c r="AM265" s="347">
        <v>1</v>
      </c>
      <c r="AN265" s="346" t="e">
        <f>ABS(VLOOKUP(A265,TradesEquity!$1:$1048576,14,FALSE))</f>
        <v>#N/A</v>
      </c>
      <c r="AO265" s="346" t="e">
        <f>ABS(VLOOKUP(A265,TradesEquity!$1:$1048576,15,FALSE))</f>
        <v>#N/A</v>
      </c>
      <c r="AP265" s="348" t="e">
        <f>ABS(VLOOKUP(A265,TradesEquity!$1:$1048576,16,FALSE))</f>
        <v>#N/A</v>
      </c>
      <c r="AQ265" s="286">
        <v>0</v>
      </c>
      <c r="AR265" s="286">
        <v>0</v>
      </c>
      <c r="AS265" s="286">
        <v>0</v>
      </c>
      <c r="AT265" s="286">
        <v>0</v>
      </c>
      <c r="AU265" s="286">
        <v>0</v>
      </c>
      <c r="AV265" s="348" t="e">
        <f>ABS(VLOOKUP(A265,TradesEquity!$1:$1048576,18,FALSE))</f>
        <v>#N/A</v>
      </c>
      <c r="AW265" s="349">
        <v>0</v>
      </c>
      <c r="AX265" s="350">
        <v>4542</v>
      </c>
      <c r="AY265" s="351" t="s">
        <v>1959</v>
      </c>
      <c r="AZ265" s="352" t="e">
        <f>(VLOOKUP(A265,TradesEquity!$1:$1048576,29,FALSE))</f>
        <v>#N/A</v>
      </c>
      <c r="BA265" s="352" t="e">
        <f>(VLOOKUP(A265,TradesEquity!$1:$1048576,30,FALSE))</f>
        <v>#N/A</v>
      </c>
      <c r="BB265" s="352" t="e">
        <f>(VLOOKUP(A265,TradesEquity!$1:$1048576,31,FALSE))</f>
        <v>#N/A</v>
      </c>
      <c r="BC265" s="352" t="e">
        <f>(VLOOKUP(A265,TradesEquity!$1:$1048576,32,FALSE))</f>
        <v>#N/A</v>
      </c>
      <c r="BI265" s="352" t="e">
        <f>(VLOOKUP(A265,TradesEquity!$1:$1048576,38,FALSE))</f>
        <v>#N/A</v>
      </c>
      <c r="BJ265" s="352" t="e">
        <f>(VLOOKUP(A265,TradesEquity!$1:$1048576,39,FALSE))</f>
        <v>#N/A</v>
      </c>
      <c r="BK265" s="352" t="e">
        <f>(VLOOKUP(A265,TradesEquity!$1:$1048576,40,FALSE))</f>
        <v>#N/A</v>
      </c>
    </row>
    <row r="266" spans="4:63">
      <c r="D266" s="342" t="s">
        <v>1957</v>
      </c>
      <c r="F266" s="343" t="e">
        <f>VLOOKUP(A266,TradesEquity!$1:$1048576,2,FALSE)</f>
        <v>#N/A</v>
      </c>
      <c r="H266" s="343" t="e">
        <f>VLOOKUP(A266,TradesEquity!$1:$1048576,21,FALSE)</f>
        <v>#N/A</v>
      </c>
      <c r="I266" s="344" t="e">
        <f>IF(VLOOKUP(A266,TradesEquity!$1:$1048576,3,FALSE)="BUY","B","S")</f>
        <v>#N/A</v>
      </c>
      <c r="J266" s="344" t="e">
        <f>VLOOKUP(A266,TradesEquity!$1:$1048576,5,FALSE)</f>
        <v>#N/A</v>
      </c>
      <c r="K266" s="342" t="s">
        <v>19</v>
      </c>
      <c r="L266" s="345" t="s">
        <v>1958</v>
      </c>
      <c r="AE266" s="346" t="e">
        <f>VLOOKUP(A266,TradesEquity!$1:$1048576,10,FALSE)</f>
        <v>#N/A</v>
      </c>
      <c r="AF266" s="346" t="e">
        <f t="shared" si="14"/>
        <v>#N/A</v>
      </c>
      <c r="AG266" s="346" t="e">
        <f t="shared" si="15"/>
        <v>#N/A</v>
      </c>
      <c r="AH266" s="346" t="e">
        <f t="shared" si="16"/>
        <v>#N/A</v>
      </c>
      <c r="AI266" s="346" t="e">
        <f>ABS(VLOOKUP(A266,TradesEquity!$1:$1048576,13,FALSE))</f>
        <v>#N/A</v>
      </c>
      <c r="AJ266" s="347">
        <v>0</v>
      </c>
      <c r="AK266" s="347">
        <v>1</v>
      </c>
      <c r="AL266" s="346" t="e">
        <f>VLOOKUP(A266,TradesEquity!$1:$1048576,11,FALSE)</f>
        <v>#N/A</v>
      </c>
      <c r="AM266" s="347">
        <v>1</v>
      </c>
      <c r="AN266" s="346" t="e">
        <f>ABS(VLOOKUP(A266,TradesEquity!$1:$1048576,14,FALSE))</f>
        <v>#N/A</v>
      </c>
      <c r="AO266" s="346" t="e">
        <f>ABS(VLOOKUP(A266,TradesEquity!$1:$1048576,15,FALSE))</f>
        <v>#N/A</v>
      </c>
      <c r="AP266" s="348" t="e">
        <f>ABS(VLOOKUP(A266,TradesEquity!$1:$1048576,16,FALSE))</f>
        <v>#N/A</v>
      </c>
      <c r="AQ266" s="286">
        <v>0</v>
      </c>
      <c r="AR266" s="286">
        <v>0</v>
      </c>
      <c r="AS266" s="286">
        <v>0</v>
      </c>
      <c r="AT266" s="286">
        <v>0</v>
      </c>
      <c r="AU266" s="286">
        <v>0</v>
      </c>
      <c r="AV266" s="348" t="e">
        <f>ABS(VLOOKUP(A266,TradesEquity!$1:$1048576,18,FALSE))</f>
        <v>#N/A</v>
      </c>
      <c r="AW266" s="349">
        <v>0</v>
      </c>
      <c r="AX266" s="350">
        <v>4542</v>
      </c>
      <c r="AY266" s="351" t="s">
        <v>1959</v>
      </c>
      <c r="AZ266" s="352" t="e">
        <f>(VLOOKUP(A266,TradesEquity!$1:$1048576,29,FALSE))</f>
        <v>#N/A</v>
      </c>
      <c r="BA266" s="352" t="e">
        <f>(VLOOKUP(A266,TradesEquity!$1:$1048576,30,FALSE))</f>
        <v>#N/A</v>
      </c>
      <c r="BB266" s="352" t="e">
        <f>(VLOOKUP(A266,TradesEquity!$1:$1048576,31,FALSE))</f>
        <v>#N/A</v>
      </c>
      <c r="BC266" s="352" t="e">
        <f>(VLOOKUP(A266,TradesEquity!$1:$1048576,32,FALSE))</f>
        <v>#N/A</v>
      </c>
      <c r="BI266" s="352" t="e">
        <f>(VLOOKUP(A266,TradesEquity!$1:$1048576,38,FALSE))</f>
        <v>#N/A</v>
      </c>
      <c r="BJ266" s="352" t="e">
        <f>(VLOOKUP(A266,TradesEquity!$1:$1048576,39,FALSE))</f>
        <v>#N/A</v>
      </c>
      <c r="BK266" s="352" t="e">
        <f>(VLOOKUP(A266,TradesEquity!$1:$1048576,40,FALSE))</f>
        <v>#N/A</v>
      </c>
    </row>
    <row r="267" spans="4:63">
      <c r="D267" s="342" t="s">
        <v>1957</v>
      </c>
      <c r="F267" s="343" t="e">
        <f>VLOOKUP(A267,TradesEquity!$1:$1048576,2,FALSE)</f>
        <v>#N/A</v>
      </c>
      <c r="H267" s="343" t="e">
        <f>VLOOKUP(A267,TradesEquity!$1:$1048576,21,FALSE)</f>
        <v>#N/A</v>
      </c>
      <c r="I267" s="344" t="e">
        <f>IF(VLOOKUP(A267,TradesEquity!$1:$1048576,3,FALSE)="BUY","B","S")</f>
        <v>#N/A</v>
      </c>
      <c r="J267" s="344" t="e">
        <f>VLOOKUP(A267,TradesEquity!$1:$1048576,5,FALSE)</f>
        <v>#N/A</v>
      </c>
      <c r="K267" s="342" t="s">
        <v>19</v>
      </c>
      <c r="L267" s="345" t="s">
        <v>1958</v>
      </c>
      <c r="AE267" s="346" t="e">
        <f>VLOOKUP(A267,TradesEquity!$1:$1048576,10,FALSE)</f>
        <v>#N/A</v>
      </c>
      <c r="AF267" s="346" t="e">
        <f t="shared" si="14"/>
        <v>#N/A</v>
      </c>
      <c r="AG267" s="346" t="e">
        <f t="shared" si="15"/>
        <v>#N/A</v>
      </c>
      <c r="AH267" s="346" t="e">
        <f t="shared" si="16"/>
        <v>#N/A</v>
      </c>
      <c r="AI267" s="346" t="e">
        <f>ABS(VLOOKUP(A267,TradesEquity!$1:$1048576,13,FALSE))</f>
        <v>#N/A</v>
      </c>
      <c r="AJ267" s="347">
        <v>0</v>
      </c>
      <c r="AK267" s="347">
        <v>1</v>
      </c>
      <c r="AL267" s="346" t="e">
        <f>VLOOKUP(A267,TradesEquity!$1:$1048576,11,FALSE)</f>
        <v>#N/A</v>
      </c>
      <c r="AM267" s="347">
        <v>1</v>
      </c>
      <c r="AN267" s="346" t="e">
        <f>ABS(VLOOKUP(A267,TradesEquity!$1:$1048576,14,FALSE))</f>
        <v>#N/A</v>
      </c>
      <c r="AO267" s="346" t="e">
        <f>ABS(VLOOKUP(A267,TradesEquity!$1:$1048576,15,FALSE))</f>
        <v>#N/A</v>
      </c>
      <c r="AP267" s="348" t="e">
        <f>ABS(VLOOKUP(A267,TradesEquity!$1:$1048576,16,FALSE))</f>
        <v>#N/A</v>
      </c>
      <c r="AQ267" s="286">
        <v>0</v>
      </c>
      <c r="AR267" s="286">
        <v>0</v>
      </c>
      <c r="AS267" s="286">
        <v>0</v>
      </c>
      <c r="AT267" s="286">
        <v>0</v>
      </c>
      <c r="AU267" s="286">
        <v>0</v>
      </c>
      <c r="AV267" s="348" t="e">
        <f>ABS(VLOOKUP(A267,TradesEquity!$1:$1048576,18,FALSE))</f>
        <v>#N/A</v>
      </c>
      <c r="AW267" s="349">
        <v>0</v>
      </c>
      <c r="AX267" s="350">
        <v>4542</v>
      </c>
      <c r="AY267" s="351" t="s">
        <v>1959</v>
      </c>
      <c r="AZ267" s="352" t="e">
        <f>(VLOOKUP(A267,TradesEquity!$1:$1048576,29,FALSE))</f>
        <v>#N/A</v>
      </c>
      <c r="BA267" s="352" t="e">
        <f>(VLOOKUP(A267,TradesEquity!$1:$1048576,30,FALSE))</f>
        <v>#N/A</v>
      </c>
      <c r="BB267" s="352" t="e">
        <f>(VLOOKUP(A267,TradesEquity!$1:$1048576,31,FALSE))</f>
        <v>#N/A</v>
      </c>
      <c r="BC267" s="352" t="e">
        <f>(VLOOKUP(A267,TradesEquity!$1:$1048576,32,FALSE))</f>
        <v>#N/A</v>
      </c>
      <c r="BI267" s="352" t="e">
        <f>(VLOOKUP(A267,TradesEquity!$1:$1048576,38,FALSE))</f>
        <v>#N/A</v>
      </c>
      <c r="BJ267" s="352" t="e">
        <f>(VLOOKUP(A267,TradesEquity!$1:$1048576,39,FALSE))</f>
        <v>#N/A</v>
      </c>
      <c r="BK267" s="352" t="e">
        <f>(VLOOKUP(A267,TradesEquity!$1:$1048576,40,FALSE))</f>
        <v>#N/A</v>
      </c>
    </row>
    <row r="268" spans="4:63">
      <c r="D268" s="342" t="s">
        <v>1957</v>
      </c>
      <c r="F268" s="343" t="e">
        <f>VLOOKUP(A268,TradesEquity!$1:$1048576,2,FALSE)</f>
        <v>#N/A</v>
      </c>
      <c r="H268" s="343" t="e">
        <f>VLOOKUP(A268,TradesEquity!$1:$1048576,21,FALSE)</f>
        <v>#N/A</v>
      </c>
      <c r="I268" s="344" t="e">
        <f>IF(VLOOKUP(A268,TradesEquity!$1:$1048576,3,FALSE)="BUY","B","S")</f>
        <v>#N/A</v>
      </c>
      <c r="J268" s="344" t="e">
        <f>VLOOKUP(A268,TradesEquity!$1:$1048576,5,FALSE)</f>
        <v>#N/A</v>
      </c>
      <c r="K268" s="342" t="s">
        <v>19</v>
      </c>
      <c r="L268" s="345" t="s">
        <v>1958</v>
      </c>
      <c r="AE268" s="346" t="e">
        <f>VLOOKUP(A268,TradesEquity!$1:$1048576,10,FALSE)</f>
        <v>#N/A</v>
      </c>
      <c r="AF268" s="346" t="e">
        <f t="shared" si="14"/>
        <v>#N/A</v>
      </c>
      <c r="AG268" s="346" t="e">
        <f t="shared" si="15"/>
        <v>#N/A</v>
      </c>
      <c r="AH268" s="346" t="e">
        <f t="shared" si="16"/>
        <v>#N/A</v>
      </c>
      <c r="AI268" s="346" t="e">
        <f>ABS(VLOOKUP(A268,TradesEquity!$1:$1048576,13,FALSE))</f>
        <v>#N/A</v>
      </c>
      <c r="AJ268" s="347">
        <v>0</v>
      </c>
      <c r="AK268" s="347">
        <v>1</v>
      </c>
      <c r="AL268" s="346" t="e">
        <f>VLOOKUP(A268,TradesEquity!$1:$1048576,11,FALSE)</f>
        <v>#N/A</v>
      </c>
      <c r="AM268" s="347">
        <v>1</v>
      </c>
      <c r="AN268" s="346" t="e">
        <f>ABS(VLOOKUP(A268,TradesEquity!$1:$1048576,14,FALSE))</f>
        <v>#N/A</v>
      </c>
      <c r="AO268" s="346" t="e">
        <f>ABS(VLOOKUP(A268,TradesEquity!$1:$1048576,15,FALSE))</f>
        <v>#N/A</v>
      </c>
      <c r="AP268" s="348" t="e">
        <f>ABS(VLOOKUP(A268,TradesEquity!$1:$1048576,16,FALSE))</f>
        <v>#N/A</v>
      </c>
      <c r="AQ268" s="286">
        <v>0</v>
      </c>
      <c r="AR268" s="286">
        <v>0</v>
      </c>
      <c r="AS268" s="286">
        <v>0</v>
      </c>
      <c r="AT268" s="286">
        <v>0</v>
      </c>
      <c r="AU268" s="286">
        <v>0</v>
      </c>
      <c r="AV268" s="348" t="e">
        <f>ABS(VLOOKUP(A268,TradesEquity!$1:$1048576,18,FALSE))</f>
        <v>#N/A</v>
      </c>
      <c r="AW268" s="349">
        <v>0</v>
      </c>
      <c r="AX268" s="350">
        <v>4542</v>
      </c>
      <c r="AY268" s="351" t="s">
        <v>1959</v>
      </c>
      <c r="AZ268" s="352" t="e">
        <f>(VLOOKUP(A268,TradesEquity!$1:$1048576,29,FALSE))</f>
        <v>#N/A</v>
      </c>
      <c r="BA268" s="352" t="e">
        <f>(VLOOKUP(A268,TradesEquity!$1:$1048576,30,FALSE))</f>
        <v>#N/A</v>
      </c>
      <c r="BB268" s="352" t="e">
        <f>(VLOOKUP(A268,TradesEquity!$1:$1048576,31,FALSE))</f>
        <v>#N/A</v>
      </c>
      <c r="BC268" s="352" t="e">
        <f>(VLOOKUP(A268,TradesEquity!$1:$1048576,32,FALSE))</f>
        <v>#N/A</v>
      </c>
      <c r="BI268" s="352" t="e">
        <f>(VLOOKUP(A268,TradesEquity!$1:$1048576,38,FALSE))</f>
        <v>#N/A</v>
      </c>
      <c r="BJ268" s="352" t="e">
        <f>(VLOOKUP(A268,TradesEquity!$1:$1048576,39,FALSE))</f>
        <v>#N/A</v>
      </c>
      <c r="BK268" s="352" t="e">
        <f>(VLOOKUP(A268,TradesEquity!$1:$1048576,40,FALSE))</f>
        <v>#N/A</v>
      </c>
    </row>
    <row r="269" spans="4:63">
      <c r="D269" s="342" t="s">
        <v>1957</v>
      </c>
      <c r="F269" s="343" t="e">
        <f>VLOOKUP(A269,TradesEquity!$1:$1048576,2,FALSE)</f>
        <v>#N/A</v>
      </c>
      <c r="H269" s="343" t="e">
        <f>VLOOKUP(A269,TradesEquity!$1:$1048576,21,FALSE)</f>
        <v>#N/A</v>
      </c>
      <c r="I269" s="344" t="e">
        <f>IF(VLOOKUP(A269,TradesEquity!$1:$1048576,3,FALSE)="BUY","B","S")</f>
        <v>#N/A</v>
      </c>
      <c r="J269" s="344" t="e">
        <f>VLOOKUP(A269,TradesEquity!$1:$1048576,5,FALSE)</f>
        <v>#N/A</v>
      </c>
      <c r="K269" s="342" t="s">
        <v>19</v>
      </c>
      <c r="L269" s="345" t="s">
        <v>1958</v>
      </c>
      <c r="AE269" s="346" t="e">
        <f>VLOOKUP(A269,TradesEquity!$1:$1048576,10,FALSE)</f>
        <v>#N/A</v>
      </c>
      <c r="AF269" s="346" t="e">
        <f t="shared" si="14"/>
        <v>#N/A</v>
      </c>
      <c r="AG269" s="346" t="e">
        <f t="shared" si="15"/>
        <v>#N/A</v>
      </c>
      <c r="AH269" s="346" t="e">
        <f t="shared" si="16"/>
        <v>#N/A</v>
      </c>
      <c r="AI269" s="346" t="e">
        <f>ABS(VLOOKUP(A269,TradesEquity!$1:$1048576,13,FALSE))</f>
        <v>#N/A</v>
      </c>
      <c r="AJ269" s="347">
        <v>0</v>
      </c>
      <c r="AK269" s="347">
        <v>1</v>
      </c>
      <c r="AL269" s="346" t="e">
        <f>VLOOKUP(A269,TradesEquity!$1:$1048576,11,FALSE)</f>
        <v>#N/A</v>
      </c>
      <c r="AM269" s="347">
        <v>1</v>
      </c>
      <c r="AN269" s="346" t="e">
        <f>ABS(VLOOKUP(A269,TradesEquity!$1:$1048576,14,FALSE))</f>
        <v>#N/A</v>
      </c>
      <c r="AO269" s="346" t="e">
        <f>ABS(VLOOKUP(A269,TradesEquity!$1:$1048576,15,FALSE))</f>
        <v>#N/A</v>
      </c>
      <c r="AP269" s="348" t="e">
        <f>ABS(VLOOKUP(A269,TradesEquity!$1:$1048576,16,FALSE))</f>
        <v>#N/A</v>
      </c>
      <c r="AQ269" s="286">
        <v>0</v>
      </c>
      <c r="AR269" s="286">
        <v>0</v>
      </c>
      <c r="AS269" s="286">
        <v>0</v>
      </c>
      <c r="AT269" s="286">
        <v>0</v>
      </c>
      <c r="AU269" s="286">
        <v>0</v>
      </c>
      <c r="AV269" s="348" t="e">
        <f>ABS(VLOOKUP(A269,TradesEquity!$1:$1048576,18,FALSE))</f>
        <v>#N/A</v>
      </c>
      <c r="AW269" s="349">
        <v>0</v>
      </c>
      <c r="AX269" s="350">
        <v>4542</v>
      </c>
      <c r="AY269" s="351" t="s">
        <v>1959</v>
      </c>
      <c r="AZ269" s="352" t="e">
        <f>(VLOOKUP(A269,TradesEquity!$1:$1048576,29,FALSE))</f>
        <v>#N/A</v>
      </c>
      <c r="BA269" s="352" t="e">
        <f>(VLOOKUP(A269,TradesEquity!$1:$1048576,30,FALSE))</f>
        <v>#N/A</v>
      </c>
      <c r="BB269" s="352" t="e">
        <f>(VLOOKUP(A269,TradesEquity!$1:$1048576,31,FALSE))</f>
        <v>#N/A</v>
      </c>
      <c r="BC269" s="352" t="e">
        <f>(VLOOKUP(A269,TradesEquity!$1:$1048576,32,FALSE))</f>
        <v>#N/A</v>
      </c>
      <c r="BI269" s="352" t="e">
        <f>(VLOOKUP(A269,TradesEquity!$1:$1048576,38,FALSE))</f>
        <v>#N/A</v>
      </c>
      <c r="BJ269" s="352" t="e">
        <f>(VLOOKUP(A269,TradesEquity!$1:$1048576,39,FALSE))</f>
        <v>#N/A</v>
      </c>
      <c r="BK269" s="352" t="e">
        <f>(VLOOKUP(A269,TradesEquity!$1:$1048576,40,FALSE))</f>
        <v>#N/A</v>
      </c>
    </row>
    <row r="270" spans="4:63">
      <c r="D270" s="342" t="s">
        <v>1957</v>
      </c>
      <c r="F270" s="343" t="e">
        <f>VLOOKUP(A270,TradesEquity!$1:$1048576,2,FALSE)</f>
        <v>#N/A</v>
      </c>
      <c r="H270" s="343" t="e">
        <f>VLOOKUP(A270,TradesEquity!$1:$1048576,21,FALSE)</f>
        <v>#N/A</v>
      </c>
      <c r="I270" s="344" t="e">
        <f>IF(VLOOKUP(A270,TradesEquity!$1:$1048576,3,FALSE)="BUY","B","S")</f>
        <v>#N/A</v>
      </c>
      <c r="J270" s="344" t="e">
        <f>VLOOKUP(A270,TradesEquity!$1:$1048576,5,FALSE)</f>
        <v>#N/A</v>
      </c>
      <c r="K270" s="342" t="s">
        <v>19</v>
      </c>
      <c r="L270" s="345" t="s">
        <v>1958</v>
      </c>
      <c r="AE270" s="346" t="e">
        <f>VLOOKUP(A270,TradesEquity!$1:$1048576,10,FALSE)</f>
        <v>#N/A</v>
      </c>
      <c r="AF270" s="346" t="e">
        <f t="shared" si="14"/>
        <v>#N/A</v>
      </c>
      <c r="AG270" s="346" t="e">
        <f t="shared" si="15"/>
        <v>#N/A</v>
      </c>
      <c r="AH270" s="346" t="e">
        <f t="shared" si="16"/>
        <v>#N/A</v>
      </c>
      <c r="AI270" s="346" t="e">
        <f>ABS(VLOOKUP(A270,TradesEquity!$1:$1048576,13,FALSE))</f>
        <v>#N/A</v>
      </c>
      <c r="AJ270" s="347">
        <v>0</v>
      </c>
      <c r="AK270" s="347">
        <v>1</v>
      </c>
      <c r="AL270" s="346" t="e">
        <f>VLOOKUP(A270,TradesEquity!$1:$1048576,11,FALSE)</f>
        <v>#N/A</v>
      </c>
      <c r="AM270" s="347">
        <v>1</v>
      </c>
      <c r="AN270" s="346" t="e">
        <f>ABS(VLOOKUP(A270,TradesEquity!$1:$1048576,14,FALSE))</f>
        <v>#N/A</v>
      </c>
      <c r="AO270" s="346" t="e">
        <f>ABS(VLOOKUP(A270,TradesEquity!$1:$1048576,15,FALSE))</f>
        <v>#N/A</v>
      </c>
      <c r="AP270" s="348" t="e">
        <f>ABS(VLOOKUP(A270,TradesEquity!$1:$1048576,16,FALSE))</f>
        <v>#N/A</v>
      </c>
      <c r="AQ270" s="286">
        <v>0</v>
      </c>
      <c r="AR270" s="286">
        <v>0</v>
      </c>
      <c r="AS270" s="286">
        <v>0</v>
      </c>
      <c r="AT270" s="286">
        <v>0</v>
      </c>
      <c r="AU270" s="286">
        <v>0</v>
      </c>
      <c r="AV270" s="348" t="e">
        <f>ABS(VLOOKUP(A270,TradesEquity!$1:$1048576,18,FALSE))</f>
        <v>#N/A</v>
      </c>
      <c r="AW270" s="349">
        <v>0</v>
      </c>
      <c r="AX270" s="350">
        <v>4542</v>
      </c>
      <c r="AY270" s="351" t="s">
        <v>1959</v>
      </c>
      <c r="AZ270" s="352" t="e">
        <f>(VLOOKUP(A270,TradesEquity!$1:$1048576,29,FALSE))</f>
        <v>#N/A</v>
      </c>
      <c r="BA270" s="352" t="e">
        <f>(VLOOKUP(A270,TradesEquity!$1:$1048576,30,FALSE))</f>
        <v>#N/A</v>
      </c>
      <c r="BB270" s="352" t="e">
        <f>(VLOOKUP(A270,TradesEquity!$1:$1048576,31,FALSE))</f>
        <v>#N/A</v>
      </c>
      <c r="BC270" s="352" t="e">
        <f>(VLOOKUP(A270,TradesEquity!$1:$1048576,32,FALSE))</f>
        <v>#N/A</v>
      </c>
      <c r="BI270" s="352" t="e">
        <f>(VLOOKUP(A270,TradesEquity!$1:$1048576,38,FALSE))</f>
        <v>#N/A</v>
      </c>
      <c r="BJ270" s="352" t="e">
        <f>(VLOOKUP(A270,TradesEquity!$1:$1048576,39,FALSE))</f>
        <v>#N/A</v>
      </c>
      <c r="BK270" s="352" t="e">
        <f>(VLOOKUP(A270,TradesEquity!$1:$1048576,40,FALSE))</f>
        <v>#N/A</v>
      </c>
    </row>
    <row r="271" spans="4:63">
      <c r="D271" s="342" t="s">
        <v>1957</v>
      </c>
      <c r="F271" s="343" t="e">
        <f>VLOOKUP(A271,TradesEquity!$1:$1048576,2,FALSE)</f>
        <v>#N/A</v>
      </c>
      <c r="H271" s="343" t="e">
        <f>VLOOKUP(A271,TradesEquity!$1:$1048576,21,FALSE)</f>
        <v>#N/A</v>
      </c>
      <c r="I271" s="344" t="e">
        <f>IF(VLOOKUP(A271,TradesEquity!$1:$1048576,3,FALSE)="BUY","B","S")</f>
        <v>#N/A</v>
      </c>
      <c r="J271" s="344" t="e">
        <f>VLOOKUP(A271,TradesEquity!$1:$1048576,5,FALSE)</f>
        <v>#N/A</v>
      </c>
      <c r="K271" s="342" t="s">
        <v>19</v>
      </c>
      <c r="L271" s="345" t="s">
        <v>1958</v>
      </c>
      <c r="AE271" s="346" t="e">
        <f>VLOOKUP(A271,TradesEquity!$1:$1048576,10,FALSE)</f>
        <v>#N/A</v>
      </c>
      <c r="AF271" s="346" t="e">
        <f t="shared" si="14"/>
        <v>#N/A</v>
      </c>
      <c r="AG271" s="346" t="e">
        <f t="shared" si="15"/>
        <v>#N/A</v>
      </c>
      <c r="AH271" s="346" t="e">
        <f t="shared" si="16"/>
        <v>#N/A</v>
      </c>
      <c r="AI271" s="346" t="e">
        <f>ABS(VLOOKUP(A271,TradesEquity!$1:$1048576,13,FALSE))</f>
        <v>#N/A</v>
      </c>
      <c r="AJ271" s="347">
        <v>0</v>
      </c>
      <c r="AK271" s="347">
        <v>1</v>
      </c>
      <c r="AL271" s="346" t="e">
        <f>VLOOKUP(A271,TradesEquity!$1:$1048576,11,FALSE)</f>
        <v>#N/A</v>
      </c>
      <c r="AM271" s="347">
        <v>1</v>
      </c>
      <c r="AN271" s="346" t="e">
        <f>ABS(VLOOKUP(A271,TradesEquity!$1:$1048576,14,FALSE))</f>
        <v>#N/A</v>
      </c>
      <c r="AO271" s="346" t="e">
        <f>ABS(VLOOKUP(A271,TradesEquity!$1:$1048576,15,FALSE))</f>
        <v>#N/A</v>
      </c>
      <c r="AP271" s="348" t="e">
        <f>ABS(VLOOKUP(A271,TradesEquity!$1:$1048576,16,FALSE))</f>
        <v>#N/A</v>
      </c>
      <c r="AQ271" s="286">
        <v>0</v>
      </c>
      <c r="AR271" s="286">
        <v>0</v>
      </c>
      <c r="AS271" s="286">
        <v>0</v>
      </c>
      <c r="AT271" s="286">
        <v>0</v>
      </c>
      <c r="AU271" s="286">
        <v>0</v>
      </c>
      <c r="AV271" s="348" t="e">
        <f>ABS(VLOOKUP(A271,TradesEquity!$1:$1048576,18,FALSE))</f>
        <v>#N/A</v>
      </c>
      <c r="AW271" s="349">
        <v>0</v>
      </c>
      <c r="AX271" s="350">
        <v>4542</v>
      </c>
      <c r="AY271" s="351" t="s">
        <v>1959</v>
      </c>
      <c r="AZ271" s="352" t="e">
        <f>(VLOOKUP(A271,TradesEquity!$1:$1048576,29,FALSE))</f>
        <v>#N/A</v>
      </c>
      <c r="BA271" s="352" t="e">
        <f>(VLOOKUP(A271,TradesEquity!$1:$1048576,30,FALSE))</f>
        <v>#N/A</v>
      </c>
      <c r="BB271" s="352" t="e">
        <f>(VLOOKUP(A271,TradesEquity!$1:$1048576,31,FALSE))</f>
        <v>#N/A</v>
      </c>
      <c r="BC271" s="352" t="e">
        <f>(VLOOKUP(A271,TradesEquity!$1:$1048576,32,FALSE))</f>
        <v>#N/A</v>
      </c>
      <c r="BI271" s="352" t="e">
        <f>(VLOOKUP(A271,TradesEquity!$1:$1048576,38,FALSE))</f>
        <v>#N/A</v>
      </c>
      <c r="BJ271" s="352" t="e">
        <f>(VLOOKUP(A271,TradesEquity!$1:$1048576,39,FALSE))</f>
        <v>#N/A</v>
      </c>
      <c r="BK271" s="352" t="e">
        <f>(VLOOKUP(A271,TradesEquity!$1:$1048576,40,FALSE))</f>
        <v>#N/A</v>
      </c>
    </row>
    <row r="272" spans="4:63">
      <c r="D272" s="342" t="s">
        <v>1957</v>
      </c>
      <c r="F272" s="343" t="e">
        <f>VLOOKUP(A272,TradesEquity!$1:$1048576,2,FALSE)</f>
        <v>#N/A</v>
      </c>
      <c r="H272" s="343" t="e">
        <f>VLOOKUP(A272,TradesEquity!$1:$1048576,21,FALSE)</f>
        <v>#N/A</v>
      </c>
      <c r="I272" s="344" t="e">
        <f>IF(VLOOKUP(A272,TradesEquity!$1:$1048576,3,FALSE)="BUY","B","S")</f>
        <v>#N/A</v>
      </c>
      <c r="J272" s="344" t="e">
        <f>VLOOKUP(A272,TradesEquity!$1:$1048576,5,FALSE)</f>
        <v>#N/A</v>
      </c>
      <c r="K272" s="342" t="s">
        <v>19</v>
      </c>
      <c r="L272" s="345" t="s">
        <v>1958</v>
      </c>
      <c r="AE272" s="346" t="e">
        <f>VLOOKUP(A272,TradesEquity!$1:$1048576,10,FALSE)</f>
        <v>#N/A</v>
      </c>
      <c r="AF272" s="346" t="e">
        <f t="shared" si="14"/>
        <v>#N/A</v>
      </c>
      <c r="AG272" s="346" t="e">
        <f t="shared" si="15"/>
        <v>#N/A</v>
      </c>
      <c r="AH272" s="346" t="e">
        <f t="shared" si="16"/>
        <v>#N/A</v>
      </c>
      <c r="AI272" s="346" t="e">
        <f>ABS(VLOOKUP(A272,TradesEquity!$1:$1048576,13,FALSE))</f>
        <v>#N/A</v>
      </c>
      <c r="AJ272" s="347">
        <v>0</v>
      </c>
      <c r="AK272" s="347">
        <v>1</v>
      </c>
      <c r="AL272" s="346" t="e">
        <f>VLOOKUP(A272,TradesEquity!$1:$1048576,11,FALSE)</f>
        <v>#N/A</v>
      </c>
      <c r="AM272" s="347">
        <v>1</v>
      </c>
      <c r="AN272" s="346" t="e">
        <f>ABS(VLOOKUP(A272,TradesEquity!$1:$1048576,14,FALSE))</f>
        <v>#N/A</v>
      </c>
      <c r="AO272" s="346" t="e">
        <f>ABS(VLOOKUP(A272,TradesEquity!$1:$1048576,15,FALSE))</f>
        <v>#N/A</v>
      </c>
      <c r="AP272" s="348" t="e">
        <f>ABS(VLOOKUP(A272,TradesEquity!$1:$1048576,16,FALSE))</f>
        <v>#N/A</v>
      </c>
      <c r="AQ272" s="286">
        <v>0</v>
      </c>
      <c r="AR272" s="286">
        <v>0</v>
      </c>
      <c r="AS272" s="286">
        <v>0</v>
      </c>
      <c r="AT272" s="286">
        <v>0</v>
      </c>
      <c r="AU272" s="286">
        <v>0</v>
      </c>
      <c r="AV272" s="348" t="e">
        <f>ABS(VLOOKUP(A272,TradesEquity!$1:$1048576,18,FALSE))</f>
        <v>#N/A</v>
      </c>
      <c r="AW272" s="349">
        <v>0</v>
      </c>
      <c r="AX272" s="350">
        <v>4542</v>
      </c>
      <c r="AY272" s="351" t="s">
        <v>1959</v>
      </c>
      <c r="AZ272" s="352" t="e">
        <f>(VLOOKUP(A272,TradesEquity!$1:$1048576,29,FALSE))</f>
        <v>#N/A</v>
      </c>
      <c r="BA272" s="352" t="e">
        <f>(VLOOKUP(A272,TradesEquity!$1:$1048576,30,FALSE))</f>
        <v>#N/A</v>
      </c>
      <c r="BB272" s="352" t="e">
        <f>(VLOOKUP(A272,TradesEquity!$1:$1048576,31,FALSE))</f>
        <v>#N/A</v>
      </c>
      <c r="BC272" s="352" t="e">
        <f>(VLOOKUP(A272,TradesEquity!$1:$1048576,32,FALSE))</f>
        <v>#N/A</v>
      </c>
      <c r="BI272" s="352" t="e">
        <f>(VLOOKUP(A272,TradesEquity!$1:$1048576,38,FALSE))</f>
        <v>#N/A</v>
      </c>
      <c r="BJ272" s="352" t="e">
        <f>(VLOOKUP(A272,TradesEquity!$1:$1048576,39,FALSE))</f>
        <v>#N/A</v>
      </c>
      <c r="BK272" s="352" t="e">
        <f>(VLOOKUP(A272,TradesEquity!$1:$1048576,40,FALSE))</f>
        <v>#N/A</v>
      </c>
    </row>
    <row r="273" spans="4:63">
      <c r="D273" s="342" t="s">
        <v>1957</v>
      </c>
      <c r="F273" s="343" t="e">
        <f>VLOOKUP(A273,TradesEquity!$1:$1048576,2,FALSE)</f>
        <v>#N/A</v>
      </c>
      <c r="H273" s="343" t="e">
        <f>VLOOKUP(A273,TradesEquity!$1:$1048576,21,FALSE)</f>
        <v>#N/A</v>
      </c>
      <c r="I273" s="344" t="e">
        <f>IF(VLOOKUP(A273,TradesEquity!$1:$1048576,3,FALSE)="BUY","B","S")</f>
        <v>#N/A</v>
      </c>
      <c r="J273" s="344" t="e">
        <f>VLOOKUP(A273,TradesEquity!$1:$1048576,5,FALSE)</f>
        <v>#N/A</v>
      </c>
      <c r="K273" s="342" t="s">
        <v>19</v>
      </c>
      <c r="L273" s="345" t="s">
        <v>1958</v>
      </c>
      <c r="AE273" s="346" t="e">
        <f>VLOOKUP(A273,TradesEquity!$1:$1048576,10,FALSE)</f>
        <v>#N/A</v>
      </c>
      <c r="AF273" s="346" t="e">
        <f t="shared" si="14"/>
        <v>#N/A</v>
      </c>
      <c r="AG273" s="346" t="e">
        <f t="shared" si="15"/>
        <v>#N/A</v>
      </c>
      <c r="AH273" s="346" t="e">
        <f t="shared" si="16"/>
        <v>#N/A</v>
      </c>
      <c r="AI273" s="346" t="e">
        <f>ABS(VLOOKUP(A273,TradesEquity!$1:$1048576,13,FALSE))</f>
        <v>#N/A</v>
      </c>
      <c r="AJ273" s="347">
        <v>0</v>
      </c>
      <c r="AK273" s="347">
        <v>1</v>
      </c>
      <c r="AL273" s="346" t="e">
        <f>VLOOKUP(A273,TradesEquity!$1:$1048576,11,FALSE)</f>
        <v>#N/A</v>
      </c>
      <c r="AM273" s="347">
        <v>1</v>
      </c>
      <c r="AN273" s="346" t="e">
        <f>ABS(VLOOKUP(A273,TradesEquity!$1:$1048576,14,FALSE))</f>
        <v>#N/A</v>
      </c>
      <c r="AO273" s="346" t="e">
        <f>ABS(VLOOKUP(A273,TradesEquity!$1:$1048576,15,FALSE))</f>
        <v>#N/A</v>
      </c>
      <c r="AP273" s="348" t="e">
        <f>ABS(VLOOKUP(A273,TradesEquity!$1:$1048576,16,FALSE))</f>
        <v>#N/A</v>
      </c>
      <c r="AQ273" s="286">
        <v>0</v>
      </c>
      <c r="AR273" s="286">
        <v>0</v>
      </c>
      <c r="AS273" s="286">
        <v>0</v>
      </c>
      <c r="AT273" s="286">
        <v>0</v>
      </c>
      <c r="AU273" s="286">
        <v>0</v>
      </c>
      <c r="AV273" s="348" t="e">
        <f>ABS(VLOOKUP(A273,TradesEquity!$1:$1048576,18,FALSE))</f>
        <v>#N/A</v>
      </c>
      <c r="AW273" s="349">
        <v>0</v>
      </c>
      <c r="AX273" s="350">
        <v>4542</v>
      </c>
      <c r="AY273" s="351" t="s">
        <v>1959</v>
      </c>
      <c r="AZ273" s="352" t="e">
        <f>(VLOOKUP(A273,TradesEquity!$1:$1048576,29,FALSE))</f>
        <v>#N/A</v>
      </c>
      <c r="BA273" s="352" t="e">
        <f>(VLOOKUP(A273,TradesEquity!$1:$1048576,30,FALSE))</f>
        <v>#N/A</v>
      </c>
      <c r="BB273" s="352" t="e">
        <f>(VLOOKUP(A273,TradesEquity!$1:$1048576,31,FALSE))</f>
        <v>#N/A</v>
      </c>
      <c r="BC273" s="352" t="e">
        <f>(VLOOKUP(A273,TradesEquity!$1:$1048576,32,FALSE))</f>
        <v>#N/A</v>
      </c>
      <c r="BI273" s="352" t="e">
        <f>(VLOOKUP(A273,TradesEquity!$1:$1048576,38,FALSE))</f>
        <v>#N/A</v>
      </c>
      <c r="BJ273" s="352" t="e">
        <f>(VLOOKUP(A273,TradesEquity!$1:$1048576,39,FALSE))</f>
        <v>#N/A</v>
      </c>
      <c r="BK273" s="352" t="e">
        <f>(VLOOKUP(A273,TradesEquity!$1:$1048576,40,FALSE))</f>
        <v>#N/A</v>
      </c>
    </row>
    <row r="274" spans="4:63">
      <c r="D274" s="342" t="s">
        <v>1957</v>
      </c>
      <c r="F274" s="343" t="e">
        <f>VLOOKUP(A274,TradesEquity!$1:$1048576,2,FALSE)</f>
        <v>#N/A</v>
      </c>
      <c r="H274" s="343" t="e">
        <f>VLOOKUP(A274,TradesEquity!$1:$1048576,21,FALSE)</f>
        <v>#N/A</v>
      </c>
      <c r="I274" s="344" t="e">
        <f>IF(VLOOKUP(A274,TradesEquity!$1:$1048576,3,FALSE)="BUY","B","S")</f>
        <v>#N/A</v>
      </c>
      <c r="J274" s="344" t="e">
        <f>VLOOKUP(A274,TradesEquity!$1:$1048576,5,FALSE)</f>
        <v>#N/A</v>
      </c>
      <c r="K274" s="342" t="s">
        <v>19</v>
      </c>
      <c r="L274" s="345" t="s">
        <v>1958</v>
      </c>
      <c r="AE274" s="346" t="e">
        <f>VLOOKUP(A274,TradesEquity!$1:$1048576,10,FALSE)</f>
        <v>#N/A</v>
      </c>
      <c r="AF274" s="346" t="e">
        <f t="shared" si="14"/>
        <v>#N/A</v>
      </c>
      <c r="AG274" s="346" t="e">
        <f t="shared" si="15"/>
        <v>#N/A</v>
      </c>
      <c r="AH274" s="346" t="e">
        <f t="shared" si="16"/>
        <v>#N/A</v>
      </c>
      <c r="AI274" s="346" t="e">
        <f>ABS(VLOOKUP(A274,TradesEquity!$1:$1048576,13,FALSE))</f>
        <v>#N/A</v>
      </c>
      <c r="AJ274" s="347">
        <v>0</v>
      </c>
      <c r="AK274" s="347">
        <v>1</v>
      </c>
      <c r="AL274" s="346" t="e">
        <f>VLOOKUP(A274,TradesEquity!$1:$1048576,11,FALSE)</f>
        <v>#N/A</v>
      </c>
      <c r="AM274" s="347">
        <v>1</v>
      </c>
      <c r="AN274" s="346" t="e">
        <f>ABS(VLOOKUP(A274,TradesEquity!$1:$1048576,14,FALSE))</f>
        <v>#N/A</v>
      </c>
      <c r="AO274" s="346" t="e">
        <f>ABS(VLOOKUP(A274,TradesEquity!$1:$1048576,15,FALSE))</f>
        <v>#N/A</v>
      </c>
      <c r="AP274" s="348" t="e">
        <f>ABS(VLOOKUP(A274,TradesEquity!$1:$1048576,16,FALSE))</f>
        <v>#N/A</v>
      </c>
      <c r="AQ274" s="286">
        <v>0</v>
      </c>
      <c r="AR274" s="286">
        <v>0</v>
      </c>
      <c r="AS274" s="286">
        <v>0</v>
      </c>
      <c r="AT274" s="286">
        <v>0</v>
      </c>
      <c r="AU274" s="286">
        <v>0</v>
      </c>
      <c r="AV274" s="348" t="e">
        <f>ABS(VLOOKUP(A274,TradesEquity!$1:$1048576,18,FALSE))</f>
        <v>#N/A</v>
      </c>
      <c r="AW274" s="349">
        <v>0</v>
      </c>
      <c r="AX274" s="350">
        <v>4542</v>
      </c>
      <c r="AY274" s="351" t="s">
        <v>1959</v>
      </c>
      <c r="AZ274" s="352" t="e">
        <f>(VLOOKUP(A274,TradesEquity!$1:$1048576,29,FALSE))</f>
        <v>#N/A</v>
      </c>
      <c r="BA274" s="352" t="e">
        <f>(VLOOKUP(A274,TradesEquity!$1:$1048576,30,FALSE))</f>
        <v>#N/A</v>
      </c>
      <c r="BB274" s="352" t="e">
        <f>(VLOOKUP(A274,TradesEquity!$1:$1048576,31,FALSE))</f>
        <v>#N/A</v>
      </c>
      <c r="BC274" s="352" t="e">
        <f>(VLOOKUP(A274,TradesEquity!$1:$1048576,32,FALSE))</f>
        <v>#N/A</v>
      </c>
      <c r="BI274" s="352" t="e">
        <f>(VLOOKUP(A274,TradesEquity!$1:$1048576,38,FALSE))</f>
        <v>#N/A</v>
      </c>
      <c r="BJ274" s="352" t="e">
        <f>(VLOOKUP(A274,TradesEquity!$1:$1048576,39,FALSE))</f>
        <v>#N/A</v>
      </c>
      <c r="BK274" s="352" t="e">
        <f>(VLOOKUP(A274,TradesEquity!$1:$1048576,40,FALSE))</f>
        <v>#N/A</v>
      </c>
    </row>
    <row r="275" spans="4:63">
      <c r="D275" s="342" t="s">
        <v>1957</v>
      </c>
      <c r="F275" s="343" t="e">
        <f>VLOOKUP(A275,TradesEquity!$1:$1048576,2,FALSE)</f>
        <v>#N/A</v>
      </c>
      <c r="H275" s="343" t="e">
        <f>VLOOKUP(A275,TradesEquity!$1:$1048576,21,FALSE)</f>
        <v>#N/A</v>
      </c>
      <c r="I275" s="344" t="e">
        <f>IF(VLOOKUP(A275,TradesEquity!$1:$1048576,3,FALSE)="BUY","B","S")</f>
        <v>#N/A</v>
      </c>
      <c r="J275" s="344" t="e">
        <f>VLOOKUP(A275,TradesEquity!$1:$1048576,5,FALSE)</f>
        <v>#N/A</v>
      </c>
      <c r="K275" s="342" t="s">
        <v>19</v>
      </c>
      <c r="L275" s="345" t="s">
        <v>1958</v>
      </c>
      <c r="AE275" s="346" t="e">
        <f>VLOOKUP(A275,TradesEquity!$1:$1048576,10,FALSE)</f>
        <v>#N/A</v>
      </c>
      <c r="AF275" s="346" t="e">
        <f t="shared" si="14"/>
        <v>#N/A</v>
      </c>
      <c r="AG275" s="346" t="e">
        <f t="shared" si="15"/>
        <v>#N/A</v>
      </c>
      <c r="AH275" s="346" t="e">
        <f t="shared" si="16"/>
        <v>#N/A</v>
      </c>
      <c r="AI275" s="346" t="e">
        <f>ABS(VLOOKUP(A275,TradesEquity!$1:$1048576,13,FALSE))</f>
        <v>#N/A</v>
      </c>
      <c r="AJ275" s="347">
        <v>0</v>
      </c>
      <c r="AK275" s="347">
        <v>1</v>
      </c>
      <c r="AL275" s="346" t="e">
        <f>VLOOKUP(A275,TradesEquity!$1:$1048576,11,FALSE)</f>
        <v>#N/A</v>
      </c>
      <c r="AM275" s="347">
        <v>1</v>
      </c>
      <c r="AN275" s="346" t="e">
        <f>ABS(VLOOKUP(A275,TradesEquity!$1:$1048576,14,FALSE))</f>
        <v>#N/A</v>
      </c>
      <c r="AO275" s="346" t="e">
        <f>ABS(VLOOKUP(A275,TradesEquity!$1:$1048576,15,FALSE))</f>
        <v>#N/A</v>
      </c>
      <c r="AP275" s="348" t="e">
        <f>ABS(VLOOKUP(A275,TradesEquity!$1:$1048576,16,FALSE))</f>
        <v>#N/A</v>
      </c>
      <c r="AQ275" s="286">
        <v>0</v>
      </c>
      <c r="AR275" s="286">
        <v>0</v>
      </c>
      <c r="AS275" s="286">
        <v>0</v>
      </c>
      <c r="AT275" s="286">
        <v>0</v>
      </c>
      <c r="AU275" s="286">
        <v>0</v>
      </c>
      <c r="AV275" s="348" t="e">
        <f>ABS(VLOOKUP(A275,TradesEquity!$1:$1048576,18,FALSE))</f>
        <v>#N/A</v>
      </c>
      <c r="AW275" s="349">
        <v>0</v>
      </c>
      <c r="AX275" s="350">
        <v>4542</v>
      </c>
      <c r="AY275" s="351" t="s">
        <v>1959</v>
      </c>
      <c r="AZ275" s="352" t="e">
        <f>(VLOOKUP(A275,TradesEquity!$1:$1048576,29,FALSE))</f>
        <v>#N/A</v>
      </c>
      <c r="BA275" s="352" t="e">
        <f>(VLOOKUP(A275,TradesEquity!$1:$1048576,30,FALSE))</f>
        <v>#N/A</v>
      </c>
      <c r="BB275" s="352" t="e">
        <f>(VLOOKUP(A275,TradesEquity!$1:$1048576,31,FALSE))</f>
        <v>#N/A</v>
      </c>
      <c r="BC275" s="352" t="e">
        <f>(VLOOKUP(A275,TradesEquity!$1:$1048576,32,FALSE))</f>
        <v>#N/A</v>
      </c>
      <c r="BI275" s="352" t="e">
        <f>(VLOOKUP(A275,TradesEquity!$1:$1048576,38,FALSE))</f>
        <v>#N/A</v>
      </c>
      <c r="BJ275" s="352" t="e">
        <f>(VLOOKUP(A275,TradesEquity!$1:$1048576,39,FALSE))</f>
        <v>#N/A</v>
      </c>
      <c r="BK275" s="352" t="e">
        <f>(VLOOKUP(A275,TradesEquity!$1:$1048576,40,FALSE))</f>
        <v>#N/A</v>
      </c>
    </row>
    <row r="276" spans="4:63">
      <c r="D276" s="342" t="s">
        <v>1957</v>
      </c>
      <c r="F276" s="343" t="e">
        <f>VLOOKUP(A276,TradesEquity!$1:$1048576,2,FALSE)</f>
        <v>#N/A</v>
      </c>
      <c r="H276" s="343" t="e">
        <f>VLOOKUP(A276,TradesEquity!$1:$1048576,21,FALSE)</f>
        <v>#N/A</v>
      </c>
      <c r="I276" s="344" t="e">
        <f>IF(VLOOKUP(A276,TradesEquity!$1:$1048576,3,FALSE)="BUY","B","S")</f>
        <v>#N/A</v>
      </c>
      <c r="J276" s="344" t="e">
        <f>VLOOKUP(A276,TradesEquity!$1:$1048576,5,FALSE)</f>
        <v>#N/A</v>
      </c>
      <c r="K276" s="342" t="s">
        <v>19</v>
      </c>
      <c r="L276" s="345" t="s">
        <v>1958</v>
      </c>
      <c r="AE276" s="346" t="e">
        <f>VLOOKUP(A276,TradesEquity!$1:$1048576,10,FALSE)</f>
        <v>#N/A</v>
      </c>
      <c r="AF276" s="346" t="e">
        <f t="shared" si="14"/>
        <v>#N/A</v>
      </c>
      <c r="AG276" s="346" t="e">
        <f t="shared" si="15"/>
        <v>#N/A</v>
      </c>
      <c r="AH276" s="346" t="e">
        <f t="shared" si="16"/>
        <v>#N/A</v>
      </c>
      <c r="AI276" s="346" t="e">
        <f>ABS(VLOOKUP(A276,TradesEquity!$1:$1048576,13,FALSE))</f>
        <v>#N/A</v>
      </c>
      <c r="AJ276" s="347">
        <v>0</v>
      </c>
      <c r="AK276" s="347">
        <v>1</v>
      </c>
      <c r="AL276" s="346" t="e">
        <f>VLOOKUP(A276,TradesEquity!$1:$1048576,11,FALSE)</f>
        <v>#N/A</v>
      </c>
      <c r="AM276" s="347">
        <v>1</v>
      </c>
      <c r="AN276" s="346" t="e">
        <f>ABS(VLOOKUP(A276,TradesEquity!$1:$1048576,14,FALSE))</f>
        <v>#N/A</v>
      </c>
      <c r="AO276" s="346" t="e">
        <f>ABS(VLOOKUP(A276,TradesEquity!$1:$1048576,15,FALSE))</f>
        <v>#N/A</v>
      </c>
      <c r="AP276" s="348" t="e">
        <f>ABS(VLOOKUP(A276,TradesEquity!$1:$1048576,16,FALSE))</f>
        <v>#N/A</v>
      </c>
      <c r="AQ276" s="286">
        <v>0</v>
      </c>
      <c r="AR276" s="286">
        <v>0</v>
      </c>
      <c r="AS276" s="286">
        <v>0</v>
      </c>
      <c r="AT276" s="286">
        <v>0</v>
      </c>
      <c r="AU276" s="286">
        <v>0</v>
      </c>
      <c r="AV276" s="348" t="e">
        <f>ABS(VLOOKUP(A276,TradesEquity!$1:$1048576,18,FALSE))</f>
        <v>#N/A</v>
      </c>
      <c r="AW276" s="349">
        <v>0</v>
      </c>
      <c r="AX276" s="350">
        <v>4542</v>
      </c>
      <c r="AY276" s="351" t="s">
        <v>1959</v>
      </c>
      <c r="AZ276" s="352" t="e">
        <f>(VLOOKUP(A276,TradesEquity!$1:$1048576,29,FALSE))</f>
        <v>#N/A</v>
      </c>
      <c r="BA276" s="352" t="e">
        <f>(VLOOKUP(A276,TradesEquity!$1:$1048576,30,FALSE))</f>
        <v>#N/A</v>
      </c>
      <c r="BB276" s="352" t="e">
        <f>(VLOOKUP(A276,TradesEquity!$1:$1048576,31,FALSE))</f>
        <v>#N/A</v>
      </c>
      <c r="BC276" s="352" t="e">
        <f>(VLOOKUP(A276,TradesEquity!$1:$1048576,32,FALSE))</f>
        <v>#N/A</v>
      </c>
      <c r="BI276" s="352" t="e">
        <f>(VLOOKUP(A276,TradesEquity!$1:$1048576,38,FALSE))</f>
        <v>#N/A</v>
      </c>
      <c r="BJ276" s="352" t="e">
        <f>(VLOOKUP(A276,TradesEquity!$1:$1048576,39,FALSE))</f>
        <v>#N/A</v>
      </c>
      <c r="BK276" s="352" t="e">
        <f>(VLOOKUP(A276,TradesEquity!$1:$1048576,40,FALSE))</f>
        <v>#N/A</v>
      </c>
    </row>
    <row r="277" spans="4:63">
      <c r="D277" s="342" t="s">
        <v>1957</v>
      </c>
      <c r="F277" s="343" t="e">
        <f>VLOOKUP(A277,TradesEquity!$1:$1048576,2,FALSE)</f>
        <v>#N/A</v>
      </c>
      <c r="H277" s="343" t="e">
        <f>VLOOKUP(A277,TradesEquity!$1:$1048576,21,FALSE)</f>
        <v>#N/A</v>
      </c>
      <c r="I277" s="344" t="e">
        <f>IF(VLOOKUP(A277,TradesEquity!$1:$1048576,3,FALSE)="BUY","B","S")</f>
        <v>#N/A</v>
      </c>
      <c r="J277" s="344" t="e">
        <f>VLOOKUP(A277,TradesEquity!$1:$1048576,5,FALSE)</f>
        <v>#N/A</v>
      </c>
      <c r="K277" s="342" t="s">
        <v>19</v>
      </c>
      <c r="L277" s="345" t="s">
        <v>1958</v>
      </c>
      <c r="AE277" s="346" t="e">
        <f>VLOOKUP(A277,TradesEquity!$1:$1048576,10,FALSE)</f>
        <v>#N/A</v>
      </c>
      <c r="AF277" s="346" t="e">
        <f t="shared" si="14"/>
        <v>#N/A</v>
      </c>
      <c r="AG277" s="346" t="e">
        <f t="shared" si="15"/>
        <v>#N/A</v>
      </c>
      <c r="AH277" s="346" t="e">
        <f t="shared" si="16"/>
        <v>#N/A</v>
      </c>
      <c r="AI277" s="346" t="e">
        <f>ABS(VLOOKUP(A277,TradesEquity!$1:$1048576,13,FALSE))</f>
        <v>#N/A</v>
      </c>
      <c r="AJ277" s="347">
        <v>0</v>
      </c>
      <c r="AK277" s="347">
        <v>1</v>
      </c>
      <c r="AL277" s="346" t="e">
        <f>VLOOKUP(A277,TradesEquity!$1:$1048576,11,FALSE)</f>
        <v>#N/A</v>
      </c>
      <c r="AM277" s="347">
        <v>1</v>
      </c>
      <c r="AN277" s="346" t="e">
        <f>ABS(VLOOKUP(A277,TradesEquity!$1:$1048576,14,FALSE))</f>
        <v>#N/A</v>
      </c>
      <c r="AO277" s="346" t="e">
        <f>ABS(VLOOKUP(A277,TradesEquity!$1:$1048576,15,FALSE))</f>
        <v>#N/A</v>
      </c>
      <c r="AP277" s="348" t="e">
        <f>ABS(VLOOKUP(A277,TradesEquity!$1:$1048576,16,FALSE))</f>
        <v>#N/A</v>
      </c>
      <c r="AQ277" s="286">
        <v>0</v>
      </c>
      <c r="AR277" s="286">
        <v>0</v>
      </c>
      <c r="AS277" s="286">
        <v>0</v>
      </c>
      <c r="AT277" s="286">
        <v>0</v>
      </c>
      <c r="AU277" s="286">
        <v>0</v>
      </c>
      <c r="AV277" s="348" t="e">
        <f>ABS(VLOOKUP(A277,TradesEquity!$1:$1048576,18,FALSE))</f>
        <v>#N/A</v>
      </c>
      <c r="AW277" s="349">
        <v>0</v>
      </c>
      <c r="AX277" s="350">
        <v>4542</v>
      </c>
      <c r="AY277" s="351" t="s">
        <v>1959</v>
      </c>
      <c r="AZ277" s="352" t="e">
        <f>(VLOOKUP(A277,TradesEquity!$1:$1048576,29,FALSE))</f>
        <v>#N/A</v>
      </c>
      <c r="BA277" s="352" t="e">
        <f>(VLOOKUP(A277,TradesEquity!$1:$1048576,30,FALSE))</f>
        <v>#N/A</v>
      </c>
      <c r="BB277" s="352" t="e">
        <f>(VLOOKUP(A277,TradesEquity!$1:$1048576,31,FALSE))</f>
        <v>#N/A</v>
      </c>
      <c r="BC277" s="352" t="e">
        <f>(VLOOKUP(A277,TradesEquity!$1:$1048576,32,FALSE))</f>
        <v>#N/A</v>
      </c>
      <c r="BI277" s="352" t="e">
        <f>(VLOOKUP(A277,TradesEquity!$1:$1048576,38,FALSE))</f>
        <v>#N/A</v>
      </c>
      <c r="BJ277" s="352" t="e">
        <f>(VLOOKUP(A277,TradesEquity!$1:$1048576,39,FALSE))</f>
        <v>#N/A</v>
      </c>
      <c r="BK277" s="352" t="e">
        <f>(VLOOKUP(A277,TradesEquity!$1:$1048576,40,FALSE))</f>
        <v>#N/A</v>
      </c>
    </row>
    <row r="278" spans="4:63">
      <c r="D278" s="342" t="s">
        <v>1957</v>
      </c>
      <c r="F278" s="343" t="e">
        <f>VLOOKUP(A278,TradesEquity!$1:$1048576,2,FALSE)</f>
        <v>#N/A</v>
      </c>
      <c r="H278" s="343" t="e">
        <f>VLOOKUP(A278,TradesEquity!$1:$1048576,21,FALSE)</f>
        <v>#N/A</v>
      </c>
      <c r="I278" s="344" t="e">
        <f>IF(VLOOKUP(A278,TradesEquity!$1:$1048576,3,FALSE)="BUY","B","S")</f>
        <v>#N/A</v>
      </c>
      <c r="J278" s="344" t="e">
        <f>VLOOKUP(A278,TradesEquity!$1:$1048576,5,FALSE)</f>
        <v>#N/A</v>
      </c>
      <c r="K278" s="342" t="s">
        <v>19</v>
      </c>
      <c r="L278" s="345" t="s">
        <v>1958</v>
      </c>
      <c r="AE278" s="346" t="e">
        <f>VLOOKUP(A278,TradesEquity!$1:$1048576,10,FALSE)</f>
        <v>#N/A</v>
      </c>
      <c r="AF278" s="346" t="e">
        <f t="shared" si="14"/>
        <v>#N/A</v>
      </c>
      <c r="AG278" s="346" t="e">
        <f t="shared" si="15"/>
        <v>#N/A</v>
      </c>
      <c r="AH278" s="346" t="e">
        <f t="shared" si="16"/>
        <v>#N/A</v>
      </c>
      <c r="AI278" s="346" t="e">
        <f>ABS(VLOOKUP(A278,TradesEquity!$1:$1048576,13,FALSE))</f>
        <v>#N/A</v>
      </c>
      <c r="AJ278" s="347">
        <v>0</v>
      </c>
      <c r="AK278" s="347">
        <v>1</v>
      </c>
      <c r="AL278" s="346" t="e">
        <f>VLOOKUP(A278,TradesEquity!$1:$1048576,11,FALSE)</f>
        <v>#N/A</v>
      </c>
      <c r="AM278" s="347">
        <v>1</v>
      </c>
      <c r="AN278" s="346" t="e">
        <f>ABS(VLOOKUP(A278,TradesEquity!$1:$1048576,14,FALSE))</f>
        <v>#N/A</v>
      </c>
      <c r="AO278" s="346" t="e">
        <f>ABS(VLOOKUP(A278,TradesEquity!$1:$1048576,15,FALSE))</f>
        <v>#N/A</v>
      </c>
      <c r="AP278" s="348" t="e">
        <f>ABS(VLOOKUP(A278,TradesEquity!$1:$1048576,16,FALSE))</f>
        <v>#N/A</v>
      </c>
      <c r="AQ278" s="286">
        <v>0</v>
      </c>
      <c r="AR278" s="286">
        <v>0</v>
      </c>
      <c r="AS278" s="286">
        <v>0</v>
      </c>
      <c r="AT278" s="286">
        <v>0</v>
      </c>
      <c r="AU278" s="286">
        <v>0</v>
      </c>
      <c r="AV278" s="348" t="e">
        <f>ABS(VLOOKUP(A278,TradesEquity!$1:$1048576,18,FALSE))</f>
        <v>#N/A</v>
      </c>
      <c r="AW278" s="349">
        <v>0</v>
      </c>
      <c r="AX278" s="350">
        <v>4542</v>
      </c>
      <c r="AY278" s="351" t="s">
        <v>1959</v>
      </c>
      <c r="AZ278" s="352" t="e">
        <f>(VLOOKUP(A278,TradesEquity!$1:$1048576,29,FALSE))</f>
        <v>#N/A</v>
      </c>
      <c r="BA278" s="352" t="e">
        <f>(VLOOKUP(A278,TradesEquity!$1:$1048576,30,FALSE))</f>
        <v>#N/A</v>
      </c>
      <c r="BB278" s="352" t="e">
        <f>(VLOOKUP(A278,TradesEquity!$1:$1048576,31,FALSE))</f>
        <v>#N/A</v>
      </c>
      <c r="BC278" s="352" t="e">
        <f>(VLOOKUP(A278,TradesEquity!$1:$1048576,32,FALSE))</f>
        <v>#N/A</v>
      </c>
      <c r="BI278" s="352" t="e">
        <f>(VLOOKUP(A278,TradesEquity!$1:$1048576,38,FALSE))</f>
        <v>#N/A</v>
      </c>
      <c r="BJ278" s="352" t="e">
        <f>(VLOOKUP(A278,TradesEquity!$1:$1048576,39,FALSE))</f>
        <v>#N/A</v>
      </c>
      <c r="BK278" s="352" t="e">
        <f>(VLOOKUP(A278,TradesEquity!$1:$1048576,40,FALSE))</f>
        <v>#N/A</v>
      </c>
    </row>
    <row r="279" spans="4:63">
      <c r="D279" s="342" t="s">
        <v>1957</v>
      </c>
      <c r="F279" s="343" t="e">
        <f>VLOOKUP(A279,TradesEquity!$1:$1048576,2,FALSE)</f>
        <v>#N/A</v>
      </c>
      <c r="H279" s="343" t="e">
        <f>VLOOKUP(A279,TradesEquity!$1:$1048576,21,FALSE)</f>
        <v>#N/A</v>
      </c>
      <c r="I279" s="344" t="e">
        <f>IF(VLOOKUP(A279,TradesEquity!$1:$1048576,3,FALSE)="BUY","B","S")</f>
        <v>#N/A</v>
      </c>
      <c r="J279" s="344" t="e">
        <f>VLOOKUP(A279,TradesEquity!$1:$1048576,5,FALSE)</f>
        <v>#N/A</v>
      </c>
      <c r="K279" s="342" t="s">
        <v>19</v>
      </c>
      <c r="L279" s="345" t="s">
        <v>1958</v>
      </c>
      <c r="AE279" s="346" t="e">
        <f>VLOOKUP(A279,TradesEquity!$1:$1048576,10,FALSE)</f>
        <v>#N/A</v>
      </c>
      <c r="AF279" s="346" t="e">
        <f t="shared" si="14"/>
        <v>#N/A</v>
      </c>
      <c r="AG279" s="346" t="e">
        <f t="shared" si="15"/>
        <v>#N/A</v>
      </c>
      <c r="AH279" s="346" t="e">
        <f t="shared" si="16"/>
        <v>#N/A</v>
      </c>
      <c r="AI279" s="346" t="e">
        <f>ABS(VLOOKUP(A279,TradesEquity!$1:$1048576,13,FALSE))</f>
        <v>#N/A</v>
      </c>
      <c r="AJ279" s="347">
        <v>0</v>
      </c>
      <c r="AK279" s="347">
        <v>1</v>
      </c>
      <c r="AL279" s="346" t="e">
        <f>VLOOKUP(A279,TradesEquity!$1:$1048576,11,FALSE)</f>
        <v>#N/A</v>
      </c>
      <c r="AM279" s="347">
        <v>1</v>
      </c>
      <c r="AN279" s="346" t="e">
        <f>ABS(VLOOKUP(A279,TradesEquity!$1:$1048576,14,FALSE))</f>
        <v>#N/A</v>
      </c>
      <c r="AO279" s="346" t="e">
        <f>ABS(VLOOKUP(A279,TradesEquity!$1:$1048576,15,FALSE))</f>
        <v>#N/A</v>
      </c>
      <c r="AP279" s="348" t="e">
        <f>ABS(VLOOKUP(A279,TradesEquity!$1:$1048576,16,FALSE))</f>
        <v>#N/A</v>
      </c>
      <c r="AQ279" s="286">
        <v>0</v>
      </c>
      <c r="AR279" s="286">
        <v>0</v>
      </c>
      <c r="AS279" s="286">
        <v>0</v>
      </c>
      <c r="AT279" s="286">
        <v>0</v>
      </c>
      <c r="AU279" s="286">
        <v>0</v>
      </c>
      <c r="AV279" s="348" t="e">
        <f>ABS(VLOOKUP(A279,TradesEquity!$1:$1048576,18,FALSE))</f>
        <v>#N/A</v>
      </c>
      <c r="AW279" s="349">
        <v>0</v>
      </c>
      <c r="AX279" s="350">
        <v>4542</v>
      </c>
      <c r="AY279" s="351" t="s">
        <v>1959</v>
      </c>
      <c r="AZ279" s="352" t="e">
        <f>(VLOOKUP(A279,TradesEquity!$1:$1048576,29,FALSE))</f>
        <v>#N/A</v>
      </c>
      <c r="BA279" s="352" t="e">
        <f>(VLOOKUP(A279,TradesEquity!$1:$1048576,30,FALSE))</f>
        <v>#N/A</v>
      </c>
      <c r="BB279" s="352" t="e">
        <f>(VLOOKUP(A279,TradesEquity!$1:$1048576,31,FALSE))</f>
        <v>#N/A</v>
      </c>
      <c r="BC279" s="352" t="e">
        <f>(VLOOKUP(A279,TradesEquity!$1:$1048576,32,FALSE))</f>
        <v>#N/A</v>
      </c>
      <c r="BI279" s="352" t="e">
        <f>(VLOOKUP(A279,TradesEquity!$1:$1048576,38,FALSE))</f>
        <v>#N/A</v>
      </c>
      <c r="BJ279" s="352" t="e">
        <f>(VLOOKUP(A279,TradesEquity!$1:$1048576,39,FALSE))</f>
        <v>#N/A</v>
      </c>
      <c r="BK279" s="352" t="e">
        <f>(VLOOKUP(A279,TradesEquity!$1:$1048576,40,FALSE))</f>
        <v>#N/A</v>
      </c>
    </row>
    <row r="280" spans="4:63">
      <c r="D280" s="342" t="s">
        <v>1957</v>
      </c>
      <c r="F280" s="343" t="e">
        <f>VLOOKUP(A280,TradesEquity!$1:$1048576,2,FALSE)</f>
        <v>#N/A</v>
      </c>
      <c r="H280" s="343" t="e">
        <f>VLOOKUP(A280,TradesEquity!$1:$1048576,21,FALSE)</f>
        <v>#N/A</v>
      </c>
      <c r="I280" s="344" t="e">
        <f>IF(VLOOKUP(A280,TradesEquity!$1:$1048576,3,FALSE)="BUY","B","S")</f>
        <v>#N/A</v>
      </c>
      <c r="J280" s="344" t="e">
        <f>VLOOKUP(A280,TradesEquity!$1:$1048576,5,FALSE)</f>
        <v>#N/A</v>
      </c>
      <c r="K280" s="342" t="s">
        <v>19</v>
      </c>
      <c r="L280" s="345" t="s">
        <v>1958</v>
      </c>
      <c r="AE280" s="346" t="e">
        <f>VLOOKUP(A280,TradesEquity!$1:$1048576,10,FALSE)</f>
        <v>#N/A</v>
      </c>
      <c r="AF280" s="346" t="e">
        <f t="shared" si="14"/>
        <v>#N/A</v>
      </c>
      <c r="AG280" s="346" t="e">
        <f t="shared" si="15"/>
        <v>#N/A</v>
      </c>
      <c r="AH280" s="346" t="e">
        <f t="shared" si="16"/>
        <v>#N/A</v>
      </c>
      <c r="AI280" s="346" t="e">
        <f>ABS(VLOOKUP(A280,TradesEquity!$1:$1048576,13,FALSE))</f>
        <v>#N/A</v>
      </c>
      <c r="AJ280" s="347">
        <v>0</v>
      </c>
      <c r="AK280" s="347">
        <v>1</v>
      </c>
      <c r="AL280" s="346" t="e">
        <f>VLOOKUP(A280,TradesEquity!$1:$1048576,11,FALSE)</f>
        <v>#N/A</v>
      </c>
      <c r="AM280" s="347">
        <v>1</v>
      </c>
      <c r="AN280" s="346" t="e">
        <f>ABS(VLOOKUP(A280,TradesEquity!$1:$1048576,14,FALSE))</f>
        <v>#N/A</v>
      </c>
      <c r="AO280" s="346" t="e">
        <f>ABS(VLOOKUP(A280,TradesEquity!$1:$1048576,15,FALSE))</f>
        <v>#N/A</v>
      </c>
      <c r="AP280" s="348" t="e">
        <f>ABS(VLOOKUP(A280,TradesEquity!$1:$1048576,16,FALSE))</f>
        <v>#N/A</v>
      </c>
      <c r="AQ280" s="286">
        <v>0</v>
      </c>
      <c r="AR280" s="286">
        <v>0</v>
      </c>
      <c r="AS280" s="286">
        <v>0</v>
      </c>
      <c r="AT280" s="286">
        <v>0</v>
      </c>
      <c r="AU280" s="286">
        <v>0</v>
      </c>
      <c r="AV280" s="348" t="e">
        <f>ABS(VLOOKUP(A280,TradesEquity!$1:$1048576,18,FALSE))</f>
        <v>#N/A</v>
      </c>
      <c r="AW280" s="349">
        <v>0</v>
      </c>
      <c r="AX280" s="350">
        <v>4542</v>
      </c>
      <c r="AY280" s="351" t="s">
        <v>1959</v>
      </c>
      <c r="AZ280" s="352" t="e">
        <f>(VLOOKUP(A280,TradesEquity!$1:$1048576,29,FALSE))</f>
        <v>#N/A</v>
      </c>
      <c r="BA280" s="352" t="e">
        <f>(VLOOKUP(A280,TradesEquity!$1:$1048576,30,FALSE))</f>
        <v>#N/A</v>
      </c>
      <c r="BB280" s="352" t="e">
        <f>(VLOOKUP(A280,TradesEquity!$1:$1048576,31,FALSE))</f>
        <v>#N/A</v>
      </c>
      <c r="BC280" s="352" t="e">
        <f>(VLOOKUP(A280,TradesEquity!$1:$1048576,32,FALSE))</f>
        <v>#N/A</v>
      </c>
      <c r="BI280" s="352" t="e">
        <f>(VLOOKUP(A280,TradesEquity!$1:$1048576,38,FALSE))</f>
        <v>#N/A</v>
      </c>
      <c r="BJ280" s="352" t="e">
        <f>(VLOOKUP(A280,TradesEquity!$1:$1048576,39,FALSE))</f>
        <v>#N/A</v>
      </c>
      <c r="BK280" s="352" t="e">
        <f>(VLOOKUP(A280,TradesEquity!$1:$1048576,40,FALSE))</f>
        <v>#N/A</v>
      </c>
    </row>
    <row r="281" spans="4:63">
      <c r="D281" s="342" t="s">
        <v>1957</v>
      </c>
      <c r="F281" s="343" t="e">
        <f>VLOOKUP(A281,TradesEquity!$1:$1048576,2,FALSE)</f>
        <v>#N/A</v>
      </c>
      <c r="H281" s="343" t="e">
        <f>VLOOKUP(A281,TradesEquity!$1:$1048576,21,FALSE)</f>
        <v>#N/A</v>
      </c>
      <c r="I281" s="344" t="e">
        <f>IF(VLOOKUP(A281,TradesEquity!$1:$1048576,3,FALSE)="BUY","B","S")</f>
        <v>#N/A</v>
      </c>
      <c r="J281" s="344" t="e">
        <f>VLOOKUP(A281,TradesEquity!$1:$1048576,5,FALSE)</f>
        <v>#N/A</v>
      </c>
      <c r="K281" s="342" t="s">
        <v>19</v>
      </c>
      <c r="L281" s="345" t="s">
        <v>1958</v>
      </c>
      <c r="AE281" s="346" t="e">
        <f>VLOOKUP(A281,TradesEquity!$1:$1048576,10,FALSE)</f>
        <v>#N/A</v>
      </c>
      <c r="AF281" s="346" t="e">
        <f t="shared" si="14"/>
        <v>#N/A</v>
      </c>
      <c r="AG281" s="346" t="e">
        <f t="shared" si="15"/>
        <v>#N/A</v>
      </c>
      <c r="AH281" s="346" t="e">
        <f t="shared" si="16"/>
        <v>#N/A</v>
      </c>
      <c r="AI281" s="346" t="e">
        <f>ABS(VLOOKUP(A281,TradesEquity!$1:$1048576,13,FALSE))</f>
        <v>#N/A</v>
      </c>
      <c r="AJ281" s="347">
        <v>0</v>
      </c>
      <c r="AK281" s="347">
        <v>1</v>
      </c>
      <c r="AL281" s="346" t="e">
        <f>VLOOKUP(A281,TradesEquity!$1:$1048576,11,FALSE)</f>
        <v>#N/A</v>
      </c>
      <c r="AM281" s="347">
        <v>1</v>
      </c>
      <c r="AN281" s="346" t="e">
        <f>ABS(VLOOKUP(A281,TradesEquity!$1:$1048576,14,FALSE))</f>
        <v>#N/A</v>
      </c>
      <c r="AO281" s="346" t="e">
        <f>ABS(VLOOKUP(A281,TradesEquity!$1:$1048576,15,FALSE))</f>
        <v>#N/A</v>
      </c>
      <c r="AP281" s="348" t="e">
        <f>ABS(VLOOKUP(A281,TradesEquity!$1:$1048576,16,FALSE))</f>
        <v>#N/A</v>
      </c>
      <c r="AQ281" s="286">
        <v>0</v>
      </c>
      <c r="AR281" s="286">
        <v>0</v>
      </c>
      <c r="AS281" s="286">
        <v>0</v>
      </c>
      <c r="AT281" s="286">
        <v>0</v>
      </c>
      <c r="AU281" s="286">
        <v>0</v>
      </c>
      <c r="AV281" s="348" t="e">
        <f>ABS(VLOOKUP(A281,TradesEquity!$1:$1048576,18,FALSE))</f>
        <v>#N/A</v>
      </c>
      <c r="AW281" s="349">
        <v>0</v>
      </c>
      <c r="AX281" s="350">
        <v>4542</v>
      </c>
      <c r="AY281" s="351" t="s">
        <v>1959</v>
      </c>
      <c r="AZ281" s="352" t="e">
        <f>(VLOOKUP(A281,TradesEquity!$1:$1048576,29,FALSE))</f>
        <v>#N/A</v>
      </c>
      <c r="BA281" s="352" t="e">
        <f>(VLOOKUP(A281,TradesEquity!$1:$1048576,30,FALSE))</f>
        <v>#N/A</v>
      </c>
      <c r="BB281" s="352" t="e">
        <f>(VLOOKUP(A281,TradesEquity!$1:$1048576,31,FALSE))</f>
        <v>#N/A</v>
      </c>
      <c r="BC281" s="352" t="e">
        <f>(VLOOKUP(A281,TradesEquity!$1:$1048576,32,FALSE))</f>
        <v>#N/A</v>
      </c>
      <c r="BI281" s="352" t="e">
        <f>(VLOOKUP(A281,TradesEquity!$1:$1048576,38,FALSE))</f>
        <v>#N/A</v>
      </c>
      <c r="BJ281" s="352" t="e">
        <f>(VLOOKUP(A281,TradesEquity!$1:$1048576,39,FALSE))</f>
        <v>#N/A</v>
      </c>
      <c r="BK281" s="352" t="e">
        <f>(VLOOKUP(A281,TradesEquity!$1:$1048576,40,FALSE))</f>
        <v>#N/A</v>
      </c>
    </row>
    <row r="282" spans="4:63">
      <c r="D282" s="342" t="s">
        <v>1957</v>
      </c>
      <c r="F282" s="343" t="e">
        <f>VLOOKUP(A282,TradesEquity!$1:$1048576,2,FALSE)</f>
        <v>#N/A</v>
      </c>
      <c r="H282" s="343" t="e">
        <f>VLOOKUP(A282,TradesEquity!$1:$1048576,21,FALSE)</f>
        <v>#N/A</v>
      </c>
      <c r="I282" s="344" t="e">
        <f>IF(VLOOKUP(A282,TradesEquity!$1:$1048576,3,FALSE)="BUY","B","S")</f>
        <v>#N/A</v>
      </c>
      <c r="J282" s="344" t="e">
        <f>VLOOKUP(A282,TradesEquity!$1:$1048576,5,FALSE)</f>
        <v>#N/A</v>
      </c>
      <c r="K282" s="342" t="s">
        <v>19</v>
      </c>
      <c r="L282" s="345" t="s">
        <v>1958</v>
      </c>
      <c r="AE282" s="346" t="e">
        <f>VLOOKUP(A282,TradesEquity!$1:$1048576,10,FALSE)</f>
        <v>#N/A</v>
      </c>
      <c r="AF282" s="346" t="e">
        <f t="shared" si="14"/>
        <v>#N/A</v>
      </c>
      <c r="AG282" s="346" t="e">
        <f t="shared" si="15"/>
        <v>#N/A</v>
      </c>
      <c r="AH282" s="346" t="e">
        <f t="shared" si="16"/>
        <v>#N/A</v>
      </c>
      <c r="AI282" s="346" t="e">
        <f>ABS(VLOOKUP(A282,TradesEquity!$1:$1048576,13,FALSE))</f>
        <v>#N/A</v>
      </c>
      <c r="AJ282" s="347">
        <v>0</v>
      </c>
      <c r="AK282" s="347">
        <v>1</v>
      </c>
      <c r="AL282" s="346" t="e">
        <f>VLOOKUP(A282,TradesEquity!$1:$1048576,11,FALSE)</f>
        <v>#N/A</v>
      </c>
      <c r="AM282" s="347">
        <v>1</v>
      </c>
      <c r="AN282" s="346" t="e">
        <f>ABS(VLOOKUP(A282,TradesEquity!$1:$1048576,14,FALSE))</f>
        <v>#N/A</v>
      </c>
      <c r="AO282" s="346" t="e">
        <f>ABS(VLOOKUP(A282,TradesEquity!$1:$1048576,15,FALSE))</f>
        <v>#N/A</v>
      </c>
      <c r="AP282" s="348" t="e">
        <f>ABS(VLOOKUP(A282,TradesEquity!$1:$1048576,16,FALSE))</f>
        <v>#N/A</v>
      </c>
      <c r="AQ282" s="286">
        <v>0</v>
      </c>
      <c r="AR282" s="286">
        <v>0</v>
      </c>
      <c r="AS282" s="286">
        <v>0</v>
      </c>
      <c r="AT282" s="286">
        <v>0</v>
      </c>
      <c r="AU282" s="286">
        <v>0</v>
      </c>
      <c r="AV282" s="348" t="e">
        <f>ABS(VLOOKUP(A282,TradesEquity!$1:$1048576,18,FALSE))</f>
        <v>#N/A</v>
      </c>
      <c r="AW282" s="349">
        <v>0</v>
      </c>
      <c r="AX282" s="350">
        <v>4542</v>
      </c>
      <c r="AY282" s="351" t="s">
        <v>1959</v>
      </c>
      <c r="AZ282" s="352" t="e">
        <f>(VLOOKUP(A282,TradesEquity!$1:$1048576,29,FALSE))</f>
        <v>#N/A</v>
      </c>
      <c r="BA282" s="352" t="e">
        <f>(VLOOKUP(A282,TradesEquity!$1:$1048576,30,FALSE))</f>
        <v>#N/A</v>
      </c>
      <c r="BB282" s="352" t="e">
        <f>(VLOOKUP(A282,TradesEquity!$1:$1048576,31,FALSE))</f>
        <v>#N/A</v>
      </c>
      <c r="BC282" s="352" t="e">
        <f>(VLOOKUP(A282,TradesEquity!$1:$1048576,32,FALSE))</f>
        <v>#N/A</v>
      </c>
      <c r="BI282" s="352" t="e">
        <f>(VLOOKUP(A282,TradesEquity!$1:$1048576,38,FALSE))</f>
        <v>#N/A</v>
      </c>
      <c r="BJ282" s="352" t="e">
        <f>(VLOOKUP(A282,TradesEquity!$1:$1048576,39,FALSE))</f>
        <v>#N/A</v>
      </c>
      <c r="BK282" s="352" t="e">
        <f>(VLOOKUP(A282,TradesEquity!$1:$1048576,40,FALSE))</f>
        <v>#N/A</v>
      </c>
    </row>
    <row r="283" spans="4:63">
      <c r="D283" s="342" t="s">
        <v>1957</v>
      </c>
      <c r="F283" s="343" t="e">
        <f>VLOOKUP(A283,TradesEquity!$1:$1048576,2,FALSE)</f>
        <v>#N/A</v>
      </c>
      <c r="H283" s="343" t="e">
        <f>VLOOKUP(A283,TradesEquity!$1:$1048576,21,FALSE)</f>
        <v>#N/A</v>
      </c>
      <c r="I283" s="344" t="e">
        <f>IF(VLOOKUP(A283,TradesEquity!$1:$1048576,3,FALSE)="BUY","B","S")</f>
        <v>#N/A</v>
      </c>
      <c r="J283" s="344" t="e">
        <f>VLOOKUP(A283,TradesEquity!$1:$1048576,5,FALSE)</f>
        <v>#N/A</v>
      </c>
      <c r="K283" s="342" t="s">
        <v>19</v>
      </c>
      <c r="L283" s="345" t="s">
        <v>1958</v>
      </c>
      <c r="AE283" s="346" t="e">
        <f>VLOOKUP(A283,TradesEquity!$1:$1048576,10,FALSE)</f>
        <v>#N/A</v>
      </c>
      <c r="AF283" s="346" t="e">
        <f t="shared" si="14"/>
        <v>#N/A</v>
      </c>
      <c r="AG283" s="346" t="e">
        <f t="shared" si="15"/>
        <v>#N/A</v>
      </c>
      <c r="AH283" s="346" t="e">
        <f t="shared" si="16"/>
        <v>#N/A</v>
      </c>
      <c r="AI283" s="346" t="e">
        <f>ABS(VLOOKUP(A283,TradesEquity!$1:$1048576,13,FALSE))</f>
        <v>#N/A</v>
      </c>
      <c r="AJ283" s="347">
        <v>0</v>
      </c>
      <c r="AK283" s="347">
        <v>1</v>
      </c>
      <c r="AL283" s="346" t="e">
        <f>VLOOKUP(A283,TradesEquity!$1:$1048576,11,FALSE)</f>
        <v>#N/A</v>
      </c>
      <c r="AM283" s="347">
        <v>1</v>
      </c>
      <c r="AN283" s="346" t="e">
        <f>ABS(VLOOKUP(A283,TradesEquity!$1:$1048576,14,FALSE))</f>
        <v>#N/A</v>
      </c>
      <c r="AO283" s="346" t="e">
        <f>ABS(VLOOKUP(A283,TradesEquity!$1:$1048576,15,FALSE))</f>
        <v>#N/A</v>
      </c>
      <c r="AP283" s="348" t="e">
        <f>ABS(VLOOKUP(A283,TradesEquity!$1:$1048576,16,FALSE))</f>
        <v>#N/A</v>
      </c>
      <c r="AQ283" s="286">
        <v>0</v>
      </c>
      <c r="AR283" s="286">
        <v>0</v>
      </c>
      <c r="AS283" s="286">
        <v>0</v>
      </c>
      <c r="AT283" s="286">
        <v>0</v>
      </c>
      <c r="AU283" s="286">
        <v>0</v>
      </c>
      <c r="AV283" s="348" t="e">
        <f>ABS(VLOOKUP(A283,TradesEquity!$1:$1048576,18,FALSE))</f>
        <v>#N/A</v>
      </c>
      <c r="AW283" s="349">
        <v>0</v>
      </c>
      <c r="AX283" s="350">
        <v>4542</v>
      </c>
      <c r="AY283" s="351" t="s">
        <v>1959</v>
      </c>
      <c r="AZ283" s="352" t="e">
        <f>(VLOOKUP(A283,TradesEquity!$1:$1048576,29,FALSE))</f>
        <v>#N/A</v>
      </c>
      <c r="BA283" s="352" t="e">
        <f>(VLOOKUP(A283,TradesEquity!$1:$1048576,30,FALSE))</f>
        <v>#N/A</v>
      </c>
      <c r="BB283" s="352" t="e">
        <f>(VLOOKUP(A283,TradesEquity!$1:$1048576,31,FALSE))</f>
        <v>#N/A</v>
      </c>
      <c r="BC283" s="352" t="e">
        <f>(VLOOKUP(A283,TradesEquity!$1:$1048576,32,FALSE))</f>
        <v>#N/A</v>
      </c>
      <c r="BI283" s="352" t="e">
        <f>(VLOOKUP(A283,TradesEquity!$1:$1048576,38,FALSE))</f>
        <v>#N/A</v>
      </c>
      <c r="BJ283" s="352" t="e">
        <f>(VLOOKUP(A283,TradesEquity!$1:$1048576,39,FALSE))</f>
        <v>#N/A</v>
      </c>
      <c r="BK283" s="352" t="e">
        <f>(VLOOKUP(A283,TradesEquity!$1:$1048576,40,FALSE))</f>
        <v>#N/A</v>
      </c>
    </row>
    <row r="284" spans="4:63">
      <c r="D284" s="342" t="s">
        <v>1957</v>
      </c>
      <c r="F284" s="343" t="e">
        <f>VLOOKUP(A284,TradesEquity!$1:$1048576,2,FALSE)</f>
        <v>#N/A</v>
      </c>
      <c r="H284" s="343" t="e">
        <f>VLOOKUP(A284,TradesEquity!$1:$1048576,21,FALSE)</f>
        <v>#N/A</v>
      </c>
      <c r="I284" s="344" t="e">
        <f>IF(VLOOKUP(A284,TradesEquity!$1:$1048576,3,FALSE)="BUY","B","S")</f>
        <v>#N/A</v>
      </c>
      <c r="J284" s="344" t="e">
        <f>VLOOKUP(A284,TradesEquity!$1:$1048576,5,FALSE)</f>
        <v>#N/A</v>
      </c>
      <c r="K284" s="342" t="s">
        <v>19</v>
      </c>
      <c r="L284" s="345" t="s">
        <v>1958</v>
      </c>
      <c r="AE284" s="346" t="e">
        <f>VLOOKUP(A284,TradesEquity!$1:$1048576,10,FALSE)</f>
        <v>#N/A</v>
      </c>
      <c r="AF284" s="346" t="e">
        <f t="shared" si="14"/>
        <v>#N/A</v>
      </c>
      <c r="AG284" s="346" t="e">
        <f t="shared" si="15"/>
        <v>#N/A</v>
      </c>
      <c r="AH284" s="346" t="e">
        <f t="shared" si="16"/>
        <v>#N/A</v>
      </c>
      <c r="AI284" s="346" t="e">
        <f>ABS(VLOOKUP(A284,TradesEquity!$1:$1048576,13,FALSE))</f>
        <v>#N/A</v>
      </c>
      <c r="AJ284" s="347">
        <v>0</v>
      </c>
      <c r="AK284" s="347">
        <v>1</v>
      </c>
      <c r="AL284" s="346" t="e">
        <f>VLOOKUP(A284,TradesEquity!$1:$1048576,11,FALSE)</f>
        <v>#N/A</v>
      </c>
      <c r="AM284" s="347">
        <v>1</v>
      </c>
      <c r="AN284" s="346" t="e">
        <f>ABS(VLOOKUP(A284,TradesEquity!$1:$1048576,14,FALSE))</f>
        <v>#N/A</v>
      </c>
      <c r="AO284" s="346" t="e">
        <f>ABS(VLOOKUP(A284,TradesEquity!$1:$1048576,15,FALSE))</f>
        <v>#N/A</v>
      </c>
      <c r="AP284" s="348" t="e">
        <f>ABS(VLOOKUP(A284,TradesEquity!$1:$1048576,16,FALSE))</f>
        <v>#N/A</v>
      </c>
      <c r="AQ284" s="286">
        <v>0</v>
      </c>
      <c r="AR284" s="286">
        <v>0</v>
      </c>
      <c r="AS284" s="286">
        <v>0</v>
      </c>
      <c r="AT284" s="286">
        <v>0</v>
      </c>
      <c r="AU284" s="286">
        <v>0</v>
      </c>
      <c r="AV284" s="348" t="e">
        <f>ABS(VLOOKUP(A284,TradesEquity!$1:$1048576,18,FALSE))</f>
        <v>#N/A</v>
      </c>
      <c r="AW284" s="349">
        <v>0</v>
      </c>
      <c r="AX284" s="350">
        <v>4542</v>
      </c>
      <c r="AY284" s="351" t="s">
        <v>1959</v>
      </c>
      <c r="AZ284" s="352" t="e">
        <f>(VLOOKUP(A284,TradesEquity!$1:$1048576,29,FALSE))</f>
        <v>#N/A</v>
      </c>
      <c r="BA284" s="352" t="e">
        <f>(VLOOKUP(A284,TradesEquity!$1:$1048576,30,FALSE))</f>
        <v>#N/A</v>
      </c>
      <c r="BB284" s="352" t="e">
        <f>(VLOOKUP(A284,TradesEquity!$1:$1048576,31,FALSE))</f>
        <v>#N/A</v>
      </c>
      <c r="BC284" s="352" t="e">
        <f>(VLOOKUP(A284,TradesEquity!$1:$1048576,32,FALSE))</f>
        <v>#N/A</v>
      </c>
      <c r="BI284" s="352" t="e">
        <f>(VLOOKUP(A284,TradesEquity!$1:$1048576,38,FALSE))</f>
        <v>#N/A</v>
      </c>
      <c r="BJ284" s="352" t="e">
        <f>(VLOOKUP(A284,TradesEquity!$1:$1048576,39,FALSE))</f>
        <v>#N/A</v>
      </c>
      <c r="BK284" s="352" t="e">
        <f>(VLOOKUP(A284,TradesEquity!$1:$1048576,40,FALSE))</f>
        <v>#N/A</v>
      </c>
    </row>
    <row r="285" spans="4:63">
      <c r="D285" s="342" t="s">
        <v>1957</v>
      </c>
      <c r="F285" s="343" t="e">
        <f>VLOOKUP(A285,TradesEquity!$1:$1048576,2,FALSE)</f>
        <v>#N/A</v>
      </c>
      <c r="H285" s="343" t="e">
        <f>VLOOKUP(A285,TradesEquity!$1:$1048576,21,FALSE)</f>
        <v>#N/A</v>
      </c>
      <c r="I285" s="344" t="e">
        <f>IF(VLOOKUP(A285,TradesEquity!$1:$1048576,3,FALSE)="BUY","B","S")</f>
        <v>#N/A</v>
      </c>
      <c r="J285" s="344" t="e">
        <f>VLOOKUP(A285,TradesEquity!$1:$1048576,5,FALSE)</f>
        <v>#N/A</v>
      </c>
      <c r="K285" s="342" t="s">
        <v>19</v>
      </c>
      <c r="L285" s="345" t="s">
        <v>1958</v>
      </c>
      <c r="AE285" s="346" t="e">
        <f>VLOOKUP(A285,TradesEquity!$1:$1048576,10,FALSE)</f>
        <v>#N/A</v>
      </c>
      <c r="AF285" s="346" t="e">
        <f t="shared" si="14"/>
        <v>#N/A</v>
      </c>
      <c r="AG285" s="346" t="e">
        <f t="shared" si="15"/>
        <v>#N/A</v>
      </c>
      <c r="AH285" s="346" t="e">
        <f t="shared" si="16"/>
        <v>#N/A</v>
      </c>
      <c r="AI285" s="346" t="e">
        <f>ABS(VLOOKUP(A285,TradesEquity!$1:$1048576,13,FALSE))</f>
        <v>#N/A</v>
      </c>
      <c r="AJ285" s="347">
        <v>0</v>
      </c>
      <c r="AK285" s="347">
        <v>1</v>
      </c>
      <c r="AL285" s="346" t="e">
        <f>VLOOKUP(A285,TradesEquity!$1:$1048576,11,FALSE)</f>
        <v>#N/A</v>
      </c>
      <c r="AM285" s="347">
        <v>1</v>
      </c>
      <c r="AN285" s="346" t="e">
        <f>ABS(VLOOKUP(A285,TradesEquity!$1:$1048576,14,FALSE))</f>
        <v>#N/A</v>
      </c>
      <c r="AO285" s="346" t="e">
        <f>ABS(VLOOKUP(A285,TradesEquity!$1:$1048576,15,FALSE))</f>
        <v>#N/A</v>
      </c>
      <c r="AP285" s="348" t="e">
        <f>ABS(VLOOKUP(A285,TradesEquity!$1:$1048576,16,FALSE))</f>
        <v>#N/A</v>
      </c>
      <c r="AQ285" s="286">
        <v>0</v>
      </c>
      <c r="AR285" s="286">
        <v>0</v>
      </c>
      <c r="AS285" s="286">
        <v>0</v>
      </c>
      <c r="AT285" s="286">
        <v>0</v>
      </c>
      <c r="AU285" s="286">
        <v>0</v>
      </c>
      <c r="AV285" s="348" t="e">
        <f>ABS(VLOOKUP(A285,TradesEquity!$1:$1048576,18,FALSE))</f>
        <v>#N/A</v>
      </c>
      <c r="AW285" s="349">
        <v>0</v>
      </c>
      <c r="AX285" s="350">
        <v>4542</v>
      </c>
      <c r="AY285" s="351" t="s">
        <v>1959</v>
      </c>
      <c r="AZ285" s="352" t="e">
        <f>(VLOOKUP(A285,TradesEquity!$1:$1048576,29,FALSE))</f>
        <v>#N/A</v>
      </c>
      <c r="BA285" s="352" t="e">
        <f>(VLOOKUP(A285,TradesEquity!$1:$1048576,30,FALSE))</f>
        <v>#N/A</v>
      </c>
      <c r="BB285" s="352" t="e">
        <f>(VLOOKUP(A285,TradesEquity!$1:$1048576,31,FALSE))</f>
        <v>#N/A</v>
      </c>
      <c r="BC285" s="352" t="e">
        <f>(VLOOKUP(A285,TradesEquity!$1:$1048576,32,FALSE))</f>
        <v>#N/A</v>
      </c>
      <c r="BI285" s="352" t="e">
        <f>(VLOOKUP(A285,TradesEquity!$1:$1048576,38,FALSE))</f>
        <v>#N/A</v>
      </c>
      <c r="BJ285" s="352" t="e">
        <f>(VLOOKUP(A285,TradesEquity!$1:$1048576,39,FALSE))</f>
        <v>#N/A</v>
      </c>
      <c r="BK285" s="352" t="e">
        <f>(VLOOKUP(A285,TradesEquity!$1:$1048576,40,FALSE))</f>
        <v>#N/A</v>
      </c>
    </row>
    <row r="286" spans="4:63">
      <c r="D286" s="342" t="s">
        <v>1957</v>
      </c>
      <c r="F286" s="343" t="e">
        <f>VLOOKUP(A286,TradesEquity!$1:$1048576,2,FALSE)</f>
        <v>#N/A</v>
      </c>
      <c r="H286" s="343" t="e">
        <f>VLOOKUP(A286,TradesEquity!$1:$1048576,21,FALSE)</f>
        <v>#N/A</v>
      </c>
      <c r="I286" s="344" t="e">
        <f>IF(VLOOKUP(A286,TradesEquity!$1:$1048576,3,FALSE)="BUY","B","S")</f>
        <v>#N/A</v>
      </c>
      <c r="J286" s="344" t="e">
        <f>VLOOKUP(A286,TradesEquity!$1:$1048576,5,FALSE)</f>
        <v>#N/A</v>
      </c>
      <c r="K286" s="342" t="s">
        <v>19</v>
      </c>
      <c r="L286" s="345" t="s">
        <v>1958</v>
      </c>
      <c r="AE286" s="346" t="e">
        <f>VLOOKUP(A286,TradesEquity!$1:$1048576,10,FALSE)</f>
        <v>#N/A</v>
      </c>
      <c r="AF286" s="346" t="e">
        <f t="shared" si="14"/>
        <v>#N/A</v>
      </c>
      <c r="AG286" s="346" t="e">
        <f t="shared" si="15"/>
        <v>#N/A</v>
      </c>
      <c r="AH286" s="346" t="e">
        <f t="shared" si="16"/>
        <v>#N/A</v>
      </c>
      <c r="AI286" s="346" t="e">
        <f>ABS(VLOOKUP(A286,TradesEquity!$1:$1048576,13,FALSE))</f>
        <v>#N/A</v>
      </c>
      <c r="AJ286" s="347">
        <v>0</v>
      </c>
      <c r="AK286" s="347">
        <v>1</v>
      </c>
      <c r="AL286" s="346" t="e">
        <f>VLOOKUP(A286,TradesEquity!$1:$1048576,11,FALSE)</f>
        <v>#N/A</v>
      </c>
      <c r="AM286" s="347">
        <v>1</v>
      </c>
      <c r="AN286" s="346" t="e">
        <f>ABS(VLOOKUP(A286,TradesEquity!$1:$1048576,14,FALSE))</f>
        <v>#N/A</v>
      </c>
      <c r="AO286" s="346" t="e">
        <f>ABS(VLOOKUP(A286,TradesEquity!$1:$1048576,15,FALSE))</f>
        <v>#N/A</v>
      </c>
      <c r="AP286" s="348" t="e">
        <f>ABS(VLOOKUP(A286,TradesEquity!$1:$1048576,16,FALSE))</f>
        <v>#N/A</v>
      </c>
      <c r="AQ286" s="286">
        <v>0</v>
      </c>
      <c r="AR286" s="286">
        <v>0</v>
      </c>
      <c r="AS286" s="286">
        <v>0</v>
      </c>
      <c r="AT286" s="286">
        <v>0</v>
      </c>
      <c r="AU286" s="286">
        <v>0</v>
      </c>
      <c r="AV286" s="348" t="e">
        <f>ABS(VLOOKUP(A286,TradesEquity!$1:$1048576,18,FALSE))</f>
        <v>#N/A</v>
      </c>
      <c r="AW286" s="349">
        <v>0</v>
      </c>
      <c r="AX286" s="350">
        <v>4542</v>
      </c>
      <c r="AY286" s="351" t="s">
        <v>1959</v>
      </c>
      <c r="AZ286" s="352" t="e">
        <f>(VLOOKUP(A286,TradesEquity!$1:$1048576,29,FALSE))</f>
        <v>#N/A</v>
      </c>
      <c r="BA286" s="352" t="e">
        <f>(VLOOKUP(A286,TradesEquity!$1:$1048576,30,FALSE))</f>
        <v>#N/A</v>
      </c>
      <c r="BB286" s="352" t="e">
        <f>(VLOOKUP(A286,TradesEquity!$1:$1048576,31,FALSE))</f>
        <v>#N/A</v>
      </c>
      <c r="BC286" s="352" t="e">
        <f>(VLOOKUP(A286,TradesEquity!$1:$1048576,32,FALSE))</f>
        <v>#N/A</v>
      </c>
      <c r="BI286" s="352" t="e">
        <f>(VLOOKUP(A286,TradesEquity!$1:$1048576,38,FALSE))</f>
        <v>#N/A</v>
      </c>
      <c r="BJ286" s="352" t="e">
        <f>(VLOOKUP(A286,TradesEquity!$1:$1048576,39,FALSE))</f>
        <v>#N/A</v>
      </c>
      <c r="BK286" s="352" t="e">
        <f>(VLOOKUP(A286,TradesEquity!$1:$1048576,40,FALSE))</f>
        <v>#N/A</v>
      </c>
    </row>
    <row r="287" spans="4:63">
      <c r="D287" s="342" t="s">
        <v>1957</v>
      </c>
      <c r="F287" s="343" t="e">
        <f>VLOOKUP(A287,TradesEquity!$1:$1048576,2,FALSE)</f>
        <v>#N/A</v>
      </c>
      <c r="H287" s="343" t="e">
        <f>VLOOKUP(A287,TradesEquity!$1:$1048576,21,FALSE)</f>
        <v>#N/A</v>
      </c>
      <c r="I287" s="344" t="e">
        <f>IF(VLOOKUP(A287,TradesEquity!$1:$1048576,3,FALSE)="BUY","B","S")</f>
        <v>#N/A</v>
      </c>
      <c r="J287" s="344" t="e">
        <f>VLOOKUP(A287,TradesEquity!$1:$1048576,5,FALSE)</f>
        <v>#N/A</v>
      </c>
      <c r="K287" s="342" t="s">
        <v>19</v>
      </c>
      <c r="L287" s="345" t="s">
        <v>1958</v>
      </c>
      <c r="AE287" s="346" t="e">
        <f>VLOOKUP(A287,TradesEquity!$1:$1048576,10,FALSE)</f>
        <v>#N/A</v>
      </c>
      <c r="AF287" s="346" t="e">
        <f t="shared" si="14"/>
        <v>#N/A</v>
      </c>
      <c r="AG287" s="346" t="e">
        <f t="shared" si="15"/>
        <v>#N/A</v>
      </c>
      <c r="AH287" s="346" t="e">
        <f t="shared" si="16"/>
        <v>#N/A</v>
      </c>
      <c r="AI287" s="346" t="e">
        <f>ABS(VLOOKUP(A287,TradesEquity!$1:$1048576,13,FALSE))</f>
        <v>#N/A</v>
      </c>
      <c r="AJ287" s="347">
        <v>0</v>
      </c>
      <c r="AK287" s="347">
        <v>1</v>
      </c>
      <c r="AL287" s="346" t="e">
        <f>VLOOKUP(A287,TradesEquity!$1:$1048576,11,FALSE)</f>
        <v>#N/A</v>
      </c>
      <c r="AM287" s="347">
        <v>1</v>
      </c>
      <c r="AN287" s="346" t="e">
        <f>ABS(VLOOKUP(A287,TradesEquity!$1:$1048576,14,FALSE))</f>
        <v>#N/A</v>
      </c>
      <c r="AO287" s="346" t="e">
        <f>ABS(VLOOKUP(A287,TradesEquity!$1:$1048576,15,FALSE))</f>
        <v>#N/A</v>
      </c>
      <c r="AP287" s="348" t="e">
        <f>ABS(VLOOKUP(A287,TradesEquity!$1:$1048576,16,FALSE))</f>
        <v>#N/A</v>
      </c>
      <c r="AQ287" s="286">
        <v>0</v>
      </c>
      <c r="AR287" s="286">
        <v>0</v>
      </c>
      <c r="AS287" s="286">
        <v>0</v>
      </c>
      <c r="AT287" s="286">
        <v>0</v>
      </c>
      <c r="AU287" s="286">
        <v>0</v>
      </c>
      <c r="AV287" s="348" t="e">
        <f>ABS(VLOOKUP(A287,TradesEquity!$1:$1048576,18,FALSE))</f>
        <v>#N/A</v>
      </c>
      <c r="AW287" s="349">
        <v>0</v>
      </c>
      <c r="AX287" s="350">
        <v>4542</v>
      </c>
      <c r="AY287" s="351" t="s">
        <v>1959</v>
      </c>
      <c r="AZ287" s="352" t="e">
        <f>(VLOOKUP(A287,TradesEquity!$1:$1048576,29,FALSE))</f>
        <v>#N/A</v>
      </c>
      <c r="BA287" s="352" t="e">
        <f>(VLOOKUP(A287,TradesEquity!$1:$1048576,30,FALSE))</f>
        <v>#N/A</v>
      </c>
      <c r="BB287" s="352" t="e">
        <f>(VLOOKUP(A287,TradesEquity!$1:$1048576,31,FALSE))</f>
        <v>#N/A</v>
      </c>
      <c r="BC287" s="352" t="e">
        <f>(VLOOKUP(A287,TradesEquity!$1:$1048576,32,FALSE))</f>
        <v>#N/A</v>
      </c>
      <c r="BI287" s="352" t="e">
        <f>(VLOOKUP(A287,TradesEquity!$1:$1048576,38,FALSE))</f>
        <v>#N/A</v>
      </c>
      <c r="BJ287" s="352" t="e">
        <f>(VLOOKUP(A287,TradesEquity!$1:$1048576,39,FALSE))</f>
        <v>#N/A</v>
      </c>
      <c r="BK287" s="352" t="e">
        <f>(VLOOKUP(A287,TradesEquity!$1:$1048576,40,FALSE))</f>
        <v>#N/A</v>
      </c>
    </row>
    <row r="288" spans="4:63">
      <c r="D288" s="342" t="s">
        <v>1957</v>
      </c>
      <c r="F288" s="343" t="e">
        <f>VLOOKUP(A288,TradesEquity!$1:$1048576,2,FALSE)</f>
        <v>#N/A</v>
      </c>
      <c r="H288" s="343" t="e">
        <f>VLOOKUP(A288,TradesEquity!$1:$1048576,21,FALSE)</f>
        <v>#N/A</v>
      </c>
      <c r="I288" s="344" t="e">
        <f>IF(VLOOKUP(A288,TradesEquity!$1:$1048576,3,FALSE)="BUY","B","S")</f>
        <v>#N/A</v>
      </c>
      <c r="J288" s="344" t="e">
        <f>VLOOKUP(A288,TradesEquity!$1:$1048576,5,FALSE)</f>
        <v>#N/A</v>
      </c>
      <c r="K288" s="342" t="s">
        <v>19</v>
      </c>
      <c r="L288" s="345" t="s">
        <v>1958</v>
      </c>
      <c r="AE288" s="346" t="e">
        <f>VLOOKUP(A288,TradesEquity!$1:$1048576,10,FALSE)</f>
        <v>#N/A</v>
      </c>
      <c r="AF288" s="346" t="e">
        <f t="shared" si="14"/>
        <v>#N/A</v>
      </c>
      <c r="AG288" s="346" t="e">
        <f t="shared" si="15"/>
        <v>#N/A</v>
      </c>
      <c r="AH288" s="346" t="e">
        <f t="shared" si="16"/>
        <v>#N/A</v>
      </c>
      <c r="AI288" s="346" t="e">
        <f>ABS(VLOOKUP(A288,TradesEquity!$1:$1048576,13,FALSE))</f>
        <v>#N/A</v>
      </c>
      <c r="AJ288" s="347">
        <v>0</v>
      </c>
      <c r="AK288" s="347">
        <v>1</v>
      </c>
      <c r="AL288" s="346" t="e">
        <f>VLOOKUP(A288,TradesEquity!$1:$1048576,11,FALSE)</f>
        <v>#N/A</v>
      </c>
      <c r="AM288" s="347">
        <v>1</v>
      </c>
      <c r="AN288" s="346" t="e">
        <f>ABS(VLOOKUP(A288,TradesEquity!$1:$1048576,14,FALSE))</f>
        <v>#N/A</v>
      </c>
      <c r="AO288" s="346" t="e">
        <f>ABS(VLOOKUP(A288,TradesEquity!$1:$1048576,15,FALSE))</f>
        <v>#N/A</v>
      </c>
      <c r="AP288" s="348" t="e">
        <f>ABS(VLOOKUP(A288,TradesEquity!$1:$1048576,16,FALSE))</f>
        <v>#N/A</v>
      </c>
      <c r="AQ288" s="286">
        <v>0</v>
      </c>
      <c r="AR288" s="286">
        <v>0</v>
      </c>
      <c r="AS288" s="286">
        <v>0</v>
      </c>
      <c r="AT288" s="286">
        <v>0</v>
      </c>
      <c r="AU288" s="286">
        <v>0</v>
      </c>
      <c r="AV288" s="348" t="e">
        <f>ABS(VLOOKUP(A288,TradesEquity!$1:$1048576,18,FALSE))</f>
        <v>#N/A</v>
      </c>
      <c r="AW288" s="349">
        <v>0</v>
      </c>
      <c r="AX288" s="350">
        <v>4542</v>
      </c>
      <c r="AY288" s="351" t="s">
        <v>1959</v>
      </c>
      <c r="AZ288" s="352" t="e">
        <f>(VLOOKUP(A288,TradesEquity!$1:$1048576,29,FALSE))</f>
        <v>#N/A</v>
      </c>
      <c r="BA288" s="352" t="e">
        <f>(VLOOKUP(A288,TradesEquity!$1:$1048576,30,FALSE))</f>
        <v>#N/A</v>
      </c>
      <c r="BB288" s="352" t="e">
        <f>(VLOOKUP(A288,TradesEquity!$1:$1048576,31,FALSE))</f>
        <v>#N/A</v>
      </c>
      <c r="BC288" s="352" t="e">
        <f>(VLOOKUP(A288,TradesEquity!$1:$1048576,32,FALSE))</f>
        <v>#N/A</v>
      </c>
      <c r="BI288" s="352" t="e">
        <f>(VLOOKUP(A288,TradesEquity!$1:$1048576,38,FALSE))</f>
        <v>#N/A</v>
      </c>
      <c r="BJ288" s="352" t="e">
        <f>(VLOOKUP(A288,TradesEquity!$1:$1048576,39,FALSE))</f>
        <v>#N/A</v>
      </c>
      <c r="BK288" s="352" t="e">
        <f>(VLOOKUP(A288,TradesEquity!$1:$1048576,40,FALSE))</f>
        <v>#N/A</v>
      </c>
    </row>
    <row r="289" spans="4:63">
      <c r="D289" s="342" t="s">
        <v>1957</v>
      </c>
      <c r="F289" s="343" t="e">
        <f>VLOOKUP(A289,TradesEquity!$1:$1048576,2,FALSE)</f>
        <v>#N/A</v>
      </c>
      <c r="H289" s="343" t="e">
        <f>VLOOKUP(A289,TradesEquity!$1:$1048576,21,FALSE)</f>
        <v>#N/A</v>
      </c>
      <c r="I289" s="344" t="e">
        <f>IF(VLOOKUP(A289,TradesEquity!$1:$1048576,3,FALSE)="BUY","B","S")</f>
        <v>#N/A</v>
      </c>
      <c r="J289" s="344" t="e">
        <f>VLOOKUP(A289,TradesEquity!$1:$1048576,5,FALSE)</f>
        <v>#N/A</v>
      </c>
      <c r="K289" s="342" t="s">
        <v>19</v>
      </c>
      <c r="L289" s="345" t="s">
        <v>1958</v>
      </c>
      <c r="AE289" s="346" t="e">
        <f>VLOOKUP(A289,TradesEquity!$1:$1048576,10,FALSE)</f>
        <v>#N/A</v>
      </c>
      <c r="AF289" s="346" t="e">
        <f t="shared" si="14"/>
        <v>#N/A</v>
      </c>
      <c r="AG289" s="346" t="e">
        <f t="shared" si="15"/>
        <v>#N/A</v>
      </c>
      <c r="AH289" s="346" t="e">
        <f t="shared" si="16"/>
        <v>#N/A</v>
      </c>
      <c r="AI289" s="346" t="e">
        <f>ABS(VLOOKUP(A289,TradesEquity!$1:$1048576,13,FALSE))</f>
        <v>#N/A</v>
      </c>
      <c r="AJ289" s="347">
        <v>0</v>
      </c>
      <c r="AK289" s="347">
        <v>1</v>
      </c>
      <c r="AL289" s="346" t="e">
        <f>VLOOKUP(A289,TradesEquity!$1:$1048576,11,FALSE)</f>
        <v>#N/A</v>
      </c>
      <c r="AM289" s="347">
        <v>1</v>
      </c>
      <c r="AN289" s="346" t="e">
        <f>ABS(VLOOKUP(A289,TradesEquity!$1:$1048576,14,FALSE))</f>
        <v>#N/A</v>
      </c>
      <c r="AO289" s="346" t="e">
        <f>ABS(VLOOKUP(A289,TradesEquity!$1:$1048576,15,FALSE))</f>
        <v>#N/A</v>
      </c>
      <c r="AP289" s="348" t="e">
        <f>ABS(VLOOKUP(A289,TradesEquity!$1:$1048576,16,FALSE))</f>
        <v>#N/A</v>
      </c>
      <c r="AQ289" s="286">
        <v>0</v>
      </c>
      <c r="AR289" s="286">
        <v>0</v>
      </c>
      <c r="AS289" s="286">
        <v>0</v>
      </c>
      <c r="AT289" s="286">
        <v>0</v>
      </c>
      <c r="AU289" s="286">
        <v>0</v>
      </c>
      <c r="AV289" s="348" t="e">
        <f>ABS(VLOOKUP(A289,TradesEquity!$1:$1048576,18,FALSE))</f>
        <v>#N/A</v>
      </c>
      <c r="AW289" s="349">
        <v>0</v>
      </c>
      <c r="AX289" s="350">
        <v>4542</v>
      </c>
      <c r="AY289" s="351" t="s">
        <v>1959</v>
      </c>
      <c r="AZ289" s="352" t="e">
        <f>(VLOOKUP(A289,TradesEquity!$1:$1048576,29,FALSE))</f>
        <v>#N/A</v>
      </c>
      <c r="BA289" s="352" t="e">
        <f>(VLOOKUP(A289,TradesEquity!$1:$1048576,30,FALSE))</f>
        <v>#N/A</v>
      </c>
      <c r="BB289" s="352" t="e">
        <f>(VLOOKUP(A289,TradesEquity!$1:$1048576,31,FALSE))</f>
        <v>#N/A</v>
      </c>
      <c r="BC289" s="352" t="e">
        <f>(VLOOKUP(A289,TradesEquity!$1:$1048576,32,FALSE))</f>
        <v>#N/A</v>
      </c>
      <c r="BI289" s="352" t="e">
        <f>(VLOOKUP(A289,TradesEquity!$1:$1048576,38,FALSE))</f>
        <v>#N/A</v>
      </c>
      <c r="BJ289" s="352" t="e">
        <f>(VLOOKUP(A289,TradesEquity!$1:$1048576,39,FALSE))</f>
        <v>#N/A</v>
      </c>
      <c r="BK289" s="352" t="e">
        <f>(VLOOKUP(A289,TradesEquity!$1:$1048576,40,FALSE))</f>
        <v>#N/A</v>
      </c>
    </row>
    <row r="290" spans="4:63">
      <c r="D290" s="342" t="s">
        <v>1957</v>
      </c>
      <c r="F290" s="343" t="e">
        <f>VLOOKUP(A290,TradesEquity!$1:$1048576,2,FALSE)</f>
        <v>#N/A</v>
      </c>
      <c r="H290" s="343" t="e">
        <f>VLOOKUP(A290,TradesEquity!$1:$1048576,21,FALSE)</f>
        <v>#N/A</v>
      </c>
      <c r="I290" s="344" t="e">
        <f>IF(VLOOKUP(A290,TradesEquity!$1:$1048576,3,FALSE)="BUY","B","S")</f>
        <v>#N/A</v>
      </c>
      <c r="J290" s="344" t="e">
        <f>VLOOKUP(A290,TradesEquity!$1:$1048576,5,FALSE)</f>
        <v>#N/A</v>
      </c>
      <c r="K290" s="342" t="s">
        <v>19</v>
      </c>
      <c r="L290" s="345" t="s">
        <v>1958</v>
      </c>
      <c r="AE290" s="346" t="e">
        <f>VLOOKUP(A290,TradesEquity!$1:$1048576,10,FALSE)</f>
        <v>#N/A</v>
      </c>
      <c r="AF290" s="346" t="e">
        <f t="shared" si="14"/>
        <v>#N/A</v>
      </c>
      <c r="AG290" s="346" t="e">
        <f t="shared" si="15"/>
        <v>#N/A</v>
      </c>
      <c r="AH290" s="346" t="e">
        <f t="shared" si="16"/>
        <v>#N/A</v>
      </c>
      <c r="AI290" s="346" t="e">
        <f>ABS(VLOOKUP(A290,TradesEquity!$1:$1048576,13,FALSE))</f>
        <v>#N/A</v>
      </c>
      <c r="AJ290" s="347">
        <v>0</v>
      </c>
      <c r="AK290" s="347">
        <v>1</v>
      </c>
      <c r="AL290" s="346" t="e">
        <f>VLOOKUP(A290,TradesEquity!$1:$1048576,11,FALSE)</f>
        <v>#N/A</v>
      </c>
      <c r="AM290" s="347">
        <v>1</v>
      </c>
      <c r="AN290" s="346" t="e">
        <f>ABS(VLOOKUP(A290,TradesEquity!$1:$1048576,14,FALSE))</f>
        <v>#N/A</v>
      </c>
      <c r="AO290" s="346" t="e">
        <f>ABS(VLOOKUP(A290,TradesEquity!$1:$1048576,15,FALSE))</f>
        <v>#N/A</v>
      </c>
      <c r="AP290" s="348" t="e">
        <f>ABS(VLOOKUP(A290,TradesEquity!$1:$1048576,16,FALSE))</f>
        <v>#N/A</v>
      </c>
      <c r="AQ290" s="286">
        <v>0</v>
      </c>
      <c r="AR290" s="286">
        <v>0</v>
      </c>
      <c r="AS290" s="286">
        <v>0</v>
      </c>
      <c r="AT290" s="286">
        <v>0</v>
      </c>
      <c r="AU290" s="286">
        <v>0</v>
      </c>
      <c r="AV290" s="348" t="e">
        <f>ABS(VLOOKUP(A290,TradesEquity!$1:$1048576,18,FALSE))</f>
        <v>#N/A</v>
      </c>
      <c r="AW290" s="349">
        <v>0</v>
      </c>
      <c r="AX290" s="350">
        <v>4542</v>
      </c>
      <c r="AY290" s="351" t="s">
        <v>1959</v>
      </c>
      <c r="AZ290" s="352" t="e">
        <f>(VLOOKUP(A290,TradesEquity!$1:$1048576,29,FALSE))</f>
        <v>#N/A</v>
      </c>
      <c r="BA290" s="352" t="e">
        <f>(VLOOKUP(A290,TradesEquity!$1:$1048576,30,FALSE))</f>
        <v>#N/A</v>
      </c>
      <c r="BB290" s="352" t="e">
        <f>(VLOOKUP(A290,TradesEquity!$1:$1048576,31,FALSE))</f>
        <v>#N/A</v>
      </c>
      <c r="BC290" s="352" t="e">
        <f>(VLOOKUP(A290,TradesEquity!$1:$1048576,32,FALSE))</f>
        <v>#N/A</v>
      </c>
      <c r="BI290" s="352" t="e">
        <f>(VLOOKUP(A290,TradesEquity!$1:$1048576,38,FALSE))</f>
        <v>#N/A</v>
      </c>
      <c r="BJ290" s="352" t="e">
        <f>(VLOOKUP(A290,TradesEquity!$1:$1048576,39,FALSE))</f>
        <v>#N/A</v>
      </c>
      <c r="BK290" s="352" t="e">
        <f>(VLOOKUP(A290,TradesEquity!$1:$1048576,40,FALSE))</f>
        <v>#N/A</v>
      </c>
    </row>
    <row r="291" spans="4:63">
      <c r="D291" s="342" t="s">
        <v>1957</v>
      </c>
      <c r="F291" s="343" t="e">
        <f>VLOOKUP(A291,TradesEquity!$1:$1048576,2,FALSE)</f>
        <v>#N/A</v>
      </c>
      <c r="H291" s="343" t="e">
        <f>VLOOKUP(A291,TradesEquity!$1:$1048576,21,FALSE)</f>
        <v>#N/A</v>
      </c>
      <c r="I291" s="344" t="e">
        <f>IF(VLOOKUP(A291,TradesEquity!$1:$1048576,3,FALSE)="BUY","B","S")</f>
        <v>#N/A</v>
      </c>
      <c r="J291" s="344" t="e">
        <f>VLOOKUP(A291,TradesEquity!$1:$1048576,5,FALSE)</f>
        <v>#N/A</v>
      </c>
      <c r="K291" s="342" t="s">
        <v>19</v>
      </c>
      <c r="L291" s="345" t="s">
        <v>1958</v>
      </c>
      <c r="AE291" s="346" t="e">
        <f>VLOOKUP(A291,TradesEquity!$1:$1048576,10,FALSE)</f>
        <v>#N/A</v>
      </c>
      <c r="AF291" s="346" t="e">
        <f t="shared" si="14"/>
        <v>#N/A</v>
      </c>
      <c r="AG291" s="346" t="e">
        <f t="shared" si="15"/>
        <v>#N/A</v>
      </c>
      <c r="AH291" s="346" t="e">
        <f t="shared" si="16"/>
        <v>#N/A</v>
      </c>
      <c r="AI291" s="346" t="e">
        <f>ABS(VLOOKUP(A291,TradesEquity!$1:$1048576,13,FALSE))</f>
        <v>#N/A</v>
      </c>
      <c r="AJ291" s="347">
        <v>0</v>
      </c>
      <c r="AK291" s="347">
        <v>1</v>
      </c>
      <c r="AL291" s="346" t="e">
        <f>VLOOKUP(A291,TradesEquity!$1:$1048576,11,FALSE)</f>
        <v>#N/A</v>
      </c>
      <c r="AM291" s="347">
        <v>1</v>
      </c>
      <c r="AN291" s="346" t="e">
        <f>ABS(VLOOKUP(A291,TradesEquity!$1:$1048576,14,FALSE))</f>
        <v>#N/A</v>
      </c>
      <c r="AO291" s="346" t="e">
        <f>ABS(VLOOKUP(A291,TradesEquity!$1:$1048576,15,FALSE))</f>
        <v>#N/A</v>
      </c>
      <c r="AP291" s="348" t="e">
        <f>ABS(VLOOKUP(A291,TradesEquity!$1:$1048576,16,FALSE))</f>
        <v>#N/A</v>
      </c>
      <c r="AQ291" s="286">
        <v>0</v>
      </c>
      <c r="AR291" s="286">
        <v>0</v>
      </c>
      <c r="AS291" s="286">
        <v>0</v>
      </c>
      <c r="AT291" s="286">
        <v>0</v>
      </c>
      <c r="AU291" s="286">
        <v>0</v>
      </c>
      <c r="AV291" s="348" t="e">
        <f>ABS(VLOOKUP(A291,TradesEquity!$1:$1048576,18,FALSE))</f>
        <v>#N/A</v>
      </c>
      <c r="AW291" s="349">
        <v>0</v>
      </c>
      <c r="AX291" s="350">
        <v>4542</v>
      </c>
      <c r="AY291" s="351" t="s">
        <v>1959</v>
      </c>
      <c r="AZ291" s="352" t="e">
        <f>(VLOOKUP(A291,TradesEquity!$1:$1048576,29,FALSE))</f>
        <v>#N/A</v>
      </c>
      <c r="BA291" s="352" t="e">
        <f>(VLOOKUP(A291,TradesEquity!$1:$1048576,30,FALSE))</f>
        <v>#N/A</v>
      </c>
      <c r="BB291" s="352" t="e">
        <f>(VLOOKUP(A291,TradesEquity!$1:$1048576,31,FALSE))</f>
        <v>#N/A</v>
      </c>
      <c r="BC291" s="352" t="e">
        <f>(VLOOKUP(A291,TradesEquity!$1:$1048576,32,FALSE))</f>
        <v>#N/A</v>
      </c>
      <c r="BI291" s="352" t="e">
        <f>(VLOOKUP(A291,TradesEquity!$1:$1048576,38,FALSE))</f>
        <v>#N/A</v>
      </c>
      <c r="BJ291" s="352" t="e">
        <f>(VLOOKUP(A291,TradesEquity!$1:$1048576,39,FALSE))</f>
        <v>#N/A</v>
      </c>
      <c r="BK291" s="352" t="e">
        <f>(VLOOKUP(A291,TradesEquity!$1:$1048576,40,FALSE))</f>
        <v>#N/A</v>
      </c>
    </row>
    <row r="292" spans="4:63">
      <c r="D292" s="342" t="s">
        <v>1957</v>
      </c>
      <c r="F292" s="343" t="e">
        <f>VLOOKUP(A292,TradesEquity!$1:$1048576,2,FALSE)</f>
        <v>#N/A</v>
      </c>
      <c r="H292" s="343" t="e">
        <f>VLOOKUP(A292,TradesEquity!$1:$1048576,21,FALSE)</f>
        <v>#N/A</v>
      </c>
      <c r="I292" s="344" t="e">
        <f>IF(VLOOKUP(A292,TradesEquity!$1:$1048576,3,FALSE)="BUY","B","S")</f>
        <v>#N/A</v>
      </c>
      <c r="J292" s="344" t="e">
        <f>VLOOKUP(A292,TradesEquity!$1:$1048576,5,FALSE)</f>
        <v>#N/A</v>
      </c>
      <c r="K292" s="342" t="s">
        <v>19</v>
      </c>
      <c r="L292" s="345" t="s">
        <v>1958</v>
      </c>
      <c r="AE292" s="346" t="e">
        <f>VLOOKUP(A292,TradesEquity!$1:$1048576,10,FALSE)</f>
        <v>#N/A</v>
      </c>
      <c r="AF292" s="346" t="e">
        <f t="shared" si="14"/>
        <v>#N/A</v>
      </c>
      <c r="AG292" s="346" t="e">
        <f t="shared" si="15"/>
        <v>#N/A</v>
      </c>
      <c r="AH292" s="346" t="e">
        <f t="shared" si="16"/>
        <v>#N/A</v>
      </c>
      <c r="AI292" s="346" t="e">
        <f>ABS(VLOOKUP(A292,TradesEquity!$1:$1048576,13,FALSE))</f>
        <v>#N/A</v>
      </c>
      <c r="AJ292" s="347">
        <v>0</v>
      </c>
      <c r="AK292" s="347">
        <v>1</v>
      </c>
      <c r="AL292" s="346" t="e">
        <f>VLOOKUP(A292,TradesEquity!$1:$1048576,11,FALSE)</f>
        <v>#N/A</v>
      </c>
      <c r="AM292" s="347">
        <v>1</v>
      </c>
      <c r="AN292" s="346" t="e">
        <f>ABS(VLOOKUP(A292,TradesEquity!$1:$1048576,14,FALSE))</f>
        <v>#N/A</v>
      </c>
      <c r="AO292" s="346" t="e">
        <f>ABS(VLOOKUP(A292,TradesEquity!$1:$1048576,15,FALSE))</f>
        <v>#N/A</v>
      </c>
      <c r="AP292" s="348" t="e">
        <f>ABS(VLOOKUP(A292,TradesEquity!$1:$1048576,16,FALSE))</f>
        <v>#N/A</v>
      </c>
      <c r="AQ292" s="286">
        <v>0</v>
      </c>
      <c r="AR292" s="286">
        <v>0</v>
      </c>
      <c r="AS292" s="286">
        <v>0</v>
      </c>
      <c r="AT292" s="286">
        <v>0</v>
      </c>
      <c r="AU292" s="286">
        <v>0</v>
      </c>
      <c r="AV292" s="348" t="e">
        <f>ABS(VLOOKUP(A292,TradesEquity!$1:$1048576,18,FALSE))</f>
        <v>#N/A</v>
      </c>
      <c r="AW292" s="349">
        <v>0</v>
      </c>
      <c r="AX292" s="350">
        <v>4542</v>
      </c>
      <c r="AY292" s="351" t="s">
        <v>1959</v>
      </c>
      <c r="AZ292" s="352" t="e">
        <f>(VLOOKUP(A292,TradesEquity!$1:$1048576,29,FALSE))</f>
        <v>#N/A</v>
      </c>
      <c r="BA292" s="352" t="e">
        <f>(VLOOKUP(A292,TradesEquity!$1:$1048576,30,FALSE))</f>
        <v>#N/A</v>
      </c>
      <c r="BB292" s="352" t="e">
        <f>(VLOOKUP(A292,TradesEquity!$1:$1048576,31,FALSE))</f>
        <v>#N/A</v>
      </c>
      <c r="BC292" s="352" t="e">
        <f>(VLOOKUP(A292,TradesEquity!$1:$1048576,32,FALSE))</f>
        <v>#N/A</v>
      </c>
      <c r="BI292" s="352" t="e">
        <f>(VLOOKUP(A292,TradesEquity!$1:$1048576,38,FALSE))</f>
        <v>#N/A</v>
      </c>
      <c r="BJ292" s="352" t="e">
        <f>(VLOOKUP(A292,TradesEquity!$1:$1048576,39,FALSE))</f>
        <v>#N/A</v>
      </c>
      <c r="BK292" s="352" t="e">
        <f>(VLOOKUP(A292,TradesEquity!$1:$1048576,40,FALSE))</f>
        <v>#N/A</v>
      </c>
    </row>
    <row r="293" spans="4:63">
      <c r="D293" s="342" t="s">
        <v>1957</v>
      </c>
      <c r="F293" s="343" t="e">
        <f>VLOOKUP(A293,TradesEquity!$1:$1048576,2,FALSE)</f>
        <v>#N/A</v>
      </c>
      <c r="H293" s="343" t="e">
        <f>VLOOKUP(A293,TradesEquity!$1:$1048576,21,FALSE)</f>
        <v>#N/A</v>
      </c>
      <c r="I293" s="344" t="e">
        <f>IF(VLOOKUP(A293,TradesEquity!$1:$1048576,3,FALSE)="BUY","B","S")</f>
        <v>#N/A</v>
      </c>
      <c r="J293" s="344" t="e">
        <f>VLOOKUP(A293,TradesEquity!$1:$1048576,5,FALSE)</f>
        <v>#N/A</v>
      </c>
      <c r="K293" s="342" t="s">
        <v>19</v>
      </c>
      <c r="L293" s="345" t="s">
        <v>1958</v>
      </c>
      <c r="AE293" s="346" t="e">
        <f>VLOOKUP(A293,TradesEquity!$1:$1048576,10,FALSE)</f>
        <v>#N/A</v>
      </c>
      <c r="AF293" s="346" t="e">
        <f t="shared" si="14"/>
        <v>#N/A</v>
      </c>
      <c r="AG293" s="346" t="e">
        <f t="shared" si="15"/>
        <v>#N/A</v>
      </c>
      <c r="AH293" s="346" t="e">
        <f t="shared" si="16"/>
        <v>#N/A</v>
      </c>
      <c r="AI293" s="346" t="e">
        <f>ABS(VLOOKUP(A293,TradesEquity!$1:$1048576,13,FALSE))</f>
        <v>#N/A</v>
      </c>
      <c r="AJ293" s="347">
        <v>0</v>
      </c>
      <c r="AK293" s="347">
        <v>1</v>
      </c>
      <c r="AL293" s="346" t="e">
        <f>VLOOKUP(A293,TradesEquity!$1:$1048576,11,FALSE)</f>
        <v>#N/A</v>
      </c>
      <c r="AM293" s="347">
        <v>1</v>
      </c>
      <c r="AN293" s="346" t="e">
        <f>ABS(VLOOKUP(A293,TradesEquity!$1:$1048576,14,FALSE))</f>
        <v>#N/A</v>
      </c>
      <c r="AO293" s="346" t="e">
        <f>ABS(VLOOKUP(A293,TradesEquity!$1:$1048576,15,FALSE))</f>
        <v>#N/A</v>
      </c>
      <c r="AP293" s="348" t="e">
        <f>ABS(VLOOKUP(A293,TradesEquity!$1:$1048576,16,FALSE))</f>
        <v>#N/A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348" t="e">
        <f>ABS(VLOOKUP(A293,TradesEquity!$1:$1048576,18,FALSE))</f>
        <v>#N/A</v>
      </c>
      <c r="AW293" s="349">
        <v>0</v>
      </c>
      <c r="AX293" s="350">
        <v>4542</v>
      </c>
      <c r="AY293" s="351" t="s">
        <v>1959</v>
      </c>
      <c r="AZ293" s="352" t="e">
        <f>(VLOOKUP(A293,TradesEquity!$1:$1048576,29,FALSE))</f>
        <v>#N/A</v>
      </c>
      <c r="BA293" s="352" t="e">
        <f>(VLOOKUP(A293,TradesEquity!$1:$1048576,30,FALSE))</f>
        <v>#N/A</v>
      </c>
      <c r="BB293" s="352" t="e">
        <f>(VLOOKUP(A293,TradesEquity!$1:$1048576,31,FALSE))</f>
        <v>#N/A</v>
      </c>
      <c r="BC293" s="352" t="e">
        <f>(VLOOKUP(A293,TradesEquity!$1:$1048576,32,FALSE))</f>
        <v>#N/A</v>
      </c>
      <c r="BI293" s="352" t="e">
        <f>(VLOOKUP(A293,TradesEquity!$1:$1048576,38,FALSE))</f>
        <v>#N/A</v>
      </c>
      <c r="BJ293" s="352" t="e">
        <f>(VLOOKUP(A293,TradesEquity!$1:$1048576,39,FALSE))</f>
        <v>#N/A</v>
      </c>
      <c r="BK293" s="352" t="e">
        <f>(VLOOKUP(A293,TradesEquity!$1:$1048576,40,FALSE))</f>
        <v>#N/A</v>
      </c>
    </row>
    <row r="294" spans="4:63">
      <c r="D294" s="342" t="s">
        <v>1957</v>
      </c>
      <c r="F294" s="343" t="e">
        <f>VLOOKUP(A294,TradesEquity!$1:$1048576,2,FALSE)</f>
        <v>#N/A</v>
      </c>
      <c r="H294" s="343" t="e">
        <f>VLOOKUP(A294,TradesEquity!$1:$1048576,21,FALSE)</f>
        <v>#N/A</v>
      </c>
      <c r="I294" s="344" t="e">
        <f>IF(VLOOKUP(A294,TradesEquity!$1:$1048576,3,FALSE)="BUY","B","S")</f>
        <v>#N/A</v>
      </c>
      <c r="J294" s="344" t="e">
        <f>VLOOKUP(A294,TradesEquity!$1:$1048576,5,FALSE)</f>
        <v>#N/A</v>
      </c>
      <c r="K294" s="342" t="s">
        <v>19</v>
      </c>
      <c r="L294" s="345" t="s">
        <v>1958</v>
      </c>
      <c r="AE294" s="346" t="e">
        <f>VLOOKUP(A294,TradesEquity!$1:$1048576,10,FALSE)</f>
        <v>#N/A</v>
      </c>
      <c r="AF294" s="346" t="e">
        <f t="shared" si="14"/>
        <v>#N/A</v>
      </c>
      <c r="AG294" s="346" t="e">
        <f t="shared" si="15"/>
        <v>#N/A</v>
      </c>
      <c r="AH294" s="346" t="e">
        <f t="shared" si="16"/>
        <v>#N/A</v>
      </c>
      <c r="AI294" s="346" t="e">
        <f>ABS(VLOOKUP(A294,TradesEquity!$1:$1048576,13,FALSE))</f>
        <v>#N/A</v>
      </c>
      <c r="AJ294" s="347">
        <v>0</v>
      </c>
      <c r="AK294" s="347">
        <v>1</v>
      </c>
      <c r="AL294" s="346" t="e">
        <f>VLOOKUP(A294,TradesEquity!$1:$1048576,11,FALSE)</f>
        <v>#N/A</v>
      </c>
      <c r="AM294" s="347">
        <v>1</v>
      </c>
      <c r="AN294" s="346" t="e">
        <f>ABS(VLOOKUP(A294,TradesEquity!$1:$1048576,14,FALSE))</f>
        <v>#N/A</v>
      </c>
      <c r="AO294" s="346" t="e">
        <f>ABS(VLOOKUP(A294,TradesEquity!$1:$1048576,15,FALSE))</f>
        <v>#N/A</v>
      </c>
      <c r="AP294" s="348" t="e">
        <f>ABS(VLOOKUP(A294,TradesEquity!$1:$1048576,16,FALSE))</f>
        <v>#N/A</v>
      </c>
      <c r="AQ294" s="286">
        <v>0</v>
      </c>
      <c r="AR294" s="286">
        <v>0</v>
      </c>
      <c r="AS294" s="286">
        <v>0</v>
      </c>
      <c r="AT294" s="286">
        <v>0</v>
      </c>
      <c r="AU294" s="286">
        <v>0</v>
      </c>
      <c r="AV294" s="348" t="e">
        <f>ABS(VLOOKUP(A294,TradesEquity!$1:$1048576,18,FALSE))</f>
        <v>#N/A</v>
      </c>
      <c r="AW294" s="349">
        <v>0</v>
      </c>
      <c r="AX294" s="350">
        <v>4542</v>
      </c>
      <c r="AY294" s="351" t="s">
        <v>1959</v>
      </c>
      <c r="AZ294" s="352" t="e">
        <f>(VLOOKUP(A294,TradesEquity!$1:$1048576,29,FALSE))</f>
        <v>#N/A</v>
      </c>
      <c r="BA294" s="352" t="e">
        <f>(VLOOKUP(A294,TradesEquity!$1:$1048576,30,FALSE))</f>
        <v>#N/A</v>
      </c>
      <c r="BB294" s="352" t="e">
        <f>(VLOOKUP(A294,TradesEquity!$1:$1048576,31,FALSE))</f>
        <v>#N/A</v>
      </c>
      <c r="BC294" s="352" t="e">
        <f>(VLOOKUP(A294,TradesEquity!$1:$1048576,32,FALSE))</f>
        <v>#N/A</v>
      </c>
      <c r="BI294" s="352" t="e">
        <f>(VLOOKUP(A294,TradesEquity!$1:$1048576,38,FALSE))</f>
        <v>#N/A</v>
      </c>
      <c r="BJ294" s="352" t="e">
        <f>(VLOOKUP(A294,TradesEquity!$1:$1048576,39,FALSE))</f>
        <v>#N/A</v>
      </c>
      <c r="BK294" s="352" t="e">
        <f>(VLOOKUP(A294,TradesEquity!$1:$1048576,40,FALSE))</f>
        <v>#N/A</v>
      </c>
    </row>
    <row r="295" spans="4:63">
      <c r="D295" s="342" t="s">
        <v>1957</v>
      </c>
      <c r="F295" s="343" t="e">
        <f>VLOOKUP(A295,TradesEquity!$1:$1048576,2,FALSE)</f>
        <v>#N/A</v>
      </c>
      <c r="H295" s="343" t="e">
        <f>VLOOKUP(A295,TradesEquity!$1:$1048576,21,FALSE)</f>
        <v>#N/A</v>
      </c>
      <c r="I295" s="344" t="e">
        <f>IF(VLOOKUP(A295,TradesEquity!$1:$1048576,3,FALSE)="BUY","B","S")</f>
        <v>#N/A</v>
      </c>
      <c r="J295" s="344" t="e">
        <f>VLOOKUP(A295,TradesEquity!$1:$1048576,5,FALSE)</f>
        <v>#N/A</v>
      </c>
      <c r="K295" s="342" t="s">
        <v>19</v>
      </c>
      <c r="L295" s="345" t="s">
        <v>1958</v>
      </c>
      <c r="AE295" s="346" t="e">
        <f>VLOOKUP(A295,TradesEquity!$1:$1048576,10,FALSE)</f>
        <v>#N/A</v>
      </c>
      <c r="AF295" s="346" t="e">
        <f t="shared" si="14"/>
        <v>#N/A</v>
      </c>
      <c r="AG295" s="346" t="e">
        <f t="shared" si="15"/>
        <v>#N/A</v>
      </c>
      <c r="AH295" s="346" t="e">
        <f t="shared" si="16"/>
        <v>#N/A</v>
      </c>
      <c r="AI295" s="346" t="e">
        <f>ABS(VLOOKUP(A295,TradesEquity!$1:$1048576,13,FALSE))</f>
        <v>#N/A</v>
      </c>
      <c r="AJ295" s="347">
        <v>0</v>
      </c>
      <c r="AK295" s="347">
        <v>1</v>
      </c>
      <c r="AL295" s="346" t="e">
        <f>VLOOKUP(A295,TradesEquity!$1:$1048576,11,FALSE)</f>
        <v>#N/A</v>
      </c>
      <c r="AM295" s="347">
        <v>1</v>
      </c>
      <c r="AN295" s="346" t="e">
        <f>ABS(VLOOKUP(A295,TradesEquity!$1:$1048576,14,FALSE))</f>
        <v>#N/A</v>
      </c>
      <c r="AO295" s="346" t="e">
        <f>ABS(VLOOKUP(A295,TradesEquity!$1:$1048576,15,FALSE))</f>
        <v>#N/A</v>
      </c>
      <c r="AP295" s="348" t="e">
        <f>ABS(VLOOKUP(A295,TradesEquity!$1:$1048576,16,FALSE))</f>
        <v>#N/A</v>
      </c>
      <c r="AQ295" s="286">
        <v>0</v>
      </c>
      <c r="AR295" s="286">
        <v>0</v>
      </c>
      <c r="AS295" s="286">
        <v>0</v>
      </c>
      <c r="AT295" s="286">
        <v>0</v>
      </c>
      <c r="AU295" s="286">
        <v>0</v>
      </c>
      <c r="AV295" s="348" t="e">
        <f>ABS(VLOOKUP(A295,TradesEquity!$1:$1048576,18,FALSE))</f>
        <v>#N/A</v>
      </c>
      <c r="AW295" s="349">
        <v>0</v>
      </c>
      <c r="AX295" s="350">
        <v>4542</v>
      </c>
      <c r="AY295" s="351" t="s">
        <v>1959</v>
      </c>
      <c r="AZ295" s="352" t="e">
        <f>(VLOOKUP(A295,TradesEquity!$1:$1048576,29,FALSE))</f>
        <v>#N/A</v>
      </c>
      <c r="BA295" s="352" t="e">
        <f>(VLOOKUP(A295,TradesEquity!$1:$1048576,30,FALSE))</f>
        <v>#N/A</v>
      </c>
      <c r="BB295" s="352" t="e">
        <f>(VLOOKUP(A295,TradesEquity!$1:$1048576,31,FALSE))</f>
        <v>#N/A</v>
      </c>
      <c r="BC295" s="352" t="e">
        <f>(VLOOKUP(A295,TradesEquity!$1:$1048576,32,FALSE))</f>
        <v>#N/A</v>
      </c>
      <c r="BI295" s="352" t="e">
        <f>(VLOOKUP(A295,TradesEquity!$1:$1048576,38,FALSE))</f>
        <v>#N/A</v>
      </c>
      <c r="BJ295" s="352" t="e">
        <f>(VLOOKUP(A295,TradesEquity!$1:$1048576,39,FALSE))</f>
        <v>#N/A</v>
      </c>
      <c r="BK295" s="352" t="e">
        <f>(VLOOKUP(A295,TradesEquity!$1:$1048576,40,FALSE))</f>
        <v>#N/A</v>
      </c>
    </row>
    <row r="296" spans="4:63">
      <c r="D296" s="342" t="s">
        <v>1957</v>
      </c>
      <c r="F296" s="343" t="e">
        <f>VLOOKUP(A296,TradesEquity!$1:$1048576,2,FALSE)</f>
        <v>#N/A</v>
      </c>
      <c r="H296" s="343" t="e">
        <f>VLOOKUP(A296,TradesEquity!$1:$1048576,21,FALSE)</f>
        <v>#N/A</v>
      </c>
      <c r="I296" s="344" t="e">
        <f>IF(VLOOKUP(A296,TradesEquity!$1:$1048576,3,FALSE)="BUY","B","S")</f>
        <v>#N/A</v>
      </c>
      <c r="J296" s="344" t="e">
        <f>VLOOKUP(A296,TradesEquity!$1:$1048576,5,FALSE)</f>
        <v>#N/A</v>
      </c>
      <c r="K296" s="342" t="s">
        <v>19</v>
      </c>
      <c r="L296" s="345" t="s">
        <v>1958</v>
      </c>
      <c r="AE296" s="346" t="e">
        <f>VLOOKUP(A296,TradesEquity!$1:$1048576,10,FALSE)</f>
        <v>#N/A</v>
      </c>
      <c r="AF296" s="346" t="e">
        <f t="shared" si="14"/>
        <v>#N/A</v>
      </c>
      <c r="AG296" s="346" t="e">
        <f t="shared" si="15"/>
        <v>#N/A</v>
      </c>
      <c r="AH296" s="346" t="e">
        <f t="shared" si="16"/>
        <v>#N/A</v>
      </c>
      <c r="AI296" s="346" t="e">
        <f>ABS(VLOOKUP(A296,TradesEquity!$1:$1048576,13,FALSE))</f>
        <v>#N/A</v>
      </c>
      <c r="AJ296" s="347">
        <v>0</v>
      </c>
      <c r="AK296" s="347">
        <v>1</v>
      </c>
      <c r="AL296" s="346" t="e">
        <f>VLOOKUP(A296,TradesEquity!$1:$1048576,11,FALSE)</f>
        <v>#N/A</v>
      </c>
      <c r="AM296" s="347">
        <v>1</v>
      </c>
      <c r="AN296" s="346" t="e">
        <f>ABS(VLOOKUP(A296,TradesEquity!$1:$1048576,14,FALSE))</f>
        <v>#N/A</v>
      </c>
      <c r="AO296" s="346" t="e">
        <f>ABS(VLOOKUP(A296,TradesEquity!$1:$1048576,15,FALSE))</f>
        <v>#N/A</v>
      </c>
      <c r="AP296" s="348" t="e">
        <f>ABS(VLOOKUP(A296,TradesEquity!$1:$1048576,16,FALSE))</f>
        <v>#N/A</v>
      </c>
      <c r="AQ296" s="286">
        <v>0</v>
      </c>
      <c r="AR296" s="286">
        <v>0</v>
      </c>
      <c r="AS296" s="286">
        <v>0</v>
      </c>
      <c r="AT296" s="286">
        <v>0</v>
      </c>
      <c r="AU296" s="286">
        <v>0</v>
      </c>
      <c r="AV296" s="348" t="e">
        <f>ABS(VLOOKUP(A296,TradesEquity!$1:$1048576,18,FALSE))</f>
        <v>#N/A</v>
      </c>
      <c r="AW296" s="349">
        <v>0</v>
      </c>
      <c r="AX296" s="350">
        <v>4542</v>
      </c>
      <c r="AY296" s="351" t="s">
        <v>1959</v>
      </c>
      <c r="AZ296" s="352" t="e">
        <f>(VLOOKUP(A296,TradesEquity!$1:$1048576,29,FALSE))</f>
        <v>#N/A</v>
      </c>
      <c r="BA296" s="352" t="e">
        <f>(VLOOKUP(A296,TradesEquity!$1:$1048576,30,FALSE))</f>
        <v>#N/A</v>
      </c>
      <c r="BB296" s="352" t="e">
        <f>(VLOOKUP(A296,TradesEquity!$1:$1048576,31,FALSE))</f>
        <v>#N/A</v>
      </c>
      <c r="BC296" s="352" t="e">
        <f>(VLOOKUP(A296,TradesEquity!$1:$1048576,32,FALSE))</f>
        <v>#N/A</v>
      </c>
      <c r="BI296" s="352" t="e">
        <f>(VLOOKUP(A296,TradesEquity!$1:$1048576,38,FALSE))</f>
        <v>#N/A</v>
      </c>
      <c r="BJ296" s="352" t="e">
        <f>(VLOOKUP(A296,TradesEquity!$1:$1048576,39,FALSE))</f>
        <v>#N/A</v>
      </c>
      <c r="BK296" s="352" t="e">
        <f>(VLOOKUP(A296,TradesEquity!$1:$1048576,40,FALSE))</f>
        <v>#N/A</v>
      </c>
    </row>
    <row r="297" spans="4:63">
      <c r="D297" s="342" t="s">
        <v>1957</v>
      </c>
      <c r="F297" s="343" t="e">
        <f>VLOOKUP(A297,TradesEquity!$1:$1048576,2,FALSE)</f>
        <v>#N/A</v>
      </c>
      <c r="H297" s="343" t="e">
        <f>VLOOKUP(A297,TradesEquity!$1:$1048576,21,FALSE)</f>
        <v>#N/A</v>
      </c>
      <c r="I297" s="344" t="e">
        <f>IF(VLOOKUP(A297,TradesEquity!$1:$1048576,3,FALSE)="BUY","B","S")</f>
        <v>#N/A</v>
      </c>
      <c r="J297" s="344" t="e">
        <f>VLOOKUP(A297,TradesEquity!$1:$1048576,5,FALSE)</f>
        <v>#N/A</v>
      </c>
      <c r="K297" s="342" t="s">
        <v>19</v>
      </c>
      <c r="L297" s="345" t="s">
        <v>1958</v>
      </c>
      <c r="AE297" s="346" t="e">
        <f>VLOOKUP(A297,TradesEquity!$1:$1048576,10,FALSE)</f>
        <v>#N/A</v>
      </c>
      <c r="AF297" s="346" t="e">
        <f t="shared" ref="AF297:AH298" si="17">AE297</f>
        <v>#N/A</v>
      </c>
      <c r="AG297" s="346" t="e">
        <f t="shared" si="17"/>
        <v>#N/A</v>
      </c>
      <c r="AH297" s="346" t="e">
        <f t="shared" si="17"/>
        <v>#N/A</v>
      </c>
      <c r="AI297" s="346" t="e">
        <f>ABS(VLOOKUP(A297,TradesEquity!$1:$1048576,13,FALSE))</f>
        <v>#N/A</v>
      </c>
      <c r="AJ297" s="347">
        <v>0</v>
      </c>
      <c r="AK297" s="347">
        <v>1</v>
      </c>
      <c r="AL297" s="346" t="e">
        <f>VLOOKUP(A297,TradesEquity!$1:$1048576,11,FALSE)</f>
        <v>#N/A</v>
      </c>
      <c r="AM297" s="347">
        <v>1</v>
      </c>
      <c r="AN297" s="346" t="e">
        <f>ABS(VLOOKUP(A297,TradesEquity!$1:$1048576,14,FALSE))</f>
        <v>#N/A</v>
      </c>
      <c r="AO297" s="346" t="e">
        <f>ABS(VLOOKUP(A297,TradesEquity!$1:$1048576,15,FALSE))</f>
        <v>#N/A</v>
      </c>
      <c r="AP297" s="348" t="e">
        <f>ABS(VLOOKUP(A297,TradesEquity!$1:$1048576,16,FALSE))</f>
        <v>#N/A</v>
      </c>
      <c r="AQ297" s="286">
        <v>0</v>
      </c>
      <c r="AR297" s="286">
        <v>0</v>
      </c>
      <c r="AS297" s="286">
        <v>0</v>
      </c>
      <c r="AT297" s="286">
        <v>0</v>
      </c>
      <c r="AU297" s="286">
        <v>0</v>
      </c>
      <c r="AV297" s="348" t="e">
        <f>ABS(VLOOKUP(A297,TradesEquity!$1:$1048576,18,FALSE))</f>
        <v>#N/A</v>
      </c>
      <c r="AW297" s="349">
        <v>0</v>
      </c>
      <c r="AX297" s="350">
        <v>4542</v>
      </c>
      <c r="AY297" s="351" t="s">
        <v>1959</v>
      </c>
      <c r="AZ297" s="352" t="e">
        <f>(VLOOKUP(A297,TradesEquity!$1:$1048576,29,FALSE))</f>
        <v>#N/A</v>
      </c>
      <c r="BA297" s="352" t="e">
        <f>(VLOOKUP(A297,TradesEquity!$1:$1048576,30,FALSE))</f>
        <v>#N/A</v>
      </c>
      <c r="BB297" s="352" t="e">
        <f>(VLOOKUP(A297,TradesEquity!$1:$1048576,31,FALSE))</f>
        <v>#N/A</v>
      </c>
      <c r="BC297" s="352" t="e">
        <f>(VLOOKUP(A297,TradesEquity!$1:$1048576,32,FALSE))</f>
        <v>#N/A</v>
      </c>
      <c r="BI297" s="352" t="e">
        <f>(VLOOKUP(A297,TradesEquity!$1:$1048576,38,FALSE))</f>
        <v>#N/A</v>
      </c>
      <c r="BJ297" s="352" t="e">
        <f>(VLOOKUP(A297,TradesEquity!$1:$1048576,39,FALSE))</f>
        <v>#N/A</v>
      </c>
      <c r="BK297" s="352" t="e">
        <f>(VLOOKUP(A297,TradesEquity!$1:$1048576,40,FALSE))</f>
        <v>#N/A</v>
      </c>
    </row>
    <row r="298" spans="4:63">
      <c r="D298" s="342" t="s">
        <v>1957</v>
      </c>
      <c r="F298" s="343" t="e">
        <f>VLOOKUP(A298,TradesEquity!$1:$1048576,2,FALSE)</f>
        <v>#N/A</v>
      </c>
      <c r="H298" s="343" t="e">
        <f>VLOOKUP(A298,TradesEquity!$1:$1048576,21,FALSE)</f>
        <v>#N/A</v>
      </c>
      <c r="I298" s="344" t="e">
        <f>IF(VLOOKUP(A298,TradesEquity!$1:$1048576,3,FALSE)="BUY","B","S")</f>
        <v>#N/A</v>
      </c>
      <c r="J298" s="344" t="e">
        <f>VLOOKUP(A298,TradesEquity!$1:$1048576,5,FALSE)</f>
        <v>#N/A</v>
      </c>
      <c r="K298" s="342" t="s">
        <v>19</v>
      </c>
      <c r="L298" s="345" t="s">
        <v>1958</v>
      </c>
      <c r="AE298" s="346" t="e">
        <f>VLOOKUP(A298,TradesEquity!$1:$1048576,10,FALSE)</f>
        <v>#N/A</v>
      </c>
      <c r="AF298" s="346" t="e">
        <f t="shared" si="17"/>
        <v>#N/A</v>
      </c>
      <c r="AG298" s="346" t="e">
        <f t="shared" si="17"/>
        <v>#N/A</v>
      </c>
      <c r="AH298" s="346" t="e">
        <f t="shared" si="17"/>
        <v>#N/A</v>
      </c>
      <c r="AI298" s="346" t="e">
        <f>ABS(VLOOKUP(A298,TradesEquity!$1:$1048576,13,FALSE))</f>
        <v>#N/A</v>
      </c>
      <c r="AJ298" s="347">
        <v>0</v>
      </c>
      <c r="AK298" s="347">
        <v>1</v>
      </c>
      <c r="AL298" s="346" t="e">
        <f>VLOOKUP(A298,TradesEquity!$1:$1048576,11,FALSE)</f>
        <v>#N/A</v>
      </c>
      <c r="AM298" s="347">
        <v>1</v>
      </c>
      <c r="AN298" s="346" t="e">
        <f>ABS(VLOOKUP(A298,TradesEquity!$1:$1048576,14,FALSE))</f>
        <v>#N/A</v>
      </c>
      <c r="AO298" s="346" t="e">
        <f>ABS(VLOOKUP(A298,TradesEquity!$1:$1048576,15,FALSE))</f>
        <v>#N/A</v>
      </c>
      <c r="AP298" s="348" t="e">
        <f>ABS(VLOOKUP(A298,TradesEquity!$1:$1048576,16,FALSE))</f>
        <v>#N/A</v>
      </c>
      <c r="AQ298" s="286">
        <v>0</v>
      </c>
      <c r="AR298" s="286">
        <v>0</v>
      </c>
      <c r="AS298" s="286">
        <v>0</v>
      </c>
      <c r="AT298" s="286">
        <v>0</v>
      </c>
      <c r="AU298" s="286">
        <v>0</v>
      </c>
      <c r="AV298" s="348" t="e">
        <f>ABS(VLOOKUP(A298,TradesEquity!$1:$1048576,18,FALSE))</f>
        <v>#N/A</v>
      </c>
      <c r="AW298" s="349">
        <v>0</v>
      </c>
      <c r="AX298" s="350">
        <v>4542</v>
      </c>
      <c r="AY298" s="351" t="s">
        <v>1959</v>
      </c>
      <c r="AZ298" s="352" t="e">
        <f>(VLOOKUP(A298,TradesEquity!$1:$1048576,29,FALSE))</f>
        <v>#N/A</v>
      </c>
      <c r="BA298" s="352" t="e">
        <f>(VLOOKUP(A298,TradesEquity!$1:$1048576,30,FALSE))</f>
        <v>#N/A</v>
      </c>
      <c r="BB298" s="352" t="e">
        <f>(VLOOKUP(A298,TradesEquity!$1:$1048576,31,FALSE))</f>
        <v>#N/A</v>
      </c>
      <c r="BC298" s="352" t="e">
        <f>(VLOOKUP(A298,TradesEquity!$1:$1048576,32,FALSE))</f>
        <v>#N/A</v>
      </c>
      <c r="BI298" s="352" t="e">
        <f>(VLOOKUP(A298,TradesEquity!$1:$1048576,38,FALSE))</f>
        <v>#N/A</v>
      </c>
      <c r="BJ298" s="352" t="e">
        <f>(VLOOKUP(A298,TradesEquity!$1:$1048576,39,FALSE))</f>
        <v>#N/A</v>
      </c>
      <c r="BK298" s="352" t="e">
        <f>(VLOOKUP(A298,TradesEquity!$1:$1048576,40,FALSE))</f>
        <v>#N/A</v>
      </c>
    </row>
  </sheetData>
  <conditionalFormatting sqref="N21:O21">
    <cfRule type="expression" dxfId="12" priority="3">
      <formula>#REF!="SELL"</formula>
    </cfRule>
  </conditionalFormatting>
  <conditionalFormatting sqref="N21:O22">
    <cfRule type="expression" dxfId="11" priority="4">
      <formula>#REF!="SELL"</formula>
    </cfRule>
  </conditionalFormatting>
  <conditionalFormatting sqref="N22:O22">
    <cfRule type="expression" dxfId="10" priority="5">
      <formula>#REF!="SELL"</formula>
    </cfRule>
  </conditionalFormatting>
  <conditionalFormatting sqref="N23:O23">
    <cfRule type="expression" dxfId="9" priority="6">
      <formula>#REF!="SELL"</formula>
    </cfRule>
  </conditionalFormatting>
  <conditionalFormatting sqref="N23:O23">
    <cfRule type="expression" dxfId="8" priority="7">
      <formula>#REF!="SELL"</formula>
    </cfRule>
  </conditionalFormatting>
  <conditionalFormatting sqref="N24:O24">
    <cfRule type="expression" dxfId="7" priority="8">
      <formula>#REF!="SELL"</formula>
    </cfRule>
  </conditionalFormatting>
  <conditionalFormatting sqref="N26:O26 N25">
    <cfRule type="expression" dxfId="6" priority="9">
      <formula>#REF!="SELL"</formula>
    </cfRule>
  </conditionalFormatting>
  <conditionalFormatting sqref="N26:O26">
    <cfRule type="expression" dxfId="5" priority="10">
      <formula>#REF!="SELL"</formula>
    </cfRule>
  </conditionalFormatting>
  <conditionalFormatting sqref="N25 N21:O24">
    <cfRule type="expression" dxfId="4" priority="11">
      <formula>#REF!="SELL"</formula>
    </cfRule>
  </conditionalFormatting>
  <conditionalFormatting sqref="N26:O27">
    <cfRule type="expression" dxfId="3" priority="12">
      <formula>#REF!="SELL"</formula>
    </cfRule>
  </conditionalFormatting>
  <conditionalFormatting sqref="N28:O28">
    <cfRule type="expression" dxfId="2" priority="13">
      <formula>#REF!="SELL"</formula>
    </cfRule>
  </conditionalFormatting>
  <conditionalFormatting sqref="N20:O20">
    <cfRule type="expression" dxfId="1" priority="2">
      <formula>#REF!="SELL"</formula>
    </cfRule>
  </conditionalFormatting>
  <conditionalFormatting sqref="N29:O29">
    <cfRule type="expression" dxfId="0" priority="1">
      <formula>#REF!="SELL"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depositary">
                <anchor moveWithCells="1" sizeWithCells="1">
                  <from>
                    <xdr:col>4</xdr:col>
                    <xdr:colOff>1066800</xdr:colOff>
                    <xdr:row>21</xdr:row>
                    <xdr:rowOff>107950</xdr:rowOff>
                  </from>
                  <to>
                    <xdr:col>8</xdr:col>
                    <xdr:colOff>571500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ClearContentsDepositary">
                <anchor moveWithCells="1" sizeWithCells="1">
                  <from>
                    <xdr:col>4</xdr:col>
                    <xdr:colOff>1098550</xdr:colOff>
                    <xdr:row>25</xdr:row>
                    <xdr:rowOff>57150</xdr:rowOff>
                  </from>
                  <to>
                    <xdr:col>8</xdr:col>
                    <xdr:colOff>590550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35C60-BE9E-4254-874D-7693508B6118}">
  <sheetPr codeName="Sheet4"/>
  <dimension ref="A1:BM303"/>
  <sheetViews>
    <sheetView topLeftCell="BG283" workbookViewId="0">
      <selection activeCell="A301" sqref="A301:BM302"/>
    </sheetView>
  </sheetViews>
  <sheetFormatPr defaultRowHeight="14.5"/>
  <cols>
    <col min="1" max="1" width="14.81640625" customWidth="1"/>
    <col min="2" max="2" width="13.81640625" bestFit="1" customWidth="1"/>
    <col min="3" max="3" width="8.81640625" bestFit="1" customWidth="1"/>
    <col min="4" max="4" width="9.26953125" bestFit="1" customWidth="1"/>
    <col min="5" max="5" width="21.81640625" bestFit="1" customWidth="1"/>
    <col min="6" max="6" width="12" bestFit="1" customWidth="1"/>
    <col min="7" max="7" width="11.54296875" bestFit="1" customWidth="1"/>
    <col min="8" max="8" width="10.54296875" bestFit="1" customWidth="1"/>
    <col min="10" max="10" width="20.26953125" bestFit="1" customWidth="1"/>
    <col min="11" max="11" width="21.54296875" bestFit="1" customWidth="1"/>
    <col min="12" max="12" width="14.7265625" bestFit="1" customWidth="1"/>
    <col min="13" max="13" width="14.1796875" bestFit="1" customWidth="1"/>
    <col min="14" max="14" width="20.7265625" bestFit="1" customWidth="1"/>
    <col min="15" max="15" width="19.26953125" bestFit="1" customWidth="1"/>
    <col min="16" max="16" width="7.26953125" bestFit="1" customWidth="1"/>
    <col min="17" max="17" width="12.453125" bestFit="1" customWidth="1"/>
    <col min="18" max="18" width="14.7265625" bestFit="1" customWidth="1"/>
    <col min="19" max="19" width="11.54296875" bestFit="1" customWidth="1"/>
    <col min="20" max="20" width="15" bestFit="1" customWidth="1"/>
    <col min="21" max="21" width="20.81640625" bestFit="1" customWidth="1"/>
    <col min="22" max="22" width="13.1796875" bestFit="1" customWidth="1"/>
    <col min="23" max="23" width="12.1796875" bestFit="1" customWidth="1"/>
    <col min="24" max="24" width="10.26953125" bestFit="1" customWidth="1"/>
    <col min="25" max="25" width="10.81640625" bestFit="1" customWidth="1"/>
    <col min="26" max="26" width="5.26953125" bestFit="1" customWidth="1"/>
    <col min="27" max="27" width="5.453125" bestFit="1" customWidth="1"/>
    <col min="28" max="28" width="6.26953125" bestFit="1" customWidth="1"/>
    <col min="29" max="29" width="13.81640625" bestFit="1" customWidth="1"/>
    <col min="30" max="30" width="7.26953125" bestFit="1" customWidth="1"/>
    <col min="31" max="31" width="12.453125" bestFit="1" customWidth="1"/>
    <col min="32" max="32" width="15" bestFit="1" customWidth="1"/>
    <col min="33" max="33" width="10.7265625" bestFit="1" customWidth="1"/>
    <col min="34" max="34" width="14.54296875" bestFit="1" customWidth="1"/>
    <col min="35" max="35" width="9.54296875" bestFit="1" customWidth="1"/>
    <col min="36" max="36" width="14.54296875" bestFit="1" customWidth="1"/>
    <col min="37" max="37" width="12.7265625" bestFit="1" customWidth="1"/>
    <col min="38" max="38" width="9.54296875" bestFit="1" customWidth="1"/>
    <col min="39" max="39" width="11.1796875" bestFit="1" customWidth="1"/>
    <col min="40" max="40" width="14" bestFit="1" customWidth="1"/>
    <col min="41" max="41" width="15.26953125" bestFit="1" customWidth="1"/>
    <col min="42" max="42" width="11.54296875" bestFit="1" customWidth="1"/>
    <col min="43" max="43" width="9.26953125" bestFit="1" customWidth="1"/>
    <col min="44" max="44" width="11.26953125" bestFit="1" customWidth="1"/>
    <col min="45" max="45" width="8.81640625" bestFit="1" customWidth="1"/>
    <col min="46" max="46" width="11.1796875" bestFit="1" customWidth="1"/>
    <col min="47" max="47" width="9.453125" bestFit="1" customWidth="1"/>
    <col min="48" max="48" width="12.1796875" bestFit="1" customWidth="1"/>
    <col min="49" max="49" width="17.54296875" bestFit="1" customWidth="1"/>
    <col min="50" max="50" width="9.26953125" bestFit="1" customWidth="1"/>
    <col min="51" max="51" width="14.453125" bestFit="1" customWidth="1"/>
    <col min="52" max="52" width="18.7265625" bestFit="1" customWidth="1"/>
    <col min="53" max="53" width="14.1796875" bestFit="1" customWidth="1"/>
    <col min="54" max="54" width="24.54296875" bestFit="1" customWidth="1"/>
    <col min="55" max="55" width="8.26953125" bestFit="1" customWidth="1"/>
    <col min="56" max="56" width="28.7265625" bestFit="1" customWidth="1"/>
    <col min="57" max="57" width="29" bestFit="1" customWidth="1"/>
    <col min="58" max="58" width="32" bestFit="1" customWidth="1"/>
    <col min="59" max="59" width="26.1796875" bestFit="1" customWidth="1"/>
    <col min="60" max="60" width="22" bestFit="1" customWidth="1"/>
    <col min="61" max="61" width="19.453125" bestFit="1" customWidth="1"/>
    <col min="62" max="62" width="20.26953125" bestFit="1" customWidth="1"/>
    <col min="63" max="63" width="13.81640625" bestFit="1" customWidth="1"/>
    <col min="64" max="64" width="9.54296875" bestFit="1" customWidth="1"/>
    <col min="65" max="65" width="12.81640625" bestFit="1" customWidth="1"/>
  </cols>
  <sheetData>
    <row r="1" spans="1:65">
      <c r="A1" s="340" t="s">
        <v>1908</v>
      </c>
      <c r="B1" s="328" t="s">
        <v>1909</v>
      </c>
      <c r="C1" s="328" t="s">
        <v>1910</v>
      </c>
      <c r="D1" s="374" t="s">
        <v>1911</v>
      </c>
      <c r="E1" s="328" t="s">
        <v>1912</v>
      </c>
      <c r="F1" s="339" t="s">
        <v>1913</v>
      </c>
      <c r="G1" s="328" t="s">
        <v>1914</v>
      </c>
      <c r="H1" s="339" t="s">
        <v>1915</v>
      </c>
      <c r="I1" s="340" t="s">
        <v>1916</v>
      </c>
      <c r="J1" s="340" t="s">
        <v>1917</v>
      </c>
      <c r="K1" s="374" t="s">
        <v>1918</v>
      </c>
      <c r="L1" s="374" t="s">
        <v>1919</v>
      </c>
      <c r="M1" s="328" t="s">
        <v>1697</v>
      </c>
      <c r="N1" s="328" t="s">
        <v>1920</v>
      </c>
      <c r="O1" s="328" t="s">
        <v>1921</v>
      </c>
      <c r="P1" s="328" t="s">
        <v>1922</v>
      </c>
      <c r="Q1" s="328" t="s">
        <v>1923</v>
      </c>
      <c r="R1" s="328" t="s">
        <v>1924</v>
      </c>
      <c r="S1" s="328" t="s">
        <v>1925</v>
      </c>
      <c r="T1" s="328" t="s">
        <v>1926</v>
      </c>
      <c r="U1" s="328" t="s">
        <v>1927</v>
      </c>
      <c r="V1" s="328" t="s">
        <v>1928</v>
      </c>
      <c r="W1" s="328" t="s">
        <v>1929</v>
      </c>
      <c r="X1" s="328" t="s">
        <v>1930</v>
      </c>
      <c r="Y1" s="328" t="s">
        <v>1931</v>
      </c>
      <c r="Z1" s="328" t="s">
        <v>186</v>
      </c>
      <c r="AA1" s="328" t="s">
        <v>1932</v>
      </c>
      <c r="AB1" s="328" t="s">
        <v>1933</v>
      </c>
      <c r="AC1" s="328" t="s">
        <v>1934</v>
      </c>
      <c r="AD1" s="328" t="s">
        <v>1935</v>
      </c>
      <c r="AE1" s="340" t="s">
        <v>1936</v>
      </c>
      <c r="AF1" s="340" t="s">
        <v>1937</v>
      </c>
      <c r="AG1" s="340" t="s">
        <v>1938</v>
      </c>
      <c r="AH1" s="340" t="s">
        <v>1939</v>
      </c>
      <c r="AI1" s="340" t="s">
        <v>1940</v>
      </c>
      <c r="AJ1" s="374" t="s">
        <v>1941</v>
      </c>
      <c r="AK1" s="374" t="s">
        <v>1942</v>
      </c>
      <c r="AL1" s="340" t="s">
        <v>1943</v>
      </c>
      <c r="AM1" s="374" t="s">
        <v>1944</v>
      </c>
      <c r="AN1" s="340" t="s">
        <v>1945</v>
      </c>
      <c r="AO1" s="340" t="s">
        <v>1946</v>
      </c>
      <c r="AP1" s="340" t="s">
        <v>1947</v>
      </c>
      <c r="AQ1" s="328" t="s">
        <v>1948</v>
      </c>
      <c r="AR1" s="328" t="s">
        <v>1949</v>
      </c>
      <c r="AS1" s="328" t="s">
        <v>1950</v>
      </c>
      <c r="AT1" s="328" t="s">
        <v>1951</v>
      </c>
      <c r="AU1" s="328" t="s">
        <v>1952</v>
      </c>
      <c r="AV1" s="340" t="s">
        <v>1953</v>
      </c>
      <c r="AW1" s="341" t="s">
        <v>1954</v>
      </c>
      <c r="AX1" s="341" t="s">
        <v>1955</v>
      </c>
      <c r="AY1" s="341" t="s">
        <v>1956</v>
      </c>
      <c r="AZ1" s="328" t="s">
        <v>1779</v>
      </c>
      <c r="BA1" s="328" t="s">
        <v>1697</v>
      </c>
      <c r="BB1" s="328" t="s">
        <v>1780</v>
      </c>
      <c r="BC1" s="328" t="s">
        <v>1781</v>
      </c>
      <c r="BD1" s="328" t="s">
        <v>1782</v>
      </c>
      <c r="BE1" s="328" t="s">
        <v>1783</v>
      </c>
      <c r="BF1" s="328" t="s">
        <v>1784</v>
      </c>
      <c r="BG1" s="328" t="s">
        <v>1785</v>
      </c>
      <c r="BH1" s="328" t="s">
        <v>1786</v>
      </c>
      <c r="BI1" s="328" t="s">
        <v>1787</v>
      </c>
      <c r="BJ1" s="328" t="s">
        <v>1788</v>
      </c>
      <c r="BK1" s="328" t="s">
        <v>1789</v>
      </c>
      <c r="BL1" s="328" t="s">
        <v>1790</v>
      </c>
      <c r="BM1" s="328" t="s">
        <v>1791</v>
      </c>
    </row>
    <row r="2" spans="1:65" s="327" customFormat="1" ht="13">
      <c r="A2" s="353">
        <v>2019200231</v>
      </c>
      <c r="D2" s="342" t="s">
        <v>1957</v>
      </c>
      <c r="F2" s="343">
        <f>VLOOKUP(A2,TradesEquity!$1:$1048576,2,FALSE)</f>
        <v>43854</v>
      </c>
      <c r="H2" s="343">
        <f>VLOOKUP(A2,TradesEquity!$1:$1048576,21,FALSE)</f>
        <v>43858</v>
      </c>
      <c r="I2" s="344" t="str">
        <f>IF(VLOOKUP(A2,TradesEquity!$1:$1048576,3,FALSE)="BUY","B","S")</f>
        <v>B</v>
      </c>
      <c r="J2" s="344" t="str">
        <f>VLOOKUP(A2,TradesEquity!$1:$1048576,5,FALSE)</f>
        <v>GB0000456144</v>
      </c>
      <c r="K2" s="342" t="s">
        <v>19</v>
      </c>
      <c r="L2" s="345" t="s">
        <v>1958</v>
      </c>
      <c r="AE2" s="346" t="str">
        <f>VLOOKUP(A2,TradesEquity!$1:$1048576,10,FALSE)</f>
        <v>GBp</v>
      </c>
      <c r="AF2" s="346" t="str">
        <f>AE2</f>
        <v>GBp</v>
      </c>
      <c r="AG2" s="346" t="str">
        <f t="shared" ref="AG2:AH12" si="0">AF2</f>
        <v>GBp</v>
      </c>
      <c r="AH2" s="346" t="str">
        <f t="shared" si="0"/>
        <v>GBp</v>
      </c>
      <c r="AI2" s="346">
        <f>ABS(VLOOKUP(A2,TradesEquity!$1:$1048576,13,FALSE))</f>
        <v>4800</v>
      </c>
      <c r="AJ2" s="347">
        <v>0</v>
      </c>
      <c r="AK2" s="347">
        <v>1</v>
      </c>
      <c r="AL2" s="346">
        <f>VLOOKUP(A2,TradesEquity!$1:$1048576,11,FALSE)</f>
        <v>8.7573000000000008</v>
      </c>
      <c r="AM2" s="347">
        <v>1</v>
      </c>
      <c r="AN2" s="346">
        <f>ABS(VLOOKUP(A2,TradesEquity!$1:$1048576,14,FALSE))</f>
        <v>42035.040000000001</v>
      </c>
      <c r="AO2" s="346">
        <f>ABS(VLOOKUP(A2,TradesEquity!$1:$1048576,15,FALSE))</f>
        <v>25.22</v>
      </c>
      <c r="AP2" s="348">
        <f>ABS(VLOOKUP(A2,TradesEquity!$1:$1048576,16,FALSE))</f>
        <v>211.2</v>
      </c>
      <c r="AQ2" s="286">
        <v>0</v>
      </c>
      <c r="AR2" s="286">
        <v>0</v>
      </c>
      <c r="AS2" s="286">
        <v>0</v>
      </c>
      <c r="AT2" s="286">
        <v>0</v>
      </c>
      <c r="AU2" s="286">
        <v>0</v>
      </c>
      <c r="AV2" s="348">
        <f>ABS(VLOOKUP(A2,TradesEquity!$1:$1048576,18,FALSE))</f>
        <v>42271.46</v>
      </c>
      <c r="AW2" s="349">
        <v>0</v>
      </c>
      <c r="AX2" s="350">
        <v>4542</v>
      </c>
      <c r="AY2" s="351" t="s">
        <v>1959</v>
      </c>
      <c r="AZ2" s="352" t="e">
        <f>(VLOOKUP(A2,TradesEquity!$1:$1048576,29,FALSE))</f>
        <v>#N/A</v>
      </c>
      <c r="BA2" s="352" t="e">
        <f>(VLOOKUP(A2,TradesEquity!$1:$1048576,30,FALSE))</f>
        <v>#N/A</v>
      </c>
      <c r="BB2" s="352" t="e">
        <f>(VLOOKUP(A2,TradesEquity!$1:$1048576,31,FALSE))</f>
        <v>#N/A</v>
      </c>
      <c r="BC2" s="352" t="e">
        <f>(VLOOKUP(A2,TradesEquity!$1:$1048576,32,FALSE))</f>
        <v>#N/A</v>
      </c>
      <c r="BD2" s="352"/>
      <c r="BE2" s="352"/>
      <c r="BF2" s="352"/>
      <c r="BG2" s="352"/>
      <c r="BH2" s="352"/>
      <c r="BI2" s="375" t="e">
        <f>(VLOOKUP(A2,TradesEquity!$1:$1048576,38,FALSE))</f>
        <v>#N/A</v>
      </c>
      <c r="BJ2" s="375" t="e">
        <f>(VLOOKUP(A2,TradesEquity!$1:$1048576,39,FALSE))</f>
        <v>#N/A</v>
      </c>
      <c r="BK2" s="352" t="e">
        <f>(VLOOKUP(A2,TradesEquity!$1:$1048576,40,FALSE))</f>
        <v>#N/A</v>
      </c>
      <c r="BL2" s="352"/>
      <c r="BM2" s="352"/>
    </row>
    <row r="3" spans="1:65">
      <c r="A3" s="353">
        <v>2019200232</v>
      </c>
      <c r="D3" s="342" t="s">
        <v>1957</v>
      </c>
      <c r="F3" s="343">
        <f>VLOOKUP(A3,TradesEquity!$1:$1048576,2,FALSE)</f>
        <v>43854</v>
      </c>
      <c r="H3" s="343">
        <f>VLOOKUP(A3,TradesEquity!$1:$1048576,21,FALSE)</f>
        <v>43858</v>
      </c>
      <c r="I3" s="344" t="str">
        <f>IF(VLOOKUP(A3,TradesEquity!$1:$1048576,3,FALSE)="BUY","B","S")</f>
        <v>B</v>
      </c>
      <c r="J3" s="344" t="str">
        <f>VLOOKUP(A3,TradesEquity!$1:$1048576,5,FALSE)</f>
        <v>FR0000131906</v>
      </c>
      <c r="K3" s="342" t="s">
        <v>19</v>
      </c>
      <c r="L3" s="345" t="s">
        <v>1958</v>
      </c>
      <c r="AE3" s="346" t="str">
        <f>VLOOKUP(A3,TradesEquity!$1:$1048576,10,FALSE)</f>
        <v>EUR</v>
      </c>
      <c r="AF3" s="346" t="str">
        <f t="shared" ref="AF3:AH59" si="1">AE3</f>
        <v>EUR</v>
      </c>
      <c r="AG3" s="346" t="str">
        <f t="shared" si="0"/>
        <v>EUR</v>
      </c>
      <c r="AH3" s="346" t="str">
        <f t="shared" si="0"/>
        <v>EUR</v>
      </c>
      <c r="AI3" s="346">
        <f>ABS(VLOOKUP(A3,TradesEquity!$1:$1048576,13,FALSE))</f>
        <v>1100</v>
      </c>
      <c r="AJ3" s="347">
        <v>0</v>
      </c>
      <c r="AK3" s="347">
        <v>1</v>
      </c>
      <c r="AL3" s="346">
        <f>VLOOKUP(A3,TradesEquity!$1:$1048576,11,FALSE)</f>
        <v>36.413049999999998</v>
      </c>
      <c r="AM3" s="347">
        <v>1</v>
      </c>
      <c r="AN3" s="346">
        <f>ABS(VLOOKUP(A3,TradesEquity!$1:$1048576,14,FALSE))</f>
        <v>40054.354999999996</v>
      </c>
      <c r="AO3" s="346">
        <f>ABS(VLOOKUP(A3,TradesEquity!$1:$1048576,15,FALSE))</f>
        <v>12.02</v>
      </c>
      <c r="AP3" s="348">
        <f>ABS(VLOOKUP(A3,TradesEquity!$1:$1048576,16,FALSE))</f>
        <v>120.16</v>
      </c>
      <c r="AQ3" s="286">
        <v>0</v>
      </c>
      <c r="AR3" s="286">
        <v>0</v>
      </c>
      <c r="AS3" s="286">
        <v>0</v>
      </c>
      <c r="AT3" s="286">
        <v>0</v>
      </c>
      <c r="AU3" s="286">
        <v>0</v>
      </c>
      <c r="AV3" s="348">
        <f>ABS(VLOOKUP(A3,TradesEquity!$1:$1048576,18,FALSE))</f>
        <v>40186.534999999996</v>
      </c>
      <c r="AW3" s="349">
        <v>0</v>
      </c>
      <c r="AX3" s="350">
        <v>4542</v>
      </c>
      <c r="AY3" s="351" t="s">
        <v>1959</v>
      </c>
      <c r="AZ3" s="352" t="str">
        <f>(VLOOKUP(A3,TradesEquity!$1:$1048576,29,FALSE))</f>
        <v>GSILGB2XXXX</v>
      </c>
      <c r="BA3" s="352" t="str">
        <f>(VLOOKUP(A3,TradesEquity!$1:$1048576,30,FALSE))</f>
        <v>SICVFRPPXXX</v>
      </c>
      <c r="BB3" s="352" t="str">
        <f>(VLOOKUP(A3,TradesEquity!$1:$1048576,31,FALSE))</f>
        <v>SICVPARBFRPPXXX000L10</v>
      </c>
      <c r="BC3" s="352" t="str">
        <f>(VLOOKUP(A3,TradesEquity!$1:$1048576,32,FALSE))</f>
        <v>N</v>
      </c>
      <c r="BI3" s="375"/>
      <c r="BJ3" s="375"/>
      <c r="BK3" s="352" t="str">
        <f>(VLOOKUP(A3,TradesEquity!$1:$1048576,40,FALSE))</f>
        <v>PARBFRPPXXX</v>
      </c>
    </row>
    <row r="4" spans="1:65">
      <c r="A4" s="353">
        <v>2019200233</v>
      </c>
      <c r="D4" s="342" t="s">
        <v>1957</v>
      </c>
      <c r="F4" s="343">
        <f>VLOOKUP(A4,TradesEquity!$1:$1048576,2,FALSE)</f>
        <v>43854</v>
      </c>
      <c r="H4" s="343">
        <f>VLOOKUP(A4,TradesEquity!$1:$1048576,21,FALSE)</f>
        <v>43858</v>
      </c>
      <c r="I4" s="344" t="str">
        <f>IF(VLOOKUP(A4,TradesEquity!$1:$1048576,3,FALSE)="BUY","B","S")</f>
        <v>B</v>
      </c>
      <c r="J4" s="344" t="str">
        <f>VLOOKUP(A4,TradesEquity!$1:$1048576,5,FALSE)</f>
        <v>JE00B4T3BW64</v>
      </c>
      <c r="K4" s="342" t="s">
        <v>19</v>
      </c>
      <c r="L4" s="345" t="s">
        <v>1958</v>
      </c>
      <c r="AE4" s="346" t="str">
        <f>VLOOKUP(A4,TradesEquity!$1:$1048576,10,FALSE)</f>
        <v>GBp</v>
      </c>
      <c r="AF4" s="346" t="str">
        <f t="shared" si="1"/>
        <v>GBp</v>
      </c>
      <c r="AG4" s="346" t="str">
        <f t="shared" si="0"/>
        <v>GBp</v>
      </c>
      <c r="AH4" s="346" t="str">
        <f t="shared" si="0"/>
        <v>GBp</v>
      </c>
      <c r="AI4" s="346">
        <f>ABS(VLOOKUP(A4,TradesEquity!$1:$1048576,13,FALSE))</f>
        <v>17000</v>
      </c>
      <c r="AJ4" s="347">
        <v>0</v>
      </c>
      <c r="AK4" s="347">
        <v>1</v>
      </c>
      <c r="AL4" s="346">
        <f>VLOOKUP(A4,TradesEquity!$1:$1048576,11,FALSE)</f>
        <v>2.30457</v>
      </c>
      <c r="AM4" s="347">
        <v>1</v>
      </c>
      <c r="AN4" s="346">
        <f>ABS(VLOOKUP(A4,TradesEquity!$1:$1048576,14,FALSE))</f>
        <v>39177.69</v>
      </c>
      <c r="AO4" s="346">
        <f>ABS(VLOOKUP(A4,TradesEquity!$1:$1048576,15,FALSE))</f>
        <v>12.75</v>
      </c>
      <c r="AP4" s="348">
        <f>ABS(VLOOKUP(A4,TradesEquity!$1:$1048576,16,FALSE))</f>
        <v>0</v>
      </c>
      <c r="AQ4" s="286">
        <v>0</v>
      </c>
      <c r="AR4" s="286">
        <v>0</v>
      </c>
      <c r="AS4" s="286">
        <v>0</v>
      </c>
      <c r="AT4" s="286">
        <v>0</v>
      </c>
      <c r="AU4" s="286">
        <v>0</v>
      </c>
      <c r="AV4" s="348">
        <f>ABS(VLOOKUP(A4,TradesEquity!$1:$1048576,18,FALSE))</f>
        <v>39190.44</v>
      </c>
      <c r="AW4" s="349">
        <v>0</v>
      </c>
      <c r="AX4" s="350">
        <v>4542</v>
      </c>
      <c r="AY4" s="351" t="s">
        <v>1959</v>
      </c>
      <c r="AZ4" s="352" t="str">
        <f>(VLOOKUP(A4,TradesEquity!$1:$1048576,29,FALSE))</f>
        <v>GSILGB2XXXX</v>
      </c>
      <c r="BA4" s="352" t="str">
        <f>(VLOOKUP(A4,TradesEquity!$1:$1048576,30,FALSE))</f>
        <v>CRSTGB22</v>
      </c>
      <c r="BB4" s="352"/>
      <c r="BC4" s="352" t="str">
        <f>(VLOOKUP(A4,TradesEquity!$1:$1048576,32,FALSE))</f>
        <v>N</v>
      </c>
      <c r="BI4" s="375" t="str">
        <f>(VLOOKUP(A4,TradesEquity!$1:$1048576,38,FALSE))</f>
        <v>CRST</v>
      </c>
      <c r="BJ4" s="375">
        <f>(VLOOKUP(A4,TradesEquity!$1:$1048576,39,FALSE))</f>
        <v>303</v>
      </c>
      <c r="BK4" s="352" t="str">
        <f>(VLOOKUP(A4,TradesEquity!$1:$1048576,40,FALSE))</f>
        <v>GSILGB2XXXX</v>
      </c>
    </row>
    <row r="5" spans="1:65">
      <c r="A5" s="353">
        <v>2019200234</v>
      </c>
      <c r="D5" s="342" t="s">
        <v>1957</v>
      </c>
      <c r="F5" s="343">
        <f>VLOOKUP(A5,TradesEquity!$1:$1048576,2,FALSE)</f>
        <v>43854</v>
      </c>
      <c r="H5" s="343">
        <f>VLOOKUP(A5,TradesEquity!$1:$1048576,21,FALSE)</f>
        <v>43858</v>
      </c>
      <c r="I5" s="344" t="str">
        <f>IF(VLOOKUP(A5,TradesEquity!$1:$1048576,3,FALSE)="BUY","B","S")</f>
        <v>B</v>
      </c>
      <c r="J5" s="344" t="str">
        <f>VLOOKUP(A5,TradesEquity!$1:$1048576,5,FALSE)</f>
        <v>US3843135084</v>
      </c>
      <c r="K5" s="342" t="s">
        <v>19</v>
      </c>
      <c r="L5" s="345" t="s">
        <v>1958</v>
      </c>
      <c r="AE5" s="346" t="str">
        <f>VLOOKUP(A5,TradesEquity!$1:$1048576,10,FALSE)</f>
        <v>USD</v>
      </c>
      <c r="AF5" s="346" t="str">
        <f t="shared" si="1"/>
        <v>USD</v>
      </c>
      <c r="AG5" s="346" t="str">
        <f t="shared" si="0"/>
        <v>USD</v>
      </c>
      <c r="AH5" s="346" t="str">
        <f t="shared" si="0"/>
        <v>USD</v>
      </c>
      <c r="AI5" s="346">
        <f>ABS(VLOOKUP(A5,TradesEquity!$1:$1048576,13,FALSE))</f>
        <v>4200</v>
      </c>
      <c r="AJ5" s="347">
        <v>0</v>
      </c>
      <c r="AK5" s="347">
        <v>1</v>
      </c>
      <c r="AL5" s="346">
        <f>VLOOKUP(A5,TradesEquity!$1:$1048576,11,FALSE)</f>
        <v>11.164400000000001</v>
      </c>
      <c r="AM5" s="347">
        <v>1</v>
      </c>
      <c r="AN5" s="346">
        <f>ABS(VLOOKUP(A5,TradesEquity!$1:$1048576,14,FALSE))</f>
        <v>46890.48</v>
      </c>
      <c r="AO5" s="346">
        <f>ABS(VLOOKUP(A5,TradesEquity!$1:$1048576,15,FALSE))</f>
        <v>23.45</v>
      </c>
      <c r="AP5" s="348">
        <f>ABS(VLOOKUP(A5,TradesEquity!$1:$1048576,16,FALSE))</f>
        <v>0</v>
      </c>
      <c r="AQ5" s="286">
        <v>0</v>
      </c>
      <c r="AR5" s="286">
        <v>0</v>
      </c>
      <c r="AS5" s="286">
        <v>0</v>
      </c>
      <c r="AT5" s="286">
        <v>0</v>
      </c>
      <c r="AU5" s="286">
        <v>0</v>
      </c>
      <c r="AV5" s="348">
        <f>ABS(VLOOKUP(A5,TradesEquity!$1:$1048576,18,FALSE))</f>
        <v>46913.93</v>
      </c>
      <c r="AW5" s="349">
        <v>0</v>
      </c>
      <c r="AX5" s="350">
        <v>4542</v>
      </c>
      <c r="AY5" s="351" t="s">
        <v>1959</v>
      </c>
      <c r="AZ5" s="352" t="str">
        <f>(VLOOKUP(A5,TradesEquity!$1:$1048576,29,FALSE))</f>
        <v>GSILGB2XXXX</v>
      </c>
      <c r="BA5" s="352" t="str">
        <f>(VLOOKUP(A5,TradesEquity!$1:$1048576,30,FALSE))</f>
        <v>DTCYUS33</v>
      </c>
      <c r="BB5" s="352"/>
      <c r="BC5" s="352" t="str">
        <f>(VLOOKUP(A5,TradesEquity!$1:$1048576,32,FALSE))</f>
        <v>N</v>
      </c>
      <c r="BI5" s="375" t="str">
        <f>(VLOOKUP(A5,TradesEquity!$1:$1048576,38,FALSE))</f>
        <v>DTCYID</v>
      </c>
      <c r="BJ5" s="375">
        <f>(VLOOKUP(A5,TradesEquity!$1:$1048576,39,FALSE))</f>
        <v>5208</v>
      </c>
      <c r="BK5" s="352"/>
    </row>
    <row r="6" spans="1:65">
      <c r="A6" s="353">
        <v>2019200235</v>
      </c>
      <c r="D6" s="342" t="s">
        <v>1957</v>
      </c>
      <c r="F6" s="343">
        <f>VLOOKUP(A6,TradesEquity!$1:$1048576,2,FALSE)</f>
        <v>43857</v>
      </c>
      <c r="H6" s="343">
        <f>VLOOKUP(A6,TradesEquity!$1:$1048576,21,FALSE)</f>
        <v>43859</v>
      </c>
      <c r="I6" s="344" t="str">
        <f>IF(VLOOKUP(A6,TradesEquity!$1:$1048576,3,FALSE)="BUY","B","S")</f>
        <v>B</v>
      </c>
      <c r="J6" s="344" t="str">
        <f>VLOOKUP(A6,TradesEquity!$1:$1048576,5,FALSE)</f>
        <v>JP3402600005</v>
      </c>
      <c r="K6" s="342" t="s">
        <v>19</v>
      </c>
      <c r="L6" s="345" t="s">
        <v>1958</v>
      </c>
      <c r="AE6" s="346" t="str">
        <f>VLOOKUP(A6,TradesEquity!$1:$1048576,10,FALSE)</f>
        <v>JPY</v>
      </c>
      <c r="AF6" s="346" t="str">
        <f t="shared" si="1"/>
        <v>JPY</v>
      </c>
      <c r="AG6" s="346" t="str">
        <f t="shared" si="0"/>
        <v>JPY</v>
      </c>
      <c r="AH6" s="346" t="str">
        <f t="shared" si="0"/>
        <v>JPY</v>
      </c>
      <c r="AI6" s="346">
        <f>ABS(VLOOKUP(A6,TradesEquity!$1:$1048576,13,FALSE))</f>
        <v>3300</v>
      </c>
      <c r="AJ6" s="347">
        <v>0</v>
      </c>
      <c r="AK6" s="347">
        <v>1</v>
      </c>
      <c r="AL6" s="346">
        <f>VLOOKUP(A6,TradesEquity!$1:$1048576,11,FALSE)</f>
        <v>3208.88042</v>
      </c>
      <c r="AM6" s="347">
        <v>1</v>
      </c>
      <c r="AN6" s="346">
        <f>ABS(VLOOKUP(A6,TradesEquity!$1:$1048576,14,FALSE))</f>
        <v>10589305.386</v>
      </c>
      <c r="AO6" s="346">
        <f>ABS(VLOOKUP(A6,TradesEquity!$1:$1048576,15,FALSE))</f>
        <v>3177</v>
      </c>
      <c r="AP6" s="348">
        <f>ABS(VLOOKUP(A6,TradesEquity!$1:$1048576,16,FALSE))</f>
        <v>0</v>
      </c>
      <c r="AQ6" s="286">
        <v>0</v>
      </c>
      <c r="AR6" s="286">
        <v>0</v>
      </c>
      <c r="AS6" s="286">
        <v>0</v>
      </c>
      <c r="AT6" s="286">
        <v>0</v>
      </c>
      <c r="AU6" s="286">
        <v>0</v>
      </c>
      <c r="AV6" s="348">
        <f>ABS(VLOOKUP(A6,TradesEquity!$1:$1048576,18,FALSE))</f>
        <v>10592482.386</v>
      </c>
      <c r="AW6" s="349">
        <v>0</v>
      </c>
      <c r="AX6" s="350">
        <v>4542</v>
      </c>
      <c r="AY6" s="351" t="s">
        <v>1959</v>
      </c>
      <c r="AZ6" s="352" t="str">
        <f>(VLOOKUP(A6,TradesEquity!$1:$1048576,29,FALSE))</f>
        <v>GSILGB2XXXX</v>
      </c>
      <c r="BA6" s="352" t="str">
        <f>(VLOOKUP(A6,TradesEquity!$1:$1048576,30,FALSE))</f>
        <v>JJSDJPJTXXX</v>
      </c>
      <c r="BB6" s="352">
        <f>(VLOOKUP(A6,TradesEquity!$1:$1048576,31,FALSE))</f>
        <v>6530490016</v>
      </c>
      <c r="BC6" s="352" t="str">
        <f>(VLOOKUP(A6,TradesEquity!$1:$1048576,32,FALSE))</f>
        <v>N</v>
      </c>
      <c r="BI6" s="375"/>
      <c r="BJ6" s="375"/>
      <c r="BK6" s="352" t="str">
        <f>(VLOOKUP(A6,TradesEquity!$1:$1048576,40,FALSE))</f>
        <v>GOLDJPJXXXX</v>
      </c>
    </row>
    <row r="7" spans="1:65">
      <c r="A7" s="353">
        <v>2019200236</v>
      </c>
      <c r="D7" s="342" t="s">
        <v>1957</v>
      </c>
      <c r="F7" s="343">
        <f>VLOOKUP(A7,TradesEquity!$1:$1048576,2,FALSE)</f>
        <v>43857</v>
      </c>
      <c r="H7" s="343">
        <f>VLOOKUP(A7,TradesEquity!$1:$1048576,21,FALSE)</f>
        <v>43859</v>
      </c>
      <c r="I7" s="344" t="str">
        <f>IF(VLOOKUP(A7,TradesEquity!$1:$1048576,3,FALSE)="BUY","B","S")</f>
        <v>B</v>
      </c>
      <c r="J7" s="344" t="str">
        <f>VLOOKUP(A7,TradesEquity!$1:$1048576,5,FALSE)</f>
        <v>JP3866800000</v>
      </c>
      <c r="K7" s="342" t="s">
        <v>19</v>
      </c>
      <c r="L7" s="345" t="s">
        <v>1958</v>
      </c>
      <c r="AE7" s="346" t="str">
        <f>VLOOKUP(A7,TradesEquity!$1:$1048576,10,FALSE)</f>
        <v>JPY</v>
      </c>
      <c r="AF7" s="346" t="str">
        <f t="shared" si="1"/>
        <v>JPY</v>
      </c>
      <c r="AG7" s="346" t="str">
        <f t="shared" si="0"/>
        <v>JPY</v>
      </c>
      <c r="AH7" s="346" t="str">
        <f t="shared" si="0"/>
        <v>JPY</v>
      </c>
      <c r="AI7" s="346">
        <f>ABS(VLOOKUP(A7,TradesEquity!$1:$1048576,13,FALSE))</f>
        <v>4200</v>
      </c>
      <c r="AJ7" s="347">
        <v>0</v>
      </c>
      <c r="AK7" s="347">
        <v>1</v>
      </c>
      <c r="AL7" s="346">
        <f>VLOOKUP(A7,TradesEquity!$1:$1048576,11,FALSE)</f>
        <v>1104.7809500000001</v>
      </c>
      <c r="AM7" s="347">
        <v>1</v>
      </c>
      <c r="AN7" s="346">
        <f>ABS(VLOOKUP(A7,TradesEquity!$1:$1048576,14,FALSE))</f>
        <v>4640079.99</v>
      </c>
      <c r="AO7" s="346">
        <f>ABS(VLOOKUP(A7,TradesEquity!$1:$1048576,15,FALSE))</f>
        <v>1392</v>
      </c>
      <c r="AP7" s="348">
        <f>ABS(VLOOKUP(A7,TradesEquity!$1:$1048576,16,FALSE))</f>
        <v>0</v>
      </c>
      <c r="AQ7" s="286">
        <v>0</v>
      </c>
      <c r="AR7" s="286">
        <v>0</v>
      </c>
      <c r="AS7" s="286">
        <v>0</v>
      </c>
      <c r="AT7" s="286">
        <v>0</v>
      </c>
      <c r="AU7" s="286">
        <v>0</v>
      </c>
      <c r="AV7" s="348">
        <f>ABS(VLOOKUP(A7,TradesEquity!$1:$1048576,18,FALSE))</f>
        <v>4641471.99</v>
      </c>
      <c r="AW7" s="349">
        <v>0</v>
      </c>
      <c r="AX7" s="350">
        <v>4542</v>
      </c>
      <c r="AY7" s="351" t="s">
        <v>1959</v>
      </c>
      <c r="AZ7" s="352" t="str">
        <f>(VLOOKUP(A7,TradesEquity!$1:$1048576,29,FALSE))</f>
        <v>GSILGB2XXXX</v>
      </c>
      <c r="BA7" s="352" t="str">
        <f>(VLOOKUP(A7,TradesEquity!$1:$1048576,30,FALSE))</f>
        <v>JJSDJPJTXXX</v>
      </c>
      <c r="BB7" s="352">
        <f>(VLOOKUP(A7,TradesEquity!$1:$1048576,31,FALSE))</f>
        <v>6530490016</v>
      </c>
      <c r="BC7" s="352" t="str">
        <f>(VLOOKUP(A7,TradesEquity!$1:$1048576,32,FALSE))</f>
        <v>N</v>
      </c>
      <c r="BI7" s="375"/>
      <c r="BJ7" s="375"/>
      <c r="BK7" s="352" t="str">
        <f>(VLOOKUP(A7,TradesEquity!$1:$1048576,40,FALSE))</f>
        <v>GOLDJPJXXXX</v>
      </c>
    </row>
    <row r="8" spans="1:65">
      <c r="A8" s="376">
        <v>2019200237</v>
      </c>
      <c r="D8" s="342" t="s">
        <v>1957</v>
      </c>
      <c r="F8" s="343">
        <f>VLOOKUP(A8,TradesEquity!$1:$1048576,2,FALSE)</f>
        <v>43858</v>
      </c>
      <c r="H8" s="343">
        <f>VLOOKUP(A8,TradesEquity!$1:$1048576,21,FALSE)</f>
        <v>43860</v>
      </c>
      <c r="I8" s="344" t="str">
        <f>IF(VLOOKUP(A8,TradesEquity!$1:$1048576,3,FALSE)="BUY","B","S")</f>
        <v>B</v>
      </c>
      <c r="J8" s="344" t="str">
        <f>VLOOKUP(A8,TradesEquity!$1:$1048576,5,FALSE)</f>
        <v>AU000000WSA9</v>
      </c>
      <c r="K8" s="342" t="s">
        <v>19</v>
      </c>
      <c r="L8" s="345" t="s">
        <v>1958</v>
      </c>
      <c r="AE8" s="346" t="str">
        <f>VLOOKUP(A8,TradesEquity!$1:$1048576,10,FALSE)</f>
        <v>AUD</v>
      </c>
      <c r="AF8" s="346" t="str">
        <f t="shared" si="1"/>
        <v>AUD</v>
      </c>
      <c r="AG8" s="346" t="str">
        <f t="shared" si="0"/>
        <v>AUD</v>
      </c>
      <c r="AH8" s="346" t="str">
        <f t="shared" si="0"/>
        <v>AUD</v>
      </c>
      <c r="AI8" s="346">
        <f>ABS(VLOOKUP(A8,TradesEquity!$1:$1048576,13,FALSE))</f>
        <v>22000</v>
      </c>
      <c r="AJ8" s="347">
        <v>0</v>
      </c>
      <c r="AK8" s="347">
        <v>1</v>
      </c>
      <c r="AL8" s="346">
        <f>VLOOKUP(A8,TradesEquity!$1:$1048576,11,FALSE)</f>
        <v>2.6299700000000001</v>
      </c>
      <c r="AM8" s="347">
        <v>1</v>
      </c>
      <c r="AN8" s="346">
        <f>ABS(VLOOKUP(A8,TradesEquity!$1:$1048576,14,FALSE))</f>
        <v>57859.340000000004</v>
      </c>
      <c r="AO8" s="346">
        <f>ABS(VLOOKUP(A8,TradesEquity!$1:$1048576,15,FALSE))</f>
        <v>17.36</v>
      </c>
      <c r="AP8" s="348">
        <f>ABS(VLOOKUP(A8,TradesEquity!$1:$1048576,16,FALSE))</f>
        <v>0</v>
      </c>
      <c r="AQ8" s="286">
        <v>0</v>
      </c>
      <c r="AR8" s="286">
        <v>0</v>
      </c>
      <c r="AS8" s="286">
        <v>0</v>
      </c>
      <c r="AT8" s="286">
        <v>0</v>
      </c>
      <c r="AU8" s="286">
        <v>0</v>
      </c>
      <c r="AV8" s="348">
        <f>ABS(VLOOKUP(A8,TradesEquity!$1:$1048576,18,FALSE))</f>
        <v>57876.700000000004</v>
      </c>
      <c r="AW8" s="349">
        <v>0</v>
      </c>
      <c r="AX8" s="350">
        <v>4542</v>
      </c>
      <c r="AY8" s="351" t="s">
        <v>1959</v>
      </c>
      <c r="AZ8" s="352" t="str">
        <f>(VLOOKUP(A8,TradesEquity!$1:$1048576,29,FALSE))</f>
        <v>GSILGB2XXXX</v>
      </c>
      <c r="BA8" s="352" t="str">
        <f>(VLOOKUP(A8,TradesEquity!$1:$1048576,30,FALSE))</f>
        <v>CAETAU21</v>
      </c>
      <c r="BB8" s="352" t="str">
        <f>(VLOOKUP(A8,TradesEquity!$1:$1048576,31,FALSE))</f>
        <v>011-109048-061</v>
      </c>
      <c r="BC8" s="352" t="str">
        <f>(VLOOKUP(A8,TradesEquity!$1:$1048576,32,FALSE))</f>
        <v>N</v>
      </c>
      <c r="BI8" s="375" t="str">
        <f>(VLOOKUP(A8,TradesEquity!$1:$1048576,38,FALSE))</f>
        <v xml:space="preserve">        </v>
      </c>
      <c r="BJ8" s="375" t="str">
        <f>(VLOOKUP(A8,TradesEquity!$1:$1048576,39,FALSE))</f>
        <v xml:space="preserve">        </v>
      </c>
      <c r="BK8" s="352" t="str">
        <f>(VLOOKUP(A8,TradesEquity!$1:$1048576,40,FALSE))</f>
        <v>HKBAAU2SSYD</v>
      </c>
    </row>
    <row r="9" spans="1:65" ht="16.5">
      <c r="A9" s="376">
        <v>2019200238</v>
      </c>
      <c r="D9" s="342" t="s">
        <v>1957</v>
      </c>
      <c r="F9" s="343">
        <f>VLOOKUP(A9,TradesEquity!$1:$1048576,2,FALSE)</f>
        <v>43858</v>
      </c>
      <c r="H9" s="343">
        <f>VLOOKUP(A9,TradesEquity!$1:$1048576,21,FALSE)</f>
        <v>43860</v>
      </c>
      <c r="I9" s="344" t="str">
        <f>IF(VLOOKUP(A9,TradesEquity!$1:$1048576,3,FALSE)="BUY","B","S")</f>
        <v>B</v>
      </c>
      <c r="J9" s="344" t="str">
        <f>VLOOKUP(A9,TradesEquity!$1:$1048576,5,FALSE)</f>
        <v>JP3544000007</v>
      </c>
      <c r="K9" s="342" t="s">
        <v>19</v>
      </c>
      <c r="L9" s="345" t="s">
        <v>1958</v>
      </c>
      <c r="AE9" s="346" t="str">
        <f>VLOOKUP(A9,TradesEquity!$1:$1048576,10,FALSE)</f>
        <v>JPY</v>
      </c>
      <c r="AF9" s="346" t="str">
        <f t="shared" si="1"/>
        <v>JPY</v>
      </c>
      <c r="AG9" s="346" t="str">
        <f t="shared" si="0"/>
        <v>JPY</v>
      </c>
      <c r="AH9" s="346" t="str">
        <f t="shared" si="0"/>
        <v>JPY</v>
      </c>
      <c r="AI9" s="346">
        <f>ABS(VLOOKUP(A9,TradesEquity!$1:$1048576,13,FALSE))</f>
        <v>2200</v>
      </c>
      <c r="AJ9" s="347">
        <v>0</v>
      </c>
      <c r="AK9" s="347">
        <v>1</v>
      </c>
      <c r="AL9" s="346">
        <f>VLOOKUP(A9,TradesEquity!$1:$1048576,11,FALSE)</f>
        <v>1955.3227300000001</v>
      </c>
      <c r="AM9" s="347">
        <v>1</v>
      </c>
      <c r="AN9" s="346">
        <f>ABS(VLOOKUP(A9,TradesEquity!$1:$1048576,14,FALSE))</f>
        <v>4301710.0060000001</v>
      </c>
      <c r="AO9" s="346">
        <f>ABS(VLOOKUP(A9,TradesEquity!$1:$1048576,15,FALSE))</f>
        <v>1291</v>
      </c>
      <c r="AP9" s="348">
        <f>ABS(VLOOKUP(A9,TradesEquity!$1:$1048576,16,FALSE))</f>
        <v>0</v>
      </c>
      <c r="AQ9" s="286">
        <v>0</v>
      </c>
      <c r="AR9" s="286">
        <v>0</v>
      </c>
      <c r="AS9" s="286">
        <v>0</v>
      </c>
      <c r="AT9" s="286">
        <v>0</v>
      </c>
      <c r="AU9" s="286">
        <v>0</v>
      </c>
      <c r="AV9" s="348">
        <f>ABS(VLOOKUP(A9,TradesEquity!$1:$1048576,18,FALSE))</f>
        <v>4303001.0060000001</v>
      </c>
      <c r="AW9" s="349">
        <v>0</v>
      </c>
      <c r="AX9" s="350">
        <v>4542</v>
      </c>
      <c r="AY9" s="351" t="s">
        <v>1959</v>
      </c>
      <c r="AZ9" s="352" t="str">
        <f>(VLOOKUP(A9,TradesEquity!$1:$1048576,29,FALSE))</f>
        <v>GSILGB2XXXX</v>
      </c>
      <c r="BA9" s="352" t="str">
        <f>(VLOOKUP(A9,TradesEquity!$1:$1048576,30,FALSE))</f>
        <v>JJSDJPJTXXX</v>
      </c>
      <c r="BB9" s="352">
        <f>(VLOOKUP(A9,TradesEquity!$1:$1048576,31,FALSE))</f>
        <v>6530490016</v>
      </c>
      <c r="BC9" s="352" t="str">
        <f>(VLOOKUP(A9,TradesEquity!$1:$1048576,32,FALSE))</f>
        <v>N</v>
      </c>
      <c r="BF9" s="379"/>
      <c r="BI9" s="375" t="str">
        <f>(VLOOKUP(A9,TradesEquity!$1:$1048576,38,FALSE))</f>
        <v xml:space="preserve">                  </v>
      </c>
      <c r="BJ9" s="375" t="str">
        <f>(VLOOKUP(A9,TradesEquity!$1:$1048576,39,FALSE))</f>
        <v xml:space="preserve">                          </v>
      </c>
      <c r="BK9" s="352" t="str">
        <f>(VLOOKUP(A9,TradesEquity!$1:$1048576,40,FALSE))</f>
        <v>GOLDJPJXXXX</v>
      </c>
    </row>
    <row r="10" spans="1:65">
      <c r="A10" s="376">
        <v>2019200239</v>
      </c>
      <c r="D10" s="342" t="s">
        <v>1957</v>
      </c>
      <c r="F10" s="343">
        <f>VLOOKUP(A10,TradesEquity!$1:$1048576,2,FALSE)</f>
        <v>43858</v>
      </c>
      <c r="H10" s="343">
        <f>VLOOKUP(A10,TradesEquity!$1:$1048576,21,FALSE)</f>
        <v>43860</v>
      </c>
      <c r="I10" s="344" t="str">
        <f>IF(VLOOKUP(A10,TradesEquity!$1:$1048576,3,FALSE)="BUY","B","S")</f>
        <v>B</v>
      </c>
      <c r="J10" s="344" t="str">
        <f>VLOOKUP(A10,TradesEquity!$1:$1048576,5,FALSE)</f>
        <v>JP3627400009</v>
      </c>
      <c r="K10" s="342" t="s">
        <v>19</v>
      </c>
      <c r="L10" s="345" t="s">
        <v>1958</v>
      </c>
      <c r="AE10" s="346" t="str">
        <f>VLOOKUP(A10,TradesEquity!$1:$1048576,10,FALSE)</f>
        <v>JPY</v>
      </c>
      <c r="AF10" s="346" t="str">
        <f t="shared" si="1"/>
        <v>JPY</v>
      </c>
      <c r="AG10" s="346" t="str">
        <f t="shared" si="0"/>
        <v>JPY</v>
      </c>
      <c r="AH10" s="346" t="str">
        <f t="shared" si="0"/>
        <v>JPY</v>
      </c>
      <c r="AI10" s="346">
        <f>ABS(VLOOKUP(A10,TradesEquity!$1:$1048576,13,FALSE))</f>
        <v>900</v>
      </c>
      <c r="AJ10" s="347">
        <v>0</v>
      </c>
      <c r="AK10" s="347">
        <v>1</v>
      </c>
      <c r="AL10" s="346">
        <f>VLOOKUP(A10,TradesEquity!$1:$1048576,11,FALSE)</f>
        <v>2094.9888900000001</v>
      </c>
      <c r="AM10" s="347">
        <v>1</v>
      </c>
      <c r="AN10" s="346">
        <f>ABS(VLOOKUP(A10,TradesEquity!$1:$1048576,14,FALSE))</f>
        <v>1885490.0010000002</v>
      </c>
      <c r="AO10" s="346">
        <f>ABS(VLOOKUP(A10,TradesEquity!$1:$1048576,15,FALSE))</f>
        <v>566</v>
      </c>
      <c r="AP10" s="348">
        <f>ABS(VLOOKUP(A10,TradesEquity!$1:$1048576,16,FALSE))</f>
        <v>0</v>
      </c>
      <c r="AQ10" s="286">
        <v>0</v>
      </c>
      <c r="AR10" s="286">
        <v>0</v>
      </c>
      <c r="AS10" s="286">
        <v>0</v>
      </c>
      <c r="AT10" s="286">
        <v>0</v>
      </c>
      <c r="AU10" s="286">
        <v>0</v>
      </c>
      <c r="AV10" s="348">
        <f>ABS(VLOOKUP(A10,TradesEquity!$1:$1048576,18,FALSE))</f>
        <v>1886056.0010000002</v>
      </c>
      <c r="AW10" s="349">
        <v>0</v>
      </c>
      <c r="AX10" s="350">
        <v>4542</v>
      </c>
      <c r="AY10" s="351" t="s">
        <v>1959</v>
      </c>
      <c r="AZ10" s="352" t="str">
        <f>(VLOOKUP(A10,TradesEquity!$1:$1048576,29,FALSE))</f>
        <v>GSILGB2XXXX</v>
      </c>
      <c r="BA10" s="352" t="str">
        <f>(VLOOKUP(A10,TradesEquity!$1:$1048576,30,FALSE))</f>
        <v>JJSDJPJTXXX</v>
      </c>
      <c r="BB10" s="352">
        <f>(VLOOKUP(A10,TradesEquity!$1:$1048576,31,FALSE))</f>
        <v>6530490016</v>
      </c>
      <c r="BC10" s="352" t="str">
        <f>(VLOOKUP(A10,TradesEquity!$1:$1048576,32,FALSE))</f>
        <v>N</v>
      </c>
      <c r="BI10" s="375" t="str">
        <f>(VLOOKUP(A10,TradesEquity!$1:$1048576,38,FALSE))</f>
        <v xml:space="preserve">                  </v>
      </c>
      <c r="BJ10" s="375" t="str">
        <f>(VLOOKUP(A10,TradesEquity!$1:$1048576,39,FALSE))</f>
        <v xml:space="preserve">                          </v>
      </c>
      <c r="BK10" s="352" t="str">
        <f>(VLOOKUP(A10,TradesEquity!$1:$1048576,40,FALSE))</f>
        <v>GOLDJPJXXXX</v>
      </c>
    </row>
    <row r="11" spans="1:65">
      <c r="A11" s="376">
        <v>2019200240</v>
      </c>
      <c r="D11" s="342" t="s">
        <v>1957</v>
      </c>
      <c r="F11" s="343">
        <f>VLOOKUP(A11,TradesEquity!$1:$1048576,2,FALSE)</f>
        <v>43858</v>
      </c>
      <c r="H11" s="343">
        <f>VLOOKUP(A11,TradesEquity!$1:$1048576,21,FALSE)</f>
        <v>43860</v>
      </c>
      <c r="I11" s="344" t="str">
        <f>IF(VLOOKUP(A11,TradesEquity!$1:$1048576,3,FALSE)="BUY","B","S")</f>
        <v>B</v>
      </c>
      <c r="J11" s="344" t="str">
        <f>VLOOKUP(A11,TradesEquity!$1:$1048576,5,FALSE)</f>
        <v>KR7096771001</v>
      </c>
      <c r="K11" s="342" t="s">
        <v>19</v>
      </c>
      <c r="L11" s="345" t="s">
        <v>1958</v>
      </c>
      <c r="AE11" s="346" t="str">
        <f>VLOOKUP(A11,TradesEquity!$1:$1048576,10,FALSE)</f>
        <v>KRW</v>
      </c>
      <c r="AF11" s="346" t="str">
        <f t="shared" si="1"/>
        <v>KRW</v>
      </c>
      <c r="AG11" s="346" t="str">
        <f t="shared" si="0"/>
        <v>KRW</v>
      </c>
      <c r="AH11" s="346" t="str">
        <f t="shared" si="0"/>
        <v>KRW</v>
      </c>
      <c r="AI11" s="346">
        <f>ABS(VLOOKUP(A11,TradesEquity!$1:$1048576,13,FALSE))</f>
        <v>670</v>
      </c>
      <c r="AJ11" s="347">
        <v>0</v>
      </c>
      <c r="AK11" s="347">
        <v>1</v>
      </c>
      <c r="AL11" s="346">
        <f>VLOOKUP(A11,TradesEquity!$1:$1048576,11,FALSE)</f>
        <v>93516.865699999995</v>
      </c>
      <c r="AM11" s="347">
        <v>1</v>
      </c>
      <c r="AN11" s="346">
        <f>ABS(VLOOKUP(A11,TradesEquity!$1:$1048576,14,FALSE))</f>
        <v>62656300.018999994</v>
      </c>
      <c r="AO11" s="346">
        <f>ABS(VLOOKUP(A11,TradesEquity!$1:$1048576,15,FALSE))</f>
        <v>93984</v>
      </c>
      <c r="AP11" s="348">
        <f>ABS(VLOOKUP(A11,TradesEquity!$1:$1048576,16,FALSE))</f>
        <v>0</v>
      </c>
      <c r="AQ11" s="286">
        <v>0</v>
      </c>
      <c r="AR11" s="286">
        <v>0</v>
      </c>
      <c r="AS11" s="286">
        <v>0</v>
      </c>
      <c r="AT11" s="286">
        <v>0</v>
      </c>
      <c r="AU11" s="286">
        <v>0</v>
      </c>
      <c r="AV11" s="348">
        <f>ABS(VLOOKUP(A11,TradesEquity!$1:$1048576,18,FALSE))</f>
        <v>62750284.018999994</v>
      </c>
      <c r="AW11" s="349">
        <v>0</v>
      </c>
      <c r="AX11" s="350">
        <v>4542</v>
      </c>
      <c r="AY11" s="351" t="s">
        <v>1959</v>
      </c>
      <c r="AZ11" s="352" t="e">
        <f>(VLOOKUP(A11,TradesEquity!$1:$1048576,29,FALSE))</f>
        <v>#N/A</v>
      </c>
      <c r="BA11" s="352" t="e">
        <f>(VLOOKUP(A11,TradesEquity!$1:$1048576,30,FALSE))</f>
        <v>#N/A</v>
      </c>
      <c r="BB11" s="352" t="e">
        <f>(VLOOKUP(A11,TradesEquity!$1:$1048576,31,FALSE))</f>
        <v>#N/A</v>
      </c>
      <c r="BC11" s="352" t="e">
        <f>(VLOOKUP(A11,TradesEquity!$1:$1048576,32,FALSE))</f>
        <v>#N/A</v>
      </c>
      <c r="BI11" s="375" t="e">
        <f>(VLOOKUP(A11,TradesEquity!$1:$1048576,38,FALSE))</f>
        <v>#N/A</v>
      </c>
      <c r="BJ11" s="375" t="e">
        <f>(VLOOKUP(A11,TradesEquity!$1:$1048576,39,FALSE))</f>
        <v>#N/A</v>
      </c>
      <c r="BK11" s="352" t="e">
        <f>(VLOOKUP(A11,TradesEquity!$1:$1048576,40,FALSE))</f>
        <v>#N/A</v>
      </c>
    </row>
    <row r="12" spans="1:65">
      <c r="A12" s="376">
        <v>2019200241</v>
      </c>
      <c r="D12" s="342" t="s">
        <v>1957</v>
      </c>
      <c r="F12" s="343">
        <f>VLOOKUP(A12,TradesEquity!$1:$1048576,2,FALSE)</f>
        <v>43860</v>
      </c>
      <c r="H12" s="343">
        <f>VLOOKUP(A12,TradesEquity!$1:$1048576,21,FALSE)</f>
        <v>43864</v>
      </c>
      <c r="I12" s="344" t="str">
        <f>IF(VLOOKUP(A12,TradesEquity!$1:$1048576,3,FALSE)="BUY","B","S")</f>
        <v>B</v>
      </c>
      <c r="J12" s="344" t="str">
        <f>VLOOKUP(A12,TradesEquity!$1:$1048576,5,FALSE)</f>
        <v>JP3627400009</v>
      </c>
      <c r="K12" s="342" t="s">
        <v>19</v>
      </c>
      <c r="L12" s="345" t="s">
        <v>1958</v>
      </c>
      <c r="AE12" s="346" t="str">
        <f>VLOOKUP(A12,TradesEquity!$1:$1048576,10,FALSE)</f>
        <v>JPY</v>
      </c>
      <c r="AF12" s="346" t="str">
        <f t="shared" si="1"/>
        <v>JPY</v>
      </c>
      <c r="AG12" s="346" t="str">
        <f t="shared" si="0"/>
        <v>JPY</v>
      </c>
      <c r="AH12" s="346" t="str">
        <f t="shared" si="0"/>
        <v>JPY</v>
      </c>
      <c r="AI12" s="346">
        <f>ABS(VLOOKUP(A12,TradesEquity!$1:$1048576,13,FALSE))</f>
        <v>1700</v>
      </c>
      <c r="AJ12" s="347">
        <v>0</v>
      </c>
      <c r="AK12" s="347">
        <v>1</v>
      </c>
      <c r="AL12" s="346">
        <f>VLOOKUP(A12,TradesEquity!$1:$1048576,11,FALSE)</f>
        <v>2077.4058799999998</v>
      </c>
      <c r="AM12" s="347">
        <v>1</v>
      </c>
      <c r="AN12" s="346">
        <f>ABS(VLOOKUP(A12,TradesEquity!$1:$1048576,14,FALSE))</f>
        <v>3531589.9959999998</v>
      </c>
      <c r="AO12" s="346">
        <f>ABS(VLOOKUP(A12,TradesEquity!$1:$1048576,15,FALSE))</f>
        <v>1059</v>
      </c>
      <c r="AP12" s="348">
        <f>ABS(VLOOKUP(A12,TradesEquity!$1:$1048576,16,FALSE))</f>
        <v>0</v>
      </c>
      <c r="AQ12" s="286">
        <v>0</v>
      </c>
      <c r="AR12" s="286">
        <v>0</v>
      </c>
      <c r="AS12" s="286">
        <v>0</v>
      </c>
      <c r="AT12" s="286">
        <v>0</v>
      </c>
      <c r="AU12" s="286">
        <v>0</v>
      </c>
      <c r="AV12" s="348">
        <f>ABS(VLOOKUP(A12,TradesEquity!$1:$1048576,18,FALSE))</f>
        <v>3532648.9959999998</v>
      </c>
      <c r="AW12" s="349">
        <v>0</v>
      </c>
      <c r="AX12" s="350">
        <v>4542</v>
      </c>
      <c r="AY12" s="351" t="s">
        <v>1959</v>
      </c>
      <c r="AZ12" s="352" t="str">
        <f>(VLOOKUP(A12,TradesEquity!$1:$1048576,29,FALSE))</f>
        <v>GSILGB2XXXX</v>
      </c>
      <c r="BA12" s="352" t="str">
        <f>(VLOOKUP(A12,TradesEquity!$1:$1048576,30,FALSE))</f>
        <v>JJSDJPJTXXX</v>
      </c>
      <c r="BB12" s="352">
        <f>(VLOOKUP(A12,TradesEquity!$1:$1048576,31,FALSE))</f>
        <v>6530490016</v>
      </c>
      <c r="BC12" s="352" t="str">
        <f>(VLOOKUP(A12,TradesEquity!$1:$1048576,32,FALSE))</f>
        <v>N</v>
      </c>
      <c r="BI12" s="375" t="str">
        <f>(VLOOKUP(A12,TradesEquity!$1:$1048576,38,FALSE))</f>
        <v xml:space="preserve">                  </v>
      </c>
      <c r="BJ12" s="375" t="str">
        <f>(VLOOKUP(A12,TradesEquity!$1:$1048576,39,FALSE))</f>
        <v xml:space="preserve">                          </v>
      </c>
      <c r="BK12" s="352" t="str">
        <f>(VLOOKUP(A12,TradesEquity!$1:$1048576,40,FALSE))</f>
        <v>GOLDJPJXXXX</v>
      </c>
    </row>
    <row r="13" spans="1:65">
      <c r="A13" s="376">
        <v>2019200242</v>
      </c>
      <c r="D13" s="342" t="s">
        <v>1957</v>
      </c>
      <c r="F13" s="343">
        <f>VLOOKUP(A13,TradesEquity!$1:$1048576,2,FALSE)</f>
        <v>43860</v>
      </c>
      <c r="H13" s="343">
        <f>VLOOKUP(A13,TradesEquity!$1:$1048576,21,FALSE)</f>
        <v>43864</v>
      </c>
      <c r="I13" s="344" t="str">
        <f>IF(VLOOKUP(A13,TradesEquity!$1:$1048576,3,FALSE)="BUY","B","S")</f>
        <v>B</v>
      </c>
      <c r="J13" s="344" t="str">
        <f>VLOOKUP(A13,TradesEquity!$1:$1048576,5,FALSE)</f>
        <v>AU000000WSA9</v>
      </c>
      <c r="K13" s="342" t="s">
        <v>19</v>
      </c>
      <c r="L13" s="345" t="s">
        <v>1958</v>
      </c>
      <c r="AE13" s="346" t="str">
        <f>VLOOKUP(A13,TradesEquity!$1:$1048576,10,FALSE)</f>
        <v>AUD</v>
      </c>
      <c r="AF13" s="346" t="str">
        <f t="shared" si="1"/>
        <v>AUD</v>
      </c>
      <c r="AG13" s="346" t="str">
        <f t="shared" si="1"/>
        <v>AUD</v>
      </c>
      <c r="AH13" s="346" t="str">
        <f t="shared" si="1"/>
        <v>AUD</v>
      </c>
      <c r="AI13" s="346">
        <f>ABS(VLOOKUP(A13,TradesEquity!$1:$1048576,13,FALSE))</f>
        <v>22000</v>
      </c>
      <c r="AJ13" s="347">
        <v>0</v>
      </c>
      <c r="AK13" s="347">
        <v>1</v>
      </c>
      <c r="AL13" s="346">
        <f>VLOOKUP(A13,TradesEquity!$1:$1048576,11,FALSE)</f>
        <v>2.6088399999999998</v>
      </c>
      <c r="AM13" s="347">
        <v>1</v>
      </c>
      <c r="AN13" s="346">
        <f>ABS(VLOOKUP(A13,TradesEquity!$1:$1048576,14,FALSE))</f>
        <v>57394.479999999996</v>
      </c>
      <c r="AO13" s="346">
        <f>ABS(VLOOKUP(A13,TradesEquity!$1:$1048576,15,FALSE))</f>
        <v>17.22</v>
      </c>
      <c r="AP13" s="348">
        <f>ABS(VLOOKUP(A13,TradesEquity!$1:$1048576,16,FALSE))</f>
        <v>0</v>
      </c>
      <c r="AQ13" s="286">
        <v>0</v>
      </c>
      <c r="AR13" s="286">
        <v>0</v>
      </c>
      <c r="AS13" s="286">
        <v>0</v>
      </c>
      <c r="AT13" s="286">
        <v>0</v>
      </c>
      <c r="AU13" s="286">
        <v>0</v>
      </c>
      <c r="AV13" s="348">
        <f>ABS(VLOOKUP(A13,TradesEquity!$1:$1048576,18,FALSE))</f>
        <v>57411.7</v>
      </c>
      <c r="AW13" s="349">
        <v>0</v>
      </c>
      <c r="AX13" s="350">
        <v>4542</v>
      </c>
      <c r="AY13" s="351" t="s">
        <v>1959</v>
      </c>
      <c r="AZ13" s="352" t="str">
        <f>(VLOOKUP(A13,TradesEquity!$1:$1048576,29,FALSE))</f>
        <v>GSILGB2XXXX</v>
      </c>
      <c r="BA13" s="352" t="str">
        <f>(VLOOKUP(A13,TradesEquity!$1:$1048576,30,FALSE))</f>
        <v>CAETAU21</v>
      </c>
      <c r="BB13" s="352" t="str">
        <f>(VLOOKUP(A13,TradesEquity!$1:$1048576,31,FALSE))</f>
        <v>011-109048-061</v>
      </c>
      <c r="BC13" s="352" t="str">
        <f>(VLOOKUP(A13,TradesEquity!$1:$1048576,32,FALSE))</f>
        <v>N</v>
      </c>
      <c r="BI13" s="375" t="str">
        <f>(VLOOKUP(A13,TradesEquity!$1:$1048576,38,FALSE))</f>
        <v xml:space="preserve">        </v>
      </c>
      <c r="BJ13" s="375" t="str">
        <f>(VLOOKUP(A13,TradesEquity!$1:$1048576,39,FALSE))</f>
        <v xml:space="preserve">        </v>
      </c>
      <c r="BK13" s="352" t="str">
        <f>(VLOOKUP(A13,TradesEquity!$1:$1048576,40,FALSE))</f>
        <v>HKBAAU2SSYD</v>
      </c>
    </row>
    <row r="14" spans="1:65">
      <c r="A14" s="376">
        <v>2019200243</v>
      </c>
      <c r="D14" s="342" t="s">
        <v>1957</v>
      </c>
      <c r="F14" s="343">
        <f>VLOOKUP(A14,TradesEquity!$1:$1048576,2,FALSE)</f>
        <v>43860</v>
      </c>
      <c r="H14" s="343">
        <f>VLOOKUP(A14,TradesEquity!$1:$1048576,21,FALSE)</f>
        <v>43864</v>
      </c>
      <c r="I14" s="344" t="str">
        <f>IF(VLOOKUP(A14,TradesEquity!$1:$1048576,3,FALSE)="BUY","B","S")</f>
        <v>B</v>
      </c>
      <c r="J14" s="344" t="str">
        <f>VLOOKUP(A14,TradesEquity!$1:$1048576,5,FALSE)</f>
        <v>US35671D8570</v>
      </c>
      <c r="K14" s="342" t="s">
        <v>19</v>
      </c>
      <c r="L14" s="345" t="s">
        <v>1958</v>
      </c>
      <c r="AE14" s="346" t="str">
        <f>VLOOKUP(A14,TradesEquity!$1:$1048576,10,FALSE)</f>
        <v>USD</v>
      </c>
      <c r="AF14" s="346" t="str">
        <f t="shared" si="1"/>
        <v>USD</v>
      </c>
      <c r="AG14" s="346" t="str">
        <f t="shared" si="1"/>
        <v>USD</v>
      </c>
      <c r="AH14" s="346" t="str">
        <f t="shared" si="1"/>
        <v>USD</v>
      </c>
      <c r="AI14" s="346">
        <f>ABS(VLOOKUP(A14,TradesEquity!$1:$1048576,13,FALSE))</f>
        <v>4200</v>
      </c>
      <c r="AJ14" s="347">
        <v>0</v>
      </c>
      <c r="AK14" s="347">
        <v>1</v>
      </c>
      <c r="AL14" s="346">
        <f>VLOOKUP(A14,TradesEquity!$1:$1048576,11,FALSE)</f>
        <v>11.138999999999999</v>
      </c>
      <c r="AM14" s="347">
        <v>1</v>
      </c>
      <c r="AN14" s="346">
        <f>ABS(VLOOKUP(A14,TradesEquity!$1:$1048576,14,FALSE))</f>
        <v>46783.799999999996</v>
      </c>
      <c r="AO14" s="346">
        <f>ABS(VLOOKUP(A14,TradesEquity!$1:$1048576,15,FALSE))</f>
        <v>11.7</v>
      </c>
      <c r="AP14" s="348">
        <f>ABS(VLOOKUP(A14,TradesEquity!$1:$1048576,16,FALSE))</f>
        <v>0</v>
      </c>
      <c r="AQ14" s="286">
        <v>0</v>
      </c>
      <c r="AR14" s="286">
        <v>0</v>
      </c>
      <c r="AS14" s="286">
        <v>0</v>
      </c>
      <c r="AT14" s="286">
        <v>0</v>
      </c>
      <c r="AU14" s="286">
        <v>0</v>
      </c>
      <c r="AV14" s="348">
        <f>ABS(VLOOKUP(A14,TradesEquity!$1:$1048576,18,FALSE))</f>
        <v>46795.499999999993</v>
      </c>
      <c r="AW14" s="349">
        <v>0</v>
      </c>
      <c r="AX14" s="350">
        <v>4542</v>
      </c>
      <c r="AY14" s="351" t="s">
        <v>1959</v>
      </c>
      <c r="AZ14" s="352" t="str">
        <f>(VLOOKUP(A14,TradesEquity!$1:$1048576,29,FALSE))</f>
        <v>GSILGB2XXXX</v>
      </c>
      <c r="BA14" s="352" t="str">
        <f>(VLOOKUP(A14,TradesEquity!$1:$1048576,30,FALSE))</f>
        <v>DTCYUS33</v>
      </c>
      <c r="BB14" s="352" t="str">
        <f>(VLOOKUP(A14,TradesEquity!$1:$1048576,31,FALSE))</f>
        <v xml:space="preserve">        </v>
      </c>
      <c r="BC14" s="352" t="str">
        <f>(VLOOKUP(A14,TradesEquity!$1:$1048576,32,FALSE))</f>
        <v>N</v>
      </c>
      <c r="BI14" s="375" t="str">
        <f>(VLOOKUP(A14,TradesEquity!$1:$1048576,38,FALSE))</f>
        <v>DTCYID</v>
      </c>
      <c r="BJ14" s="375">
        <f>(VLOOKUP(A14,TradesEquity!$1:$1048576,39,FALSE))</f>
        <v>5208</v>
      </c>
      <c r="BK14" s="352" t="str">
        <f>(VLOOKUP(A14,TradesEquity!$1:$1048576,40,FALSE))</f>
        <v xml:space="preserve">        </v>
      </c>
    </row>
    <row r="15" spans="1:65">
      <c r="A15" s="378">
        <v>2019200244</v>
      </c>
      <c r="D15" s="342" t="s">
        <v>1957</v>
      </c>
      <c r="F15" s="343">
        <f>VLOOKUP(A15,TradesEquity!$1:$1048576,2,FALSE)</f>
        <v>43868</v>
      </c>
      <c r="H15" s="343">
        <f>VLOOKUP(A15,TradesEquity!$1:$1048576,21,FALSE)</f>
        <v>43872</v>
      </c>
      <c r="I15" s="344" t="str">
        <f>IF(VLOOKUP(A15,TradesEquity!$1:$1048576,3,FALSE)="BUY","B","S")</f>
        <v>S</v>
      </c>
      <c r="J15" s="344" t="str">
        <f>VLOOKUP(A15,TradesEquity!$1:$1048576,5,FALSE)</f>
        <v>KR7006401004</v>
      </c>
      <c r="K15" s="342" t="s">
        <v>19</v>
      </c>
      <c r="L15" s="345" t="s">
        <v>1958</v>
      </c>
      <c r="AE15" s="346" t="str">
        <f>VLOOKUP(A15,TradesEquity!$1:$1048576,10,FALSE)</f>
        <v>KRW</v>
      </c>
      <c r="AF15" s="346" t="str">
        <f t="shared" si="1"/>
        <v>KRW</v>
      </c>
      <c r="AG15" s="346" t="str">
        <f t="shared" si="1"/>
        <v>KRW</v>
      </c>
      <c r="AH15" s="346" t="str">
        <f t="shared" si="1"/>
        <v>KRW</v>
      </c>
      <c r="AI15" s="346">
        <f>ABS(VLOOKUP(A15,TradesEquity!$1:$1048576,13,FALSE))</f>
        <v>840</v>
      </c>
      <c r="AJ15" s="347">
        <v>0</v>
      </c>
      <c r="AK15" s="347">
        <v>1</v>
      </c>
      <c r="AL15" s="346">
        <f>VLOOKUP(A15,TradesEquity!$1:$1048576,11,FALSE)</f>
        <v>156500</v>
      </c>
      <c r="AM15" s="347">
        <v>1</v>
      </c>
      <c r="AN15" s="346">
        <f>ABS(VLOOKUP(A15,TradesEquity!$1:$1048576,14,FALSE))</f>
        <v>131460000</v>
      </c>
      <c r="AO15" s="346">
        <f>ABS(VLOOKUP(A15,TradesEquity!$1:$1048576,15,FALSE))</f>
        <v>197190</v>
      </c>
      <c r="AP15" s="348">
        <f>ABS(VLOOKUP(A15,TradesEquity!$1:$1048576,16,FALSE))</f>
        <v>328642</v>
      </c>
      <c r="AQ15" s="286">
        <v>0</v>
      </c>
      <c r="AR15" s="286">
        <v>0</v>
      </c>
      <c r="AS15" s="286">
        <v>0</v>
      </c>
      <c r="AT15" s="286">
        <v>0</v>
      </c>
      <c r="AU15" s="286">
        <v>0</v>
      </c>
      <c r="AV15" s="348">
        <f>ABS(VLOOKUP(A15,TradesEquity!$1:$1048576,18,FALSE))</f>
        <v>130934168</v>
      </c>
      <c r="AW15" s="349">
        <v>0</v>
      </c>
      <c r="AX15" s="350">
        <v>4542</v>
      </c>
      <c r="AY15" s="351" t="s">
        <v>1959</v>
      </c>
      <c r="AZ15" s="352" t="e">
        <f>(VLOOKUP(A15,TradesEquity!$1:$1048576,29,FALSE))</f>
        <v>#N/A</v>
      </c>
      <c r="BA15" s="352" t="e">
        <f>(VLOOKUP(A15,TradesEquity!$1:$1048576,30,FALSE))</f>
        <v>#N/A</v>
      </c>
      <c r="BB15" s="352" t="e">
        <f>(VLOOKUP(A15,TradesEquity!$1:$1048576,31,FALSE))</f>
        <v>#N/A</v>
      </c>
      <c r="BC15" s="352" t="e">
        <f>(VLOOKUP(A15,TradesEquity!$1:$1048576,32,FALSE))</f>
        <v>#N/A</v>
      </c>
      <c r="BI15" s="375" t="e">
        <f>(VLOOKUP(A15,TradesEquity!$1:$1048576,38,FALSE))</f>
        <v>#N/A</v>
      </c>
      <c r="BJ15" s="375" t="e">
        <f>(VLOOKUP(A15,TradesEquity!$1:$1048576,39,FALSE))</f>
        <v>#N/A</v>
      </c>
      <c r="BK15" s="352" t="e">
        <f>(VLOOKUP(A15,TradesEquity!$1:$1048576,40,FALSE))</f>
        <v>#N/A</v>
      </c>
    </row>
    <row r="16" spans="1:65">
      <c r="A16" s="378">
        <v>2019200245</v>
      </c>
      <c r="D16" s="342" t="s">
        <v>1957</v>
      </c>
      <c r="F16" s="343">
        <f>VLOOKUP(A16,TradesEquity!$1:$1048576,2,FALSE)</f>
        <v>43871</v>
      </c>
      <c r="H16" s="343">
        <f>VLOOKUP(A16,TradesEquity!$1:$1048576,21,FALSE)</f>
        <v>43873</v>
      </c>
      <c r="I16" s="344" t="str">
        <f>IF(VLOOKUP(A16,TradesEquity!$1:$1048576,3,FALSE)="BUY","B","S")</f>
        <v>S</v>
      </c>
      <c r="J16" s="344" t="str">
        <f>VLOOKUP(A16,TradesEquity!$1:$1048576,5,FALSE)</f>
        <v>DE0006231004</v>
      </c>
      <c r="K16" s="342" t="s">
        <v>19</v>
      </c>
      <c r="L16" s="345" t="s">
        <v>1958</v>
      </c>
      <c r="AE16" s="346" t="str">
        <f>VLOOKUP(A16,TradesEquity!$1:$1048576,10,FALSE)</f>
        <v>EUR</v>
      </c>
      <c r="AF16" s="346" t="str">
        <f t="shared" si="1"/>
        <v>EUR</v>
      </c>
      <c r="AG16" s="346" t="str">
        <f t="shared" si="1"/>
        <v>EUR</v>
      </c>
      <c r="AH16" s="346" t="str">
        <f t="shared" si="1"/>
        <v>EUR</v>
      </c>
      <c r="AI16" s="346">
        <f>ABS(VLOOKUP(A16,TradesEquity!$1:$1048576,13,FALSE))</f>
        <v>2000</v>
      </c>
      <c r="AJ16" s="347">
        <v>0</v>
      </c>
      <c r="AK16" s="347">
        <v>1</v>
      </c>
      <c r="AL16" s="346">
        <f>VLOOKUP(A16,TradesEquity!$1:$1048576,11,FALSE)</f>
        <v>21.685009999999998</v>
      </c>
      <c r="AM16" s="347">
        <v>1</v>
      </c>
      <c r="AN16" s="346">
        <f>ABS(VLOOKUP(A16,TradesEquity!$1:$1048576,14,FALSE))</f>
        <v>43370.02</v>
      </c>
      <c r="AO16" s="346">
        <f>ABS(VLOOKUP(A16,TradesEquity!$1:$1048576,15,FALSE))</f>
        <v>26.02</v>
      </c>
      <c r="AP16" s="348">
        <f>ABS(VLOOKUP(A16,TradesEquity!$1:$1048576,16,FALSE))</f>
        <v>0</v>
      </c>
      <c r="AQ16" s="286">
        <v>0</v>
      </c>
      <c r="AR16" s="286">
        <v>0</v>
      </c>
      <c r="AS16" s="286">
        <v>0</v>
      </c>
      <c r="AT16" s="286">
        <v>0</v>
      </c>
      <c r="AU16" s="286">
        <v>0</v>
      </c>
      <c r="AV16" s="348">
        <f>ABS(VLOOKUP(A16,TradesEquity!$1:$1048576,18,FALSE))</f>
        <v>43344</v>
      </c>
      <c r="AW16" s="349">
        <v>0</v>
      </c>
      <c r="AX16" s="350">
        <v>4542</v>
      </c>
      <c r="AY16" s="351" t="s">
        <v>1959</v>
      </c>
      <c r="AZ16" s="352" t="str">
        <f>(VLOOKUP(A16,TradesEquity!$1:$1048576,29,FALSE))</f>
        <v>GSILGB2XXXX</v>
      </c>
      <c r="BA16" s="352" t="str">
        <f>(VLOOKUP(A16,TradesEquity!$1:$1048576,30,FALSE))</f>
        <v>DAKVDEFFXXX</v>
      </c>
      <c r="BB16" s="352" t="str">
        <f>(VLOOKUP(A16,TradesEquity!$1:$1048576,31,FALSE))</f>
        <v>DAKV7372000</v>
      </c>
      <c r="BC16" s="352" t="str">
        <f>(VLOOKUP(A16,TradesEquity!$1:$1048576,32,FALSE))</f>
        <v>N</v>
      </c>
      <c r="BI16" s="375" t="str">
        <f>(VLOOKUP(A16,TradesEquity!$1:$1048576,38,FALSE))</f>
        <v xml:space="preserve">        </v>
      </c>
      <c r="BJ16" s="375" t="str">
        <f>(VLOOKUP(A16,TradesEquity!$1:$1048576,39,FALSE))</f>
        <v xml:space="preserve">        </v>
      </c>
      <c r="BK16" s="352" t="str">
        <f>(VLOOKUP(A16,TradesEquity!$1:$1048576,40,FALSE))</f>
        <v>CITIDEFFXXX</v>
      </c>
    </row>
    <row r="17" spans="1:63">
      <c r="A17" s="378">
        <v>2019200246</v>
      </c>
      <c r="D17" s="342" t="s">
        <v>1957</v>
      </c>
      <c r="F17" s="343">
        <f>VLOOKUP(A17,TradesEquity!$1:$1048576,2,FALSE)</f>
        <v>43871</v>
      </c>
      <c r="H17" s="343">
        <f>VLOOKUP(A17,TradesEquity!$1:$1048576,21,FALSE)</f>
        <v>43873</v>
      </c>
      <c r="I17" s="344" t="str">
        <f>IF(VLOOKUP(A17,TradesEquity!$1:$1048576,3,FALSE)="BUY","B","S")</f>
        <v>B</v>
      </c>
      <c r="J17" s="344" t="str">
        <f>VLOOKUP(A17,TradesEquity!$1:$1048576,5,FALSE)</f>
        <v>FR0013176526</v>
      </c>
      <c r="K17" s="342" t="s">
        <v>19</v>
      </c>
      <c r="L17" s="345" t="s">
        <v>1958</v>
      </c>
      <c r="AE17" s="346" t="str">
        <f>VLOOKUP(A17,TradesEquity!$1:$1048576,10,FALSE)</f>
        <v>EUR</v>
      </c>
      <c r="AF17" s="346" t="str">
        <f t="shared" si="1"/>
        <v>EUR</v>
      </c>
      <c r="AG17" s="346" t="str">
        <f t="shared" si="1"/>
        <v>EUR</v>
      </c>
      <c r="AH17" s="346" t="str">
        <f t="shared" si="1"/>
        <v>EUR</v>
      </c>
      <c r="AI17" s="346">
        <f>ABS(VLOOKUP(A17,TradesEquity!$1:$1048576,13,FALSE))</f>
        <v>2500</v>
      </c>
      <c r="AJ17" s="347">
        <v>0</v>
      </c>
      <c r="AK17" s="347">
        <v>1</v>
      </c>
      <c r="AL17" s="346">
        <f>VLOOKUP(A17,TradesEquity!$1:$1048576,11,FALSE)</f>
        <v>26.95439</v>
      </c>
      <c r="AM17" s="347">
        <v>1</v>
      </c>
      <c r="AN17" s="346">
        <f>ABS(VLOOKUP(A17,TradesEquity!$1:$1048576,14,FALSE))</f>
        <v>67385.975000000006</v>
      </c>
      <c r="AO17" s="346">
        <f>ABS(VLOOKUP(A17,TradesEquity!$1:$1048576,15,FALSE))</f>
        <v>40.43</v>
      </c>
      <c r="AP17" s="348">
        <f>ABS(VLOOKUP(A17,TradesEquity!$1:$1048576,16,FALSE))</f>
        <v>202.16</v>
      </c>
      <c r="AQ17" s="286">
        <v>0</v>
      </c>
      <c r="AR17" s="286">
        <v>0</v>
      </c>
      <c r="AS17" s="286">
        <v>0</v>
      </c>
      <c r="AT17" s="286">
        <v>0</v>
      </c>
      <c r="AU17" s="286">
        <v>0</v>
      </c>
      <c r="AV17" s="348">
        <f>ABS(VLOOKUP(A17,TradesEquity!$1:$1048576,18,FALSE))</f>
        <v>67628.565000000002</v>
      </c>
      <c r="AW17" s="349">
        <v>0</v>
      </c>
      <c r="AX17" s="350">
        <v>4542</v>
      </c>
      <c r="AY17" s="351" t="s">
        <v>1959</v>
      </c>
      <c r="AZ17" s="352" t="str">
        <f>(VLOOKUP(A17,TradesEquity!$1:$1048576,29,FALSE))</f>
        <v>GSILGB2XXXX</v>
      </c>
      <c r="BA17" s="352" t="str">
        <f>(VLOOKUP(A17,TradesEquity!$1:$1048576,30,FALSE))</f>
        <v>SICVFRPPXXX</v>
      </c>
      <c r="BB17" s="352" t="str">
        <f>(VLOOKUP(A17,TradesEquity!$1:$1048576,31,FALSE))</f>
        <v>SICVPARBFRPPXXX000L10</v>
      </c>
      <c r="BC17" s="352" t="str">
        <f>(VLOOKUP(A17,TradesEquity!$1:$1048576,32,FALSE))</f>
        <v>N</v>
      </c>
      <c r="BI17" s="375" t="str">
        <f>(VLOOKUP(A17,TradesEquity!$1:$1048576,38,FALSE))</f>
        <v xml:space="preserve">        </v>
      </c>
      <c r="BJ17" s="375" t="str">
        <f>(VLOOKUP(A17,TradesEquity!$1:$1048576,39,FALSE))</f>
        <v xml:space="preserve">        </v>
      </c>
      <c r="BK17" s="352" t="str">
        <f>(VLOOKUP(A17,TradesEquity!$1:$1048576,40,FALSE))</f>
        <v>PARBFRPPXXX</v>
      </c>
    </row>
    <row r="18" spans="1:63">
      <c r="A18" s="378">
        <v>2019200248</v>
      </c>
      <c r="D18" s="342" t="s">
        <v>1957</v>
      </c>
      <c r="F18" s="343">
        <f>VLOOKUP(A18,TradesEquity!$1:$1048576,2,FALSE)</f>
        <v>43872</v>
      </c>
      <c r="H18" s="343">
        <f>VLOOKUP(A18,TradesEquity!$1:$1048576,21,FALSE)</f>
        <v>43874</v>
      </c>
      <c r="I18" s="344" t="str">
        <f>IF(VLOOKUP(A18,TradesEquity!$1:$1048576,3,FALSE)="BUY","B","S")</f>
        <v>B</v>
      </c>
      <c r="J18" s="344" t="str">
        <f>VLOOKUP(A18,TradesEquity!$1:$1048576,5,FALSE)</f>
        <v>KR7042600007</v>
      </c>
      <c r="K18" s="342" t="s">
        <v>19</v>
      </c>
      <c r="L18" s="345" t="s">
        <v>1958</v>
      </c>
      <c r="AE18" s="346" t="str">
        <f>VLOOKUP(A18,TradesEquity!$1:$1048576,10,FALSE)</f>
        <v>KRW</v>
      </c>
      <c r="AF18" s="346" t="str">
        <f t="shared" si="1"/>
        <v>KRW</v>
      </c>
      <c r="AG18" s="346" t="str">
        <f t="shared" si="1"/>
        <v>KRW</v>
      </c>
      <c r="AH18" s="346" t="str">
        <f t="shared" si="1"/>
        <v>KRW</v>
      </c>
      <c r="AI18" s="346">
        <f>ABS(VLOOKUP(A18,TradesEquity!$1:$1048576,13,FALSE))</f>
        <v>17000</v>
      </c>
      <c r="AJ18" s="347">
        <v>0</v>
      </c>
      <c r="AK18" s="347">
        <v>1</v>
      </c>
      <c r="AL18" s="346">
        <f>VLOOKUP(A18,TradesEquity!$1:$1048576,11,FALSE)</f>
        <v>3418.7653</v>
      </c>
      <c r="AM18" s="347">
        <v>1</v>
      </c>
      <c r="AN18" s="346">
        <f>ABS(VLOOKUP(A18,TradesEquity!$1:$1048576,14,FALSE))</f>
        <v>58119010.100000001</v>
      </c>
      <c r="AO18" s="346">
        <f>ABS(VLOOKUP(A18,TradesEquity!$1:$1048576,15,FALSE))</f>
        <v>87179</v>
      </c>
      <c r="AP18" s="348">
        <f>ABS(VLOOKUP(A18,TradesEquity!$1:$1048576,16,FALSE))</f>
        <v>0</v>
      </c>
      <c r="AQ18" s="286">
        <v>0</v>
      </c>
      <c r="AR18" s="286">
        <v>0</v>
      </c>
      <c r="AS18" s="286">
        <v>0</v>
      </c>
      <c r="AT18" s="286">
        <v>0</v>
      </c>
      <c r="AU18" s="286">
        <v>0</v>
      </c>
      <c r="AV18" s="348">
        <f>ABS(VLOOKUP(A18,TradesEquity!$1:$1048576,18,FALSE))</f>
        <v>58206189.100000001</v>
      </c>
      <c r="AW18" s="349">
        <v>0</v>
      </c>
      <c r="AX18" s="350">
        <v>4542</v>
      </c>
      <c r="AY18" s="351" t="s">
        <v>1959</v>
      </c>
      <c r="AZ18" s="352" t="e">
        <f>(VLOOKUP(A18,TradesEquity!$1:$1048576,29,FALSE))</f>
        <v>#N/A</v>
      </c>
      <c r="BA18" s="352" t="e">
        <f>(VLOOKUP(A18,TradesEquity!$1:$1048576,30,FALSE))</f>
        <v>#N/A</v>
      </c>
      <c r="BB18" s="352" t="e">
        <f>(VLOOKUP(A18,TradesEquity!$1:$1048576,31,FALSE))</f>
        <v>#N/A</v>
      </c>
      <c r="BC18" s="352" t="e">
        <f>(VLOOKUP(A18,TradesEquity!$1:$1048576,32,FALSE))</f>
        <v>#N/A</v>
      </c>
      <c r="BI18" s="375" t="e">
        <f>(VLOOKUP(A18,TradesEquity!$1:$1048576,38,FALSE))</f>
        <v>#N/A</v>
      </c>
      <c r="BJ18" s="375" t="e">
        <f>(VLOOKUP(A18,TradesEquity!$1:$1048576,39,FALSE))</f>
        <v>#N/A</v>
      </c>
      <c r="BK18" s="352" t="e">
        <f>(VLOOKUP(A18,TradesEquity!$1:$1048576,40,FALSE))</f>
        <v>#N/A</v>
      </c>
    </row>
    <row r="19" spans="1:63">
      <c r="A19" s="378">
        <v>2019200249</v>
      </c>
      <c r="D19" s="342" t="s">
        <v>1957</v>
      </c>
      <c r="F19" s="343">
        <f>VLOOKUP(A19,TradesEquity!$1:$1048576,2,FALSE)</f>
        <v>43872</v>
      </c>
      <c r="H19" s="343">
        <f>VLOOKUP(A19,TradesEquity!$1:$1048576,21,FALSE)</f>
        <v>43874</v>
      </c>
      <c r="I19" s="344" t="str">
        <f>IF(VLOOKUP(A19,TradesEquity!$1:$1048576,3,FALSE)="BUY","B","S")</f>
        <v>B</v>
      </c>
      <c r="J19" s="344" t="str">
        <f>VLOOKUP(A19,TradesEquity!$1:$1048576,5,FALSE)</f>
        <v>KR7042600007</v>
      </c>
      <c r="K19" s="342" t="s">
        <v>19</v>
      </c>
      <c r="L19" s="345" t="s">
        <v>1958</v>
      </c>
      <c r="AE19" s="346" t="str">
        <f>VLOOKUP(A19,TradesEquity!$1:$1048576,10,FALSE)</f>
        <v>KRW</v>
      </c>
      <c r="AF19" s="346" t="str">
        <f t="shared" si="1"/>
        <v>KRW</v>
      </c>
      <c r="AG19" s="346" t="str">
        <f t="shared" si="1"/>
        <v>KRW</v>
      </c>
      <c r="AH19" s="346" t="str">
        <f t="shared" si="1"/>
        <v>KRW</v>
      </c>
      <c r="AI19" s="346">
        <f>ABS(VLOOKUP(A19,TradesEquity!$1:$1048576,13,FALSE))</f>
        <v>580</v>
      </c>
      <c r="AJ19" s="347">
        <v>0</v>
      </c>
      <c r="AK19" s="347">
        <v>1</v>
      </c>
      <c r="AL19" s="346">
        <f>VLOOKUP(A19,TradesEquity!$1:$1048576,11,FALSE)</f>
        <v>3390</v>
      </c>
      <c r="AM19" s="347">
        <v>1</v>
      </c>
      <c r="AN19" s="346">
        <f>ABS(VLOOKUP(A19,TradesEquity!$1:$1048576,14,FALSE))</f>
        <v>1966200</v>
      </c>
      <c r="AO19" s="346">
        <f>ABS(VLOOKUP(A19,TradesEquity!$1:$1048576,15,FALSE))</f>
        <v>2949</v>
      </c>
      <c r="AP19" s="348">
        <f>ABS(VLOOKUP(A19,TradesEquity!$1:$1048576,16,FALSE))</f>
        <v>0</v>
      </c>
      <c r="AQ19" s="286">
        <v>0</v>
      </c>
      <c r="AR19" s="286">
        <v>0</v>
      </c>
      <c r="AS19" s="286">
        <v>0</v>
      </c>
      <c r="AT19" s="286">
        <v>0</v>
      </c>
      <c r="AU19" s="286">
        <v>0</v>
      </c>
      <c r="AV19" s="348">
        <f>ABS(VLOOKUP(A19,TradesEquity!$1:$1048576,18,FALSE))</f>
        <v>1969149</v>
      </c>
      <c r="AW19" s="349">
        <v>0</v>
      </c>
      <c r="AX19" s="350">
        <v>4542</v>
      </c>
      <c r="AY19" s="351" t="s">
        <v>1959</v>
      </c>
      <c r="AZ19" s="352" t="e">
        <f>(VLOOKUP(A19,TradesEquity!$1:$1048576,29,FALSE))</f>
        <v>#N/A</v>
      </c>
      <c r="BA19" s="352" t="e">
        <f>(VLOOKUP(A19,TradesEquity!$1:$1048576,30,FALSE))</f>
        <v>#N/A</v>
      </c>
      <c r="BB19" s="352" t="e">
        <f>(VLOOKUP(A19,TradesEquity!$1:$1048576,31,FALSE))</f>
        <v>#N/A</v>
      </c>
      <c r="BC19" s="352" t="e">
        <f>(VLOOKUP(A19,TradesEquity!$1:$1048576,32,FALSE))</f>
        <v>#N/A</v>
      </c>
      <c r="BI19" s="375" t="e">
        <f>(VLOOKUP(A19,TradesEquity!$1:$1048576,38,FALSE))</f>
        <v>#N/A</v>
      </c>
      <c r="BJ19" s="375" t="e">
        <f>(VLOOKUP(A19,TradesEquity!$1:$1048576,39,FALSE))</f>
        <v>#N/A</v>
      </c>
      <c r="BK19" s="352" t="e">
        <f>(VLOOKUP(A19,TradesEquity!$1:$1048576,40,FALSE))</f>
        <v>#N/A</v>
      </c>
    </row>
    <row r="20" spans="1:63">
      <c r="A20" s="378">
        <v>2019200247</v>
      </c>
      <c r="D20" s="342" t="s">
        <v>1957</v>
      </c>
      <c r="F20" s="343">
        <f>VLOOKUP(A20,TradesEquity!$1:$1048576,2,FALSE)</f>
        <v>43872</v>
      </c>
      <c r="H20" s="343">
        <f>VLOOKUP(A20,TradesEquity!$1:$1048576,21,FALSE)</f>
        <v>43874</v>
      </c>
      <c r="I20" s="344" t="str">
        <f>IF(VLOOKUP(A20,TradesEquity!$1:$1048576,3,FALSE)="BUY","B","S")</f>
        <v>B</v>
      </c>
      <c r="J20" s="344" t="str">
        <f>VLOOKUP(A20,TradesEquity!$1:$1048576,5,FALSE)</f>
        <v>AU000000WSA9</v>
      </c>
      <c r="K20" s="342" t="s">
        <v>19</v>
      </c>
      <c r="L20" s="345" t="s">
        <v>1958</v>
      </c>
      <c r="AE20" s="346" t="str">
        <f>VLOOKUP(A20,TradesEquity!$1:$1048576,10,FALSE)</f>
        <v>AUD</v>
      </c>
      <c r="AF20" s="346" t="str">
        <f t="shared" si="1"/>
        <v>AUD</v>
      </c>
      <c r="AG20" s="346" t="str">
        <f t="shared" si="1"/>
        <v>AUD</v>
      </c>
      <c r="AH20" s="346" t="str">
        <f t="shared" si="1"/>
        <v>AUD</v>
      </c>
      <c r="AI20" s="346">
        <f>ABS(VLOOKUP(A20,TradesEquity!$1:$1048576,13,FALSE))</f>
        <v>22000</v>
      </c>
      <c r="AJ20" s="347">
        <v>0</v>
      </c>
      <c r="AK20" s="347">
        <v>1</v>
      </c>
      <c r="AL20" s="346">
        <f>VLOOKUP(A20,TradesEquity!$1:$1048576,11,FALSE)</f>
        <v>2.5236999999999998</v>
      </c>
      <c r="AM20" s="347">
        <v>1</v>
      </c>
      <c r="AN20" s="346">
        <f>ABS(VLOOKUP(A20,TradesEquity!$1:$1048576,14,FALSE))</f>
        <v>55521.399999999994</v>
      </c>
      <c r="AO20" s="346">
        <f>ABS(VLOOKUP(A20,TradesEquity!$1:$1048576,15,FALSE))</f>
        <v>33.31</v>
      </c>
      <c r="AP20" s="348">
        <f>ABS(VLOOKUP(A20,TradesEquity!$1:$1048576,16,FALSE))</f>
        <v>0</v>
      </c>
      <c r="AQ20" s="286">
        <v>0</v>
      </c>
      <c r="AR20" s="286">
        <v>0</v>
      </c>
      <c r="AS20" s="286">
        <v>0</v>
      </c>
      <c r="AT20" s="286">
        <v>0</v>
      </c>
      <c r="AU20" s="286">
        <v>0</v>
      </c>
      <c r="AV20" s="348">
        <f>ABS(VLOOKUP(A20,TradesEquity!$1:$1048576,18,FALSE))</f>
        <v>55554.709999999992</v>
      </c>
      <c r="AW20" s="349">
        <v>0</v>
      </c>
      <c r="AX20" s="350">
        <v>4542</v>
      </c>
      <c r="AY20" s="351" t="s">
        <v>1959</v>
      </c>
      <c r="AZ20" s="352" t="str">
        <f>(VLOOKUP(A20,TradesEquity!$1:$1048576,29,FALSE))</f>
        <v>GSILGB2XXXX</v>
      </c>
      <c r="BA20" s="352" t="str">
        <f>(VLOOKUP(A20,TradesEquity!$1:$1048576,30,FALSE))</f>
        <v>CAETAU21</v>
      </c>
      <c r="BB20" s="352" t="str">
        <f>(VLOOKUP(A20,TradesEquity!$1:$1048576,31,FALSE))</f>
        <v>011-109048-061</v>
      </c>
      <c r="BC20" s="352" t="str">
        <f>(VLOOKUP(A20,TradesEquity!$1:$1048576,32,FALSE))</f>
        <v>N</v>
      </c>
      <c r="BI20" s="375" t="str">
        <f>(VLOOKUP(A20,TradesEquity!$1:$1048576,38,FALSE))</f>
        <v xml:space="preserve">        </v>
      </c>
      <c r="BJ20" s="375" t="str">
        <f>(VLOOKUP(A20,TradesEquity!$1:$1048576,39,FALSE))</f>
        <v xml:space="preserve">        </v>
      </c>
      <c r="BK20" s="352" t="str">
        <f>(VLOOKUP(A20,TradesEquity!$1:$1048576,40,FALSE))</f>
        <v>HKBAAU2SSYD</v>
      </c>
    </row>
    <row r="21" spans="1:63">
      <c r="A21" s="378">
        <v>2019200250</v>
      </c>
      <c r="D21" s="342" t="s">
        <v>1957</v>
      </c>
      <c r="F21" s="343">
        <f>VLOOKUP(A21,TradesEquity!$1:$1048576,2,FALSE)</f>
        <v>43872</v>
      </c>
      <c r="H21" s="343">
        <f>VLOOKUP(A21,TradesEquity!$1:$1048576,21,FALSE)</f>
        <v>43874</v>
      </c>
      <c r="I21" s="344" t="str">
        <f>IF(VLOOKUP(A21,TradesEquity!$1:$1048576,3,FALSE)="BUY","B","S")</f>
        <v>B</v>
      </c>
      <c r="J21" s="344" t="str">
        <f>VLOOKUP(A21,TradesEquity!$1:$1048576,5,FALSE)</f>
        <v>DE0005439004</v>
      </c>
      <c r="K21" s="342" t="s">
        <v>19</v>
      </c>
      <c r="L21" s="345" t="s">
        <v>1958</v>
      </c>
      <c r="AE21" s="346" t="str">
        <f>VLOOKUP(A21,TradesEquity!$1:$1048576,10,FALSE)</f>
        <v>EUR</v>
      </c>
      <c r="AF21" s="346" t="str">
        <f t="shared" si="1"/>
        <v>EUR</v>
      </c>
      <c r="AG21" s="346" t="str">
        <f t="shared" si="1"/>
        <v>EUR</v>
      </c>
      <c r="AH21" s="346" t="str">
        <f t="shared" si="1"/>
        <v>EUR</v>
      </c>
      <c r="AI21" s="346">
        <f>ABS(VLOOKUP(A21,TradesEquity!$1:$1048576,13,FALSE))</f>
        <v>420</v>
      </c>
      <c r="AJ21" s="347">
        <v>0</v>
      </c>
      <c r="AK21" s="347">
        <v>1</v>
      </c>
      <c r="AL21" s="346">
        <f>VLOOKUP(A21,TradesEquity!$1:$1048576,11,FALSE)</f>
        <v>103.9361</v>
      </c>
      <c r="AM21" s="347">
        <v>1</v>
      </c>
      <c r="AN21" s="346">
        <f>ABS(VLOOKUP(A21,TradesEquity!$1:$1048576,14,FALSE))</f>
        <v>43653.161999999997</v>
      </c>
      <c r="AO21" s="346">
        <f>ABS(VLOOKUP(A21,TradesEquity!$1:$1048576,15,FALSE))</f>
        <v>26.19</v>
      </c>
      <c r="AP21" s="348">
        <f>ABS(VLOOKUP(A21,TradesEquity!$1:$1048576,16,FALSE))</f>
        <v>0</v>
      </c>
      <c r="AQ21" s="286">
        <v>0</v>
      </c>
      <c r="AR21" s="286">
        <v>0</v>
      </c>
      <c r="AS21" s="286">
        <v>0</v>
      </c>
      <c r="AT21" s="286">
        <v>0</v>
      </c>
      <c r="AU21" s="286">
        <v>0</v>
      </c>
      <c r="AV21" s="348">
        <f>ABS(VLOOKUP(A21,TradesEquity!$1:$1048576,18,FALSE))</f>
        <v>43679.351999999999</v>
      </c>
      <c r="AW21" s="349">
        <v>0</v>
      </c>
      <c r="AX21" s="350">
        <v>4542</v>
      </c>
      <c r="AY21" s="351" t="s">
        <v>1959</v>
      </c>
      <c r="AZ21" s="352" t="str">
        <f>(VLOOKUP(A21,TradesEquity!$1:$1048576,29,FALSE))</f>
        <v>GSILGB2XXXX</v>
      </c>
      <c r="BA21" s="352" t="str">
        <f>(VLOOKUP(A21,TradesEquity!$1:$1048576,30,FALSE))</f>
        <v>DAKVDEFFXXX</v>
      </c>
      <c r="BB21" s="352" t="str">
        <f>(VLOOKUP(A21,TradesEquity!$1:$1048576,31,FALSE))</f>
        <v>DAKV7372000</v>
      </c>
      <c r="BC21" s="352" t="str">
        <f>(VLOOKUP(A21,TradesEquity!$1:$1048576,32,FALSE))</f>
        <v>N</v>
      </c>
      <c r="BI21" s="375" t="str">
        <f>(VLOOKUP(A21,TradesEquity!$1:$1048576,38,FALSE))</f>
        <v xml:space="preserve">        </v>
      </c>
      <c r="BJ21" s="375" t="str">
        <f>(VLOOKUP(A21,TradesEquity!$1:$1048576,39,FALSE))</f>
        <v xml:space="preserve">        </v>
      </c>
      <c r="BK21" s="352" t="str">
        <f>(VLOOKUP(A21,TradesEquity!$1:$1048576,40,FALSE))</f>
        <v>CITIDEFFXXX</v>
      </c>
    </row>
    <row r="22" spans="1:63">
      <c r="A22" s="378">
        <v>2019200251</v>
      </c>
      <c r="D22" s="342" t="s">
        <v>1957</v>
      </c>
      <c r="F22" s="343">
        <f>VLOOKUP(A22,TradesEquity!$1:$1048576,2,FALSE)</f>
        <v>43873</v>
      </c>
      <c r="H22" s="343">
        <f>VLOOKUP(A22,TradesEquity!$1:$1048576,21,FALSE)</f>
        <v>43875</v>
      </c>
      <c r="I22" s="344" t="str">
        <f>IF(VLOOKUP(A22,TradesEquity!$1:$1048576,3,FALSE)="BUY","B","S")</f>
        <v>S</v>
      </c>
      <c r="J22" s="344" t="str">
        <f>VLOOKUP(A22,TradesEquity!$1:$1048576,5,FALSE)</f>
        <v>KR7006401004</v>
      </c>
      <c r="K22" s="342" t="s">
        <v>19</v>
      </c>
      <c r="L22" s="345" t="s">
        <v>1958</v>
      </c>
      <c r="AE22" s="346" t="str">
        <f>VLOOKUP(A22,TradesEquity!$1:$1048576,10,FALSE)</f>
        <v>KRW</v>
      </c>
      <c r="AF22" s="346" t="str">
        <f t="shared" si="1"/>
        <v>KRW</v>
      </c>
      <c r="AG22" s="346" t="str">
        <f t="shared" si="1"/>
        <v>KRW</v>
      </c>
      <c r="AH22" s="346" t="str">
        <f t="shared" si="1"/>
        <v>KRW</v>
      </c>
      <c r="AI22" s="346">
        <f>ABS(VLOOKUP(A22,TradesEquity!$1:$1048576,13,FALSE))</f>
        <v>321</v>
      </c>
      <c r="AJ22" s="347">
        <v>0</v>
      </c>
      <c r="AK22" s="347">
        <v>1</v>
      </c>
      <c r="AL22" s="346">
        <f>VLOOKUP(A22,TradesEquity!$1:$1048576,11,FALSE)</f>
        <v>182000</v>
      </c>
      <c r="AM22" s="347">
        <v>1</v>
      </c>
      <c r="AN22" s="346">
        <f>ABS(VLOOKUP(A22,TradesEquity!$1:$1048576,14,FALSE))</f>
        <v>58422000</v>
      </c>
      <c r="AO22" s="346">
        <f>ABS(VLOOKUP(A22,TradesEquity!$1:$1048576,15,FALSE))</f>
        <v>87633</v>
      </c>
      <c r="AP22" s="348">
        <f>ABS(VLOOKUP(A22,TradesEquity!$1:$1048576,16,FALSE))</f>
        <v>146055</v>
      </c>
      <c r="AQ22" s="286">
        <v>0</v>
      </c>
      <c r="AR22" s="286">
        <v>0</v>
      </c>
      <c r="AS22" s="286">
        <v>0</v>
      </c>
      <c r="AT22" s="286">
        <v>0</v>
      </c>
      <c r="AU22" s="286">
        <v>0</v>
      </c>
      <c r="AV22" s="348">
        <f>ABS(VLOOKUP(A22,TradesEquity!$1:$1048576,18,FALSE))</f>
        <v>58188312</v>
      </c>
      <c r="AW22" s="349">
        <v>0</v>
      </c>
      <c r="AX22" s="350">
        <v>4542</v>
      </c>
      <c r="AY22" s="351" t="s">
        <v>1959</v>
      </c>
      <c r="AZ22" s="352" t="e">
        <f>(VLOOKUP(A22,TradesEquity!$1:$1048576,29,FALSE))</f>
        <v>#N/A</v>
      </c>
      <c r="BA22" s="352" t="e">
        <f>(VLOOKUP(A22,TradesEquity!$1:$1048576,30,FALSE))</f>
        <v>#N/A</v>
      </c>
      <c r="BB22" s="352" t="e">
        <f>(VLOOKUP(A22,TradesEquity!$1:$1048576,31,FALSE))</f>
        <v>#N/A</v>
      </c>
      <c r="BC22" s="352" t="e">
        <f>(VLOOKUP(A22,TradesEquity!$1:$1048576,32,FALSE))</f>
        <v>#N/A</v>
      </c>
      <c r="BI22" s="375" t="e">
        <f>(VLOOKUP(A22,TradesEquity!$1:$1048576,38,FALSE))</f>
        <v>#N/A</v>
      </c>
      <c r="BJ22" s="375" t="e">
        <f>(VLOOKUP(A22,TradesEquity!$1:$1048576,39,FALSE))</f>
        <v>#N/A</v>
      </c>
      <c r="BK22" s="352" t="e">
        <f>(VLOOKUP(A22,TradesEquity!$1:$1048576,40,FALSE))</f>
        <v>#N/A</v>
      </c>
    </row>
    <row r="23" spans="1:63">
      <c r="A23" s="378">
        <v>2019200252</v>
      </c>
      <c r="D23" s="342" t="s">
        <v>1957</v>
      </c>
      <c r="F23" s="343">
        <f>VLOOKUP(A23,TradesEquity!$1:$1048576,2,FALSE)</f>
        <v>43873</v>
      </c>
      <c r="H23" s="343">
        <f>VLOOKUP(A23,TradesEquity!$1:$1048576,21,FALSE)</f>
        <v>43875</v>
      </c>
      <c r="I23" s="344" t="str">
        <f>IF(VLOOKUP(A23,TradesEquity!$1:$1048576,3,FALSE)="BUY","B","S")</f>
        <v>B</v>
      </c>
      <c r="J23" s="344" t="str">
        <f>VLOOKUP(A23,TradesEquity!$1:$1048576,5,FALSE)</f>
        <v>JP3692000007</v>
      </c>
      <c r="K23" s="342" t="s">
        <v>19</v>
      </c>
      <c r="L23" s="345" t="s">
        <v>1958</v>
      </c>
      <c r="AE23" s="346" t="str">
        <f>VLOOKUP(A23,TradesEquity!$1:$1048576,10,FALSE)</f>
        <v>JPY</v>
      </c>
      <c r="AF23" s="346" t="str">
        <f t="shared" si="1"/>
        <v>JPY</v>
      </c>
      <c r="AG23" s="346" t="str">
        <f t="shared" si="1"/>
        <v>JPY</v>
      </c>
      <c r="AH23" s="346" t="str">
        <f t="shared" si="1"/>
        <v>JPY</v>
      </c>
      <c r="AI23" s="346">
        <f>ABS(VLOOKUP(A23,TradesEquity!$1:$1048576,13,FALSE))</f>
        <v>1200</v>
      </c>
      <c r="AJ23" s="347">
        <v>0</v>
      </c>
      <c r="AK23" s="347">
        <v>1</v>
      </c>
      <c r="AL23" s="346">
        <f>VLOOKUP(A23,TradesEquity!$1:$1048576,11,FALSE)</f>
        <v>1026.25</v>
      </c>
      <c r="AM23" s="347">
        <v>1</v>
      </c>
      <c r="AN23" s="346">
        <f>ABS(VLOOKUP(A23,TradesEquity!$1:$1048576,14,FALSE))</f>
        <v>1231500</v>
      </c>
      <c r="AO23" s="346">
        <f>ABS(VLOOKUP(A23,TradesEquity!$1:$1048576,15,FALSE))</f>
        <v>739</v>
      </c>
      <c r="AP23" s="348">
        <f>ABS(VLOOKUP(A23,TradesEquity!$1:$1048576,16,FALSE))</f>
        <v>0</v>
      </c>
      <c r="AQ23" s="286">
        <v>0</v>
      </c>
      <c r="AR23" s="286">
        <v>0</v>
      </c>
      <c r="AS23" s="286">
        <v>0</v>
      </c>
      <c r="AT23" s="286">
        <v>0</v>
      </c>
      <c r="AU23" s="286">
        <v>0</v>
      </c>
      <c r="AV23" s="348">
        <f>ABS(VLOOKUP(A23,TradesEquity!$1:$1048576,18,FALSE))</f>
        <v>1232239</v>
      </c>
      <c r="AW23" s="349">
        <v>0</v>
      </c>
      <c r="AX23" s="350">
        <v>4542</v>
      </c>
      <c r="AY23" s="351" t="s">
        <v>1959</v>
      </c>
      <c r="AZ23" s="352" t="str">
        <f>(VLOOKUP(A23,TradesEquity!$1:$1048576,29,FALSE))</f>
        <v>GSILGB2XXXX</v>
      </c>
      <c r="BA23" s="352" t="str">
        <f>(VLOOKUP(A23,TradesEquity!$1:$1048576,30,FALSE))</f>
        <v>JJSDJPJTXXX</v>
      </c>
      <c r="BB23" s="352">
        <f>(VLOOKUP(A23,TradesEquity!$1:$1048576,31,FALSE))</f>
        <v>6530490016</v>
      </c>
      <c r="BC23" s="352" t="str">
        <f>(VLOOKUP(A23,TradesEquity!$1:$1048576,32,FALSE))</f>
        <v>N</v>
      </c>
      <c r="BI23" s="375" t="str">
        <f>(VLOOKUP(A23,TradesEquity!$1:$1048576,38,FALSE))</f>
        <v xml:space="preserve">                  </v>
      </c>
      <c r="BJ23" s="375" t="str">
        <f>(VLOOKUP(A23,TradesEquity!$1:$1048576,39,FALSE))</f>
        <v xml:space="preserve">                          </v>
      </c>
      <c r="BK23" s="352" t="str">
        <f>(VLOOKUP(A23,TradesEquity!$1:$1048576,40,FALSE))</f>
        <v>GOLDJPJXXXX</v>
      </c>
    </row>
    <row r="24" spans="1:63">
      <c r="A24" s="378">
        <v>2019200253</v>
      </c>
      <c r="D24" s="342" t="s">
        <v>1957</v>
      </c>
      <c r="F24" s="343">
        <f>VLOOKUP(A24,TradesEquity!$1:$1048576,2,FALSE)</f>
        <v>43873</v>
      </c>
      <c r="H24" s="343">
        <f>VLOOKUP(A24,TradesEquity!$1:$1048576,21,FALSE)</f>
        <v>43875</v>
      </c>
      <c r="I24" s="344" t="str">
        <f>IF(VLOOKUP(A24,TradesEquity!$1:$1048576,3,FALSE)="BUY","B","S")</f>
        <v>B</v>
      </c>
      <c r="J24" s="344" t="str">
        <f>VLOOKUP(A24,TradesEquity!$1:$1048576,5,FALSE)</f>
        <v>JP3111200006</v>
      </c>
      <c r="K24" s="342" t="s">
        <v>19</v>
      </c>
      <c r="L24" s="345" t="s">
        <v>1958</v>
      </c>
      <c r="AE24" s="346" t="str">
        <f>VLOOKUP(A24,TradesEquity!$1:$1048576,10,FALSE)</f>
        <v>JPY</v>
      </c>
      <c r="AF24" s="346" t="str">
        <f t="shared" si="1"/>
        <v>JPY</v>
      </c>
      <c r="AG24" s="346" t="str">
        <f t="shared" si="1"/>
        <v>JPY</v>
      </c>
      <c r="AH24" s="346" t="str">
        <f t="shared" si="1"/>
        <v>JPY</v>
      </c>
      <c r="AI24" s="346">
        <f>ABS(VLOOKUP(A24,TradesEquity!$1:$1048576,13,FALSE))</f>
        <v>6700</v>
      </c>
      <c r="AJ24" s="347">
        <v>0</v>
      </c>
      <c r="AK24" s="347">
        <v>1</v>
      </c>
      <c r="AL24" s="346">
        <f>VLOOKUP(A24,TradesEquity!$1:$1048576,11,FALSE)</f>
        <v>1070</v>
      </c>
      <c r="AM24" s="347">
        <v>1</v>
      </c>
      <c r="AN24" s="346">
        <f>ABS(VLOOKUP(A24,TradesEquity!$1:$1048576,14,FALSE))</f>
        <v>7169000</v>
      </c>
      <c r="AO24" s="346">
        <f>ABS(VLOOKUP(A24,TradesEquity!$1:$1048576,15,FALSE))</f>
        <v>4301</v>
      </c>
      <c r="AP24" s="348">
        <f>ABS(VLOOKUP(A24,TradesEquity!$1:$1048576,16,FALSE))</f>
        <v>0</v>
      </c>
      <c r="AQ24" s="286">
        <v>0</v>
      </c>
      <c r="AR24" s="286">
        <v>0</v>
      </c>
      <c r="AS24" s="286">
        <v>0</v>
      </c>
      <c r="AT24" s="286">
        <v>0</v>
      </c>
      <c r="AU24" s="286">
        <v>0</v>
      </c>
      <c r="AV24" s="348">
        <f>ABS(VLOOKUP(A24,TradesEquity!$1:$1048576,18,FALSE))</f>
        <v>7173301</v>
      </c>
      <c r="AW24" s="349">
        <v>0</v>
      </c>
      <c r="AX24" s="350">
        <v>4542</v>
      </c>
      <c r="AY24" s="351" t="s">
        <v>1959</v>
      </c>
      <c r="AZ24" s="352" t="str">
        <f>(VLOOKUP(A24,TradesEquity!$1:$1048576,29,FALSE))</f>
        <v>GSILGB2XXXX</v>
      </c>
      <c r="BA24" s="352" t="str">
        <f>(VLOOKUP(A24,TradesEquity!$1:$1048576,30,FALSE))</f>
        <v>JJSDJPJTXXX</v>
      </c>
      <c r="BB24" s="352">
        <f>(VLOOKUP(A24,TradesEquity!$1:$1048576,31,FALSE))</f>
        <v>6530490016</v>
      </c>
      <c r="BC24" s="352" t="str">
        <f>(VLOOKUP(A24,TradesEquity!$1:$1048576,32,FALSE))</f>
        <v>N</v>
      </c>
      <c r="BI24" s="375" t="str">
        <f>(VLOOKUP(A24,TradesEquity!$1:$1048576,38,FALSE))</f>
        <v xml:space="preserve">                  </v>
      </c>
      <c r="BJ24" s="375" t="str">
        <f>(VLOOKUP(A24,TradesEquity!$1:$1048576,39,FALSE))</f>
        <v xml:space="preserve">                          </v>
      </c>
      <c r="BK24" s="352" t="str">
        <f>(VLOOKUP(A24,TradesEquity!$1:$1048576,40,FALSE))</f>
        <v>GOLDJPJXXXX</v>
      </c>
    </row>
    <row r="25" spans="1:63">
      <c r="A25" s="378">
        <v>2019200254</v>
      </c>
      <c r="D25" s="342" t="s">
        <v>1957</v>
      </c>
      <c r="F25" s="343">
        <f>VLOOKUP(A25,TradesEquity!$1:$1048576,2,FALSE)</f>
        <v>43874</v>
      </c>
      <c r="H25" s="343">
        <f>VLOOKUP(A25,TradesEquity!$1:$1048576,21,FALSE)</f>
        <v>43878</v>
      </c>
      <c r="I25" s="344" t="str">
        <f>IF(VLOOKUP(A25,TradesEquity!$1:$1048576,3,FALSE)="BUY","B","S")</f>
        <v>B</v>
      </c>
      <c r="J25" s="344" t="str">
        <f>VLOOKUP(A25,TradesEquity!$1:$1048576,5,FALSE)</f>
        <v>JP3692000007</v>
      </c>
      <c r="K25" s="342" t="s">
        <v>19</v>
      </c>
      <c r="L25" s="345" t="s">
        <v>1958</v>
      </c>
      <c r="AE25" s="346" t="str">
        <f>VLOOKUP(A25,TradesEquity!$1:$1048576,10,FALSE)</f>
        <v>JPY</v>
      </c>
      <c r="AF25" s="346" t="str">
        <f t="shared" si="1"/>
        <v>JPY</v>
      </c>
      <c r="AG25" s="346" t="str">
        <f t="shared" si="1"/>
        <v>JPY</v>
      </c>
      <c r="AH25" s="346" t="str">
        <f t="shared" si="1"/>
        <v>JPY</v>
      </c>
      <c r="AI25" s="346">
        <f>ABS(VLOOKUP(A25,TradesEquity!$1:$1048576,13,FALSE))</f>
        <v>2100</v>
      </c>
      <c r="AJ25" s="347">
        <v>0</v>
      </c>
      <c r="AK25" s="347">
        <v>1</v>
      </c>
      <c r="AL25" s="346">
        <f>VLOOKUP(A25,TradesEquity!$1:$1048576,11,FALSE)</f>
        <v>1014.2381</v>
      </c>
      <c r="AM25" s="347">
        <v>1</v>
      </c>
      <c r="AN25" s="346">
        <f>ABS(VLOOKUP(A25,TradesEquity!$1:$1048576,14,FALSE))</f>
        <v>2129900.0100000002</v>
      </c>
      <c r="AO25" s="346">
        <f>ABS(VLOOKUP(A25,TradesEquity!$1:$1048576,15,FALSE))</f>
        <v>1278</v>
      </c>
      <c r="AP25" s="348">
        <f>ABS(VLOOKUP(A25,TradesEquity!$1:$1048576,16,FALSE))</f>
        <v>0</v>
      </c>
      <c r="AQ25" s="286">
        <v>0</v>
      </c>
      <c r="AR25" s="286">
        <v>0</v>
      </c>
      <c r="AS25" s="286">
        <v>0</v>
      </c>
      <c r="AT25" s="286">
        <v>0</v>
      </c>
      <c r="AU25" s="286">
        <v>0</v>
      </c>
      <c r="AV25" s="348">
        <f>ABS(VLOOKUP(A25,TradesEquity!$1:$1048576,18,FALSE))</f>
        <v>2131178.0100000002</v>
      </c>
      <c r="AW25" s="349">
        <v>0</v>
      </c>
      <c r="AX25" s="350">
        <v>4542</v>
      </c>
      <c r="AY25" s="351" t="s">
        <v>1959</v>
      </c>
      <c r="AZ25" s="352" t="str">
        <f>(VLOOKUP(A25,TradesEquity!$1:$1048576,29,FALSE))</f>
        <v>GSILGB2XXXX</v>
      </c>
      <c r="BA25" s="352" t="str">
        <f>(VLOOKUP(A25,TradesEquity!$1:$1048576,30,FALSE))</f>
        <v>JJSDJPJTXXX</v>
      </c>
      <c r="BB25" s="352">
        <f>(VLOOKUP(A25,TradesEquity!$1:$1048576,31,FALSE))</f>
        <v>6530490016</v>
      </c>
      <c r="BC25" s="352" t="str">
        <f>(VLOOKUP(A25,TradesEquity!$1:$1048576,32,FALSE))</f>
        <v>N</v>
      </c>
      <c r="BI25" s="375" t="str">
        <f>(VLOOKUP(A25,TradesEquity!$1:$1048576,38,FALSE))</f>
        <v xml:space="preserve">                  </v>
      </c>
      <c r="BJ25" s="375" t="str">
        <f>(VLOOKUP(A25,TradesEquity!$1:$1048576,39,FALSE))</f>
        <v xml:space="preserve">                          </v>
      </c>
      <c r="BK25" s="352" t="str">
        <f>(VLOOKUP(A25,TradesEquity!$1:$1048576,40,FALSE))</f>
        <v>GOLDJPJXXXX</v>
      </c>
    </row>
    <row r="26" spans="1:63">
      <c r="A26" s="378">
        <v>2019200255</v>
      </c>
      <c r="D26" s="342" t="s">
        <v>1957</v>
      </c>
      <c r="F26" s="343">
        <f>VLOOKUP(A26,TradesEquity!$1:$1048576,2,FALSE)</f>
        <v>43875</v>
      </c>
      <c r="H26" s="343">
        <f>VLOOKUP(A26,TradesEquity!$1:$1048576,21,FALSE)</f>
        <v>43879</v>
      </c>
      <c r="I26" s="344" t="str">
        <f>IF(VLOOKUP(A26,TradesEquity!$1:$1048576,3,FALSE)="BUY","B","S")</f>
        <v>B</v>
      </c>
      <c r="J26" s="344" t="str">
        <f>VLOOKUP(A26,TradesEquity!$1:$1048576,5,FALSE)</f>
        <v>JP3692000007</v>
      </c>
      <c r="K26" s="342" t="s">
        <v>19</v>
      </c>
      <c r="L26" s="345" t="s">
        <v>1958</v>
      </c>
      <c r="AE26" s="346" t="str">
        <f>VLOOKUP(A26,TradesEquity!$1:$1048576,10,FALSE)</f>
        <v>JPY</v>
      </c>
      <c r="AF26" s="346" t="str">
        <f t="shared" si="1"/>
        <v>JPY</v>
      </c>
      <c r="AG26" s="346" t="str">
        <f t="shared" si="1"/>
        <v>JPY</v>
      </c>
      <c r="AH26" s="346" t="str">
        <f t="shared" si="1"/>
        <v>JPY</v>
      </c>
      <c r="AI26" s="346">
        <f>ABS(VLOOKUP(A26,TradesEquity!$1:$1048576,13,FALSE))</f>
        <v>4200</v>
      </c>
      <c r="AJ26" s="347">
        <v>0</v>
      </c>
      <c r="AK26" s="347">
        <v>1</v>
      </c>
      <c r="AL26" s="346">
        <f>VLOOKUP(A26,TradesEquity!$1:$1048576,11,FALSE)</f>
        <v>991.44047999999998</v>
      </c>
      <c r="AM26" s="347">
        <v>1</v>
      </c>
      <c r="AN26" s="346">
        <f>ABS(VLOOKUP(A26,TradesEquity!$1:$1048576,14,FALSE))</f>
        <v>4164050.0159999998</v>
      </c>
      <c r="AO26" s="346">
        <f>ABS(VLOOKUP(A26,TradesEquity!$1:$1048576,15,FALSE))</f>
        <v>2498</v>
      </c>
      <c r="AP26" s="348">
        <f>ABS(VLOOKUP(A26,TradesEquity!$1:$1048576,16,FALSE))</f>
        <v>0</v>
      </c>
      <c r="AQ26" s="286">
        <v>0</v>
      </c>
      <c r="AR26" s="286">
        <v>0</v>
      </c>
      <c r="AS26" s="286">
        <v>0</v>
      </c>
      <c r="AT26" s="286">
        <v>0</v>
      </c>
      <c r="AU26" s="286">
        <v>0</v>
      </c>
      <c r="AV26" s="348">
        <f>ABS(VLOOKUP(A26,TradesEquity!$1:$1048576,18,FALSE))</f>
        <v>4166548.0159999998</v>
      </c>
      <c r="AW26" s="349">
        <v>0</v>
      </c>
      <c r="AX26" s="350">
        <v>4542</v>
      </c>
      <c r="AY26" s="351" t="s">
        <v>1959</v>
      </c>
      <c r="AZ26" s="352" t="str">
        <f>(VLOOKUP(A26,TradesEquity!$1:$1048576,29,FALSE))</f>
        <v>GSILGB2XXXX</v>
      </c>
      <c r="BA26" s="352" t="str">
        <f>(VLOOKUP(A26,TradesEquity!$1:$1048576,30,FALSE))</f>
        <v>JJSDJPJTXXX</v>
      </c>
      <c r="BB26" s="352">
        <f>(VLOOKUP(A26,TradesEquity!$1:$1048576,31,FALSE))</f>
        <v>6530490016</v>
      </c>
      <c r="BC26" s="352" t="str">
        <f>(VLOOKUP(A26,TradesEquity!$1:$1048576,32,FALSE))</f>
        <v>N</v>
      </c>
      <c r="BI26" s="375" t="str">
        <f>(VLOOKUP(A26,TradesEquity!$1:$1048576,38,FALSE))</f>
        <v xml:space="preserve">                  </v>
      </c>
      <c r="BJ26" s="375" t="str">
        <f>(VLOOKUP(A26,TradesEquity!$1:$1048576,39,FALSE))</f>
        <v xml:space="preserve">                          </v>
      </c>
      <c r="BK26" s="352" t="str">
        <f>(VLOOKUP(A26,TradesEquity!$1:$1048576,40,FALSE))</f>
        <v>GOLDJPJXXXX</v>
      </c>
    </row>
    <row r="27" spans="1:63">
      <c r="A27" s="378">
        <v>2019200256</v>
      </c>
      <c r="D27" s="342" t="s">
        <v>1957</v>
      </c>
      <c r="F27" s="343">
        <f>VLOOKUP(A27,TradesEquity!$1:$1048576,2,FALSE)</f>
        <v>43881</v>
      </c>
      <c r="H27" s="343">
        <f>VLOOKUP(A27,TradesEquity!$1:$1048576,21,FALSE)</f>
        <v>43885</v>
      </c>
      <c r="I27" s="344" t="str">
        <f>IF(VLOOKUP(A27,TradesEquity!$1:$1048576,3,FALSE)="BUY","B","S")</f>
        <v>B</v>
      </c>
      <c r="J27" s="344" t="str">
        <f>VLOOKUP(A27,TradesEquity!$1:$1048576,5,FALSE)</f>
        <v>FR0000131757</v>
      </c>
      <c r="K27" s="342" t="s">
        <v>19</v>
      </c>
      <c r="L27" s="345" t="s">
        <v>1958</v>
      </c>
      <c r="AE27" s="346" t="str">
        <f>VLOOKUP(A27,TradesEquity!$1:$1048576,10,FALSE)</f>
        <v>EUR</v>
      </c>
      <c r="AF27" s="346" t="str">
        <f t="shared" si="1"/>
        <v>EUR</v>
      </c>
      <c r="AG27" s="346" t="str">
        <f t="shared" si="1"/>
        <v>EUR</v>
      </c>
      <c r="AH27" s="346" t="str">
        <f t="shared" si="1"/>
        <v>EUR</v>
      </c>
      <c r="AI27" s="346">
        <f>ABS(VLOOKUP(A27,TradesEquity!$1:$1048576,13,FALSE))</f>
        <v>1300</v>
      </c>
      <c r="AJ27" s="347">
        <v>0</v>
      </c>
      <c r="AK27" s="347">
        <v>1</v>
      </c>
      <c r="AL27" s="346">
        <f>VLOOKUP(A27,TradesEquity!$1:$1048576,11,FALSE)</f>
        <v>32.887500000000003</v>
      </c>
      <c r="AM27" s="347">
        <v>1</v>
      </c>
      <c r="AN27" s="346">
        <f>ABS(VLOOKUP(A27,TradesEquity!$1:$1048576,14,FALSE))</f>
        <v>42753.750000000007</v>
      </c>
      <c r="AO27" s="346">
        <f>ABS(VLOOKUP(A27,TradesEquity!$1:$1048576,15,FALSE))</f>
        <v>25.65</v>
      </c>
      <c r="AP27" s="348">
        <f>ABS(VLOOKUP(A27,TradesEquity!$1:$1048576,16,FALSE))</f>
        <v>128.26</v>
      </c>
      <c r="AQ27" s="286">
        <v>0</v>
      </c>
      <c r="AR27" s="286">
        <v>0</v>
      </c>
      <c r="AS27" s="286">
        <v>0</v>
      </c>
      <c r="AT27" s="286">
        <v>0</v>
      </c>
      <c r="AU27" s="286">
        <v>0</v>
      </c>
      <c r="AV27" s="348">
        <f>ABS(VLOOKUP(A27,TradesEquity!$1:$1048576,18,FALSE))</f>
        <v>42907.660000000011</v>
      </c>
      <c r="AW27" s="349">
        <v>0</v>
      </c>
      <c r="AX27" s="350">
        <v>4542</v>
      </c>
      <c r="AY27" s="351" t="s">
        <v>1959</v>
      </c>
      <c r="AZ27" s="352" t="str">
        <f>(VLOOKUP(A27,TradesEquity!$1:$1048576,29,FALSE))</f>
        <v>GSILGB2XXXX</v>
      </c>
      <c r="BA27" s="352" t="str">
        <f>(VLOOKUP(A27,TradesEquity!$1:$1048576,30,FALSE))</f>
        <v>SICVFRPPXXX</v>
      </c>
      <c r="BB27" s="352" t="str">
        <f>(VLOOKUP(A27,TradesEquity!$1:$1048576,31,FALSE))</f>
        <v>SICVPARBFRPPXXX000L10</v>
      </c>
      <c r="BC27" s="352" t="str">
        <f>(VLOOKUP(A27,TradesEquity!$1:$1048576,32,FALSE))</f>
        <v>N</v>
      </c>
      <c r="BI27" s="375" t="str">
        <f>(VLOOKUP(A27,TradesEquity!$1:$1048576,38,FALSE))</f>
        <v xml:space="preserve">        </v>
      </c>
      <c r="BJ27" s="375" t="str">
        <f>(VLOOKUP(A27,TradesEquity!$1:$1048576,39,FALSE))</f>
        <v xml:space="preserve">        </v>
      </c>
      <c r="BK27" s="352" t="str">
        <f>(VLOOKUP(A27,TradesEquity!$1:$1048576,40,FALSE))</f>
        <v>PARBFRPPXXX</v>
      </c>
    </row>
    <row r="28" spans="1:63">
      <c r="A28" s="378">
        <v>2019200257</v>
      </c>
      <c r="D28" s="342" t="s">
        <v>1957</v>
      </c>
      <c r="F28" s="343">
        <f>VLOOKUP(A28,TradesEquity!$1:$1048576,2,FALSE)</f>
        <v>43885</v>
      </c>
      <c r="H28" s="343">
        <f>VLOOKUP(A28,TradesEquity!$1:$1048576,21,FALSE)</f>
        <v>43887</v>
      </c>
      <c r="I28" s="344" t="str">
        <f>IF(VLOOKUP(A28,TradesEquity!$1:$1048576,3,FALSE)="BUY","B","S")</f>
        <v>B</v>
      </c>
      <c r="J28" s="344" t="str">
        <f>VLOOKUP(A28,TradesEquity!$1:$1048576,5,FALSE)</f>
        <v>DE0007664039</v>
      </c>
      <c r="K28" s="342" t="s">
        <v>19</v>
      </c>
      <c r="L28" s="345" t="s">
        <v>1958</v>
      </c>
      <c r="AE28" s="346" t="str">
        <f>VLOOKUP(A28,TradesEquity!$1:$1048576,10,FALSE)</f>
        <v>EUR</v>
      </c>
      <c r="AF28" s="346" t="str">
        <f t="shared" si="1"/>
        <v>EUR</v>
      </c>
      <c r="AG28" s="346" t="str">
        <f t="shared" si="1"/>
        <v>EUR</v>
      </c>
      <c r="AH28" s="346" t="str">
        <f t="shared" si="1"/>
        <v>EUR</v>
      </c>
      <c r="AI28" s="346">
        <f>ABS(VLOOKUP(A28,TradesEquity!$1:$1048576,13,FALSE))</f>
        <v>400</v>
      </c>
      <c r="AJ28" s="347">
        <v>0</v>
      </c>
      <c r="AK28" s="347">
        <v>1</v>
      </c>
      <c r="AL28" s="346">
        <f>VLOOKUP(A28,TradesEquity!$1:$1048576,11,FALSE)</f>
        <v>158.07650000000001</v>
      </c>
      <c r="AM28" s="347">
        <v>1</v>
      </c>
      <c r="AN28" s="346">
        <f>ABS(VLOOKUP(A28,TradesEquity!$1:$1048576,14,FALSE))</f>
        <v>63230.600000000006</v>
      </c>
      <c r="AO28" s="346">
        <f>ABS(VLOOKUP(A28,TradesEquity!$1:$1048576,15,FALSE))</f>
        <v>31.62</v>
      </c>
      <c r="AP28" s="348">
        <f>ABS(VLOOKUP(A28,TradesEquity!$1:$1048576,16,FALSE))</f>
        <v>0</v>
      </c>
      <c r="AQ28" s="286">
        <v>0</v>
      </c>
      <c r="AR28" s="286">
        <v>0</v>
      </c>
      <c r="AS28" s="286">
        <v>0</v>
      </c>
      <c r="AT28" s="286">
        <v>0</v>
      </c>
      <c r="AU28" s="286">
        <v>0</v>
      </c>
      <c r="AV28" s="348">
        <f>ABS(VLOOKUP(A28,TradesEquity!$1:$1048576,18,FALSE))</f>
        <v>63262.220000000008</v>
      </c>
      <c r="AW28" s="349">
        <v>0</v>
      </c>
      <c r="AX28" s="350">
        <v>4542</v>
      </c>
      <c r="AY28" s="351" t="s">
        <v>1959</v>
      </c>
      <c r="AZ28" s="352" t="str">
        <f>(VLOOKUP(A28,TradesEquity!$1:$1048576,29,FALSE))</f>
        <v>PAREFRPPXXX</v>
      </c>
      <c r="BA28" s="352" t="str">
        <f>(VLOOKUP(A28,TradesEquity!$1:$1048576,30,FALSE))</f>
        <v>DAKVDEFFXXX</v>
      </c>
      <c r="BB28" s="352" t="str">
        <f>(VLOOKUP(A28,TradesEquity!$1:$1048576,31,FALSE))</f>
        <v>DAKV 8448</v>
      </c>
      <c r="BC28" s="352" t="str">
        <f>(VLOOKUP(A28,TradesEquity!$1:$1048576,32,FALSE))</f>
        <v>N</v>
      </c>
      <c r="BI28" s="375" t="str">
        <f>(VLOOKUP(A28,TradesEquity!$1:$1048576,38,FALSE))</f>
        <v xml:space="preserve">        </v>
      </c>
      <c r="BJ28" s="375" t="str">
        <f>(VLOOKUP(A28,TradesEquity!$1:$1048576,39,FALSE))</f>
        <v xml:space="preserve">        </v>
      </c>
      <c r="BK28" s="352" t="str">
        <f>(VLOOKUP(A28,TradesEquity!$1:$1048576,40,FALSE))</f>
        <v>SGABCHZZ448</v>
      </c>
    </row>
    <row r="29" spans="1:63">
      <c r="A29" s="378">
        <v>2019200258</v>
      </c>
      <c r="D29" s="342" t="s">
        <v>1957</v>
      </c>
      <c r="F29" s="343">
        <f>VLOOKUP(A29,TradesEquity!$1:$1048576,2,FALSE)</f>
        <v>43885</v>
      </c>
      <c r="H29" s="343">
        <f>VLOOKUP(A29,TradesEquity!$1:$1048576,21,FALSE)</f>
        <v>43887</v>
      </c>
      <c r="I29" s="344" t="str">
        <f>IF(VLOOKUP(A29,TradesEquity!$1:$1048576,3,FALSE)="BUY","B","S")</f>
        <v>B</v>
      </c>
      <c r="J29" s="344" t="str">
        <f>VLOOKUP(A29,TradesEquity!$1:$1048576,5,FALSE)</f>
        <v>FR0013176526</v>
      </c>
      <c r="K29" s="342" t="s">
        <v>19</v>
      </c>
      <c r="L29" s="345" t="s">
        <v>1958</v>
      </c>
      <c r="AE29" s="346" t="str">
        <f>VLOOKUP(A29,TradesEquity!$1:$1048576,10,FALSE)</f>
        <v>EUR</v>
      </c>
      <c r="AF29" s="346" t="str">
        <f t="shared" si="1"/>
        <v>EUR</v>
      </c>
      <c r="AG29" s="346" t="str">
        <f t="shared" si="1"/>
        <v>EUR</v>
      </c>
      <c r="AH29" s="346" t="str">
        <f t="shared" si="1"/>
        <v>EUR</v>
      </c>
      <c r="AI29" s="346">
        <f>ABS(VLOOKUP(A29,TradesEquity!$1:$1048576,13,FALSE))</f>
        <v>1300</v>
      </c>
      <c r="AJ29" s="347">
        <v>0</v>
      </c>
      <c r="AK29" s="347">
        <v>1</v>
      </c>
      <c r="AL29" s="346">
        <f>VLOOKUP(A29,TradesEquity!$1:$1048576,11,FALSE)</f>
        <v>25.2135</v>
      </c>
      <c r="AM29" s="347">
        <v>1</v>
      </c>
      <c r="AN29" s="346">
        <f>ABS(VLOOKUP(A29,TradesEquity!$1:$1048576,14,FALSE))</f>
        <v>32777.550000000003</v>
      </c>
      <c r="AO29" s="346">
        <f>ABS(VLOOKUP(A29,TradesEquity!$1:$1048576,15,FALSE))</f>
        <v>16.39</v>
      </c>
      <c r="AP29" s="348">
        <f>ABS(VLOOKUP(A29,TradesEquity!$1:$1048576,16,FALSE))</f>
        <v>98.33</v>
      </c>
      <c r="AQ29" s="286">
        <v>0</v>
      </c>
      <c r="AR29" s="286">
        <v>0</v>
      </c>
      <c r="AS29" s="286">
        <v>0</v>
      </c>
      <c r="AT29" s="286">
        <v>0</v>
      </c>
      <c r="AU29" s="286">
        <v>0</v>
      </c>
      <c r="AV29" s="348">
        <f>ABS(VLOOKUP(A29,TradesEquity!$1:$1048576,18,FALSE))</f>
        <v>32892.270000000004</v>
      </c>
      <c r="AW29" s="349">
        <v>0</v>
      </c>
      <c r="AX29" s="350">
        <v>4542</v>
      </c>
      <c r="AY29" s="351" t="s">
        <v>1959</v>
      </c>
      <c r="AZ29" s="352" t="str">
        <f>(VLOOKUP(A29,TradesEquity!$1:$1048576,29,FALSE))</f>
        <v>JBBRFRPPXXX</v>
      </c>
      <c r="BA29" s="352" t="str">
        <f>(VLOOKUP(A29,TradesEquity!$1:$1048576,30,FALSE))</f>
        <v>SICVFRPPXXX</v>
      </c>
      <c r="BB29" s="352" t="str">
        <f>(VLOOKUP(A29,TradesEquity!$1:$1048576,31,FALSE))</f>
        <v>SICVPAREFRPPKCH000L10</v>
      </c>
      <c r="BC29" s="352" t="str">
        <f>(VLOOKUP(A29,TradesEquity!$1:$1048576,32,FALSE))</f>
        <v>N</v>
      </c>
      <c r="BI29" s="375" t="str">
        <f>(VLOOKUP(A29,TradesEquity!$1:$1048576,38,FALSE))</f>
        <v xml:space="preserve">        </v>
      </c>
      <c r="BJ29" s="375" t="str">
        <f>(VLOOKUP(A29,TradesEquity!$1:$1048576,39,FALSE))</f>
        <v xml:space="preserve">        </v>
      </c>
      <c r="BK29" s="352" t="str">
        <f>(VLOOKUP(A29,TradesEquity!$1:$1048576,40,FALSE))</f>
        <v>PAREFRPPKCH</v>
      </c>
    </row>
    <row r="30" spans="1:63">
      <c r="A30" s="378">
        <v>2019200259</v>
      </c>
      <c r="D30" s="342" t="s">
        <v>1957</v>
      </c>
      <c r="F30" s="343">
        <f>VLOOKUP(A30,TradesEquity!$1:$1048576,2,FALSE)</f>
        <v>43886</v>
      </c>
      <c r="H30" s="343">
        <f>VLOOKUP(A30,TradesEquity!$1:$1048576,21,FALSE)</f>
        <v>43888</v>
      </c>
      <c r="I30" s="344" t="str">
        <f>IF(VLOOKUP(A30,TradesEquity!$1:$1048576,3,FALSE)="BUY","B","S")</f>
        <v>B</v>
      </c>
      <c r="J30" s="344" t="str">
        <f>VLOOKUP(A30,TradesEquity!$1:$1048576,5,FALSE)</f>
        <v>US3434121022</v>
      </c>
      <c r="K30" s="342" t="s">
        <v>19</v>
      </c>
      <c r="L30" s="345" t="s">
        <v>1958</v>
      </c>
      <c r="AE30" s="346" t="str">
        <f>VLOOKUP(A30,TradesEquity!$1:$1048576,10,FALSE)</f>
        <v>USD</v>
      </c>
      <c r="AF30" s="346" t="str">
        <f t="shared" si="1"/>
        <v>USD</v>
      </c>
      <c r="AG30" s="346" t="str">
        <f t="shared" si="1"/>
        <v>USD</v>
      </c>
      <c r="AH30" s="346" t="str">
        <f t="shared" si="1"/>
        <v>USD</v>
      </c>
      <c r="AI30" s="346">
        <f>ABS(VLOOKUP(A30,TradesEquity!$1:$1048576,13,FALSE))</f>
        <v>2200</v>
      </c>
      <c r="AJ30" s="347">
        <v>0</v>
      </c>
      <c r="AK30" s="347">
        <v>1</v>
      </c>
      <c r="AL30" s="346">
        <f>VLOOKUP(A30,TradesEquity!$1:$1048576,11,FALSE)</f>
        <v>12.64432</v>
      </c>
      <c r="AM30" s="347">
        <v>1</v>
      </c>
      <c r="AN30" s="346">
        <f>ABS(VLOOKUP(A30,TradesEquity!$1:$1048576,14,FALSE))</f>
        <v>27817.504000000001</v>
      </c>
      <c r="AO30" s="346">
        <f>ABS(VLOOKUP(A30,TradesEquity!$1:$1048576,15,FALSE))</f>
        <v>13.91</v>
      </c>
      <c r="AP30" s="348">
        <f>ABS(VLOOKUP(A30,TradesEquity!$1:$1048576,16,FALSE))</f>
        <v>0</v>
      </c>
      <c r="AQ30" s="286">
        <v>0</v>
      </c>
      <c r="AR30" s="286">
        <v>0</v>
      </c>
      <c r="AS30" s="286">
        <v>0</v>
      </c>
      <c r="AT30" s="286">
        <v>0</v>
      </c>
      <c r="AU30" s="286">
        <v>0</v>
      </c>
      <c r="AV30" s="348">
        <f>ABS(VLOOKUP(A30,TradesEquity!$1:$1048576,18,FALSE))</f>
        <v>27831.414000000001</v>
      </c>
      <c r="AW30" s="349">
        <v>0</v>
      </c>
      <c r="AX30" s="350">
        <v>4542</v>
      </c>
      <c r="AY30" s="351" t="s">
        <v>1959</v>
      </c>
      <c r="AZ30" s="352" t="str">
        <f>(VLOOKUP(A30,TradesEquity!$1:$1048576,29,FALSE))</f>
        <v>GSILGB2XXXX</v>
      </c>
      <c r="BA30" s="352" t="str">
        <f>(VLOOKUP(A30,TradesEquity!$1:$1048576,30,FALSE))</f>
        <v>DTCYUS33</v>
      </c>
      <c r="BB30" s="352" t="str">
        <f>(VLOOKUP(A30,TradesEquity!$1:$1048576,31,FALSE))</f>
        <v xml:space="preserve">        </v>
      </c>
      <c r="BC30" s="352" t="str">
        <f>(VLOOKUP(A30,TradesEquity!$1:$1048576,32,FALSE))</f>
        <v>N</v>
      </c>
      <c r="BI30" s="375" t="str">
        <f>(VLOOKUP(A30,TradesEquity!$1:$1048576,38,FALSE))</f>
        <v>DTCYID</v>
      </c>
      <c r="BJ30" s="375">
        <f>(VLOOKUP(A30,TradesEquity!$1:$1048576,39,FALSE))</f>
        <v>5208</v>
      </c>
      <c r="BK30" s="352" t="str">
        <f>(VLOOKUP(A30,TradesEquity!$1:$1048576,40,FALSE))</f>
        <v xml:space="preserve">        </v>
      </c>
    </row>
    <row r="31" spans="1:63">
      <c r="A31" s="378">
        <v>2019200260</v>
      </c>
      <c r="D31" s="342" t="s">
        <v>1957</v>
      </c>
      <c r="F31" s="343">
        <f>VLOOKUP(A31,TradesEquity!$1:$1048576,2,FALSE)</f>
        <v>43888</v>
      </c>
      <c r="H31" s="343">
        <f>VLOOKUP(A31,TradesEquity!$1:$1048576,21,FALSE)</f>
        <v>43892</v>
      </c>
      <c r="I31" s="344" t="str">
        <f>IF(VLOOKUP(A31,TradesEquity!$1:$1048576,3,FALSE)="BUY","B","S")</f>
        <v>B</v>
      </c>
      <c r="J31" s="344" t="str">
        <f>VLOOKUP(A31,TradesEquity!$1:$1048576,5,FALSE)</f>
        <v>US3434121022</v>
      </c>
      <c r="K31" s="342" t="s">
        <v>19</v>
      </c>
      <c r="L31" s="345" t="s">
        <v>1958</v>
      </c>
      <c r="AE31" s="346" t="str">
        <f>VLOOKUP(A31,TradesEquity!$1:$1048576,10,FALSE)</f>
        <v>USD</v>
      </c>
      <c r="AF31" s="346" t="str">
        <f t="shared" si="1"/>
        <v>USD</v>
      </c>
      <c r="AG31" s="346" t="str">
        <f t="shared" si="1"/>
        <v>USD</v>
      </c>
      <c r="AH31" s="346" t="str">
        <f t="shared" si="1"/>
        <v>USD</v>
      </c>
      <c r="AI31" s="346">
        <f>ABS(VLOOKUP(A31,TradesEquity!$1:$1048576,13,FALSE))</f>
        <v>4200</v>
      </c>
      <c r="AJ31" s="347">
        <v>0</v>
      </c>
      <c r="AK31" s="347">
        <v>1</v>
      </c>
      <c r="AL31" s="346">
        <f>VLOOKUP(A31,TradesEquity!$1:$1048576,11,FALSE)</f>
        <v>9.99512</v>
      </c>
      <c r="AM31" s="347">
        <v>1</v>
      </c>
      <c r="AN31" s="346">
        <f>ABS(VLOOKUP(A31,TradesEquity!$1:$1048576,14,FALSE))</f>
        <v>41979.504000000001</v>
      </c>
      <c r="AO31" s="346">
        <f>ABS(VLOOKUP(A31,TradesEquity!$1:$1048576,15,FALSE))</f>
        <v>20.99</v>
      </c>
      <c r="AP31" s="348">
        <f>ABS(VLOOKUP(A31,TradesEquity!$1:$1048576,16,FALSE))</f>
        <v>0</v>
      </c>
      <c r="AQ31" s="286">
        <v>0</v>
      </c>
      <c r="AR31" s="286">
        <v>0</v>
      </c>
      <c r="AS31" s="286">
        <v>0</v>
      </c>
      <c r="AT31" s="286">
        <v>0</v>
      </c>
      <c r="AU31" s="286">
        <v>0</v>
      </c>
      <c r="AV31" s="348">
        <f>ABS(VLOOKUP(A31,TradesEquity!$1:$1048576,18,FALSE))</f>
        <v>42000.493999999999</v>
      </c>
      <c r="AW31" s="349">
        <v>0</v>
      </c>
      <c r="AX31" s="350">
        <v>4542</v>
      </c>
      <c r="AY31" s="351" t="s">
        <v>1959</v>
      </c>
      <c r="AZ31" s="352" t="str">
        <f>(VLOOKUP(A31,TradesEquity!$1:$1048576,29,FALSE))</f>
        <v>GSILGB2XXXX</v>
      </c>
      <c r="BA31" s="352" t="str">
        <f>(VLOOKUP(A31,TradesEquity!$1:$1048576,30,FALSE))</f>
        <v>DTCYUS33</v>
      </c>
      <c r="BB31" s="352" t="str">
        <f>(VLOOKUP(A31,TradesEquity!$1:$1048576,31,FALSE))</f>
        <v xml:space="preserve">        </v>
      </c>
      <c r="BC31" s="352" t="str">
        <f>(VLOOKUP(A31,TradesEquity!$1:$1048576,32,FALSE))</f>
        <v>N</v>
      </c>
      <c r="BI31" s="375" t="str">
        <f>(VLOOKUP(A31,TradesEquity!$1:$1048576,38,FALSE))</f>
        <v>DTCYID</v>
      </c>
      <c r="BJ31" s="375">
        <f>(VLOOKUP(A31,TradesEquity!$1:$1048576,39,FALSE))</f>
        <v>5208</v>
      </c>
      <c r="BK31" s="352" t="str">
        <f>(VLOOKUP(A31,TradesEquity!$1:$1048576,40,FALSE))</f>
        <v xml:space="preserve">        </v>
      </c>
    </row>
    <row r="32" spans="1:63">
      <c r="A32" s="378">
        <v>2019200261</v>
      </c>
      <c r="D32" s="342" t="s">
        <v>1957</v>
      </c>
      <c r="F32" s="343">
        <f>VLOOKUP(A32,TradesEquity!$1:$1048576,2,FALSE)</f>
        <v>43889</v>
      </c>
      <c r="H32" s="343">
        <f>VLOOKUP(A32,TradesEquity!$1:$1048576,21,FALSE)</f>
        <v>43893</v>
      </c>
      <c r="I32" s="344" t="str">
        <f>IF(VLOOKUP(A32,TradesEquity!$1:$1048576,3,FALSE)="BUY","B","S")</f>
        <v>B</v>
      </c>
      <c r="J32" s="344" t="str">
        <f>VLOOKUP(A32,TradesEquity!$1:$1048576,5,FALSE)</f>
        <v>DE0007664039</v>
      </c>
      <c r="K32" s="342" t="s">
        <v>19</v>
      </c>
      <c r="L32" s="345" t="s">
        <v>1958</v>
      </c>
      <c r="AE32" s="346" t="str">
        <f>VLOOKUP(A32,TradesEquity!$1:$1048576,10,FALSE)</f>
        <v>EUR</v>
      </c>
      <c r="AF32" s="346" t="str">
        <f t="shared" si="1"/>
        <v>EUR</v>
      </c>
      <c r="AG32" s="346" t="str">
        <f t="shared" si="1"/>
        <v>EUR</v>
      </c>
      <c r="AH32" s="346" t="str">
        <f t="shared" si="1"/>
        <v>EUR</v>
      </c>
      <c r="AI32" s="346">
        <f>ABS(VLOOKUP(A32,TradesEquity!$1:$1048576,13,FALSE))</f>
        <v>370</v>
      </c>
      <c r="AJ32" s="347">
        <v>0</v>
      </c>
      <c r="AK32" s="347">
        <v>1</v>
      </c>
      <c r="AL32" s="346">
        <f>VLOOKUP(A32,TradesEquity!$1:$1048576,11,FALSE)</f>
        <v>143.66499999999999</v>
      </c>
      <c r="AM32" s="347">
        <v>1</v>
      </c>
      <c r="AN32" s="346">
        <f>ABS(VLOOKUP(A32,TradesEquity!$1:$1048576,14,FALSE))</f>
        <v>53156.049999999996</v>
      </c>
      <c r="AO32" s="346">
        <f>ABS(VLOOKUP(A32,TradesEquity!$1:$1048576,15,FALSE))</f>
        <v>26.58</v>
      </c>
      <c r="AP32" s="348">
        <f>ABS(VLOOKUP(A32,TradesEquity!$1:$1048576,16,FALSE))</f>
        <v>0</v>
      </c>
      <c r="AQ32" s="286">
        <v>0</v>
      </c>
      <c r="AR32" s="286">
        <v>0</v>
      </c>
      <c r="AS32" s="286">
        <v>0</v>
      </c>
      <c r="AT32" s="286">
        <v>0</v>
      </c>
      <c r="AU32" s="286">
        <v>0</v>
      </c>
      <c r="AV32" s="348">
        <f>ABS(VLOOKUP(A32,TradesEquity!$1:$1048576,18,FALSE))</f>
        <v>53182.63</v>
      </c>
      <c r="AW32" s="349">
        <v>0</v>
      </c>
      <c r="AX32" s="350">
        <v>4542</v>
      </c>
      <c r="AY32" s="351" t="s">
        <v>1959</v>
      </c>
      <c r="AZ32" s="352" t="str">
        <f>(VLOOKUP(A32,TradesEquity!$1:$1048576,29,FALSE))</f>
        <v>PAREFRPPXXX</v>
      </c>
      <c r="BA32" s="352" t="str">
        <f>(VLOOKUP(A32,TradesEquity!$1:$1048576,30,FALSE))</f>
        <v>DAKVDEFFXXX</v>
      </c>
      <c r="BB32" s="352" t="str">
        <f>(VLOOKUP(A32,TradesEquity!$1:$1048576,31,FALSE))</f>
        <v>DAKV 8448</v>
      </c>
      <c r="BC32" s="352" t="str">
        <f>(VLOOKUP(A32,TradesEquity!$1:$1048576,32,FALSE))</f>
        <v>N</v>
      </c>
      <c r="BI32" s="375" t="str">
        <f>(VLOOKUP(A32,TradesEquity!$1:$1048576,38,FALSE))</f>
        <v xml:space="preserve">        </v>
      </c>
      <c r="BJ32" s="375" t="str">
        <f>(VLOOKUP(A32,TradesEquity!$1:$1048576,39,FALSE))</f>
        <v xml:space="preserve">        </v>
      </c>
      <c r="BK32" s="352" t="str">
        <f>(VLOOKUP(A32,TradesEquity!$1:$1048576,40,FALSE))</f>
        <v>SGABCHZZ448</v>
      </c>
    </row>
    <row r="33" spans="1:63">
      <c r="A33" s="378">
        <v>2019200262</v>
      </c>
      <c r="D33" s="342" t="s">
        <v>1957</v>
      </c>
      <c r="F33" s="343">
        <f>VLOOKUP(A33,TradesEquity!$1:$1048576,2,FALSE)</f>
        <v>43889</v>
      </c>
      <c r="H33" s="343">
        <f>VLOOKUP(A33,TradesEquity!$1:$1048576,21,FALSE)</f>
        <v>43893</v>
      </c>
      <c r="I33" s="344" t="str">
        <f>IF(VLOOKUP(A33,TradesEquity!$1:$1048576,3,FALSE)="BUY","B","S")</f>
        <v>B</v>
      </c>
      <c r="J33" s="344" t="str">
        <f>VLOOKUP(A33,TradesEquity!$1:$1048576,5,FALSE)</f>
        <v>FR0000131906</v>
      </c>
      <c r="K33" s="342" t="s">
        <v>19</v>
      </c>
      <c r="L33" s="345" t="s">
        <v>1958</v>
      </c>
      <c r="AE33" s="346" t="str">
        <f>VLOOKUP(A33,TradesEquity!$1:$1048576,10,FALSE)</f>
        <v>EUR</v>
      </c>
      <c r="AF33" s="346" t="str">
        <f t="shared" si="1"/>
        <v>EUR</v>
      </c>
      <c r="AG33" s="346" t="str">
        <f t="shared" si="1"/>
        <v>EUR</v>
      </c>
      <c r="AH33" s="346" t="str">
        <f t="shared" si="1"/>
        <v>EUR</v>
      </c>
      <c r="AI33" s="346">
        <f>ABS(VLOOKUP(A33,TradesEquity!$1:$1048576,13,FALSE))</f>
        <v>2000</v>
      </c>
      <c r="AJ33" s="347">
        <v>0</v>
      </c>
      <c r="AK33" s="347">
        <v>1</v>
      </c>
      <c r="AL33" s="346">
        <f>VLOOKUP(A33,TradesEquity!$1:$1048576,11,FALSE)</f>
        <v>26.145900000000001</v>
      </c>
      <c r="AM33" s="347">
        <v>1</v>
      </c>
      <c r="AN33" s="346">
        <f>ABS(VLOOKUP(A33,TradesEquity!$1:$1048576,14,FALSE))</f>
        <v>52291.8</v>
      </c>
      <c r="AO33" s="346">
        <f>ABS(VLOOKUP(A33,TradesEquity!$1:$1048576,15,FALSE))</f>
        <v>26.15</v>
      </c>
      <c r="AP33" s="348">
        <f>ABS(VLOOKUP(A33,TradesEquity!$1:$1048576,16,FALSE))</f>
        <v>156.88</v>
      </c>
      <c r="AQ33" s="286">
        <v>0</v>
      </c>
      <c r="AR33" s="286">
        <v>0</v>
      </c>
      <c r="AS33" s="286">
        <v>0</v>
      </c>
      <c r="AT33" s="286">
        <v>0</v>
      </c>
      <c r="AU33" s="286">
        <v>0</v>
      </c>
      <c r="AV33" s="348">
        <f>ABS(VLOOKUP(A33,TradesEquity!$1:$1048576,18,FALSE))</f>
        <v>52474.83</v>
      </c>
      <c r="AW33" s="349">
        <v>0</v>
      </c>
      <c r="AX33" s="350">
        <v>4542</v>
      </c>
      <c r="AY33" s="351" t="s">
        <v>1959</v>
      </c>
      <c r="AZ33" s="352" t="str">
        <f>(VLOOKUP(A33,TradesEquity!$1:$1048576,29,FALSE))</f>
        <v>JBBRFRPPXXX</v>
      </c>
      <c r="BA33" s="352" t="str">
        <f>(VLOOKUP(A33,TradesEquity!$1:$1048576,30,FALSE))</f>
        <v>SICVFRPPXXX</v>
      </c>
      <c r="BB33" s="352" t="str">
        <f>(VLOOKUP(A33,TradesEquity!$1:$1048576,31,FALSE))</f>
        <v>SICVPAREFRPPKCH000L10</v>
      </c>
      <c r="BC33" s="352" t="str">
        <f>(VLOOKUP(A33,TradesEquity!$1:$1048576,32,FALSE))</f>
        <v>N</v>
      </c>
      <c r="BI33" s="375" t="str">
        <f>(VLOOKUP(A33,TradesEquity!$1:$1048576,38,FALSE))</f>
        <v xml:space="preserve">        </v>
      </c>
      <c r="BJ33" s="375" t="str">
        <f>(VLOOKUP(A33,TradesEquity!$1:$1048576,39,FALSE))</f>
        <v xml:space="preserve">        </v>
      </c>
      <c r="BK33" s="352" t="str">
        <f>(VLOOKUP(A33,TradesEquity!$1:$1048576,40,FALSE))</f>
        <v>PAREFRPPKCH</v>
      </c>
    </row>
    <row r="34" spans="1:63">
      <c r="A34" s="378">
        <v>2019200263</v>
      </c>
      <c r="D34" s="342" t="s">
        <v>1957</v>
      </c>
      <c r="F34" s="343">
        <f>VLOOKUP(A34,TradesEquity!$1:$1048576,2,FALSE)</f>
        <v>43889</v>
      </c>
      <c r="H34" s="343">
        <f>VLOOKUP(A34,TradesEquity!$1:$1048576,21,FALSE)</f>
        <v>43893</v>
      </c>
      <c r="I34" s="344" t="str">
        <f>IF(VLOOKUP(A34,TradesEquity!$1:$1048576,3,FALSE)="BUY","B","S")</f>
        <v>S</v>
      </c>
      <c r="J34" s="344" t="str">
        <f>VLOOKUP(A34,TradesEquity!$1:$1048576,5,FALSE)</f>
        <v>DE0005190003</v>
      </c>
      <c r="K34" s="342" t="s">
        <v>19</v>
      </c>
      <c r="L34" s="345" t="s">
        <v>1958</v>
      </c>
      <c r="AE34" s="346" t="str">
        <f>VLOOKUP(A34,TradesEquity!$1:$1048576,10,FALSE)</f>
        <v>EUR</v>
      </c>
      <c r="AF34" s="346" t="str">
        <f t="shared" si="1"/>
        <v>EUR</v>
      </c>
      <c r="AG34" s="346" t="str">
        <f t="shared" si="1"/>
        <v>EUR</v>
      </c>
      <c r="AH34" s="346" t="str">
        <f t="shared" si="1"/>
        <v>EUR</v>
      </c>
      <c r="AI34" s="346">
        <f>ABS(VLOOKUP(A34,TradesEquity!$1:$1048576,13,FALSE))</f>
        <v>1000</v>
      </c>
      <c r="AJ34" s="347">
        <v>0</v>
      </c>
      <c r="AK34" s="347">
        <v>1</v>
      </c>
      <c r="AL34" s="346">
        <f>VLOOKUP(A34,TradesEquity!$1:$1048576,11,FALSE)</f>
        <v>57.8249</v>
      </c>
      <c r="AM34" s="347">
        <v>1</v>
      </c>
      <c r="AN34" s="346">
        <f>ABS(VLOOKUP(A34,TradesEquity!$1:$1048576,14,FALSE))</f>
        <v>57824.9</v>
      </c>
      <c r="AO34" s="346">
        <f>ABS(VLOOKUP(A34,TradesEquity!$1:$1048576,15,FALSE))</f>
        <v>28.91</v>
      </c>
      <c r="AP34" s="348">
        <f>ABS(VLOOKUP(A34,TradesEquity!$1:$1048576,16,FALSE))</f>
        <v>0</v>
      </c>
      <c r="AQ34" s="286">
        <v>0</v>
      </c>
      <c r="AR34" s="286">
        <v>0</v>
      </c>
      <c r="AS34" s="286">
        <v>0</v>
      </c>
      <c r="AT34" s="286">
        <v>0</v>
      </c>
      <c r="AU34" s="286">
        <v>0</v>
      </c>
      <c r="AV34" s="348">
        <f>ABS(VLOOKUP(A34,TradesEquity!$1:$1048576,18,FALSE))</f>
        <v>57795.99</v>
      </c>
      <c r="AW34" s="349">
        <v>0</v>
      </c>
      <c r="AX34" s="350">
        <v>4542</v>
      </c>
      <c r="AY34" s="351" t="s">
        <v>1959</v>
      </c>
      <c r="AZ34" s="352" t="str">
        <f>(VLOOKUP(A34,TradesEquity!$1:$1048576,29,FALSE))</f>
        <v>PAREFRPPXXX</v>
      </c>
      <c r="BA34" s="352" t="str">
        <f>(VLOOKUP(A34,TradesEquity!$1:$1048576,30,FALSE))</f>
        <v>DAKVDEFFXXX</v>
      </c>
      <c r="BB34" s="352" t="str">
        <f>(VLOOKUP(A34,TradesEquity!$1:$1048576,31,FALSE))</f>
        <v>DAKV 8448</v>
      </c>
      <c r="BC34" s="352" t="str">
        <f>(VLOOKUP(A34,TradesEquity!$1:$1048576,32,FALSE))</f>
        <v>N</v>
      </c>
      <c r="BI34" s="375" t="str">
        <f>(VLOOKUP(A34,TradesEquity!$1:$1048576,38,FALSE))</f>
        <v xml:space="preserve">        </v>
      </c>
      <c r="BJ34" s="375" t="str">
        <f>(VLOOKUP(A34,TradesEquity!$1:$1048576,39,FALSE))</f>
        <v xml:space="preserve">        </v>
      </c>
      <c r="BK34" s="352" t="str">
        <f>(VLOOKUP(A34,TradesEquity!$1:$1048576,40,FALSE))</f>
        <v>SGABCHZZ448</v>
      </c>
    </row>
    <row r="35" spans="1:63">
      <c r="A35" s="378">
        <v>2019200264</v>
      </c>
      <c r="D35" s="342" t="s">
        <v>1957</v>
      </c>
      <c r="F35" s="343">
        <f>VLOOKUP(A35,TradesEquity!$1:$1048576,2,FALSE)</f>
        <v>43894</v>
      </c>
      <c r="H35" s="343">
        <f>VLOOKUP(A35,TradesEquity!$1:$1048576,21,FALSE)</f>
        <v>43896</v>
      </c>
      <c r="I35" s="344" t="str">
        <f>IF(VLOOKUP(A35,TradesEquity!$1:$1048576,3,FALSE)="BUY","B","S")</f>
        <v>B</v>
      </c>
      <c r="J35" s="344" t="str">
        <f>VLOOKUP(A35,TradesEquity!$1:$1048576,5,FALSE)</f>
        <v>AU000000WSA9</v>
      </c>
      <c r="K35" s="342" t="s">
        <v>19</v>
      </c>
      <c r="L35" s="345" t="s">
        <v>1958</v>
      </c>
      <c r="AE35" s="346" t="str">
        <f>VLOOKUP(A35,TradesEquity!$1:$1048576,10,FALSE)</f>
        <v>AUD</v>
      </c>
      <c r="AF35" s="346" t="str">
        <f t="shared" si="1"/>
        <v>AUD</v>
      </c>
      <c r="AG35" s="346" t="str">
        <f t="shared" si="1"/>
        <v>AUD</v>
      </c>
      <c r="AH35" s="346" t="str">
        <f t="shared" si="1"/>
        <v>AUD</v>
      </c>
      <c r="AI35" s="346">
        <f>ABS(VLOOKUP(A35,TradesEquity!$1:$1048576,13,FALSE))</f>
        <v>17000</v>
      </c>
      <c r="AJ35" s="347">
        <v>0</v>
      </c>
      <c r="AK35" s="347">
        <v>1</v>
      </c>
      <c r="AL35" s="346">
        <f>VLOOKUP(A35,TradesEquity!$1:$1048576,11,FALSE)</f>
        <v>2.4169200000000002</v>
      </c>
      <c r="AM35" s="347">
        <v>1</v>
      </c>
      <c r="AN35" s="346">
        <f>ABS(VLOOKUP(A35,TradesEquity!$1:$1048576,14,FALSE))</f>
        <v>41087.64</v>
      </c>
      <c r="AO35" s="346">
        <f>ABS(VLOOKUP(A35,TradesEquity!$1:$1048576,15,FALSE))</f>
        <v>24.65</v>
      </c>
      <c r="AP35" s="348">
        <f>ABS(VLOOKUP(A35,TradesEquity!$1:$1048576,16,FALSE))</f>
        <v>0</v>
      </c>
      <c r="AQ35" s="286">
        <v>0</v>
      </c>
      <c r="AR35" s="286">
        <v>0</v>
      </c>
      <c r="AS35" s="286">
        <v>0</v>
      </c>
      <c r="AT35" s="286">
        <v>0</v>
      </c>
      <c r="AU35" s="286">
        <v>0</v>
      </c>
      <c r="AV35" s="348">
        <f>ABS(VLOOKUP(A35,TradesEquity!$1:$1048576,18,FALSE))</f>
        <v>41112.29</v>
      </c>
      <c r="AW35" s="349">
        <v>0</v>
      </c>
      <c r="AX35" s="350">
        <v>4542</v>
      </c>
      <c r="AY35" s="351" t="s">
        <v>1959</v>
      </c>
      <c r="AZ35" s="352" t="str">
        <f>(VLOOKUP(A35,TradesEquity!$1:$1048576,29,FALSE))</f>
        <v>GSILGB2XXXX</v>
      </c>
      <c r="BA35" s="352" t="str">
        <f>(VLOOKUP(A35,TradesEquity!$1:$1048576,30,FALSE))</f>
        <v>CAETAU21</v>
      </c>
      <c r="BB35" s="352" t="str">
        <f>(VLOOKUP(A35,TradesEquity!$1:$1048576,31,FALSE))</f>
        <v>011-109048-061</v>
      </c>
      <c r="BC35" s="352" t="str">
        <f>(VLOOKUP(A35,TradesEquity!$1:$1048576,32,FALSE))</f>
        <v>N</v>
      </c>
      <c r="BI35" s="375" t="str">
        <f>(VLOOKUP(A35,TradesEquity!$1:$1048576,38,FALSE))</f>
        <v xml:space="preserve">        </v>
      </c>
      <c r="BJ35" s="375" t="str">
        <f>(VLOOKUP(A35,TradesEquity!$1:$1048576,39,FALSE))</f>
        <v xml:space="preserve">        </v>
      </c>
      <c r="BK35" s="352" t="str">
        <f>(VLOOKUP(A35,TradesEquity!$1:$1048576,40,FALSE))</f>
        <v>HKBAAU2SSYD</v>
      </c>
    </row>
    <row r="36" spans="1:63">
      <c r="A36" s="378">
        <v>2019200265</v>
      </c>
      <c r="D36" s="342" t="s">
        <v>1957</v>
      </c>
      <c r="F36" s="343">
        <f>VLOOKUP(A36,TradesEquity!$1:$1048576,2,FALSE)</f>
        <v>43894</v>
      </c>
      <c r="H36" s="343">
        <f>VLOOKUP(A36,TradesEquity!$1:$1048576,21,FALSE)</f>
        <v>43896</v>
      </c>
      <c r="I36" s="344" t="str">
        <f>IF(VLOOKUP(A36,TradesEquity!$1:$1048576,3,FALSE)="BUY","B","S")</f>
        <v>B</v>
      </c>
      <c r="J36" s="344" t="str">
        <f>VLOOKUP(A36,TradesEquity!$1:$1048576,5,FALSE)</f>
        <v>JP3402600005</v>
      </c>
      <c r="K36" s="342" t="s">
        <v>19</v>
      </c>
      <c r="L36" s="345" t="s">
        <v>1958</v>
      </c>
      <c r="AE36" s="346" t="str">
        <f>VLOOKUP(A36,TradesEquity!$1:$1048576,10,FALSE)</f>
        <v>JPY</v>
      </c>
      <c r="AF36" s="346" t="str">
        <f t="shared" si="1"/>
        <v>JPY</v>
      </c>
      <c r="AG36" s="346" t="str">
        <f t="shared" si="1"/>
        <v>JPY</v>
      </c>
      <c r="AH36" s="346" t="str">
        <f t="shared" si="1"/>
        <v>JPY</v>
      </c>
      <c r="AI36" s="346">
        <f>ABS(VLOOKUP(A36,TradesEquity!$1:$1048576,13,FALSE))</f>
        <v>4200</v>
      </c>
      <c r="AJ36" s="347">
        <v>0</v>
      </c>
      <c r="AK36" s="347">
        <v>1</v>
      </c>
      <c r="AL36" s="346">
        <f>VLOOKUP(A36,TradesEquity!$1:$1048576,11,FALSE)</f>
        <v>2625</v>
      </c>
      <c r="AM36" s="347">
        <v>1</v>
      </c>
      <c r="AN36" s="346">
        <f>ABS(VLOOKUP(A36,TradesEquity!$1:$1048576,14,FALSE))</f>
        <v>11025000</v>
      </c>
      <c r="AO36" s="346">
        <f>ABS(VLOOKUP(A36,TradesEquity!$1:$1048576,15,FALSE))</f>
        <v>6615</v>
      </c>
      <c r="AP36" s="348">
        <f>ABS(VLOOKUP(A36,TradesEquity!$1:$1048576,16,FALSE))</f>
        <v>0</v>
      </c>
      <c r="AQ36" s="286">
        <v>0</v>
      </c>
      <c r="AR36" s="286">
        <v>0</v>
      </c>
      <c r="AS36" s="286">
        <v>0</v>
      </c>
      <c r="AT36" s="286">
        <v>0</v>
      </c>
      <c r="AU36" s="286">
        <v>0</v>
      </c>
      <c r="AV36" s="348">
        <f>ABS(VLOOKUP(A36,TradesEquity!$1:$1048576,18,FALSE))</f>
        <v>11031615</v>
      </c>
      <c r="AW36" s="349">
        <v>0</v>
      </c>
      <c r="AX36" s="350">
        <v>4542</v>
      </c>
      <c r="AY36" s="351" t="s">
        <v>1959</v>
      </c>
      <c r="AZ36" s="352" t="str">
        <f>(VLOOKUP(A36,TradesEquity!$1:$1048576,29,FALSE))</f>
        <v>GSILGB2XXXX</v>
      </c>
      <c r="BA36" s="352" t="str">
        <f>(VLOOKUP(A36,TradesEquity!$1:$1048576,30,FALSE))</f>
        <v>JJSDJPJTXXX</v>
      </c>
      <c r="BB36" s="352">
        <f>(VLOOKUP(A36,TradesEquity!$1:$1048576,31,FALSE))</f>
        <v>6530490016</v>
      </c>
      <c r="BC36" s="352" t="str">
        <f>(VLOOKUP(A36,TradesEquity!$1:$1048576,32,FALSE))</f>
        <v>N</v>
      </c>
      <c r="BI36" s="375" t="str">
        <f>(VLOOKUP(A36,TradesEquity!$1:$1048576,38,FALSE))</f>
        <v xml:space="preserve">                  </v>
      </c>
      <c r="BJ36" s="375" t="str">
        <f>(VLOOKUP(A36,TradesEquity!$1:$1048576,39,FALSE))</f>
        <v xml:space="preserve">                          </v>
      </c>
      <c r="BK36" s="352" t="str">
        <f>(VLOOKUP(A36,TradesEquity!$1:$1048576,40,FALSE))</f>
        <v>GOLDJPJXXXX</v>
      </c>
    </row>
    <row r="37" spans="1:63">
      <c r="A37" s="378">
        <v>2019200266</v>
      </c>
      <c r="D37" s="342" t="s">
        <v>1957</v>
      </c>
      <c r="F37" s="343">
        <f>VLOOKUP(A37,TradesEquity!$1:$1048576,2,FALSE)</f>
        <v>43899</v>
      </c>
      <c r="H37" s="343">
        <f>VLOOKUP(A37,TradesEquity!$1:$1048576,21,FALSE)</f>
        <v>43902</v>
      </c>
      <c r="I37" s="344" t="str">
        <f>IF(VLOOKUP(A37,TradesEquity!$1:$1048576,3,FALSE)="BUY","B","S")</f>
        <v>S</v>
      </c>
      <c r="J37" s="344" t="str">
        <f>VLOOKUP(A37,TradesEquity!$1:$1048576,5,FALSE)</f>
        <v>KR7006400006</v>
      </c>
      <c r="K37" s="342" t="s">
        <v>19</v>
      </c>
      <c r="L37" s="345" t="s">
        <v>1958</v>
      </c>
      <c r="AE37" s="346" t="str">
        <f>VLOOKUP(A37,TradesEquity!$1:$1048576,10,FALSE)</f>
        <v>KRW</v>
      </c>
      <c r="AF37" s="346" t="str">
        <f t="shared" si="1"/>
        <v>KRW</v>
      </c>
      <c r="AG37" s="346" t="str">
        <f t="shared" si="1"/>
        <v>KRW</v>
      </c>
      <c r="AH37" s="346" t="str">
        <f t="shared" si="1"/>
        <v>KRW</v>
      </c>
      <c r="AI37" s="346">
        <f>ABS(VLOOKUP(A37,TradesEquity!$1:$1048576,13,FALSE))</f>
        <v>400</v>
      </c>
      <c r="AJ37" s="347">
        <v>0</v>
      </c>
      <c r="AK37" s="347">
        <v>1</v>
      </c>
      <c r="AL37" s="346">
        <f>VLOOKUP(A37,TradesEquity!$1:$1048576,11,FALSE)</f>
        <v>289000</v>
      </c>
      <c r="AM37" s="347">
        <v>1</v>
      </c>
      <c r="AN37" s="346">
        <f>ABS(VLOOKUP(A37,TradesEquity!$1:$1048576,14,FALSE))</f>
        <v>115600000</v>
      </c>
      <c r="AO37" s="346">
        <f>ABS(VLOOKUP(A37,TradesEquity!$1:$1048576,15,FALSE))</f>
        <v>173400</v>
      </c>
      <c r="AP37" s="348">
        <f>ABS(VLOOKUP(A37,TradesEquity!$1:$1048576,16,FALSE))</f>
        <v>289000</v>
      </c>
      <c r="AQ37" s="286">
        <v>0</v>
      </c>
      <c r="AR37" s="286">
        <v>0</v>
      </c>
      <c r="AS37" s="286">
        <v>0</v>
      </c>
      <c r="AT37" s="286">
        <v>0</v>
      </c>
      <c r="AU37" s="286">
        <v>0</v>
      </c>
      <c r="AV37" s="348">
        <f>ABS(VLOOKUP(A37,TradesEquity!$1:$1048576,18,FALSE))</f>
        <v>115137600</v>
      </c>
      <c r="AW37" s="349">
        <v>0</v>
      </c>
      <c r="AX37" s="350">
        <v>4542</v>
      </c>
      <c r="AY37" s="351" t="s">
        <v>1959</v>
      </c>
      <c r="AZ37" s="352" t="e">
        <f>(VLOOKUP(A37,TradesEquity!$1:$1048576,29,FALSE))</f>
        <v>#N/A</v>
      </c>
      <c r="BA37" s="352" t="e">
        <f>(VLOOKUP(A37,TradesEquity!$1:$1048576,30,FALSE))</f>
        <v>#N/A</v>
      </c>
      <c r="BB37" s="352" t="e">
        <f>(VLOOKUP(A37,TradesEquity!$1:$1048576,31,FALSE))</f>
        <v>#N/A</v>
      </c>
      <c r="BC37" s="352" t="e">
        <f>(VLOOKUP(A37,TradesEquity!$1:$1048576,32,FALSE))</f>
        <v>#N/A</v>
      </c>
      <c r="BI37" s="375" t="e">
        <f>(VLOOKUP(A37,TradesEquity!$1:$1048576,38,FALSE))</f>
        <v>#N/A</v>
      </c>
      <c r="BJ37" s="375" t="e">
        <f>(VLOOKUP(A37,TradesEquity!$1:$1048576,39,FALSE))</f>
        <v>#N/A</v>
      </c>
      <c r="BK37" s="352" t="e">
        <f>(VLOOKUP(A37,TradesEquity!$1:$1048576,40,FALSE))</f>
        <v>#N/A</v>
      </c>
    </row>
    <row r="38" spans="1:63">
      <c r="A38" s="378">
        <v>2019200267</v>
      </c>
      <c r="D38" s="342" t="s">
        <v>1957</v>
      </c>
      <c r="F38" s="343">
        <f>VLOOKUP(A38,TradesEquity!$1:$1048576,2,FALSE)</f>
        <v>43915</v>
      </c>
      <c r="H38" s="343">
        <f>VLOOKUP(A38,TradesEquity!$1:$1048576,21,FALSE)</f>
        <v>43918</v>
      </c>
      <c r="I38" s="344" t="str">
        <f>IF(VLOOKUP(A38,TradesEquity!$1:$1048576,3,FALSE)="BUY","B","S")</f>
        <v>B</v>
      </c>
      <c r="J38" s="344" t="str">
        <f>VLOOKUP(A38,TradesEquity!$1:$1048576,5,FALSE)</f>
        <v>US55315J1025</v>
      </c>
      <c r="K38" s="342" t="s">
        <v>19</v>
      </c>
      <c r="L38" s="345" t="s">
        <v>1958</v>
      </c>
      <c r="AE38" s="346" t="str">
        <f>VLOOKUP(A38,TradesEquity!$1:$1048576,10,FALSE)</f>
        <v>USD</v>
      </c>
      <c r="AF38" s="346" t="str">
        <f t="shared" si="1"/>
        <v>USD</v>
      </c>
      <c r="AG38" s="346" t="str">
        <f t="shared" si="1"/>
        <v>USD</v>
      </c>
      <c r="AH38" s="346" t="str">
        <f t="shared" si="1"/>
        <v>USD</v>
      </c>
      <c r="AI38" s="346">
        <f>ABS(VLOOKUP(A38,TradesEquity!$1:$1048576,13,FALSE))</f>
        <v>1970</v>
      </c>
      <c r="AJ38" s="347">
        <v>0</v>
      </c>
      <c r="AK38" s="347">
        <v>1</v>
      </c>
      <c r="AL38" s="346">
        <f>VLOOKUP(A38,TradesEquity!$1:$1048576,11,FALSE)</f>
        <v>24.22437</v>
      </c>
      <c r="AM38" s="347">
        <v>1</v>
      </c>
      <c r="AN38" s="346">
        <f>ABS(VLOOKUP(A38,TradesEquity!$1:$1048576,14,FALSE))</f>
        <v>47722.008900000001</v>
      </c>
      <c r="AO38" s="346">
        <f>ABS(VLOOKUP(A38,TradesEquity!$1:$1048576,15,FALSE))</f>
        <v>28.63</v>
      </c>
      <c r="AP38" s="348">
        <f>ABS(VLOOKUP(A38,TradesEquity!$1:$1048576,16,FALSE))</f>
        <v>0</v>
      </c>
      <c r="AQ38" s="286">
        <v>0</v>
      </c>
      <c r="AR38" s="286">
        <v>0</v>
      </c>
      <c r="AS38" s="286">
        <v>0</v>
      </c>
      <c r="AT38" s="286">
        <v>0</v>
      </c>
      <c r="AU38" s="286">
        <v>0</v>
      </c>
      <c r="AV38" s="348">
        <f>ABS(VLOOKUP(A38,TradesEquity!$1:$1048576,18,FALSE))</f>
        <v>47750.638899999998</v>
      </c>
      <c r="AW38" s="349">
        <v>0</v>
      </c>
      <c r="AX38" s="350">
        <v>4542</v>
      </c>
      <c r="AY38" s="351" t="s">
        <v>1959</v>
      </c>
      <c r="AZ38" s="352" t="str">
        <f>(VLOOKUP(A38,TradesEquity!$1:$1048576,29,FALSE))</f>
        <v>GSILGB2XXXX</v>
      </c>
      <c r="BA38" s="352" t="str">
        <f>(VLOOKUP(A38,TradesEquity!$1:$1048576,30,FALSE))</f>
        <v>DTCYUS33</v>
      </c>
      <c r="BB38" s="352" t="str">
        <f>(VLOOKUP(A38,TradesEquity!$1:$1048576,31,FALSE))</f>
        <v xml:space="preserve">        </v>
      </c>
      <c r="BC38" s="352" t="str">
        <f>(VLOOKUP(A38,TradesEquity!$1:$1048576,32,FALSE))</f>
        <v>N</v>
      </c>
      <c r="BI38" s="375" t="str">
        <f>(VLOOKUP(A38,TradesEquity!$1:$1048576,38,FALSE))</f>
        <v>DTCYID</v>
      </c>
      <c r="BJ38" s="375">
        <f>(VLOOKUP(A38,TradesEquity!$1:$1048576,39,FALSE))</f>
        <v>5208</v>
      </c>
      <c r="BK38" s="352" t="str">
        <f>(VLOOKUP(A38,TradesEquity!$1:$1048576,40,FALSE))</f>
        <v xml:space="preserve">        </v>
      </c>
    </row>
    <row r="39" spans="1:63">
      <c r="A39" s="378">
        <v>2019200268</v>
      </c>
      <c r="D39" s="342" t="s">
        <v>1957</v>
      </c>
      <c r="F39" s="343">
        <f>VLOOKUP(A39,TradesEquity!$1:$1048576,2,FALSE)</f>
        <v>43931</v>
      </c>
      <c r="H39" s="343">
        <f>VLOOKUP(A39,TradesEquity!$1:$1048576,21,FALSE)</f>
        <v>43935</v>
      </c>
      <c r="I39" s="344" t="str">
        <f>IF(VLOOKUP(A39,TradesEquity!$1:$1048576,3,FALSE)="BUY","B","S")</f>
        <v>B</v>
      </c>
      <c r="J39" s="344" t="str">
        <f>VLOOKUP(A39,TradesEquity!$1:$1048576,5,FALSE)</f>
        <v>JP3111200006</v>
      </c>
      <c r="K39" s="342" t="s">
        <v>19</v>
      </c>
      <c r="L39" s="345" t="s">
        <v>1958</v>
      </c>
      <c r="AE39" s="346" t="str">
        <f>VLOOKUP(A39,TradesEquity!$1:$1048576,10,FALSE)</f>
        <v>JPY</v>
      </c>
      <c r="AF39" s="346" t="str">
        <f t="shared" si="1"/>
        <v>JPY</v>
      </c>
      <c r="AG39" s="346" t="str">
        <f t="shared" si="1"/>
        <v>JPY</v>
      </c>
      <c r="AH39" s="346" t="str">
        <f t="shared" si="1"/>
        <v>JPY</v>
      </c>
      <c r="AI39" s="346">
        <f>ABS(VLOOKUP(A39,TradesEquity!$1:$1048576,13,FALSE))</f>
        <v>6700</v>
      </c>
      <c r="AJ39" s="347">
        <v>0</v>
      </c>
      <c r="AK39" s="347">
        <v>1</v>
      </c>
      <c r="AL39" s="346">
        <f>VLOOKUP(A39,TradesEquity!$1:$1048576,11,FALSE)</f>
        <v>718.54055000000005</v>
      </c>
      <c r="AM39" s="347">
        <v>1</v>
      </c>
      <c r="AN39" s="346">
        <f>ABS(VLOOKUP(A39,TradesEquity!$1:$1048576,14,FALSE))</f>
        <v>4814221.6850000005</v>
      </c>
      <c r="AO39" s="346">
        <f>ABS(VLOOKUP(A39,TradesEquity!$1:$1048576,15,FALSE))</f>
        <v>1444</v>
      </c>
      <c r="AP39" s="348">
        <f>ABS(VLOOKUP(A39,TradesEquity!$1:$1048576,16,FALSE))</f>
        <v>0</v>
      </c>
      <c r="AQ39" s="286">
        <v>0</v>
      </c>
      <c r="AR39" s="286">
        <v>0</v>
      </c>
      <c r="AS39" s="286">
        <v>0</v>
      </c>
      <c r="AT39" s="286">
        <v>0</v>
      </c>
      <c r="AU39" s="286">
        <v>0</v>
      </c>
      <c r="AV39" s="348">
        <f>ABS(VLOOKUP(A39,TradesEquity!$1:$1048576,18,FALSE))</f>
        <v>4815665.6850000005</v>
      </c>
      <c r="AW39" s="349">
        <v>0</v>
      </c>
      <c r="AX39" s="350">
        <v>4542</v>
      </c>
      <c r="AY39" s="351" t="s">
        <v>1959</v>
      </c>
      <c r="AZ39" s="352" t="str">
        <f>(VLOOKUP(A39,TradesEquity!$1:$1048576,29,FALSE))</f>
        <v>GSILGB2XXXX</v>
      </c>
      <c r="BA39" s="352" t="str">
        <f>(VLOOKUP(A39,TradesEquity!$1:$1048576,30,FALSE))</f>
        <v>JJSDJPJTXXX</v>
      </c>
      <c r="BB39" s="352">
        <f>(VLOOKUP(A39,TradesEquity!$1:$1048576,31,FALSE))</f>
        <v>6530490016</v>
      </c>
      <c r="BC39" s="352" t="str">
        <f>(VLOOKUP(A39,TradesEquity!$1:$1048576,32,FALSE))</f>
        <v>N</v>
      </c>
      <c r="BI39" s="375" t="str">
        <f>(VLOOKUP(A39,TradesEquity!$1:$1048576,38,FALSE))</f>
        <v xml:space="preserve">                  </v>
      </c>
      <c r="BJ39" s="375" t="str">
        <f>(VLOOKUP(A39,TradesEquity!$1:$1048576,39,FALSE))</f>
        <v xml:space="preserve">                          </v>
      </c>
      <c r="BK39" s="352" t="str">
        <f>(VLOOKUP(A39,TradesEquity!$1:$1048576,40,FALSE))</f>
        <v>GOLDJPJXXXX</v>
      </c>
    </row>
    <row r="40" spans="1:63">
      <c r="A40" s="378">
        <v>2019200269</v>
      </c>
      <c r="D40" s="342" t="s">
        <v>1957</v>
      </c>
      <c r="F40" s="343">
        <f>VLOOKUP(A40,TradesEquity!$1:$1048576,2,FALSE)</f>
        <v>43949</v>
      </c>
      <c r="H40" s="343">
        <f>VLOOKUP(A40,TradesEquity!$1:$1048576,21,FALSE)</f>
        <v>43952</v>
      </c>
      <c r="I40" s="344" t="str">
        <f>IF(VLOOKUP(A40,TradesEquity!$1:$1048576,3,FALSE)="BUY","B","S")</f>
        <v>B</v>
      </c>
      <c r="J40" s="344" t="str">
        <f>VLOOKUP(A40,TradesEquity!$1:$1048576,5,FALSE)</f>
        <v>AU000000SYR9</v>
      </c>
      <c r="K40" s="342" t="s">
        <v>19</v>
      </c>
      <c r="L40" s="345" t="s">
        <v>1958</v>
      </c>
      <c r="AE40" s="346" t="str">
        <f>VLOOKUP(A40,TradesEquity!$1:$1048576,10,FALSE)</f>
        <v>AUD</v>
      </c>
      <c r="AF40" s="346" t="str">
        <f t="shared" si="1"/>
        <v>AUD</v>
      </c>
      <c r="AG40" s="346" t="str">
        <f t="shared" si="1"/>
        <v>AUD</v>
      </c>
      <c r="AH40" s="346" t="str">
        <f t="shared" si="1"/>
        <v>AUD</v>
      </c>
      <c r="AI40" s="346">
        <f>ABS(VLOOKUP(A40,TradesEquity!$1:$1048576,13,FALSE))</f>
        <v>220000</v>
      </c>
      <c r="AJ40" s="347">
        <v>0</v>
      </c>
      <c r="AK40" s="347">
        <v>1</v>
      </c>
      <c r="AL40" s="346">
        <f>VLOOKUP(A40,TradesEquity!$1:$1048576,11,FALSE)</f>
        <v>0.23427999999999999</v>
      </c>
      <c r="AM40" s="347">
        <v>1</v>
      </c>
      <c r="AN40" s="346">
        <f>ABS(VLOOKUP(A40,TradesEquity!$1:$1048576,14,FALSE))</f>
        <v>51541.599999999999</v>
      </c>
      <c r="AO40" s="346">
        <f>ABS(VLOOKUP(A40,TradesEquity!$1:$1048576,15,FALSE))</f>
        <v>30.93</v>
      </c>
      <c r="AP40" s="348">
        <f>ABS(VLOOKUP(A40,TradesEquity!$1:$1048576,16,FALSE))</f>
        <v>0</v>
      </c>
      <c r="AQ40" s="286">
        <v>0</v>
      </c>
      <c r="AR40" s="286">
        <v>0</v>
      </c>
      <c r="AS40" s="286">
        <v>0</v>
      </c>
      <c r="AT40" s="286">
        <v>0</v>
      </c>
      <c r="AU40" s="286">
        <v>0</v>
      </c>
      <c r="AV40" s="348">
        <f>ABS(VLOOKUP(A40,TradesEquity!$1:$1048576,18,FALSE))</f>
        <v>51572.53</v>
      </c>
      <c r="AW40" s="349">
        <v>0</v>
      </c>
      <c r="AX40" s="350">
        <v>4542</v>
      </c>
      <c r="AY40" s="351" t="s">
        <v>1959</v>
      </c>
      <c r="AZ40" s="352" t="str">
        <f>(VLOOKUP(A40,TradesEquity!$1:$1048576,29,FALSE))</f>
        <v>GSILGB2XXXX</v>
      </c>
      <c r="BA40" s="352" t="str">
        <f>(VLOOKUP(A40,TradesEquity!$1:$1048576,30,FALSE))</f>
        <v>CAETAU21</v>
      </c>
      <c r="BB40" s="352" t="str">
        <f>(VLOOKUP(A40,TradesEquity!$1:$1048576,31,FALSE))</f>
        <v>011-109048-061</v>
      </c>
      <c r="BC40" s="352" t="str">
        <f>(VLOOKUP(A40,TradesEquity!$1:$1048576,32,FALSE))</f>
        <v>N</v>
      </c>
      <c r="BI40" s="375" t="str">
        <f>(VLOOKUP(A40,TradesEquity!$1:$1048576,38,FALSE))</f>
        <v xml:space="preserve">        </v>
      </c>
      <c r="BJ40" s="375" t="str">
        <f>(VLOOKUP(A40,TradesEquity!$1:$1048576,39,FALSE))</f>
        <v xml:space="preserve">        </v>
      </c>
      <c r="BK40" s="352" t="str">
        <f>(VLOOKUP(A40,TradesEquity!$1:$1048576,40,FALSE))</f>
        <v>HKBAAU2SSYD</v>
      </c>
    </row>
    <row r="41" spans="1:63">
      <c r="A41" s="378">
        <v>2019200270</v>
      </c>
      <c r="D41" s="342" t="s">
        <v>1957</v>
      </c>
      <c r="F41" s="343">
        <f>VLOOKUP(A41,TradesEquity!$1:$1048576,2,FALSE)</f>
        <v>43971</v>
      </c>
      <c r="H41" s="343">
        <f>VLOOKUP(A41,TradesEquity!$1:$1048576,21,FALSE)</f>
        <v>43973</v>
      </c>
      <c r="I41" s="344" t="str">
        <f>IF(VLOOKUP(A41,TradesEquity!$1:$1048576,3,FALSE)="BUY","B","S")</f>
        <v>B</v>
      </c>
      <c r="J41" s="344" t="str">
        <f>VLOOKUP(A41,TradesEquity!$1:$1048576,5,FALSE)</f>
        <v>AU000000WSA9</v>
      </c>
      <c r="K41" s="342" t="s">
        <v>19</v>
      </c>
      <c r="L41" s="345" t="s">
        <v>1958</v>
      </c>
      <c r="AE41" s="346" t="str">
        <f>VLOOKUP(A41,TradesEquity!$1:$1048576,10,FALSE)</f>
        <v>AUD</v>
      </c>
      <c r="AF41" s="346" t="str">
        <f t="shared" si="1"/>
        <v>AUD</v>
      </c>
      <c r="AG41" s="346" t="str">
        <f t="shared" si="1"/>
        <v>AUD</v>
      </c>
      <c r="AH41" s="346" t="str">
        <f t="shared" si="1"/>
        <v>AUD</v>
      </c>
      <c r="AI41" s="346">
        <f>ABS(VLOOKUP(A41,TradesEquity!$1:$1048576,13,FALSE))</f>
        <v>42000</v>
      </c>
      <c r="AJ41" s="347">
        <v>0</v>
      </c>
      <c r="AK41" s="347">
        <v>1</v>
      </c>
      <c r="AL41" s="346">
        <f>VLOOKUP(A41,TradesEquity!$1:$1048576,11,FALSE)</f>
        <v>2.2915899999999998</v>
      </c>
      <c r="AM41" s="347">
        <v>1</v>
      </c>
      <c r="AN41" s="346">
        <f>ABS(VLOOKUP(A41,TradesEquity!$1:$1048576,14,FALSE))</f>
        <v>96246.779999999984</v>
      </c>
      <c r="AO41" s="346">
        <f>ABS(VLOOKUP(A41,TradesEquity!$1:$1048576,15,FALSE))</f>
        <v>57.75</v>
      </c>
      <c r="AP41" s="348">
        <f>ABS(VLOOKUP(A41,TradesEquity!$1:$1048576,16,FALSE))</f>
        <v>0</v>
      </c>
      <c r="AQ41" s="286">
        <v>0</v>
      </c>
      <c r="AR41" s="286">
        <v>0</v>
      </c>
      <c r="AS41" s="286">
        <v>0</v>
      </c>
      <c r="AT41" s="286">
        <v>0</v>
      </c>
      <c r="AU41" s="286">
        <v>0</v>
      </c>
      <c r="AV41" s="348">
        <f>ABS(VLOOKUP(A41,TradesEquity!$1:$1048576,18,FALSE))</f>
        <v>96304.529999999984</v>
      </c>
      <c r="AW41" s="349">
        <v>0</v>
      </c>
      <c r="AX41" s="350">
        <v>4542</v>
      </c>
      <c r="AY41" s="351" t="s">
        <v>1959</v>
      </c>
      <c r="AZ41" s="352" t="str">
        <f>(VLOOKUP(A41,TradesEquity!$1:$1048576,29,FALSE))</f>
        <v>GSILGB2XXXX</v>
      </c>
      <c r="BA41" s="352" t="str">
        <f>(VLOOKUP(A41,TradesEquity!$1:$1048576,30,FALSE))</f>
        <v>CAETAU21</v>
      </c>
      <c r="BB41" s="352" t="str">
        <f>(VLOOKUP(A41,TradesEquity!$1:$1048576,31,FALSE))</f>
        <v>011-109048-061</v>
      </c>
      <c r="BC41" s="352" t="str">
        <f>(VLOOKUP(A41,TradesEquity!$1:$1048576,32,FALSE))</f>
        <v>N</v>
      </c>
      <c r="BI41" s="375" t="str">
        <f>(VLOOKUP(A41,TradesEquity!$1:$1048576,38,FALSE))</f>
        <v xml:space="preserve">        </v>
      </c>
      <c r="BJ41" s="375" t="str">
        <f>(VLOOKUP(A41,TradesEquity!$1:$1048576,39,FALSE))</f>
        <v xml:space="preserve">        </v>
      </c>
      <c r="BK41" s="352" t="str">
        <f>(VLOOKUP(A41,TradesEquity!$1:$1048576,40,FALSE))</f>
        <v>HKBAAU2SSYD</v>
      </c>
    </row>
    <row r="42" spans="1:63">
      <c r="A42" s="378">
        <v>2019200271</v>
      </c>
      <c r="D42" s="342" t="s">
        <v>1957</v>
      </c>
      <c r="F42" s="343">
        <f>VLOOKUP(A42,TradesEquity!$1:$1048576,2,FALSE)</f>
        <v>43971</v>
      </c>
      <c r="H42" s="343">
        <f>VLOOKUP(A42,TradesEquity!$1:$1048576,21,FALSE)</f>
        <v>43973</v>
      </c>
      <c r="I42" s="344" t="str">
        <f>IF(VLOOKUP(A42,TradesEquity!$1:$1048576,3,FALSE)="BUY","B","S")</f>
        <v>S</v>
      </c>
      <c r="J42" s="344" t="str">
        <f>VLOOKUP(A42,TradesEquity!$1:$1048576,5,FALSE)</f>
        <v>KR7006401004</v>
      </c>
      <c r="K42" s="342" t="s">
        <v>19</v>
      </c>
      <c r="L42" s="345" t="s">
        <v>1958</v>
      </c>
      <c r="AE42" s="346" t="str">
        <f>VLOOKUP(A42,TradesEquity!$1:$1048576,10,FALSE)</f>
        <v>KRW</v>
      </c>
      <c r="AF42" s="346" t="str">
        <f t="shared" si="1"/>
        <v>KRW</v>
      </c>
      <c r="AG42" s="346" t="str">
        <f t="shared" si="1"/>
        <v>KRW</v>
      </c>
      <c r="AH42" s="346" t="str">
        <f t="shared" si="1"/>
        <v>KRW</v>
      </c>
      <c r="AI42" s="346">
        <f>ABS(VLOOKUP(A42,TradesEquity!$1:$1048576,13,FALSE))</f>
        <v>400</v>
      </c>
      <c r="AJ42" s="347">
        <v>0</v>
      </c>
      <c r="AK42" s="347">
        <v>1</v>
      </c>
      <c r="AL42" s="346">
        <f>VLOOKUP(A42,TradesEquity!$1:$1048576,11,FALSE)</f>
        <v>168690</v>
      </c>
      <c r="AM42" s="347">
        <v>1</v>
      </c>
      <c r="AN42" s="346">
        <f>ABS(VLOOKUP(A42,TradesEquity!$1:$1048576,14,FALSE))</f>
        <v>67476000</v>
      </c>
      <c r="AO42" s="346">
        <f>ABS(VLOOKUP(A42,TradesEquity!$1:$1048576,15,FALSE))</f>
        <v>101214</v>
      </c>
      <c r="AP42" s="348">
        <f>ABS(VLOOKUP(A42,TradesEquity!$1:$1048576,16,FALSE))</f>
        <v>168653</v>
      </c>
      <c r="AQ42" s="286">
        <v>0</v>
      </c>
      <c r="AR42" s="286">
        <v>0</v>
      </c>
      <c r="AS42" s="286">
        <v>0</v>
      </c>
      <c r="AT42" s="286">
        <v>0</v>
      </c>
      <c r="AU42" s="286">
        <v>0</v>
      </c>
      <c r="AV42" s="348">
        <f>ABS(VLOOKUP(A42,TradesEquity!$1:$1048576,18,FALSE))</f>
        <v>67206133</v>
      </c>
      <c r="AW42" s="349">
        <v>0</v>
      </c>
      <c r="AX42" s="350">
        <v>4542</v>
      </c>
      <c r="AY42" s="351" t="s">
        <v>1959</v>
      </c>
      <c r="AZ42" s="352" t="e">
        <f>(VLOOKUP(A42,TradesEquity!$1:$1048576,29,FALSE))</f>
        <v>#N/A</v>
      </c>
      <c r="BA42" s="352" t="e">
        <f>(VLOOKUP(A42,TradesEquity!$1:$1048576,30,FALSE))</f>
        <v>#N/A</v>
      </c>
      <c r="BB42" s="352" t="e">
        <f>(VLOOKUP(A42,TradesEquity!$1:$1048576,31,FALSE))</f>
        <v>#N/A</v>
      </c>
      <c r="BC42" s="352" t="e">
        <f>(VLOOKUP(A42,TradesEquity!$1:$1048576,32,FALSE))</f>
        <v>#N/A</v>
      </c>
      <c r="BI42" s="375" t="e">
        <f>(VLOOKUP(A42,TradesEquity!$1:$1048576,38,FALSE))</f>
        <v>#N/A</v>
      </c>
      <c r="BJ42" s="375" t="e">
        <f>(VLOOKUP(A42,TradesEquity!$1:$1048576,39,FALSE))</f>
        <v>#N/A</v>
      </c>
      <c r="BK42" s="352" t="e">
        <f>(VLOOKUP(A42,TradesEquity!$1:$1048576,40,FALSE))</f>
        <v>#N/A</v>
      </c>
    </row>
    <row r="43" spans="1:63" s="395" customFormat="1">
      <c r="A43" s="394">
        <v>2019200272</v>
      </c>
      <c r="D43" s="396" t="s">
        <v>1957</v>
      </c>
      <c r="F43" s="397">
        <f>VLOOKUP(A43,TradesEquity!$1:$1048576,2,FALSE)</f>
        <v>43973</v>
      </c>
      <c r="H43" s="397">
        <f>VLOOKUP(A43,TradesEquity!$1:$1048576,21,FALSE)</f>
        <v>43977</v>
      </c>
      <c r="I43" s="398" t="str">
        <f>IF(VLOOKUP(A43,TradesEquity!$1:$1048576,3,FALSE)="BUY","B","S")</f>
        <v>B</v>
      </c>
      <c r="J43" s="398" t="str">
        <f>VLOOKUP(A43,TradesEquity!$1:$1048576,5,FALSE)</f>
        <v>AU000000WSA9</v>
      </c>
      <c r="K43" s="396" t="s">
        <v>19</v>
      </c>
      <c r="L43" s="399" t="s">
        <v>1958</v>
      </c>
      <c r="AE43" s="400" t="str">
        <f>VLOOKUP(A43,TradesEquity!$1:$1048576,10,FALSE)</f>
        <v>AUD</v>
      </c>
      <c r="AF43" s="400" t="str">
        <f t="shared" si="1"/>
        <v>AUD</v>
      </c>
      <c r="AG43" s="400" t="str">
        <f t="shared" si="1"/>
        <v>AUD</v>
      </c>
      <c r="AH43" s="400" t="str">
        <f t="shared" si="1"/>
        <v>AUD</v>
      </c>
      <c r="AI43" s="400">
        <f>ABS(VLOOKUP(A43,TradesEquity!$1:$1048576,13,FALSE))</f>
        <v>22000</v>
      </c>
      <c r="AJ43" s="401">
        <v>0</v>
      </c>
      <c r="AK43" s="401">
        <v>1</v>
      </c>
      <c r="AL43" s="400">
        <f>VLOOKUP(A43,TradesEquity!$1:$1048576,11,FALSE)</f>
        <v>2.2707000000000002</v>
      </c>
      <c r="AM43" s="401">
        <v>1</v>
      </c>
      <c r="AN43" s="400">
        <f>ABS(VLOOKUP(A43,TradesEquity!$1:$1048576,14,FALSE))</f>
        <v>49955.4</v>
      </c>
      <c r="AO43" s="400">
        <f>ABS(VLOOKUP(A43,TradesEquity!$1:$1048576,15,FALSE))</f>
        <v>29.97</v>
      </c>
      <c r="AP43" s="401">
        <f>ABS(VLOOKUP(A43,TradesEquity!$1:$1048576,16,FALSE))</f>
        <v>0</v>
      </c>
      <c r="AQ43" s="402">
        <v>0</v>
      </c>
      <c r="AR43" s="402">
        <v>0</v>
      </c>
      <c r="AS43" s="402">
        <v>0</v>
      </c>
      <c r="AT43" s="402">
        <v>0</v>
      </c>
      <c r="AU43" s="402">
        <v>0</v>
      </c>
      <c r="AV43" s="401">
        <f>ABS(VLOOKUP(A43,TradesEquity!$1:$1048576,18,FALSE))</f>
        <v>49985.37</v>
      </c>
      <c r="AW43" s="402">
        <v>0</v>
      </c>
      <c r="AX43" s="403">
        <v>4542</v>
      </c>
      <c r="AY43" s="399" t="s">
        <v>1959</v>
      </c>
      <c r="AZ43" s="401" t="str">
        <f>(VLOOKUP(A43,TradesEquity!$1:$1048576,29,FALSE))</f>
        <v>GSILGB2XXXX</v>
      </c>
      <c r="BA43" s="401" t="str">
        <f>(VLOOKUP(A43,TradesEquity!$1:$1048576,30,FALSE))</f>
        <v>CAETAU21</v>
      </c>
      <c r="BB43" s="401" t="str">
        <f>(VLOOKUP(A43,TradesEquity!$1:$1048576,31,FALSE))</f>
        <v>011-109048-061</v>
      </c>
      <c r="BC43" s="401" t="str">
        <f>(VLOOKUP(A43,TradesEquity!$1:$1048576,32,FALSE))</f>
        <v>N</v>
      </c>
      <c r="BI43" s="404" t="str">
        <f>(VLOOKUP(A43,TradesEquity!$1:$1048576,38,FALSE))</f>
        <v xml:space="preserve">        </v>
      </c>
      <c r="BJ43" s="404" t="str">
        <f>(VLOOKUP(A43,TradesEquity!$1:$1048576,39,FALSE))</f>
        <v xml:space="preserve">        </v>
      </c>
      <c r="BK43" s="401" t="str">
        <f>(VLOOKUP(A43,TradesEquity!$1:$1048576,40,FALSE))</f>
        <v>HKBAAU2SSYD</v>
      </c>
    </row>
    <row r="44" spans="1:63" s="395" customFormat="1">
      <c r="A44" s="394">
        <v>2019200273</v>
      </c>
      <c r="D44" s="396" t="s">
        <v>1957</v>
      </c>
      <c r="F44" s="397">
        <f>VLOOKUP(A44,TradesEquity!$1:$1048576,2,FALSE)</f>
        <v>43973</v>
      </c>
      <c r="H44" s="397">
        <f>VLOOKUP(A44,TradesEquity!$1:$1048576,21,FALSE)</f>
        <v>43977</v>
      </c>
      <c r="I44" s="398" t="str">
        <f>IF(VLOOKUP(A44,TradesEquity!$1:$1048576,3,FALSE)="BUY","B","S")</f>
        <v>B</v>
      </c>
      <c r="J44" s="398" t="str">
        <f>VLOOKUP(A44,TradesEquity!$1:$1048576,5,FALSE)</f>
        <v>AU000000SYR9</v>
      </c>
      <c r="K44" s="396" t="s">
        <v>19</v>
      </c>
      <c r="L44" s="399" t="s">
        <v>1958</v>
      </c>
      <c r="AE44" s="400" t="str">
        <f>VLOOKUP(A44,TradesEquity!$1:$1048576,10,FALSE)</f>
        <v>AUD</v>
      </c>
      <c r="AF44" s="400" t="str">
        <f t="shared" si="1"/>
        <v>AUD</v>
      </c>
      <c r="AG44" s="400" t="str">
        <f t="shared" si="1"/>
        <v>AUD</v>
      </c>
      <c r="AH44" s="400" t="str">
        <f t="shared" si="1"/>
        <v>AUD</v>
      </c>
      <c r="AI44" s="400">
        <f>ABS(VLOOKUP(A44,TradesEquity!$1:$1048576,13,FALSE))</f>
        <v>260000</v>
      </c>
      <c r="AJ44" s="401">
        <v>0</v>
      </c>
      <c r="AK44" s="401">
        <v>1</v>
      </c>
      <c r="AL44" s="400">
        <f>VLOOKUP(A44,TradesEquity!$1:$1048576,11,FALSE)</f>
        <v>0.30391000000000001</v>
      </c>
      <c r="AM44" s="401">
        <v>1</v>
      </c>
      <c r="AN44" s="400">
        <f>ABS(VLOOKUP(A44,TradesEquity!$1:$1048576,14,FALSE))</f>
        <v>79016.600000000006</v>
      </c>
      <c r="AO44" s="400">
        <f>ABS(VLOOKUP(A44,TradesEquity!$1:$1048576,15,FALSE))</f>
        <v>47.41</v>
      </c>
      <c r="AP44" s="401">
        <f>ABS(VLOOKUP(A44,TradesEquity!$1:$1048576,16,FALSE))</f>
        <v>0</v>
      </c>
      <c r="AQ44" s="402">
        <v>0</v>
      </c>
      <c r="AR44" s="402">
        <v>0</v>
      </c>
      <c r="AS44" s="402">
        <v>0</v>
      </c>
      <c r="AT44" s="402">
        <v>0</v>
      </c>
      <c r="AU44" s="402">
        <v>0</v>
      </c>
      <c r="AV44" s="401">
        <f>ABS(VLOOKUP(A44,TradesEquity!$1:$1048576,18,FALSE))</f>
        <v>79064.010000000009</v>
      </c>
      <c r="AW44" s="402">
        <v>0</v>
      </c>
      <c r="AX44" s="403">
        <v>4542</v>
      </c>
      <c r="AY44" s="399" t="s">
        <v>1959</v>
      </c>
      <c r="AZ44" s="401" t="str">
        <f>(VLOOKUP(A44,TradesEquity!$1:$1048576,29,FALSE))</f>
        <v>GSILGB2XXXX</v>
      </c>
      <c r="BA44" s="401" t="str">
        <f>(VLOOKUP(A44,TradesEquity!$1:$1048576,30,FALSE))</f>
        <v>CAETAU21</v>
      </c>
      <c r="BB44" s="401" t="str">
        <f>(VLOOKUP(A44,TradesEquity!$1:$1048576,31,FALSE))</f>
        <v>011-109048-061</v>
      </c>
      <c r="BC44" s="401" t="str">
        <f>(VLOOKUP(A44,TradesEquity!$1:$1048576,32,FALSE))</f>
        <v>N</v>
      </c>
      <c r="BI44" s="404" t="str">
        <f>(VLOOKUP(A44,TradesEquity!$1:$1048576,38,FALSE))</f>
        <v xml:space="preserve">        </v>
      </c>
      <c r="BJ44" s="404" t="str">
        <f>(VLOOKUP(A44,TradesEquity!$1:$1048576,39,FALSE))</f>
        <v xml:space="preserve">        </v>
      </c>
      <c r="BK44" s="401" t="str">
        <f>(VLOOKUP(A44,TradesEquity!$1:$1048576,40,FALSE))</f>
        <v>HKBAAU2SSYD</v>
      </c>
    </row>
    <row r="45" spans="1:63">
      <c r="A45" s="405">
        <v>2019200274</v>
      </c>
      <c r="D45" s="342" t="s">
        <v>1957</v>
      </c>
      <c r="F45" s="343">
        <f>VLOOKUP(A45,TradesEquity!$1:$1048576,2,FALSE)</f>
        <v>43979</v>
      </c>
      <c r="H45" s="343">
        <f>VLOOKUP(A45,TradesEquity!$1:$1048576,21,FALSE)</f>
        <v>43984</v>
      </c>
      <c r="I45" s="344" t="str">
        <f>IF(VLOOKUP(A45,TradesEquity!$1:$1048576,3,FALSE)="BUY","B","S")</f>
        <v>B</v>
      </c>
      <c r="J45" s="344" t="str">
        <f>VLOOKUP(A45,TradesEquity!$1:$1048576,5,FALSE)</f>
        <v>JP3866800000</v>
      </c>
      <c r="K45" s="342" t="s">
        <v>19</v>
      </c>
      <c r="L45" s="345" t="s">
        <v>1958</v>
      </c>
      <c r="AE45" s="346" t="str">
        <f>VLOOKUP(A45,TradesEquity!$1:$1048576,10,FALSE)</f>
        <v>JPY</v>
      </c>
      <c r="AF45" s="346" t="str">
        <f t="shared" si="1"/>
        <v>JPY</v>
      </c>
      <c r="AG45" s="346" t="str">
        <f t="shared" si="1"/>
        <v>JPY</v>
      </c>
      <c r="AH45" s="346" t="str">
        <f t="shared" si="1"/>
        <v>JPY</v>
      </c>
      <c r="AI45" s="346">
        <f>ABS(VLOOKUP(A45,TradesEquity!$1:$1048576,13,FALSE))</f>
        <v>11000</v>
      </c>
      <c r="AJ45" s="347">
        <v>0</v>
      </c>
      <c r="AK45" s="347">
        <v>1</v>
      </c>
      <c r="AL45" s="346">
        <f>VLOOKUP(A45,TradesEquity!$1:$1048576,11,FALSE)</f>
        <v>961.1</v>
      </c>
      <c r="AM45" s="347">
        <v>1</v>
      </c>
      <c r="AN45" s="346">
        <f>ABS(VLOOKUP(A45,TradesEquity!$1:$1048576,14,FALSE))</f>
        <v>10572100</v>
      </c>
      <c r="AO45" s="346">
        <f>ABS(VLOOKUP(A45,TradesEquity!$1:$1048576,15,FALSE))</f>
        <v>6343</v>
      </c>
      <c r="AP45" s="348">
        <f>ABS(VLOOKUP(A45,TradesEquity!$1:$1048576,16,FALSE))</f>
        <v>0</v>
      </c>
      <c r="AQ45" s="286">
        <v>0</v>
      </c>
      <c r="AR45" s="286">
        <v>0</v>
      </c>
      <c r="AS45" s="286">
        <v>0</v>
      </c>
      <c r="AT45" s="286">
        <v>0</v>
      </c>
      <c r="AU45" s="286">
        <v>0</v>
      </c>
      <c r="AV45" s="348">
        <f>ABS(VLOOKUP(A45,TradesEquity!$1:$1048576,18,FALSE))</f>
        <v>10578443</v>
      </c>
      <c r="AW45" s="349">
        <v>0</v>
      </c>
      <c r="AX45" s="350">
        <v>4542</v>
      </c>
      <c r="AY45" s="351" t="s">
        <v>1959</v>
      </c>
      <c r="AZ45" s="352" t="str">
        <f>(VLOOKUP(A45,TradesEquity!$1:$1048576,29,FALSE))</f>
        <v>GSILGB2XXXX</v>
      </c>
      <c r="BA45" s="352" t="str">
        <f>(VLOOKUP(A45,TradesEquity!$1:$1048576,30,FALSE))</f>
        <v>JJSDJPJTXXX</v>
      </c>
      <c r="BB45" s="352">
        <f>(VLOOKUP(A45,TradesEquity!$1:$1048576,31,FALSE))</f>
        <v>6530490016</v>
      </c>
      <c r="BC45" s="352" t="str">
        <f>(VLOOKUP(A45,TradesEquity!$1:$1048576,32,FALSE))</f>
        <v>N</v>
      </c>
      <c r="BI45" s="375" t="str">
        <f>(VLOOKUP(A45,TradesEquity!$1:$1048576,38,FALSE))</f>
        <v xml:space="preserve">                  </v>
      </c>
      <c r="BJ45" s="375" t="str">
        <f>(VLOOKUP(A45,TradesEquity!$1:$1048576,39,FALSE))</f>
        <v xml:space="preserve">                          </v>
      </c>
      <c r="BK45" s="352" t="str">
        <f>(VLOOKUP(A45,TradesEquity!$1:$1048576,40,FALSE))</f>
        <v>GOLDJPJXXXX</v>
      </c>
    </row>
    <row r="46" spans="1:63">
      <c r="A46" s="405">
        <v>2019200275</v>
      </c>
      <c r="D46" s="342" t="s">
        <v>1957</v>
      </c>
      <c r="F46" s="343">
        <f>VLOOKUP(A46,TradesEquity!$1:$1048576,2,FALSE)</f>
        <v>43979</v>
      </c>
      <c r="H46" s="343">
        <f>VLOOKUP(A46,TradesEquity!$1:$1048576,21,FALSE)</f>
        <v>43984</v>
      </c>
      <c r="I46" s="344" t="str">
        <f>IF(VLOOKUP(A46,TradesEquity!$1:$1048576,3,FALSE)="BUY","B","S")</f>
        <v>S</v>
      </c>
      <c r="J46" s="344" t="str">
        <f>VLOOKUP(A46,TradesEquity!$1:$1048576,5,FALSE)</f>
        <v>JP3701200002</v>
      </c>
      <c r="K46" s="342" t="s">
        <v>19</v>
      </c>
      <c r="L46" s="345" t="s">
        <v>1958</v>
      </c>
      <c r="AE46" s="346" t="str">
        <f>VLOOKUP(A46,TradesEquity!$1:$1048576,10,FALSE)</f>
        <v>JPY</v>
      </c>
      <c r="AF46" s="346" t="str">
        <f t="shared" si="1"/>
        <v>JPY</v>
      </c>
      <c r="AG46" s="346" t="str">
        <f t="shared" si="1"/>
        <v>JPY</v>
      </c>
      <c r="AH46" s="346" t="str">
        <f t="shared" si="1"/>
        <v>JPY</v>
      </c>
      <c r="AI46" s="346">
        <f>ABS(VLOOKUP(A46,TradesEquity!$1:$1048576,13,FALSE))</f>
        <v>4000</v>
      </c>
      <c r="AJ46" s="347">
        <v>0</v>
      </c>
      <c r="AK46" s="347">
        <v>1</v>
      </c>
      <c r="AL46" s="346">
        <f>VLOOKUP(A46,TradesEquity!$1:$1048576,11,FALSE)</f>
        <v>1600</v>
      </c>
      <c r="AM46" s="347">
        <v>1</v>
      </c>
      <c r="AN46" s="346">
        <f>ABS(VLOOKUP(A46,TradesEquity!$1:$1048576,14,FALSE))</f>
        <v>6400000</v>
      </c>
      <c r="AO46" s="346">
        <f>ABS(VLOOKUP(A46,TradesEquity!$1:$1048576,15,FALSE))</f>
        <v>3840</v>
      </c>
      <c r="AP46" s="348">
        <f>ABS(VLOOKUP(A46,TradesEquity!$1:$1048576,16,FALSE))</f>
        <v>0</v>
      </c>
      <c r="AQ46" s="286">
        <v>0</v>
      </c>
      <c r="AR46" s="286">
        <v>0</v>
      </c>
      <c r="AS46" s="286">
        <v>0</v>
      </c>
      <c r="AT46" s="286">
        <v>0</v>
      </c>
      <c r="AU46" s="286">
        <v>0</v>
      </c>
      <c r="AV46" s="348">
        <f>ABS(VLOOKUP(A46,TradesEquity!$1:$1048576,18,FALSE))</f>
        <v>6396160</v>
      </c>
      <c r="AW46" s="349">
        <v>0</v>
      </c>
      <c r="AX46" s="350">
        <v>4542</v>
      </c>
      <c r="AY46" s="351" t="s">
        <v>1959</v>
      </c>
      <c r="AZ46" s="352" t="str">
        <f>(VLOOKUP(A46,TradesEquity!$1:$1048576,29,FALSE))</f>
        <v>GSILGB2XXXX</v>
      </c>
      <c r="BA46" s="352" t="str">
        <f>(VLOOKUP(A46,TradesEquity!$1:$1048576,30,FALSE))</f>
        <v>JJSDJPJTXXX</v>
      </c>
      <c r="BB46" s="352">
        <f>(VLOOKUP(A46,TradesEquity!$1:$1048576,31,FALSE))</f>
        <v>6530490016</v>
      </c>
      <c r="BC46" s="352" t="str">
        <f>(VLOOKUP(A46,TradesEquity!$1:$1048576,32,FALSE))</f>
        <v>N</v>
      </c>
      <c r="BI46" s="375" t="str">
        <f>(VLOOKUP(A46,TradesEquity!$1:$1048576,38,FALSE))</f>
        <v xml:space="preserve">                  </v>
      </c>
      <c r="BJ46" s="375" t="str">
        <f>(VLOOKUP(A46,TradesEquity!$1:$1048576,39,FALSE))</f>
        <v xml:space="preserve">                          </v>
      </c>
      <c r="BK46" s="352" t="str">
        <f>(VLOOKUP(A46,TradesEquity!$1:$1048576,40,FALSE))</f>
        <v>GOLDJPJXXXX</v>
      </c>
    </row>
    <row r="47" spans="1:63">
      <c r="A47" s="405">
        <v>2019200277</v>
      </c>
      <c r="D47" s="342" t="s">
        <v>1957</v>
      </c>
      <c r="F47" s="343">
        <f>VLOOKUP(A47,TradesEquity!$1:$1048576,2,FALSE)</f>
        <v>43986</v>
      </c>
      <c r="H47" s="343">
        <f>VLOOKUP(A47,TradesEquity!$1:$1048576,21,FALSE)</f>
        <v>43990</v>
      </c>
      <c r="I47" s="344" t="str">
        <f>IF(VLOOKUP(A47,TradesEquity!$1:$1048576,3,FALSE)="BUY","B","S")</f>
        <v>B</v>
      </c>
      <c r="J47" s="344" t="str">
        <f>VLOOKUP(A47,TradesEquity!$1:$1048576,5,FALSE)</f>
        <v>US3843135084</v>
      </c>
      <c r="K47" s="342" t="s">
        <v>19</v>
      </c>
      <c r="L47" s="345" t="s">
        <v>1958</v>
      </c>
      <c r="AE47" s="346" t="str">
        <f>VLOOKUP(A47,TradesEquity!$1:$1048576,10,FALSE)</f>
        <v>USD</v>
      </c>
      <c r="AF47" s="346" t="str">
        <f t="shared" si="1"/>
        <v>USD</v>
      </c>
      <c r="AG47" s="346" t="str">
        <f t="shared" si="1"/>
        <v>USD</v>
      </c>
      <c r="AH47" s="346" t="str">
        <f t="shared" si="1"/>
        <v>USD</v>
      </c>
      <c r="AI47" s="346">
        <f>ABS(VLOOKUP(A47,TradesEquity!$1:$1048576,13,FALSE))</f>
        <v>6700</v>
      </c>
      <c r="AJ47" s="347">
        <v>0</v>
      </c>
      <c r="AK47" s="347">
        <v>1</v>
      </c>
      <c r="AL47" s="346">
        <f>VLOOKUP(A47,TradesEquity!$1:$1048576,11,FALSE)</f>
        <v>8.1206300000000002</v>
      </c>
      <c r="AM47" s="347">
        <v>1</v>
      </c>
      <c r="AN47" s="346">
        <f>ABS(VLOOKUP(A47,TradesEquity!$1:$1048576,14,FALSE))</f>
        <v>54408.221000000005</v>
      </c>
      <c r="AO47" s="346">
        <f>ABS(VLOOKUP(A47,TradesEquity!$1:$1048576,15,FALSE))</f>
        <v>27.2</v>
      </c>
      <c r="AP47" s="348">
        <f>ABS(VLOOKUP(A47,TradesEquity!$1:$1048576,16,FALSE))</f>
        <v>0</v>
      </c>
      <c r="AQ47" s="286">
        <v>0</v>
      </c>
      <c r="AR47" s="286">
        <v>0</v>
      </c>
      <c r="AS47" s="286">
        <v>0</v>
      </c>
      <c r="AT47" s="286">
        <v>0</v>
      </c>
      <c r="AU47" s="286">
        <v>0</v>
      </c>
      <c r="AV47" s="348">
        <f>ABS(VLOOKUP(A47,TradesEquity!$1:$1048576,18,FALSE))</f>
        <v>54435.421000000002</v>
      </c>
      <c r="AW47" s="349">
        <v>0</v>
      </c>
      <c r="AX47" s="350">
        <v>4542</v>
      </c>
      <c r="AY47" s="351" t="s">
        <v>1959</v>
      </c>
      <c r="AZ47" s="352" t="str">
        <f>(VLOOKUP(A47,TradesEquity!$1:$1048576,29,FALSE))</f>
        <v>GSILGB2XXXX</v>
      </c>
      <c r="BA47" s="352" t="str">
        <f>(VLOOKUP(A47,TradesEquity!$1:$1048576,30,FALSE))</f>
        <v>DTCYUS33</v>
      </c>
      <c r="BB47" s="352" t="str">
        <f>(VLOOKUP(A47,TradesEquity!$1:$1048576,31,FALSE))</f>
        <v xml:space="preserve">        </v>
      </c>
      <c r="BC47" s="352" t="str">
        <f>(VLOOKUP(A47,TradesEquity!$1:$1048576,32,FALSE))</f>
        <v>N</v>
      </c>
      <c r="BI47" s="375" t="str">
        <f>(VLOOKUP(A47,TradesEquity!$1:$1048576,38,FALSE))</f>
        <v>DTCYID</v>
      </c>
      <c r="BJ47" s="375">
        <f>(VLOOKUP(A47,TradesEquity!$1:$1048576,39,FALSE))</f>
        <v>5208</v>
      </c>
      <c r="BK47" s="352" t="str">
        <f>(VLOOKUP(A47,TradesEquity!$1:$1048576,40,FALSE))</f>
        <v xml:space="preserve">        </v>
      </c>
    </row>
    <row r="48" spans="1:63">
      <c r="A48" s="405">
        <v>2019200278</v>
      </c>
      <c r="D48" s="342" t="s">
        <v>1957</v>
      </c>
      <c r="F48" s="343">
        <f>VLOOKUP(A48,TradesEquity!$1:$1048576,2,FALSE)</f>
        <v>43987</v>
      </c>
      <c r="H48" s="343">
        <f>VLOOKUP(A48,TradesEquity!$1:$1048576,21,FALSE)</f>
        <v>44054</v>
      </c>
      <c r="I48" s="344" t="str">
        <f>IF(VLOOKUP(A48,TradesEquity!$1:$1048576,3,FALSE)="BUY","B","S")</f>
        <v>B</v>
      </c>
      <c r="J48" s="344" t="str">
        <f>VLOOKUP(A48,TradesEquity!$1:$1048576,5,FALSE)</f>
        <v>JP3368000000</v>
      </c>
      <c r="K48" s="342" t="s">
        <v>19</v>
      </c>
      <c r="L48" s="345" t="s">
        <v>1958</v>
      </c>
      <c r="AE48" s="346" t="str">
        <f>VLOOKUP(A48,TradesEquity!$1:$1048576,10,FALSE)</f>
        <v>JPY</v>
      </c>
      <c r="AF48" s="346" t="str">
        <f t="shared" si="1"/>
        <v>JPY</v>
      </c>
      <c r="AG48" s="346" t="str">
        <f t="shared" si="1"/>
        <v>JPY</v>
      </c>
      <c r="AH48" s="346" t="str">
        <f t="shared" si="1"/>
        <v>JPY</v>
      </c>
      <c r="AI48" s="346">
        <f>ABS(VLOOKUP(A48,TradesEquity!$1:$1048576,13,FALSE))</f>
        <v>2200</v>
      </c>
      <c r="AJ48" s="347">
        <v>0</v>
      </c>
      <c r="AK48" s="347">
        <v>1</v>
      </c>
      <c r="AL48" s="346">
        <f>VLOOKUP(A48,TradesEquity!$1:$1048576,11,FALSE)</f>
        <v>2238.92976</v>
      </c>
      <c r="AM48" s="347">
        <v>1</v>
      </c>
      <c r="AN48" s="346">
        <f>ABS(VLOOKUP(A48,TradesEquity!$1:$1048576,14,FALSE))</f>
        <v>4925645.4720000001</v>
      </c>
      <c r="AO48" s="346">
        <f>ABS(VLOOKUP(A48,TradesEquity!$1:$1048576,15,FALSE))</f>
        <v>5642</v>
      </c>
      <c r="AP48" s="348">
        <f>ABS(VLOOKUP(A48,TradesEquity!$1:$1048576,16,FALSE))</f>
        <v>0</v>
      </c>
      <c r="AQ48" s="286">
        <v>0</v>
      </c>
      <c r="AR48" s="286">
        <v>0</v>
      </c>
      <c r="AS48" s="286">
        <v>0</v>
      </c>
      <c r="AT48" s="286">
        <v>0</v>
      </c>
      <c r="AU48" s="286">
        <v>0</v>
      </c>
      <c r="AV48" s="348">
        <f>ABS(VLOOKUP(A48,TradesEquity!$1:$1048576,18,FALSE))</f>
        <v>4931287.4720000001</v>
      </c>
      <c r="AW48" s="349">
        <v>0</v>
      </c>
      <c r="AX48" s="350">
        <v>4542</v>
      </c>
      <c r="AY48" s="351" t="s">
        <v>1959</v>
      </c>
      <c r="AZ48" s="352" t="str">
        <f>(VLOOKUP(A48,TradesEquity!$1:$1048576,29,FALSE))</f>
        <v>GSILGB2XXXX</v>
      </c>
      <c r="BA48" s="352" t="str">
        <f>(VLOOKUP(A48,TradesEquity!$1:$1048576,30,FALSE))</f>
        <v>JJSDJPJTXXX</v>
      </c>
      <c r="BB48" s="352">
        <f>(VLOOKUP(A48,TradesEquity!$1:$1048576,31,FALSE))</f>
        <v>6530490016</v>
      </c>
      <c r="BC48" s="352" t="str">
        <f>(VLOOKUP(A48,TradesEquity!$1:$1048576,32,FALSE))</f>
        <v>N</v>
      </c>
      <c r="BI48" s="375" t="str">
        <f>(VLOOKUP(A48,TradesEquity!$1:$1048576,38,FALSE))</f>
        <v xml:space="preserve">                  </v>
      </c>
      <c r="BJ48" s="375" t="str">
        <f>(VLOOKUP(A48,TradesEquity!$1:$1048576,39,FALSE))</f>
        <v xml:space="preserve">                          </v>
      </c>
      <c r="BK48" s="352" t="str">
        <f>(VLOOKUP(A48,TradesEquity!$1:$1048576,40,FALSE))</f>
        <v>GOLDJPJXXXX</v>
      </c>
    </row>
    <row r="49" spans="1:63">
      <c r="A49" s="405">
        <v>2019200279</v>
      </c>
      <c r="D49" s="342" t="s">
        <v>1957</v>
      </c>
      <c r="F49" s="343">
        <f>VLOOKUP(A49,TradesEquity!$1:$1048576,2,FALSE)</f>
        <v>43987</v>
      </c>
      <c r="H49" s="343">
        <f>VLOOKUP(A49,TradesEquity!$1:$1048576,21,FALSE)</f>
        <v>43992</v>
      </c>
      <c r="I49" s="344" t="str">
        <f>IF(VLOOKUP(A49,TradesEquity!$1:$1048576,3,FALSE)="BUY","B","S")</f>
        <v>B</v>
      </c>
      <c r="J49" s="344" t="str">
        <f>VLOOKUP(A49,TradesEquity!$1:$1048576,5,FALSE)</f>
        <v>AU000000SYR9</v>
      </c>
      <c r="K49" s="342" t="s">
        <v>19</v>
      </c>
      <c r="L49" s="345" t="s">
        <v>1958</v>
      </c>
      <c r="AE49" s="346" t="str">
        <f>VLOOKUP(A49,TradesEquity!$1:$1048576,10,FALSE)</f>
        <v>AUD</v>
      </c>
      <c r="AF49" s="346" t="str">
        <f t="shared" si="1"/>
        <v>AUD</v>
      </c>
      <c r="AG49" s="346" t="str">
        <f t="shared" si="1"/>
        <v>AUD</v>
      </c>
      <c r="AH49" s="346" t="str">
        <f t="shared" si="1"/>
        <v>AUD</v>
      </c>
      <c r="AI49" s="346">
        <f>ABS(VLOOKUP(A49,TradesEquity!$1:$1048576,13,FALSE))</f>
        <v>170000</v>
      </c>
      <c r="AJ49" s="347">
        <v>0</v>
      </c>
      <c r="AK49" s="347">
        <v>1</v>
      </c>
      <c r="AL49" s="346">
        <f>VLOOKUP(A49,TradesEquity!$1:$1048576,11,FALSE)</f>
        <v>0.33176</v>
      </c>
      <c r="AM49" s="347">
        <v>1</v>
      </c>
      <c r="AN49" s="346">
        <f>ABS(VLOOKUP(A49,TradesEquity!$1:$1048576,14,FALSE))</f>
        <v>56399.199999999997</v>
      </c>
      <c r="AO49" s="346">
        <f>ABS(VLOOKUP(A49,TradesEquity!$1:$1048576,15,FALSE))</f>
        <v>33.840000000000003</v>
      </c>
      <c r="AP49" s="348">
        <f>ABS(VLOOKUP(A49,TradesEquity!$1:$1048576,16,FALSE))</f>
        <v>0</v>
      </c>
      <c r="AQ49" s="286">
        <v>0</v>
      </c>
      <c r="AR49" s="286">
        <v>0</v>
      </c>
      <c r="AS49" s="286">
        <v>0</v>
      </c>
      <c r="AT49" s="286">
        <v>0</v>
      </c>
      <c r="AU49" s="286">
        <v>0</v>
      </c>
      <c r="AV49" s="348">
        <f>ABS(VLOOKUP(A49,TradesEquity!$1:$1048576,18,FALSE))</f>
        <v>56433.039999999994</v>
      </c>
      <c r="AW49" s="349">
        <v>0</v>
      </c>
      <c r="AX49" s="350">
        <v>4542</v>
      </c>
      <c r="AY49" s="351" t="s">
        <v>1959</v>
      </c>
      <c r="AZ49" s="352" t="str">
        <f>(VLOOKUP(A49,TradesEquity!$1:$1048576,29,FALSE))</f>
        <v>GSILGB2XXXX</v>
      </c>
      <c r="BA49" s="352" t="str">
        <f>(VLOOKUP(A49,TradesEquity!$1:$1048576,30,FALSE))</f>
        <v>CAETAU21</v>
      </c>
      <c r="BB49" s="352" t="str">
        <f>(VLOOKUP(A49,TradesEquity!$1:$1048576,31,FALSE))</f>
        <v>011-109048-061</v>
      </c>
      <c r="BC49" s="352" t="str">
        <f>(VLOOKUP(A49,TradesEquity!$1:$1048576,32,FALSE))</f>
        <v>N</v>
      </c>
      <c r="BI49" s="375" t="str">
        <f>(VLOOKUP(A49,TradesEquity!$1:$1048576,38,FALSE))</f>
        <v xml:space="preserve">        </v>
      </c>
      <c r="BJ49" s="375" t="str">
        <f>(VLOOKUP(A49,TradesEquity!$1:$1048576,39,FALSE))</f>
        <v xml:space="preserve">        </v>
      </c>
      <c r="BK49" s="352" t="str">
        <f>(VLOOKUP(A49,TradesEquity!$1:$1048576,40,FALSE))</f>
        <v>HKBAAU2SSYD</v>
      </c>
    </row>
    <row r="50" spans="1:63">
      <c r="A50" s="405">
        <v>2019200280</v>
      </c>
      <c r="D50" s="342" t="s">
        <v>1957</v>
      </c>
      <c r="F50" s="343">
        <f>VLOOKUP(A50,TradesEquity!$1:$1048576,2,FALSE)</f>
        <v>43987</v>
      </c>
      <c r="H50" s="343">
        <f>VLOOKUP(A50,TradesEquity!$1:$1048576,21,FALSE)</f>
        <v>43992</v>
      </c>
      <c r="I50" s="344" t="str">
        <f>IF(VLOOKUP(A50,TradesEquity!$1:$1048576,3,FALSE)="BUY","B","S")</f>
        <v>B</v>
      </c>
      <c r="J50" s="344" t="str">
        <f>VLOOKUP(A50,TradesEquity!$1:$1048576,5,FALSE)</f>
        <v>AU000000WSA9</v>
      </c>
      <c r="K50" s="342" t="s">
        <v>19</v>
      </c>
      <c r="L50" s="345" t="s">
        <v>1958</v>
      </c>
      <c r="AE50" s="346" t="str">
        <f>VLOOKUP(A50,TradesEquity!$1:$1048576,10,FALSE)</f>
        <v>AUD</v>
      </c>
      <c r="AF50" s="346" t="str">
        <f t="shared" si="1"/>
        <v>AUD</v>
      </c>
      <c r="AG50" s="346" t="str">
        <f t="shared" si="1"/>
        <v>AUD</v>
      </c>
      <c r="AH50" s="346" t="str">
        <f t="shared" si="1"/>
        <v>AUD</v>
      </c>
      <c r="AI50" s="346">
        <f>ABS(VLOOKUP(A50,TradesEquity!$1:$1048576,13,FALSE))</f>
        <v>22000</v>
      </c>
      <c r="AJ50" s="347">
        <v>0</v>
      </c>
      <c r="AK50" s="347">
        <v>1</v>
      </c>
      <c r="AL50" s="346">
        <f>VLOOKUP(A50,TradesEquity!$1:$1048576,11,FALSE)</f>
        <v>2.3755199999999999</v>
      </c>
      <c r="AM50" s="347">
        <v>1</v>
      </c>
      <c r="AN50" s="346">
        <f>ABS(VLOOKUP(A50,TradesEquity!$1:$1048576,14,FALSE))</f>
        <v>52261.439999999995</v>
      </c>
      <c r="AO50" s="346">
        <f>ABS(VLOOKUP(A50,TradesEquity!$1:$1048576,15,FALSE))</f>
        <v>31.36</v>
      </c>
      <c r="AP50" s="348">
        <f>ABS(VLOOKUP(A50,TradesEquity!$1:$1048576,16,FALSE))</f>
        <v>0</v>
      </c>
      <c r="AQ50" s="286">
        <v>0</v>
      </c>
      <c r="AR50" s="286">
        <v>0</v>
      </c>
      <c r="AS50" s="286">
        <v>0</v>
      </c>
      <c r="AT50" s="286">
        <v>0</v>
      </c>
      <c r="AU50" s="286">
        <v>0</v>
      </c>
      <c r="AV50" s="348">
        <f>ABS(VLOOKUP(A50,TradesEquity!$1:$1048576,18,FALSE))</f>
        <v>52292.799999999996</v>
      </c>
      <c r="AW50" s="349">
        <v>0</v>
      </c>
      <c r="AX50" s="350">
        <v>4542</v>
      </c>
      <c r="AY50" s="351" t="s">
        <v>1959</v>
      </c>
      <c r="AZ50" s="352" t="str">
        <f>(VLOOKUP(A50,TradesEquity!$1:$1048576,29,FALSE))</f>
        <v>GSILGB2XXXX</v>
      </c>
      <c r="BA50" s="352" t="str">
        <f>(VLOOKUP(A50,TradesEquity!$1:$1048576,30,FALSE))</f>
        <v>CAETAU21</v>
      </c>
      <c r="BB50" s="352" t="str">
        <f>(VLOOKUP(A50,TradesEquity!$1:$1048576,31,FALSE))</f>
        <v>011-109048-061</v>
      </c>
      <c r="BC50" s="352" t="str">
        <f>(VLOOKUP(A50,TradesEquity!$1:$1048576,32,FALSE))</f>
        <v>N</v>
      </c>
      <c r="BI50" s="375" t="str">
        <f>(VLOOKUP(A50,TradesEquity!$1:$1048576,38,FALSE))</f>
        <v xml:space="preserve">        </v>
      </c>
      <c r="BJ50" s="375" t="str">
        <f>(VLOOKUP(A50,TradesEquity!$1:$1048576,39,FALSE))</f>
        <v xml:space="preserve">        </v>
      </c>
      <c r="BK50" s="352" t="str">
        <f>(VLOOKUP(A50,TradesEquity!$1:$1048576,40,FALSE))</f>
        <v>HKBAAU2SSYD</v>
      </c>
    </row>
    <row r="51" spans="1:63">
      <c r="A51" s="405">
        <v>2019200282</v>
      </c>
      <c r="D51" s="342" t="s">
        <v>1957</v>
      </c>
      <c r="F51" s="343">
        <f>VLOOKUP(A51,TradesEquity!$1:$1048576,2,FALSE)</f>
        <v>43993</v>
      </c>
      <c r="H51" s="343">
        <f>VLOOKUP(A51,TradesEquity!$1:$1048576,21,FALSE)</f>
        <v>43998</v>
      </c>
      <c r="I51" s="344" t="str">
        <f>IF(VLOOKUP(A51,TradesEquity!$1:$1048576,3,FALSE)="BUY","B","S")</f>
        <v>S</v>
      </c>
      <c r="J51" s="344" t="str">
        <f>VLOOKUP(A51,TradesEquity!$1:$1048576,5,FALSE)</f>
        <v>KR7006401004</v>
      </c>
      <c r="K51" s="342" t="s">
        <v>19</v>
      </c>
      <c r="L51" s="345" t="s">
        <v>1958</v>
      </c>
      <c r="AE51" s="346" t="str">
        <f>VLOOKUP(A51,TradesEquity!$1:$1048576,10,FALSE)</f>
        <v>KRW</v>
      </c>
      <c r="AF51" s="346" t="str">
        <f t="shared" si="1"/>
        <v>KRW</v>
      </c>
      <c r="AG51" s="346" t="str">
        <f t="shared" si="1"/>
        <v>KRW</v>
      </c>
      <c r="AH51" s="346" t="str">
        <f t="shared" si="1"/>
        <v>KRW</v>
      </c>
      <c r="AI51" s="346">
        <f>ABS(VLOOKUP(A51,TradesEquity!$1:$1048576,13,FALSE))</f>
        <v>690</v>
      </c>
      <c r="AJ51" s="347">
        <v>0</v>
      </c>
      <c r="AK51" s="347">
        <v>1</v>
      </c>
      <c r="AL51" s="346">
        <f>VLOOKUP(A51,TradesEquity!$1:$1048576,11,FALSE)</f>
        <v>254000</v>
      </c>
      <c r="AM51" s="347">
        <v>1</v>
      </c>
      <c r="AN51" s="346">
        <f>ABS(VLOOKUP(A51,TradesEquity!$1:$1048576,14,FALSE))</f>
        <v>175260000</v>
      </c>
      <c r="AO51" s="346">
        <f>ABS(VLOOKUP(A51,TradesEquity!$1:$1048576,15,FALSE))</f>
        <v>262890</v>
      </c>
      <c r="AP51" s="348">
        <f>ABS(VLOOKUP(A51,TradesEquity!$1:$1048576,16,FALSE))</f>
        <v>438150</v>
      </c>
      <c r="AQ51" s="286">
        <v>0</v>
      </c>
      <c r="AR51" s="286">
        <v>0</v>
      </c>
      <c r="AS51" s="286">
        <v>0</v>
      </c>
      <c r="AT51" s="286">
        <v>0</v>
      </c>
      <c r="AU51" s="286">
        <v>0</v>
      </c>
      <c r="AV51" s="348">
        <f>ABS(VLOOKUP(A51,TradesEquity!$1:$1048576,18,FALSE))</f>
        <v>174558960</v>
      </c>
      <c r="AW51" s="349">
        <v>0</v>
      </c>
      <c r="AX51" s="350">
        <v>4542</v>
      </c>
      <c r="AY51" s="351" t="s">
        <v>1959</v>
      </c>
      <c r="AZ51" s="352" t="e">
        <f>(VLOOKUP(A51,TradesEquity!$1:$1048576,29,FALSE))</f>
        <v>#N/A</v>
      </c>
      <c r="BA51" s="352" t="e">
        <f>(VLOOKUP(A51,TradesEquity!$1:$1048576,30,FALSE))</f>
        <v>#N/A</v>
      </c>
      <c r="BB51" s="352" t="e">
        <f>(VLOOKUP(A51,TradesEquity!$1:$1048576,31,FALSE))</f>
        <v>#N/A</v>
      </c>
      <c r="BC51" s="352" t="e">
        <f>(VLOOKUP(A51,TradesEquity!$1:$1048576,32,FALSE))</f>
        <v>#N/A</v>
      </c>
      <c r="BI51" s="375" t="e">
        <f>(VLOOKUP(A51,TradesEquity!$1:$1048576,38,FALSE))</f>
        <v>#N/A</v>
      </c>
      <c r="BJ51" s="375" t="e">
        <f>(VLOOKUP(A51,TradesEquity!$1:$1048576,39,FALSE))</f>
        <v>#N/A</v>
      </c>
      <c r="BK51" s="352" t="e">
        <f>(VLOOKUP(A51,TradesEquity!$1:$1048576,40,FALSE))</f>
        <v>#N/A</v>
      </c>
    </row>
    <row r="52" spans="1:63">
      <c r="A52" s="405">
        <v>2019200283</v>
      </c>
      <c r="D52" s="342" t="s">
        <v>1957</v>
      </c>
      <c r="F52" s="343">
        <f>VLOOKUP(A52,TradesEquity!$1:$1048576,2,FALSE)</f>
        <v>44000</v>
      </c>
      <c r="H52" s="343">
        <f>VLOOKUP(A52,TradesEquity!$1:$1048576,21,FALSE)</f>
        <v>44004</v>
      </c>
      <c r="I52" s="344" t="str">
        <f>IF(VLOOKUP(A52,TradesEquity!$1:$1048576,3,FALSE)="BUY","B","S")</f>
        <v>B</v>
      </c>
      <c r="J52" s="344" t="str">
        <f>VLOOKUP(A52,TradesEquity!$1:$1048576,5,FALSE)</f>
        <v>KR7064960008</v>
      </c>
      <c r="K52" s="342" t="s">
        <v>19</v>
      </c>
      <c r="L52" s="345" t="s">
        <v>1958</v>
      </c>
      <c r="AE52" s="346" t="str">
        <f>VLOOKUP(A52,TradesEquity!$1:$1048576,10,FALSE)</f>
        <v>KRW</v>
      </c>
      <c r="AF52" s="346" t="str">
        <f t="shared" si="1"/>
        <v>KRW</v>
      </c>
      <c r="AG52" s="346" t="str">
        <f t="shared" si="1"/>
        <v>KRW</v>
      </c>
      <c r="AH52" s="346" t="str">
        <f t="shared" si="1"/>
        <v>KRW</v>
      </c>
      <c r="AI52" s="346">
        <f>ABS(VLOOKUP(A52,TradesEquity!$1:$1048576,13,FALSE))</f>
        <v>2200</v>
      </c>
      <c r="AJ52" s="347">
        <v>0</v>
      </c>
      <c r="AK52" s="347">
        <v>1</v>
      </c>
      <c r="AL52" s="346">
        <f>VLOOKUP(A52,TradesEquity!$1:$1048576,11,FALSE)</f>
        <v>41466.9545</v>
      </c>
      <c r="AM52" s="347">
        <v>1</v>
      </c>
      <c r="AN52" s="346">
        <f>ABS(VLOOKUP(A52,TradesEquity!$1:$1048576,14,FALSE))</f>
        <v>91227299.900000006</v>
      </c>
      <c r="AO52" s="346">
        <f>ABS(VLOOKUP(A52,TradesEquity!$1:$1048576,15,FALSE))</f>
        <v>136841</v>
      </c>
      <c r="AP52" s="348">
        <f>ABS(VLOOKUP(A52,TradesEquity!$1:$1048576,16,FALSE))</f>
        <v>0</v>
      </c>
      <c r="AQ52" s="286">
        <v>0</v>
      </c>
      <c r="AR52" s="286">
        <v>0</v>
      </c>
      <c r="AS52" s="286">
        <v>0</v>
      </c>
      <c r="AT52" s="286">
        <v>0</v>
      </c>
      <c r="AU52" s="286">
        <v>0</v>
      </c>
      <c r="AV52" s="348">
        <f>ABS(VLOOKUP(A52,TradesEquity!$1:$1048576,18,FALSE))</f>
        <v>91364140.900000006</v>
      </c>
      <c r="AW52" s="349">
        <v>0</v>
      </c>
      <c r="AX52" s="350">
        <v>4542</v>
      </c>
      <c r="AY52" s="351" t="s">
        <v>1959</v>
      </c>
      <c r="AZ52" s="352" t="str">
        <f>(VLOOKUP(A52,TradesEquity!$1:$1048576,29,FALSE))</f>
        <v>SAMCKRS1XXX</v>
      </c>
      <c r="BA52" s="352" t="str">
        <f>(VLOOKUP(A52,TradesEquity!$1:$1048576,30,FALSE))</f>
        <v>KSDCKRSEXXX</v>
      </c>
      <c r="BB52" s="352" t="str">
        <f>(VLOOKUP(A52,TradesEquity!$1:$1048576,31,FALSE))</f>
        <v>30-00</v>
      </c>
      <c r="BC52" s="352" t="str">
        <f>(VLOOKUP(A52,TradesEquity!$1:$1048576,32,FALSE))</f>
        <v>N</v>
      </c>
      <c r="BI52" s="375">
        <f>(VLOOKUP(A52,TradesEquity!$1:$1048576,38,FALSE))</f>
        <v>0</v>
      </c>
      <c r="BJ52" s="375">
        <f>(VLOOKUP(A52,TradesEquity!$1:$1048576,39,FALSE))</f>
        <v>0</v>
      </c>
      <c r="BK52" s="352" t="str">
        <f>(VLOOKUP(A52,TradesEquity!$1:$1048576,40,FALSE))</f>
        <v>SAMCKRS1XXX</v>
      </c>
    </row>
    <row r="53" spans="1:63">
      <c r="A53" s="405">
        <v>2019200284</v>
      </c>
      <c r="D53" s="342" t="s">
        <v>1957</v>
      </c>
      <c r="F53" s="343">
        <f>VLOOKUP(A53,TradesEquity!$1:$1048576,2,FALSE)</f>
        <v>44000</v>
      </c>
      <c r="H53" s="343">
        <f>VLOOKUP(A53,TradesEquity!$1:$1048576,21,FALSE)</f>
        <v>44004</v>
      </c>
      <c r="I53" s="344" t="str">
        <f>IF(VLOOKUP(A53,TradesEquity!$1:$1048576,3,FALSE)="BUY","B","S")</f>
        <v>S</v>
      </c>
      <c r="J53" s="344" t="str">
        <f>VLOOKUP(A53,TradesEquity!$1:$1048576,5,FALSE)</f>
        <v>JP3701200002</v>
      </c>
      <c r="K53" s="342" t="s">
        <v>19</v>
      </c>
      <c r="L53" s="345" t="s">
        <v>1958</v>
      </c>
      <c r="AE53" s="346" t="str">
        <f>VLOOKUP(A53,TradesEquity!$1:$1048576,10,FALSE)</f>
        <v>JPY</v>
      </c>
      <c r="AF53" s="346" t="str">
        <f t="shared" si="1"/>
        <v>JPY</v>
      </c>
      <c r="AG53" s="346" t="str">
        <f t="shared" si="1"/>
        <v>JPY</v>
      </c>
      <c r="AH53" s="346" t="str">
        <f t="shared" si="1"/>
        <v>JPY</v>
      </c>
      <c r="AI53" s="346">
        <f>ABS(VLOOKUP(A53,TradesEquity!$1:$1048576,13,FALSE))</f>
        <v>4000</v>
      </c>
      <c r="AJ53" s="347">
        <v>0</v>
      </c>
      <c r="AK53" s="347">
        <v>1</v>
      </c>
      <c r="AL53" s="346">
        <f>VLOOKUP(A53,TradesEquity!$1:$1048576,11,FALSE)</f>
        <v>1767.5625</v>
      </c>
      <c r="AM53" s="347">
        <v>1</v>
      </c>
      <c r="AN53" s="346">
        <f>ABS(VLOOKUP(A53,TradesEquity!$1:$1048576,14,FALSE))</f>
        <v>7070250</v>
      </c>
      <c r="AO53" s="346">
        <f>ABS(VLOOKUP(A53,TradesEquity!$1:$1048576,15,FALSE))</f>
        <v>4242</v>
      </c>
      <c r="AP53" s="348">
        <f>ABS(VLOOKUP(A53,TradesEquity!$1:$1048576,16,FALSE))</f>
        <v>0</v>
      </c>
      <c r="AQ53" s="286">
        <v>0</v>
      </c>
      <c r="AR53" s="286">
        <v>0</v>
      </c>
      <c r="AS53" s="286">
        <v>0</v>
      </c>
      <c r="AT53" s="286">
        <v>0</v>
      </c>
      <c r="AU53" s="286">
        <v>0</v>
      </c>
      <c r="AV53" s="348">
        <f>ABS(VLOOKUP(A53,TradesEquity!$1:$1048576,18,FALSE))</f>
        <v>7066008</v>
      </c>
      <c r="AW53" s="349">
        <v>0</v>
      </c>
      <c r="AX53" s="350">
        <v>4542</v>
      </c>
      <c r="AY53" s="351" t="s">
        <v>1959</v>
      </c>
      <c r="AZ53" s="352" t="str">
        <f>(VLOOKUP(A53,TradesEquity!$1:$1048576,29,FALSE))</f>
        <v>GSILGB2XXXX</v>
      </c>
      <c r="BA53" s="352" t="str">
        <f>(VLOOKUP(A53,TradesEquity!$1:$1048576,30,FALSE))</f>
        <v>JJSDJPJTXXX</v>
      </c>
      <c r="BB53" s="352">
        <f>(VLOOKUP(A53,TradesEquity!$1:$1048576,31,FALSE))</f>
        <v>6530490016</v>
      </c>
      <c r="BC53" s="352" t="str">
        <f>(VLOOKUP(A53,TradesEquity!$1:$1048576,32,FALSE))</f>
        <v>N</v>
      </c>
      <c r="BI53" s="375" t="str">
        <f>(VLOOKUP(A53,TradesEquity!$1:$1048576,38,FALSE))</f>
        <v xml:space="preserve">                  </v>
      </c>
      <c r="BJ53" s="375" t="str">
        <f>(VLOOKUP(A53,TradesEquity!$1:$1048576,39,FALSE))</f>
        <v xml:space="preserve">                          </v>
      </c>
      <c r="BK53" s="352" t="str">
        <f>(VLOOKUP(A53,TradesEquity!$1:$1048576,40,FALSE))</f>
        <v>GOLDJPJXXXX</v>
      </c>
    </row>
    <row r="54" spans="1:63">
      <c r="A54" s="405">
        <v>2019200285</v>
      </c>
      <c r="D54" s="342" t="s">
        <v>1957</v>
      </c>
      <c r="F54" s="343">
        <f>VLOOKUP(A54,TradesEquity!$1:$1048576,2,FALSE)</f>
        <v>44000</v>
      </c>
      <c r="H54" s="343">
        <f>VLOOKUP(A54,TradesEquity!$1:$1048576,21,FALSE)</f>
        <v>44004</v>
      </c>
      <c r="I54" s="344" t="str">
        <f>IF(VLOOKUP(A54,TradesEquity!$1:$1048576,3,FALSE)="BUY","B","S")</f>
        <v>B</v>
      </c>
      <c r="J54" s="344" t="str">
        <f>VLOOKUP(A54,TradesEquity!$1:$1048576,5,FALSE)</f>
        <v>CNE100000296</v>
      </c>
      <c r="K54" s="342" t="s">
        <v>19</v>
      </c>
      <c r="L54" s="345" t="s">
        <v>1958</v>
      </c>
      <c r="AE54" s="346" t="str">
        <f>VLOOKUP(A54,TradesEquity!$1:$1048576,10,FALSE)</f>
        <v>HKD</v>
      </c>
      <c r="AF54" s="346" t="str">
        <f t="shared" si="1"/>
        <v>HKD</v>
      </c>
      <c r="AG54" s="346" t="str">
        <f t="shared" si="1"/>
        <v>HKD</v>
      </c>
      <c r="AH54" s="346" t="str">
        <f t="shared" si="1"/>
        <v>HKD</v>
      </c>
      <c r="AI54" s="346">
        <f>ABS(VLOOKUP(A54,TradesEquity!$1:$1048576,13,FALSE))</f>
        <v>11000</v>
      </c>
      <c r="AJ54" s="347">
        <v>0</v>
      </c>
      <c r="AK54" s="347">
        <v>1</v>
      </c>
      <c r="AL54" s="346">
        <f>VLOOKUP(A54,TradesEquity!$1:$1048576,11,FALSE)</f>
        <v>58.329549999999998</v>
      </c>
      <c r="AM54" s="347">
        <v>1</v>
      </c>
      <c r="AN54" s="346">
        <f>ABS(VLOOKUP(A54,TradesEquity!$1:$1048576,14,FALSE))</f>
        <v>641625.04999999993</v>
      </c>
      <c r="AO54" s="346">
        <f>ABS(VLOOKUP(A54,TradesEquity!$1:$1048576,15,FALSE))</f>
        <v>384.98</v>
      </c>
      <c r="AP54" s="348">
        <f>ABS(VLOOKUP(A54,TradesEquity!$1:$1048576,16,FALSE))</f>
        <v>691.4</v>
      </c>
      <c r="AQ54" s="286">
        <v>0</v>
      </c>
      <c r="AR54" s="286">
        <v>0</v>
      </c>
      <c r="AS54" s="286">
        <v>0</v>
      </c>
      <c r="AT54" s="286">
        <v>0</v>
      </c>
      <c r="AU54" s="286">
        <v>0</v>
      </c>
      <c r="AV54" s="348">
        <f>ABS(VLOOKUP(A54,TradesEquity!$1:$1048576,18,FALSE))</f>
        <v>642701.42999999993</v>
      </c>
      <c r="AW54" s="349">
        <v>0</v>
      </c>
      <c r="AX54" s="350">
        <v>4542</v>
      </c>
      <c r="AY54" s="351" t="s">
        <v>1959</v>
      </c>
      <c r="AZ54" s="352" t="e">
        <f>(VLOOKUP(A54,TradesEquity!$1:$1048576,29,FALSE))</f>
        <v>#N/A</v>
      </c>
      <c r="BA54" s="352" t="e">
        <f>(VLOOKUP(A54,TradesEquity!$1:$1048576,30,FALSE))</f>
        <v>#N/A</v>
      </c>
      <c r="BB54" s="352" t="e">
        <f>(VLOOKUP(A54,TradesEquity!$1:$1048576,31,FALSE))</f>
        <v>#N/A</v>
      </c>
      <c r="BC54" s="352" t="e">
        <f>(VLOOKUP(A54,TradesEquity!$1:$1048576,32,FALSE))</f>
        <v>#N/A</v>
      </c>
      <c r="BI54" s="375" t="e">
        <f>(VLOOKUP(A54,TradesEquity!$1:$1048576,38,FALSE))</f>
        <v>#N/A</v>
      </c>
      <c r="BJ54" s="375" t="e">
        <f>(VLOOKUP(A54,TradesEquity!$1:$1048576,39,FALSE))</f>
        <v>#N/A</v>
      </c>
      <c r="BK54" s="352" t="e">
        <f>(VLOOKUP(A54,TradesEquity!$1:$1048576,40,FALSE))</f>
        <v>#N/A</v>
      </c>
    </row>
    <row r="55" spans="1:63">
      <c r="A55" s="405">
        <v>2019200286</v>
      </c>
      <c r="D55" s="342" t="s">
        <v>1957</v>
      </c>
      <c r="F55" s="343">
        <f>VLOOKUP(A55,TradesEquity!$1:$1048576,2,FALSE)</f>
        <v>44001</v>
      </c>
      <c r="H55" s="343">
        <f>VLOOKUP(A55,TradesEquity!$1:$1048576,21,FALSE)</f>
        <v>44005</v>
      </c>
      <c r="I55" s="344" t="str">
        <f>IF(VLOOKUP(A55,TradesEquity!$1:$1048576,3,FALSE)="BUY","B","S")</f>
        <v>B</v>
      </c>
      <c r="J55" s="344" t="str">
        <f>VLOOKUP(A55,TradesEquity!$1:$1048576,5,FALSE)</f>
        <v>JP3866800000</v>
      </c>
      <c r="K55" s="342" t="s">
        <v>19</v>
      </c>
      <c r="L55" s="345" t="s">
        <v>1958</v>
      </c>
      <c r="AE55" s="346" t="str">
        <f>VLOOKUP(A55,TradesEquity!$1:$1048576,10,FALSE)</f>
        <v>JPY</v>
      </c>
      <c r="AF55" s="346" t="str">
        <f t="shared" si="1"/>
        <v>JPY</v>
      </c>
      <c r="AG55" s="346" t="str">
        <f t="shared" si="1"/>
        <v>JPY</v>
      </c>
      <c r="AH55" s="346" t="str">
        <f t="shared" si="1"/>
        <v>JPY</v>
      </c>
      <c r="AI55" s="346">
        <f>ABS(VLOOKUP(A55,TradesEquity!$1:$1048576,13,FALSE))</f>
        <v>11000</v>
      </c>
      <c r="AJ55" s="347">
        <v>0</v>
      </c>
      <c r="AK55" s="347">
        <v>1</v>
      </c>
      <c r="AL55" s="346">
        <f>VLOOKUP(A55,TradesEquity!$1:$1048576,11,FALSE)</f>
        <v>965.13670000000002</v>
      </c>
      <c r="AM55" s="347">
        <v>1</v>
      </c>
      <c r="AN55" s="346">
        <f>ABS(VLOOKUP(A55,TradesEquity!$1:$1048576,14,FALSE))</f>
        <v>10616503.700000001</v>
      </c>
      <c r="AO55" s="346">
        <f>ABS(VLOOKUP(A55,TradesEquity!$1:$1048576,15,FALSE))</f>
        <v>6370</v>
      </c>
      <c r="AP55" s="348">
        <f>ABS(VLOOKUP(A55,TradesEquity!$1:$1048576,16,FALSE))</f>
        <v>0</v>
      </c>
      <c r="AQ55" s="286">
        <v>0</v>
      </c>
      <c r="AR55" s="286">
        <v>0</v>
      </c>
      <c r="AS55" s="286">
        <v>0</v>
      </c>
      <c r="AT55" s="286">
        <v>0</v>
      </c>
      <c r="AU55" s="286">
        <v>0</v>
      </c>
      <c r="AV55" s="348">
        <f>ABS(VLOOKUP(A55,TradesEquity!$1:$1048576,18,FALSE))</f>
        <v>10622873.700000001</v>
      </c>
      <c r="AW55" s="349">
        <v>0</v>
      </c>
      <c r="AX55" s="350">
        <v>4542</v>
      </c>
      <c r="AY55" s="351" t="s">
        <v>1959</v>
      </c>
      <c r="AZ55" s="352" t="str">
        <f>(VLOOKUP(A55,TradesEquity!$1:$1048576,29,FALSE))</f>
        <v>GSILGB2XXXX</v>
      </c>
      <c r="BA55" s="352" t="str">
        <f>(VLOOKUP(A55,TradesEquity!$1:$1048576,30,FALSE))</f>
        <v>JJSDJPJTXXX</v>
      </c>
      <c r="BB55" s="352">
        <f>(VLOOKUP(A55,TradesEquity!$1:$1048576,31,FALSE))</f>
        <v>6530490016</v>
      </c>
      <c r="BC55" s="352" t="str">
        <f>(VLOOKUP(A55,TradesEquity!$1:$1048576,32,FALSE))</f>
        <v>N</v>
      </c>
      <c r="BI55" s="375" t="str">
        <f>(VLOOKUP(A55,TradesEquity!$1:$1048576,38,FALSE))</f>
        <v xml:space="preserve">                  </v>
      </c>
      <c r="BJ55" s="375" t="str">
        <f>(VLOOKUP(A55,TradesEquity!$1:$1048576,39,FALSE))</f>
        <v xml:space="preserve">                          </v>
      </c>
      <c r="BK55" s="352" t="str">
        <f>(VLOOKUP(A55,TradesEquity!$1:$1048576,40,FALSE))</f>
        <v>GOLDJPJXXXX</v>
      </c>
    </row>
    <row r="56" spans="1:63">
      <c r="A56" s="405">
        <v>2019200287</v>
      </c>
      <c r="D56" s="342" t="s">
        <v>1957</v>
      </c>
      <c r="F56" s="343">
        <f>VLOOKUP(A56,TradesEquity!$1:$1048576,2,FALSE)</f>
        <v>44008</v>
      </c>
      <c r="H56" s="343">
        <f>VLOOKUP(A56,TradesEquity!$1:$1048576,21,FALSE)</f>
        <v>44012</v>
      </c>
      <c r="I56" s="344" t="str">
        <f>IF(VLOOKUP(A56,TradesEquity!$1:$1048576,3,FALSE)="BUY","B","S")</f>
        <v>B</v>
      </c>
      <c r="J56" s="344" t="str">
        <f>VLOOKUP(A56,TradesEquity!$1:$1048576,5,FALSE)</f>
        <v>JP3866800000</v>
      </c>
      <c r="K56" s="342" t="s">
        <v>19</v>
      </c>
      <c r="L56" s="345" t="s">
        <v>1958</v>
      </c>
      <c r="AE56" s="346" t="str">
        <f>VLOOKUP(A56,TradesEquity!$1:$1048576,10,FALSE)</f>
        <v>JPY</v>
      </c>
      <c r="AF56" s="346" t="str">
        <f t="shared" si="1"/>
        <v>JPY</v>
      </c>
      <c r="AG56" s="346" t="str">
        <f t="shared" si="1"/>
        <v>JPY</v>
      </c>
      <c r="AH56" s="346" t="str">
        <f t="shared" si="1"/>
        <v>JPY</v>
      </c>
      <c r="AI56" s="346">
        <f>ABS(VLOOKUP(A56,TradesEquity!$1:$1048576,13,FALSE))</f>
        <v>11000</v>
      </c>
      <c r="AJ56" s="347">
        <v>0</v>
      </c>
      <c r="AK56" s="347">
        <v>1</v>
      </c>
      <c r="AL56" s="346">
        <f>VLOOKUP(A56,TradesEquity!$1:$1048576,11,FALSE)</f>
        <v>928.7</v>
      </c>
      <c r="AM56" s="347">
        <v>1</v>
      </c>
      <c r="AN56" s="346">
        <f>ABS(VLOOKUP(A56,TradesEquity!$1:$1048576,14,FALSE))</f>
        <v>10215700</v>
      </c>
      <c r="AO56" s="346">
        <f>ABS(VLOOKUP(A56,TradesEquity!$1:$1048576,15,FALSE))</f>
        <v>6129</v>
      </c>
      <c r="AP56" s="348">
        <f>ABS(VLOOKUP(A56,TradesEquity!$1:$1048576,16,FALSE))</f>
        <v>0</v>
      </c>
      <c r="AQ56" s="286">
        <v>0</v>
      </c>
      <c r="AR56" s="286">
        <v>0</v>
      </c>
      <c r="AS56" s="286">
        <v>0</v>
      </c>
      <c r="AT56" s="286">
        <v>0</v>
      </c>
      <c r="AU56" s="286">
        <v>0</v>
      </c>
      <c r="AV56" s="348">
        <f>ABS(VLOOKUP(A56,TradesEquity!$1:$1048576,18,FALSE))</f>
        <v>10221829</v>
      </c>
      <c r="AW56" s="349">
        <v>0</v>
      </c>
      <c r="AX56" s="350">
        <v>4542</v>
      </c>
      <c r="AY56" s="351" t="s">
        <v>1959</v>
      </c>
      <c r="AZ56" s="352" t="str">
        <f>(VLOOKUP(A56,TradesEquity!$1:$1048576,29,FALSE))</f>
        <v>GSILGB2XXXX</v>
      </c>
      <c r="BA56" s="352" t="str">
        <f>(VLOOKUP(A56,TradesEquity!$1:$1048576,30,FALSE))</f>
        <v>JJSDJPJTXXX</v>
      </c>
      <c r="BB56" s="352">
        <f>(VLOOKUP(A56,TradesEquity!$1:$1048576,31,FALSE))</f>
        <v>6530490016</v>
      </c>
      <c r="BC56" s="352" t="str">
        <f>(VLOOKUP(A56,TradesEquity!$1:$1048576,32,FALSE))</f>
        <v>N</v>
      </c>
      <c r="BI56" s="375" t="str">
        <f>(VLOOKUP(A56,TradesEquity!$1:$1048576,38,FALSE))</f>
        <v xml:space="preserve">                  </v>
      </c>
      <c r="BJ56" s="375" t="str">
        <f>(VLOOKUP(A56,TradesEquity!$1:$1048576,39,FALSE))</f>
        <v xml:space="preserve">                          </v>
      </c>
      <c r="BK56" s="352" t="str">
        <f>(VLOOKUP(A56,TradesEquity!$1:$1048576,40,FALSE))</f>
        <v>GOLDJPJXXXX</v>
      </c>
    </row>
    <row r="57" spans="1:63">
      <c r="A57" s="378">
        <f>(A56+1)</f>
        <v>2019200288</v>
      </c>
      <c r="D57" s="342" t="s">
        <v>1957</v>
      </c>
      <c r="F57" s="343">
        <f>VLOOKUP(A57,TradesEquity!$1:$1048576,2,FALSE)</f>
        <v>44048</v>
      </c>
      <c r="H57" s="343">
        <f>VLOOKUP(A57,TradesEquity!$1:$1048576,21,FALSE)</f>
        <v>44053</v>
      </c>
      <c r="I57" s="344" t="str">
        <f>IF(VLOOKUP(A57,TradesEquity!$1:$1048576,3,FALSE)="BUY","B","S")</f>
        <v>S</v>
      </c>
      <c r="J57" s="344" t="str">
        <f>VLOOKUP(A57,TradesEquity!$1:$1048576,5,FALSE)</f>
        <v>KR7051911006</v>
      </c>
      <c r="K57" s="342" t="s">
        <v>19</v>
      </c>
      <c r="L57" s="345" t="s">
        <v>1958</v>
      </c>
      <c r="AE57" s="346" t="str">
        <f>VLOOKUP(A57,TradesEquity!$1:$1048576,10,FALSE)</f>
        <v>KRW</v>
      </c>
      <c r="AF57" s="346" t="str">
        <f t="shared" si="1"/>
        <v>KRW</v>
      </c>
      <c r="AG57" s="346" t="str">
        <f t="shared" si="1"/>
        <v>KRW</v>
      </c>
      <c r="AH57" s="346" t="str">
        <f t="shared" si="1"/>
        <v>KRW</v>
      </c>
      <c r="AI57" s="346">
        <f>ABS(VLOOKUP(A57,TradesEquity!$1:$1048576,13,FALSE))</f>
        <v>450</v>
      </c>
      <c r="AJ57" s="347">
        <v>0</v>
      </c>
      <c r="AK57" s="347">
        <v>1</v>
      </c>
      <c r="AL57" s="346">
        <f>VLOOKUP(A57,TradesEquity!$1:$1048576,11,FALSE)</f>
        <v>373000</v>
      </c>
      <c r="AM57" s="347">
        <v>1</v>
      </c>
      <c r="AN57" s="346">
        <f>ABS(VLOOKUP(A57,TradesEquity!$1:$1048576,14,FALSE))</f>
        <v>167850000</v>
      </c>
      <c r="AO57" s="346">
        <f>ABS(VLOOKUP(A57,TradesEquity!$1:$1048576,15,FALSE))</f>
        <v>251775</v>
      </c>
      <c r="AP57" s="348">
        <f>ABS(VLOOKUP(A57,TradesEquity!$1:$1048576,16,FALSE))</f>
        <v>419624</v>
      </c>
      <c r="AQ57" s="286">
        <v>0</v>
      </c>
      <c r="AR57" s="286">
        <v>0</v>
      </c>
      <c r="AS57" s="286">
        <v>0</v>
      </c>
      <c r="AT57" s="286">
        <v>0</v>
      </c>
      <c r="AU57" s="286">
        <v>0</v>
      </c>
      <c r="AV57" s="348">
        <f>ABS(VLOOKUP(A57,TradesEquity!$1:$1048576,18,FALSE))</f>
        <v>167178601</v>
      </c>
      <c r="AW57" s="349">
        <v>0</v>
      </c>
      <c r="AX57" s="350">
        <v>4542</v>
      </c>
      <c r="AY57" s="351" t="s">
        <v>1959</v>
      </c>
      <c r="AZ57" s="352" t="e">
        <f>(VLOOKUP(A57,TradesEquity!$1:$1048576,29,FALSE))</f>
        <v>#N/A</v>
      </c>
      <c r="BA57" s="352" t="e">
        <f>(VLOOKUP(A57,TradesEquity!$1:$1048576,30,FALSE))</f>
        <v>#N/A</v>
      </c>
      <c r="BB57" s="352" t="e">
        <f>(VLOOKUP(A57,TradesEquity!$1:$1048576,31,FALSE))</f>
        <v>#N/A</v>
      </c>
      <c r="BC57" s="352" t="e">
        <f>(VLOOKUP(A57,TradesEquity!$1:$1048576,32,FALSE))</f>
        <v>#N/A</v>
      </c>
      <c r="BI57" s="375" t="e">
        <f>(VLOOKUP(A57,TradesEquity!$1:$1048576,38,FALSE))</f>
        <v>#N/A</v>
      </c>
      <c r="BJ57" s="375" t="e">
        <f>(VLOOKUP(A57,TradesEquity!$1:$1048576,39,FALSE))</f>
        <v>#N/A</v>
      </c>
      <c r="BK57" s="352" t="e">
        <f>(VLOOKUP(A57,TradesEquity!$1:$1048576,40,FALSE))</f>
        <v>#N/A</v>
      </c>
    </row>
    <row r="58" spans="1:63">
      <c r="A58" s="378">
        <f>(A57+1)</f>
        <v>2019200289</v>
      </c>
      <c r="D58" s="342" t="s">
        <v>1957</v>
      </c>
      <c r="F58" s="343">
        <f>VLOOKUP(A58,TradesEquity!$1:$1048576,2,FALSE)</f>
        <v>44048</v>
      </c>
      <c r="H58" s="343">
        <f>VLOOKUP(A58,TradesEquity!$1:$1048576,21,FALSE)</f>
        <v>44050</v>
      </c>
      <c r="I58" s="344" t="str">
        <f>IF(VLOOKUP(A58,TradesEquity!$1:$1048576,3,FALSE)="BUY","B","S")</f>
        <v>B</v>
      </c>
      <c r="J58" s="344" t="str">
        <f>VLOOKUP(A58,TradesEquity!$1:$1048576,5,FALSE)</f>
        <v>DE000A2E4LE9</v>
      </c>
      <c r="K58" s="342" t="s">
        <v>19</v>
      </c>
      <c r="L58" s="345" t="s">
        <v>1958</v>
      </c>
      <c r="AE58" s="346" t="str">
        <f>VLOOKUP(A58,TradesEquity!$1:$1048576,10,FALSE)</f>
        <v>EUR</v>
      </c>
      <c r="AF58" s="346" t="str">
        <f t="shared" si="1"/>
        <v>EUR</v>
      </c>
      <c r="AG58" s="346" t="str">
        <f t="shared" si="1"/>
        <v>EUR</v>
      </c>
      <c r="AH58" s="346" t="str">
        <f t="shared" si="1"/>
        <v>EUR</v>
      </c>
      <c r="AI58" s="346">
        <f>ABS(VLOOKUP(A58,TradesEquity!$1:$1048576,13,FALSE))</f>
        <v>6680</v>
      </c>
      <c r="AJ58" s="347">
        <v>0</v>
      </c>
      <c r="AK58" s="347">
        <v>1</v>
      </c>
      <c r="AL58" s="346">
        <f>VLOOKUP(A58,TradesEquity!$1:$1048576,11,FALSE)</f>
        <v>3.3862000000000001</v>
      </c>
      <c r="AM58" s="347">
        <v>1</v>
      </c>
      <c r="AN58" s="346">
        <f>ABS(VLOOKUP(A58,TradesEquity!$1:$1048576,14,FALSE))</f>
        <v>22619.815999999999</v>
      </c>
      <c r="AO58" s="346">
        <f>ABS(VLOOKUP(A58,TradesEquity!$1:$1048576,15,FALSE))</f>
        <v>13.57</v>
      </c>
      <c r="AP58" s="348">
        <f>ABS(VLOOKUP(A58,TradesEquity!$1:$1048576,16,FALSE))</f>
        <v>0</v>
      </c>
      <c r="AQ58" s="286">
        <v>0</v>
      </c>
      <c r="AR58" s="286">
        <v>0</v>
      </c>
      <c r="AS58" s="286">
        <v>0</v>
      </c>
      <c r="AT58" s="286">
        <v>0</v>
      </c>
      <c r="AU58" s="286">
        <v>0</v>
      </c>
      <c r="AV58" s="348">
        <f>ABS(VLOOKUP(A58,TradesEquity!$1:$1048576,18,FALSE))</f>
        <v>22633.385999999999</v>
      </c>
      <c r="AW58" s="349">
        <v>0</v>
      </c>
      <c r="AX58" s="350">
        <v>4542</v>
      </c>
      <c r="AY58" s="351" t="s">
        <v>1959</v>
      </c>
      <c r="AZ58" s="352" t="str">
        <f>(VLOOKUP(A58,TradesEquity!$1:$1048576,29,FALSE))</f>
        <v>EMSIITM1XXX</v>
      </c>
      <c r="BA58" s="352" t="str">
        <f>(VLOOKUP(A58,TradesEquity!$1:$1048576,30,FALSE))</f>
        <v>DAKVDEFFXXX</v>
      </c>
      <c r="BB58" s="352" t="str">
        <f>(VLOOKUP(A58,TradesEquity!$1:$1048576,31,FALSE))</f>
        <v>DAKV8135000</v>
      </c>
      <c r="BC58" s="352" t="str">
        <f>(VLOOKUP(A58,TradesEquity!$1:$1048576,32,FALSE))</f>
        <v>N</v>
      </c>
      <c r="BI58" s="375" t="str">
        <f>(VLOOKUP(A58,TradesEquity!$1:$1048576,38,FALSE))</f>
        <v xml:space="preserve">        </v>
      </c>
      <c r="BJ58" s="375" t="str">
        <f>(VLOOKUP(A58,TradesEquity!$1:$1048576,39,FALSE))</f>
        <v xml:space="preserve">        </v>
      </c>
      <c r="BK58" s="352" t="str">
        <f>(VLOOKUP(A58,TradesEquity!$1:$1048576,40,FALSE))</f>
        <v>BCITITMMD03</v>
      </c>
    </row>
    <row r="59" spans="1:63">
      <c r="A59" s="378">
        <f>(A58+1)</f>
        <v>2019200290</v>
      </c>
      <c r="D59" s="342" t="s">
        <v>1957</v>
      </c>
      <c r="F59" s="343">
        <f>VLOOKUP(A59,TradesEquity!$1:$1048576,2,FALSE)</f>
        <v>44048</v>
      </c>
      <c r="H59" s="343">
        <f>VLOOKUP(A59,TradesEquity!$1:$1048576,21,FALSE)</f>
        <v>44054</v>
      </c>
      <c r="I59" s="344" t="str">
        <f>IF(VLOOKUP(A59,TradesEquity!$1:$1048576,3,FALSE)="BUY","B","S")</f>
        <v>B</v>
      </c>
      <c r="J59" s="344" t="str">
        <f>VLOOKUP(A59,TradesEquity!$1:$1048576,5,FALSE)</f>
        <v>JP3368000000</v>
      </c>
      <c r="K59" s="342" t="s">
        <v>19</v>
      </c>
      <c r="L59" s="345" t="s">
        <v>1958</v>
      </c>
      <c r="AE59" s="346" t="str">
        <f>VLOOKUP(A59,TradesEquity!$1:$1048576,10,FALSE)</f>
        <v>JPY</v>
      </c>
      <c r="AF59" s="346" t="str">
        <f t="shared" si="1"/>
        <v>JPY</v>
      </c>
      <c r="AG59" s="346" t="str">
        <f t="shared" si="1"/>
        <v>JPY</v>
      </c>
      <c r="AH59" s="346" t="str">
        <f t="shared" si="1"/>
        <v>JPY</v>
      </c>
      <c r="AI59" s="346">
        <f>ABS(VLOOKUP(A59,TradesEquity!$1:$1048576,13,FALSE))</f>
        <v>4200</v>
      </c>
      <c r="AJ59" s="347">
        <v>0</v>
      </c>
      <c r="AK59" s="347">
        <v>1</v>
      </c>
      <c r="AL59" s="346">
        <f>VLOOKUP(A59,TradesEquity!$1:$1048576,11,FALSE)</f>
        <v>2238.92976</v>
      </c>
      <c r="AM59" s="347">
        <v>1</v>
      </c>
      <c r="AN59" s="346">
        <f>ABS(VLOOKUP(A59,TradesEquity!$1:$1048576,14,FALSE))</f>
        <v>9403504.9920000006</v>
      </c>
      <c r="AO59" s="346">
        <f>ABS(VLOOKUP(A59,TradesEquity!$1:$1048576,15,FALSE))</f>
        <v>5642</v>
      </c>
      <c r="AP59" s="348">
        <f>ABS(VLOOKUP(A59,TradesEquity!$1:$1048576,16,FALSE))</f>
        <v>0</v>
      </c>
      <c r="AQ59" s="286">
        <v>0</v>
      </c>
      <c r="AR59" s="286">
        <v>0</v>
      </c>
      <c r="AS59" s="286">
        <v>0</v>
      </c>
      <c r="AT59" s="286">
        <v>0</v>
      </c>
      <c r="AU59" s="286">
        <v>0</v>
      </c>
      <c r="AV59" s="348">
        <f>ABS(VLOOKUP(A59,TradesEquity!$1:$1048576,18,FALSE))</f>
        <v>9409146.9920000006</v>
      </c>
      <c r="AW59" s="349">
        <v>0</v>
      </c>
      <c r="AX59" s="350">
        <v>4542</v>
      </c>
      <c r="AY59" s="351" t="s">
        <v>1959</v>
      </c>
      <c r="AZ59" s="352" t="str">
        <f>(VLOOKUP(A59,TradesEquity!$1:$1048576,29,FALSE))</f>
        <v>GSILGB2XXXX</v>
      </c>
      <c r="BA59" s="352" t="str">
        <f>(VLOOKUP(A59,TradesEquity!$1:$1048576,30,FALSE))</f>
        <v>JJSDJPJTXXX</v>
      </c>
      <c r="BB59" s="352">
        <f>(VLOOKUP(A59,TradesEquity!$1:$1048576,31,FALSE))</f>
        <v>6530490016</v>
      </c>
      <c r="BC59" s="352" t="str">
        <f>(VLOOKUP(A59,TradesEquity!$1:$1048576,32,FALSE))</f>
        <v>N</v>
      </c>
      <c r="BI59" s="375" t="str">
        <f>(VLOOKUP(A59,TradesEquity!$1:$1048576,38,FALSE))</f>
        <v xml:space="preserve">                  </v>
      </c>
      <c r="BJ59" s="375" t="str">
        <f>(VLOOKUP(A59,TradesEquity!$1:$1048576,39,FALSE))</f>
        <v xml:space="preserve">                          </v>
      </c>
      <c r="BK59" s="352" t="str">
        <f>(VLOOKUP(A59,TradesEquity!$1:$1048576,40,FALSE))</f>
        <v>GOLDJPJXXXX</v>
      </c>
    </row>
    <row r="60" spans="1:63">
      <c r="A60" s="378">
        <f>(A59+1)</f>
        <v>2019200291</v>
      </c>
      <c r="D60" s="342" t="s">
        <v>1957</v>
      </c>
      <c r="F60" s="343">
        <f>VLOOKUP(A60,TradesEquity!$1:$1048576,2,FALSE)</f>
        <v>44049</v>
      </c>
      <c r="H60" s="343">
        <f>VLOOKUP(A60,TradesEquity!$1:$1048576,21,FALSE)</f>
        <v>44053</v>
      </c>
      <c r="I60" s="344" t="str">
        <f>IF(VLOOKUP(A60,TradesEquity!$1:$1048576,3,FALSE)="BUY","B","S")</f>
        <v>B</v>
      </c>
      <c r="J60" s="344" t="str">
        <f>VLOOKUP(A60,TradesEquity!$1:$1048576,5,FALSE)</f>
        <v>DE000A2E4LE9</v>
      </c>
      <c r="K60" s="342" t="s">
        <v>19</v>
      </c>
      <c r="L60" s="345" t="s">
        <v>1958</v>
      </c>
      <c r="AE60" s="346" t="str">
        <f>VLOOKUP(A60,TradesEquity!$1:$1048576,10,FALSE)</f>
        <v>EUR</v>
      </c>
      <c r="AF60" s="346" t="str">
        <f t="shared" ref="AF60:AH95" si="2">AE60</f>
        <v>EUR</v>
      </c>
      <c r="AG60" s="346" t="str">
        <f t="shared" si="2"/>
        <v>EUR</v>
      </c>
      <c r="AH60" s="346" t="str">
        <f t="shared" si="2"/>
        <v>EUR</v>
      </c>
      <c r="AI60" s="346">
        <f>ABS(VLOOKUP(A60,TradesEquity!$1:$1048576,13,FALSE))</f>
        <v>6320</v>
      </c>
      <c r="AJ60" s="347">
        <v>0</v>
      </c>
      <c r="AK60" s="347">
        <v>1</v>
      </c>
      <c r="AL60" s="346">
        <f>VLOOKUP(A60,TradesEquity!$1:$1048576,11,FALSE)</f>
        <v>3.4358</v>
      </c>
      <c r="AM60" s="347">
        <v>1</v>
      </c>
      <c r="AN60" s="346">
        <f>ABS(VLOOKUP(A60,TradesEquity!$1:$1048576,14,FALSE))</f>
        <v>21714.256000000001</v>
      </c>
      <c r="AO60" s="346">
        <f>ABS(VLOOKUP(A60,TradesEquity!$1:$1048576,15,FALSE))</f>
        <v>13.03</v>
      </c>
      <c r="AP60" s="348">
        <f>ABS(VLOOKUP(A60,TradesEquity!$1:$1048576,16,FALSE))</f>
        <v>0</v>
      </c>
      <c r="AQ60" s="286">
        <v>0</v>
      </c>
      <c r="AR60" s="286">
        <v>0</v>
      </c>
      <c r="AS60" s="286">
        <v>0</v>
      </c>
      <c r="AT60" s="286">
        <v>0</v>
      </c>
      <c r="AU60" s="286">
        <v>0</v>
      </c>
      <c r="AV60" s="348">
        <f>ABS(VLOOKUP(A60,TradesEquity!$1:$1048576,18,FALSE))</f>
        <v>21727.286</v>
      </c>
      <c r="AW60" s="349">
        <v>0</v>
      </c>
      <c r="AX60" s="350">
        <v>4542</v>
      </c>
      <c r="AY60" s="351" t="s">
        <v>1959</v>
      </c>
      <c r="AZ60" s="352" t="str">
        <f>(VLOOKUP(A60,TradesEquity!$1:$1048576,29,FALSE))</f>
        <v>EMSIITM1XXX</v>
      </c>
      <c r="BA60" s="352" t="str">
        <f>(VLOOKUP(A60,TradesEquity!$1:$1048576,30,FALSE))</f>
        <v>DAKVDEFFXXX</v>
      </c>
      <c r="BB60" s="352" t="str">
        <f>(VLOOKUP(A60,TradesEquity!$1:$1048576,31,FALSE))</f>
        <v>DAKV8135000</v>
      </c>
      <c r="BC60" s="352" t="str">
        <f>(VLOOKUP(A60,TradesEquity!$1:$1048576,32,FALSE))</f>
        <v>N</v>
      </c>
      <c r="BI60" s="375" t="str">
        <f>(VLOOKUP(A60,TradesEquity!$1:$1048576,38,FALSE))</f>
        <v xml:space="preserve">        </v>
      </c>
      <c r="BJ60" s="375" t="str">
        <f>(VLOOKUP(A60,TradesEquity!$1:$1048576,39,FALSE))</f>
        <v xml:space="preserve">        </v>
      </c>
      <c r="BK60" s="352" t="str">
        <f>(VLOOKUP(A60,TradesEquity!$1:$1048576,40,FALSE))</f>
        <v>BCITITMMD03</v>
      </c>
    </row>
    <row r="61" spans="1:63">
      <c r="A61" s="378">
        <v>2019200292</v>
      </c>
      <c r="C61" s="411"/>
      <c r="D61" s="342" t="s">
        <v>1957</v>
      </c>
      <c r="F61" s="343">
        <f>VLOOKUP(A61,TradesEquity!$1:$1048576,2,FALSE)</f>
        <v>44050</v>
      </c>
      <c r="H61" s="343">
        <f>VLOOKUP(A61,TradesEquity!$1:$1048576,21,FALSE)</f>
        <v>44055</v>
      </c>
      <c r="I61" s="344" t="str">
        <f>IF(VLOOKUP(A61,TradesEquity!$1:$1048576,3,FALSE)="BUY","B","S")</f>
        <v>S</v>
      </c>
      <c r="J61" s="344" t="str">
        <f>VLOOKUP(A61,TradesEquity!$1:$1048576,5,FALSE)</f>
        <v>KR7051911006</v>
      </c>
      <c r="K61" s="342" t="s">
        <v>19</v>
      </c>
      <c r="L61" s="345" t="s">
        <v>1958</v>
      </c>
      <c r="AE61" s="346" t="str">
        <f>VLOOKUP(A61,TradesEquity!$1:$1048576,10,FALSE)</f>
        <v>KRW</v>
      </c>
      <c r="AF61" s="346" t="str">
        <f t="shared" si="2"/>
        <v>KRW</v>
      </c>
      <c r="AG61" s="346" t="str">
        <f t="shared" si="2"/>
        <v>KRW</v>
      </c>
      <c r="AH61" s="346" t="str">
        <f t="shared" si="2"/>
        <v>KRW</v>
      </c>
      <c r="AI61" s="346">
        <f>ABS(VLOOKUP(A61,TradesEquity!$1:$1048576,13,FALSE))</f>
        <v>380</v>
      </c>
      <c r="AJ61" s="347">
        <v>0</v>
      </c>
      <c r="AK61" s="347">
        <v>1</v>
      </c>
      <c r="AL61" s="346">
        <f>VLOOKUP(A61,TradesEquity!$1:$1048576,11,FALSE)</f>
        <v>439000</v>
      </c>
      <c r="AM61" s="347">
        <v>1</v>
      </c>
      <c r="AN61" s="346">
        <f>ABS(VLOOKUP(A61,TradesEquity!$1:$1048576,14,FALSE))</f>
        <v>166820000</v>
      </c>
      <c r="AO61" s="346">
        <f>ABS(VLOOKUP(A61,TradesEquity!$1:$1048576,15,FALSE))</f>
        <v>250230</v>
      </c>
      <c r="AP61" s="348">
        <f>ABS(VLOOKUP(A61,TradesEquity!$1:$1048576,16,FALSE))</f>
        <v>417050</v>
      </c>
      <c r="AQ61" s="286">
        <v>0</v>
      </c>
      <c r="AR61" s="286">
        <v>0</v>
      </c>
      <c r="AS61" s="286">
        <v>0</v>
      </c>
      <c r="AT61" s="286">
        <v>0</v>
      </c>
      <c r="AU61" s="286">
        <v>0</v>
      </c>
      <c r="AV61" s="348">
        <f>ABS(VLOOKUP(A61,TradesEquity!$1:$1048576,18,FALSE))</f>
        <v>166152720</v>
      </c>
      <c r="AW61" s="349">
        <v>0</v>
      </c>
      <c r="AX61" s="350">
        <v>4542</v>
      </c>
      <c r="AY61" s="351" t="s">
        <v>1959</v>
      </c>
      <c r="AZ61" s="352" t="e">
        <f>(VLOOKUP(A61,TradesEquity!$1:$1048576,29,FALSE))</f>
        <v>#N/A</v>
      </c>
      <c r="BA61" s="352" t="e">
        <f>(VLOOKUP(A61,TradesEquity!$1:$1048576,30,FALSE))</f>
        <v>#N/A</v>
      </c>
      <c r="BB61" s="352" t="e">
        <f>(VLOOKUP(A61,TradesEquity!$1:$1048576,31,FALSE))</f>
        <v>#N/A</v>
      </c>
      <c r="BC61" s="352" t="e">
        <f>(VLOOKUP(A61,TradesEquity!$1:$1048576,32,FALSE))</f>
        <v>#N/A</v>
      </c>
      <c r="BI61" s="375" t="e">
        <f>(VLOOKUP(A61,TradesEquity!$1:$1048576,38,FALSE))</f>
        <v>#N/A</v>
      </c>
      <c r="BJ61" s="375" t="e">
        <f>(VLOOKUP(A61,TradesEquity!$1:$1048576,39,FALSE))</f>
        <v>#N/A</v>
      </c>
      <c r="BK61" s="352" t="e">
        <f>(VLOOKUP(A61,TradesEquity!$1:$1048576,40,FALSE))</f>
        <v>#N/A</v>
      </c>
    </row>
    <row r="62" spans="1:63">
      <c r="A62" s="411">
        <v>2019200293</v>
      </c>
      <c r="D62" s="342" t="s">
        <v>1957</v>
      </c>
      <c r="F62" s="343">
        <f>VLOOKUP(A62,TradesEquity!$1:$1048576,2,FALSE)</f>
        <v>44055</v>
      </c>
      <c r="H62" s="343">
        <f>VLOOKUP(A62,TradesEquity!$1:$1048576,21,FALSE)</f>
        <v>44061</v>
      </c>
      <c r="I62" s="344" t="str">
        <f>IF(VLOOKUP(A62,TradesEquity!$1:$1048576,3,FALSE)="BUY","B","S")</f>
        <v>S</v>
      </c>
      <c r="J62" s="344" t="str">
        <f>VLOOKUP(A62,TradesEquity!$1:$1048576,5,FALSE)</f>
        <v>KR7051911006</v>
      </c>
      <c r="K62" s="342" t="s">
        <v>19</v>
      </c>
      <c r="L62" s="345" t="s">
        <v>1958</v>
      </c>
      <c r="AE62" s="346" t="str">
        <f>VLOOKUP(A62,TradesEquity!$1:$1048576,10,FALSE)</f>
        <v>KRW</v>
      </c>
      <c r="AF62" s="346" t="str">
        <f t="shared" si="2"/>
        <v>KRW</v>
      </c>
      <c r="AG62" s="346" t="str">
        <f t="shared" si="2"/>
        <v>KRW</v>
      </c>
      <c r="AH62" s="346" t="str">
        <f t="shared" si="2"/>
        <v>KRW</v>
      </c>
      <c r="AI62" s="346">
        <f>ABS(VLOOKUP(A62,TradesEquity!$1:$1048576,13,FALSE))</f>
        <v>420</v>
      </c>
      <c r="AJ62" s="347">
        <v>0</v>
      </c>
      <c r="AK62" s="347">
        <v>1</v>
      </c>
      <c r="AL62" s="346">
        <f>VLOOKUP(A62,TradesEquity!$1:$1048576,11,FALSE)</f>
        <v>406500</v>
      </c>
      <c r="AM62" s="347">
        <v>1</v>
      </c>
      <c r="AN62" s="346">
        <f>ABS(VLOOKUP(A62,TradesEquity!$1:$1048576,14,FALSE))</f>
        <v>170730000</v>
      </c>
      <c r="AO62" s="346">
        <f>ABS(VLOOKUP(A62,TradesEquity!$1:$1048576,15,FALSE))</f>
        <v>256095</v>
      </c>
      <c r="AP62" s="348">
        <f>ABS(VLOOKUP(A62,TradesEquity!$1:$1048576,16,FALSE))</f>
        <v>426825</v>
      </c>
      <c r="AQ62" s="286">
        <v>0</v>
      </c>
      <c r="AR62" s="286">
        <v>0</v>
      </c>
      <c r="AS62" s="286">
        <v>0</v>
      </c>
      <c r="AT62" s="286">
        <v>0</v>
      </c>
      <c r="AU62" s="286">
        <v>0</v>
      </c>
      <c r="AV62" s="348">
        <f>ABS(VLOOKUP(A62,TradesEquity!$1:$1048576,18,FALSE))</f>
        <v>170047080</v>
      </c>
      <c r="AW62" s="349">
        <v>0</v>
      </c>
      <c r="AX62" s="350">
        <v>4542</v>
      </c>
      <c r="AY62" s="351" t="s">
        <v>1959</v>
      </c>
      <c r="AZ62" s="352" t="e">
        <f>(VLOOKUP(A62,TradesEquity!$1:$1048576,29,FALSE))</f>
        <v>#N/A</v>
      </c>
      <c r="BA62" s="352" t="e">
        <f>(VLOOKUP(A62,TradesEquity!$1:$1048576,30,FALSE))</f>
        <v>#N/A</v>
      </c>
      <c r="BB62" s="352" t="e">
        <f>(VLOOKUP(A62,TradesEquity!$1:$1048576,31,FALSE))</f>
        <v>#N/A</v>
      </c>
      <c r="BC62" s="352" t="e">
        <f>(VLOOKUP(A62,TradesEquity!$1:$1048576,32,FALSE))</f>
        <v>#N/A</v>
      </c>
      <c r="BI62" s="375" t="e">
        <f>(VLOOKUP(A62,TradesEquity!$1:$1048576,38,FALSE))</f>
        <v>#N/A</v>
      </c>
      <c r="BJ62" s="375" t="e">
        <f>(VLOOKUP(A62,TradesEquity!$1:$1048576,39,FALSE))</f>
        <v>#N/A</v>
      </c>
      <c r="BK62" s="352" t="e">
        <f>(VLOOKUP(A62,TradesEquity!$1:$1048576,40,FALSE))</f>
        <v>#N/A</v>
      </c>
    </row>
    <row r="63" spans="1:63">
      <c r="A63" s="411">
        <v>2019200294</v>
      </c>
      <c r="D63" s="342" t="s">
        <v>1957</v>
      </c>
      <c r="F63" s="343">
        <f>VLOOKUP(A63,TradesEquity!$1:$1048576,2,FALSE)</f>
        <v>44055</v>
      </c>
      <c r="H63" s="343">
        <f>VLOOKUP(A63,TradesEquity!$1:$1048576,21,FALSE)</f>
        <v>44060</v>
      </c>
      <c r="I63" s="344" t="str">
        <f>IF(VLOOKUP(A63,TradesEquity!$1:$1048576,3,FALSE)="BUY","B","S")</f>
        <v>B</v>
      </c>
      <c r="J63" s="344" t="str">
        <f>VLOOKUP(A63,TradesEquity!$1:$1048576,5,FALSE)</f>
        <v>JP3368000000</v>
      </c>
      <c r="K63" s="342" t="s">
        <v>19</v>
      </c>
      <c r="L63" s="345" t="s">
        <v>1958</v>
      </c>
      <c r="AE63" s="346" t="str">
        <f>VLOOKUP(A63,TradesEquity!$1:$1048576,10,FALSE)</f>
        <v>JPY</v>
      </c>
      <c r="AF63" s="346" t="str">
        <f t="shared" si="2"/>
        <v>JPY</v>
      </c>
      <c r="AG63" s="346" t="str">
        <f t="shared" si="2"/>
        <v>JPY</v>
      </c>
      <c r="AH63" s="346" t="str">
        <f t="shared" si="2"/>
        <v>JPY</v>
      </c>
      <c r="AI63" s="346">
        <f>ABS(VLOOKUP(A63,TradesEquity!$1:$1048576,13,FALSE))</f>
        <v>4200</v>
      </c>
      <c r="AJ63" s="347">
        <v>0</v>
      </c>
      <c r="AK63" s="347">
        <v>1</v>
      </c>
      <c r="AL63" s="346">
        <f>VLOOKUP(A63,TradesEquity!$1:$1048576,11,FALSE)</f>
        <v>2307.0651800000001</v>
      </c>
      <c r="AM63" s="347">
        <v>1</v>
      </c>
      <c r="AN63" s="346">
        <f>ABS(VLOOKUP(A63,TradesEquity!$1:$1048576,14,FALSE))</f>
        <v>9689673.756000001</v>
      </c>
      <c r="AO63" s="346">
        <f>ABS(VLOOKUP(A63,TradesEquity!$1:$1048576,15,FALSE))</f>
        <v>5814</v>
      </c>
      <c r="AP63" s="348">
        <f>ABS(VLOOKUP(A63,TradesEquity!$1:$1048576,16,FALSE))</f>
        <v>0</v>
      </c>
      <c r="AQ63" s="286">
        <v>0</v>
      </c>
      <c r="AR63" s="286">
        <v>0</v>
      </c>
      <c r="AS63" s="286">
        <v>0</v>
      </c>
      <c r="AT63" s="286">
        <v>0</v>
      </c>
      <c r="AU63" s="286">
        <v>0</v>
      </c>
      <c r="AV63" s="348">
        <f>ABS(VLOOKUP(A63,TradesEquity!$1:$1048576,18,FALSE))</f>
        <v>9695487.756000001</v>
      </c>
      <c r="AW63" s="349">
        <v>0</v>
      </c>
      <c r="AX63" s="350">
        <v>4542</v>
      </c>
      <c r="AY63" s="351" t="s">
        <v>1959</v>
      </c>
      <c r="AZ63" s="352" t="str">
        <f>(VLOOKUP(A63,TradesEquity!$1:$1048576,29,FALSE))</f>
        <v>GSILGB2XXXX</v>
      </c>
      <c r="BA63" s="352" t="str">
        <f>(VLOOKUP(A63,TradesEquity!$1:$1048576,30,FALSE))</f>
        <v>JJSDJPJTXXX</v>
      </c>
      <c r="BB63" s="352">
        <f>(VLOOKUP(A63,TradesEquity!$1:$1048576,31,FALSE))</f>
        <v>6530490016</v>
      </c>
      <c r="BC63" s="352" t="str">
        <f>(VLOOKUP(A63,TradesEquity!$1:$1048576,32,FALSE))</f>
        <v>N</v>
      </c>
      <c r="BI63" s="375" t="str">
        <f>(VLOOKUP(A63,TradesEquity!$1:$1048576,38,FALSE))</f>
        <v xml:space="preserve">                  </v>
      </c>
      <c r="BJ63" s="375" t="str">
        <f>(VLOOKUP(A63,TradesEquity!$1:$1048576,39,FALSE))</f>
        <v xml:space="preserve">                          </v>
      </c>
      <c r="BK63" s="352" t="str">
        <f>(VLOOKUP(A63,TradesEquity!$1:$1048576,40,FALSE))</f>
        <v>GOLDJPJXXXX</v>
      </c>
    </row>
    <row r="64" spans="1:63">
      <c r="A64" s="411">
        <v>2019200295</v>
      </c>
      <c r="D64" s="342" t="s">
        <v>1957</v>
      </c>
      <c r="F64" s="343">
        <f>VLOOKUP(A64,TradesEquity!$1:$1048576,2,FALSE)</f>
        <v>44055</v>
      </c>
      <c r="H64" s="343">
        <f>VLOOKUP(A64,TradesEquity!$1:$1048576,21,FALSE)</f>
        <v>44060</v>
      </c>
      <c r="I64" s="344" t="str">
        <f>IF(VLOOKUP(A64,TradesEquity!$1:$1048576,3,FALSE)="BUY","B","S")</f>
        <v>B</v>
      </c>
      <c r="J64" s="344" t="str">
        <f>VLOOKUP(A64,TradesEquity!$1:$1048576,5,FALSE)</f>
        <v>JP3402600005</v>
      </c>
      <c r="K64" s="342" t="s">
        <v>19</v>
      </c>
      <c r="L64" s="345" t="s">
        <v>1958</v>
      </c>
      <c r="AE64" s="346" t="str">
        <f>VLOOKUP(A64,TradesEquity!$1:$1048576,10,FALSE)</f>
        <v>JPY</v>
      </c>
      <c r="AF64" s="346" t="str">
        <f t="shared" si="2"/>
        <v>JPY</v>
      </c>
      <c r="AG64" s="346" t="str">
        <f t="shared" si="2"/>
        <v>JPY</v>
      </c>
      <c r="AH64" s="346" t="str">
        <f t="shared" si="2"/>
        <v>JPY</v>
      </c>
      <c r="AI64" s="346">
        <f>ABS(VLOOKUP(A64,TradesEquity!$1:$1048576,13,FALSE))</f>
        <v>2200</v>
      </c>
      <c r="AJ64" s="347">
        <v>0</v>
      </c>
      <c r="AK64" s="347">
        <v>1</v>
      </c>
      <c r="AL64" s="346">
        <f>VLOOKUP(A64,TradesEquity!$1:$1048576,11,FALSE)</f>
        <v>3375</v>
      </c>
      <c r="AM64" s="347">
        <v>1</v>
      </c>
      <c r="AN64" s="346">
        <f>ABS(VLOOKUP(A64,TradesEquity!$1:$1048576,14,FALSE))</f>
        <v>7425000</v>
      </c>
      <c r="AO64" s="346">
        <f>ABS(VLOOKUP(A64,TradesEquity!$1:$1048576,15,FALSE))</f>
        <v>4455</v>
      </c>
      <c r="AP64" s="348">
        <f>ABS(VLOOKUP(A64,TradesEquity!$1:$1048576,16,FALSE))</f>
        <v>0</v>
      </c>
      <c r="AQ64" s="286">
        <v>0</v>
      </c>
      <c r="AR64" s="286">
        <v>0</v>
      </c>
      <c r="AS64" s="286">
        <v>0</v>
      </c>
      <c r="AT64" s="286">
        <v>0</v>
      </c>
      <c r="AU64" s="286">
        <v>0</v>
      </c>
      <c r="AV64" s="348">
        <f>ABS(VLOOKUP(A64,TradesEquity!$1:$1048576,18,FALSE))</f>
        <v>7429455</v>
      </c>
      <c r="AW64" s="349">
        <v>0</v>
      </c>
      <c r="AX64" s="350">
        <v>4542</v>
      </c>
      <c r="AY64" s="351" t="s">
        <v>1959</v>
      </c>
      <c r="AZ64" s="352" t="str">
        <f>(VLOOKUP(A64,TradesEquity!$1:$1048576,29,FALSE))</f>
        <v>GSILGB2XXXX</v>
      </c>
      <c r="BA64" s="352" t="str">
        <f>(VLOOKUP(A64,TradesEquity!$1:$1048576,30,FALSE))</f>
        <v>JJSDJPJTXXX</v>
      </c>
      <c r="BB64" s="352">
        <f>(VLOOKUP(A64,TradesEquity!$1:$1048576,31,FALSE))</f>
        <v>6530490016</v>
      </c>
      <c r="BC64" s="352" t="str">
        <f>(VLOOKUP(A64,TradesEquity!$1:$1048576,32,FALSE))</f>
        <v>N</v>
      </c>
      <c r="BI64" s="375" t="str">
        <f>(VLOOKUP(A64,TradesEquity!$1:$1048576,38,FALSE))</f>
        <v xml:space="preserve">                  </v>
      </c>
      <c r="BJ64" s="375" t="str">
        <f>(VLOOKUP(A64,TradesEquity!$1:$1048576,39,FALSE))</f>
        <v xml:space="preserve">                          </v>
      </c>
      <c r="BK64" s="352" t="str">
        <f>(VLOOKUP(A64,TradesEquity!$1:$1048576,40,FALSE))</f>
        <v>GOLDJPJXXXX</v>
      </c>
    </row>
    <row r="65" spans="1:63">
      <c r="A65" s="411">
        <v>2019200296</v>
      </c>
      <c r="D65" s="342" t="s">
        <v>1957</v>
      </c>
      <c r="F65" s="343">
        <f>VLOOKUP(A65,TradesEquity!$1:$1048576,2,FALSE)</f>
        <v>44055</v>
      </c>
      <c r="H65" s="343">
        <f>VLOOKUP(A65,TradesEquity!$1:$1048576,21,FALSE)</f>
        <v>44061</v>
      </c>
      <c r="I65" s="344" t="str">
        <f>IF(VLOOKUP(A65,TradesEquity!$1:$1048576,3,FALSE)="BUY","B","S")</f>
        <v>S</v>
      </c>
      <c r="J65" s="344" t="str">
        <f>VLOOKUP(A65,TradesEquity!$1:$1048576,5,FALSE)</f>
        <v>KR7006401004</v>
      </c>
      <c r="K65" s="342" t="s">
        <v>19</v>
      </c>
      <c r="L65" s="345" t="s">
        <v>1958</v>
      </c>
      <c r="AE65" s="346" t="str">
        <f>VLOOKUP(A65,TradesEquity!$1:$1048576,10,FALSE)</f>
        <v>KRW</v>
      </c>
      <c r="AF65" s="346" t="str">
        <f t="shared" si="2"/>
        <v>KRW</v>
      </c>
      <c r="AG65" s="346" t="str">
        <f t="shared" si="2"/>
        <v>KRW</v>
      </c>
      <c r="AH65" s="346" t="str">
        <f t="shared" si="2"/>
        <v>KRW</v>
      </c>
      <c r="AI65" s="346">
        <f>ABS(VLOOKUP(A65,TradesEquity!$1:$1048576,13,FALSE))</f>
        <v>670</v>
      </c>
      <c r="AJ65" s="347">
        <v>0</v>
      </c>
      <c r="AK65" s="347">
        <v>1</v>
      </c>
      <c r="AL65" s="346">
        <f>VLOOKUP(A65,TradesEquity!$1:$1048576,11,FALSE)</f>
        <v>301597.76119400002</v>
      </c>
      <c r="AM65" s="347">
        <v>1</v>
      </c>
      <c r="AN65" s="346">
        <f>ABS(VLOOKUP(A65,TradesEquity!$1:$1048576,14,FALSE))</f>
        <v>202070499.99998</v>
      </c>
      <c r="AO65" s="346">
        <f>ABS(VLOOKUP(A65,TradesEquity!$1:$1048576,15,FALSE))</f>
        <v>303106</v>
      </c>
      <c r="AP65" s="348">
        <f>ABS(VLOOKUP(A65,TradesEquity!$1:$1048576,16,FALSE))</f>
        <v>504973</v>
      </c>
      <c r="AQ65" s="286">
        <v>0</v>
      </c>
      <c r="AR65" s="286">
        <v>0</v>
      </c>
      <c r="AS65" s="286">
        <v>0</v>
      </c>
      <c r="AT65" s="286">
        <v>0</v>
      </c>
      <c r="AU65" s="286">
        <v>0</v>
      </c>
      <c r="AV65" s="348">
        <f>ABS(VLOOKUP(A65,TradesEquity!$1:$1048576,18,FALSE))</f>
        <v>201262420.99998</v>
      </c>
      <c r="AW65" s="349">
        <v>0</v>
      </c>
      <c r="AX65" s="350">
        <v>4542</v>
      </c>
      <c r="AY65" s="351" t="s">
        <v>1959</v>
      </c>
      <c r="AZ65" s="352" t="e">
        <f>(VLOOKUP(A65,TradesEquity!$1:$1048576,29,FALSE))</f>
        <v>#N/A</v>
      </c>
      <c r="BA65" s="352" t="e">
        <f>(VLOOKUP(A65,TradesEquity!$1:$1048576,30,FALSE))</f>
        <v>#N/A</v>
      </c>
      <c r="BB65" s="352" t="e">
        <f>(VLOOKUP(A65,TradesEquity!$1:$1048576,31,FALSE))</f>
        <v>#N/A</v>
      </c>
      <c r="BC65" s="352" t="e">
        <f>(VLOOKUP(A65,TradesEquity!$1:$1048576,32,FALSE))</f>
        <v>#N/A</v>
      </c>
      <c r="BI65" s="375" t="e">
        <f>(VLOOKUP(A65,TradesEquity!$1:$1048576,38,FALSE))</f>
        <v>#N/A</v>
      </c>
      <c r="BJ65" s="375" t="e">
        <f>(VLOOKUP(A65,TradesEquity!$1:$1048576,39,FALSE))</f>
        <v>#N/A</v>
      </c>
      <c r="BK65" s="352" t="e">
        <f>(VLOOKUP(A65,TradesEquity!$1:$1048576,40,FALSE))</f>
        <v>#N/A</v>
      </c>
    </row>
    <row r="66" spans="1:63">
      <c r="A66" s="411">
        <v>2019200297</v>
      </c>
      <c r="D66" s="342" t="s">
        <v>1957</v>
      </c>
      <c r="F66" s="343">
        <f>VLOOKUP(A66,TradesEquity!$1:$1048576,2,FALSE)</f>
        <v>44055</v>
      </c>
      <c r="H66" s="343">
        <f>VLOOKUP(A66,TradesEquity!$1:$1048576,21,FALSE)</f>
        <v>44061</v>
      </c>
      <c r="I66" s="344" t="str">
        <f>IF(VLOOKUP(A66,TradesEquity!$1:$1048576,3,FALSE)="BUY","B","S")</f>
        <v>S</v>
      </c>
      <c r="J66" s="344" t="str">
        <f>VLOOKUP(A66,TradesEquity!$1:$1048576,5,FALSE)</f>
        <v>KR7005420005</v>
      </c>
      <c r="K66" s="342" t="s">
        <v>19</v>
      </c>
      <c r="L66" s="345" t="s">
        <v>1958</v>
      </c>
      <c r="AE66" s="346" t="str">
        <f>VLOOKUP(A66,TradesEquity!$1:$1048576,10,FALSE)</f>
        <v>KRW</v>
      </c>
      <c r="AF66" s="346" t="str">
        <f t="shared" si="2"/>
        <v>KRW</v>
      </c>
      <c r="AG66" s="346" t="str">
        <f t="shared" si="2"/>
        <v>KRW</v>
      </c>
      <c r="AH66" s="346" t="str">
        <f t="shared" si="2"/>
        <v>KRW</v>
      </c>
      <c r="AI66" s="346">
        <f>ABS(VLOOKUP(A66,TradesEquity!$1:$1048576,13,FALSE))</f>
        <v>11000</v>
      </c>
      <c r="AJ66" s="347">
        <v>0</v>
      </c>
      <c r="AK66" s="347">
        <v>1</v>
      </c>
      <c r="AL66" s="346">
        <f>VLOOKUP(A66,TradesEquity!$1:$1048576,11,FALSE)</f>
        <v>12328.886399999999</v>
      </c>
      <c r="AM66" s="347">
        <v>1</v>
      </c>
      <c r="AN66" s="346">
        <f>ABS(VLOOKUP(A66,TradesEquity!$1:$1048576,14,FALSE))</f>
        <v>135617750.40000001</v>
      </c>
      <c r="AO66" s="346">
        <f>ABS(VLOOKUP(A66,TradesEquity!$1:$1048576,15,FALSE))</f>
        <v>203427</v>
      </c>
      <c r="AP66" s="348">
        <f>ABS(VLOOKUP(A66,TradesEquity!$1:$1048576,16,FALSE))</f>
        <v>338980</v>
      </c>
      <c r="AQ66" s="286">
        <v>0</v>
      </c>
      <c r="AR66" s="286">
        <v>0</v>
      </c>
      <c r="AS66" s="286">
        <v>0</v>
      </c>
      <c r="AT66" s="286">
        <v>0</v>
      </c>
      <c r="AU66" s="286">
        <v>0</v>
      </c>
      <c r="AV66" s="348">
        <f>ABS(VLOOKUP(A66,TradesEquity!$1:$1048576,18,FALSE))</f>
        <v>135075343.40000001</v>
      </c>
      <c r="AW66" s="349">
        <v>0</v>
      </c>
      <c r="AX66" s="350">
        <v>4542</v>
      </c>
      <c r="AY66" s="351" t="s">
        <v>1959</v>
      </c>
      <c r="AZ66" s="352" t="e">
        <f>(VLOOKUP(A66,TradesEquity!$1:$1048576,29,FALSE))</f>
        <v>#N/A</v>
      </c>
      <c r="BA66" s="352" t="e">
        <f>(VLOOKUP(A66,TradesEquity!$1:$1048576,30,FALSE))</f>
        <v>#N/A</v>
      </c>
      <c r="BB66" s="352" t="e">
        <f>(VLOOKUP(A66,TradesEquity!$1:$1048576,31,FALSE))</f>
        <v>#N/A</v>
      </c>
      <c r="BC66" s="352" t="e">
        <f>(VLOOKUP(A66,TradesEquity!$1:$1048576,32,FALSE))</f>
        <v>#N/A</v>
      </c>
      <c r="BI66" s="375" t="e">
        <f>(VLOOKUP(A66,TradesEquity!$1:$1048576,38,FALSE))</f>
        <v>#N/A</v>
      </c>
      <c r="BJ66" s="375" t="e">
        <f>(VLOOKUP(A66,TradesEquity!$1:$1048576,39,FALSE))</f>
        <v>#N/A</v>
      </c>
      <c r="BK66" s="352" t="e">
        <f>(VLOOKUP(A66,TradesEquity!$1:$1048576,40,FALSE))</f>
        <v>#N/A</v>
      </c>
    </row>
    <row r="67" spans="1:63">
      <c r="A67" s="411">
        <v>2019200298</v>
      </c>
      <c r="D67" s="342" t="s">
        <v>1957</v>
      </c>
      <c r="F67" s="343">
        <f>VLOOKUP(A67,TradesEquity!$1:$1048576,2,FALSE)</f>
        <v>44055</v>
      </c>
      <c r="H67" s="343">
        <f>VLOOKUP(A67,TradesEquity!$1:$1048576,21,FALSE)</f>
        <v>44057</v>
      </c>
      <c r="I67" s="344" t="str">
        <f>IF(VLOOKUP(A67,TradesEquity!$1:$1048576,3,FALSE)="BUY","B","S")</f>
        <v>S</v>
      </c>
      <c r="J67" s="344" t="str">
        <f>VLOOKUP(A67,TradesEquity!$1:$1048576,5,FALSE)</f>
        <v>US35671D8570</v>
      </c>
      <c r="K67" s="342" t="s">
        <v>19</v>
      </c>
      <c r="L67" s="345" t="s">
        <v>1958</v>
      </c>
      <c r="AE67" s="346" t="str">
        <f>VLOOKUP(A67,TradesEquity!$1:$1048576,10,FALSE)</f>
        <v>USD</v>
      </c>
      <c r="AF67" s="346" t="str">
        <f t="shared" si="2"/>
        <v>USD</v>
      </c>
      <c r="AG67" s="346" t="str">
        <f t="shared" si="2"/>
        <v>USD</v>
      </c>
      <c r="AH67" s="346" t="str">
        <f t="shared" si="2"/>
        <v>USD</v>
      </c>
      <c r="AI67" s="346">
        <f>ABS(VLOOKUP(A67,TradesEquity!$1:$1048576,13,FALSE))</f>
        <v>7400</v>
      </c>
      <c r="AJ67" s="347">
        <v>0</v>
      </c>
      <c r="AK67" s="347">
        <v>1</v>
      </c>
      <c r="AL67" s="346">
        <f>VLOOKUP(A67,TradesEquity!$1:$1048576,11,FALSE)</f>
        <v>14.09831</v>
      </c>
      <c r="AM67" s="347">
        <v>1</v>
      </c>
      <c r="AN67" s="346">
        <f>ABS(VLOOKUP(A67,TradesEquity!$1:$1048576,14,FALSE))</f>
        <v>104327.49399999999</v>
      </c>
      <c r="AO67" s="346">
        <f>ABS(VLOOKUP(A67,TradesEquity!$1:$1048576,15,FALSE))</f>
        <v>52.16</v>
      </c>
      <c r="AP67" s="348">
        <f>ABS(VLOOKUP(A67,TradesEquity!$1:$1048576,16,FALSE))</f>
        <v>2.31</v>
      </c>
      <c r="AQ67" s="286">
        <v>0</v>
      </c>
      <c r="AR67" s="286">
        <v>0</v>
      </c>
      <c r="AS67" s="286">
        <v>0</v>
      </c>
      <c r="AT67" s="286">
        <v>0</v>
      </c>
      <c r="AU67" s="286">
        <v>0</v>
      </c>
      <c r="AV67" s="348">
        <f>ABS(VLOOKUP(A67,TradesEquity!$1:$1048576,18,FALSE))</f>
        <v>104273.02399999999</v>
      </c>
      <c r="AW67" s="349">
        <v>0</v>
      </c>
      <c r="AX67" s="350">
        <v>4542</v>
      </c>
      <c r="AY67" s="351" t="s">
        <v>1959</v>
      </c>
      <c r="AZ67" s="352" t="str">
        <f>(VLOOKUP(A67,TradesEquity!$1:$1048576,29,FALSE))</f>
        <v>GSILGB2XXXX</v>
      </c>
      <c r="BA67" s="352" t="str">
        <f>(VLOOKUP(A67,TradesEquity!$1:$1048576,30,FALSE))</f>
        <v>DTCYUS33</v>
      </c>
      <c r="BB67" s="352" t="str">
        <f>(VLOOKUP(A67,TradesEquity!$1:$1048576,31,FALSE))</f>
        <v xml:space="preserve">        </v>
      </c>
      <c r="BC67" s="352" t="str">
        <f>(VLOOKUP(A67,TradesEquity!$1:$1048576,32,FALSE))</f>
        <v>N</v>
      </c>
      <c r="BI67" s="375" t="str">
        <f>(VLOOKUP(A67,TradesEquity!$1:$1048576,38,FALSE))</f>
        <v>DTCYID</v>
      </c>
      <c r="BJ67" s="375">
        <f>(VLOOKUP(A67,TradesEquity!$1:$1048576,39,FALSE))</f>
        <v>5208</v>
      </c>
      <c r="BK67" s="352" t="str">
        <f>(VLOOKUP(A67,TradesEquity!$1:$1048576,40,FALSE))</f>
        <v xml:space="preserve">        </v>
      </c>
    </row>
    <row r="68" spans="1:63">
      <c r="A68" s="411">
        <v>2019200299</v>
      </c>
      <c r="D68" s="342" t="s">
        <v>1957</v>
      </c>
      <c r="F68" s="343">
        <f>VLOOKUP(A68,TradesEquity!$1:$1048576,2,FALSE)</f>
        <v>44055</v>
      </c>
      <c r="H68" s="343">
        <f>VLOOKUP(A68,TradesEquity!$1:$1048576,21,FALSE)</f>
        <v>44060</v>
      </c>
      <c r="I68" s="344" t="str">
        <f>IF(VLOOKUP(A68,TradesEquity!$1:$1048576,3,FALSE)="BUY","B","S")</f>
        <v>B</v>
      </c>
      <c r="J68" s="344" t="str">
        <f>VLOOKUP(A68,TradesEquity!$1:$1048576,5,FALSE)</f>
        <v>AU000000WSA9</v>
      </c>
      <c r="K68" s="342" t="s">
        <v>19</v>
      </c>
      <c r="L68" s="345" t="s">
        <v>1958</v>
      </c>
      <c r="AE68" s="346" t="str">
        <f>VLOOKUP(A68,TradesEquity!$1:$1048576,10,FALSE)</f>
        <v>AUD</v>
      </c>
      <c r="AF68" s="346" t="str">
        <f t="shared" si="2"/>
        <v>AUD</v>
      </c>
      <c r="AG68" s="346" t="str">
        <f t="shared" si="2"/>
        <v>AUD</v>
      </c>
      <c r="AH68" s="346" t="str">
        <f t="shared" si="2"/>
        <v>AUD</v>
      </c>
      <c r="AI68" s="346">
        <f>ABS(VLOOKUP(A68,TradesEquity!$1:$1048576,13,FALSE))</f>
        <v>42000</v>
      </c>
      <c r="AJ68" s="347">
        <v>0</v>
      </c>
      <c r="AK68" s="347">
        <v>1</v>
      </c>
      <c r="AL68" s="346">
        <f>VLOOKUP(A68,TradesEquity!$1:$1048576,11,FALSE)</f>
        <v>2.46611</v>
      </c>
      <c r="AM68" s="347">
        <v>1</v>
      </c>
      <c r="AN68" s="346">
        <f>ABS(VLOOKUP(A68,TradesEquity!$1:$1048576,14,FALSE))</f>
        <v>103576.62</v>
      </c>
      <c r="AO68" s="346">
        <f>ABS(VLOOKUP(A68,TradesEquity!$1:$1048576,15,FALSE))</f>
        <v>62.15</v>
      </c>
      <c r="AP68" s="348">
        <f>ABS(VLOOKUP(A68,TradesEquity!$1:$1048576,16,FALSE))</f>
        <v>0</v>
      </c>
      <c r="AQ68" s="286">
        <v>0</v>
      </c>
      <c r="AR68" s="286">
        <v>0</v>
      </c>
      <c r="AS68" s="286">
        <v>0</v>
      </c>
      <c r="AT68" s="286">
        <v>0</v>
      </c>
      <c r="AU68" s="286">
        <v>0</v>
      </c>
      <c r="AV68" s="348">
        <f>ABS(VLOOKUP(A68,TradesEquity!$1:$1048576,18,FALSE))</f>
        <v>103638.76999999999</v>
      </c>
      <c r="AW68" s="349">
        <v>0</v>
      </c>
      <c r="AX68" s="350">
        <v>4542</v>
      </c>
      <c r="AY68" s="351" t="s">
        <v>1959</v>
      </c>
      <c r="AZ68" s="352" t="str">
        <f>(VLOOKUP(A68,TradesEquity!$1:$1048576,29,FALSE))</f>
        <v>GSILGB2XXXX</v>
      </c>
      <c r="BA68" s="352" t="str">
        <f>(VLOOKUP(A68,TradesEquity!$1:$1048576,30,FALSE))</f>
        <v>CAETAU21</v>
      </c>
      <c r="BB68" s="352" t="str">
        <f>(VLOOKUP(A68,TradesEquity!$1:$1048576,31,FALSE))</f>
        <v>011-109048-061</v>
      </c>
      <c r="BC68" s="352" t="str">
        <f>(VLOOKUP(A68,TradesEquity!$1:$1048576,32,FALSE))</f>
        <v>N</v>
      </c>
      <c r="BI68" s="375" t="str">
        <f>(VLOOKUP(A68,TradesEquity!$1:$1048576,38,FALSE))</f>
        <v xml:space="preserve">        </v>
      </c>
      <c r="BJ68" s="375" t="str">
        <f>(VLOOKUP(A68,TradesEquity!$1:$1048576,39,FALSE))</f>
        <v xml:space="preserve">        </v>
      </c>
      <c r="BK68" s="352" t="str">
        <f>(VLOOKUP(A68,TradesEquity!$1:$1048576,40,FALSE))</f>
        <v>HKBAAU2SSYD</v>
      </c>
    </row>
    <row r="69" spans="1:63">
      <c r="A69" s="411">
        <v>2019200300</v>
      </c>
      <c r="D69" s="342" t="s">
        <v>1957</v>
      </c>
      <c r="F69" s="343">
        <f>VLOOKUP(A69,TradesEquity!$1:$1048576,2,FALSE)</f>
        <v>44055</v>
      </c>
      <c r="H69" s="343">
        <f>VLOOKUP(A69,TradesEquity!$1:$1048576,21,FALSE)</f>
        <v>44060</v>
      </c>
      <c r="I69" s="344" t="str">
        <f>IF(VLOOKUP(A69,TradesEquity!$1:$1048576,3,FALSE)="BUY","B","S")</f>
        <v>B</v>
      </c>
      <c r="J69" s="344" t="str">
        <f>VLOOKUP(A69,TradesEquity!$1:$1048576,5,FALSE)</f>
        <v>JP3385820000</v>
      </c>
      <c r="K69" s="342" t="s">
        <v>19</v>
      </c>
      <c r="L69" s="345" t="s">
        <v>1958</v>
      </c>
      <c r="AE69" s="346" t="str">
        <f>VLOOKUP(A69,TradesEquity!$1:$1048576,10,FALSE)</f>
        <v>JPY</v>
      </c>
      <c r="AF69" s="346" t="str">
        <f t="shared" si="2"/>
        <v>JPY</v>
      </c>
      <c r="AG69" s="346" t="str">
        <f t="shared" si="2"/>
        <v>JPY</v>
      </c>
      <c r="AH69" s="346" t="str">
        <f t="shared" si="2"/>
        <v>JPY</v>
      </c>
      <c r="AI69" s="346">
        <f>ABS(VLOOKUP(A69,TradesEquity!$1:$1048576,13,FALSE))</f>
        <v>17000</v>
      </c>
      <c r="AJ69" s="347">
        <v>0</v>
      </c>
      <c r="AK69" s="347">
        <v>1</v>
      </c>
      <c r="AL69" s="346">
        <f>VLOOKUP(A69,TradesEquity!$1:$1048576,11,FALSE)</f>
        <v>1832.15824</v>
      </c>
      <c r="AM69" s="347">
        <v>1</v>
      </c>
      <c r="AN69" s="346">
        <f>ABS(VLOOKUP(A69,TradesEquity!$1:$1048576,14,FALSE))</f>
        <v>31146690.079999998</v>
      </c>
      <c r="AO69" s="346">
        <f>ABS(VLOOKUP(A69,TradesEquity!$1:$1048576,15,FALSE))</f>
        <v>18688</v>
      </c>
      <c r="AP69" s="348">
        <f>ABS(VLOOKUP(A69,TradesEquity!$1:$1048576,16,FALSE))</f>
        <v>0</v>
      </c>
      <c r="AQ69" s="286">
        <v>0</v>
      </c>
      <c r="AR69" s="286">
        <v>0</v>
      </c>
      <c r="AS69" s="286">
        <v>0</v>
      </c>
      <c r="AT69" s="286">
        <v>0</v>
      </c>
      <c r="AU69" s="286">
        <v>0</v>
      </c>
      <c r="AV69" s="348">
        <f>ABS(VLOOKUP(A69,TradesEquity!$1:$1048576,18,FALSE))</f>
        <v>31165378.079999998</v>
      </c>
      <c r="AW69" s="349">
        <v>0</v>
      </c>
      <c r="AX69" s="350">
        <v>4542</v>
      </c>
      <c r="AY69" s="351" t="s">
        <v>1959</v>
      </c>
      <c r="AZ69" s="352" t="str">
        <f>(VLOOKUP(A69,TradesEquity!$1:$1048576,29,FALSE))</f>
        <v>GSILGB2XXXX</v>
      </c>
      <c r="BA69" s="352" t="str">
        <f>(VLOOKUP(A69,TradesEquity!$1:$1048576,30,FALSE))</f>
        <v>JJSDJPJTXXX</v>
      </c>
      <c r="BB69" s="352">
        <f>(VLOOKUP(A69,TradesEquity!$1:$1048576,31,FALSE))</f>
        <v>6530490016</v>
      </c>
      <c r="BC69" s="352" t="str">
        <f>(VLOOKUP(A69,TradesEquity!$1:$1048576,32,FALSE))</f>
        <v>N</v>
      </c>
      <c r="BI69" s="375" t="str">
        <f>(VLOOKUP(A69,TradesEquity!$1:$1048576,38,FALSE))</f>
        <v xml:space="preserve">                  </v>
      </c>
      <c r="BJ69" s="375" t="str">
        <f>(VLOOKUP(A69,TradesEquity!$1:$1048576,39,FALSE))</f>
        <v xml:space="preserve">                          </v>
      </c>
      <c r="BK69" s="352" t="str">
        <f>(VLOOKUP(A69,TradesEquity!$1:$1048576,40,FALSE))</f>
        <v>GOLDJPJXXXX</v>
      </c>
    </row>
    <row r="70" spans="1:63">
      <c r="A70" s="411">
        <v>2019200309</v>
      </c>
      <c r="D70" s="342" t="s">
        <v>1957</v>
      </c>
      <c r="F70" s="343">
        <f>VLOOKUP(A70,TradesEquity!$1:$1048576,2,FALSE)</f>
        <v>44062</v>
      </c>
      <c r="H70" s="343">
        <f>VLOOKUP(A70,TradesEquity!$1:$1048576,21,FALSE)</f>
        <v>44067</v>
      </c>
      <c r="I70" s="344" t="str">
        <f>IF(VLOOKUP(A70,TradesEquity!$1:$1048576,3,FALSE)="BUY","B","S")</f>
        <v>B</v>
      </c>
      <c r="J70" s="344" t="str">
        <f>VLOOKUP(A70,TradesEquity!$1:$1048576,5,FALSE)</f>
        <v>JP3402600005</v>
      </c>
      <c r="K70" s="342" t="s">
        <v>19</v>
      </c>
      <c r="L70" s="345" t="s">
        <v>1958</v>
      </c>
      <c r="AE70" s="346" t="str">
        <f>VLOOKUP(A70,TradesEquity!$1:$1048576,10,FALSE)</f>
        <v>JPY</v>
      </c>
      <c r="AF70" s="346" t="str">
        <f t="shared" si="2"/>
        <v>JPY</v>
      </c>
      <c r="AG70" s="346" t="str">
        <f t="shared" si="2"/>
        <v>JPY</v>
      </c>
      <c r="AH70" s="346" t="str">
        <f t="shared" si="2"/>
        <v>JPY</v>
      </c>
      <c r="AI70" s="346">
        <f>ABS(VLOOKUP(A70,TradesEquity!$1:$1048576,13,FALSE))</f>
        <v>2200</v>
      </c>
      <c r="AJ70" s="347">
        <v>0</v>
      </c>
      <c r="AK70" s="347">
        <v>1</v>
      </c>
      <c r="AL70" s="346">
        <f>VLOOKUP(A70,TradesEquity!$1:$1048576,11,FALSE)</f>
        <v>3280.3281299999999</v>
      </c>
      <c r="AM70" s="347">
        <v>1</v>
      </c>
      <c r="AN70" s="346">
        <f>ABS(VLOOKUP(A70,TradesEquity!$1:$1048576,14,FALSE))</f>
        <v>7216721.8859999999</v>
      </c>
      <c r="AO70" s="346">
        <f>ABS(VLOOKUP(A70,TradesEquity!$1:$1048576,15,FALSE))</f>
        <v>4330</v>
      </c>
      <c r="AP70" s="348">
        <f>ABS(VLOOKUP(A70,TradesEquity!$1:$1048576,16,FALSE))</f>
        <v>0</v>
      </c>
      <c r="AQ70" s="286">
        <v>0</v>
      </c>
      <c r="AR70" s="286">
        <v>0</v>
      </c>
      <c r="AS70" s="286">
        <v>0</v>
      </c>
      <c r="AT70" s="286">
        <v>0</v>
      </c>
      <c r="AU70" s="286">
        <v>0</v>
      </c>
      <c r="AV70" s="348">
        <f>ABS(VLOOKUP(A70,TradesEquity!$1:$1048576,18,FALSE))</f>
        <v>7221051.8859999999</v>
      </c>
      <c r="AW70" s="349">
        <v>0</v>
      </c>
      <c r="AX70" s="350">
        <v>4542</v>
      </c>
      <c r="AY70" s="351" t="s">
        <v>1959</v>
      </c>
      <c r="AZ70" s="352" t="str">
        <f>(VLOOKUP(A70,TradesEquity!$1:$1048576,29,FALSE))</f>
        <v>GSILGB2XXXX</v>
      </c>
      <c r="BA70" s="352" t="str">
        <f>(VLOOKUP(A70,TradesEquity!$1:$1048576,30,FALSE))</f>
        <v>JJSDJPJTXXX</v>
      </c>
      <c r="BB70" s="352">
        <f>(VLOOKUP(A70,TradesEquity!$1:$1048576,31,FALSE))</f>
        <v>6530490016</v>
      </c>
      <c r="BC70" s="352" t="str">
        <f>(VLOOKUP(A70,TradesEquity!$1:$1048576,32,FALSE))</f>
        <v>N</v>
      </c>
      <c r="BI70" s="375" t="str">
        <f>(VLOOKUP(A70,TradesEquity!$1:$1048576,38,FALSE))</f>
        <v xml:space="preserve">                  </v>
      </c>
      <c r="BJ70" s="375" t="str">
        <f>(VLOOKUP(A70,TradesEquity!$1:$1048576,39,FALSE))</f>
        <v xml:space="preserve">                          </v>
      </c>
      <c r="BK70" s="352" t="str">
        <f>(VLOOKUP(A70,TradesEquity!$1:$1048576,40,FALSE))</f>
        <v>GOLDJPJXXXX</v>
      </c>
    </row>
    <row r="71" spans="1:63">
      <c r="A71" s="411">
        <v>2019200310</v>
      </c>
      <c r="D71" s="342" t="s">
        <v>1957</v>
      </c>
      <c r="F71" s="343">
        <f>VLOOKUP(A71,TradesEquity!$1:$1048576,2,FALSE)</f>
        <v>44062</v>
      </c>
      <c r="H71" s="343">
        <f>VLOOKUP(A71,TradesEquity!$1:$1048576,21,FALSE)</f>
        <v>44067</v>
      </c>
      <c r="I71" s="344" t="str">
        <f>IF(VLOOKUP(A71,TradesEquity!$1:$1048576,3,FALSE)="BUY","B","S")</f>
        <v>B</v>
      </c>
      <c r="J71" s="344" t="str">
        <f>VLOOKUP(A71,TradesEquity!$1:$1048576,5,FALSE)</f>
        <v>KR7005490008</v>
      </c>
      <c r="K71" s="342" t="s">
        <v>19</v>
      </c>
      <c r="L71" s="345" t="s">
        <v>1958</v>
      </c>
      <c r="AE71" s="346" t="str">
        <f>VLOOKUP(A71,TradesEquity!$1:$1048576,10,FALSE)</f>
        <v>KRW</v>
      </c>
      <c r="AF71" s="346" t="str">
        <f t="shared" si="2"/>
        <v>KRW</v>
      </c>
      <c r="AG71" s="346" t="str">
        <f t="shared" si="2"/>
        <v>KRW</v>
      </c>
      <c r="AH71" s="346" t="str">
        <f t="shared" si="2"/>
        <v>KRW</v>
      </c>
      <c r="AI71" s="346">
        <f>ABS(VLOOKUP(A71,TradesEquity!$1:$1048576,13,FALSE))</f>
        <v>670</v>
      </c>
      <c r="AJ71" s="347">
        <v>0</v>
      </c>
      <c r="AK71" s="347">
        <v>1</v>
      </c>
      <c r="AL71" s="346">
        <f>VLOOKUP(A71,TradesEquity!$1:$1048576,11,FALSE)</f>
        <v>199283.97435900001</v>
      </c>
      <c r="AM71" s="347">
        <v>1</v>
      </c>
      <c r="AN71" s="346">
        <f>ABS(VLOOKUP(A71,TradesEquity!$1:$1048576,14,FALSE))</f>
        <v>133520262.82053001</v>
      </c>
      <c r="AO71" s="346">
        <f>ABS(VLOOKUP(A71,TradesEquity!$1:$1048576,15,FALSE))</f>
        <v>200281</v>
      </c>
      <c r="AP71" s="348">
        <f>ABS(VLOOKUP(A71,TradesEquity!$1:$1048576,16,FALSE))</f>
        <v>0</v>
      </c>
      <c r="AQ71" s="286">
        <v>0</v>
      </c>
      <c r="AR71" s="286">
        <v>0</v>
      </c>
      <c r="AS71" s="286">
        <v>0</v>
      </c>
      <c r="AT71" s="286">
        <v>0</v>
      </c>
      <c r="AU71" s="286">
        <v>0</v>
      </c>
      <c r="AV71" s="348">
        <f>ABS(VLOOKUP(A71,TradesEquity!$1:$1048576,18,FALSE))</f>
        <v>133720543.82053001</v>
      </c>
      <c r="AW71" s="349">
        <v>0</v>
      </c>
      <c r="AX71" s="350">
        <v>4542</v>
      </c>
      <c r="AY71" s="351" t="s">
        <v>1959</v>
      </c>
      <c r="AZ71" s="352" t="e">
        <f>(VLOOKUP(A71,TradesEquity!$1:$1048576,29,FALSE))</f>
        <v>#N/A</v>
      </c>
      <c r="BA71" s="352" t="e">
        <f>(VLOOKUP(A71,TradesEquity!$1:$1048576,30,FALSE))</f>
        <v>#N/A</v>
      </c>
      <c r="BB71" s="352" t="e">
        <f>(VLOOKUP(A71,TradesEquity!$1:$1048576,31,FALSE))</f>
        <v>#N/A</v>
      </c>
      <c r="BC71" s="352" t="e">
        <f>(VLOOKUP(A71,TradesEquity!$1:$1048576,32,FALSE))</f>
        <v>#N/A</v>
      </c>
      <c r="BI71" s="375" t="e">
        <f>(VLOOKUP(A71,TradesEquity!$1:$1048576,38,FALSE))</f>
        <v>#N/A</v>
      </c>
      <c r="BJ71" s="375" t="e">
        <f>(VLOOKUP(A71,TradesEquity!$1:$1048576,39,FALSE))</f>
        <v>#N/A</v>
      </c>
      <c r="BK71" s="352" t="e">
        <f>(VLOOKUP(A71,TradesEquity!$1:$1048576,40,FALSE))</f>
        <v>#N/A</v>
      </c>
    </row>
    <row r="72" spans="1:63">
      <c r="A72" s="411">
        <v>2019200311</v>
      </c>
      <c r="D72" s="342" t="s">
        <v>1957</v>
      </c>
      <c r="F72" s="343" t="e">
        <f>VLOOKUP(A72,TradesEquity!$1:$1048576,2,FALSE)</f>
        <v>#N/A</v>
      </c>
      <c r="H72" s="343" t="e">
        <f>VLOOKUP(A72,TradesEquity!$1:$1048576,21,FALSE)</f>
        <v>#N/A</v>
      </c>
      <c r="I72" s="344" t="e">
        <f>IF(VLOOKUP(A72,TradesEquity!$1:$1048576,3,FALSE)="BUY","B","S")</f>
        <v>#N/A</v>
      </c>
      <c r="J72" s="344" t="e">
        <f>VLOOKUP(A72,TradesEquity!$1:$1048576,5,FALSE)</f>
        <v>#N/A</v>
      </c>
      <c r="K72" s="342" t="s">
        <v>19</v>
      </c>
      <c r="L72" s="345" t="s">
        <v>1958</v>
      </c>
      <c r="AE72" s="346" t="e">
        <f>VLOOKUP(A72,TradesEquity!$1:$1048576,10,FALSE)</f>
        <v>#N/A</v>
      </c>
      <c r="AF72" s="346" t="e">
        <f t="shared" si="2"/>
        <v>#N/A</v>
      </c>
      <c r="AG72" s="346" t="e">
        <f t="shared" si="2"/>
        <v>#N/A</v>
      </c>
      <c r="AH72" s="346" t="e">
        <f t="shared" si="2"/>
        <v>#N/A</v>
      </c>
      <c r="AI72" s="346" t="e">
        <f>ABS(VLOOKUP(A72,TradesEquity!$1:$1048576,13,FALSE))</f>
        <v>#N/A</v>
      </c>
      <c r="AJ72" s="347">
        <v>0</v>
      </c>
      <c r="AK72" s="347">
        <v>1</v>
      </c>
      <c r="AL72" s="346" t="e">
        <f>VLOOKUP(A72,TradesEquity!$1:$1048576,11,FALSE)</f>
        <v>#N/A</v>
      </c>
      <c r="AM72" s="347">
        <v>1</v>
      </c>
      <c r="AN72" s="346" t="e">
        <f>ABS(VLOOKUP(A72,TradesEquity!$1:$1048576,14,FALSE))</f>
        <v>#N/A</v>
      </c>
      <c r="AO72" s="346" t="e">
        <f>ABS(VLOOKUP(A72,TradesEquity!$1:$1048576,15,FALSE))</f>
        <v>#N/A</v>
      </c>
      <c r="AP72" s="348" t="e">
        <f>ABS(VLOOKUP(A72,TradesEquity!$1:$1048576,16,FALSE))</f>
        <v>#N/A</v>
      </c>
      <c r="AQ72" s="286">
        <v>0</v>
      </c>
      <c r="AR72" s="286">
        <v>0</v>
      </c>
      <c r="AS72" s="286">
        <v>0</v>
      </c>
      <c r="AT72" s="286">
        <v>0</v>
      </c>
      <c r="AU72" s="286">
        <v>0</v>
      </c>
      <c r="AV72" s="348" t="e">
        <f>ABS(VLOOKUP(A72,TradesEquity!$1:$1048576,18,FALSE))</f>
        <v>#N/A</v>
      </c>
      <c r="AW72" s="349">
        <v>0</v>
      </c>
      <c r="AX72" s="350">
        <v>4542</v>
      </c>
      <c r="AY72" s="351" t="s">
        <v>1959</v>
      </c>
      <c r="AZ72" s="352" t="e">
        <f>(VLOOKUP(A72,TradesEquity!$1:$1048576,29,FALSE))</f>
        <v>#N/A</v>
      </c>
      <c r="BA72" s="352" t="e">
        <f>(VLOOKUP(A72,TradesEquity!$1:$1048576,30,FALSE))</f>
        <v>#N/A</v>
      </c>
      <c r="BB72" s="352" t="e">
        <f>(VLOOKUP(A72,TradesEquity!$1:$1048576,31,FALSE))</f>
        <v>#N/A</v>
      </c>
      <c r="BC72" s="352" t="e">
        <f>(VLOOKUP(A72,TradesEquity!$1:$1048576,32,FALSE))</f>
        <v>#N/A</v>
      </c>
      <c r="BI72" s="375" t="e">
        <f>(VLOOKUP(A72,TradesEquity!$1:$1048576,38,FALSE))</f>
        <v>#N/A</v>
      </c>
      <c r="BJ72" s="375" t="e">
        <f>(VLOOKUP(A72,TradesEquity!$1:$1048576,39,FALSE))</f>
        <v>#N/A</v>
      </c>
      <c r="BK72" s="352" t="e">
        <f>(VLOOKUP(A72,TradesEquity!$1:$1048576,40,FALSE))</f>
        <v>#N/A</v>
      </c>
    </row>
    <row r="73" spans="1:63">
      <c r="A73" s="411">
        <v>2019200313</v>
      </c>
      <c r="D73" s="342" t="s">
        <v>1957</v>
      </c>
      <c r="F73" s="343">
        <f>VLOOKUP(A73,TradesEquity!$1:$1048576,2,FALSE)</f>
        <v>44068</v>
      </c>
      <c r="H73" s="343">
        <f>VLOOKUP(A73,TradesEquity!$1:$1048576,21,FALSE)</f>
        <v>44070</v>
      </c>
      <c r="I73" s="344" t="str">
        <f>IF(VLOOKUP(A73,TradesEquity!$1:$1048576,3,FALSE)="BUY","B","S")</f>
        <v>S</v>
      </c>
      <c r="J73" s="344" t="str">
        <f>VLOOKUP(A73,TradesEquity!$1:$1048576,5,FALSE)</f>
        <v>KR7006401004</v>
      </c>
      <c r="K73" s="342" t="s">
        <v>19</v>
      </c>
      <c r="L73" s="345" t="s">
        <v>1958</v>
      </c>
      <c r="AE73" s="346" t="str">
        <f>VLOOKUP(A73,TradesEquity!$1:$1048576,10,FALSE)</f>
        <v>KRW</v>
      </c>
      <c r="AF73" s="346" t="str">
        <f t="shared" si="2"/>
        <v>KRW</v>
      </c>
      <c r="AG73" s="346" t="str">
        <f t="shared" si="2"/>
        <v>KRW</v>
      </c>
      <c r="AH73" s="346" t="str">
        <f t="shared" si="2"/>
        <v>KRW</v>
      </c>
      <c r="AI73" s="346">
        <f>ABS(VLOOKUP(A73,TradesEquity!$1:$1048576,13,FALSE))</f>
        <v>330</v>
      </c>
      <c r="AJ73" s="347">
        <v>0</v>
      </c>
      <c r="AK73" s="347">
        <v>1</v>
      </c>
      <c r="AL73" s="346">
        <f>VLOOKUP(A73,TradesEquity!$1:$1048576,11,FALSE)</f>
        <v>263081.81819999998</v>
      </c>
      <c r="AM73" s="347">
        <v>1</v>
      </c>
      <c r="AN73" s="346">
        <f>ABS(VLOOKUP(A73,TradesEquity!$1:$1048576,14,FALSE))</f>
        <v>86817000.005999997</v>
      </c>
      <c r="AO73" s="346">
        <f>ABS(VLOOKUP(A73,TradesEquity!$1:$1048576,15,FALSE))</f>
        <v>130226</v>
      </c>
      <c r="AP73" s="348">
        <f>ABS(VLOOKUP(A73,TradesEquity!$1:$1048576,16,FALSE))</f>
        <v>217013</v>
      </c>
      <c r="AQ73" s="286">
        <v>0</v>
      </c>
      <c r="AR73" s="286">
        <v>0</v>
      </c>
      <c r="AS73" s="286">
        <v>0</v>
      </c>
      <c r="AT73" s="286">
        <v>0</v>
      </c>
      <c r="AU73" s="286">
        <v>0</v>
      </c>
      <c r="AV73" s="348">
        <f>ABS(VLOOKUP(A73,TradesEquity!$1:$1048576,18,FALSE))</f>
        <v>86469761.005999997</v>
      </c>
      <c r="AW73" s="349">
        <v>0</v>
      </c>
      <c r="AX73" s="350">
        <v>4542</v>
      </c>
      <c r="AY73" s="351" t="s">
        <v>1959</v>
      </c>
      <c r="AZ73" s="352" t="e">
        <f>(VLOOKUP(A73,TradesEquity!$1:$1048576,29,FALSE))</f>
        <v>#N/A</v>
      </c>
      <c r="BA73" s="352" t="e">
        <f>(VLOOKUP(A73,TradesEquity!$1:$1048576,30,FALSE))</f>
        <v>#N/A</v>
      </c>
      <c r="BB73" s="352" t="e">
        <f>(VLOOKUP(A73,TradesEquity!$1:$1048576,31,FALSE))</f>
        <v>#N/A</v>
      </c>
      <c r="BC73" s="352" t="e">
        <f>(VLOOKUP(A73,TradesEquity!$1:$1048576,32,FALSE))</f>
        <v>#N/A</v>
      </c>
      <c r="BI73" s="375" t="e">
        <f>(VLOOKUP(A73,TradesEquity!$1:$1048576,38,FALSE))</f>
        <v>#N/A</v>
      </c>
      <c r="BJ73" s="375" t="e">
        <f>(VLOOKUP(A73,TradesEquity!$1:$1048576,39,FALSE))</f>
        <v>#N/A</v>
      </c>
      <c r="BK73" s="352" t="e">
        <f>(VLOOKUP(A73,TradesEquity!$1:$1048576,40,FALSE))</f>
        <v>#N/A</v>
      </c>
    </row>
    <row r="74" spans="1:63">
      <c r="A74" s="411">
        <v>2019200314</v>
      </c>
      <c r="D74" s="342" t="s">
        <v>1957</v>
      </c>
      <c r="F74" s="343">
        <f>VLOOKUP(A74,TradesEquity!$1:$1048576,2,FALSE)</f>
        <v>44068</v>
      </c>
      <c r="H74" s="343">
        <f>VLOOKUP(A74,TradesEquity!$1:$1048576,21,FALSE)</f>
        <v>44070</v>
      </c>
      <c r="I74" s="344" t="str">
        <f>IF(VLOOKUP(A74,TradesEquity!$1:$1048576,3,FALSE)="BUY","B","S")</f>
        <v>S</v>
      </c>
      <c r="J74" s="344" t="str">
        <f>VLOOKUP(A74,TradesEquity!$1:$1048576,5,FALSE)</f>
        <v>KR7051911006</v>
      </c>
      <c r="K74" s="342" t="s">
        <v>19</v>
      </c>
      <c r="L74" s="345" t="s">
        <v>1958</v>
      </c>
      <c r="AE74" s="346" t="str">
        <f>VLOOKUP(A74,TradesEquity!$1:$1048576,10,FALSE)</f>
        <v>KRW</v>
      </c>
      <c r="AF74" s="346" t="str">
        <f t="shared" si="2"/>
        <v>KRW</v>
      </c>
      <c r="AG74" s="346" t="str">
        <f t="shared" si="2"/>
        <v>KRW</v>
      </c>
      <c r="AH74" s="346" t="str">
        <f t="shared" si="2"/>
        <v>KRW</v>
      </c>
      <c r="AI74" s="346">
        <f>ABS(VLOOKUP(A74,TradesEquity!$1:$1048576,13,FALSE))</f>
        <v>430</v>
      </c>
      <c r="AJ74" s="347">
        <v>0</v>
      </c>
      <c r="AK74" s="347">
        <v>1</v>
      </c>
      <c r="AL74" s="346">
        <f>VLOOKUP(A74,TradesEquity!$1:$1048576,11,FALSE)</f>
        <v>371670.9302</v>
      </c>
      <c r="AM74" s="347">
        <v>1</v>
      </c>
      <c r="AN74" s="346">
        <f>ABS(VLOOKUP(A74,TradesEquity!$1:$1048576,14,FALSE))</f>
        <v>159818499.986</v>
      </c>
      <c r="AO74" s="346">
        <f>ABS(VLOOKUP(A74,TradesEquity!$1:$1048576,15,FALSE))</f>
        <v>239728</v>
      </c>
      <c r="AP74" s="348">
        <f>ABS(VLOOKUP(A74,TradesEquity!$1:$1048576,16,FALSE))</f>
        <v>399527</v>
      </c>
      <c r="AQ74" s="286">
        <v>0</v>
      </c>
      <c r="AR74" s="286">
        <v>0</v>
      </c>
      <c r="AS74" s="286">
        <v>0</v>
      </c>
      <c r="AT74" s="286">
        <v>0</v>
      </c>
      <c r="AU74" s="286">
        <v>0</v>
      </c>
      <c r="AV74" s="348">
        <f>ABS(VLOOKUP(A74,TradesEquity!$1:$1048576,18,FALSE))</f>
        <v>159179244.986</v>
      </c>
      <c r="AW74" s="349">
        <v>0</v>
      </c>
      <c r="AX74" s="350">
        <v>4542</v>
      </c>
      <c r="AY74" s="351" t="s">
        <v>1959</v>
      </c>
      <c r="AZ74" s="352" t="str">
        <f>(VLOOKUP(A74,TradesEquity!$1:$1048576,29,FALSE))</f>
        <v>SAMCKRS1XXX</v>
      </c>
      <c r="BA74" s="352" t="str">
        <f>(VLOOKUP(A74,TradesEquity!$1:$1048576,30,FALSE))</f>
        <v>KSDCKRSEXXX</v>
      </c>
      <c r="BB74" s="352" t="str">
        <f>(VLOOKUP(A74,TradesEquity!$1:$1048576,31,FALSE))</f>
        <v>30-00</v>
      </c>
      <c r="BC74" s="352" t="str">
        <f>(VLOOKUP(A74,TradesEquity!$1:$1048576,32,FALSE))</f>
        <v>N</v>
      </c>
      <c r="BI74" s="375">
        <f>(VLOOKUP(A74,TradesEquity!$1:$1048576,38,FALSE))</f>
        <v>0</v>
      </c>
      <c r="BJ74" s="375">
        <f>(VLOOKUP(A74,TradesEquity!$1:$1048576,39,FALSE))</f>
        <v>0</v>
      </c>
      <c r="BK74" s="352" t="str">
        <f>(VLOOKUP(A74,TradesEquity!$1:$1048576,40,FALSE))</f>
        <v>SAMCKRS1XXX</v>
      </c>
    </row>
    <row r="75" spans="1:63">
      <c r="A75" s="411">
        <v>2019200315</v>
      </c>
      <c r="D75" s="342" t="s">
        <v>1957</v>
      </c>
      <c r="F75" s="343">
        <f>VLOOKUP(A75,TradesEquity!$1:$1048576,2,FALSE)</f>
        <v>44069</v>
      </c>
      <c r="H75" s="343">
        <f>VLOOKUP(A75,TradesEquity!$1:$1048576,21,FALSE)</f>
        <v>44071</v>
      </c>
      <c r="I75" s="344" t="str">
        <f>IF(VLOOKUP(A75,TradesEquity!$1:$1048576,3,FALSE)="BUY","B","S")</f>
        <v>S</v>
      </c>
      <c r="J75" s="344" t="str">
        <f>VLOOKUP(A75,TradesEquity!$1:$1048576,5,FALSE)</f>
        <v>KR7051911006</v>
      </c>
      <c r="K75" s="342" t="s">
        <v>19</v>
      </c>
      <c r="L75" s="345" t="s">
        <v>1958</v>
      </c>
      <c r="AE75" s="346" t="str">
        <f>VLOOKUP(A75,TradesEquity!$1:$1048576,10,FALSE)</f>
        <v>KRW</v>
      </c>
      <c r="AF75" s="346" t="str">
        <f t="shared" si="2"/>
        <v>KRW</v>
      </c>
      <c r="AG75" s="346" t="str">
        <f t="shared" si="2"/>
        <v>KRW</v>
      </c>
      <c r="AH75" s="346" t="str">
        <f t="shared" si="2"/>
        <v>KRW</v>
      </c>
      <c r="AI75" s="346">
        <f>ABS(VLOOKUP(A75,TradesEquity!$1:$1048576,13,FALSE))</f>
        <v>300</v>
      </c>
      <c r="AJ75" s="347">
        <v>0</v>
      </c>
      <c r="AK75" s="347">
        <v>1</v>
      </c>
      <c r="AL75" s="346">
        <f>VLOOKUP(A75,TradesEquity!$1:$1048576,11,FALSE)</f>
        <v>374705</v>
      </c>
      <c r="AM75" s="347">
        <v>1</v>
      </c>
      <c r="AN75" s="346">
        <f>ABS(VLOOKUP(A75,TradesEquity!$1:$1048576,14,FALSE))</f>
        <v>112411500</v>
      </c>
      <c r="AO75" s="346">
        <f>ABS(VLOOKUP(A75,TradesEquity!$1:$1048576,15,FALSE))</f>
        <v>168617</v>
      </c>
      <c r="AP75" s="348">
        <f>ABS(VLOOKUP(A75,TradesEquity!$1:$1048576,16,FALSE))</f>
        <v>281020</v>
      </c>
      <c r="AQ75" s="286">
        <v>0</v>
      </c>
      <c r="AR75" s="286">
        <v>0</v>
      </c>
      <c r="AS75" s="286">
        <v>0</v>
      </c>
      <c r="AT75" s="286">
        <v>0</v>
      </c>
      <c r="AU75" s="286">
        <v>0</v>
      </c>
      <c r="AV75" s="348">
        <f>ABS(VLOOKUP(A75,TradesEquity!$1:$1048576,18,FALSE))</f>
        <v>111961863</v>
      </c>
      <c r="AW75" s="349">
        <v>0</v>
      </c>
      <c r="AX75" s="350">
        <v>4542</v>
      </c>
      <c r="AY75" s="351" t="s">
        <v>1959</v>
      </c>
      <c r="AZ75" s="352" t="str">
        <f>(VLOOKUP(A75,TradesEquity!$1:$1048576,29,FALSE))</f>
        <v>SAMCKRS1XXX</v>
      </c>
      <c r="BA75" s="352" t="str">
        <f>(VLOOKUP(A75,TradesEquity!$1:$1048576,30,FALSE))</f>
        <v>KSDCKRSEXXX</v>
      </c>
      <c r="BB75" s="352" t="str">
        <f>(VLOOKUP(A75,TradesEquity!$1:$1048576,31,FALSE))</f>
        <v>30-00</v>
      </c>
      <c r="BC75" s="352" t="str">
        <f>(VLOOKUP(A75,TradesEquity!$1:$1048576,32,FALSE))</f>
        <v>N</v>
      </c>
      <c r="BI75" s="375">
        <f>(VLOOKUP(A75,TradesEquity!$1:$1048576,38,FALSE))</f>
        <v>0</v>
      </c>
      <c r="BJ75" s="375">
        <f>(VLOOKUP(A75,TradesEquity!$1:$1048576,39,FALSE))</f>
        <v>0</v>
      </c>
      <c r="BK75" s="352" t="str">
        <f>(VLOOKUP(A75,TradesEquity!$1:$1048576,40,FALSE))</f>
        <v>SAMCKRS1XXX</v>
      </c>
    </row>
    <row r="76" spans="1:63">
      <c r="A76" s="412">
        <v>2019200316</v>
      </c>
      <c r="D76" s="342" t="s">
        <v>1957</v>
      </c>
      <c r="F76" s="343">
        <f>VLOOKUP(A76,TradesEquity!$1:$1048576,2,FALSE)</f>
        <v>44082</v>
      </c>
      <c r="H76" s="343">
        <f>VLOOKUP(A76,TradesEquity!$1:$1048576,21,FALSE)</f>
        <v>44084</v>
      </c>
      <c r="I76" s="344" t="str">
        <f>IF(VLOOKUP(A76,TradesEquity!$1:$1048576,3,FALSE)="BUY","B","S")</f>
        <v>B</v>
      </c>
      <c r="J76" s="344" t="str">
        <f>VLOOKUP(A76,TradesEquity!$1:$1048576,5,FALSE)</f>
        <v>JP3592200004</v>
      </c>
      <c r="K76" s="342" t="s">
        <v>19</v>
      </c>
      <c r="L76" s="345" t="s">
        <v>1958</v>
      </c>
      <c r="AE76" s="346" t="str">
        <f>VLOOKUP(A76,TradesEquity!$1:$1048576,10,FALSE)</f>
        <v>JPY</v>
      </c>
      <c r="AF76" s="346" t="str">
        <f t="shared" si="2"/>
        <v>JPY</v>
      </c>
      <c r="AG76" s="346" t="str">
        <f t="shared" si="2"/>
        <v>JPY</v>
      </c>
      <c r="AH76" s="346" t="str">
        <f t="shared" si="2"/>
        <v>JPY</v>
      </c>
      <c r="AI76" s="346">
        <f>ABS(VLOOKUP(A76,TradesEquity!$1:$1048576,13,FALSE))</f>
        <v>4200</v>
      </c>
      <c r="AJ76" s="347">
        <v>0</v>
      </c>
      <c r="AK76" s="347">
        <v>1</v>
      </c>
      <c r="AL76" s="346">
        <f>VLOOKUP(A76,TradesEquity!$1:$1048576,11,FALSE)</f>
        <v>3012.2416699999999</v>
      </c>
      <c r="AM76" s="347">
        <v>1</v>
      </c>
      <c r="AN76" s="346">
        <f>ABS(VLOOKUP(A76,TradesEquity!$1:$1048576,14,FALSE))</f>
        <v>12651415.014</v>
      </c>
      <c r="AO76" s="346">
        <f>ABS(VLOOKUP(A76,TradesEquity!$1:$1048576,15,FALSE))</f>
        <v>7591</v>
      </c>
      <c r="AP76" s="348">
        <f>ABS(VLOOKUP(A76,TradesEquity!$1:$1048576,16,FALSE))</f>
        <v>0</v>
      </c>
      <c r="AQ76" s="286">
        <v>0</v>
      </c>
      <c r="AR76" s="286">
        <v>0</v>
      </c>
      <c r="AS76" s="286">
        <v>0</v>
      </c>
      <c r="AT76" s="286">
        <v>0</v>
      </c>
      <c r="AU76" s="286">
        <v>0</v>
      </c>
      <c r="AV76" s="348">
        <f>ABS(VLOOKUP(A76,TradesEquity!$1:$1048576,18,FALSE))</f>
        <v>12659006.014</v>
      </c>
      <c r="AW76" s="349">
        <v>0</v>
      </c>
      <c r="AX76" s="350">
        <v>4542</v>
      </c>
      <c r="AY76" s="351" t="s">
        <v>1959</v>
      </c>
      <c r="AZ76" s="352" t="str">
        <f>(VLOOKUP(A76,TradesEquity!$1:$1048576,29,FALSE))</f>
        <v>GSILGB2XXXX</v>
      </c>
      <c r="BA76" s="352" t="str">
        <f>(VLOOKUP(A76,TradesEquity!$1:$1048576,30,FALSE))</f>
        <v>JJSDJPJTXXX</v>
      </c>
      <c r="BB76" s="352">
        <f>(VLOOKUP(A76,TradesEquity!$1:$1048576,31,FALSE))</f>
        <v>6530490016</v>
      </c>
      <c r="BC76" s="352" t="str">
        <f>(VLOOKUP(A76,TradesEquity!$1:$1048576,32,FALSE))</f>
        <v>N</v>
      </c>
      <c r="BI76" s="375" t="str">
        <f>(VLOOKUP(A76,TradesEquity!$1:$1048576,38,FALSE))</f>
        <v xml:space="preserve">                  </v>
      </c>
      <c r="BJ76" s="375" t="str">
        <f>(VLOOKUP(A76,TradesEquity!$1:$1048576,39,FALSE))</f>
        <v xml:space="preserve">                          </v>
      </c>
      <c r="BK76" s="352" t="str">
        <f>(VLOOKUP(A76,TradesEquity!$1:$1048576,40,FALSE))</f>
        <v>GOLDJPJXXXX</v>
      </c>
    </row>
    <row r="77" spans="1:63">
      <c r="A77" s="412">
        <v>2019200317</v>
      </c>
      <c r="D77" s="342" t="s">
        <v>1957</v>
      </c>
      <c r="F77" s="343">
        <f>VLOOKUP(A77,TradesEquity!$1:$1048576,2,FALSE)</f>
        <v>44090</v>
      </c>
      <c r="H77" s="343">
        <f>VLOOKUP(A77,TradesEquity!$1:$1048576,21,FALSE)</f>
        <v>44092</v>
      </c>
      <c r="I77" s="344" t="str">
        <f>IF(VLOOKUP(A77,TradesEquity!$1:$1048576,3,FALSE)="BUY","B","S")</f>
        <v>B</v>
      </c>
      <c r="J77" s="344" t="str">
        <f>VLOOKUP(A77,TradesEquity!$1:$1048576,5,FALSE)</f>
        <v>KR7056190002</v>
      </c>
      <c r="K77" s="342" t="s">
        <v>19</v>
      </c>
      <c r="L77" s="345" t="s">
        <v>1958</v>
      </c>
      <c r="AE77" s="346" t="str">
        <f>VLOOKUP(A77,TradesEquity!$1:$1048576,10,FALSE)</f>
        <v>KRW</v>
      </c>
      <c r="AF77" s="346" t="str">
        <f t="shared" si="2"/>
        <v>KRW</v>
      </c>
      <c r="AG77" s="346" t="str">
        <f t="shared" si="2"/>
        <v>KRW</v>
      </c>
      <c r="AH77" s="346" t="str">
        <f t="shared" si="2"/>
        <v>KRW</v>
      </c>
      <c r="AI77" s="346">
        <f>ABS(VLOOKUP(A77,TradesEquity!$1:$1048576,13,FALSE))</f>
        <v>4200</v>
      </c>
      <c r="AJ77" s="347">
        <v>0</v>
      </c>
      <c r="AK77" s="347">
        <v>1</v>
      </c>
      <c r="AL77" s="346">
        <f>VLOOKUP(A77,TradesEquity!$1:$1048576,11,FALSE)</f>
        <v>36089.904799999997</v>
      </c>
      <c r="AM77" s="347">
        <v>1</v>
      </c>
      <c r="AN77" s="346">
        <f>ABS(VLOOKUP(A77,TradesEquity!$1:$1048576,14,FALSE))</f>
        <v>151577600.16</v>
      </c>
      <c r="AO77" s="346">
        <f>ABS(VLOOKUP(A77,TradesEquity!$1:$1048576,15,FALSE))</f>
        <v>227366</v>
      </c>
      <c r="AP77" s="348">
        <f>ABS(VLOOKUP(A77,TradesEquity!$1:$1048576,16,FALSE))</f>
        <v>0</v>
      </c>
      <c r="AQ77" s="286">
        <v>0</v>
      </c>
      <c r="AR77" s="286">
        <v>0</v>
      </c>
      <c r="AS77" s="286">
        <v>0</v>
      </c>
      <c r="AT77" s="286">
        <v>0</v>
      </c>
      <c r="AU77" s="286">
        <v>0</v>
      </c>
      <c r="AV77" s="348">
        <f>ABS(VLOOKUP(A77,TradesEquity!$1:$1048576,18,FALSE))</f>
        <v>151804966.16</v>
      </c>
      <c r="AW77" s="349">
        <v>0</v>
      </c>
      <c r="AX77" s="350">
        <v>4542</v>
      </c>
      <c r="AY77" s="351" t="s">
        <v>1959</v>
      </c>
      <c r="AZ77" s="352" t="e">
        <f>(VLOOKUP(A77,TradesEquity!$1:$1048576,29,FALSE))</f>
        <v>#N/A</v>
      </c>
      <c r="BA77" s="352" t="e">
        <f>(VLOOKUP(A77,TradesEquity!$1:$1048576,30,FALSE))</f>
        <v>#N/A</v>
      </c>
      <c r="BB77" s="352" t="e">
        <f>(VLOOKUP(A77,TradesEquity!$1:$1048576,31,FALSE))</f>
        <v>#N/A</v>
      </c>
      <c r="BC77" s="352" t="e">
        <f>(VLOOKUP(A77,TradesEquity!$1:$1048576,32,FALSE))</f>
        <v>#N/A</v>
      </c>
      <c r="BI77" s="375" t="e">
        <f>(VLOOKUP(A77,TradesEquity!$1:$1048576,38,FALSE))</f>
        <v>#N/A</v>
      </c>
      <c r="BJ77" s="375" t="e">
        <f>(VLOOKUP(A77,TradesEquity!$1:$1048576,39,FALSE))</f>
        <v>#N/A</v>
      </c>
      <c r="BK77" s="352" t="e">
        <f>(VLOOKUP(A77,TradesEquity!$1:$1048576,40,FALSE))</f>
        <v>#N/A</v>
      </c>
    </row>
    <row r="78" spans="1:63">
      <c r="A78" s="427">
        <v>2019200318</v>
      </c>
      <c r="D78" s="342" t="s">
        <v>1957</v>
      </c>
      <c r="F78" s="343">
        <f>VLOOKUP(A78,TradesEquity!$1:$1048576,2,FALSE)</f>
        <v>44098</v>
      </c>
      <c r="H78" s="343">
        <f>VLOOKUP(A78,TradesEquity!$1:$1048576,21,FALSE)</f>
        <v>44102</v>
      </c>
      <c r="I78" s="344" t="str">
        <f>IF(VLOOKUP(A78,TradesEquity!$1:$1048576,3,FALSE)="BUY","B","S")</f>
        <v>B</v>
      </c>
      <c r="J78" s="344" t="str">
        <f>VLOOKUP(A78,TradesEquity!$1:$1048576,5,FALSE)</f>
        <v>JP3592200004</v>
      </c>
      <c r="K78" s="342" t="s">
        <v>19</v>
      </c>
      <c r="L78" s="345" t="s">
        <v>1958</v>
      </c>
      <c r="AE78" s="346" t="str">
        <f>VLOOKUP(A78,TradesEquity!$1:$1048576,10,FALSE)</f>
        <v>JPY</v>
      </c>
      <c r="AF78" s="346" t="str">
        <f t="shared" si="2"/>
        <v>JPY</v>
      </c>
      <c r="AG78" s="346" t="str">
        <f t="shared" si="2"/>
        <v>JPY</v>
      </c>
      <c r="AH78" s="346" t="str">
        <f t="shared" si="2"/>
        <v>JPY</v>
      </c>
      <c r="AI78" s="346">
        <f>ABS(VLOOKUP(A78,TradesEquity!$1:$1048576,13,FALSE))</f>
        <v>4200</v>
      </c>
      <c r="AJ78" s="347">
        <v>0</v>
      </c>
      <c r="AK78" s="347">
        <v>1</v>
      </c>
      <c r="AL78" s="346">
        <f>VLOOKUP(A78,TradesEquity!$1:$1048576,11,FALSE)</f>
        <v>2833.3809500000002</v>
      </c>
      <c r="AM78" s="347">
        <v>1</v>
      </c>
      <c r="AN78" s="346">
        <f>ABS(VLOOKUP(A78,TradesEquity!$1:$1048576,14,FALSE))</f>
        <v>11900199.99</v>
      </c>
      <c r="AO78" s="346">
        <f>ABS(VLOOKUP(A78,TradesEquity!$1:$1048576,15,FALSE))</f>
        <v>7140</v>
      </c>
      <c r="AP78" s="348">
        <f>ABS(VLOOKUP(A78,TradesEquity!$1:$1048576,16,FALSE))</f>
        <v>0</v>
      </c>
      <c r="AQ78" s="286">
        <v>0</v>
      </c>
      <c r="AR78" s="286">
        <v>0</v>
      </c>
      <c r="AS78" s="286">
        <v>0</v>
      </c>
      <c r="AT78" s="286">
        <v>0</v>
      </c>
      <c r="AU78" s="286">
        <v>0</v>
      </c>
      <c r="AV78" s="348">
        <f>ABS(VLOOKUP(A78,TradesEquity!$1:$1048576,18,FALSE))</f>
        <v>11907339.99</v>
      </c>
      <c r="AW78" s="349">
        <v>0</v>
      </c>
      <c r="AX78" s="350">
        <v>4542</v>
      </c>
      <c r="AY78" s="351" t="s">
        <v>1959</v>
      </c>
      <c r="AZ78" s="352" t="str">
        <f>(VLOOKUP(A78,TradesEquity!$1:$1048576,29,FALSE))</f>
        <v>GSILGB2XXXX</v>
      </c>
      <c r="BA78" s="352" t="str">
        <f>(VLOOKUP(A78,TradesEquity!$1:$1048576,30,FALSE))</f>
        <v>JJSDJPJTXXX</v>
      </c>
      <c r="BB78" s="352">
        <f>(VLOOKUP(A78,TradesEquity!$1:$1048576,31,FALSE))</f>
        <v>6530490016</v>
      </c>
      <c r="BC78" s="352" t="str">
        <f>(VLOOKUP(A78,TradesEquity!$1:$1048576,32,FALSE))</f>
        <v>N</v>
      </c>
      <c r="BI78" s="375" t="str">
        <f>(VLOOKUP(A78,TradesEquity!$1:$1048576,38,FALSE))</f>
        <v xml:space="preserve">                  </v>
      </c>
      <c r="BJ78" s="375" t="str">
        <f>(VLOOKUP(A78,TradesEquity!$1:$1048576,39,FALSE))</f>
        <v xml:space="preserve">                          </v>
      </c>
      <c r="BK78" s="352" t="str">
        <f>(VLOOKUP(A78,TradesEquity!$1:$1048576,40,FALSE))</f>
        <v>GOLDJPJXXXX</v>
      </c>
    </row>
    <row r="79" spans="1:63">
      <c r="A79" s="427">
        <v>2019200319</v>
      </c>
      <c r="D79" s="342" t="s">
        <v>1957</v>
      </c>
      <c r="F79" s="343">
        <f>VLOOKUP(A79,TradesEquity!$1:$1048576,2,FALSE)</f>
        <v>44098</v>
      </c>
      <c r="H79" s="343">
        <f>VLOOKUP(A79,TradesEquity!$1:$1048576,21,FALSE)</f>
        <v>44102</v>
      </c>
      <c r="I79" s="344" t="str">
        <f>IF(VLOOKUP(A79,TradesEquity!$1:$1048576,3,FALSE)="BUY","B","S")</f>
        <v>S</v>
      </c>
      <c r="J79" s="344" t="str">
        <f>VLOOKUP(A79,TradesEquity!$1:$1048576,5,FALSE)</f>
        <v>KR7042600007</v>
      </c>
      <c r="K79" s="342" t="s">
        <v>19</v>
      </c>
      <c r="L79" s="345" t="s">
        <v>1958</v>
      </c>
      <c r="AE79" s="346" t="str">
        <f>VLOOKUP(A79,TradesEquity!$1:$1048576,10,FALSE)</f>
        <v>KRW</v>
      </c>
      <c r="AF79" s="346" t="str">
        <f t="shared" si="2"/>
        <v>KRW</v>
      </c>
      <c r="AG79" s="346" t="str">
        <f t="shared" si="2"/>
        <v>KRW</v>
      </c>
      <c r="AH79" s="346" t="str">
        <f t="shared" si="2"/>
        <v>KRW</v>
      </c>
      <c r="AI79" s="346">
        <f>ABS(VLOOKUP(A79,TradesEquity!$1:$1048576,13,FALSE))</f>
        <v>33392</v>
      </c>
      <c r="AJ79" s="347">
        <v>0</v>
      </c>
      <c r="AK79" s="347">
        <v>1</v>
      </c>
      <c r="AL79" s="346">
        <f>VLOOKUP(A79,TradesEquity!$1:$1048576,11,FALSE)</f>
        <v>5632.0828000000001</v>
      </c>
      <c r="AM79" s="347">
        <v>1</v>
      </c>
      <c r="AN79" s="346">
        <f>ABS(VLOOKUP(A79,TradesEquity!$1:$1048576,14,FALSE))</f>
        <v>188066508.8576</v>
      </c>
      <c r="AO79" s="346">
        <f>ABS(VLOOKUP(A79,TradesEquity!$1:$1048576,15,FALSE))</f>
        <v>282100</v>
      </c>
      <c r="AP79" s="348">
        <f>ABS(VLOOKUP(A79,TradesEquity!$1:$1048576,16,FALSE))</f>
        <v>470034</v>
      </c>
      <c r="AQ79" s="286">
        <v>0</v>
      </c>
      <c r="AR79" s="286">
        <v>0</v>
      </c>
      <c r="AS79" s="286">
        <v>0</v>
      </c>
      <c r="AT79" s="286">
        <v>0</v>
      </c>
      <c r="AU79" s="286">
        <v>0</v>
      </c>
      <c r="AV79" s="348">
        <f>ABS(VLOOKUP(A79,TradesEquity!$1:$1048576,18,FALSE))</f>
        <v>187314374.8576</v>
      </c>
      <c r="AW79" s="349">
        <v>0</v>
      </c>
      <c r="AX79" s="350">
        <v>4542</v>
      </c>
      <c r="AY79" s="351" t="s">
        <v>1959</v>
      </c>
      <c r="AZ79" s="352" t="e">
        <f>(VLOOKUP(A79,TradesEquity!$1:$1048576,29,FALSE))</f>
        <v>#N/A</v>
      </c>
      <c r="BA79" s="352" t="e">
        <f>(VLOOKUP(A79,TradesEquity!$1:$1048576,30,FALSE))</f>
        <v>#N/A</v>
      </c>
      <c r="BB79" s="352" t="e">
        <f>(VLOOKUP(A79,TradesEquity!$1:$1048576,31,FALSE))</f>
        <v>#N/A</v>
      </c>
      <c r="BC79" s="352" t="e">
        <f>(VLOOKUP(A79,TradesEquity!$1:$1048576,32,FALSE))</f>
        <v>#N/A</v>
      </c>
      <c r="BI79" s="375" t="e">
        <f>(VLOOKUP(A79,TradesEquity!$1:$1048576,38,FALSE))</f>
        <v>#N/A</v>
      </c>
      <c r="BJ79" s="375" t="e">
        <f>(VLOOKUP(A79,TradesEquity!$1:$1048576,39,FALSE))</f>
        <v>#N/A</v>
      </c>
      <c r="BK79" s="352" t="e">
        <f>(VLOOKUP(A79,TradesEquity!$1:$1048576,40,FALSE))</f>
        <v>#N/A</v>
      </c>
    </row>
    <row r="80" spans="1:63">
      <c r="A80" s="427">
        <v>2019200320</v>
      </c>
      <c r="D80" s="342" t="s">
        <v>1957</v>
      </c>
      <c r="F80" s="343">
        <f>VLOOKUP(A80,TradesEquity!$1:$1048576,2,FALSE)</f>
        <v>44098</v>
      </c>
      <c r="H80" s="343">
        <f>VLOOKUP(A80,TradesEquity!$1:$1048576,21,FALSE)</f>
        <v>44102</v>
      </c>
      <c r="I80" s="344" t="str">
        <f>IF(VLOOKUP(A80,TradesEquity!$1:$1048576,3,FALSE)="BUY","B","S")</f>
        <v>B</v>
      </c>
      <c r="J80" s="344" t="str">
        <f>VLOOKUP(A80,TradesEquity!$1:$1048576,5,FALSE)</f>
        <v>US55315J1025</v>
      </c>
      <c r="K80" s="342" t="s">
        <v>19</v>
      </c>
      <c r="L80" s="345" t="s">
        <v>1958</v>
      </c>
      <c r="AE80" s="346" t="str">
        <f>VLOOKUP(A80,TradesEquity!$1:$1048576,10,FALSE)</f>
        <v>USD</v>
      </c>
      <c r="AF80" s="346" t="str">
        <f t="shared" si="2"/>
        <v>USD</v>
      </c>
      <c r="AG80" s="346" t="str">
        <f t="shared" si="2"/>
        <v>USD</v>
      </c>
      <c r="AH80" s="346" t="str">
        <f t="shared" si="2"/>
        <v>USD</v>
      </c>
      <c r="AI80" s="346">
        <f>ABS(VLOOKUP(A80,TradesEquity!$1:$1048576,13,FALSE))</f>
        <v>3500</v>
      </c>
      <c r="AJ80" s="347">
        <v>0</v>
      </c>
      <c r="AK80" s="347">
        <v>1</v>
      </c>
      <c r="AL80" s="346">
        <f>VLOOKUP(A80,TradesEquity!$1:$1048576,11,FALSE)</f>
        <v>24.392399999999999</v>
      </c>
      <c r="AM80" s="347">
        <v>1</v>
      </c>
      <c r="AN80" s="346">
        <f>ABS(VLOOKUP(A80,TradesEquity!$1:$1048576,14,FALSE))</f>
        <v>85373.4</v>
      </c>
      <c r="AO80" s="346">
        <f>ABS(VLOOKUP(A80,TradesEquity!$1:$1048576,15,FALSE))</f>
        <v>42.69</v>
      </c>
      <c r="AP80" s="348">
        <f>ABS(VLOOKUP(A80,TradesEquity!$1:$1048576,16,FALSE))</f>
        <v>0</v>
      </c>
      <c r="AQ80" s="286">
        <v>0</v>
      </c>
      <c r="AR80" s="286">
        <v>0</v>
      </c>
      <c r="AS80" s="286">
        <v>0</v>
      </c>
      <c r="AT80" s="286">
        <v>0</v>
      </c>
      <c r="AU80" s="286">
        <v>0</v>
      </c>
      <c r="AV80" s="348">
        <f>ABS(VLOOKUP(A80,TradesEquity!$1:$1048576,18,FALSE))</f>
        <v>85416.09</v>
      </c>
      <c r="AW80" s="349">
        <v>0</v>
      </c>
      <c r="AX80" s="350">
        <v>4542</v>
      </c>
      <c r="AY80" s="351" t="s">
        <v>1959</v>
      </c>
      <c r="AZ80" s="352" t="e">
        <f>(VLOOKUP(A80,TradesEquity!$1:$1048576,29,FALSE))</f>
        <v>#N/A</v>
      </c>
      <c r="BA80" s="352" t="e">
        <f>(VLOOKUP(A80,TradesEquity!$1:$1048576,30,FALSE))</f>
        <v>#N/A</v>
      </c>
      <c r="BB80" s="352" t="e">
        <f>(VLOOKUP(A80,TradesEquity!$1:$1048576,31,FALSE))</f>
        <v>#N/A</v>
      </c>
      <c r="BC80" s="352" t="e">
        <f>(VLOOKUP(A80,TradesEquity!$1:$1048576,32,FALSE))</f>
        <v>#N/A</v>
      </c>
      <c r="BI80" s="375" t="e">
        <f>(VLOOKUP(A80,TradesEquity!$1:$1048576,38,FALSE))</f>
        <v>#N/A</v>
      </c>
      <c r="BJ80" s="375" t="e">
        <f>(VLOOKUP(A80,TradesEquity!$1:$1048576,39,FALSE))</f>
        <v>#N/A</v>
      </c>
      <c r="BK80" s="352" t="e">
        <f>(VLOOKUP(A80,TradesEquity!$1:$1048576,40,FALSE))</f>
        <v>#N/A</v>
      </c>
    </row>
    <row r="81" spans="1:63">
      <c r="A81" s="427">
        <v>2019200321</v>
      </c>
      <c r="D81" s="342" t="s">
        <v>1957</v>
      </c>
      <c r="F81" s="343">
        <f>VLOOKUP(A81,TradesEquity!$1:$1048576,2,FALSE)</f>
        <v>44099</v>
      </c>
      <c r="H81" s="343">
        <f>VLOOKUP(A81,TradesEquity!$1:$1048576,21,FALSE)</f>
        <v>44103</v>
      </c>
      <c r="I81" s="344" t="str">
        <f>IF(VLOOKUP(A81,TradesEquity!$1:$1048576,3,FALSE)="BUY","B","S")</f>
        <v>B</v>
      </c>
      <c r="J81" s="344" t="str">
        <f>VLOOKUP(A81,TradesEquity!$1:$1048576,5,FALSE)</f>
        <v>JP3271600003</v>
      </c>
      <c r="K81" s="342" t="s">
        <v>19</v>
      </c>
      <c r="L81" s="345" t="s">
        <v>1958</v>
      </c>
      <c r="AE81" s="346" t="str">
        <f>VLOOKUP(A81,TradesEquity!$1:$1048576,10,FALSE)</f>
        <v>JPY</v>
      </c>
      <c r="AF81" s="346" t="str">
        <f t="shared" si="2"/>
        <v>JPY</v>
      </c>
      <c r="AG81" s="346" t="str">
        <f t="shared" si="2"/>
        <v>JPY</v>
      </c>
      <c r="AH81" s="346" t="str">
        <f t="shared" si="2"/>
        <v>JPY</v>
      </c>
      <c r="AI81" s="346">
        <f>ABS(VLOOKUP(A81,TradesEquity!$1:$1048576,13,FALSE))</f>
        <v>1670</v>
      </c>
      <c r="AJ81" s="347">
        <v>0</v>
      </c>
      <c r="AK81" s="347">
        <v>1</v>
      </c>
      <c r="AL81" s="346">
        <f>VLOOKUP(A81,TradesEquity!$1:$1048576,11,FALSE)</f>
        <v>4773.6227500000005</v>
      </c>
      <c r="AM81" s="347">
        <v>1</v>
      </c>
      <c r="AN81" s="346">
        <f>ABS(VLOOKUP(A81,TradesEquity!$1:$1048576,14,FALSE))</f>
        <v>7971949.9925000006</v>
      </c>
      <c r="AO81" s="346">
        <f>ABS(VLOOKUP(A81,TradesEquity!$1:$1048576,15,FALSE))</f>
        <v>4783</v>
      </c>
      <c r="AP81" s="348">
        <f>ABS(VLOOKUP(A81,TradesEquity!$1:$1048576,16,FALSE))</f>
        <v>0</v>
      </c>
      <c r="AQ81" s="286">
        <v>0</v>
      </c>
      <c r="AR81" s="286">
        <v>0</v>
      </c>
      <c r="AS81" s="286">
        <v>0</v>
      </c>
      <c r="AT81" s="286">
        <v>0</v>
      </c>
      <c r="AU81" s="286">
        <v>0</v>
      </c>
      <c r="AV81" s="348">
        <f>ABS(VLOOKUP(A81,TradesEquity!$1:$1048576,18,FALSE))</f>
        <v>7976732.9925000006</v>
      </c>
      <c r="AW81" s="349">
        <v>0</v>
      </c>
      <c r="AX81" s="350">
        <v>4542</v>
      </c>
      <c r="AY81" s="351" t="s">
        <v>1959</v>
      </c>
      <c r="AZ81" s="352" t="str">
        <f>(VLOOKUP(A81,TradesEquity!$1:$1048576,29,FALSE))</f>
        <v>GSILGB2XXXX</v>
      </c>
      <c r="BA81" s="352" t="str">
        <f>(VLOOKUP(A81,TradesEquity!$1:$1048576,30,FALSE))</f>
        <v>JJSDJPJTXXX</v>
      </c>
      <c r="BB81" s="352">
        <f>(VLOOKUP(A81,TradesEquity!$1:$1048576,31,FALSE))</f>
        <v>6530490016</v>
      </c>
      <c r="BC81" s="352" t="str">
        <f>(VLOOKUP(A81,TradesEquity!$1:$1048576,32,FALSE))</f>
        <v>N</v>
      </c>
      <c r="BI81" s="375" t="str">
        <f>(VLOOKUP(A81,TradesEquity!$1:$1048576,38,FALSE))</f>
        <v xml:space="preserve">                  </v>
      </c>
      <c r="BJ81" s="375" t="str">
        <f>(VLOOKUP(A81,TradesEquity!$1:$1048576,39,FALSE))</f>
        <v xml:space="preserve">                          </v>
      </c>
      <c r="BK81" s="352" t="str">
        <f>(VLOOKUP(A81,TradesEquity!$1:$1048576,40,FALSE))</f>
        <v>GOLDJPJXXXX</v>
      </c>
    </row>
    <row r="82" spans="1:63">
      <c r="A82" s="427">
        <v>2019200322</v>
      </c>
      <c r="D82" s="342" t="s">
        <v>1957</v>
      </c>
      <c r="F82" s="343">
        <f>VLOOKUP(A82,TradesEquity!$1:$1048576,2,FALSE)</f>
        <v>44099</v>
      </c>
      <c r="H82" s="343">
        <f>VLOOKUP(A82,TradesEquity!$1:$1048576,21,FALSE)</f>
        <v>44103</v>
      </c>
      <c r="I82" s="344" t="str">
        <f>IF(VLOOKUP(A82,TradesEquity!$1:$1048576,3,FALSE)="BUY","B","S")</f>
        <v>B</v>
      </c>
      <c r="J82" s="344" t="str">
        <f>VLOOKUP(A82,TradesEquity!$1:$1048576,5,FALSE)</f>
        <v>JP3725400000</v>
      </c>
      <c r="K82" s="342" t="s">
        <v>19</v>
      </c>
      <c r="L82" s="345" t="s">
        <v>1958</v>
      </c>
      <c r="AE82" s="346" t="str">
        <f>VLOOKUP(A82,TradesEquity!$1:$1048576,10,FALSE)</f>
        <v>JPY</v>
      </c>
      <c r="AF82" s="346" t="str">
        <f t="shared" si="2"/>
        <v>JPY</v>
      </c>
      <c r="AG82" s="346" t="str">
        <f t="shared" si="2"/>
        <v>JPY</v>
      </c>
      <c r="AH82" s="346" t="str">
        <f t="shared" si="2"/>
        <v>JPY</v>
      </c>
      <c r="AI82" s="346">
        <f>ABS(VLOOKUP(A82,TradesEquity!$1:$1048576,13,FALSE))</f>
        <v>6900</v>
      </c>
      <c r="AJ82" s="347">
        <v>0</v>
      </c>
      <c r="AK82" s="347">
        <v>1</v>
      </c>
      <c r="AL82" s="346">
        <f>VLOOKUP(A82,TradesEquity!$1:$1048576,11,FALSE)</f>
        <v>1162.5029</v>
      </c>
      <c r="AM82" s="347">
        <v>1</v>
      </c>
      <c r="AN82" s="346">
        <f>ABS(VLOOKUP(A82,TradesEquity!$1:$1048576,14,FALSE))</f>
        <v>8021270.0099999998</v>
      </c>
      <c r="AO82" s="346">
        <f>ABS(VLOOKUP(A82,TradesEquity!$1:$1048576,15,FALSE))</f>
        <v>4813</v>
      </c>
      <c r="AP82" s="348">
        <f>ABS(VLOOKUP(A82,TradesEquity!$1:$1048576,16,FALSE))</f>
        <v>0</v>
      </c>
      <c r="AQ82" s="286">
        <v>0</v>
      </c>
      <c r="AR82" s="286">
        <v>0</v>
      </c>
      <c r="AS82" s="286">
        <v>0</v>
      </c>
      <c r="AT82" s="286">
        <v>0</v>
      </c>
      <c r="AU82" s="286">
        <v>0</v>
      </c>
      <c r="AV82" s="348">
        <f>ABS(VLOOKUP(A82,TradesEquity!$1:$1048576,18,FALSE))</f>
        <v>8026083.0099999998</v>
      </c>
      <c r="AW82" s="349">
        <v>0</v>
      </c>
      <c r="AX82" s="350">
        <v>4542</v>
      </c>
      <c r="AY82" s="351" t="s">
        <v>1959</v>
      </c>
      <c r="AZ82" s="352" t="str">
        <f>(VLOOKUP(A82,TradesEquity!$1:$1048576,29,FALSE))</f>
        <v>GSILGB2XXXX</v>
      </c>
      <c r="BA82" s="352" t="str">
        <f>(VLOOKUP(A82,TradesEquity!$1:$1048576,30,FALSE))</f>
        <v>JJSDJPJTXXX</v>
      </c>
      <c r="BB82" s="352">
        <f>(VLOOKUP(A82,TradesEquity!$1:$1048576,31,FALSE))</f>
        <v>6530490016</v>
      </c>
      <c r="BC82" s="352" t="str">
        <f>(VLOOKUP(A82,TradesEquity!$1:$1048576,32,FALSE))</f>
        <v>N</v>
      </c>
      <c r="BI82" s="375" t="str">
        <f>(VLOOKUP(A82,TradesEquity!$1:$1048576,38,FALSE))</f>
        <v xml:space="preserve">                  </v>
      </c>
      <c r="BJ82" s="375" t="str">
        <f>(VLOOKUP(A82,TradesEquity!$1:$1048576,39,FALSE))</f>
        <v xml:space="preserve">                          </v>
      </c>
      <c r="BK82" s="352" t="str">
        <f>(VLOOKUP(A82,TradesEquity!$1:$1048576,40,FALSE))</f>
        <v>GOLDJPJXXXX</v>
      </c>
    </row>
    <row r="83" spans="1:63">
      <c r="A83" s="411">
        <v>2019200323</v>
      </c>
      <c r="D83" s="342" t="s">
        <v>1957</v>
      </c>
      <c r="F83" s="343">
        <f>VLOOKUP(A83,TradesEquity!$1:$1048576,2,FALSE)</f>
        <v>44102</v>
      </c>
      <c r="H83" s="343">
        <f>VLOOKUP(A83,TradesEquity!$1:$1048576,21,FALSE)</f>
        <v>44104</v>
      </c>
      <c r="I83" s="344" t="str">
        <f>IF(VLOOKUP(A83,TradesEquity!$1:$1048576,3,FALSE)="BUY","B","S")</f>
        <v>S</v>
      </c>
      <c r="J83" s="344" t="str">
        <f>VLOOKUP(A83,TradesEquity!$1:$1048576,5,FALSE)</f>
        <v>JP3854650003</v>
      </c>
      <c r="K83" s="342" t="s">
        <v>19</v>
      </c>
      <c r="L83" s="345" t="s">
        <v>1958</v>
      </c>
      <c r="AE83" s="346" t="str">
        <f>VLOOKUP(A83,TradesEquity!$1:$1048576,10,FALSE)</f>
        <v>JPY</v>
      </c>
      <c r="AF83" s="346" t="str">
        <f t="shared" si="2"/>
        <v>JPY</v>
      </c>
      <c r="AG83" s="346" t="str">
        <f t="shared" si="2"/>
        <v>JPY</v>
      </c>
      <c r="AH83" s="346" t="str">
        <f t="shared" si="2"/>
        <v>JPY</v>
      </c>
      <c r="AI83" s="346">
        <f>ABS(VLOOKUP(A83,TradesEquity!$1:$1048576,13,FALSE))</f>
        <v>10000</v>
      </c>
      <c r="AJ83" s="347">
        <v>0</v>
      </c>
      <c r="AK83" s="347">
        <v>1</v>
      </c>
      <c r="AL83" s="346">
        <f>VLOOKUP(A83,TradesEquity!$1:$1048576,11,FALSE)</f>
        <v>530.27</v>
      </c>
      <c r="AM83" s="347">
        <v>1</v>
      </c>
      <c r="AN83" s="346">
        <f>ABS(VLOOKUP(A83,TradesEquity!$1:$1048576,14,FALSE))</f>
        <v>5302700</v>
      </c>
      <c r="AO83" s="346">
        <f>ABS(VLOOKUP(A83,TradesEquity!$1:$1048576,15,FALSE))</f>
        <v>3182</v>
      </c>
      <c r="AP83" s="348">
        <f>ABS(VLOOKUP(A83,TradesEquity!$1:$1048576,16,FALSE))</f>
        <v>0</v>
      </c>
      <c r="AQ83" s="286">
        <v>0</v>
      </c>
      <c r="AR83" s="286">
        <v>0</v>
      </c>
      <c r="AS83" s="286">
        <v>0</v>
      </c>
      <c r="AT83" s="286">
        <v>0</v>
      </c>
      <c r="AU83" s="286">
        <v>0</v>
      </c>
      <c r="AV83" s="348">
        <f>ABS(VLOOKUP(A83,TradesEquity!$1:$1048576,18,FALSE))</f>
        <v>5299518</v>
      </c>
      <c r="AW83" s="349">
        <v>0</v>
      </c>
      <c r="AX83" s="350">
        <v>4542</v>
      </c>
      <c r="AY83" s="351" t="s">
        <v>1959</v>
      </c>
      <c r="AZ83" s="352" t="str">
        <f>(VLOOKUP(A83,TradesEquity!$1:$1048576,29,FALSE))</f>
        <v>GSILGB2XXXX</v>
      </c>
      <c r="BA83" s="352" t="str">
        <f>(VLOOKUP(A83,TradesEquity!$1:$1048576,30,FALSE))</f>
        <v>JJSDJPJTXXX</v>
      </c>
      <c r="BB83" s="352">
        <f>(VLOOKUP(A83,TradesEquity!$1:$1048576,31,FALSE))</f>
        <v>6530490016</v>
      </c>
      <c r="BC83" s="352" t="str">
        <f>(VLOOKUP(A83,TradesEquity!$1:$1048576,32,FALSE))</f>
        <v>N</v>
      </c>
      <c r="BI83" s="375" t="str">
        <f>(VLOOKUP(A83,TradesEquity!$1:$1048576,38,FALSE))</f>
        <v xml:space="preserve">                  </v>
      </c>
      <c r="BJ83" s="375" t="str">
        <f>(VLOOKUP(A83,TradesEquity!$1:$1048576,39,FALSE))</f>
        <v xml:space="preserve">                          </v>
      </c>
      <c r="BK83" s="352" t="str">
        <f>(VLOOKUP(A83,TradesEquity!$1:$1048576,40,FALSE))</f>
        <v>GOLDJPJXXXX</v>
      </c>
    </row>
    <row r="84" spans="1:63">
      <c r="A84" s="411">
        <v>2019200324</v>
      </c>
      <c r="D84" s="342" t="s">
        <v>1957</v>
      </c>
      <c r="F84" s="343">
        <f>VLOOKUP(A84,TradesEquity!$1:$1048576,2,FALSE)</f>
        <v>44102</v>
      </c>
      <c r="H84" s="343">
        <f>VLOOKUP(A84,TradesEquity!$1:$1048576,21,FALSE)</f>
        <v>44109</v>
      </c>
      <c r="I84" s="344" t="str">
        <f>IF(VLOOKUP(A84,TradesEquity!$1:$1048576,3,FALSE)="BUY","B","S")</f>
        <v>B</v>
      </c>
      <c r="J84" s="344" t="str">
        <f>VLOOKUP(A84,TradesEquity!$1:$1048576,5,FALSE)</f>
        <v>KR7036830008</v>
      </c>
      <c r="K84" s="342" t="s">
        <v>19</v>
      </c>
      <c r="L84" s="345" t="s">
        <v>1958</v>
      </c>
      <c r="AE84" s="346" t="str">
        <f>VLOOKUP(A84,TradesEquity!$1:$1048576,10,FALSE)</f>
        <v>KRW</v>
      </c>
      <c r="AF84" s="346" t="str">
        <f t="shared" si="2"/>
        <v>KRW</v>
      </c>
      <c r="AG84" s="346" t="str">
        <f t="shared" si="2"/>
        <v>KRW</v>
      </c>
      <c r="AH84" s="346" t="str">
        <f t="shared" si="2"/>
        <v>KRW</v>
      </c>
      <c r="AI84" s="346">
        <f>ABS(VLOOKUP(A84,TradesEquity!$1:$1048576,13,FALSE))</f>
        <v>1100</v>
      </c>
      <c r="AJ84" s="347">
        <v>0</v>
      </c>
      <c r="AK84" s="347">
        <v>1</v>
      </c>
      <c r="AL84" s="346">
        <f>VLOOKUP(A84,TradesEquity!$1:$1048576,11,FALSE)</f>
        <v>44997.772700000001</v>
      </c>
      <c r="AM84" s="347">
        <v>1</v>
      </c>
      <c r="AN84" s="346">
        <f>ABS(VLOOKUP(A84,TradesEquity!$1:$1048576,14,FALSE))</f>
        <v>49497549.969999999</v>
      </c>
      <c r="AO84" s="346">
        <f>ABS(VLOOKUP(A84,TradesEquity!$1:$1048576,15,FALSE))</f>
        <v>74246</v>
      </c>
      <c r="AP84" s="348">
        <f>ABS(VLOOKUP(A84,TradesEquity!$1:$1048576,16,FALSE))</f>
        <v>0</v>
      </c>
      <c r="AQ84" s="286">
        <v>0</v>
      </c>
      <c r="AR84" s="286">
        <v>0</v>
      </c>
      <c r="AS84" s="286">
        <v>0</v>
      </c>
      <c r="AT84" s="286">
        <v>0</v>
      </c>
      <c r="AU84" s="286">
        <v>0</v>
      </c>
      <c r="AV84" s="348">
        <f>ABS(VLOOKUP(A84,TradesEquity!$1:$1048576,18,FALSE))</f>
        <v>49571795.969999999</v>
      </c>
      <c r="AW84" s="349">
        <v>0</v>
      </c>
      <c r="AX84" s="350">
        <v>4542</v>
      </c>
      <c r="AY84" s="351" t="s">
        <v>1959</v>
      </c>
      <c r="AZ84" s="352" t="e">
        <f>(VLOOKUP(A84,TradesEquity!$1:$1048576,29,FALSE))</f>
        <v>#N/A</v>
      </c>
      <c r="BA84" s="352" t="e">
        <f>(VLOOKUP(A84,TradesEquity!$1:$1048576,30,FALSE))</f>
        <v>#N/A</v>
      </c>
      <c r="BB84" s="352" t="e">
        <f>(VLOOKUP(A84,TradesEquity!$1:$1048576,31,FALSE))</f>
        <v>#N/A</v>
      </c>
      <c r="BC84" s="352" t="e">
        <f>(VLOOKUP(A84,TradesEquity!$1:$1048576,32,FALSE))</f>
        <v>#N/A</v>
      </c>
      <c r="BI84" s="375" t="e">
        <f>(VLOOKUP(A84,TradesEquity!$1:$1048576,38,FALSE))</f>
        <v>#N/A</v>
      </c>
      <c r="BJ84" s="375" t="e">
        <f>(VLOOKUP(A84,TradesEquity!$1:$1048576,39,FALSE))</f>
        <v>#N/A</v>
      </c>
      <c r="BK84" s="352" t="e">
        <f>(VLOOKUP(A84,TradesEquity!$1:$1048576,40,FALSE))</f>
        <v>#N/A</v>
      </c>
    </row>
    <row r="85" spans="1:63">
      <c r="A85" s="411">
        <v>2019200325</v>
      </c>
      <c r="D85" s="342" t="s">
        <v>1957</v>
      </c>
      <c r="F85" s="343">
        <f>VLOOKUP(A85,TradesEquity!$1:$1048576,2,FALSE)</f>
        <v>44102</v>
      </c>
      <c r="H85" s="343">
        <f>VLOOKUP(A85,TradesEquity!$1:$1048576,21,FALSE)</f>
        <v>44104</v>
      </c>
      <c r="I85" s="344" t="str">
        <f>IF(VLOOKUP(A85,TradesEquity!$1:$1048576,3,FALSE)="BUY","B","S")</f>
        <v>S</v>
      </c>
      <c r="J85" s="344" t="str">
        <f>VLOOKUP(A85,TradesEquity!$1:$1048576,5,FALSE)</f>
        <v>JP3551500006</v>
      </c>
      <c r="K85" s="342" t="s">
        <v>19</v>
      </c>
      <c r="L85" s="345" t="s">
        <v>1958</v>
      </c>
      <c r="AE85" s="346" t="str">
        <f>VLOOKUP(A85,TradesEquity!$1:$1048576,10,FALSE)</f>
        <v>JPY</v>
      </c>
      <c r="AF85" s="346" t="str">
        <f t="shared" si="2"/>
        <v>JPY</v>
      </c>
      <c r="AG85" s="346" t="str">
        <f t="shared" si="2"/>
        <v>JPY</v>
      </c>
      <c r="AH85" s="346" t="str">
        <f t="shared" si="2"/>
        <v>JPY</v>
      </c>
      <c r="AI85" s="346">
        <f>ABS(VLOOKUP(A85,TradesEquity!$1:$1048576,13,FALSE))</f>
        <v>1100</v>
      </c>
      <c r="AJ85" s="347">
        <v>0</v>
      </c>
      <c r="AK85" s="347">
        <v>1</v>
      </c>
      <c r="AL85" s="346">
        <f>VLOOKUP(A85,TradesEquity!$1:$1048576,11,FALSE)</f>
        <v>4541.6363600000004</v>
      </c>
      <c r="AM85" s="347">
        <v>1</v>
      </c>
      <c r="AN85" s="346">
        <f>ABS(VLOOKUP(A85,TradesEquity!$1:$1048576,14,FALSE))</f>
        <v>4995799.9960000003</v>
      </c>
      <c r="AO85" s="346">
        <f>ABS(VLOOKUP(A85,TradesEquity!$1:$1048576,15,FALSE))</f>
        <v>2997</v>
      </c>
      <c r="AP85" s="348">
        <f>ABS(VLOOKUP(A85,TradesEquity!$1:$1048576,16,FALSE))</f>
        <v>0</v>
      </c>
      <c r="AQ85" s="286">
        <v>0</v>
      </c>
      <c r="AR85" s="286">
        <v>0</v>
      </c>
      <c r="AS85" s="286">
        <v>0</v>
      </c>
      <c r="AT85" s="286">
        <v>0</v>
      </c>
      <c r="AU85" s="286">
        <v>0</v>
      </c>
      <c r="AV85" s="348">
        <f>ABS(VLOOKUP(A85,TradesEquity!$1:$1048576,18,FALSE))</f>
        <v>4992802.9960000003</v>
      </c>
      <c r="AW85" s="349">
        <v>0</v>
      </c>
      <c r="AX85" s="350">
        <v>4542</v>
      </c>
      <c r="AY85" s="351" t="s">
        <v>1959</v>
      </c>
      <c r="AZ85" s="352" t="str">
        <f>(VLOOKUP(A85,TradesEquity!$1:$1048576,29,FALSE))</f>
        <v>GSILGB2XXXX</v>
      </c>
      <c r="BA85" s="352" t="str">
        <f>(VLOOKUP(A85,TradesEquity!$1:$1048576,30,FALSE))</f>
        <v>JJSDJPJTXXX</v>
      </c>
      <c r="BB85" s="352">
        <f>(VLOOKUP(A85,TradesEquity!$1:$1048576,31,FALSE))</f>
        <v>6530490016</v>
      </c>
      <c r="BC85" s="352" t="str">
        <f>(VLOOKUP(A85,TradesEquity!$1:$1048576,32,FALSE))</f>
        <v>N</v>
      </c>
      <c r="BI85" s="375" t="str">
        <f>(VLOOKUP(A85,TradesEquity!$1:$1048576,38,FALSE))</f>
        <v xml:space="preserve">                  </v>
      </c>
      <c r="BJ85" s="375" t="str">
        <f>(VLOOKUP(A85,TradesEquity!$1:$1048576,39,FALSE))</f>
        <v xml:space="preserve">                          </v>
      </c>
      <c r="BK85" s="352" t="str">
        <f>(VLOOKUP(A85,TradesEquity!$1:$1048576,40,FALSE))</f>
        <v>GOLDJPJXXXX</v>
      </c>
    </row>
    <row r="86" spans="1:63">
      <c r="A86" s="411">
        <v>2019200326</v>
      </c>
      <c r="D86" s="342" t="s">
        <v>1957</v>
      </c>
      <c r="F86" s="343">
        <f>VLOOKUP(A86,TradesEquity!$1:$1048576,2,FALSE)</f>
        <v>44102</v>
      </c>
      <c r="H86" s="343">
        <f>VLOOKUP(A86,TradesEquity!$1:$1048576,21,FALSE)</f>
        <v>44104</v>
      </c>
      <c r="I86" s="344" t="str">
        <f>IF(VLOOKUP(A86,TradesEquity!$1:$1048576,3,FALSE)="BUY","B","S")</f>
        <v>B</v>
      </c>
      <c r="J86" s="344" t="str">
        <f>VLOOKUP(A86,TradesEquity!$1:$1048576,5,FALSE)</f>
        <v>JP3592200004</v>
      </c>
      <c r="K86" s="342" t="s">
        <v>19</v>
      </c>
      <c r="L86" s="345" t="s">
        <v>1958</v>
      </c>
      <c r="AE86" s="346" t="str">
        <f>VLOOKUP(A86,TradesEquity!$1:$1048576,10,FALSE)</f>
        <v>JPY</v>
      </c>
      <c r="AF86" s="346" t="str">
        <f t="shared" si="2"/>
        <v>JPY</v>
      </c>
      <c r="AG86" s="346" t="str">
        <f t="shared" si="2"/>
        <v>JPY</v>
      </c>
      <c r="AH86" s="346" t="str">
        <f t="shared" si="2"/>
        <v>JPY</v>
      </c>
      <c r="AI86" s="346">
        <f>ABS(VLOOKUP(A86,TradesEquity!$1:$1048576,13,FALSE))</f>
        <v>2200</v>
      </c>
      <c r="AJ86" s="347">
        <v>0</v>
      </c>
      <c r="AK86" s="347">
        <v>1</v>
      </c>
      <c r="AL86" s="346">
        <f>VLOOKUP(A86,TradesEquity!$1:$1048576,11,FALSE)</f>
        <v>2699.75938</v>
      </c>
      <c r="AM86" s="347">
        <v>1</v>
      </c>
      <c r="AN86" s="346">
        <f>ABS(VLOOKUP(A86,TradesEquity!$1:$1048576,14,FALSE))</f>
        <v>5939470.6359999999</v>
      </c>
      <c r="AO86" s="346">
        <f>ABS(VLOOKUP(A86,TradesEquity!$1:$1048576,15,FALSE))</f>
        <v>3564</v>
      </c>
      <c r="AP86" s="348">
        <f>ABS(VLOOKUP(A86,TradesEquity!$1:$1048576,16,FALSE))</f>
        <v>0</v>
      </c>
      <c r="AQ86" s="286">
        <v>0</v>
      </c>
      <c r="AR86" s="286">
        <v>0</v>
      </c>
      <c r="AS86" s="286">
        <v>0</v>
      </c>
      <c r="AT86" s="286">
        <v>0</v>
      </c>
      <c r="AU86" s="286">
        <v>0</v>
      </c>
      <c r="AV86" s="348">
        <f>ABS(VLOOKUP(A86,TradesEquity!$1:$1048576,18,FALSE))</f>
        <v>5943034.6359999999</v>
      </c>
      <c r="AW86" s="349">
        <v>0</v>
      </c>
      <c r="AX86" s="350">
        <v>4542</v>
      </c>
      <c r="AY86" s="351" t="s">
        <v>1959</v>
      </c>
      <c r="AZ86" s="352" t="str">
        <f>(VLOOKUP(A86,TradesEquity!$1:$1048576,29,FALSE))</f>
        <v>GSILGB2XXXX</v>
      </c>
      <c r="BA86" s="352" t="str">
        <f>(VLOOKUP(A86,TradesEquity!$1:$1048576,30,FALSE))</f>
        <v>JJSDJPJTXXX</v>
      </c>
      <c r="BB86" s="352">
        <f>(VLOOKUP(A86,TradesEquity!$1:$1048576,31,FALSE))</f>
        <v>6530490016</v>
      </c>
      <c r="BC86" s="352" t="str">
        <f>(VLOOKUP(A86,TradesEquity!$1:$1048576,32,FALSE))</f>
        <v>N</v>
      </c>
      <c r="BI86" s="375" t="str">
        <f>(VLOOKUP(A86,TradesEquity!$1:$1048576,38,FALSE))</f>
        <v xml:space="preserve">                  </v>
      </c>
      <c r="BJ86" s="375" t="str">
        <f>(VLOOKUP(A86,TradesEquity!$1:$1048576,39,FALSE))</f>
        <v xml:space="preserve">                          </v>
      </c>
      <c r="BK86" s="352" t="str">
        <f>(VLOOKUP(A86,TradesEquity!$1:$1048576,40,FALSE))</f>
        <v>GOLDJPJXXXX</v>
      </c>
    </row>
    <row r="87" spans="1:63">
      <c r="A87" s="411">
        <v>2019200327</v>
      </c>
      <c r="D87" s="342" t="s">
        <v>1957</v>
      </c>
      <c r="F87" s="343">
        <f>VLOOKUP(A87,TradesEquity!$1:$1048576,2,FALSE)</f>
        <v>44104</v>
      </c>
      <c r="H87" s="343">
        <f>VLOOKUP(A87,TradesEquity!$1:$1048576,21,FALSE)</f>
        <v>44106</v>
      </c>
      <c r="I87" s="344" t="str">
        <f>IF(VLOOKUP(A87,TradesEquity!$1:$1048576,3,FALSE)="BUY","B","S")</f>
        <v>S</v>
      </c>
      <c r="J87" s="344" t="str">
        <f>VLOOKUP(A87,TradesEquity!$1:$1048576,5,FALSE)</f>
        <v>DE0007100000</v>
      </c>
      <c r="K87" s="342" t="s">
        <v>19</v>
      </c>
      <c r="L87" s="345" t="s">
        <v>1958</v>
      </c>
      <c r="AE87" s="346" t="str">
        <f>VLOOKUP(A87,TradesEquity!$1:$1048576,10,FALSE)</f>
        <v>EUR</v>
      </c>
      <c r="AF87" s="346" t="str">
        <f t="shared" si="2"/>
        <v>EUR</v>
      </c>
      <c r="AG87" s="346" t="str">
        <f t="shared" si="2"/>
        <v>EUR</v>
      </c>
      <c r="AH87" s="346" t="str">
        <f t="shared" si="2"/>
        <v>EUR</v>
      </c>
      <c r="AI87" s="346">
        <f>ABS(VLOOKUP(A87,TradesEquity!$1:$1048576,13,FALSE))</f>
        <v>600</v>
      </c>
      <c r="AJ87" s="347">
        <v>0</v>
      </c>
      <c r="AK87" s="347">
        <v>1</v>
      </c>
      <c r="AL87" s="346">
        <f>VLOOKUP(A87,TradesEquity!$1:$1048576,11,FALSE)</f>
        <v>46.034999999999997</v>
      </c>
      <c r="AM87" s="347">
        <v>1</v>
      </c>
      <c r="AN87" s="346">
        <f>ABS(VLOOKUP(A87,TradesEquity!$1:$1048576,14,FALSE))</f>
        <v>27620.999999999996</v>
      </c>
      <c r="AO87" s="346">
        <f>ABS(VLOOKUP(A87,TradesEquity!$1:$1048576,15,FALSE))</f>
        <v>13.81</v>
      </c>
      <c r="AP87" s="348">
        <f>ABS(VLOOKUP(A87,TradesEquity!$1:$1048576,16,FALSE))</f>
        <v>0</v>
      </c>
      <c r="AQ87" s="286">
        <v>0</v>
      </c>
      <c r="AR87" s="286">
        <v>0</v>
      </c>
      <c r="AS87" s="286">
        <v>0</v>
      </c>
      <c r="AT87" s="286">
        <v>0</v>
      </c>
      <c r="AU87" s="286">
        <v>0</v>
      </c>
      <c r="AV87" s="348">
        <f>ABS(VLOOKUP(A87,TradesEquity!$1:$1048576,18,FALSE))</f>
        <v>27607.189999999995</v>
      </c>
      <c r="AW87" s="349">
        <v>0</v>
      </c>
      <c r="AX87" s="350">
        <v>4542</v>
      </c>
      <c r="AY87" s="351" t="s">
        <v>1959</v>
      </c>
      <c r="AZ87" s="352" t="str">
        <f>(VLOOKUP(A87,TradesEquity!$1:$1048576,29,FALSE))</f>
        <v>PAREFRPPXXX</v>
      </c>
      <c r="BA87" s="352" t="str">
        <f>(VLOOKUP(A87,TradesEquity!$1:$1048576,30,FALSE))</f>
        <v>DAKVDEFFXXX</v>
      </c>
      <c r="BB87" s="352" t="str">
        <f>(VLOOKUP(A87,TradesEquity!$1:$1048576,31,FALSE))</f>
        <v>DAKV 8448</v>
      </c>
      <c r="BC87" s="352" t="str">
        <f>(VLOOKUP(A87,TradesEquity!$1:$1048576,32,FALSE))</f>
        <v>N</v>
      </c>
      <c r="BI87" s="375" t="str">
        <f>(VLOOKUP(A87,TradesEquity!$1:$1048576,38,FALSE))</f>
        <v xml:space="preserve">        </v>
      </c>
      <c r="BJ87" s="375" t="str">
        <f>(VLOOKUP(A87,TradesEquity!$1:$1048576,39,FALSE))</f>
        <v xml:space="preserve">        </v>
      </c>
      <c r="BK87" s="352" t="str">
        <f>(VLOOKUP(A87,TradesEquity!$1:$1048576,40,FALSE))</f>
        <v>SGABCHZZ448</v>
      </c>
    </row>
    <row r="88" spans="1:63">
      <c r="A88" s="411">
        <v>2019200328</v>
      </c>
      <c r="D88" s="342" t="s">
        <v>1957</v>
      </c>
      <c r="F88" s="343">
        <f>VLOOKUP(A88,TradesEquity!$1:$1048576,2,FALSE)</f>
        <v>44106</v>
      </c>
      <c r="H88" s="343">
        <f>VLOOKUP(A88,TradesEquity!$1:$1048576,21,FALSE)</f>
        <v>44110</v>
      </c>
      <c r="I88" s="344" t="str">
        <f>IF(VLOOKUP(A88,TradesEquity!$1:$1048576,3,FALSE)="BUY","B","S")</f>
        <v>B</v>
      </c>
      <c r="J88" s="344" t="str">
        <f>VLOOKUP(A88,TradesEquity!$1:$1048576,5,FALSE)</f>
        <v>JP3866800000</v>
      </c>
      <c r="K88" s="342" t="s">
        <v>19</v>
      </c>
      <c r="L88" s="345" t="s">
        <v>1958</v>
      </c>
      <c r="AE88" s="346" t="str">
        <f>VLOOKUP(A88,TradesEquity!$1:$1048576,10,FALSE)</f>
        <v>JPY</v>
      </c>
      <c r="AF88" s="346" t="str">
        <f t="shared" si="2"/>
        <v>JPY</v>
      </c>
      <c r="AG88" s="346" t="str">
        <f t="shared" si="2"/>
        <v>JPY</v>
      </c>
      <c r="AH88" s="346" t="str">
        <f t="shared" si="2"/>
        <v>JPY</v>
      </c>
      <c r="AI88" s="346">
        <f>ABS(VLOOKUP(A88,TradesEquity!$1:$1048576,13,FALSE))</f>
        <v>8000</v>
      </c>
      <c r="AJ88" s="347">
        <v>0</v>
      </c>
      <c r="AK88" s="347">
        <v>1</v>
      </c>
      <c r="AL88" s="346">
        <f>VLOOKUP(A88,TradesEquity!$1:$1048576,11,FALSE)</f>
        <v>887.85749999999996</v>
      </c>
      <c r="AM88" s="347">
        <v>1</v>
      </c>
      <c r="AN88" s="346">
        <f>ABS(VLOOKUP(A88,TradesEquity!$1:$1048576,14,FALSE))</f>
        <v>7102860</v>
      </c>
      <c r="AO88" s="346">
        <f>ABS(VLOOKUP(A88,TradesEquity!$1:$1048576,15,FALSE))</f>
        <v>3551</v>
      </c>
      <c r="AP88" s="348">
        <f>ABS(VLOOKUP(A88,TradesEquity!$1:$1048576,16,FALSE))</f>
        <v>0</v>
      </c>
      <c r="AQ88" s="286">
        <v>0</v>
      </c>
      <c r="AR88" s="286">
        <v>0</v>
      </c>
      <c r="AS88" s="286">
        <v>0</v>
      </c>
      <c r="AT88" s="286">
        <v>0</v>
      </c>
      <c r="AU88" s="286">
        <v>0</v>
      </c>
      <c r="AV88" s="348">
        <f>ABS(VLOOKUP(A88,TradesEquity!$1:$1048576,18,FALSE))</f>
        <v>7106411</v>
      </c>
      <c r="AW88" s="349">
        <v>0</v>
      </c>
      <c r="AX88" s="350">
        <v>4542</v>
      </c>
      <c r="AY88" s="351" t="s">
        <v>1959</v>
      </c>
      <c r="AZ88" s="352" t="e">
        <f>(VLOOKUP(A88,TradesEquity!$1:$1048576,29,FALSE))</f>
        <v>#N/A</v>
      </c>
      <c r="BA88" s="352" t="e">
        <f>(VLOOKUP(A88,TradesEquity!$1:$1048576,30,FALSE))</f>
        <v>#N/A</v>
      </c>
      <c r="BB88" s="352" t="e">
        <f>(VLOOKUP(A88,TradesEquity!$1:$1048576,31,FALSE))</f>
        <v>#N/A</v>
      </c>
      <c r="BC88" s="352" t="e">
        <f>(VLOOKUP(A88,TradesEquity!$1:$1048576,32,FALSE))</f>
        <v>#N/A</v>
      </c>
      <c r="BI88" s="375" t="e">
        <f>(VLOOKUP(A88,TradesEquity!$1:$1048576,38,FALSE))</f>
        <v>#N/A</v>
      </c>
      <c r="BJ88" s="375" t="e">
        <f>(VLOOKUP(A88,TradesEquity!$1:$1048576,39,FALSE))</f>
        <v>#N/A</v>
      </c>
      <c r="BK88" s="352" t="e">
        <f>(VLOOKUP(A88,TradesEquity!$1:$1048576,40,FALSE))</f>
        <v>#N/A</v>
      </c>
    </row>
    <row r="89" spans="1:63">
      <c r="A89" s="411">
        <v>2019200329</v>
      </c>
      <c r="D89" s="342" t="s">
        <v>1957</v>
      </c>
      <c r="F89" s="343">
        <f>VLOOKUP(A89,TradesEquity!$1:$1048576,2,FALSE)</f>
        <v>44105</v>
      </c>
      <c r="H89" s="343">
        <f>VLOOKUP(A89,TradesEquity!$1:$1048576,21,FALSE)</f>
        <v>44109</v>
      </c>
      <c r="I89" s="344" t="str">
        <f>IF(VLOOKUP(A89,TradesEquity!$1:$1048576,3,FALSE)="BUY","B","S")</f>
        <v>B</v>
      </c>
      <c r="J89" s="344" t="str">
        <f>VLOOKUP(A89,TradesEquity!$1:$1048576,5,FALSE)</f>
        <v>CH0110303119</v>
      </c>
      <c r="K89" s="342" t="s">
        <v>19</v>
      </c>
      <c r="L89" s="345" t="s">
        <v>1958</v>
      </c>
      <c r="AE89" s="346" t="str">
        <f>VLOOKUP(A89,TradesEquity!$1:$1048576,10,FALSE)</f>
        <v>CHF</v>
      </c>
      <c r="AF89" s="346" t="str">
        <f t="shared" si="2"/>
        <v>CHF</v>
      </c>
      <c r="AG89" s="346" t="str">
        <f t="shared" si="2"/>
        <v>CHF</v>
      </c>
      <c r="AH89" s="346" t="str">
        <f t="shared" si="2"/>
        <v>CHF</v>
      </c>
      <c r="AI89" s="346">
        <f>ABS(VLOOKUP(A89,TradesEquity!$1:$1048576,13,FALSE))</f>
        <v>2195</v>
      </c>
      <c r="AJ89" s="347">
        <v>0</v>
      </c>
      <c r="AK89" s="347">
        <v>1</v>
      </c>
      <c r="AL89" s="346">
        <f>VLOOKUP(A89,TradesEquity!$1:$1048576,11,FALSE)</f>
        <v>0.56599999999999995</v>
      </c>
      <c r="AM89" s="347">
        <v>1</v>
      </c>
      <c r="AN89" s="346">
        <f>ABS(VLOOKUP(A89,TradesEquity!$1:$1048576,14,FALSE))</f>
        <v>1242.3699999999999</v>
      </c>
      <c r="AO89" s="346">
        <f>ABS(VLOOKUP(A89,TradesEquity!$1:$1048576,15,FALSE))</f>
        <v>0.75</v>
      </c>
      <c r="AP89" s="348">
        <f>ABS(VLOOKUP(A89,TradesEquity!$1:$1048576,16,FALSE))</f>
        <v>0</v>
      </c>
      <c r="AQ89" s="286">
        <v>0</v>
      </c>
      <c r="AR89" s="286">
        <v>0</v>
      </c>
      <c r="AS89" s="286">
        <v>0</v>
      </c>
      <c r="AT89" s="286">
        <v>0</v>
      </c>
      <c r="AU89" s="286">
        <v>0</v>
      </c>
      <c r="AV89" s="348">
        <f>ABS(VLOOKUP(A89,TradesEquity!$1:$1048576,18,FALSE))</f>
        <v>1243.1199999999999</v>
      </c>
      <c r="AW89" s="349">
        <v>0</v>
      </c>
      <c r="AX89" s="350">
        <v>4542</v>
      </c>
      <c r="AY89" s="351" t="s">
        <v>1959</v>
      </c>
      <c r="AZ89" s="352" t="str">
        <f>(VLOOKUP(A89,TradesEquity!$1:$1048576,29,FALSE))</f>
        <v>BCITITMMXXX</v>
      </c>
      <c r="BA89" s="352" t="str">
        <f>(VLOOKUP(A89,TradesEquity!$1:$1048576,30,FALSE))</f>
        <v>INSECHZZXXX</v>
      </c>
      <c r="BB89" s="352" t="str">
        <f>(VLOOKUP(A89,TradesEquity!$1:$1048576,31,FALSE))</f>
        <v>0835 0951260 75 010</v>
      </c>
      <c r="BC89" s="352" t="str">
        <f>(VLOOKUP(A89,TradesEquity!$1:$1048576,32,FALSE))</f>
        <v>N</v>
      </c>
      <c r="BI89" s="375" t="str">
        <f>(VLOOKUP(A89,TradesEquity!$1:$1048576,38,FALSE))</f>
        <v xml:space="preserve">        </v>
      </c>
      <c r="BJ89" s="375" t="str">
        <f>(VLOOKUP(A89,TradesEquity!$1:$1048576,39,FALSE))</f>
        <v xml:space="preserve">        </v>
      </c>
      <c r="BK89" s="352" t="str">
        <f>(VLOOKUP(A89,TradesEquity!$1:$1048576,40,FALSE))</f>
        <v>CRESCHZZ80A</v>
      </c>
    </row>
    <row r="90" spans="1:63">
      <c r="A90" s="411">
        <v>2019200330</v>
      </c>
      <c r="D90" s="342" t="s">
        <v>1957</v>
      </c>
      <c r="F90" s="343">
        <f>VLOOKUP(A90,TradesEquity!$1:$1048576,2,FALSE)</f>
        <v>44106</v>
      </c>
      <c r="H90" s="343">
        <f>VLOOKUP(A90,TradesEquity!$1:$1048576,21,FALSE)</f>
        <v>44110</v>
      </c>
      <c r="I90" s="344" t="str">
        <f>IF(VLOOKUP(A90,TradesEquity!$1:$1048576,3,FALSE)="BUY","B","S")</f>
        <v>S</v>
      </c>
      <c r="J90" s="344" t="str">
        <f>VLOOKUP(A90,TradesEquity!$1:$1048576,5,FALSE)</f>
        <v>JP3385820000</v>
      </c>
      <c r="K90" s="342" t="s">
        <v>19</v>
      </c>
      <c r="L90" s="345" t="s">
        <v>1958</v>
      </c>
      <c r="AE90" s="346" t="str">
        <f>VLOOKUP(A90,TradesEquity!$1:$1048576,10,FALSE)</f>
        <v>JPY</v>
      </c>
      <c r="AF90" s="346" t="str">
        <f t="shared" si="2"/>
        <v>JPY</v>
      </c>
      <c r="AG90" s="346" t="str">
        <f t="shared" si="2"/>
        <v>JPY</v>
      </c>
      <c r="AH90" s="346" t="str">
        <f t="shared" si="2"/>
        <v>JPY</v>
      </c>
      <c r="AI90" s="346">
        <f>ABS(VLOOKUP(A90,TradesEquity!$1:$1048576,13,FALSE))</f>
        <v>12800</v>
      </c>
      <c r="AJ90" s="347">
        <v>0</v>
      </c>
      <c r="AK90" s="347">
        <v>1</v>
      </c>
      <c r="AL90" s="346">
        <f>VLOOKUP(A90,TradesEquity!$1:$1048576,11,FALSE)</f>
        <v>1787.2701099999999</v>
      </c>
      <c r="AM90" s="347">
        <v>1</v>
      </c>
      <c r="AN90" s="346">
        <f>ABS(VLOOKUP(A90,TradesEquity!$1:$1048576,14,FALSE))</f>
        <v>22877057.408</v>
      </c>
      <c r="AO90" s="346">
        <f>ABS(VLOOKUP(A90,TradesEquity!$1:$1048576,15,FALSE))</f>
        <v>13726</v>
      </c>
      <c r="AP90" s="348">
        <f>ABS(VLOOKUP(A90,TradesEquity!$1:$1048576,16,FALSE))</f>
        <v>0</v>
      </c>
      <c r="AQ90" s="286">
        <v>0</v>
      </c>
      <c r="AR90" s="286">
        <v>0</v>
      </c>
      <c r="AS90" s="286">
        <v>0</v>
      </c>
      <c r="AT90" s="286">
        <v>0</v>
      </c>
      <c r="AU90" s="286">
        <v>0</v>
      </c>
      <c r="AV90" s="348">
        <f>ABS(VLOOKUP(A90,TradesEquity!$1:$1048576,18,FALSE))</f>
        <v>22863331.408</v>
      </c>
      <c r="AW90" s="349">
        <v>0</v>
      </c>
      <c r="AX90" s="350">
        <v>4542</v>
      </c>
      <c r="AY90" s="351" t="s">
        <v>1959</v>
      </c>
      <c r="AZ90" s="352" t="str">
        <f>(VLOOKUP(A90,TradesEquity!$1:$1048576,29,FALSE))</f>
        <v>GSILGB2XXXX</v>
      </c>
      <c r="BA90" s="352" t="str">
        <f>(VLOOKUP(A90,TradesEquity!$1:$1048576,30,FALSE))</f>
        <v>JJSDJPJTXXX</v>
      </c>
      <c r="BB90" s="352">
        <f>(VLOOKUP(A90,TradesEquity!$1:$1048576,31,FALSE))</f>
        <v>6530490016</v>
      </c>
      <c r="BC90" s="352" t="str">
        <f>(VLOOKUP(A90,TradesEquity!$1:$1048576,32,FALSE))</f>
        <v>N</v>
      </c>
      <c r="BI90" s="375" t="str">
        <f>(VLOOKUP(A90,TradesEquity!$1:$1048576,38,FALSE))</f>
        <v xml:space="preserve">                  </v>
      </c>
      <c r="BJ90" s="375" t="str">
        <f>(VLOOKUP(A90,TradesEquity!$1:$1048576,39,FALSE))</f>
        <v xml:space="preserve">                          </v>
      </c>
      <c r="BK90" s="352" t="str">
        <f>(VLOOKUP(A90,TradesEquity!$1:$1048576,40,FALSE))</f>
        <v>GOLDJPJXXXX</v>
      </c>
    </row>
    <row r="91" spans="1:63">
      <c r="A91" s="411">
        <v>2019200331</v>
      </c>
      <c r="D91" s="342" t="s">
        <v>1957</v>
      </c>
      <c r="F91" s="343">
        <f>VLOOKUP(A91,TradesEquity!$1:$1048576,2,FALSE)</f>
        <v>44106</v>
      </c>
      <c r="H91" s="343">
        <f>VLOOKUP(A91,TradesEquity!$1:$1048576,21,FALSE)</f>
        <v>44110</v>
      </c>
      <c r="I91" s="344" t="str">
        <f>IF(VLOOKUP(A91,TradesEquity!$1:$1048576,3,FALSE)="BUY","B","S")</f>
        <v>B</v>
      </c>
      <c r="J91" s="344" t="str">
        <f>VLOOKUP(A91,TradesEquity!$1:$1048576,5,FALSE)</f>
        <v>JP3592200004</v>
      </c>
      <c r="K91" s="342" t="s">
        <v>19</v>
      </c>
      <c r="L91" s="345" t="s">
        <v>1958</v>
      </c>
      <c r="AE91" s="346" t="str">
        <f>VLOOKUP(A91,TradesEquity!$1:$1048576,10,FALSE)</f>
        <v>JPY</v>
      </c>
      <c r="AF91" s="346" t="str">
        <f t="shared" si="2"/>
        <v>JPY</v>
      </c>
      <c r="AG91" s="346" t="str">
        <f t="shared" si="2"/>
        <v>JPY</v>
      </c>
      <c r="AH91" s="346" t="str">
        <f t="shared" si="2"/>
        <v>JPY</v>
      </c>
      <c r="AI91" s="346">
        <f>ABS(VLOOKUP(A91,TradesEquity!$1:$1048576,13,FALSE))</f>
        <v>6400</v>
      </c>
      <c r="AJ91" s="347">
        <v>0</v>
      </c>
      <c r="AK91" s="347">
        <v>1</v>
      </c>
      <c r="AL91" s="346">
        <f>VLOOKUP(A91,TradesEquity!$1:$1048576,11,FALSE)</f>
        <v>2647.5683899999999</v>
      </c>
      <c r="AM91" s="347">
        <v>1</v>
      </c>
      <c r="AN91" s="346">
        <f>ABS(VLOOKUP(A91,TradesEquity!$1:$1048576,14,FALSE))</f>
        <v>16944437.695999999</v>
      </c>
      <c r="AO91" s="346">
        <f>ABS(VLOOKUP(A91,TradesEquity!$1:$1048576,15,FALSE))</f>
        <v>10167</v>
      </c>
      <c r="AP91" s="348">
        <f>ABS(VLOOKUP(A91,TradesEquity!$1:$1048576,16,FALSE))</f>
        <v>0</v>
      </c>
      <c r="AQ91" s="286">
        <v>0</v>
      </c>
      <c r="AR91" s="286">
        <v>0</v>
      </c>
      <c r="AS91" s="286">
        <v>0</v>
      </c>
      <c r="AT91" s="286">
        <v>0</v>
      </c>
      <c r="AU91" s="286">
        <v>0</v>
      </c>
      <c r="AV91" s="348">
        <f>ABS(VLOOKUP(A91,TradesEquity!$1:$1048576,18,FALSE))</f>
        <v>16954604.695999999</v>
      </c>
      <c r="AW91" s="349">
        <v>0</v>
      </c>
      <c r="AX91" s="350">
        <v>4542</v>
      </c>
      <c r="AY91" s="351" t="s">
        <v>1959</v>
      </c>
      <c r="AZ91" s="352" t="str">
        <f>(VLOOKUP(A91,TradesEquity!$1:$1048576,29,FALSE))</f>
        <v>GSILGB2XXXX</v>
      </c>
      <c r="BA91" s="352" t="str">
        <f>(VLOOKUP(A91,TradesEquity!$1:$1048576,30,FALSE))</f>
        <v>JJSDJPJTXXX</v>
      </c>
      <c r="BB91" s="352">
        <f>(VLOOKUP(A91,TradesEquity!$1:$1048576,31,FALSE))</f>
        <v>6530490016</v>
      </c>
      <c r="BC91" s="352" t="str">
        <f>(VLOOKUP(A91,TradesEquity!$1:$1048576,32,FALSE))</f>
        <v>N</v>
      </c>
      <c r="BI91" s="375" t="str">
        <f>(VLOOKUP(A91,TradesEquity!$1:$1048576,38,FALSE))</f>
        <v xml:space="preserve">                  </v>
      </c>
      <c r="BJ91" s="375" t="str">
        <f>(VLOOKUP(A91,TradesEquity!$1:$1048576,39,FALSE))</f>
        <v xml:space="preserve">                          </v>
      </c>
      <c r="BK91" s="352" t="str">
        <f>(VLOOKUP(A91,TradesEquity!$1:$1048576,40,FALSE))</f>
        <v>GOLDJPJXXXX</v>
      </c>
    </row>
    <row r="92" spans="1:63">
      <c r="A92" s="412">
        <v>2019200332</v>
      </c>
      <c r="D92" s="342" t="s">
        <v>1957</v>
      </c>
      <c r="F92" s="343">
        <f>VLOOKUP(A92,TradesEquity!$1:$1048576,2,FALSE)</f>
        <v>44106</v>
      </c>
      <c r="H92" s="343">
        <f>VLOOKUP(A92,TradesEquity!$1:$1048576,21,FALSE)</f>
        <v>44110</v>
      </c>
      <c r="I92" s="344" t="str">
        <f>IF(VLOOKUP(A92,TradesEquity!$1:$1048576,3,FALSE)="BUY","B","S")</f>
        <v>B</v>
      </c>
      <c r="J92" s="344" t="str">
        <f>VLOOKUP(A92,TradesEquity!$1:$1048576,5,FALSE)</f>
        <v>CH0110303119</v>
      </c>
      <c r="K92" s="342" t="s">
        <v>19</v>
      </c>
      <c r="L92" s="345" t="s">
        <v>1958</v>
      </c>
      <c r="AE92" s="346" t="str">
        <f>VLOOKUP(A92,TradesEquity!$1:$1048576,10,FALSE)</f>
        <v>CHF</v>
      </c>
      <c r="AF92" s="346" t="str">
        <f t="shared" si="2"/>
        <v>CHF</v>
      </c>
      <c r="AG92" s="346" t="str">
        <f t="shared" si="2"/>
        <v>CHF</v>
      </c>
      <c r="AH92" s="346" t="str">
        <f t="shared" si="2"/>
        <v>CHF</v>
      </c>
      <c r="AI92" s="346">
        <f>ABS(VLOOKUP(A92,TradesEquity!$1:$1048576,13,FALSE))</f>
        <v>35000</v>
      </c>
      <c r="AJ92" s="347">
        <v>0</v>
      </c>
      <c r="AK92" s="347">
        <v>1</v>
      </c>
      <c r="AL92" s="346">
        <f>VLOOKUP(A92,TradesEquity!$1:$1048576,11,FALSE)</f>
        <v>0.55589999999999995</v>
      </c>
      <c r="AM92" s="347">
        <v>1</v>
      </c>
      <c r="AN92" s="346">
        <f>ABS(VLOOKUP(A92,TradesEquity!$1:$1048576,14,FALSE))</f>
        <v>19456.5</v>
      </c>
      <c r="AO92" s="346">
        <f>ABS(VLOOKUP(A92,TradesEquity!$1:$1048576,15,FALSE))</f>
        <v>11.67</v>
      </c>
      <c r="AP92" s="348">
        <f>ABS(VLOOKUP(A92,TradesEquity!$1:$1048576,16,FALSE))</f>
        <v>0</v>
      </c>
      <c r="AQ92" s="286">
        <v>0</v>
      </c>
      <c r="AR92" s="286">
        <v>0</v>
      </c>
      <c r="AS92" s="286">
        <v>0</v>
      </c>
      <c r="AT92" s="286">
        <v>0</v>
      </c>
      <c r="AU92" s="286">
        <v>0</v>
      </c>
      <c r="AV92" s="348">
        <f>ABS(VLOOKUP(A92,TradesEquity!$1:$1048576,18,FALSE))</f>
        <v>19468.169999999998</v>
      </c>
      <c r="AW92" s="349">
        <v>0</v>
      </c>
      <c r="AX92" s="350">
        <v>4542</v>
      </c>
      <c r="AY92" s="351" t="s">
        <v>1959</v>
      </c>
      <c r="AZ92" s="352" t="str">
        <f>(VLOOKUP(A92,TradesEquity!$1:$1048576,29,FALSE))</f>
        <v>BCITITMMXXX</v>
      </c>
      <c r="BA92" s="352" t="str">
        <f>(VLOOKUP(A92,TradesEquity!$1:$1048576,30,FALSE))</f>
        <v>INSECHZZXXX</v>
      </c>
      <c r="BB92" s="352" t="str">
        <f>(VLOOKUP(A92,TradesEquity!$1:$1048576,31,FALSE))</f>
        <v>0835 0951260 75 010</v>
      </c>
      <c r="BC92" s="352" t="str">
        <f>(VLOOKUP(A92,TradesEquity!$1:$1048576,32,FALSE))</f>
        <v>N</v>
      </c>
      <c r="BI92" s="375" t="str">
        <f>(VLOOKUP(A92,TradesEquity!$1:$1048576,38,FALSE))</f>
        <v xml:space="preserve">        </v>
      </c>
      <c r="BJ92" s="375" t="str">
        <f>(VLOOKUP(A92,TradesEquity!$1:$1048576,39,FALSE))</f>
        <v xml:space="preserve">        </v>
      </c>
      <c r="BK92" s="352" t="str">
        <f>(VLOOKUP(A92,TradesEquity!$1:$1048576,40,FALSE))</f>
        <v>CRESCHZZ80A</v>
      </c>
    </row>
    <row r="93" spans="1:63">
      <c r="A93" s="412">
        <v>2019200333</v>
      </c>
      <c r="D93" s="342" t="s">
        <v>1957</v>
      </c>
      <c r="F93" s="343">
        <f>VLOOKUP(A93,TradesEquity!$1:$1048576,2,FALSE)</f>
        <v>44110</v>
      </c>
      <c r="H93" s="343">
        <f>VLOOKUP(A93,TradesEquity!$1:$1048576,21,FALSE)</f>
        <v>44112</v>
      </c>
      <c r="I93" s="344" t="str">
        <f>IF(VLOOKUP(A93,TradesEquity!$1:$1048576,3,FALSE)="BUY","B","S")</f>
        <v>B</v>
      </c>
      <c r="J93" s="344" t="str">
        <f>VLOOKUP(A93,TradesEquity!$1:$1048576,5,FALSE)</f>
        <v>CH0110303119</v>
      </c>
      <c r="K93" s="342" t="s">
        <v>19</v>
      </c>
      <c r="L93" s="345" t="s">
        <v>1958</v>
      </c>
      <c r="AE93" s="346" t="str">
        <f>VLOOKUP(A93,TradesEquity!$1:$1048576,10,FALSE)</f>
        <v>CHF</v>
      </c>
      <c r="AF93" s="346" t="str">
        <f t="shared" si="2"/>
        <v>CHF</v>
      </c>
      <c r="AG93" s="346" t="str">
        <f t="shared" si="2"/>
        <v>CHF</v>
      </c>
      <c r="AH93" s="346" t="str">
        <f t="shared" si="2"/>
        <v>CHF</v>
      </c>
      <c r="AI93" s="346">
        <f>ABS(VLOOKUP(A93,TradesEquity!$1:$1048576,13,FALSE))</f>
        <v>35000</v>
      </c>
      <c r="AJ93" s="347">
        <v>0</v>
      </c>
      <c r="AK93" s="347">
        <v>1</v>
      </c>
      <c r="AL93" s="346">
        <f>VLOOKUP(A93,TradesEquity!$1:$1048576,11,FALSE)</f>
        <v>0.5504</v>
      </c>
      <c r="AM93" s="347">
        <v>1</v>
      </c>
      <c r="AN93" s="346">
        <f>ABS(VLOOKUP(A93,TradesEquity!$1:$1048576,14,FALSE))</f>
        <v>19264</v>
      </c>
      <c r="AO93" s="346">
        <f>ABS(VLOOKUP(A93,TradesEquity!$1:$1048576,15,FALSE))</f>
        <v>11.56</v>
      </c>
      <c r="AP93" s="348">
        <f>ABS(VLOOKUP(A93,TradesEquity!$1:$1048576,16,FALSE))</f>
        <v>0</v>
      </c>
      <c r="AQ93" s="286">
        <v>0</v>
      </c>
      <c r="AR93" s="286">
        <v>0</v>
      </c>
      <c r="AS93" s="286">
        <v>0</v>
      </c>
      <c r="AT93" s="286">
        <v>0</v>
      </c>
      <c r="AU93" s="286">
        <v>0</v>
      </c>
      <c r="AV93" s="348">
        <f>ABS(VLOOKUP(A93,TradesEquity!$1:$1048576,18,FALSE))</f>
        <v>19275.560000000001</v>
      </c>
      <c r="AW93" s="349">
        <v>0</v>
      </c>
      <c r="AX93" s="350">
        <v>4542</v>
      </c>
      <c r="AY93" s="351" t="s">
        <v>1959</v>
      </c>
      <c r="AZ93" s="352" t="str">
        <f>(VLOOKUP(A93,TradesEquity!$1:$1048576,29,FALSE))</f>
        <v>BCITITMMXXX</v>
      </c>
      <c r="BA93" s="352" t="str">
        <f>(VLOOKUP(A93,TradesEquity!$1:$1048576,30,FALSE))</f>
        <v>INSECHZZXXX</v>
      </c>
      <c r="BB93" s="352" t="str">
        <f>(VLOOKUP(A93,TradesEquity!$1:$1048576,31,FALSE))</f>
        <v>0835 0951260 75 010</v>
      </c>
      <c r="BC93" s="352" t="str">
        <f>(VLOOKUP(A93,TradesEquity!$1:$1048576,32,FALSE))</f>
        <v>N</v>
      </c>
      <c r="BI93" s="352">
        <f>(VLOOKUP(A93,TradesEquity!$1:$1048576,38,FALSE))</f>
        <v>0</v>
      </c>
      <c r="BJ93" s="352">
        <f>(VLOOKUP(A93,TradesEquity!$1:$1048576,39,FALSE))</f>
        <v>0</v>
      </c>
      <c r="BK93" s="352" t="str">
        <f>(VLOOKUP(A93,TradesEquity!$1:$1048576,40,FALSE))</f>
        <v>CRESCHZZ80A</v>
      </c>
    </row>
    <row r="94" spans="1:63">
      <c r="A94" s="412">
        <v>2019200334</v>
      </c>
      <c r="D94" s="342" t="s">
        <v>1957</v>
      </c>
      <c r="F94" s="343">
        <f>VLOOKUP(A94,TradesEquity!$1:$1048576,2,FALSE)</f>
        <v>44137</v>
      </c>
      <c r="H94" s="343">
        <f>VLOOKUP(A94,TradesEquity!$1:$1048576,21,FALSE)</f>
        <v>44140</v>
      </c>
      <c r="I94" s="344" t="str">
        <f>IF(VLOOKUP(A94,TradesEquity!$1:$1048576,3,FALSE)="BUY","B","S")</f>
        <v>S</v>
      </c>
      <c r="J94" s="344" t="str">
        <f>VLOOKUP(A94,TradesEquity!$1:$1048576,5,FALSE)</f>
        <v>JP3897700005</v>
      </c>
      <c r="K94" s="342" t="s">
        <v>19</v>
      </c>
      <c r="L94" s="345" t="s">
        <v>1958</v>
      </c>
      <c r="AE94" s="346" t="str">
        <f>VLOOKUP(A94,TradesEquity!$1:$1048576,10,FALSE)</f>
        <v>JPY</v>
      </c>
      <c r="AF94" s="346" t="str">
        <f t="shared" si="2"/>
        <v>JPY</v>
      </c>
      <c r="AG94" s="346" t="str">
        <f t="shared" si="2"/>
        <v>JPY</v>
      </c>
      <c r="AH94" s="346" t="str">
        <f t="shared" si="2"/>
        <v>JPY</v>
      </c>
      <c r="AI94" s="346">
        <f>ABS(VLOOKUP(A94,TradesEquity!$1:$1048576,13,FALSE))</f>
        <v>20500</v>
      </c>
      <c r="AJ94" s="347">
        <v>0</v>
      </c>
      <c r="AK94" s="347">
        <v>1</v>
      </c>
      <c r="AL94" s="346">
        <f>VLOOKUP(A94,TradesEquity!$1:$1048576,11,FALSE)</f>
        <v>595.59880999999996</v>
      </c>
      <c r="AM94" s="347">
        <v>1</v>
      </c>
      <c r="AN94" s="346">
        <f>ABS(VLOOKUP(A94,TradesEquity!$1:$1048576,14,FALSE))</f>
        <v>12209775.604999999</v>
      </c>
      <c r="AO94" s="346">
        <f>ABS(VLOOKUP(A94,TradesEquity!$1:$1048576,15,FALSE))</f>
        <v>7326</v>
      </c>
      <c r="AP94" s="348">
        <f>ABS(VLOOKUP(A94,TradesEquity!$1:$1048576,16,FALSE))</f>
        <v>0</v>
      </c>
      <c r="AQ94" s="286">
        <v>0</v>
      </c>
      <c r="AR94" s="286">
        <v>0</v>
      </c>
      <c r="AS94" s="286">
        <v>0</v>
      </c>
      <c r="AT94" s="286">
        <v>0</v>
      </c>
      <c r="AU94" s="286">
        <v>0</v>
      </c>
      <c r="AV94" s="348">
        <f>ABS(VLOOKUP(A94,TradesEquity!$1:$1048576,18,FALSE))</f>
        <v>12202449.604999999</v>
      </c>
      <c r="AW94" s="349">
        <v>0</v>
      </c>
      <c r="AX94" s="350">
        <v>4542</v>
      </c>
      <c r="AY94" s="351" t="s">
        <v>1959</v>
      </c>
      <c r="AZ94" s="352" t="str">
        <f>(VLOOKUP(A94,TradesEquity!$1:$1048576,29,FALSE))</f>
        <v>GSILGB2XXXX</v>
      </c>
      <c r="BA94" s="352" t="str">
        <f>(VLOOKUP(A94,TradesEquity!$1:$1048576,30,FALSE))</f>
        <v>JJSDJPJTXXX</v>
      </c>
      <c r="BB94" s="352">
        <f>(VLOOKUP(A94,TradesEquity!$1:$1048576,31,FALSE))</f>
        <v>6530490016</v>
      </c>
      <c r="BC94" s="352" t="str">
        <f>(VLOOKUP(A94,TradesEquity!$1:$1048576,32,FALSE))</f>
        <v>N</v>
      </c>
      <c r="BI94" s="352" t="str">
        <f>(VLOOKUP(A94,TradesEquity!$1:$1048576,38,FALSE))</f>
        <v xml:space="preserve">                  </v>
      </c>
      <c r="BJ94" s="352" t="str">
        <f>(VLOOKUP(A94,TradesEquity!$1:$1048576,39,FALSE))</f>
        <v xml:space="preserve">                          </v>
      </c>
      <c r="BK94" s="352" t="str">
        <f>(VLOOKUP(A94,TradesEquity!$1:$1048576,40,FALSE))</f>
        <v>GOLDJPJXXXX</v>
      </c>
    </row>
    <row r="95" spans="1:63">
      <c r="A95" s="412">
        <v>2019200335</v>
      </c>
      <c r="D95" s="342" t="s">
        <v>1957</v>
      </c>
      <c r="F95" s="343">
        <f>VLOOKUP(A95,TradesEquity!$1:$1048576,2,FALSE)</f>
        <v>44137</v>
      </c>
      <c r="H95" s="343">
        <f>VLOOKUP(A95,TradesEquity!$1:$1048576,21,FALSE)</f>
        <v>44139</v>
      </c>
      <c r="I95" s="344" t="str">
        <f>IF(VLOOKUP(A95,TradesEquity!$1:$1048576,3,FALSE)="BUY","B","S")</f>
        <v>S</v>
      </c>
      <c r="J95" s="344" t="str">
        <f>VLOOKUP(A95,TradesEquity!$1:$1048576,5,FALSE)</f>
        <v>KR7086520004</v>
      </c>
      <c r="K95" s="342" t="s">
        <v>19</v>
      </c>
      <c r="L95" s="345" t="s">
        <v>1958</v>
      </c>
      <c r="AE95" s="346" t="str">
        <f>VLOOKUP(A95,TradesEquity!$1:$1048576,10,FALSE)</f>
        <v>KRW</v>
      </c>
      <c r="AF95" s="346" t="str">
        <f t="shared" si="2"/>
        <v>KRW</v>
      </c>
      <c r="AG95" s="346" t="str">
        <f t="shared" si="2"/>
        <v>KRW</v>
      </c>
      <c r="AH95" s="346" t="str">
        <f t="shared" si="2"/>
        <v>KRW</v>
      </c>
      <c r="AI95" s="346">
        <f>ABS(VLOOKUP(A95,TradesEquity!$1:$1048576,13,FALSE))</f>
        <v>1500</v>
      </c>
      <c r="AJ95" s="347">
        <v>0</v>
      </c>
      <c r="AK95" s="347">
        <v>1</v>
      </c>
      <c r="AL95" s="346">
        <f>VLOOKUP(A95,TradesEquity!$1:$1048576,11,FALSE)</f>
        <v>42943.333333000002</v>
      </c>
      <c r="AM95" s="347">
        <v>1</v>
      </c>
      <c r="AN95" s="346">
        <f>ABS(VLOOKUP(A95,TradesEquity!$1:$1048576,14,FALSE))</f>
        <v>64414999.999500006</v>
      </c>
      <c r="AO95" s="346">
        <f>ABS(VLOOKUP(A95,TradesEquity!$1:$1048576,15,FALSE))</f>
        <v>96623</v>
      </c>
      <c r="AP95" s="348">
        <f>ABS(VLOOKUP(A95,TradesEquity!$1:$1048576,16,FALSE))</f>
        <v>161030</v>
      </c>
      <c r="AQ95" s="286">
        <v>0</v>
      </c>
      <c r="AR95" s="286">
        <v>0</v>
      </c>
      <c r="AS95" s="286">
        <v>0</v>
      </c>
      <c r="AT95" s="286">
        <v>0</v>
      </c>
      <c r="AU95" s="286">
        <v>0</v>
      </c>
      <c r="AV95" s="348">
        <f>ABS(VLOOKUP(A95,TradesEquity!$1:$1048576,18,FALSE))</f>
        <v>64157346.999500006</v>
      </c>
      <c r="AW95" s="349">
        <v>0</v>
      </c>
      <c r="AX95" s="350">
        <v>4542</v>
      </c>
      <c r="AY95" s="351" t="s">
        <v>1959</v>
      </c>
      <c r="AZ95" s="352" t="str">
        <f>(VLOOKUP(A95,TradesEquity!$1:$1048576,29,FALSE))</f>
        <v>GSILGB2XXXX</v>
      </c>
      <c r="BA95" s="352" t="str">
        <f>(VLOOKUP(A95,TradesEquity!$1:$1048576,30,FALSE))</f>
        <v>KSDCKRSE</v>
      </c>
      <c r="BB95" s="352" t="str">
        <f>(VLOOKUP(A95,TradesEquity!$1:$1048576,31,FALSE))</f>
        <v>GSKR30004960</v>
      </c>
      <c r="BC95" s="352" t="str">
        <f>(VLOOKUP(A95,TradesEquity!$1:$1048576,32,FALSE))</f>
        <v>N</v>
      </c>
      <c r="BI95" s="352" t="str">
        <f>(VLOOKUP(A95,TradesEquity!$1:$1048576,38,FALSE))</f>
        <v xml:space="preserve">        </v>
      </c>
      <c r="BJ95" s="352" t="str">
        <f>(VLOOKUP(A95,TradesEquity!$1:$1048576,39,FALSE))</f>
        <v xml:space="preserve">        </v>
      </c>
      <c r="BK95" s="352" t="str">
        <f>(VLOOKUP(A95,TradesEquity!$1:$1048576,40,FALSE))</f>
        <v>SCBLKRSE</v>
      </c>
    </row>
    <row r="96" spans="1:63">
      <c r="A96" s="412">
        <v>2019200336</v>
      </c>
      <c r="D96" s="342" t="s">
        <v>1957</v>
      </c>
      <c r="F96" s="343">
        <f>VLOOKUP(A96,TradesEquity!$1:$1048576,2,FALSE)</f>
        <v>44137</v>
      </c>
      <c r="H96" s="343">
        <f>VLOOKUP(A96,TradesEquity!$1:$1048576,21,FALSE)</f>
        <v>44140</v>
      </c>
      <c r="I96" s="344" t="str">
        <f>IF(VLOOKUP(A96,TradesEquity!$1:$1048576,3,FALSE)="BUY","B","S")</f>
        <v>S</v>
      </c>
      <c r="J96" s="344" t="str">
        <f>VLOOKUP(A96,TradesEquity!$1:$1048576,5,FALSE)</f>
        <v>JP3707000000</v>
      </c>
      <c r="K96" s="342" t="s">
        <v>19</v>
      </c>
      <c r="L96" s="345" t="s">
        <v>1958</v>
      </c>
      <c r="AE96" s="346" t="str">
        <f>VLOOKUP(A96,TradesEquity!$1:$1048576,10,FALSE)</f>
        <v>JPY</v>
      </c>
      <c r="AF96" s="346" t="str">
        <f t="shared" ref="AF96:AH111" si="3">AE96</f>
        <v>JPY</v>
      </c>
      <c r="AG96" s="346" t="str">
        <f t="shared" si="3"/>
        <v>JPY</v>
      </c>
      <c r="AH96" s="346" t="str">
        <f t="shared" si="3"/>
        <v>JPY</v>
      </c>
      <c r="AI96" s="346">
        <f>ABS(VLOOKUP(A96,TradesEquity!$1:$1048576,13,FALSE))</f>
        <v>2200</v>
      </c>
      <c r="AJ96" s="347">
        <v>0</v>
      </c>
      <c r="AK96" s="347">
        <v>1</v>
      </c>
      <c r="AL96" s="346">
        <f>VLOOKUP(A96,TradesEquity!$1:$1048576,11,FALSE)</f>
        <v>1719.4545499999999</v>
      </c>
      <c r="AM96" s="347">
        <v>1</v>
      </c>
      <c r="AN96" s="346">
        <f>ABS(VLOOKUP(A96,TradesEquity!$1:$1048576,14,FALSE))</f>
        <v>3782800.01</v>
      </c>
      <c r="AO96" s="346">
        <f>ABS(VLOOKUP(A96,TradesEquity!$1:$1048576,15,FALSE))</f>
        <v>2270</v>
      </c>
      <c r="AP96" s="348">
        <f>ABS(VLOOKUP(A96,TradesEquity!$1:$1048576,16,FALSE))</f>
        <v>0</v>
      </c>
      <c r="AQ96" s="286">
        <v>0</v>
      </c>
      <c r="AR96" s="286">
        <v>0</v>
      </c>
      <c r="AS96" s="286">
        <v>0</v>
      </c>
      <c r="AT96" s="286">
        <v>0</v>
      </c>
      <c r="AU96" s="286">
        <v>0</v>
      </c>
      <c r="AV96" s="348">
        <f>ABS(VLOOKUP(A96,TradesEquity!$1:$1048576,18,FALSE))</f>
        <v>3780530.01</v>
      </c>
      <c r="AW96" s="349">
        <v>0</v>
      </c>
      <c r="AX96" s="350">
        <v>4542</v>
      </c>
      <c r="AY96" s="351" t="s">
        <v>1959</v>
      </c>
      <c r="AZ96" s="352" t="str">
        <f>(VLOOKUP(A96,TradesEquity!$1:$1048576,29,FALSE))</f>
        <v>GSILGB2XXXX</v>
      </c>
      <c r="BA96" s="352" t="str">
        <f>(VLOOKUP(A96,TradesEquity!$1:$1048576,30,FALSE))</f>
        <v>JJSDJPJTXXX</v>
      </c>
      <c r="BB96" s="352">
        <f>(VLOOKUP(A96,TradesEquity!$1:$1048576,31,FALSE))</f>
        <v>6530490016</v>
      </c>
      <c r="BC96" s="352" t="str">
        <f>(VLOOKUP(A96,TradesEquity!$1:$1048576,32,FALSE))</f>
        <v>N</v>
      </c>
      <c r="BI96" s="352" t="str">
        <f>(VLOOKUP(A96,TradesEquity!$1:$1048576,38,FALSE))</f>
        <v xml:space="preserve">                  </v>
      </c>
      <c r="BJ96" s="352" t="str">
        <f>(VLOOKUP(A96,TradesEquity!$1:$1048576,39,FALSE))</f>
        <v xml:space="preserve">                          </v>
      </c>
      <c r="BK96" s="352" t="str">
        <f>(VLOOKUP(A96,TradesEquity!$1:$1048576,40,FALSE))</f>
        <v>GOLDJPJXXXX</v>
      </c>
    </row>
    <row r="97" spans="1:63">
      <c r="A97" s="412">
        <v>2019200337</v>
      </c>
      <c r="D97" s="342" t="s">
        <v>1957</v>
      </c>
      <c r="F97" s="343">
        <f>VLOOKUP(A97,TradesEquity!$1:$1048576,2,FALSE)</f>
        <v>44137</v>
      </c>
      <c r="H97" s="343">
        <f>VLOOKUP(A97,TradesEquity!$1:$1048576,21,FALSE)</f>
        <v>44140</v>
      </c>
      <c r="I97" s="344" t="str">
        <f>IF(VLOOKUP(A97,TradesEquity!$1:$1048576,3,FALSE)="BUY","B","S")</f>
        <v>S</v>
      </c>
      <c r="J97" s="344" t="str">
        <f>VLOOKUP(A97,TradesEquity!$1:$1048576,5,FALSE)</f>
        <v>JP3158800007</v>
      </c>
      <c r="K97" s="342" t="s">
        <v>19</v>
      </c>
      <c r="L97" s="345" t="s">
        <v>1958</v>
      </c>
      <c r="AE97" s="346" t="str">
        <f>VLOOKUP(A97,TradesEquity!$1:$1048576,10,FALSE)</f>
        <v>JPY</v>
      </c>
      <c r="AF97" s="346" t="str">
        <f t="shared" si="3"/>
        <v>JPY</v>
      </c>
      <c r="AG97" s="346" t="str">
        <f t="shared" si="3"/>
        <v>JPY</v>
      </c>
      <c r="AH97" s="346" t="str">
        <f t="shared" si="3"/>
        <v>JPY</v>
      </c>
      <c r="AI97" s="346">
        <f>ABS(VLOOKUP(A97,TradesEquity!$1:$1048576,13,FALSE))</f>
        <v>4920</v>
      </c>
      <c r="AJ97" s="347">
        <v>0</v>
      </c>
      <c r="AK97" s="347">
        <v>1</v>
      </c>
      <c r="AL97" s="346">
        <f>VLOOKUP(A97,TradesEquity!$1:$1048576,11,FALSE)</f>
        <v>1789.9085399999999</v>
      </c>
      <c r="AM97" s="347">
        <v>1</v>
      </c>
      <c r="AN97" s="346">
        <f>ABS(VLOOKUP(A97,TradesEquity!$1:$1048576,14,FALSE))</f>
        <v>8806350.0167999994</v>
      </c>
      <c r="AO97" s="346">
        <f>ABS(VLOOKUP(A97,TradesEquity!$1:$1048576,15,FALSE))</f>
        <v>5284</v>
      </c>
      <c r="AP97" s="348">
        <f>ABS(VLOOKUP(A97,TradesEquity!$1:$1048576,16,FALSE))</f>
        <v>0</v>
      </c>
      <c r="AQ97" s="286">
        <v>0</v>
      </c>
      <c r="AR97" s="286">
        <v>0</v>
      </c>
      <c r="AS97" s="286">
        <v>0</v>
      </c>
      <c r="AT97" s="286">
        <v>0</v>
      </c>
      <c r="AU97" s="286">
        <v>0</v>
      </c>
      <c r="AV97" s="348">
        <f>ABS(VLOOKUP(A97,TradesEquity!$1:$1048576,18,FALSE))</f>
        <v>8801066.0167999994</v>
      </c>
      <c r="AW97" s="349">
        <v>0</v>
      </c>
      <c r="AX97" s="350">
        <v>4542</v>
      </c>
      <c r="AY97" s="351" t="s">
        <v>1959</v>
      </c>
      <c r="AZ97" s="352" t="str">
        <f>(VLOOKUP(A97,TradesEquity!$1:$1048576,29,FALSE))</f>
        <v>GSILGB2XXXX</v>
      </c>
      <c r="BA97" s="352" t="str">
        <f>(VLOOKUP(A97,TradesEquity!$1:$1048576,30,FALSE))</f>
        <v>JJSDJPJTXXX</v>
      </c>
      <c r="BB97" s="352">
        <f>(VLOOKUP(A97,TradesEquity!$1:$1048576,31,FALSE))</f>
        <v>6530490016</v>
      </c>
      <c r="BC97" s="352" t="str">
        <f>(VLOOKUP(A97,TradesEquity!$1:$1048576,32,FALSE))</f>
        <v>N</v>
      </c>
      <c r="BI97" s="352" t="str">
        <f>(VLOOKUP(A97,TradesEquity!$1:$1048576,38,FALSE))</f>
        <v xml:space="preserve">                  </v>
      </c>
      <c r="BJ97" s="352" t="str">
        <f>(VLOOKUP(A97,TradesEquity!$1:$1048576,39,FALSE))</f>
        <v xml:space="preserve">                          </v>
      </c>
      <c r="BK97" s="352" t="str">
        <f>(VLOOKUP(A97,TradesEquity!$1:$1048576,40,FALSE))</f>
        <v>GOLDJPJXXXX</v>
      </c>
    </row>
    <row r="98" spans="1:63">
      <c r="A98" s="412">
        <v>2019200338</v>
      </c>
      <c r="D98" s="342" t="s">
        <v>1957</v>
      </c>
      <c r="F98" s="343">
        <f>VLOOKUP(A98,TradesEquity!$1:$1048576,2,FALSE)</f>
        <v>44137</v>
      </c>
      <c r="H98" s="343">
        <f>VLOOKUP(A98,TradesEquity!$1:$1048576,21,FALSE)</f>
        <v>44139</v>
      </c>
      <c r="I98" s="344" t="str">
        <f>IF(VLOOKUP(A98,TradesEquity!$1:$1048576,3,FALSE)="BUY","B","S")</f>
        <v>B</v>
      </c>
      <c r="J98" s="344" t="str">
        <f>VLOOKUP(A98,TradesEquity!$1:$1048576,5,FALSE)</f>
        <v>AU000000WSA9</v>
      </c>
      <c r="K98" s="342" t="s">
        <v>19</v>
      </c>
      <c r="L98" s="345" t="s">
        <v>1958</v>
      </c>
      <c r="AE98" s="346" t="str">
        <f>VLOOKUP(A98,TradesEquity!$1:$1048576,10,FALSE)</f>
        <v>AUD</v>
      </c>
      <c r="AF98" s="346" t="str">
        <f t="shared" si="3"/>
        <v>AUD</v>
      </c>
      <c r="AG98" s="346" t="str">
        <f t="shared" si="3"/>
        <v>AUD</v>
      </c>
      <c r="AH98" s="346" t="str">
        <f t="shared" si="3"/>
        <v>AUD</v>
      </c>
      <c r="AI98" s="346">
        <f>ABS(VLOOKUP(A98,TradesEquity!$1:$1048576,13,FALSE))</f>
        <v>120000</v>
      </c>
      <c r="AJ98" s="347">
        <v>0</v>
      </c>
      <c r="AK98" s="347">
        <v>1</v>
      </c>
      <c r="AL98" s="346">
        <f>VLOOKUP(A98,TradesEquity!$1:$1048576,11,FALSE)</f>
        <v>1.94089</v>
      </c>
      <c r="AM98" s="347">
        <v>1</v>
      </c>
      <c r="AN98" s="346">
        <f>ABS(VLOOKUP(A98,TradesEquity!$1:$1048576,14,FALSE))</f>
        <v>232906.8</v>
      </c>
      <c r="AO98" s="346">
        <f>ABS(VLOOKUP(A98,TradesEquity!$1:$1048576,15,FALSE))</f>
        <v>139.74</v>
      </c>
      <c r="AP98" s="348">
        <f>ABS(VLOOKUP(A98,TradesEquity!$1:$1048576,16,FALSE))</f>
        <v>0</v>
      </c>
      <c r="AQ98" s="286">
        <v>0</v>
      </c>
      <c r="AR98" s="286">
        <v>0</v>
      </c>
      <c r="AS98" s="286">
        <v>0</v>
      </c>
      <c r="AT98" s="286">
        <v>0</v>
      </c>
      <c r="AU98" s="286">
        <v>0</v>
      </c>
      <c r="AV98" s="348">
        <f>ABS(VLOOKUP(A98,TradesEquity!$1:$1048576,18,FALSE))</f>
        <v>233046.53999999998</v>
      </c>
      <c r="AW98" s="349">
        <v>0</v>
      </c>
      <c r="AX98" s="350">
        <v>4542</v>
      </c>
      <c r="AY98" s="351" t="s">
        <v>1959</v>
      </c>
      <c r="AZ98" s="352" t="str">
        <f>(VLOOKUP(A98,TradesEquity!$1:$1048576,29,FALSE))</f>
        <v>GSILGB2XXXX</v>
      </c>
      <c r="BA98" s="352" t="str">
        <f>(VLOOKUP(A98,TradesEquity!$1:$1048576,30,FALSE))</f>
        <v>CAETAU21</v>
      </c>
      <c r="BB98" s="352" t="str">
        <f>(VLOOKUP(A98,TradesEquity!$1:$1048576,31,FALSE))</f>
        <v>011-109048-061</v>
      </c>
      <c r="BC98" s="352" t="str">
        <f>(VLOOKUP(A98,TradesEquity!$1:$1048576,32,FALSE))</f>
        <v>N</v>
      </c>
      <c r="BI98" s="352" t="str">
        <f>(VLOOKUP(A98,TradesEquity!$1:$1048576,38,FALSE))</f>
        <v xml:space="preserve">        </v>
      </c>
      <c r="BJ98" s="352" t="str">
        <f>(VLOOKUP(A98,TradesEquity!$1:$1048576,39,FALSE))</f>
        <v xml:space="preserve">        </v>
      </c>
      <c r="BK98" s="352" t="str">
        <f>(VLOOKUP(A98,TradesEquity!$1:$1048576,40,FALSE))</f>
        <v>HKBAAU2SSYD</v>
      </c>
    </row>
    <row r="99" spans="1:63">
      <c r="A99" s="412">
        <v>2019200339</v>
      </c>
      <c r="D99" s="342" t="s">
        <v>1957</v>
      </c>
      <c r="F99" s="343">
        <f>VLOOKUP(A99,TradesEquity!$1:$1048576,2,FALSE)</f>
        <v>44137</v>
      </c>
      <c r="H99" s="343">
        <f>VLOOKUP(A99,TradesEquity!$1:$1048576,21,FALSE)</f>
        <v>44140</v>
      </c>
      <c r="I99" s="344" t="str">
        <f>IF(VLOOKUP(A99,TradesEquity!$1:$1048576,3,FALSE)="BUY","B","S")</f>
        <v>B</v>
      </c>
      <c r="J99" s="344" t="str">
        <f>VLOOKUP(A99,TradesEquity!$1:$1048576,5,FALSE)</f>
        <v>JP3592200004</v>
      </c>
      <c r="K99" s="342" t="s">
        <v>19</v>
      </c>
      <c r="L99" s="345" t="s">
        <v>1958</v>
      </c>
      <c r="AE99" s="346" t="str">
        <f>VLOOKUP(A99,TradesEquity!$1:$1048576,10,FALSE)</f>
        <v>JPY</v>
      </c>
      <c r="AF99" s="346" t="str">
        <f t="shared" si="3"/>
        <v>JPY</v>
      </c>
      <c r="AG99" s="346" t="str">
        <f t="shared" si="3"/>
        <v>JPY</v>
      </c>
      <c r="AH99" s="346" t="str">
        <f t="shared" si="3"/>
        <v>JPY</v>
      </c>
      <c r="AI99" s="346">
        <f>ABS(VLOOKUP(A99,TradesEquity!$1:$1048576,13,FALSE))</f>
        <v>4200</v>
      </c>
      <c r="AJ99" s="347">
        <v>0</v>
      </c>
      <c r="AK99" s="347">
        <v>1</v>
      </c>
      <c r="AL99" s="346">
        <f>VLOOKUP(A99,TradesEquity!$1:$1048576,11,FALSE)</f>
        <v>2607</v>
      </c>
      <c r="AM99" s="347">
        <v>1</v>
      </c>
      <c r="AN99" s="346">
        <f>ABS(VLOOKUP(A99,TradesEquity!$1:$1048576,14,FALSE))</f>
        <v>10949400</v>
      </c>
      <c r="AO99" s="346">
        <f>ABS(VLOOKUP(A99,TradesEquity!$1:$1048576,15,FALSE))</f>
        <v>6570</v>
      </c>
      <c r="AP99" s="348">
        <f>ABS(VLOOKUP(A99,TradesEquity!$1:$1048576,16,FALSE))</f>
        <v>0</v>
      </c>
      <c r="AQ99" s="286">
        <v>0</v>
      </c>
      <c r="AR99" s="286">
        <v>0</v>
      </c>
      <c r="AS99" s="286">
        <v>0</v>
      </c>
      <c r="AT99" s="286">
        <v>0</v>
      </c>
      <c r="AU99" s="286">
        <v>0</v>
      </c>
      <c r="AV99" s="348">
        <f>ABS(VLOOKUP(A99,TradesEquity!$1:$1048576,18,FALSE))</f>
        <v>10955970</v>
      </c>
      <c r="AW99" s="349">
        <v>0</v>
      </c>
      <c r="AX99" s="350">
        <v>4542</v>
      </c>
      <c r="AY99" s="351" t="s">
        <v>1959</v>
      </c>
      <c r="AZ99" s="352" t="str">
        <f>(VLOOKUP(A99,TradesEquity!$1:$1048576,29,FALSE))</f>
        <v>GSILGB2XXXX</v>
      </c>
      <c r="BA99" s="352" t="str">
        <f>(VLOOKUP(A99,TradesEquity!$1:$1048576,30,FALSE))</f>
        <v>JJSDJPJTXXX</v>
      </c>
      <c r="BB99" s="352">
        <f>(VLOOKUP(A99,TradesEquity!$1:$1048576,31,FALSE))</f>
        <v>6530490016</v>
      </c>
      <c r="BC99" s="352" t="str">
        <f>(VLOOKUP(A99,TradesEquity!$1:$1048576,32,FALSE))</f>
        <v>N</v>
      </c>
      <c r="BI99" s="352" t="str">
        <f>(VLOOKUP(A99,TradesEquity!$1:$1048576,38,FALSE))</f>
        <v xml:space="preserve">                  </v>
      </c>
      <c r="BJ99" s="352" t="str">
        <f>(VLOOKUP(A99,TradesEquity!$1:$1048576,39,FALSE))</f>
        <v xml:space="preserve">                          </v>
      </c>
      <c r="BK99" s="352" t="str">
        <f>(VLOOKUP(A99,TradesEquity!$1:$1048576,40,FALSE))</f>
        <v>GOLDJPJXXXX</v>
      </c>
    </row>
    <row r="100" spans="1:63">
      <c r="A100" s="412">
        <v>2019200340</v>
      </c>
      <c r="D100" s="342" t="s">
        <v>1957</v>
      </c>
      <c r="F100" s="343">
        <f>VLOOKUP(A100,TradesEquity!$1:$1048576,2,FALSE)</f>
        <v>44137</v>
      </c>
      <c r="H100" s="343">
        <f>VLOOKUP(A100,TradesEquity!$1:$1048576,21,FALSE)</f>
        <v>44140</v>
      </c>
      <c r="I100" s="344" t="str">
        <f>IF(VLOOKUP(A100,TradesEquity!$1:$1048576,3,FALSE)="BUY","B","S")</f>
        <v>B</v>
      </c>
      <c r="J100" s="344" t="str">
        <f>VLOOKUP(A100,TradesEquity!$1:$1048576,5,FALSE)</f>
        <v>JP3591600006</v>
      </c>
      <c r="K100" s="342" t="s">
        <v>19</v>
      </c>
      <c r="L100" s="345" t="s">
        <v>1958</v>
      </c>
      <c r="AE100" s="346" t="str">
        <f>VLOOKUP(A100,TradesEquity!$1:$1048576,10,FALSE)</f>
        <v>JPY</v>
      </c>
      <c r="AF100" s="346" t="str">
        <f t="shared" si="3"/>
        <v>JPY</v>
      </c>
      <c r="AG100" s="346" t="str">
        <f t="shared" si="3"/>
        <v>JPY</v>
      </c>
      <c r="AH100" s="346" t="str">
        <f t="shared" si="3"/>
        <v>JPY</v>
      </c>
      <c r="AI100" s="346">
        <f>ABS(VLOOKUP(A100,TradesEquity!$1:$1048576,13,FALSE))</f>
        <v>4250</v>
      </c>
      <c r="AJ100" s="347">
        <v>0</v>
      </c>
      <c r="AK100" s="347">
        <v>1</v>
      </c>
      <c r="AL100" s="346">
        <f>VLOOKUP(A100,TradesEquity!$1:$1048576,11,FALSE)</f>
        <v>1080.1529399999999</v>
      </c>
      <c r="AM100" s="347">
        <v>1</v>
      </c>
      <c r="AN100" s="346">
        <f>ABS(VLOOKUP(A100,TradesEquity!$1:$1048576,14,FALSE))</f>
        <v>4590649.9950000001</v>
      </c>
      <c r="AO100" s="346">
        <f>ABS(VLOOKUP(A100,TradesEquity!$1:$1048576,15,FALSE))</f>
        <v>2574</v>
      </c>
      <c r="AP100" s="348">
        <f>ABS(VLOOKUP(A100,TradesEquity!$1:$1048576,16,FALSE))</f>
        <v>0</v>
      </c>
      <c r="AQ100" s="286">
        <v>0</v>
      </c>
      <c r="AR100" s="286">
        <v>0</v>
      </c>
      <c r="AS100" s="286">
        <v>0</v>
      </c>
      <c r="AT100" s="286">
        <v>0</v>
      </c>
      <c r="AU100" s="286">
        <v>0</v>
      </c>
      <c r="AV100" s="348">
        <f>ABS(VLOOKUP(A100,TradesEquity!$1:$1048576,18,FALSE))</f>
        <v>4593223.9950000001</v>
      </c>
      <c r="AW100" s="349">
        <v>0</v>
      </c>
      <c r="AX100" s="350">
        <v>4542</v>
      </c>
      <c r="AY100" s="351" t="s">
        <v>1959</v>
      </c>
      <c r="AZ100" s="352" t="str">
        <f>(VLOOKUP(A100,TradesEquity!$1:$1048576,29,FALSE))</f>
        <v>GSILGB2XXXX</v>
      </c>
      <c r="BA100" s="352" t="str">
        <f>(VLOOKUP(A100,TradesEquity!$1:$1048576,30,FALSE))</f>
        <v>JJSDJPJTXXX</v>
      </c>
      <c r="BB100" s="352">
        <f>(VLOOKUP(A100,TradesEquity!$1:$1048576,31,FALSE))</f>
        <v>6530490016</v>
      </c>
      <c r="BC100" s="352" t="str">
        <f>(VLOOKUP(A100,TradesEquity!$1:$1048576,32,FALSE))</f>
        <v>N</v>
      </c>
      <c r="BI100" s="352" t="str">
        <f>(VLOOKUP(A100,TradesEquity!$1:$1048576,38,FALSE))</f>
        <v xml:space="preserve">                  </v>
      </c>
      <c r="BJ100" s="352" t="str">
        <f>(VLOOKUP(A100,TradesEquity!$1:$1048576,39,FALSE))</f>
        <v xml:space="preserve">                          </v>
      </c>
      <c r="BK100" s="352" t="str">
        <f>(VLOOKUP(A100,TradesEquity!$1:$1048576,40,FALSE))</f>
        <v>GOLDJPJXXXX</v>
      </c>
    </row>
    <row r="101" spans="1:63">
      <c r="A101" s="412">
        <v>2019200344</v>
      </c>
      <c r="D101" s="342" t="s">
        <v>1957</v>
      </c>
      <c r="F101" s="343">
        <f>VLOOKUP(A101,TradesEquity!$1:$1048576,2,FALSE)</f>
        <v>44137</v>
      </c>
      <c r="H101" s="343">
        <f>VLOOKUP(A101,TradesEquity!$1:$1048576,21,FALSE)</f>
        <v>44140</v>
      </c>
      <c r="I101" s="344" t="str">
        <f>IF(VLOOKUP(A101,TradesEquity!$1:$1048576,3,FALSE)="BUY","B","S")</f>
        <v>B</v>
      </c>
      <c r="J101" s="344" t="str">
        <f>VLOOKUP(A101,TradesEquity!$1:$1048576,5,FALSE)</f>
        <v>JP3399720006</v>
      </c>
      <c r="K101" s="342" t="s">
        <v>19</v>
      </c>
      <c r="L101" s="345" t="s">
        <v>1958</v>
      </c>
      <c r="AE101" s="346" t="str">
        <f>VLOOKUP(A101,TradesEquity!$1:$1048576,10,FALSE)</f>
        <v>JPY</v>
      </c>
      <c r="AF101" s="346" t="str">
        <f t="shared" si="3"/>
        <v>JPY</v>
      </c>
      <c r="AG101" s="346" t="str">
        <f t="shared" si="3"/>
        <v>JPY</v>
      </c>
      <c r="AH101" s="346" t="str">
        <f t="shared" si="3"/>
        <v>JPY</v>
      </c>
      <c r="AI101" s="346">
        <f>ABS(VLOOKUP(A101,TradesEquity!$1:$1048576,13,FALSE))</f>
        <v>1150</v>
      </c>
      <c r="AJ101" s="347">
        <v>0</v>
      </c>
      <c r="AK101" s="347">
        <v>1</v>
      </c>
      <c r="AL101" s="346">
        <f>VLOOKUP(A101,TradesEquity!$1:$1048576,11,FALSE)</f>
        <v>2950.3487300000002</v>
      </c>
      <c r="AM101" s="347">
        <v>1</v>
      </c>
      <c r="AN101" s="346">
        <f>ABS(VLOOKUP(A101,TradesEquity!$1:$1048576,14,FALSE))</f>
        <v>3392901.0395</v>
      </c>
      <c r="AO101" s="346">
        <f>ABS(VLOOKUP(A101,TradesEquity!$1:$1048576,15,FALSE))</f>
        <v>2036</v>
      </c>
      <c r="AP101" s="348">
        <f>ABS(VLOOKUP(A101,TradesEquity!$1:$1048576,16,FALSE))</f>
        <v>0</v>
      </c>
      <c r="AQ101" s="286">
        <v>0</v>
      </c>
      <c r="AR101" s="286">
        <v>0</v>
      </c>
      <c r="AS101" s="286">
        <v>0</v>
      </c>
      <c r="AT101" s="286">
        <v>0</v>
      </c>
      <c r="AU101" s="286">
        <v>0</v>
      </c>
      <c r="AV101" s="348">
        <f>ABS(VLOOKUP(A101,TradesEquity!$1:$1048576,18,FALSE))</f>
        <v>3394937.0395</v>
      </c>
      <c r="AW101" s="349">
        <v>0</v>
      </c>
      <c r="AX101" s="350">
        <v>4542</v>
      </c>
      <c r="AY101" s="351" t="s">
        <v>1959</v>
      </c>
      <c r="AZ101" s="352" t="str">
        <f>(VLOOKUP(A101,TradesEquity!$1:$1048576,29,FALSE))</f>
        <v>GSILGB2XXXX</v>
      </c>
      <c r="BA101" s="352" t="str">
        <f>(VLOOKUP(A101,TradesEquity!$1:$1048576,30,FALSE))</f>
        <v>JJSDJPJTXXX</v>
      </c>
      <c r="BB101" s="352">
        <f>(VLOOKUP(A101,TradesEquity!$1:$1048576,31,FALSE))</f>
        <v>6530490016</v>
      </c>
      <c r="BC101" s="352" t="str">
        <f>(VLOOKUP(A101,TradesEquity!$1:$1048576,32,FALSE))</f>
        <v>N</v>
      </c>
      <c r="BI101" s="352" t="str">
        <f>(VLOOKUP(A101,TradesEquity!$1:$1048576,38,FALSE))</f>
        <v xml:space="preserve">                  </v>
      </c>
      <c r="BJ101" s="352" t="str">
        <f>(VLOOKUP(A101,TradesEquity!$1:$1048576,39,FALSE))</f>
        <v xml:space="preserve">                          </v>
      </c>
      <c r="BK101" s="352" t="str">
        <f>(VLOOKUP(A101,TradesEquity!$1:$1048576,40,FALSE))</f>
        <v>GOLDJPJXXXX</v>
      </c>
    </row>
    <row r="102" spans="1:63">
      <c r="A102" s="412">
        <v>2019200345</v>
      </c>
      <c r="D102" s="342" t="s">
        <v>1957</v>
      </c>
      <c r="F102" s="343">
        <f>VLOOKUP(A102,TradesEquity!$1:$1048576,2,FALSE)</f>
        <v>44137</v>
      </c>
      <c r="H102" s="343">
        <f>VLOOKUP(A102,TradesEquity!$1:$1048576,21,FALSE)</f>
        <v>44139</v>
      </c>
      <c r="I102" s="344" t="str">
        <f>IF(VLOOKUP(A102,TradesEquity!$1:$1048576,3,FALSE)="BUY","B","S")</f>
        <v>B</v>
      </c>
      <c r="J102" s="344" t="str">
        <f>VLOOKUP(A102,TradesEquity!$1:$1048576,5,FALSE)</f>
        <v>KR7096770003</v>
      </c>
      <c r="K102" s="342" t="s">
        <v>19</v>
      </c>
      <c r="L102" s="345" t="s">
        <v>1958</v>
      </c>
      <c r="AE102" s="346" t="str">
        <f>VLOOKUP(A102,TradesEquity!$1:$1048576,10,FALSE)</f>
        <v>KRW</v>
      </c>
      <c r="AF102" s="346" t="str">
        <f t="shared" si="3"/>
        <v>KRW</v>
      </c>
      <c r="AG102" s="346" t="str">
        <f t="shared" si="3"/>
        <v>KRW</v>
      </c>
      <c r="AH102" s="346" t="str">
        <f t="shared" si="3"/>
        <v>KRW</v>
      </c>
      <c r="AI102" s="346">
        <f>ABS(VLOOKUP(A102,TradesEquity!$1:$1048576,13,FALSE))</f>
        <v>990</v>
      </c>
      <c r="AJ102" s="347">
        <v>0</v>
      </c>
      <c r="AK102" s="347">
        <v>1</v>
      </c>
      <c r="AL102" s="346">
        <f>VLOOKUP(A102,TradesEquity!$1:$1048576,11,FALSE)</f>
        <v>125073.232323</v>
      </c>
      <c r="AM102" s="347">
        <v>1</v>
      </c>
      <c r="AN102" s="346">
        <f>ABS(VLOOKUP(A102,TradesEquity!$1:$1048576,14,FALSE))</f>
        <v>123822499.99977</v>
      </c>
      <c r="AO102" s="346">
        <f>ABS(VLOOKUP(A102,TradesEquity!$1:$1048576,15,FALSE))</f>
        <v>185734</v>
      </c>
      <c r="AP102" s="348">
        <f>ABS(VLOOKUP(A102,TradesEquity!$1:$1048576,16,FALSE))</f>
        <v>0</v>
      </c>
      <c r="AQ102" s="286">
        <v>0</v>
      </c>
      <c r="AR102" s="286">
        <v>0</v>
      </c>
      <c r="AS102" s="286">
        <v>0</v>
      </c>
      <c r="AT102" s="286">
        <v>0</v>
      </c>
      <c r="AU102" s="286">
        <v>0</v>
      </c>
      <c r="AV102" s="348">
        <f>ABS(VLOOKUP(A102,TradesEquity!$1:$1048576,18,FALSE))</f>
        <v>124008233.99977</v>
      </c>
      <c r="AW102" s="349">
        <v>0</v>
      </c>
      <c r="AX102" s="350">
        <v>4542</v>
      </c>
      <c r="AY102" s="351" t="s">
        <v>1959</v>
      </c>
      <c r="AZ102" s="352" t="e">
        <f>(VLOOKUP(A102,TradesEquity!$1:$1048576,29,FALSE))</f>
        <v>#N/A</v>
      </c>
      <c r="BA102" s="352" t="e">
        <f>(VLOOKUP(A102,TradesEquity!$1:$1048576,30,FALSE))</f>
        <v>#N/A</v>
      </c>
      <c r="BB102" s="352" t="e">
        <f>(VLOOKUP(A102,TradesEquity!$1:$1048576,31,FALSE))</f>
        <v>#N/A</v>
      </c>
      <c r="BC102" s="352" t="e">
        <f>(VLOOKUP(A102,TradesEquity!$1:$1048576,32,FALSE))</f>
        <v>#N/A</v>
      </c>
      <c r="BI102" s="352" t="e">
        <f>(VLOOKUP(A102,TradesEquity!$1:$1048576,38,FALSE))</f>
        <v>#N/A</v>
      </c>
      <c r="BJ102" s="352" t="e">
        <f>(VLOOKUP(A102,TradesEquity!$1:$1048576,39,FALSE))</f>
        <v>#N/A</v>
      </c>
      <c r="BK102" s="352" t="e">
        <f>(VLOOKUP(A102,TradesEquity!$1:$1048576,40,FALSE))</f>
        <v>#N/A</v>
      </c>
    </row>
    <row r="103" spans="1:63">
      <c r="A103" s="412">
        <v>2019200346</v>
      </c>
      <c r="D103" s="342" t="s">
        <v>1957</v>
      </c>
      <c r="F103" s="343">
        <f>VLOOKUP(A103,TradesEquity!$1:$1048576,2,FALSE)</f>
        <v>44137</v>
      </c>
      <c r="H103" s="343">
        <f>VLOOKUP(A103,TradesEquity!$1:$1048576,21,FALSE)</f>
        <v>44139</v>
      </c>
      <c r="I103" s="344" t="str">
        <f>IF(VLOOKUP(A103,TradesEquity!$1:$1048576,3,FALSE)="BUY","B","S")</f>
        <v>S</v>
      </c>
      <c r="J103" s="344" t="str">
        <f>VLOOKUP(A103,TradesEquity!$1:$1048576,5,FALSE)</f>
        <v>CNE100000296</v>
      </c>
      <c r="K103" s="342" t="s">
        <v>19</v>
      </c>
      <c r="L103" s="345" t="s">
        <v>1958</v>
      </c>
      <c r="AE103" s="346" t="str">
        <f>VLOOKUP(A103,TradesEquity!$1:$1048576,10,FALSE)</f>
        <v>HKD</v>
      </c>
      <c r="AF103" s="346" t="str">
        <f t="shared" si="3"/>
        <v>HKD</v>
      </c>
      <c r="AG103" s="346" t="str">
        <f t="shared" si="3"/>
        <v>HKD</v>
      </c>
      <c r="AH103" s="346" t="str">
        <f t="shared" si="3"/>
        <v>HKD</v>
      </c>
      <c r="AI103" s="346">
        <f>ABS(VLOOKUP(A103,TradesEquity!$1:$1048576,13,FALSE))</f>
        <v>11000</v>
      </c>
      <c r="AJ103" s="347">
        <v>0</v>
      </c>
      <c r="AK103" s="347">
        <v>1</v>
      </c>
      <c r="AL103" s="346">
        <f>VLOOKUP(A103,TradesEquity!$1:$1048576,11,FALSE)</f>
        <v>154.69999999999999</v>
      </c>
      <c r="AM103" s="347">
        <v>1</v>
      </c>
      <c r="AN103" s="346">
        <f>ABS(VLOOKUP(A103,TradesEquity!$1:$1048576,14,FALSE))</f>
        <v>1701699.9999999998</v>
      </c>
      <c r="AO103" s="346">
        <f>ABS(VLOOKUP(A103,TradesEquity!$1:$1048576,15,FALSE))</f>
        <v>1021.02</v>
      </c>
      <c r="AP103" s="348">
        <f>ABS(VLOOKUP(A103,TradesEquity!$1:$1048576,16,FALSE))</f>
        <v>1833.04</v>
      </c>
      <c r="AQ103" s="286">
        <v>0</v>
      </c>
      <c r="AR103" s="286">
        <v>0</v>
      </c>
      <c r="AS103" s="286">
        <v>0</v>
      </c>
      <c r="AT103" s="286">
        <v>0</v>
      </c>
      <c r="AU103" s="286">
        <v>0</v>
      </c>
      <c r="AV103" s="348">
        <f>ABS(VLOOKUP(A103,TradesEquity!$1:$1048576,18,FALSE))</f>
        <v>1698845.9399999997</v>
      </c>
      <c r="AW103" s="349">
        <v>0</v>
      </c>
      <c r="AX103" s="350">
        <v>4542</v>
      </c>
      <c r="AY103" s="351" t="s">
        <v>1959</v>
      </c>
      <c r="AZ103" s="352" t="str">
        <f>(VLOOKUP(A103,TradesEquity!$1:$1048576,29,FALSE))</f>
        <v>GSILGB2XXXX</v>
      </c>
      <c r="BA103" s="352" t="str">
        <f>(VLOOKUP(A103,TradesEquity!$1:$1048576,30,FALSE))</f>
        <v>XHKCHKH1XXX</v>
      </c>
      <c r="BB103" s="352" t="str">
        <f>(VLOOKUP(A103,TradesEquity!$1:$1048576,31,FALSE))</f>
        <v xml:space="preserve">        </v>
      </c>
      <c r="BC103" s="352" t="str">
        <f>(VLOOKUP(A103,TradesEquity!$1:$1048576,32,FALSE))</f>
        <v>N</v>
      </c>
      <c r="BI103" s="352" t="str">
        <f>(VLOOKUP(A103,TradesEquity!$1:$1048576,38,FALSE))</f>
        <v>CCASS</v>
      </c>
      <c r="BJ103" s="352" t="str">
        <f>(VLOOKUP(A103,TradesEquity!$1:$1048576,39,FALSE))</f>
        <v>B01451</v>
      </c>
      <c r="BK103" s="352" t="str">
        <f>(VLOOKUP(A103,TradesEquity!$1:$1048576,40,FALSE))</f>
        <v>GSASHKH1XX</v>
      </c>
    </row>
    <row r="104" spans="1:63">
      <c r="A104" s="412">
        <v>2019200347</v>
      </c>
      <c r="D104" s="342" t="s">
        <v>1957</v>
      </c>
      <c r="F104" s="343">
        <f>VLOOKUP(A104,TradesEquity!$1:$1048576,2,FALSE)</f>
        <v>44138</v>
      </c>
      <c r="H104" s="343">
        <f>VLOOKUP(A104,TradesEquity!$1:$1048576,21,FALSE)</f>
        <v>44140</v>
      </c>
      <c r="I104" s="344" t="str">
        <f>IF(VLOOKUP(A104,TradesEquity!$1:$1048576,3,FALSE)="BUY","B","S")</f>
        <v>S</v>
      </c>
      <c r="J104" s="344" t="str">
        <f>VLOOKUP(A104,TradesEquity!$1:$1048576,5,FALSE)</f>
        <v>IT0005424830</v>
      </c>
      <c r="K104" s="342" t="s">
        <v>19</v>
      </c>
      <c r="L104" s="345" t="s">
        <v>1958</v>
      </c>
      <c r="AE104" s="346" t="str">
        <f>VLOOKUP(A104,TradesEquity!$1:$1048576,10,FALSE)</f>
        <v>EUR</v>
      </c>
      <c r="AF104" s="346" t="str">
        <f t="shared" si="3"/>
        <v>EUR</v>
      </c>
      <c r="AG104" s="346" t="str">
        <f t="shared" si="3"/>
        <v>EUR</v>
      </c>
      <c r="AH104" s="346" t="str">
        <f t="shared" si="3"/>
        <v>EUR</v>
      </c>
      <c r="AI104" s="346">
        <f>ABS(VLOOKUP(A104,TradesEquity!$1:$1048576,13,FALSE))</f>
        <v>11000</v>
      </c>
      <c r="AJ104" s="347">
        <v>0</v>
      </c>
      <c r="AK104" s="347">
        <v>1</v>
      </c>
      <c r="AL104" s="346">
        <f>VLOOKUP(A104,TradesEquity!$1:$1048576,11,FALSE)</f>
        <v>2.02</v>
      </c>
      <c r="AM104" s="347">
        <v>1</v>
      </c>
      <c r="AN104" s="346">
        <f>ABS(VLOOKUP(A104,TradesEquity!$1:$1048576,14,FALSE))</f>
        <v>22220</v>
      </c>
      <c r="AO104" s="346">
        <f>ABS(VLOOKUP(A104,TradesEquity!$1:$1048576,15,FALSE))</f>
        <v>13.33</v>
      </c>
      <c r="AP104" s="348">
        <f>ABS(VLOOKUP(A104,TradesEquity!$1:$1048576,16,FALSE))</f>
        <v>0</v>
      </c>
      <c r="AQ104" s="286">
        <v>0</v>
      </c>
      <c r="AR104" s="286">
        <v>0</v>
      </c>
      <c r="AS104" s="286">
        <v>0</v>
      </c>
      <c r="AT104" s="286">
        <v>0</v>
      </c>
      <c r="AU104" s="286">
        <v>0</v>
      </c>
      <c r="AV104" s="348">
        <f>ABS(VLOOKUP(A104,TradesEquity!$1:$1048576,18,FALSE))</f>
        <v>22206.67</v>
      </c>
      <c r="AW104" s="349">
        <v>0</v>
      </c>
      <c r="AX104" s="350">
        <v>4542</v>
      </c>
      <c r="AY104" s="351" t="s">
        <v>1959</v>
      </c>
      <c r="AZ104" s="352" t="str">
        <f>(VLOOKUP(A104,TradesEquity!$1:$1048576,29,FALSE))</f>
        <v>EMSIITM1XXX</v>
      </c>
      <c r="BA104" s="352" t="str">
        <f>(VLOOKUP(A104,TradesEquity!$1:$1048576,30,FALSE))</f>
        <v>MOTIITMMXXX</v>
      </c>
      <c r="BB104" s="352" t="str">
        <f>(VLOOKUP(A104,TradesEquity!$1:$1048576,31,FALSE))</f>
        <v>MOTIBCITITMMXXX6039800</v>
      </c>
      <c r="BC104" s="352" t="str">
        <f>(VLOOKUP(A104,TradesEquity!$1:$1048576,32,FALSE))</f>
        <v>N</v>
      </c>
      <c r="BI104" s="352" t="str">
        <f>(VLOOKUP(A104,TradesEquity!$1:$1048576,38,FALSE))</f>
        <v xml:space="preserve">        </v>
      </c>
      <c r="BJ104" s="352" t="str">
        <f>(VLOOKUP(A104,TradesEquity!$1:$1048576,39,FALSE))</f>
        <v xml:space="preserve">        </v>
      </c>
      <c r="BK104" s="352" t="str">
        <f>(VLOOKUP(A104,TradesEquity!$1:$1048576,40,FALSE))</f>
        <v>BCITITM1T03</v>
      </c>
    </row>
    <row r="105" spans="1:63">
      <c r="A105" s="412">
        <v>2019200348</v>
      </c>
      <c r="D105" s="342" t="s">
        <v>1957</v>
      </c>
      <c r="F105" s="343">
        <f>VLOOKUP(A105,TradesEquity!$1:$1048576,2,FALSE)</f>
        <v>44140</v>
      </c>
      <c r="H105" s="343">
        <f>VLOOKUP(A105,TradesEquity!$1:$1048576,21,FALSE)</f>
        <v>44144</v>
      </c>
      <c r="I105" s="344" t="str">
        <f>IF(VLOOKUP(A105,TradesEquity!$1:$1048576,3,FALSE)="BUY","B","S")</f>
        <v>S</v>
      </c>
      <c r="J105" s="344" t="str">
        <f>VLOOKUP(A105,TradesEquity!$1:$1048576,5,FALSE)</f>
        <v>US0126531013</v>
      </c>
      <c r="K105" s="342" t="s">
        <v>19</v>
      </c>
      <c r="L105" s="345" t="s">
        <v>1958</v>
      </c>
      <c r="AE105" s="346" t="str">
        <f>VLOOKUP(A105,TradesEquity!$1:$1048576,10,FALSE)</f>
        <v>USD</v>
      </c>
      <c r="AF105" s="346" t="str">
        <f t="shared" si="3"/>
        <v>USD</v>
      </c>
      <c r="AG105" s="346" t="str">
        <f t="shared" si="3"/>
        <v>USD</v>
      </c>
      <c r="AH105" s="346" t="str">
        <f t="shared" si="3"/>
        <v>USD</v>
      </c>
      <c r="AI105" s="346">
        <f>ABS(VLOOKUP(A105,TradesEquity!$1:$1048576,13,FALSE))</f>
        <v>1100</v>
      </c>
      <c r="AJ105" s="347">
        <v>0</v>
      </c>
      <c r="AK105" s="347">
        <v>1</v>
      </c>
      <c r="AL105" s="346">
        <f>VLOOKUP(A105,TradesEquity!$1:$1048576,11,FALSE)</f>
        <v>101.09273</v>
      </c>
      <c r="AM105" s="347">
        <v>1</v>
      </c>
      <c r="AN105" s="346">
        <f>ABS(VLOOKUP(A105,TradesEquity!$1:$1048576,14,FALSE))</f>
        <v>111202.003</v>
      </c>
      <c r="AO105" s="346">
        <f>ABS(VLOOKUP(A105,TradesEquity!$1:$1048576,15,FALSE))</f>
        <v>55.6</v>
      </c>
      <c r="AP105" s="348">
        <f>ABS(VLOOKUP(A105,TradesEquity!$1:$1048576,16,FALSE))</f>
        <v>2.46</v>
      </c>
      <c r="AQ105" s="286">
        <v>0</v>
      </c>
      <c r="AR105" s="286">
        <v>0</v>
      </c>
      <c r="AS105" s="286">
        <v>0</v>
      </c>
      <c r="AT105" s="286">
        <v>0</v>
      </c>
      <c r="AU105" s="286">
        <v>0</v>
      </c>
      <c r="AV105" s="348">
        <f>ABS(VLOOKUP(A105,TradesEquity!$1:$1048576,18,FALSE))</f>
        <v>111143.94299999998</v>
      </c>
      <c r="AW105" s="349">
        <v>0</v>
      </c>
      <c r="AX105" s="350">
        <v>4542</v>
      </c>
      <c r="AY105" s="351" t="s">
        <v>1959</v>
      </c>
      <c r="AZ105" s="352" t="str">
        <f>(VLOOKUP(A105,TradesEquity!$1:$1048576,29,FALSE))</f>
        <v>GSILGB2XXXX</v>
      </c>
      <c r="BA105" s="352" t="str">
        <f>(VLOOKUP(A105,TradesEquity!$1:$1048576,30,FALSE))</f>
        <v>DTCYUS33</v>
      </c>
      <c r="BB105" s="352" t="str">
        <f>(VLOOKUP(A105,TradesEquity!$1:$1048576,31,FALSE))</f>
        <v xml:space="preserve">        </v>
      </c>
      <c r="BC105" s="352" t="str">
        <f>(VLOOKUP(A105,TradesEquity!$1:$1048576,32,FALSE))</f>
        <v>N</v>
      </c>
      <c r="BI105" s="352" t="str">
        <f>(VLOOKUP(A105,TradesEquity!$1:$1048576,38,FALSE))</f>
        <v>DTCYID</v>
      </c>
      <c r="BJ105" s="352">
        <f>(VLOOKUP(A105,TradesEquity!$1:$1048576,39,FALSE))</f>
        <v>5208</v>
      </c>
      <c r="BK105" s="352" t="str">
        <f>(VLOOKUP(A105,TradesEquity!$1:$1048576,40,FALSE))</f>
        <v xml:space="preserve">        </v>
      </c>
    </row>
    <row r="106" spans="1:63">
      <c r="A106" s="412">
        <v>2019200349</v>
      </c>
      <c r="D106" s="342" t="s">
        <v>1957</v>
      </c>
      <c r="F106" s="343">
        <f>VLOOKUP(A106,TradesEquity!$1:$1048576,2,FALSE)</f>
        <v>44144</v>
      </c>
      <c r="H106" s="343">
        <f>VLOOKUP(A106,TradesEquity!$1:$1048576,21,FALSE)</f>
        <v>44147</v>
      </c>
      <c r="I106" s="344" t="str">
        <f>IF(VLOOKUP(A106,TradesEquity!$1:$1048576,3,FALSE)="BUY","B","S")</f>
        <v>S</v>
      </c>
      <c r="J106" s="344" t="str">
        <f>VLOOKUP(A106,TradesEquity!$1:$1048576,5,FALSE)</f>
        <v>US53814L1089</v>
      </c>
      <c r="K106" s="342" t="s">
        <v>19</v>
      </c>
      <c r="L106" s="345" t="s">
        <v>1958</v>
      </c>
      <c r="AE106" s="346" t="str">
        <f>VLOOKUP(A106,TradesEquity!$1:$1048576,10,FALSE)</f>
        <v>USD</v>
      </c>
      <c r="AF106" s="346" t="str">
        <f t="shared" si="3"/>
        <v>USD</v>
      </c>
      <c r="AG106" s="346" t="str">
        <f t="shared" si="3"/>
        <v>USD</v>
      </c>
      <c r="AH106" s="346" t="str">
        <f t="shared" si="3"/>
        <v>USD</v>
      </c>
      <c r="AI106" s="346">
        <f>ABS(VLOOKUP(A106,TradesEquity!$1:$1048576,13,FALSE))</f>
        <v>22100</v>
      </c>
      <c r="AJ106" s="347">
        <v>0</v>
      </c>
      <c r="AK106" s="347">
        <v>1</v>
      </c>
      <c r="AL106" s="346">
        <f>VLOOKUP(A106,TradesEquity!$1:$1048576,11,FALSE)</f>
        <v>14.5</v>
      </c>
      <c r="AM106" s="347">
        <v>1</v>
      </c>
      <c r="AN106" s="346">
        <f>ABS(VLOOKUP(A106,TradesEquity!$1:$1048576,14,FALSE))</f>
        <v>320450</v>
      </c>
      <c r="AO106" s="346">
        <f>ABS(VLOOKUP(A106,TradesEquity!$1:$1048576,15,FALSE))</f>
        <v>160.22</v>
      </c>
      <c r="AP106" s="348">
        <f>ABS(VLOOKUP(A106,TradesEquity!$1:$1048576,16,FALSE))</f>
        <v>7.08</v>
      </c>
      <c r="AQ106" s="286">
        <v>0</v>
      </c>
      <c r="AR106" s="286">
        <v>0</v>
      </c>
      <c r="AS106" s="286">
        <v>0</v>
      </c>
      <c r="AT106" s="286">
        <v>0</v>
      </c>
      <c r="AU106" s="286">
        <v>0</v>
      </c>
      <c r="AV106" s="348">
        <f>ABS(VLOOKUP(A106,TradesEquity!$1:$1048576,18,FALSE))</f>
        <v>320282.7</v>
      </c>
      <c r="AW106" s="349">
        <v>0</v>
      </c>
      <c r="AX106" s="350">
        <v>4542</v>
      </c>
      <c r="AY106" s="351" t="s">
        <v>1959</v>
      </c>
      <c r="AZ106" s="352" t="str">
        <f>(VLOOKUP(A106,TradesEquity!$1:$1048576,29,FALSE))</f>
        <v>SOGEFRPPTIT</v>
      </c>
      <c r="BA106" s="352" t="str">
        <f>(VLOOKUP(A106,TradesEquity!$1:$1048576,30,FALSE))</f>
        <v>DTCYUS33XXX</v>
      </c>
      <c r="BB106" s="352">
        <f>(VLOOKUP(A106,TradesEquity!$1:$1048576,31,FALSE))</f>
        <v>7027337</v>
      </c>
      <c r="BC106" s="352" t="str">
        <f>(VLOOKUP(A106,TradesEquity!$1:$1048576,32,FALSE))</f>
        <v>N</v>
      </c>
      <c r="BI106" s="352" t="str">
        <f>(VLOOKUP(A106,TradesEquity!$1:$1048576,38,FALSE))</f>
        <v>DTCYID</v>
      </c>
      <c r="BJ106" s="352" t="str">
        <f>(VLOOKUP(A106,TradesEquity!$1:$1048576,39,FALSE))</f>
        <v>0010</v>
      </c>
      <c r="BK106" s="352" t="str">
        <f>(VLOOKUP(A106,TradesEquity!$1:$1048576,40,FALSE))</f>
        <v xml:space="preserve">        </v>
      </c>
    </row>
    <row r="107" spans="1:63">
      <c r="A107" s="412">
        <v>2019200350</v>
      </c>
      <c r="D107" s="342" t="s">
        <v>1957</v>
      </c>
      <c r="F107" s="343">
        <f>VLOOKUP(A107,TradesEquity!$1:$1048576,2,FALSE)</f>
        <v>44147</v>
      </c>
      <c r="H107" s="343">
        <f>VLOOKUP(A107,TradesEquity!$1:$1048576,21,FALSE)</f>
        <v>44151</v>
      </c>
      <c r="I107" s="344" t="str">
        <f>IF(VLOOKUP(A107,TradesEquity!$1:$1048576,3,FALSE)="BUY","B","S")</f>
        <v>B</v>
      </c>
      <c r="J107" s="344" t="str">
        <f>VLOOKUP(A107,TradesEquity!$1:$1048576,5,FALSE)</f>
        <v>JP3592200004</v>
      </c>
      <c r="K107" s="342" t="s">
        <v>19</v>
      </c>
      <c r="L107" s="345" t="s">
        <v>1958</v>
      </c>
      <c r="AE107" s="346" t="str">
        <f>VLOOKUP(A107,TradesEquity!$1:$1048576,10,FALSE)</f>
        <v>JPY</v>
      </c>
      <c r="AF107" s="346" t="str">
        <f t="shared" si="3"/>
        <v>JPY</v>
      </c>
      <c r="AG107" s="346" t="str">
        <f t="shared" si="3"/>
        <v>JPY</v>
      </c>
      <c r="AH107" s="346" t="str">
        <f t="shared" si="3"/>
        <v>JPY</v>
      </c>
      <c r="AI107" s="346">
        <f>ABS(VLOOKUP(A107,TradesEquity!$1:$1048576,13,FALSE))</f>
        <v>4600</v>
      </c>
      <c r="AJ107" s="347">
        <v>0</v>
      </c>
      <c r="AK107" s="347">
        <v>1</v>
      </c>
      <c r="AL107" s="346">
        <f>VLOOKUP(A107,TradesEquity!$1:$1048576,11,FALSE)</f>
        <v>2796.8152300000002</v>
      </c>
      <c r="AM107" s="347">
        <v>1</v>
      </c>
      <c r="AN107" s="346">
        <f>ABS(VLOOKUP(A107,TradesEquity!$1:$1048576,14,FALSE))</f>
        <v>12865350.058</v>
      </c>
      <c r="AO107" s="346">
        <f>ABS(VLOOKUP(A107,TradesEquity!$1:$1048576,15,FALSE))</f>
        <v>3860</v>
      </c>
      <c r="AP107" s="348">
        <f>ABS(VLOOKUP(A107,TradesEquity!$1:$1048576,16,FALSE))</f>
        <v>0</v>
      </c>
      <c r="AQ107" s="286">
        <v>0</v>
      </c>
      <c r="AR107" s="286">
        <v>0</v>
      </c>
      <c r="AS107" s="286">
        <v>0</v>
      </c>
      <c r="AT107" s="286">
        <v>0</v>
      </c>
      <c r="AU107" s="286">
        <v>0</v>
      </c>
      <c r="AV107" s="348">
        <f>ABS(VLOOKUP(A107,TradesEquity!$1:$1048576,18,FALSE))</f>
        <v>12869210.058</v>
      </c>
      <c r="AW107" s="349">
        <v>0</v>
      </c>
      <c r="AX107" s="350">
        <v>4542</v>
      </c>
      <c r="AY107" s="351" t="s">
        <v>1959</v>
      </c>
      <c r="AZ107" s="352" t="str">
        <f>(VLOOKUP(A107,TradesEquity!$1:$1048576,29,FALSE))</f>
        <v>GSILGB2XXXX</v>
      </c>
      <c r="BA107" s="352" t="str">
        <f>(VLOOKUP(A107,TradesEquity!$1:$1048576,30,FALSE))</f>
        <v>JJSDJPJTXXX</v>
      </c>
      <c r="BB107" s="352">
        <f>(VLOOKUP(A107,TradesEquity!$1:$1048576,31,FALSE))</f>
        <v>6530490016</v>
      </c>
      <c r="BC107" s="352" t="str">
        <f>(VLOOKUP(A107,TradesEquity!$1:$1048576,32,FALSE))</f>
        <v>N</v>
      </c>
      <c r="BI107" s="352" t="str">
        <f>(VLOOKUP(A107,TradesEquity!$1:$1048576,38,FALSE))</f>
        <v xml:space="preserve">                  </v>
      </c>
      <c r="BJ107" s="352" t="str">
        <f>(VLOOKUP(A107,TradesEquity!$1:$1048576,39,FALSE))</f>
        <v xml:space="preserve">                          </v>
      </c>
      <c r="BK107" s="352" t="str">
        <f>(VLOOKUP(A107,TradesEquity!$1:$1048576,40,FALSE))</f>
        <v>GOLDJPJXXXX</v>
      </c>
    </row>
    <row r="108" spans="1:63">
      <c r="A108" s="412">
        <v>2019200351</v>
      </c>
      <c r="D108" s="342" t="s">
        <v>1957</v>
      </c>
      <c r="F108" s="343">
        <f>VLOOKUP(A108,TradesEquity!$1:$1048576,2,FALSE)</f>
        <v>44147</v>
      </c>
      <c r="H108" s="343">
        <f>VLOOKUP(A108,TradesEquity!$1:$1048576,21,FALSE)</f>
        <v>44151</v>
      </c>
      <c r="I108" s="344" t="str">
        <f>IF(VLOOKUP(A108,TradesEquity!$1:$1048576,3,FALSE)="BUY","B","S")</f>
        <v>B</v>
      </c>
      <c r="J108" s="344" t="str">
        <f>VLOOKUP(A108,TradesEquity!$1:$1048576,5,FALSE)</f>
        <v>CH0110303119</v>
      </c>
      <c r="K108" s="342" t="s">
        <v>19</v>
      </c>
      <c r="L108" s="345" t="s">
        <v>1958</v>
      </c>
      <c r="AE108" s="346" t="str">
        <f>VLOOKUP(A108,TradesEquity!$1:$1048576,10,FALSE)</f>
        <v>CHF</v>
      </c>
      <c r="AF108" s="346" t="str">
        <f t="shared" si="3"/>
        <v>CHF</v>
      </c>
      <c r="AG108" s="346" t="str">
        <f t="shared" si="3"/>
        <v>CHF</v>
      </c>
      <c r="AH108" s="346" t="str">
        <f t="shared" si="3"/>
        <v>CHF</v>
      </c>
      <c r="AI108" s="346">
        <f>ABS(VLOOKUP(A108,TradesEquity!$1:$1048576,13,FALSE))</f>
        <v>31000</v>
      </c>
      <c r="AJ108" s="347">
        <v>0</v>
      </c>
      <c r="AK108" s="347">
        <v>1</v>
      </c>
      <c r="AL108" s="346">
        <f>VLOOKUP(A108,TradesEquity!$1:$1048576,11,FALSE)</f>
        <v>0.54942000000000002</v>
      </c>
      <c r="AM108" s="347">
        <v>1</v>
      </c>
      <c r="AN108" s="346">
        <f>ABS(VLOOKUP(A108,TradesEquity!$1:$1048576,14,FALSE))</f>
        <v>17032.02</v>
      </c>
      <c r="AO108" s="346">
        <f>ABS(VLOOKUP(A108,TradesEquity!$1:$1048576,15,FALSE))</f>
        <v>10.220000000000001</v>
      </c>
      <c r="AP108" s="348">
        <f>ABS(VLOOKUP(A108,TradesEquity!$1:$1048576,16,FALSE))</f>
        <v>0</v>
      </c>
      <c r="AQ108" s="286">
        <v>0</v>
      </c>
      <c r="AR108" s="286">
        <v>0</v>
      </c>
      <c r="AS108" s="286">
        <v>0</v>
      </c>
      <c r="AT108" s="286">
        <v>0</v>
      </c>
      <c r="AU108" s="286">
        <v>0</v>
      </c>
      <c r="AV108" s="348">
        <f>ABS(VLOOKUP(A108,TradesEquity!$1:$1048576,18,FALSE))</f>
        <v>17042.240000000002</v>
      </c>
      <c r="AW108" s="349">
        <v>0</v>
      </c>
      <c r="AX108" s="350">
        <v>4542</v>
      </c>
      <c r="AY108" s="351" t="s">
        <v>1959</v>
      </c>
      <c r="AZ108" s="352" t="str">
        <f>(VLOOKUP(A108,TradesEquity!$1:$1048576,29,FALSE))</f>
        <v>GSILGB2XXXX</v>
      </c>
      <c r="BA108" s="352" t="str">
        <f>(VLOOKUP(A108,TradesEquity!$1:$1048576,30,FALSE))</f>
        <v>INSECHZZ</v>
      </c>
      <c r="BB108" s="352">
        <f>(VLOOKUP(A108,TradesEquity!$1:$1048576,31,FALSE))</f>
        <v>20319455</v>
      </c>
      <c r="BC108" s="352" t="str">
        <f>(VLOOKUP(A108,TradesEquity!$1:$1048576,32,FALSE))</f>
        <v>N</v>
      </c>
      <c r="BI108" s="352" t="str">
        <f>(VLOOKUP(A108,TradesEquity!$1:$1048576,38,FALSE))</f>
        <v>SCOM</v>
      </c>
      <c r="BJ108" s="352" t="str">
        <f>(VLOOKUP(A108,TradesEquity!$1:$1048576,39,FALSE))</f>
        <v>GB102183</v>
      </c>
      <c r="BK108" s="352" t="str">
        <f>(VLOOKUP(A108,TradesEquity!$1:$1048576,40,FALSE))</f>
        <v>GSILGB2XXXX</v>
      </c>
    </row>
    <row r="109" spans="1:63">
      <c r="A109" s="412">
        <v>2019200352</v>
      </c>
      <c r="D109" s="342" t="s">
        <v>1957</v>
      </c>
      <c r="F109" s="343">
        <f>VLOOKUP(A109,TradesEquity!$1:$1048576,2,FALSE)</f>
        <v>44151</v>
      </c>
      <c r="H109" s="343">
        <f>VLOOKUP(A109,TradesEquity!$1:$1048576,21,FALSE)</f>
        <v>44153</v>
      </c>
      <c r="I109" s="344" t="str">
        <f>IF(VLOOKUP(A109,TradesEquity!$1:$1048576,3,FALSE)="BUY","B","S")</f>
        <v>B</v>
      </c>
      <c r="J109" s="344" t="str">
        <f>VLOOKUP(A109,TradesEquity!$1:$1048576,5,FALSE)</f>
        <v>JP3592200004</v>
      </c>
      <c r="K109" s="342" t="s">
        <v>19</v>
      </c>
      <c r="L109" s="345" t="s">
        <v>1958</v>
      </c>
      <c r="AE109" s="346" t="str">
        <f>VLOOKUP(A109,TradesEquity!$1:$1048576,10,FALSE)</f>
        <v>JPY</v>
      </c>
      <c r="AF109" s="346" t="str">
        <f t="shared" si="3"/>
        <v>JPY</v>
      </c>
      <c r="AG109" s="346" t="str">
        <f t="shared" si="3"/>
        <v>JPY</v>
      </c>
      <c r="AH109" s="346" t="str">
        <f t="shared" si="3"/>
        <v>JPY</v>
      </c>
      <c r="AI109" s="346">
        <f>ABS(VLOOKUP(A109,TradesEquity!$1:$1048576,13,FALSE))</f>
        <v>4200</v>
      </c>
      <c r="AJ109" s="347">
        <v>0</v>
      </c>
      <c r="AK109" s="347">
        <v>1</v>
      </c>
      <c r="AL109" s="346">
        <f>VLOOKUP(A109,TradesEquity!$1:$1048576,11,FALSE)</f>
        <v>2715.3952399999998</v>
      </c>
      <c r="AM109" s="347">
        <v>1</v>
      </c>
      <c r="AN109" s="346">
        <f>ABS(VLOOKUP(A109,TradesEquity!$1:$1048576,14,FALSE))</f>
        <v>11404660.007999999</v>
      </c>
      <c r="AO109" s="346">
        <f>ABS(VLOOKUP(A109,TradesEquity!$1:$1048576,15,FALSE))</f>
        <v>3421</v>
      </c>
      <c r="AP109" s="348">
        <f>ABS(VLOOKUP(A109,TradesEquity!$1:$1048576,16,FALSE))</f>
        <v>0</v>
      </c>
      <c r="AQ109" s="286">
        <v>0</v>
      </c>
      <c r="AR109" s="286">
        <v>0</v>
      </c>
      <c r="AS109" s="286">
        <v>0</v>
      </c>
      <c r="AT109" s="286">
        <v>0</v>
      </c>
      <c r="AU109" s="286">
        <v>0</v>
      </c>
      <c r="AV109" s="348">
        <f>ABS(VLOOKUP(A109,TradesEquity!$1:$1048576,18,FALSE))</f>
        <v>11408081.007999999</v>
      </c>
      <c r="AW109" s="349">
        <v>0</v>
      </c>
      <c r="AX109" s="350">
        <v>4542</v>
      </c>
      <c r="AY109" s="351" t="s">
        <v>1959</v>
      </c>
      <c r="AZ109" s="352" t="str">
        <f>(VLOOKUP(A109,TradesEquity!$1:$1048576,29,FALSE))</f>
        <v>GSILGB2XXXX</v>
      </c>
      <c r="BA109" s="352" t="str">
        <f>(VLOOKUP(A109,TradesEquity!$1:$1048576,30,FALSE))</f>
        <v>JJSDJPJTXXX</v>
      </c>
      <c r="BB109" s="352">
        <f>(VLOOKUP(A109,TradesEquity!$1:$1048576,31,FALSE))</f>
        <v>6530490016</v>
      </c>
      <c r="BC109" s="352" t="str">
        <f>(VLOOKUP(A109,TradesEquity!$1:$1048576,32,FALSE))</f>
        <v>N</v>
      </c>
      <c r="BI109" s="352" t="str">
        <f>(VLOOKUP(A109,TradesEquity!$1:$1048576,38,FALSE))</f>
        <v xml:space="preserve">                  </v>
      </c>
      <c r="BJ109" s="352" t="str">
        <f>(VLOOKUP(A109,TradesEquity!$1:$1048576,39,FALSE))</f>
        <v xml:space="preserve">                          </v>
      </c>
      <c r="BK109" s="352" t="str">
        <f>(VLOOKUP(A109,TradesEquity!$1:$1048576,40,FALSE))</f>
        <v>GOLDJPJXXXX</v>
      </c>
    </row>
    <row r="110" spans="1:63">
      <c r="A110" s="412">
        <v>2019200353</v>
      </c>
      <c r="D110" s="342" t="s">
        <v>1957</v>
      </c>
      <c r="F110" s="343">
        <f>VLOOKUP(A110,TradesEquity!$1:$1048576,2,FALSE)</f>
        <v>44151</v>
      </c>
      <c r="H110" s="343">
        <f>VLOOKUP(A110,TradesEquity!$1:$1048576,21,FALSE)</f>
        <v>44153</v>
      </c>
      <c r="I110" s="344" t="str">
        <f>IF(VLOOKUP(A110,TradesEquity!$1:$1048576,3,FALSE)="BUY","B","S")</f>
        <v>S</v>
      </c>
      <c r="J110" s="344" t="str">
        <f>VLOOKUP(A110,TradesEquity!$1:$1048576,5,FALSE)</f>
        <v>IT0005424830</v>
      </c>
      <c r="K110" s="342" t="s">
        <v>19</v>
      </c>
      <c r="L110" s="345" t="s">
        <v>1958</v>
      </c>
      <c r="AE110" s="346" t="str">
        <f>VLOOKUP(A110,TradesEquity!$1:$1048576,10,FALSE)</f>
        <v>EUR</v>
      </c>
      <c r="AF110" s="346" t="str">
        <f t="shared" si="3"/>
        <v>EUR</v>
      </c>
      <c r="AG110" s="346" t="str">
        <f t="shared" si="3"/>
        <v>EUR</v>
      </c>
      <c r="AH110" s="346" t="str">
        <f t="shared" si="3"/>
        <v>EUR</v>
      </c>
      <c r="AI110" s="346">
        <f>ABS(VLOOKUP(A110,TradesEquity!$1:$1048576,13,FALSE))</f>
        <v>11000</v>
      </c>
      <c r="AJ110" s="347">
        <v>0</v>
      </c>
      <c r="AK110" s="347">
        <v>1</v>
      </c>
      <c r="AL110" s="346">
        <f>VLOOKUP(A110,TradesEquity!$1:$1048576,11,FALSE)</f>
        <v>2.0454500000000002</v>
      </c>
      <c r="AM110" s="347">
        <v>1</v>
      </c>
      <c r="AN110" s="346">
        <f>ABS(VLOOKUP(A110,TradesEquity!$1:$1048576,14,FALSE))</f>
        <v>22499.95</v>
      </c>
      <c r="AO110" s="346">
        <f>ABS(VLOOKUP(A110,TradesEquity!$1:$1048576,15,FALSE))</f>
        <v>13.5</v>
      </c>
      <c r="AP110" s="348">
        <f>ABS(VLOOKUP(A110,TradesEquity!$1:$1048576,16,FALSE))</f>
        <v>0</v>
      </c>
      <c r="AQ110" s="286">
        <v>0</v>
      </c>
      <c r="AR110" s="286">
        <v>0</v>
      </c>
      <c r="AS110" s="286">
        <v>0</v>
      </c>
      <c r="AT110" s="286">
        <v>0</v>
      </c>
      <c r="AU110" s="286">
        <v>0</v>
      </c>
      <c r="AV110" s="348">
        <f>ABS(VLOOKUP(A110,TradesEquity!$1:$1048576,18,FALSE))</f>
        <v>22486.45</v>
      </c>
      <c r="AW110" s="349">
        <v>0</v>
      </c>
      <c r="AX110" s="350">
        <v>4542</v>
      </c>
      <c r="AY110" s="351" t="s">
        <v>1959</v>
      </c>
      <c r="AZ110" s="352" t="str">
        <f>(VLOOKUP(A110,TradesEquity!$1:$1048576,29,FALSE))</f>
        <v>GSILGB2XXXX</v>
      </c>
      <c r="BA110" s="352" t="str">
        <f>(VLOOKUP(A110,TradesEquity!$1:$1048576,30,FALSE))</f>
        <v>MOTIITMMXXX</v>
      </c>
      <c r="BB110" s="352" t="str">
        <f>(VLOOKUP(A110,TradesEquity!$1:$1048576,31,FALSE))</f>
        <v>MOTICITIITMXXXX6013800</v>
      </c>
      <c r="BC110" s="352" t="str">
        <f>(VLOOKUP(A110,TradesEquity!$1:$1048576,32,FALSE))</f>
        <v>N</v>
      </c>
      <c r="BI110" s="352" t="str">
        <f>(VLOOKUP(A110,TradesEquity!$1:$1048576,38,FALSE))</f>
        <v xml:space="preserve">        </v>
      </c>
      <c r="BJ110" s="352" t="str">
        <f>(VLOOKUP(A110,TradesEquity!$1:$1048576,39,FALSE))</f>
        <v xml:space="preserve">        </v>
      </c>
      <c r="BK110" s="352" t="str">
        <f>(VLOOKUP(A110,TradesEquity!$1:$1048576,40,FALSE))</f>
        <v>CITIITM1012</v>
      </c>
    </row>
    <row r="111" spans="1:63">
      <c r="A111" s="412">
        <v>2019200354</v>
      </c>
      <c r="D111" s="342" t="s">
        <v>1957</v>
      </c>
      <c r="F111" s="343">
        <f>VLOOKUP(A111,TradesEquity!$1:$1048576,2,FALSE)</f>
        <v>44151</v>
      </c>
      <c r="H111" s="343">
        <f>VLOOKUP(A111,TradesEquity!$1:$1048576,21,FALSE)</f>
        <v>44153</v>
      </c>
      <c r="I111" s="344" t="str">
        <f>IF(VLOOKUP(A111,TradesEquity!$1:$1048576,3,FALSE)="BUY","B","S")</f>
        <v>S</v>
      </c>
      <c r="J111" s="344" t="str">
        <f>VLOOKUP(A111,TradesEquity!$1:$1048576,5,FALSE)</f>
        <v>US0126531013</v>
      </c>
      <c r="K111" s="342" t="s">
        <v>19</v>
      </c>
      <c r="L111" s="345" t="s">
        <v>1958</v>
      </c>
      <c r="AE111" s="346" t="str">
        <f>VLOOKUP(A111,TradesEquity!$1:$1048576,10,FALSE)</f>
        <v>USD</v>
      </c>
      <c r="AF111" s="346" t="str">
        <f t="shared" si="3"/>
        <v>USD</v>
      </c>
      <c r="AG111" s="346" t="str">
        <f t="shared" si="3"/>
        <v>USD</v>
      </c>
      <c r="AH111" s="346" t="str">
        <f t="shared" si="3"/>
        <v>USD</v>
      </c>
      <c r="AI111" s="346">
        <f>ABS(VLOOKUP(A111,TradesEquity!$1:$1048576,13,FALSE))</f>
        <v>1685</v>
      </c>
      <c r="AJ111" s="347">
        <v>0</v>
      </c>
      <c r="AK111" s="347">
        <v>1</v>
      </c>
      <c r="AL111" s="346">
        <f>VLOOKUP(A111,TradesEquity!$1:$1048576,11,FALSE)</f>
        <v>128.14277999999999</v>
      </c>
      <c r="AM111" s="347">
        <v>1</v>
      </c>
      <c r="AN111" s="346">
        <f>ABS(VLOOKUP(A111,TradesEquity!$1:$1048576,14,FALSE))</f>
        <v>215920.58429999999</v>
      </c>
      <c r="AO111" s="346">
        <f>ABS(VLOOKUP(A111,TradesEquity!$1:$1048576,15,FALSE))</f>
        <v>107.96</v>
      </c>
      <c r="AP111" s="348">
        <f>ABS(VLOOKUP(A111,TradesEquity!$1:$1048576,16,FALSE))</f>
        <v>4.7699999999999996</v>
      </c>
      <c r="AQ111" s="286">
        <v>0</v>
      </c>
      <c r="AR111" s="286">
        <v>0</v>
      </c>
      <c r="AS111" s="286">
        <v>0</v>
      </c>
      <c r="AT111" s="286">
        <v>0</v>
      </c>
      <c r="AU111" s="286">
        <v>0</v>
      </c>
      <c r="AV111" s="348">
        <f>ABS(VLOOKUP(A111,TradesEquity!$1:$1048576,18,FALSE))</f>
        <v>215807.85430000001</v>
      </c>
      <c r="AW111" s="349">
        <v>0</v>
      </c>
      <c r="AX111" s="350">
        <v>4542</v>
      </c>
      <c r="AY111" s="351" t="s">
        <v>1959</v>
      </c>
      <c r="AZ111" s="352" t="str">
        <f>(VLOOKUP(A111,TradesEquity!$1:$1048576,29,FALSE))</f>
        <v>GSILGB2XXXX</v>
      </c>
      <c r="BA111" s="352" t="str">
        <f>(VLOOKUP(A111,TradesEquity!$1:$1048576,30,FALSE))</f>
        <v>DTCYUS33</v>
      </c>
      <c r="BB111" s="352" t="str">
        <f>(VLOOKUP(A111,TradesEquity!$1:$1048576,31,FALSE))</f>
        <v xml:space="preserve">        </v>
      </c>
      <c r="BC111" s="352" t="str">
        <f>(VLOOKUP(A111,TradesEquity!$1:$1048576,32,FALSE))</f>
        <v>N</v>
      </c>
      <c r="BI111" s="352" t="str">
        <f>(VLOOKUP(A111,TradesEquity!$1:$1048576,38,FALSE))</f>
        <v>DTCYID</v>
      </c>
      <c r="BJ111" s="352">
        <f>(VLOOKUP(A111,TradesEquity!$1:$1048576,39,FALSE))</f>
        <v>5208</v>
      </c>
      <c r="BK111" s="352" t="str">
        <f>(VLOOKUP(A111,TradesEquity!$1:$1048576,40,FALSE))</f>
        <v xml:space="preserve">        </v>
      </c>
    </row>
    <row r="112" spans="1:63">
      <c r="A112" s="412">
        <v>2019200355</v>
      </c>
      <c r="D112" s="342" t="s">
        <v>1957</v>
      </c>
      <c r="F112" s="343">
        <f>VLOOKUP(A112,TradesEquity!$1:$1048576,2,FALSE)</f>
        <v>44152</v>
      </c>
      <c r="H112" s="343">
        <f>VLOOKUP(A112,TradesEquity!$1:$1048576,21,FALSE)</f>
        <v>44154</v>
      </c>
      <c r="I112" s="344" t="str">
        <f>IF(VLOOKUP(A112,TradesEquity!$1:$1048576,3,FALSE)="BUY","B","S")</f>
        <v>S</v>
      </c>
      <c r="J112" s="344" t="str">
        <f>VLOOKUP(A112,TradesEquity!$1:$1048576,5,FALSE)</f>
        <v>AU000000PLS0</v>
      </c>
      <c r="K112" s="342" t="s">
        <v>19</v>
      </c>
      <c r="L112" s="345" t="s">
        <v>1958</v>
      </c>
      <c r="AE112" s="346" t="str">
        <f>VLOOKUP(A112,TradesEquity!$1:$1048576,10,FALSE)</f>
        <v>AUD</v>
      </c>
      <c r="AF112" s="346" t="str">
        <f t="shared" ref="AF112:AH175" si="4">AE112</f>
        <v>AUD</v>
      </c>
      <c r="AG112" s="346" t="str">
        <f t="shared" si="4"/>
        <v>AUD</v>
      </c>
      <c r="AH112" s="346" t="str">
        <f t="shared" si="4"/>
        <v>AUD</v>
      </c>
      <c r="AI112" s="346">
        <f>ABS(VLOOKUP(A112,TradesEquity!$1:$1048576,13,FALSE))</f>
        <v>220000</v>
      </c>
      <c r="AJ112" s="347">
        <v>0</v>
      </c>
      <c r="AK112" s="347">
        <v>1</v>
      </c>
      <c r="AL112" s="346">
        <f>VLOOKUP(A112,TradesEquity!$1:$1048576,11,FALSE)</f>
        <v>0.56855</v>
      </c>
      <c r="AM112" s="347">
        <v>1</v>
      </c>
      <c r="AN112" s="346">
        <f>ABS(VLOOKUP(A112,TradesEquity!$1:$1048576,14,FALSE))</f>
        <v>125081</v>
      </c>
      <c r="AO112" s="346">
        <f>ABS(VLOOKUP(A112,TradesEquity!$1:$1048576,15,FALSE))</f>
        <v>75.05</v>
      </c>
      <c r="AP112" s="348">
        <f>ABS(VLOOKUP(A112,TradesEquity!$1:$1048576,16,FALSE))</f>
        <v>0</v>
      </c>
      <c r="AQ112" s="286">
        <v>0</v>
      </c>
      <c r="AR112" s="286">
        <v>0</v>
      </c>
      <c r="AS112" s="286">
        <v>0</v>
      </c>
      <c r="AT112" s="286">
        <v>0</v>
      </c>
      <c r="AU112" s="286">
        <v>0</v>
      </c>
      <c r="AV112" s="348">
        <f>ABS(VLOOKUP(A112,TradesEquity!$1:$1048576,18,FALSE))</f>
        <v>125005.95</v>
      </c>
      <c r="AW112" s="349">
        <v>0</v>
      </c>
      <c r="AX112" s="350">
        <v>4542</v>
      </c>
      <c r="AY112" s="351" t="s">
        <v>1959</v>
      </c>
      <c r="AZ112" s="352" t="str">
        <f>(VLOOKUP(A112,TradesEquity!$1:$1048576,29,FALSE))</f>
        <v>GSILGB2XXXX</v>
      </c>
      <c r="BA112" s="352" t="str">
        <f>(VLOOKUP(A112,TradesEquity!$1:$1048576,30,FALSE))</f>
        <v>CAETAU21</v>
      </c>
      <c r="BB112" s="352" t="str">
        <f>(VLOOKUP(A112,TradesEquity!$1:$1048576,31,FALSE))</f>
        <v>011-109048-061</v>
      </c>
      <c r="BC112" s="352" t="str">
        <f>(VLOOKUP(A112,TradesEquity!$1:$1048576,32,FALSE))</f>
        <v>N</v>
      </c>
      <c r="BI112" s="352" t="str">
        <f>(VLOOKUP(A112,TradesEquity!$1:$1048576,38,FALSE))</f>
        <v xml:space="preserve">        </v>
      </c>
      <c r="BJ112" s="352" t="str">
        <f>(VLOOKUP(A112,TradesEquity!$1:$1048576,39,FALSE))</f>
        <v xml:space="preserve">        </v>
      </c>
      <c r="BK112" s="352" t="str">
        <f>(VLOOKUP(A112,TradesEquity!$1:$1048576,40,FALSE))</f>
        <v>HKBAAU2SSYD</v>
      </c>
    </row>
    <row r="113" spans="1:63">
      <c r="A113" s="412">
        <v>2019200356</v>
      </c>
      <c r="D113" s="342" t="s">
        <v>1957</v>
      </c>
      <c r="F113" s="343">
        <f>VLOOKUP(A113,TradesEquity!$1:$1048576,2,FALSE)</f>
        <v>44152</v>
      </c>
      <c r="H113" s="343">
        <f>VLOOKUP(A113,TradesEquity!$1:$1048576,21,FALSE)</f>
        <v>44154</v>
      </c>
      <c r="I113" s="344" t="str">
        <f>IF(VLOOKUP(A113,TradesEquity!$1:$1048576,3,FALSE)="BUY","B","S")</f>
        <v>S</v>
      </c>
      <c r="J113" s="344" t="str">
        <f>VLOOKUP(A113,TradesEquity!$1:$1048576,5,FALSE)</f>
        <v>IT0005424830</v>
      </c>
      <c r="K113" s="342" t="s">
        <v>19</v>
      </c>
      <c r="L113" s="345" t="s">
        <v>1958</v>
      </c>
      <c r="AE113" s="346" t="str">
        <f>VLOOKUP(A113,TradesEquity!$1:$1048576,10,FALSE)</f>
        <v>EUR</v>
      </c>
      <c r="AF113" s="346" t="str">
        <f t="shared" si="4"/>
        <v>EUR</v>
      </c>
      <c r="AG113" s="346" t="str">
        <f t="shared" si="4"/>
        <v>EUR</v>
      </c>
      <c r="AH113" s="346" t="str">
        <f t="shared" si="4"/>
        <v>EUR</v>
      </c>
      <c r="AI113" s="346">
        <f>ABS(VLOOKUP(A113,TradesEquity!$1:$1048576,13,FALSE))</f>
        <v>11000</v>
      </c>
      <c r="AJ113" s="347">
        <v>0</v>
      </c>
      <c r="AK113" s="347">
        <v>1</v>
      </c>
      <c r="AL113" s="346">
        <f>VLOOKUP(A113,TradesEquity!$1:$1048576,11,FALSE)</f>
        <v>2.3554499999999998</v>
      </c>
      <c r="AM113" s="347">
        <v>1</v>
      </c>
      <c r="AN113" s="346">
        <f>ABS(VLOOKUP(A113,TradesEquity!$1:$1048576,14,FALSE))</f>
        <v>25909.949999999997</v>
      </c>
      <c r="AO113" s="346">
        <f>ABS(VLOOKUP(A113,TradesEquity!$1:$1048576,15,FALSE))</f>
        <v>15.55</v>
      </c>
      <c r="AP113" s="348">
        <f>ABS(VLOOKUP(A113,TradesEquity!$1:$1048576,16,FALSE))</f>
        <v>0</v>
      </c>
      <c r="AQ113" s="286">
        <v>0</v>
      </c>
      <c r="AR113" s="286">
        <v>0</v>
      </c>
      <c r="AS113" s="286">
        <v>0</v>
      </c>
      <c r="AT113" s="286">
        <v>0</v>
      </c>
      <c r="AU113" s="286">
        <v>0</v>
      </c>
      <c r="AV113" s="348">
        <f>ABS(VLOOKUP(A113,TradesEquity!$1:$1048576,18,FALSE))</f>
        <v>25894.399999999998</v>
      </c>
      <c r="AW113" s="349">
        <v>0</v>
      </c>
      <c r="AX113" s="350">
        <v>4542</v>
      </c>
      <c r="AY113" s="351" t="s">
        <v>1959</v>
      </c>
      <c r="AZ113" s="352" t="str">
        <f>(VLOOKUP(A113,TradesEquity!$1:$1048576,29,FALSE))</f>
        <v>GSILGB2XXXX</v>
      </c>
      <c r="BA113" s="352" t="str">
        <f>(VLOOKUP(A113,TradesEquity!$1:$1048576,30,FALSE))</f>
        <v>MOTIITMMXXX</v>
      </c>
      <c r="BB113" s="352" t="str">
        <f>(VLOOKUP(A113,TradesEquity!$1:$1048576,31,FALSE))</f>
        <v>MOTICITIITMXXXX6013800</v>
      </c>
      <c r="BC113" s="352" t="str">
        <f>(VLOOKUP(A113,TradesEquity!$1:$1048576,32,FALSE))</f>
        <v>N</v>
      </c>
      <c r="BI113" s="352" t="str">
        <f>(VLOOKUP(A113,TradesEquity!$1:$1048576,38,FALSE))</f>
        <v xml:space="preserve">        </v>
      </c>
      <c r="BJ113" s="352" t="str">
        <f>(VLOOKUP(A113,TradesEquity!$1:$1048576,39,FALSE))</f>
        <v xml:space="preserve">        </v>
      </c>
      <c r="BK113" s="352" t="str">
        <f>(VLOOKUP(A113,TradesEquity!$1:$1048576,40,FALSE))</f>
        <v>CITIITM1012</v>
      </c>
    </row>
    <row r="114" spans="1:63">
      <c r="A114" s="412">
        <v>2019200357</v>
      </c>
      <c r="D114" s="342" t="s">
        <v>1957</v>
      </c>
      <c r="F114" s="343">
        <f>VLOOKUP(A114,TradesEquity!$1:$1048576,2,FALSE)</f>
        <v>44153</v>
      </c>
      <c r="H114" s="343">
        <f>VLOOKUP(A114,TradesEquity!$1:$1048576,21,FALSE)</f>
        <v>44155</v>
      </c>
      <c r="I114" s="344" t="str">
        <f>IF(VLOOKUP(A114,TradesEquity!$1:$1048576,3,FALSE)="BUY","B","S")</f>
        <v>S</v>
      </c>
      <c r="J114" s="344" t="str">
        <f>VLOOKUP(A114,TradesEquity!$1:$1048576,5,FALSE)</f>
        <v>IT0005424830</v>
      </c>
      <c r="K114" s="342" t="s">
        <v>19</v>
      </c>
      <c r="L114" s="345" t="s">
        <v>1958</v>
      </c>
      <c r="AE114" s="346" t="str">
        <f>VLOOKUP(A114,TradesEquity!$1:$1048576,10,FALSE)</f>
        <v>EUR</v>
      </c>
      <c r="AF114" s="346" t="str">
        <f t="shared" si="4"/>
        <v>EUR</v>
      </c>
      <c r="AG114" s="346" t="str">
        <f t="shared" si="4"/>
        <v>EUR</v>
      </c>
      <c r="AH114" s="346" t="str">
        <f t="shared" si="4"/>
        <v>EUR</v>
      </c>
      <c r="AI114" s="346">
        <f>ABS(VLOOKUP(A114,TradesEquity!$1:$1048576,13,FALSE))</f>
        <v>11000</v>
      </c>
      <c r="AJ114" s="347">
        <v>0</v>
      </c>
      <c r="AK114" s="347">
        <v>1</v>
      </c>
      <c r="AL114" s="346">
        <f>VLOOKUP(A114,TradesEquity!$1:$1048576,11,FALSE)</f>
        <v>2.5581800000000001</v>
      </c>
      <c r="AM114" s="347">
        <v>1</v>
      </c>
      <c r="AN114" s="346">
        <f>ABS(VLOOKUP(A114,TradesEquity!$1:$1048576,14,FALSE))</f>
        <v>28139.98</v>
      </c>
      <c r="AO114" s="346">
        <f>ABS(VLOOKUP(A114,TradesEquity!$1:$1048576,15,FALSE))</f>
        <v>16.88</v>
      </c>
      <c r="AP114" s="348">
        <f>ABS(VLOOKUP(A114,TradesEquity!$1:$1048576,16,FALSE))</f>
        <v>0</v>
      </c>
      <c r="AQ114" s="286">
        <v>0</v>
      </c>
      <c r="AR114" s="286">
        <v>0</v>
      </c>
      <c r="AS114" s="286">
        <v>0</v>
      </c>
      <c r="AT114" s="286">
        <v>0</v>
      </c>
      <c r="AU114" s="286">
        <v>0</v>
      </c>
      <c r="AV114" s="348">
        <f>ABS(VLOOKUP(A114,TradesEquity!$1:$1048576,18,FALSE))</f>
        <v>28123.1</v>
      </c>
      <c r="AW114" s="349">
        <v>0</v>
      </c>
      <c r="AX114" s="350">
        <v>4542</v>
      </c>
      <c r="AY114" s="351" t="s">
        <v>1959</v>
      </c>
      <c r="AZ114" s="352" t="str">
        <f>(VLOOKUP(A114,TradesEquity!$1:$1048576,29,FALSE))</f>
        <v>GSILGB2XXXX</v>
      </c>
      <c r="BA114" s="352" t="str">
        <f>(VLOOKUP(A114,TradesEquity!$1:$1048576,30,FALSE))</f>
        <v>MOTIITMMXXX</v>
      </c>
      <c r="BB114" s="352" t="str">
        <f>(VLOOKUP(A114,TradesEquity!$1:$1048576,31,FALSE))</f>
        <v>MOTICITIITMXXXX6013800</v>
      </c>
      <c r="BC114" s="352" t="str">
        <f>(VLOOKUP(A114,TradesEquity!$1:$1048576,32,FALSE))</f>
        <v>N</v>
      </c>
      <c r="BI114" s="352" t="str">
        <f>(VLOOKUP(A114,TradesEquity!$1:$1048576,38,FALSE))</f>
        <v xml:space="preserve">        </v>
      </c>
      <c r="BJ114" s="352" t="str">
        <f>(VLOOKUP(A114,TradesEquity!$1:$1048576,39,FALSE))</f>
        <v xml:space="preserve">        </v>
      </c>
      <c r="BK114" s="352" t="str">
        <f>(VLOOKUP(A114,TradesEquity!$1:$1048576,40,FALSE))</f>
        <v>CITIITM1012</v>
      </c>
    </row>
    <row r="115" spans="1:63">
      <c r="A115" s="412">
        <v>2019200358</v>
      </c>
      <c r="D115" s="342" t="s">
        <v>1957</v>
      </c>
      <c r="F115" s="343">
        <f>VLOOKUP(A115,TradesEquity!$1:$1048576,2,FALSE)</f>
        <v>44158</v>
      </c>
      <c r="H115" s="343">
        <f>VLOOKUP(A115,TradesEquity!$1:$1048576,21,FALSE)</f>
        <v>44160</v>
      </c>
      <c r="I115" s="344" t="str">
        <f>IF(VLOOKUP(A115,TradesEquity!$1:$1048576,3,FALSE)="BUY","B","S")</f>
        <v>B</v>
      </c>
      <c r="J115" s="344" t="str">
        <f>VLOOKUP(A115,TradesEquity!$1:$1048576,5,FALSE)</f>
        <v>CNE100001TJ4</v>
      </c>
      <c r="K115" s="342" t="s">
        <v>19</v>
      </c>
      <c r="L115" s="345" t="s">
        <v>1958</v>
      </c>
      <c r="AE115" s="346" t="str">
        <f>VLOOKUP(A115,TradesEquity!$1:$1048576,10,FALSE)</f>
        <v>HKD</v>
      </c>
      <c r="AF115" s="346" t="str">
        <f t="shared" si="4"/>
        <v>HKD</v>
      </c>
      <c r="AG115" s="346" t="str">
        <f t="shared" si="4"/>
        <v>HKD</v>
      </c>
      <c r="AH115" s="346" t="str">
        <f t="shared" si="4"/>
        <v>HKD</v>
      </c>
      <c r="AI115" s="346">
        <f>ABS(VLOOKUP(A115,TradesEquity!$1:$1048576,13,FALSE))</f>
        <v>211000</v>
      </c>
      <c r="AJ115" s="347">
        <v>0</v>
      </c>
      <c r="AK115" s="347">
        <v>1</v>
      </c>
      <c r="AL115" s="346">
        <f>VLOOKUP(A115,TradesEquity!$1:$1048576,11,FALSE)</f>
        <v>3.1023499999999999</v>
      </c>
      <c r="AM115" s="347">
        <v>1</v>
      </c>
      <c r="AN115" s="346">
        <f>ABS(VLOOKUP(A115,TradesEquity!$1:$1048576,14,FALSE))</f>
        <v>654595.85</v>
      </c>
      <c r="AO115" s="346">
        <f>ABS(VLOOKUP(A115,TradesEquity!$1:$1048576,15,FALSE))</f>
        <v>392.76</v>
      </c>
      <c r="AP115" s="348">
        <f>ABS(VLOOKUP(A115,TradesEquity!$1:$1048576,16,FALSE))</f>
        <v>705.41</v>
      </c>
      <c r="AQ115" s="286">
        <v>0</v>
      </c>
      <c r="AR115" s="286">
        <v>0</v>
      </c>
      <c r="AS115" s="286">
        <v>0</v>
      </c>
      <c r="AT115" s="286">
        <v>0</v>
      </c>
      <c r="AU115" s="286">
        <v>0</v>
      </c>
      <c r="AV115" s="348">
        <f>ABS(VLOOKUP(A115,TradesEquity!$1:$1048576,18,FALSE))</f>
        <v>655694.02</v>
      </c>
      <c r="AW115" s="349">
        <v>0</v>
      </c>
      <c r="AX115" s="350">
        <v>4542</v>
      </c>
      <c r="AY115" s="351" t="s">
        <v>1959</v>
      </c>
      <c r="AZ115" s="352" t="str">
        <f>(VLOOKUP(A115,TradesEquity!$1:$1048576,29,FALSE))</f>
        <v>GSILGB2XXXX</v>
      </c>
      <c r="BA115" s="352" t="str">
        <f>(VLOOKUP(A115,TradesEquity!$1:$1048576,30,FALSE))</f>
        <v>XHKCHKH1XXX</v>
      </c>
      <c r="BB115" s="352" t="str">
        <f>(VLOOKUP(A115,TradesEquity!$1:$1048576,31,FALSE))</f>
        <v xml:space="preserve">        </v>
      </c>
      <c r="BC115" s="352" t="str">
        <f>(VLOOKUP(A115,TradesEquity!$1:$1048576,32,FALSE))</f>
        <v>N</v>
      </c>
      <c r="BI115" s="352" t="str">
        <f>(VLOOKUP(A115,TradesEquity!$1:$1048576,38,FALSE))</f>
        <v>CCASS</v>
      </c>
      <c r="BJ115" s="352" t="str">
        <f>(VLOOKUP(A115,TradesEquity!$1:$1048576,39,FALSE))</f>
        <v>B01451</v>
      </c>
      <c r="BK115" s="352" t="str">
        <f>(VLOOKUP(A115,TradesEquity!$1:$1048576,40,FALSE))</f>
        <v>GSASHKH1XX</v>
      </c>
    </row>
    <row r="116" spans="1:63">
      <c r="A116" s="412">
        <v>2019200359</v>
      </c>
      <c r="D116" s="342" t="s">
        <v>1957</v>
      </c>
      <c r="F116" s="343">
        <f>VLOOKUP(A116,TradesEquity!$1:$1048576,2,FALSE)</f>
        <v>44158</v>
      </c>
      <c r="H116" s="343">
        <f>VLOOKUP(A116,TradesEquity!$1:$1048576,21,FALSE)</f>
        <v>44160</v>
      </c>
      <c r="I116" s="344" t="str">
        <f>IF(VLOOKUP(A116,TradesEquity!$1:$1048576,3,FALSE)="BUY","B","S")</f>
        <v>B</v>
      </c>
      <c r="J116" s="344" t="str">
        <f>VLOOKUP(A116,TradesEquity!$1:$1048576,5,FALSE)</f>
        <v>AU000000IGO4</v>
      </c>
      <c r="K116" s="342" t="s">
        <v>19</v>
      </c>
      <c r="L116" s="345" t="s">
        <v>1958</v>
      </c>
      <c r="AE116" s="346" t="str">
        <f>VLOOKUP(A116,TradesEquity!$1:$1048576,10,FALSE)</f>
        <v>AUD</v>
      </c>
      <c r="AF116" s="346" t="str">
        <f t="shared" si="4"/>
        <v>AUD</v>
      </c>
      <c r="AG116" s="346" t="str">
        <f t="shared" si="4"/>
        <v>AUD</v>
      </c>
      <c r="AH116" s="346" t="str">
        <f t="shared" si="4"/>
        <v>AUD</v>
      </c>
      <c r="AI116" s="346">
        <f>ABS(VLOOKUP(A116,TradesEquity!$1:$1048576,13,FALSE))</f>
        <v>33000</v>
      </c>
      <c r="AJ116" s="347">
        <v>0</v>
      </c>
      <c r="AK116" s="347">
        <v>1</v>
      </c>
      <c r="AL116" s="346">
        <f>VLOOKUP(A116,TradesEquity!$1:$1048576,11,FALSE)</f>
        <v>4.9518800000000001</v>
      </c>
      <c r="AM116" s="347">
        <v>1</v>
      </c>
      <c r="AN116" s="346">
        <f>ABS(VLOOKUP(A116,TradesEquity!$1:$1048576,14,FALSE))</f>
        <v>163412.04</v>
      </c>
      <c r="AO116" s="346">
        <f>ABS(VLOOKUP(A116,TradesEquity!$1:$1048576,15,FALSE))</f>
        <v>98.05</v>
      </c>
      <c r="AP116" s="348">
        <f>ABS(VLOOKUP(A116,TradesEquity!$1:$1048576,16,FALSE))</f>
        <v>0</v>
      </c>
      <c r="AQ116" s="286">
        <v>0</v>
      </c>
      <c r="AR116" s="286">
        <v>0</v>
      </c>
      <c r="AS116" s="286">
        <v>0</v>
      </c>
      <c r="AT116" s="286">
        <v>0</v>
      </c>
      <c r="AU116" s="286">
        <v>0</v>
      </c>
      <c r="AV116" s="348">
        <f>ABS(VLOOKUP(A116,TradesEquity!$1:$1048576,18,FALSE))</f>
        <v>163510.09</v>
      </c>
      <c r="AW116" s="349">
        <v>0</v>
      </c>
      <c r="AX116" s="350">
        <v>4542</v>
      </c>
      <c r="AY116" s="351" t="s">
        <v>1959</v>
      </c>
      <c r="AZ116" s="352" t="str">
        <f>(VLOOKUP(A116,TradesEquity!$1:$1048576,29,FALSE))</f>
        <v>GSILGB2XXXX</v>
      </c>
      <c r="BA116" s="352" t="str">
        <f>(VLOOKUP(A116,TradesEquity!$1:$1048576,30,FALSE))</f>
        <v>CAETAU21</v>
      </c>
      <c r="BB116" s="352" t="str">
        <f>(VLOOKUP(A116,TradesEquity!$1:$1048576,31,FALSE))</f>
        <v>011-109048-061</v>
      </c>
      <c r="BC116" s="352" t="str">
        <f>(VLOOKUP(A116,TradesEquity!$1:$1048576,32,FALSE))</f>
        <v>N</v>
      </c>
      <c r="BI116" s="352" t="str">
        <f>(VLOOKUP(A116,TradesEquity!$1:$1048576,38,FALSE))</f>
        <v xml:space="preserve">        </v>
      </c>
      <c r="BJ116" s="352" t="str">
        <f>(VLOOKUP(A116,TradesEquity!$1:$1048576,39,FALSE))</f>
        <v xml:space="preserve">        </v>
      </c>
      <c r="BK116" s="352" t="str">
        <f>(VLOOKUP(A116,TradesEquity!$1:$1048576,40,FALSE))</f>
        <v>HKBAAU2SSYD</v>
      </c>
    </row>
    <row r="117" spans="1:63">
      <c r="A117" s="412">
        <v>2019200360</v>
      </c>
      <c r="D117" s="342" t="s">
        <v>1957</v>
      </c>
      <c r="F117" s="343">
        <f>VLOOKUP(A117,TradesEquity!$1:$1048576,2,FALSE)</f>
        <v>44158</v>
      </c>
      <c r="H117" s="343">
        <f>VLOOKUP(A117,TradesEquity!$1:$1048576,21,FALSE)</f>
        <v>44160</v>
      </c>
      <c r="I117" s="344" t="str">
        <f>IF(VLOOKUP(A117,TradesEquity!$1:$1048576,3,FALSE)="BUY","B","S")</f>
        <v>S</v>
      </c>
      <c r="J117" s="344" t="str">
        <f>VLOOKUP(A117,TradesEquity!$1:$1048576,5,FALSE)</f>
        <v>AU000000PLS0</v>
      </c>
      <c r="K117" s="342" t="s">
        <v>19</v>
      </c>
      <c r="L117" s="345" t="s">
        <v>1958</v>
      </c>
      <c r="AE117" s="346" t="str">
        <f>VLOOKUP(A117,TradesEquity!$1:$1048576,10,FALSE)</f>
        <v>AUD</v>
      </c>
      <c r="AF117" s="346" t="str">
        <f t="shared" si="4"/>
        <v>AUD</v>
      </c>
      <c r="AG117" s="346" t="str">
        <f t="shared" si="4"/>
        <v>AUD</v>
      </c>
      <c r="AH117" s="346" t="str">
        <f t="shared" si="4"/>
        <v>AUD</v>
      </c>
      <c r="AI117" s="346">
        <f>ABS(VLOOKUP(A117,TradesEquity!$1:$1048576,13,FALSE))</f>
        <v>270000</v>
      </c>
      <c r="AJ117" s="347">
        <v>0</v>
      </c>
      <c r="AK117" s="347">
        <v>1</v>
      </c>
      <c r="AL117" s="346">
        <f>VLOOKUP(A117,TradesEquity!$1:$1048576,11,FALSE)</f>
        <v>0.67976999999999999</v>
      </c>
      <c r="AM117" s="347">
        <v>1</v>
      </c>
      <c r="AN117" s="346">
        <f>ABS(VLOOKUP(A117,TradesEquity!$1:$1048576,14,FALSE))</f>
        <v>183537.9</v>
      </c>
      <c r="AO117" s="346">
        <f>ABS(VLOOKUP(A117,TradesEquity!$1:$1048576,15,FALSE))</f>
        <v>110.12</v>
      </c>
      <c r="AP117" s="348">
        <f>ABS(VLOOKUP(A117,TradesEquity!$1:$1048576,16,FALSE))</f>
        <v>0</v>
      </c>
      <c r="AQ117" s="286">
        <v>0</v>
      </c>
      <c r="AR117" s="286">
        <v>0</v>
      </c>
      <c r="AS117" s="286">
        <v>0</v>
      </c>
      <c r="AT117" s="286">
        <v>0</v>
      </c>
      <c r="AU117" s="286">
        <v>0</v>
      </c>
      <c r="AV117" s="348">
        <f>ABS(VLOOKUP(A117,TradesEquity!$1:$1048576,18,FALSE))</f>
        <v>183427.78</v>
      </c>
      <c r="AW117" s="349">
        <v>0</v>
      </c>
      <c r="AX117" s="350">
        <v>4542</v>
      </c>
      <c r="AY117" s="351" t="s">
        <v>1959</v>
      </c>
      <c r="AZ117" s="352" t="str">
        <f>(VLOOKUP(A117,TradesEquity!$1:$1048576,29,FALSE))</f>
        <v>GSILGB2XXXX</v>
      </c>
      <c r="BA117" s="352" t="str">
        <f>(VLOOKUP(A117,TradesEquity!$1:$1048576,30,FALSE))</f>
        <v>CAETAU21</v>
      </c>
      <c r="BB117" s="352" t="str">
        <f>(VLOOKUP(A117,TradesEquity!$1:$1048576,31,FALSE))</f>
        <v>011-109048-061</v>
      </c>
      <c r="BC117" s="352" t="str">
        <f>(VLOOKUP(A117,TradesEquity!$1:$1048576,32,FALSE))</f>
        <v>N</v>
      </c>
      <c r="BI117" s="352" t="str">
        <f>(VLOOKUP(A117,TradesEquity!$1:$1048576,38,FALSE))</f>
        <v xml:space="preserve">        </v>
      </c>
      <c r="BJ117" s="352" t="str">
        <f>(VLOOKUP(A117,TradesEquity!$1:$1048576,39,FALSE))</f>
        <v xml:space="preserve">        </v>
      </c>
      <c r="BK117" s="352" t="str">
        <f>(VLOOKUP(A117,TradesEquity!$1:$1048576,40,FALSE))</f>
        <v>HKBAAU2SSYD</v>
      </c>
    </row>
    <row r="118" spans="1:63">
      <c r="A118" s="412">
        <v>2019200361</v>
      </c>
      <c r="D118" s="342" t="s">
        <v>1957</v>
      </c>
      <c r="F118" s="343">
        <f>VLOOKUP(A118,TradesEquity!$1:$1048576,2,FALSE)</f>
        <v>44159</v>
      </c>
      <c r="H118" s="343">
        <f>VLOOKUP(A118,TradesEquity!$1:$1048576,21,FALSE)</f>
        <v>44161</v>
      </c>
      <c r="I118" s="344" t="str">
        <f>IF(VLOOKUP(A118,TradesEquity!$1:$1048576,3,FALSE)="BUY","B","S")</f>
        <v>B</v>
      </c>
      <c r="J118" s="344" t="str">
        <f>VLOOKUP(A118,TradesEquity!$1:$1048576,5,FALSE)</f>
        <v>JP3368000000</v>
      </c>
      <c r="K118" s="342" t="s">
        <v>19</v>
      </c>
      <c r="L118" s="345" t="s">
        <v>1958</v>
      </c>
      <c r="AE118" s="346" t="str">
        <f>VLOOKUP(A118,TradesEquity!$1:$1048576,10,FALSE)</f>
        <v>JPY</v>
      </c>
      <c r="AF118" s="346" t="str">
        <f t="shared" si="4"/>
        <v>JPY</v>
      </c>
      <c r="AG118" s="346" t="str">
        <f t="shared" si="4"/>
        <v>JPY</v>
      </c>
      <c r="AH118" s="346" t="str">
        <f t="shared" si="4"/>
        <v>JPY</v>
      </c>
      <c r="AI118" s="346">
        <f>ABS(VLOOKUP(A118,TradesEquity!$1:$1048576,13,FALSE))</f>
        <v>11000</v>
      </c>
      <c r="AJ118" s="347">
        <v>0</v>
      </c>
      <c r="AK118" s="347">
        <v>1</v>
      </c>
      <c r="AL118" s="346">
        <f>VLOOKUP(A118,TradesEquity!$1:$1048576,11,FALSE)</f>
        <v>1951.07536</v>
      </c>
      <c r="AM118" s="347">
        <v>1</v>
      </c>
      <c r="AN118" s="346">
        <f>ABS(VLOOKUP(A118,TradesEquity!$1:$1048576,14,FALSE))</f>
        <v>21461828.960000001</v>
      </c>
      <c r="AO118" s="346">
        <f>ABS(VLOOKUP(A118,TradesEquity!$1:$1048576,15,FALSE))</f>
        <v>12877</v>
      </c>
      <c r="AP118" s="348">
        <f>ABS(VLOOKUP(A118,TradesEquity!$1:$1048576,16,FALSE))</f>
        <v>0</v>
      </c>
      <c r="AQ118" s="286">
        <v>0</v>
      </c>
      <c r="AR118" s="286">
        <v>0</v>
      </c>
      <c r="AS118" s="286">
        <v>0</v>
      </c>
      <c r="AT118" s="286">
        <v>0</v>
      </c>
      <c r="AU118" s="286">
        <v>0</v>
      </c>
      <c r="AV118" s="348">
        <f>ABS(VLOOKUP(A118,TradesEquity!$1:$1048576,18,FALSE))</f>
        <v>21474705.960000001</v>
      </c>
      <c r="AW118" s="349">
        <v>0</v>
      </c>
      <c r="AX118" s="350">
        <v>4542</v>
      </c>
      <c r="AY118" s="351" t="s">
        <v>1959</v>
      </c>
      <c r="AZ118" s="352" t="str">
        <f>(VLOOKUP(A118,TradesEquity!$1:$1048576,29,FALSE))</f>
        <v>GSILGB2XXXX</v>
      </c>
      <c r="BA118" s="352" t="str">
        <f>(VLOOKUP(A118,TradesEquity!$1:$1048576,30,FALSE))</f>
        <v>JJSDJPJTXXX</v>
      </c>
      <c r="BB118" s="352">
        <f>(VLOOKUP(A118,TradesEquity!$1:$1048576,31,FALSE))</f>
        <v>6530490016</v>
      </c>
      <c r="BC118" s="352" t="str">
        <f>(VLOOKUP(A118,TradesEquity!$1:$1048576,32,FALSE))</f>
        <v>N</v>
      </c>
      <c r="BI118" s="352" t="str">
        <f>(VLOOKUP(A118,TradesEquity!$1:$1048576,38,FALSE))</f>
        <v xml:space="preserve">                  </v>
      </c>
      <c r="BJ118" s="352" t="str">
        <f>(VLOOKUP(A118,TradesEquity!$1:$1048576,39,FALSE))</f>
        <v xml:space="preserve">                          </v>
      </c>
      <c r="BK118" s="352" t="str">
        <f>(VLOOKUP(A118,TradesEquity!$1:$1048576,40,FALSE))</f>
        <v>GOLDJPJXXXX</v>
      </c>
    </row>
    <row r="119" spans="1:63">
      <c r="A119" s="412">
        <v>2019200362</v>
      </c>
      <c r="D119" s="342" t="s">
        <v>1957</v>
      </c>
      <c r="F119" s="343">
        <f>VLOOKUP(A119,TradesEquity!$1:$1048576,2,FALSE)</f>
        <v>44159</v>
      </c>
      <c r="H119" s="343">
        <f>VLOOKUP(A119,TradesEquity!$1:$1048576,21,FALSE)</f>
        <v>44161</v>
      </c>
      <c r="I119" s="344" t="str">
        <f>IF(VLOOKUP(A119,TradesEquity!$1:$1048576,3,FALSE)="BUY","B","S")</f>
        <v>S</v>
      </c>
      <c r="J119" s="344" t="str">
        <f>VLOOKUP(A119,TradesEquity!$1:$1048576,5,FALSE)</f>
        <v>DE000A2E4LE9</v>
      </c>
      <c r="K119" s="342" t="s">
        <v>19</v>
      </c>
      <c r="L119" s="345" t="s">
        <v>1958</v>
      </c>
      <c r="AE119" s="346" t="str">
        <f>VLOOKUP(A119,TradesEquity!$1:$1048576,10,FALSE)</f>
        <v>EUR</v>
      </c>
      <c r="AF119" s="346" t="str">
        <f t="shared" si="4"/>
        <v>EUR</v>
      </c>
      <c r="AG119" s="346" t="str">
        <f t="shared" si="4"/>
        <v>EUR</v>
      </c>
      <c r="AH119" s="346" t="str">
        <f t="shared" si="4"/>
        <v>EUR</v>
      </c>
      <c r="AI119" s="346">
        <f>ABS(VLOOKUP(A119,TradesEquity!$1:$1048576,13,FALSE))</f>
        <v>5300</v>
      </c>
      <c r="AJ119" s="347">
        <v>0</v>
      </c>
      <c r="AK119" s="347">
        <v>1</v>
      </c>
      <c r="AL119" s="346">
        <f>VLOOKUP(A119,TradesEquity!$1:$1048576,11,FALSE)</f>
        <v>5.2982300000000002</v>
      </c>
      <c r="AM119" s="347">
        <v>1</v>
      </c>
      <c r="AN119" s="346">
        <f>ABS(VLOOKUP(A119,TradesEquity!$1:$1048576,14,FALSE))</f>
        <v>28080.619000000002</v>
      </c>
      <c r="AO119" s="346">
        <f>ABS(VLOOKUP(A119,TradesEquity!$1:$1048576,15,FALSE))</f>
        <v>16.850000000000001</v>
      </c>
      <c r="AP119" s="348">
        <f>ABS(VLOOKUP(A119,TradesEquity!$1:$1048576,16,FALSE))</f>
        <v>0</v>
      </c>
      <c r="AQ119" s="286">
        <v>0</v>
      </c>
      <c r="AR119" s="286">
        <v>0</v>
      </c>
      <c r="AS119" s="286">
        <v>0</v>
      </c>
      <c r="AT119" s="286">
        <v>0</v>
      </c>
      <c r="AU119" s="286">
        <v>0</v>
      </c>
      <c r="AV119" s="348">
        <f>ABS(VLOOKUP(A119,TradesEquity!$1:$1048576,18,FALSE))</f>
        <v>28063.769000000004</v>
      </c>
      <c r="AW119" s="349">
        <v>0</v>
      </c>
      <c r="AX119" s="350">
        <v>4542</v>
      </c>
      <c r="AY119" s="351" t="s">
        <v>1959</v>
      </c>
      <c r="AZ119" s="352" t="str">
        <f>(VLOOKUP(A119,TradesEquity!$1:$1048576,29,FALSE))</f>
        <v>GSILGB2XXXX</v>
      </c>
      <c r="BA119" s="352" t="str">
        <f>(VLOOKUP(A119,TradesEquity!$1:$1048576,30,FALSE))</f>
        <v>DAKVDEFFXXX</v>
      </c>
      <c r="BB119" s="352" t="str">
        <f>(VLOOKUP(A119,TradesEquity!$1:$1048576,31,FALSE))</f>
        <v>DAKV7372000</v>
      </c>
      <c r="BC119" s="352" t="str">
        <f>(VLOOKUP(A119,TradesEquity!$1:$1048576,32,FALSE))</f>
        <v>N</v>
      </c>
      <c r="BI119" s="352" t="str">
        <f>(VLOOKUP(A119,TradesEquity!$1:$1048576,38,FALSE))</f>
        <v xml:space="preserve">        </v>
      </c>
      <c r="BJ119" s="352" t="str">
        <f>(VLOOKUP(A119,TradesEquity!$1:$1048576,39,FALSE))</f>
        <v xml:space="preserve">        </v>
      </c>
      <c r="BK119" s="352" t="str">
        <f>(VLOOKUP(A119,TradesEquity!$1:$1048576,40,FALSE))</f>
        <v>CITIDEFFXXX</v>
      </c>
    </row>
    <row r="120" spans="1:63">
      <c r="A120" s="412">
        <v>2019200363</v>
      </c>
      <c r="D120" s="342" t="s">
        <v>1957</v>
      </c>
      <c r="F120" s="343">
        <f>VLOOKUP(A120,TradesEquity!$1:$1048576,2,FALSE)</f>
        <v>44159</v>
      </c>
      <c r="H120" s="343">
        <f>VLOOKUP(A120,TradesEquity!$1:$1048576,21,FALSE)</f>
        <v>44162</v>
      </c>
      <c r="I120" s="344" t="str">
        <f>IF(VLOOKUP(A120,TradesEquity!$1:$1048576,3,FALSE)="BUY","B","S")</f>
        <v>S</v>
      </c>
      <c r="J120" s="344" t="str">
        <f>VLOOKUP(A120,TradesEquity!$1:$1048576,5,FALSE)</f>
        <v>US8336351056</v>
      </c>
      <c r="K120" s="342" t="s">
        <v>19</v>
      </c>
      <c r="L120" s="345" t="s">
        <v>1958</v>
      </c>
      <c r="AE120" s="346" t="str">
        <f>VLOOKUP(A120,TradesEquity!$1:$1048576,10,FALSE)</f>
        <v>USD</v>
      </c>
      <c r="AF120" s="346" t="str">
        <f t="shared" si="4"/>
        <v>USD</v>
      </c>
      <c r="AG120" s="346" t="str">
        <f t="shared" si="4"/>
        <v>USD</v>
      </c>
      <c r="AH120" s="346" t="str">
        <f t="shared" si="4"/>
        <v>USD</v>
      </c>
      <c r="AI120" s="346">
        <f>ABS(VLOOKUP(A120,TradesEquity!$1:$1048576,13,FALSE))</f>
        <v>2000</v>
      </c>
      <c r="AJ120" s="347">
        <v>0</v>
      </c>
      <c r="AK120" s="347">
        <v>1</v>
      </c>
      <c r="AL120" s="346">
        <f>VLOOKUP(A120,TradesEquity!$1:$1048576,11,FALSE)</f>
        <v>47.869</v>
      </c>
      <c r="AM120" s="347">
        <v>1</v>
      </c>
      <c r="AN120" s="346">
        <f>ABS(VLOOKUP(A120,TradesEquity!$1:$1048576,14,FALSE))</f>
        <v>95738</v>
      </c>
      <c r="AO120" s="346">
        <f>ABS(VLOOKUP(A120,TradesEquity!$1:$1048576,15,FALSE))</f>
        <v>47.87</v>
      </c>
      <c r="AP120" s="348">
        <f>ABS(VLOOKUP(A120,TradesEquity!$1:$1048576,16,FALSE))</f>
        <v>2.12</v>
      </c>
      <c r="AQ120" s="286">
        <v>0</v>
      </c>
      <c r="AR120" s="286">
        <v>0</v>
      </c>
      <c r="AS120" s="286">
        <v>0</v>
      </c>
      <c r="AT120" s="286">
        <v>0</v>
      </c>
      <c r="AU120" s="286">
        <v>0</v>
      </c>
      <c r="AV120" s="348">
        <f>ABS(VLOOKUP(A120,TradesEquity!$1:$1048576,18,FALSE))</f>
        <v>95688.010000000009</v>
      </c>
      <c r="AW120" s="349">
        <v>0</v>
      </c>
      <c r="AX120" s="350">
        <v>4542</v>
      </c>
      <c r="AY120" s="351" t="s">
        <v>1959</v>
      </c>
      <c r="AZ120" s="352" t="str">
        <f>(VLOOKUP(A120,TradesEquity!$1:$1048576,29,FALSE))</f>
        <v>GSILGB2XXXX</v>
      </c>
      <c r="BA120" s="352" t="str">
        <f>(VLOOKUP(A120,TradesEquity!$1:$1048576,30,FALSE))</f>
        <v>DTCYUS33</v>
      </c>
      <c r="BB120" s="352" t="str">
        <f>(VLOOKUP(A120,TradesEquity!$1:$1048576,31,FALSE))</f>
        <v xml:space="preserve">        </v>
      </c>
      <c r="BC120" s="352" t="str">
        <f>(VLOOKUP(A120,TradesEquity!$1:$1048576,32,FALSE))</f>
        <v>N</v>
      </c>
      <c r="BI120" s="352" t="str">
        <f>(VLOOKUP(A120,TradesEquity!$1:$1048576,38,FALSE))</f>
        <v>DTCYID</v>
      </c>
      <c r="BJ120" s="352">
        <f>(VLOOKUP(A120,TradesEquity!$1:$1048576,39,FALSE))</f>
        <v>5208</v>
      </c>
      <c r="BK120" s="352" t="str">
        <f>(VLOOKUP(A120,TradesEquity!$1:$1048576,40,FALSE))</f>
        <v xml:space="preserve">        </v>
      </c>
    </row>
    <row r="121" spans="1:63">
      <c r="A121" s="412">
        <v>2019200364</v>
      </c>
      <c r="D121" s="342" t="s">
        <v>1957</v>
      </c>
      <c r="F121" s="343">
        <f>VLOOKUP(A121,TradesEquity!$1:$1048576,2,FALSE)</f>
        <v>44160</v>
      </c>
      <c r="H121" s="343">
        <f>VLOOKUP(A121,TradesEquity!$1:$1048576,21,FALSE)</f>
        <v>44162</v>
      </c>
      <c r="I121" s="344" t="str">
        <f>IF(VLOOKUP(A121,TradesEquity!$1:$1048576,3,FALSE)="BUY","B","S")</f>
        <v>S</v>
      </c>
      <c r="J121" s="344" t="str">
        <f>VLOOKUP(A121,TradesEquity!$1:$1048576,5,FALSE)</f>
        <v>DE000A2E4LE9</v>
      </c>
      <c r="K121" s="342" t="s">
        <v>19</v>
      </c>
      <c r="L121" s="345" t="s">
        <v>1958</v>
      </c>
      <c r="AE121" s="346" t="str">
        <f>VLOOKUP(A121,TradesEquity!$1:$1048576,10,FALSE)</f>
        <v>EUR</v>
      </c>
      <c r="AF121" s="346" t="str">
        <f t="shared" si="4"/>
        <v>EUR</v>
      </c>
      <c r="AG121" s="346" t="str">
        <f t="shared" si="4"/>
        <v>EUR</v>
      </c>
      <c r="AH121" s="346" t="str">
        <f t="shared" si="4"/>
        <v>EUR</v>
      </c>
      <c r="AI121" s="346">
        <f>ABS(VLOOKUP(A121,TradesEquity!$1:$1048576,13,FALSE))</f>
        <v>11000</v>
      </c>
      <c r="AJ121" s="347">
        <v>0</v>
      </c>
      <c r="AK121" s="347">
        <v>1</v>
      </c>
      <c r="AL121" s="346">
        <f>VLOOKUP(A121,TradesEquity!$1:$1048576,11,FALSE)</f>
        <v>5.7228000000000003</v>
      </c>
      <c r="AM121" s="347">
        <v>1</v>
      </c>
      <c r="AN121" s="346">
        <f>ABS(VLOOKUP(A121,TradesEquity!$1:$1048576,14,FALSE))</f>
        <v>62950.8</v>
      </c>
      <c r="AO121" s="346">
        <f>ABS(VLOOKUP(A121,TradesEquity!$1:$1048576,15,FALSE))</f>
        <v>37.770000000000003</v>
      </c>
      <c r="AP121" s="348">
        <f>ABS(VLOOKUP(A121,TradesEquity!$1:$1048576,16,FALSE))</f>
        <v>0</v>
      </c>
      <c r="AQ121" s="286">
        <v>0</v>
      </c>
      <c r="AR121" s="286">
        <v>0</v>
      </c>
      <c r="AS121" s="286">
        <v>0</v>
      </c>
      <c r="AT121" s="286">
        <v>0</v>
      </c>
      <c r="AU121" s="286">
        <v>0</v>
      </c>
      <c r="AV121" s="348">
        <f>ABS(VLOOKUP(A121,TradesEquity!$1:$1048576,18,FALSE))</f>
        <v>62913.030000000006</v>
      </c>
      <c r="AW121" s="349">
        <v>0</v>
      </c>
      <c r="AX121" s="350">
        <v>4542</v>
      </c>
      <c r="AY121" s="351" t="s">
        <v>1959</v>
      </c>
      <c r="AZ121" s="352" t="str">
        <f>(VLOOKUP(A121,TradesEquity!$1:$1048576,29,FALSE))</f>
        <v>GSILGB2XXXX</v>
      </c>
      <c r="BA121" s="352" t="str">
        <f>(VLOOKUP(A121,TradesEquity!$1:$1048576,30,FALSE))</f>
        <v>DAKVDEFFXXX</v>
      </c>
      <c r="BB121" s="352" t="str">
        <f>(VLOOKUP(A121,TradesEquity!$1:$1048576,31,FALSE))</f>
        <v>DAKV7372000</v>
      </c>
      <c r="BC121" s="352" t="str">
        <f>(VLOOKUP(A121,TradesEquity!$1:$1048576,32,FALSE))</f>
        <v>N</v>
      </c>
      <c r="BI121" s="352" t="str">
        <f>(VLOOKUP(A121,TradesEquity!$1:$1048576,38,FALSE))</f>
        <v xml:space="preserve">        </v>
      </c>
      <c r="BJ121" s="352" t="str">
        <f>(VLOOKUP(A121,TradesEquity!$1:$1048576,39,FALSE))</f>
        <v xml:space="preserve">        </v>
      </c>
      <c r="BK121" s="352" t="str">
        <f>(VLOOKUP(A121,TradesEquity!$1:$1048576,40,FALSE))</f>
        <v>CITIDEFFXXX</v>
      </c>
    </row>
    <row r="122" spans="1:63">
      <c r="A122" s="412">
        <v>2019200365</v>
      </c>
      <c r="D122" s="342" t="s">
        <v>1957</v>
      </c>
      <c r="F122" s="343">
        <f>VLOOKUP(A122,TradesEquity!$1:$1048576,2,FALSE)</f>
        <v>44162</v>
      </c>
      <c r="H122" s="343">
        <f>VLOOKUP(A122,TradesEquity!$1:$1048576,21,FALSE)</f>
        <v>44166</v>
      </c>
      <c r="I122" s="344" t="str">
        <f>IF(VLOOKUP(A122,TradesEquity!$1:$1048576,3,FALSE)="BUY","B","S")</f>
        <v>S</v>
      </c>
      <c r="J122" s="344" t="str">
        <f>VLOOKUP(A122,TradesEquity!$1:$1048576,5,FALSE)</f>
        <v>IT0005424830</v>
      </c>
      <c r="K122" s="342" t="s">
        <v>19</v>
      </c>
      <c r="L122" s="345" t="s">
        <v>1958</v>
      </c>
      <c r="AE122" s="346" t="str">
        <f>VLOOKUP(A122,TradesEquity!$1:$1048576,10,FALSE)</f>
        <v>EUR</v>
      </c>
      <c r="AF122" s="346" t="str">
        <f t="shared" si="4"/>
        <v>EUR</v>
      </c>
      <c r="AG122" s="346" t="str">
        <f t="shared" si="4"/>
        <v>EUR</v>
      </c>
      <c r="AH122" s="346" t="str">
        <f t="shared" si="4"/>
        <v>EUR</v>
      </c>
      <c r="AI122" s="346">
        <f>ABS(VLOOKUP(A122,TradesEquity!$1:$1048576,13,FALSE))</f>
        <v>11000</v>
      </c>
      <c r="AJ122" s="347">
        <v>0</v>
      </c>
      <c r="AK122" s="347">
        <v>1</v>
      </c>
      <c r="AL122" s="346">
        <f>VLOOKUP(A122,TradesEquity!$1:$1048576,11,FALSE)</f>
        <v>2.4263599999999999</v>
      </c>
      <c r="AM122" s="347">
        <v>1</v>
      </c>
      <c r="AN122" s="346">
        <f>ABS(VLOOKUP(A122,TradesEquity!$1:$1048576,14,FALSE))</f>
        <v>26689.96</v>
      </c>
      <c r="AO122" s="346">
        <f>ABS(VLOOKUP(A122,TradesEquity!$1:$1048576,15,FALSE))</f>
        <v>16.010000000000002</v>
      </c>
      <c r="AP122" s="348">
        <f>ABS(VLOOKUP(A122,TradesEquity!$1:$1048576,16,FALSE))</f>
        <v>0</v>
      </c>
      <c r="AQ122" s="286">
        <v>0</v>
      </c>
      <c r="AR122" s="286">
        <v>0</v>
      </c>
      <c r="AS122" s="286">
        <v>0</v>
      </c>
      <c r="AT122" s="286">
        <v>0</v>
      </c>
      <c r="AU122" s="286">
        <v>0</v>
      </c>
      <c r="AV122" s="348">
        <f>ABS(VLOOKUP(A122,TradesEquity!$1:$1048576,18,FALSE))</f>
        <v>26673.95</v>
      </c>
      <c r="AW122" s="349">
        <v>0</v>
      </c>
      <c r="AX122" s="350">
        <v>4542</v>
      </c>
      <c r="AY122" s="351" t="s">
        <v>1959</v>
      </c>
      <c r="AZ122" s="352" t="str">
        <f>(VLOOKUP(A122,TradesEquity!$1:$1048576,29,FALSE))</f>
        <v>GSILGB2XXXX</v>
      </c>
      <c r="BA122" s="352" t="str">
        <f>(VLOOKUP(A122,TradesEquity!$1:$1048576,30,FALSE))</f>
        <v>MOTIITMMXXX</v>
      </c>
      <c r="BB122" s="352" t="str">
        <f>(VLOOKUP(A122,TradesEquity!$1:$1048576,31,FALSE))</f>
        <v>MOTICITIITMXXXX6013800</v>
      </c>
      <c r="BC122" s="352" t="str">
        <f>(VLOOKUP(A122,TradesEquity!$1:$1048576,32,FALSE))</f>
        <v>N</v>
      </c>
      <c r="BI122" s="352" t="str">
        <f>(VLOOKUP(A122,TradesEquity!$1:$1048576,38,FALSE))</f>
        <v xml:space="preserve">        </v>
      </c>
      <c r="BJ122" s="352" t="str">
        <f>(VLOOKUP(A122,TradesEquity!$1:$1048576,39,FALSE))</f>
        <v xml:space="preserve">        </v>
      </c>
      <c r="BK122" s="352" t="str">
        <f>(VLOOKUP(A122,TradesEquity!$1:$1048576,40,FALSE))</f>
        <v>CITIITM1012</v>
      </c>
    </row>
    <row r="123" spans="1:63">
      <c r="A123" s="412">
        <v>2019200366</v>
      </c>
      <c r="D123" s="342" t="s">
        <v>1957</v>
      </c>
      <c r="F123" s="343">
        <f>VLOOKUP(A123,TradesEquity!$1:$1048576,2,FALSE)</f>
        <v>44166</v>
      </c>
      <c r="H123" s="343">
        <f>VLOOKUP(A123,TradesEquity!$1:$1048576,21,FALSE)</f>
        <v>44168</v>
      </c>
      <c r="I123" s="344" t="str">
        <f>IF(VLOOKUP(A123,TradesEquity!$1:$1048576,3,FALSE)="BUY","B","S")</f>
        <v>S</v>
      </c>
      <c r="J123" s="344" t="str">
        <f>VLOOKUP(A123,TradesEquity!$1:$1048576,5,FALSE)</f>
        <v>CH0110303119</v>
      </c>
      <c r="K123" s="342" t="s">
        <v>19</v>
      </c>
      <c r="L123" s="345" t="s">
        <v>1958</v>
      </c>
      <c r="AE123" s="346" t="str">
        <f>VLOOKUP(A123,TradesEquity!$1:$1048576,10,FALSE)</f>
        <v>CHF</v>
      </c>
      <c r="AF123" s="346" t="str">
        <f t="shared" si="4"/>
        <v>CHF</v>
      </c>
      <c r="AG123" s="346" t="str">
        <f t="shared" si="4"/>
        <v>CHF</v>
      </c>
      <c r="AH123" s="346" t="str">
        <f t="shared" si="4"/>
        <v>CHF</v>
      </c>
      <c r="AI123" s="346">
        <f>ABS(VLOOKUP(A123,TradesEquity!$1:$1048576,13,FALSE))</f>
        <v>103195</v>
      </c>
      <c r="AJ123" s="347">
        <v>0</v>
      </c>
      <c r="AK123" s="347">
        <v>1</v>
      </c>
      <c r="AL123" s="346">
        <f>VLOOKUP(A123,TradesEquity!$1:$1048576,11,FALSE)</f>
        <v>1.15798</v>
      </c>
      <c r="AM123" s="347">
        <v>1</v>
      </c>
      <c r="AN123" s="346">
        <f>ABS(VLOOKUP(A123,TradesEquity!$1:$1048576,14,FALSE))</f>
        <v>119497.7461</v>
      </c>
      <c r="AO123" s="346">
        <f>ABS(VLOOKUP(A123,TradesEquity!$1:$1048576,15,FALSE))</f>
        <v>71.7</v>
      </c>
      <c r="AP123" s="348">
        <f>ABS(VLOOKUP(A123,TradesEquity!$1:$1048576,16,FALSE))</f>
        <v>0</v>
      </c>
      <c r="AQ123" s="286">
        <v>0</v>
      </c>
      <c r="AR123" s="286">
        <v>0</v>
      </c>
      <c r="AS123" s="286">
        <v>0</v>
      </c>
      <c r="AT123" s="286">
        <v>0</v>
      </c>
      <c r="AU123" s="286">
        <v>0</v>
      </c>
      <c r="AV123" s="348">
        <f>ABS(VLOOKUP(A123,TradesEquity!$1:$1048576,18,FALSE))</f>
        <v>119426.04610000001</v>
      </c>
      <c r="AW123" s="349">
        <v>0</v>
      </c>
      <c r="AX123" s="350">
        <v>4542</v>
      </c>
      <c r="AY123" s="351" t="s">
        <v>1959</v>
      </c>
      <c r="AZ123" s="352" t="str">
        <f>(VLOOKUP(A123,TradesEquity!$1:$1048576,29,FALSE))</f>
        <v>GSILGB2XXXX</v>
      </c>
      <c r="BA123" s="352" t="str">
        <f>(VLOOKUP(A123,TradesEquity!$1:$1048576,30,FALSE))</f>
        <v>INSECHZZ</v>
      </c>
      <c r="BB123" s="352">
        <f>(VLOOKUP(A123,TradesEquity!$1:$1048576,31,FALSE))</f>
        <v>20319455</v>
      </c>
      <c r="BC123" s="352" t="str">
        <f>(VLOOKUP(A123,TradesEquity!$1:$1048576,32,FALSE))</f>
        <v>N</v>
      </c>
      <c r="BI123" s="352" t="str">
        <f>(VLOOKUP(A123,TradesEquity!$1:$1048576,38,FALSE))</f>
        <v>SCOM</v>
      </c>
      <c r="BJ123" s="352" t="str">
        <f>(VLOOKUP(A123,TradesEquity!$1:$1048576,39,FALSE))</f>
        <v>GB102183</v>
      </c>
      <c r="BK123" s="352" t="str">
        <f>(VLOOKUP(A123,TradesEquity!$1:$1048576,40,FALSE))</f>
        <v>GSILGB2XXXX</v>
      </c>
    </row>
    <row r="124" spans="1:63">
      <c r="A124" s="412">
        <v>2019200367</v>
      </c>
      <c r="D124" s="342" t="s">
        <v>1957</v>
      </c>
      <c r="F124" s="343">
        <f>VLOOKUP(A124,TradesEquity!$1:$1048576,2,FALSE)</f>
        <v>44165</v>
      </c>
      <c r="H124" s="343">
        <f>VLOOKUP(A124,TradesEquity!$1:$1048576,21,FALSE)</f>
        <v>44167</v>
      </c>
      <c r="I124" s="344" t="str">
        <f>IF(VLOOKUP(A124,TradesEquity!$1:$1048576,3,FALSE)="BUY","B","S")</f>
        <v>B</v>
      </c>
      <c r="J124" s="344" t="str">
        <f>VLOOKUP(A124,TradesEquity!$1:$1048576,5,FALSE)</f>
        <v>GG00B4TM3943</v>
      </c>
      <c r="K124" s="342" t="s">
        <v>19</v>
      </c>
      <c r="L124" s="345" t="s">
        <v>1958</v>
      </c>
      <c r="AE124" s="346" t="str">
        <f>VLOOKUP(A124,TradesEquity!$1:$1048576,10,FALSE)</f>
        <v>GBp</v>
      </c>
      <c r="AF124" s="346" t="str">
        <f t="shared" si="4"/>
        <v>GBp</v>
      </c>
      <c r="AG124" s="346" t="str">
        <f t="shared" si="4"/>
        <v>GBp</v>
      </c>
      <c r="AH124" s="346" t="str">
        <f t="shared" si="4"/>
        <v>GBp</v>
      </c>
      <c r="AI124" s="346">
        <f>ABS(VLOOKUP(A124,TradesEquity!$1:$1048576,13,FALSE))</f>
        <v>420000</v>
      </c>
      <c r="AJ124" s="347">
        <v>0</v>
      </c>
      <c r="AK124" s="347">
        <v>1</v>
      </c>
      <c r="AL124" s="346">
        <f>VLOOKUP(A124,TradesEquity!$1:$1048576,11,FALSE)</f>
        <v>0.126</v>
      </c>
      <c r="AM124" s="347">
        <v>1</v>
      </c>
      <c r="AN124" s="346">
        <f>ABS(VLOOKUP(A124,TradesEquity!$1:$1048576,14,FALSE))</f>
        <v>52920</v>
      </c>
      <c r="AO124" s="346">
        <f>ABS(VLOOKUP(A124,TradesEquity!$1:$1048576,15,FALSE))</f>
        <v>31.75</v>
      </c>
      <c r="AP124" s="348">
        <f>ABS(VLOOKUP(A124,TradesEquity!$1:$1048576,16,FALSE))</f>
        <v>1</v>
      </c>
      <c r="AQ124" s="286">
        <v>0</v>
      </c>
      <c r="AR124" s="286">
        <v>0</v>
      </c>
      <c r="AS124" s="286">
        <v>0</v>
      </c>
      <c r="AT124" s="286">
        <v>0</v>
      </c>
      <c r="AU124" s="286">
        <v>0</v>
      </c>
      <c r="AV124" s="348">
        <f>ABS(VLOOKUP(A124,TradesEquity!$1:$1048576,18,FALSE))</f>
        <v>52952.75</v>
      </c>
      <c r="AW124" s="349">
        <v>0</v>
      </c>
      <c r="AX124" s="350">
        <v>4542</v>
      </c>
      <c r="AY124" s="351" t="s">
        <v>1959</v>
      </c>
      <c r="AZ124" s="352" t="str">
        <f>(VLOOKUP(A124,TradesEquity!$1:$1048576,29,FALSE))</f>
        <v>GSILGB2XXXX</v>
      </c>
      <c r="BA124" s="352" t="str">
        <f>(VLOOKUP(A124,TradesEquity!$1:$1048576,30,FALSE))</f>
        <v>CRSTGB22</v>
      </c>
      <c r="BB124" s="352" t="str">
        <f>(VLOOKUP(A124,TradesEquity!$1:$1048576,31,FALSE))</f>
        <v xml:space="preserve">        </v>
      </c>
      <c r="BC124" s="352" t="str">
        <f>(VLOOKUP(A124,TradesEquity!$1:$1048576,32,FALSE))</f>
        <v>N</v>
      </c>
      <c r="BI124" s="352" t="str">
        <f>(VLOOKUP(A124,TradesEquity!$1:$1048576,38,FALSE))</f>
        <v>CRST</v>
      </c>
      <c r="BJ124" s="352">
        <f>(VLOOKUP(A124,TradesEquity!$1:$1048576,39,FALSE))</f>
        <v>303</v>
      </c>
      <c r="BK124" s="352" t="str">
        <f>(VLOOKUP(A124,TradesEquity!$1:$1048576,40,FALSE))</f>
        <v>GSILGB2XXXX</v>
      </c>
    </row>
    <row r="125" spans="1:63" s="444" customFormat="1">
      <c r="A125" s="443">
        <f>(A124+1)</f>
        <v>2019200368</v>
      </c>
      <c r="D125" s="342" t="s">
        <v>1957</v>
      </c>
      <c r="F125" s="445">
        <f>VLOOKUP(A125,TradesEquity!$1:$1048576,2,FALSE)</f>
        <v>44166</v>
      </c>
      <c r="H125" s="445">
        <f>VLOOKUP(A125,TradesEquity!$1:$1048576,21,FALSE)</f>
        <v>44168</v>
      </c>
      <c r="I125" s="446" t="str">
        <f>IF(VLOOKUP(A125,TradesEquity!$1:$1048576,3,FALSE)="BUY","B","S")</f>
        <v>S</v>
      </c>
      <c r="J125" s="446" t="str">
        <f>VLOOKUP(A125,TradesEquity!$1:$1048576,5,FALSE)</f>
        <v>US92336X1090</v>
      </c>
      <c r="K125" s="342" t="s">
        <v>19</v>
      </c>
      <c r="L125" s="345" t="s">
        <v>1958</v>
      </c>
      <c r="AE125" s="447" t="str">
        <f>VLOOKUP(A125,TradesEquity!$1:$1048576,10,FALSE)</f>
        <v>USD</v>
      </c>
      <c r="AF125" s="447" t="str">
        <f t="shared" si="4"/>
        <v>USD</v>
      </c>
      <c r="AG125" s="447" t="str">
        <f t="shared" si="4"/>
        <v>USD</v>
      </c>
      <c r="AH125" s="447" t="str">
        <f t="shared" si="4"/>
        <v>USD</v>
      </c>
      <c r="AI125" s="447">
        <f>ABS(VLOOKUP(A125,TradesEquity!$1:$1048576,13,FALSE))</f>
        <v>6300</v>
      </c>
      <c r="AJ125" s="347">
        <v>0</v>
      </c>
      <c r="AK125" s="347">
        <v>1</v>
      </c>
      <c r="AL125" s="447">
        <f>VLOOKUP(A125,TradesEquity!$1:$1048576,11,FALSE)</f>
        <v>20.253779999999999</v>
      </c>
      <c r="AM125" s="347">
        <v>1</v>
      </c>
      <c r="AN125" s="447">
        <f>ABS(VLOOKUP(A125,TradesEquity!$1:$1048576,14,FALSE))</f>
        <v>127598.814</v>
      </c>
      <c r="AO125" s="447">
        <f>ABS(VLOOKUP(A125,TradesEquity!$1:$1048576,15,FALSE))</f>
        <v>63.8</v>
      </c>
      <c r="AP125" s="347">
        <f>ABS(VLOOKUP(A125,TradesEquity!$1:$1048576,16,FALSE))</f>
        <v>2.82</v>
      </c>
      <c r="AQ125" s="448">
        <v>0</v>
      </c>
      <c r="AR125" s="448">
        <v>0</v>
      </c>
      <c r="AS125" s="448">
        <v>0</v>
      </c>
      <c r="AT125" s="448">
        <v>0</v>
      </c>
      <c r="AU125" s="448">
        <v>0</v>
      </c>
      <c r="AV125" s="347">
        <f>ABS(VLOOKUP(A125,TradesEquity!$1:$1048576,18,FALSE))</f>
        <v>127532.19399999999</v>
      </c>
      <c r="AW125" s="448">
        <v>0</v>
      </c>
      <c r="AX125" s="449">
        <v>4542</v>
      </c>
      <c r="AY125" s="345" t="s">
        <v>1959</v>
      </c>
      <c r="AZ125" s="347" t="str">
        <f>(VLOOKUP(A125,TradesEquity!$1:$1048576,29,FALSE))</f>
        <v>GSILGB2XXXX</v>
      </c>
      <c r="BA125" s="347" t="str">
        <f>(VLOOKUP(A125,TradesEquity!$1:$1048576,30,FALSE))</f>
        <v>DTCYUS33</v>
      </c>
      <c r="BB125" s="347" t="str">
        <f>(VLOOKUP(A125,TradesEquity!$1:$1048576,31,FALSE))</f>
        <v xml:space="preserve">        </v>
      </c>
      <c r="BC125" s="347" t="str">
        <f>(VLOOKUP(A125,TradesEquity!$1:$1048576,32,FALSE))</f>
        <v>N</v>
      </c>
      <c r="BI125" s="347" t="str">
        <f>(VLOOKUP(A125,TradesEquity!$1:$1048576,38,FALSE))</f>
        <v>DTCYID</v>
      </c>
      <c r="BJ125" s="347">
        <f>(VLOOKUP(A125,TradesEquity!$1:$1048576,39,FALSE))</f>
        <v>5208</v>
      </c>
      <c r="BK125" s="347" t="str">
        <f>(VLOOKUP(A125,TradesEquity!$1:$1048576,40,FALSE))</f>
        <v xml:space="preserve">        </v>
      </c>
    </row>
    <row r="126" spans="1:63" s="444" customFormat="1">
      <c r="A126" s="443">
        <f t="shared" ref="A126:A143" si="5">(A125+1)</f>
        <v>2019200369</v>
      </c>
      <c r="D126" s="342" t="s">
        <v>1957</v>
      </c>
      <c r="F126" s="445">
        <f>VLOOKUP(A126,TradesEquity!$1:$1048576,2,FALSE)</f>
        <v>44167</v>
      </c>
      <c r="H126" s="445">
        <f>VLOOKUP(A126,TradesEquity!$1:$1048576,21,FALSE)</f>
        <v>44169</v>
      </c>
      <c r="I126" s="446" t="str">
        <f>IF(VLOOKUP(A126,TradesEquity!$1:$1048576,3,FALSE)="BUY","B","S")</f>
        <v>S</v>
      </c>
      <c r="J126" s="446" t="str">
        <f>VLOOKUP(A126,TradesEquity!$1:$1048576,5,FALSE)</f>
        <v>AU000000SYR9</v>
      </c>
      <c r="K126" s="342" t="s">
        <v>19</v>
      </c>
      <c r="L126" s="345" t="s">
        <v>1958</v>
      </c>
      <c r="AE126" s="447" t="str">
        <f>VLOOKUP(A126,TradesEquity!$1:$1048576,10,FALSE)</f>
        <v>AUD</v>
      </c>
      <c r="AF126" s="447" t="str">
        <f t="shared" si="4"/>
        <v>AUD</v>
      </c>
      <c r="AG126" s="447" t="str">
        <f t="shared" si="4"/>
        <v>AUD</v>
      </c>
      <c r="AH126" s="447" t="str">
        <f t="shared" si="4"/>
        <v>AUD</v>
      </c>
      <c r="AI126" s="447">
        <f>ABS(VLOOKUP(A126,TradesEquity!$1:$1048576,13,FALSE))</f>
        <v>170000</v>
      </c>
      <c r="AJ126" s="347">
        <v>0</v>
      </c>
      <c r="AK126" s="347">
        <v>1</v>
      </c>
      <c r="AL126" s="447">
        <f>VLOOKUP(A126,TradesEquity!$1:$1048576,11,FALSE)</f>
        <v>1.0014700000000001</v>
      </c>
      <c r="AM126" s="347">
        <v>1</v>
      </c>
      <c r="AN126" s="447">
        <f>ABS(VLOOKUP(A126,TradesEquity!$1:$1048576,14,FALSE))</f>
        <v>170249.90000000002</v>
      </c>
      <c r="AO126" s="447">
        <f>ABS(VLOOKUP(A126,TradesEquity!$1:$1048576,15,FALSE))</f>
        <v>102.15</v>
      </c>
      <c r="AP126" s="347">
        <f>ABS(VLOOKUP(A126,TradesEquity!$1:$1048576,16,FALSE))</f>
        <v>0</v>
      </c>
      <c r="AQ126" s="448">
        <v>0</v>
      </c>
      <c r="AR126" s="448">
        <v>0</v>
      </c>
      <c r="AS126" s="448">
        <v>0</v>
      </c>
      <c r="AT126" s="448">
        <v>0</v>
      </c>
      <c r="AU126" s="448">
        <v>0</v>
      </c>
      <c r="AV126" s="347">
        <f>ABS(VLOOKUP(A126,TradesEquity!$1:$1048576,18,FALSE))</f>
        <v>170147.75000000003</v>
      </c>
      <c r="AW126" s="448">
        <v>0</v>
      </c>
      <c r="AX126" s="449">
        <v>4542</v>
      </c>
      <c r="AY126" s="345" t="s">
        <v>1959</v>
      </c>
      <c r="AZ126" s="347" t="str">
        <f>(VLOOKUP(A126,TradesEquity!$1:$1048576,29,FALSE))</f>
        <v>GSILGB2XXXX</v>
      </c>
      <c r="BA126" s="347" t="str">
        <f>(VLOOKUP(A126,TradesEquity!$1:$1048576,30,FALSE))</f>
        <v>CAETAU21</v>
      </c>
      <c r="BB126" s="347" t="str">
        <f>(VLOOKUP(A126,TradesEquity!$1:$1048576,31,FALSE))</f>
        <v>011-109048-061</v>
      </c>
      <c r="BC126" s="347" t="str">
        <f>(VLOOKUP(A126,TradesEquity!$1:$1048576,32,FALSE))</f>
        <v>N</v>
      </c>
      <c r="BI126" s="347" t="str">
        <f>(VLOOKUP(A126,TradesEquity!$1:$1048576,38,FALSE))</f>
        <v xml:space="preserve">        </v>
      </c>
      <c r="BJ126" s="347" t="str">
        <f>(VLOOKUP(A126,TradesEquity!$1:$1048576,39,FALSE))</f>
        <v xml:space="preserve">        </v>
      </c>
      <c r="BK126" s="347" t="str">
        <f>(VLOOKUP(A126,TradesEquity!$1:$1048576,40,FALSE))</f>
        <v>HKBAAU2SSYD</v>
      </c>
    </row>
    <row r="127" spans="1:63" s="444" customFormat="1">
      <c r="A127" s="443">
        <f t="shared" si="5"/>
        <v>2019200370</v>
      </c>
      <c r="D127" s="342" t="s">
        <v>1957</v>
      </c>
      <c r="F127" s="445">
        <f>VLOOKUP(A127,TradesEquity!$1:$1048576,2,FALSE)</f>
        <v>44167</v>
      </c>
      <c r="H127" s="445">
        <f>VLOOKUP(A127,TradesEquity!$1:$1048576,21,FALSE)</f>
        <v>44169</v>
      </c>
      <c r="I127" s="446" t="str">
        <f>IF(VLOOKUP(A127,TradesEquity!$1:$1048576,3,FALSE)="BUY","B","S")</f>
        <v>S</v>
      </c>
      <c r="J127" s="446" t="str">
        <f>VLOOKUP(A127,TradesEquity!$1:$1048576,5,FALSE)</f>
        <v>JP3385820000</v>
      </c>
      <c r="K127" s="342" t="s">
        <v>19</v>
      </c>
      <c r="L127" s="345" t="s">
        <v>1958</v>
      </c>
      <c r="AE127" s="447" t="str">
        <f>VLOOKUP(A127,TradesEquity!$1:$1048576,10,FALSE)</f>
        <v>JPY</v>
      </c>
      <c r="AF127" s="447" t="str">
        <f t="shared" si="4"/>
        <v>JPY</v>
      </c>
      <c r="AG127" s="447" t="str">
        <f t="shared" si="4"/>
        <v>JPY</v>
      </c>
      <c r="AH127" s="447" t="str">
        <f t="shared" si="4"/>
        <v>JPY</v>
      </c>
      <c r="AI127" s="447">
        <f>ABS(VLOOKUP(A127,TradesEquity!$1:$1048576,13,FALSE))</f>
        <v>4200</v>
      </c>
      <c r="AJ127" s="347">
        <v>0</v>
      </c>
      <c r="AK127" s="347">
        <v>1</v>
      </c>
      <c r="AL127" s="447">
        <f>VLOOKUP(A127,TradesEquity!$1:$1048576,11,FALSE)</f>
        <v>2589.8238099999999</v>
      </c>
      <c r="AM127" s="347">
        <v>1</v>
      </c>
      <c r="AN127" s="447">
        <f>ABS(VLOOKUP(A127,TradesEquity!$1:$1048576,14,FALSE))</f>
        <v>10877260.002</v>
      </c>
      <c r="AO127" s="447">
        <f>ABS(VLOOKUP(A127,TradesEquity!$1:$1048576,15,FALSE))</f>
        <v>6526</v>
      </c>
      <c r="AP127" s="347">
        <f>ABS(VLOOKUP(A127,TradesEquity!$1:$1048576,16,FALSE))</f>
        <v>0</v>
      </c>
      <c r="AQ127" s="448">
        <v>0</v>
      </c>
      <c r="AR127" s="448">
        <v>0</v>
      </c>
      <c r="AS127" s="448">
        <v>0</v>
      </c>
      <c r="AT127" s="448">
        <v>0</v>
      </c>
      <c r="AU127" s="448">
        <v>0</v>
      </c>
      <c r="AV127" s="347">
        <f>ABS(VLOOKUP(A127,TradesEquity!$1:$1048576,18,FALSE))</f>
        <v>10870734.002</v>
      </c>
      <c r="AW127" s="448">
        <v>0</v>
      </c>
      <c r="AX127" s="449">
        <v>4542</v>
      </c>
      <c r="AY127" s="345" t="s">
        <v>1959</v>
      </c>
      <c r="AZ127" s="347" t="str">
        <f>(VLOOKUP(A127,TradesEquity!$1:$1048576,29,FALSE))</f>
        <v>GSILGB2XXXX</v>
      </c>
      <c r="BA127" s="347" t="str">
        <f>(VLOOKUP(A127,TradesEquity!$1:$1048576,30,FALSE))</f>
        <v>JJSDJPJTXXX</v>
      </c>
      <c r="BB127" s="347">
        <f>(VLOOKUP(A127,TradesEquity!$1:$1048576,31,FALSE))</f>
        <v>6530490016</v>
      </c>
      <c r="BC127" s="347" t="str">
        <f>(VLOOKUP(A127,TradesEquity!$1:$1048576,32,FALSE))</f>
        <v>N</v>
      </c>
      <c r="BI127" s="347" t="str">
        <f>(VLOOKUP(A127,TradesEquity!$1:$1048576,38,FALSE))</f>
        <v xml:space="preserve">                  </v>
      </c>
      <c r="BJ127" s="347" t="str">
        <f>(VLOOKUP(A127,TradesEquity!$1:$1048576,39,FALSE))</f>
        <v xml:space="preserve">                          </v>
      </c>
      <c r="BK127" s="347" t="str">
        <f>(VLOOKUP(A127,TradesEquity!$1:$1048576,40,FALSE))</f>
        <v>GOLDJPJXXXX</v>
      </c>
    </row>
    <row r="128" spans="1:63" s="444" customFormat="1">
      <c r="A128" s="443">
        <f t="shared" si="5"/>
        <v>2019200371</v>
      </c>
      <c r="D128" s="342" t="s">
        <v>1957</v>
      </c>
      <c r="F128" s="445">
        <f>VLOOKUP(A128,TradesEquity!$1:$1048576,2,FALSE)</f>
        <v>44167</v>
      </c>
      <c r="H128" s="445">
        <f>VLOOKUP(A128,TradesEquity!$1:$1048576,21,FALSE)</f>
        <v>44169</v>
      </c>
      <c r="I128" s="446" t="str">
        <f>IF(VLOOKUP(A128,TradesEquity!$1:$1048576,3,FALSE)="BUY","B","S")</f>
        <v>S</v>
      </c>
      <c r="J128" s="446" t="str">
        <f>VLOOKUP(A128,TradesEquity!$1:$1048576,5,FALSE)</f>
        <v>AU000000SYR9</v>
      </c>
      <c r="K128" s="342" t="s">
        <v>19</v>
      </c>
      <c r="L128" s="345" t="s">
        <v>1958</v>
      </c>
      <c r="AE128" s="447" t="str">
        <f>VLOOKUP(A128,TradesEquity!$1:$1048576,10,FALSE)</f>
        <v>AUD</v>
      </c>
      <c r="AF128" s="447" t="str">
        <f t="shared" si="4"/>
        <v>AUD</v>
      </c>
      <c r="AG128" s="447" t="str">
        <f t="shared" si="4"/>
        <v>AUD</v>
      </c>
      <c r="AH128" s="447" t="str">
        <f t="shared" si="4"/>
        <v>AUD</v>
      </c>
      <c r="AI128" s="447">
        <f>ABS(VLOOKUP(A128,TradesEquity!$1:$1048576,13,FALSE))</f>
        <v>71461</v>
      </c>
      <c r="AJ128" s="347">
        <v>0</v>
      </c>
      <c r="AK128" s="347">
        <v>1</v>
      </c>
      <c r="AL128" s="447">
        <f>VLOOKUP(A128,TradesEquity!$1:$1048576,11,FALSE)</f>
        <v>1.0491600000000001</v>
      </c>
      <c r="AM128" s="347">
        <v>1</v>
      </c>
      <c r="AN128" s="447">
        <f>ABS(VLOOKUP(A128,TradesEquity!$1:$1048576,14,FALSE))</f>
        <v>74974.022760000007</v>
      </c>
      <c r="AO128" s="447">
        <f>ABS(VLOOKUP(A128,TradesEquity!$1:$1048576,15,FALSE))</f>
        <v>44.98</v>
      </c>
      <c r="AP128" s="347">
        <f>ABS(VLOOKUP(A128,TradesEquity!$1:$1048576,16,FALSE))</f>
        <v>0</v>
      </c>
      <c r="AQ128" s="448">
        <v>0</v>
      </c>
      <c r="AR128" s="448">
        <v>0</v>
      </c>
      <c r="AS128" s="448">
        <v>0</v>
      </c>
      <c r="AT128" s="448">
        <v>0</v>
      </c>
      <c r="AU128" s="448">
        <v>0</v>
      </c>
      <c r="AV128" s="347">
        <f>ABS(VLOOKUP(A128,TradesEquity!$1:$1048576,18,FALSE))</f>
        <v>74929.042760000011</v>
      </c>
      <c r="AW128" s="448">
        <v>0</v>
      </c>
      <c r="AX128" s="449">
        <v>4542</v>
      </c>
      <c r="AY128" s="345" t="s">
        <v>1959</v>
      </c>
      <c r="AZ128" s="347" t="str">
        <f>(VLOOKUP(A128,TradesEquity!$1:$1048576,29,FALSE))</f>
        <v>GSILGB2XXXX</v>
      </c>
      <c r="BA128" s="347" t="str">
        <f>(VLOOKUP(A128,TradesEquity!$1:$1048576,30,FALSE))</f>
        <v>CAETAU21</v>
      </c>
      <c r="BB128" s="347" t="str">
        <f>(VLOOKUP(A128,TradesEquity!$1:$1048576,31,FALSE))</f>
        <v>011-109048-061</v>
      </c>
      <c r="BC128" s="347" t="str">
        <f>(VLOOKUP(A128,TradesEquity!$1:$1048576,32,FALSE))</f>
        <v>N</v>
      </c>
      <c r="BI128" s="347" t="str">
        <f>(VLOOKUP(A128,TradesEquity!$1:$1048576,38,FALSE))</f>
        <v xml:space="preserve">        </v>
      </c>
      <c r="BJ128" s="347" t="str">
        <f>(VLOOKUP(A128,TradesEquity!$1:$1048576,39,FALSE))</f>
        <v xml:space="preserve">        </v>
      </c>
      <c r="BK128" s="347" t="str">
        <f>(VLOOKUP(A128,TradesEquity!$1:$1048576,40,FALSE))</f>
        <v>HKBAAU2SSYD</v>
      </c>
    </row>
    <row r="129" spans="1:63">
      <c r="A129" s="412">
        <f t="shared" si="5"/>
        <v>2019200372</v>
      </c>
      <c r="D129" s="342" t="s">
        <v>1957</v>
      </c>
      <c r="F129" s="343">
        <f>VLOOKUP(A129,TradesEquity!$1:$1048576,2,FALSE)</f>
        <v>44167</v>
      </c>
      <c r="H129" s="343">
        <f>VLOOKUP(A129,TradesEquity!$1:$1048576,21,FALSE)</f>
        <v>44169</v>
      </c>
      <c r="I129" s="344" t="str">
        <f>IF(VLOOKUP(A129,TradesEquity!$1:$1048576,3,FALSE)="BUY","B","S")</f>
        <v>S</v>
      </c>
      <c r="J129" s="344" t="str">
        <f>VLOOKUP(A129,TradesEquity!$1:$1048576,5,FALSE)</f>
        <v>IT0005424830</v>
      </c>
      <c r="K129" s="342" t="s">
        <v>19</v>
      </c>
      <c r="L129" s="345" t="s">
        <v>1958</v>
      </c>
      <c r="AE129" s="346" t="str">
        <f>VLOOKUP(A129,TradesEquity!$1:$1048576,10,FALSE)</f>
        <v>EUR</v>
      </c>
      <c r="AF129" s="346" t="str">
        <f t="shared" si="4"/>
        <v>EUR</v>
      </c>
      <c r="AG129" s="346" t="str">
        <f t="shared" si="4"/>
        <v>EUR</v>
      </c>
      <c r="AH129" s="346" t="str">
        <f t="shared" si="4"/>
        <v>EUR</v>
      </c>
      <c r="AI129" s="346">
        <f>ABS(VLOOKUP(A129,TradesEquity!$1:$1048576,13,FALSE))</f>
        <v>1000</v>
      </c>
      <c r="AJ129" s="347">
        <v>0</v>
      </c>
      <c r="AK129" s="347">
        <v>1</v>
      </c>
      <c r="AL129" s="346">
        <f>VLOOKUP(A129,TradesEquity!$1:$1048576,11,FALSE)</f>
        <v>2.4</v>
      </c>
      <c r="AM129" s="347">
        <v>1</v>
      </c>
      <c r="AN129" s="346">
        <f>ABS(VLOOKUP(A129,TradesEquity!$1:$1048576,14,FALSE))</f>
        <v>2400</v>
      </c>
      <c r="AO129" s="346">
        <f>ABS(VLOOKUP(A129,TradesEquity!$1:$1048576,15,FALSE))</f>
        <v>1.44</v>
      </c>
      <c r="AP129" s="348">
        <f>ABS(VLOOKUP(A129,TradesEquity!$1:$1048576,16,FALSE))</f>
        <v>0</v>
      </c>
      <c r="AQ129" s="286">
        <v>0</v>
      </c>
      <c r="AR129" s="286">
        <v>0</v>
      </c>
      <c r="AS129" s="286">
        <v>0</v>
      </c>
      <c r="AT129" s="286">
        <v>0</v>
      </c>
      <c r="AU129" s="286">
        <v>0</v>
      </c>
      <c r="AV129" s="348">
        <f>ABS(VLOOKUP(A129,TradesEquity!$1:$1048576,18,FALSE))</f>
        <v>2398.56</v>
      </c>
      <c r="AW129" s="349">
        <v>0</v>
      </c>
      <c r="AX129" s="350">
        <v>4542</v>
      </c>
      <c r="AY129" s="351" t="s">
        <v>1959</v>
      </c>
      <c r="AZ129" s="352" t="str">
        <f>(VLOOKUP(A129,TradesEquity!$1:$1048576,29,FALSE))</f>
        <v>GSILGB2XXXX</v>
      </c>
      <c r="BA129" s="352" t="str">
        <f>(VLOOKUP(A129,TradesEquity!$1:$1048576,30,FALSE))</f>
        <v>MOTIITMMXXX</v>
      </c>
      <c r="BB129" s="352" t="str">
        <f>(VLOOKUP(A129,TradesEquity!$1:$1048576,31,FALSE))</f>
        <v>MOTICITIITMXXXX6013800</v>
      </c>
      <c r="BC129" s="352" t="str">
        <f>(VLOOKUP(A129,TradesEquity!$1:$1048576,32,FALSE))</f>
        <v>N</v>
      </c>
      <c r="BI129" s="352" t="str">
        <f>(VLOOKUP(A129,TradesEquity!$1:$1048576,38,FALSE))</f>
        <v xml:space="preserve">        </v>
      </c>
      <c r="BJ129" s="352" t="str">
        <f>(VLOOKUP(A129,TradesEquity!$1:$1048576,39,FALSE))</f>
        <v xml:space="preserve">        </v>
      </c>
      <c r="BK129" s="352" t="str">
        <f>(VLOOKUP(A129,TradesEquity!$1:$1048576,40,FALSE))</f>
        <v>CITIITM1012</v>
      </c>
    </row>
    <row r="130" spans="1:63">
      <c r="A130" s="412">
        <f t="shared" si="5"/>
        <v>2019200373</v>
      </c>
      <c r="D130" s="342" t="s">
        <v>1957</v>
      </c>
      <c r="F130" s="343">
        <f>VLOOKUP(A130,TradesEquity!$1:$1048576,2,FALSE)</f>
        <v>44168</v>
      </c>
      <c r="H130" s="343">
        <f>VLOOKUP(A130,TradesEquity!$1:$1048576,21,FALSE)</f>
        <v>44172</v>
      </c>
      <c r="I130" s="344" t="str">
        <f>IF(VLOOKUP(A130,TradesEquity!$1:$1048576,3,FALSE)="BUY","B","S")</f>
        <v>B</v>
      </c>
      <c r="J130" s="344" t="str">
        <f>VLOOKUP(A130,TradesEquity!$1:$1048576,5,FALSE)</f>
        <v>CNE100001TJ4</v>
      </c>
      <c r="K130" s="342" t="s">
        <v>19</v>
      </c>
      <c r="L130" s="345" t="s">
        <v>1958</v>
      </c>
      <c r="AE130" s="346" t="str">
        <f>VLOOKUP(A130,TradesEquity!$1:$1048576,10,FALSE)</f>
        <v>HKD</v>
      </c>
      <c r="AF130" s="346" t="str">
        <f t="shared" si="4"/>
        <v>HKD</v>
      </c>
      <c r="AG130" s="346" t="str">
        <f t="shared" si="4"/>
        <v>HKD</v>
      </c>
      <c r="AH130" s="346" t="str">
        <f t="shared" si="4"/>
        <v>HKD</v>
      </c>
      <c r="AI130" s="346">
        <f>ABS(VLOOKUP(A130,TradesEquity!$1:$1048576,13,FALSE))</f>
        <v>250000</v>
      </c>
      <c r="AJ130" s="347">
        <v>0</v>
      </c>
      <c r="AK130" s="347">
        <v>1</v>
      </c>
      <c r="AL130" s="346">
        <f>VLOOKUP(A130,TradesEquity!$1:$1048576,11,FALSE)</f>
        <v>2.8241000000000001</v>
      </c>
      <c r="AM130" s="347">
        <v>1</v>
      </c>
      <c r="AN130" s="346">
        <f>ABS(VLOOKUP(A130,TradesEquity!$1:$1048576,14,FALSE))</f>
        <v>706025</v>
      </c>
      <c r="AO130" s="346">
        <f>ABS(VLOOKUP(A130,TradesEquity!$1:$1048576,15,FALSE))</f>
        <v>423.62</v>
      </c>
      <c r="AP130" s="348">
        <f>ABS(VLOOKUP(A130,TradesEquity!$1:$1048576,16,FALSE))</f>
        <v>761.3599999999999</v>
      </c>
      <c r="AQ130" s="286">
        <v>0</v>
      </c>
      <c r="AR130" s="286">
        <v>0</v>
      </c>
      <c r="AS130" s="286">
        <v>0</v>
      </c>
      <c r="AT130" s="286">
        <v>0</v>
      </c>
      <c r="AU130" s="286">
        <v>0</v>
      </c>
      <c r="AV130" s="348">
        <f>ABS(VLOOKUP(A130,TradesEquity!$1:$1048576,18,FALSE))</f>
        <v>707209.98</v>
      </c>
      <c r="AW130" s="349">
        <v>0</v>
      </c>
      <c r="AX130" s="350">
        <v>4542</v>
      </c>
      <c r="AY130" s="351" t="s">
        <v>1959</v>
      </c>
      <c r="AZ130" s="352" t="str">
        <f>(VLOOKUP(A130,TradesEquity!$1:$1048576,29,FALSE))</f>
        <v>GSILGB2XXXX</v>
      </c>
      <c r="BA130" s="352" t="str">
        <f>(VLOOKUP(A130,TradesEquity!$1:$1048576,30,FALSE))</f>
        <v>XHKCHKH1XXX</v>
      </c>
      <c r="BB130" s="352" t="str">
        <f>(VLOOKUP(A130,TradesEquity!$1:$1048576,31,FALSE))</f>
        <v xml:space="preserve">        </v>
      </c>
      <c r="BC130" s="352" t="str">
        <f>(VLOOKUP(A130,TradesEquity!$1:$1048576,32,FALSE))</f>
        <v>N</v>
      </c>
      <c r="BI130" s="352" t="str">
        <f>(VLOOKUP(A130,TradesEquity!$1:$1048576,38,FALSE))</f>
        <v>CCASS</v>
      </c>
      <c r="BJ130" s="352" t="str">
        <f>(VLOOKUP(A130,TradesEquity!$1:$1048576,39,FALSE))</f>
        <v>B01451</v>
      </c>
      <c r="BK130" s="352" t="str">
        <f>(VLOOKUP(A130,TradesEquity!$1:$1048576,40,FALSE))</f>
        <v>GSASHKH1XX</v>
      </c>
    </row>
    <row r="131" spans="1:63" s="444" customFormat="1">
      <c r="A131" s="443">
        <f t="shared" si="5"/>
        <v>2019200374</v>
      </c>
      <c r="D131" s="342" t="s">
        <v>1957</v>
      </c>
      <c r="F131" s="445">
        <f>VLOOKUP(A131,TradesEquity!$1:$1048576,2,FALSE)</f>
        <v>44169</v>
      </c>
      <c r="H131" s="445">
        <f>VLOOKUP(A131,TradesEquity!$1:$1048576,21,FALSE)</f>
        <v>44173</v>
      </c>
      <c r="I131" s="446" t="str">
        <f>IF(VLOOKUP(A131,TradesEquity!$1:$1048576,3,FALSE)="BUY","B","S")</f>
        <v>S</v>
      </c>
      <c r="J131" s="446" t="str">
        <f>VLOOKUP(A131,TradesEquity!$1:$1048576,5,FALSE)</f>
        <v>JP3591600006</v>
      </c>
      <c r="K131" s="342" t="s">
        <v>19</v>
      </c>
      <c r="L131" s="345" t="s">
        <v>1958</v>
      </c>
      <c r="AE131" s="447" t="str">
        <f>VLOOKUP(A131,TradesEquity!$1:$1048576,10,FALSE)</f>
        <v>JPY</v>
      </c>
      <c r="AF131" s="447" t="str">
        <f t="shared" si="4"/>
        <v>JPY</v>
      </c>
      <c r="AG131" s="447" t="str">
        <f t="shared" si="4"/>
        <v>JPY</v>
      </c>
      <c r="AH131" s="447" t="str">
        <f t="shared" si="4"/>
        <v>JPY</v>
      </c>
      <c r="AI131" s="447">
        <f>ABS(VLOOKUP(A131,TradesEquity!$1:$1048576,13,FALSE))</f>
        <v>10950</v>
      </c>
      <c r="AJ131" s="347">
        <v>0</v>
      </c>
      <c r="AK131" s="347">
        <v>1</v>
      </c>
      <c r="AL131" s="447">
        <f>VLOOKUP(A131,TradesEquity!$1:$1048576,11,FALSE)</f>
        <v>1533.2109599999999</v>
      </c>
      <c r="AM131" s="347">
        <v>1</v>
      </c>
      <c r="AN131" s="447">
        <f>ABS(VLOOKUP(A131,TradesEquity!$1:$1048576,14,FALSE))</f>
        <v>16788660.011999998</v>
      </c>
      <c r="AO131" s="447">
        <f>ABS(VLOOKUP(A131,TradesEquity!$1:$1048576,15,FALSE))</f>
        <v>10073</v>
      </c>
      <c r="AP131" s="347">
        <f>ABS(VLOOKUP(A131,TradesEquity!$1:$1048576,16,FALSE))</f>
        <v>0</v>
      </c>
      <c r="AQ131" s="448">
        <v>0</v>
      </c>
      <c r="AR131" s="448">
        <v>0</v>
      </c>
      <c r="AS131" s="448">
        <v>0</v>
      </c>
      <c r="AT131" s="448">
        <v>0</v>
      </c>
      <c r="AU131" s="448">
        <v>0</v>
      </c>
      <c r="AV131" s="347">
        <f>ABS(VLOOKUP(A131,TradesEquity!$1:$1048576,18,FALSE))</f>
        <v>16778587.011999998</v>
      </c>
      <c r="AW131" s="448">
        <v>0</v>
      </c>
      <c r="AX131" s="449">
        <v>4542</v>
      </c>
      <c r="AY131" s="345" t="s">
        <v>1959</v>
      </c>
      <c r="AZ131" s="347" t="str">
        <f>(VLOOKUP(A131,TradesEquity!$1:$1048576,29,FALSE))</f>
        <v>GSILGB2XXXX</v>
      </c>
      <c r="BA131" s="347" t="str">
        <f>(VLOOKUP(A131,TradesEquity!$1:$1048576,30,FALSE))</f>
        <v>JJSDJPJTXXX</v>
      </c>
      <c r="BB131" s="347">
        <f>(VLOOKUP(A131,TradesEquity!$1:$1048576,31,FALSE))</f>
        <v>6530490016</v>
      </c>
      <c r="BC131" s="347" t="str">
        <f>(VLOOKUP(A131,TradesEquity!$1:$1048576,32,FALSE))</f>
        <v>N</v>
      </c>
      <c r="BI131" s="347" t="str">
        <f>(VLOOKUP(A131,TradesEquity!$1:$1048576,38,FALSE))</f>
        <v xml:space="preserve">                  </v>
      </c>
      <c r="BJ131" s="347" t="str">
        <f>(VLOOKUP(A131,TradesEquity!$1:$1048576,39,FALSE))</f>
        <v xml:space="preserve">                          </v>
      </c>
      <c r="BK131" s="347" t="str">
        <f>(VLOOKUP(A131,TradesEquity!$1:$1048576,40,FALSE))</f>
        <v>GOLDJPJXXXX</v>
      </c>
    </row>
    <row r="132" spans="1:63">
      <c r="A132" s="412">
        <f t="shared" si="5"/>
        <v>2019200375</v>
      </c>
      <c r="D132" s="342" t="s">
        <v>1957</v>
      </c>
      <c r="F132" s="343">
        <f>VLOOKUP(A132,TradesEquity!$1:$1048576,2,FALSE)</f>
        <v>44169</v>
      </c>
      <c r="H132" s="343">
        <f>VLOOKUP(A132,TradesEquity!$1:$1048576,21,FALSE)</f>
        <v>44173</v>
      </c>
      <c r="I132" s="344" t="str">
        <f>IF(VLOOKUP(A132,TradesEquity!$1:$1048576,3,FALSE)="BUY","B","S")</f>
        <v>S</v>
      </c>
      <c r="J132" s="344" t="str">
        <f>VLOOKUP(A132,TradesEquity!$1:$1048576,5,FALSE)</f>
        <v>JP3707000000</v>
      </c>
      <c r="K132" s="342" t="s">
        <v>19</v>
      </c>
      <c r="L132" s="345" t="s">
        <v>1958</v>
      </c>
      <c r="AE132" s="346" t="str">
        <f>VLOOKUP(A132,TradesEquity!$1:$1048576,10,FALSE)</f>
        <v>JPY</v>
      </c>
      <c r="AF132" s="346" t="str">
        <f t="shared" si="4"/>
        <v>JPY</v>
      </c>
      <c r="AG132" s="346" t="str">
        <f t="shared" si="4"/>
        <v>JPY</v>
      </c>
      <c r="AH132" s="346" t="str">
        <f t="shared" si="4"/>
        <v>JPY</v>
      </c>
      <c r="AI132" s="346">
        <f>ABS(VLOOKUP(A132,TradesEquity!$1:$1048576,13,FALSE))</f>
        <v>4000</v>
      </c>
      <c r="AJ132" s="347">
        <v>0</v>
      </c>
      <c r="AK132" s="347">
        <v>1</v>
      </c>
      <c r="AL132" s="346">
        <f>VLOOKUP(A132,TradesEquity!$1:$1048576,11,FALSE)</f>
        <v>2507.6624999999999</v>
      </c>
      <c r="AM132" s="347">
        <v>1</v>
      </c>
      <c r="AN132" s="346">
        <f>ABS(VLOOKUP(A132,TradesEquity!$1:$1048576,14,FALSE))</f>
        <v>10030650</v>
      </c>
      <c r="AO132" s="346">
        <f>ABS(VLOOKUP(A132,TradesEquity!$1:$1048576,15,FALSE))</f>
        <v>6018</v>
      </c>
      <c r="AP132" s="348">
        <f>ABS(VLOOKUP(A132,TradesEquity!$1:$1048576,16,FALSE))</f>
        <v>0</v>
      </c>
      <c r="AQ132" s="286">
        <v>0</v>
      </c>
      <c r="AR132" s="286">
        <v>0</v>
      </c>
      <c r="AS132" s="286">
        <v>0</v>
      </c>
      <c r="AT132" s="286">
        <v>0</v>
      </c>
      <c r="AU132" s="286">
        <v>0</v>
      </c>
      <c r="AV132" s="348">
        <f>ABS(VLOOKUP(A132,TradesEquity!$1:$1048576,18,FALSE))</f>
        <v>10024632</v>
      </c>
      <c r="AW132" s="349">
        <v>0</v>
      </c>
      <c r="AX132" s="350">
        <v>4542</v>
      </c>
      <c r="AY132" s="351" t="s">
        <v>1959</v>
      </c>
      <c r="AZ132" s="352" t="str">
        <f>(VLOOKUP(A132,TradesEquity!$1:$1048576,29,FALSE))</f>
        <v>GSILGB2XXXX</v>
      </c>
      <c r="BA132" s="352" t="str">
        <f>(VLOOKUP(A132,TradesEquity!$1:$1048576,30,FALSE))</f>
        <v>JJSDJPJTXXX</v>
      </c>
      <c r="BB132" s="352">
        <f>(VLOOKUP(A132,TradesEquity!$1:$1048576,31,FALSE))</f>
        <v>6530490016</v>
      </c>
      <c r="BC132" s="352" t="str">
        <f>(VLOOKUP(A132,TradesEquity!$1:$1048576,32,FALSE))</f>
        <v>N</v>
      </c>
      <c r="BI132" s="352" t="str">
        <f>(VLOOKUP(A132,TradesEquity!$1:$1048576,38,FALSE))</f>
        <v xml:space="preserve">                  </v>
      </c>
      <c r="BJ132" s="352" t="str">
        <f>(VLOOKUP(A132,TradesEquity!$1:$1048576,39,FALSE))</f>
        <v xml:space="preserve">                          </v>
      </c>
      <c r="BK132" s="352" t="str">
        <f>(VLOOKUP(A132,TradesEquity!$1:$1048576,40,FALSE))</f>
        <v>GOLDJPJXXXX</v>
      </c>
    </row>
    <row r="133" spans="1:63">
      <c r="A133" s="412">
        <f t="shared" si="5"/>
        <v>2019200376</v>
      </c>
      <c r="D133" s="342" t="s">
        <v>1957</v>
      </c>
      <c r="F133" s="343" t="e">
        <f>VLOOKUP(A133,TradesEquity!$1:$1048576,2,FALSE)</f>
        <v>#N/A</v>
      </c>
      <c r="H133" s="343" t="e">
        <f>VLOOKUP(A133,TradesEquity!$1:$1048576,21,FALSE)</f>
        <v>#N/A</v>
      </c>
      <c r="I133" s="344" t="e">
        <f>IF(VLOOKUP(A133,TradesEquity!$1:$1048576,3,FALSE)="BUY","B","S")</f>
        <v>#N/A</v>
      </c>
      <c r="J133" s="344" t="e">
        <f>VLOOKUP(A133,TradesEquity!$1:$1048576,5,FALSE)</f>
        <v>#N/A</v>
      </c>
      <c r="K133" s="342" t="s">
        <v>19</v>
      </c>
      <c r="L133" s="345" t="s">
        <v>1958</v>
      </c>
      <c r="AE133" s="346" t="e">
        <f>VLOOKUP(A133,TradesEquity!$1:$1048576,10,FALSE)</f>
        <v>#N/A</v>
      </c>
      <c r="AF133" s="346" t="e">
        <f t="shared" si="4"/>
        <v>#N/A</v>
      </c>
      <c r="AG133" s="346" t="e">
        <f t="shared" si="4"/>
        <v>#N/A</v>
      </c>
      <c r="AH133" s="346" t="e">
        <f t="shared" si="4"/>
        <v>#N/A</v>
      </c>
      <c r="AI133" s="346" t="e">
        <f>ABS(VLOOKUP(A133,TradesEquity!$1:$1048576,13,FALSE))</f>
        <v>#N/A</v>
      </c>
      <c r="AJ133" s="347">
        <v>0</v>
      </c>
      <c r="AK133" s="347">
        <v>1</v>
      </c>
      <c r="AL133" s="346" t="e">
        <f>VLOOKUP(A133,TradesEquity!$1:$1048576,11,FALSE)</f>
        <v>#N/A</v>
      </c>
      <c r="AM133" s="347">
        <v>1</v>
      </c>
      <c r="AN133" s="346" t="e">
        <f>ABS(VLOOKUP(A133,TradesEquity!$1:$1048576,14,FALSE))</f>
        <v>#N/A</v>
      </c>
      <c r="AO133" s="346" t="e">
        <f>ABS(VLOOKUP(A133,TradesEquity!$1:$1048576,15,FALSE))</f>
        <v>#N/A</v>
      </c>
      <c r="AP133" s="348" t="e">
        <f>ABS(VLOOKUP(A133,TradesEquity!$1:$1048576,16,FALSE))</f>
        <v>#N/A</v>
      </c>
      <c r="AQ133" s="286">
        <v>0</v>
      </c>
      <c r="AR133" s="286">
        <v>0</v>
      </c>
      <c r="AS133" s="286">
        <v>0</v>
      </c>
      <c r="AT133" s="286">
        <v>0</v>
      </c>
      <c r="AU133" s="286">
        <v>0</v>
      </c>
      <c r="AV133" s="348" t="e">
        <f>ABS(VLOOKUP(A133,TradesEquity!$1:$1048576,18,FALSE))</f>
        <v>#N/A</v>
      </c>
      <c r="AW133" s="349">
        <v>0</v>
      </c>
      <c r="AX133" s="350">
        <v>4542</v>
      </c>
      <c r="AY133" s="351" t="s">
        <v>1959</v>
      </c>
      <c r="AZ133" s="352" t="e">
        <f>(VLOOKUP(A133,TradesEquity!$1:$1048576,29,FALSE))</f>
        <v>#N/A</v>
      </c>
      <c r="BA133" s="352" t="e">
        <f>(VLOOKUP(A133,TradesEquity!$1:$1048576,30,FALSE))</f>
        <v>#N/A</v>
      </c>
      <c r="BB133" s="352" t="e">
        <f>(VLOOKUP(A133,TradesEquity!$1:$1048576,31,FALSE))</f>
        <v>#N/A</v>
      </c>
      <c r="BC133" s="352" t="e">
        <f>(VLOOKUP(A133,TradesEquity!$1:$1048576,32,FALSE))</f>
        <v>#N/A</v>
      </c>
      <c r="BI133" s="352" t="e">
        <f>(VLOOKUP(A133,TradesEquity!$1:$1048576,38,FALSE))</f>
        <v>#N/A</v>
      </c>
      <c r="BJ133" s="352" t="e">
        <f>(VLOOKUP(A133,TradesEquity!$1:$1048576,39,FALSE))</f>
        <v>#N/A</v>
      </c>
      <c r="BK133" s="352" t="e">
        <f>(VLOOKUP(A133,TradesEquity!$1:$1048576,40,FALSE))</f>
        <v>#N/A</v>
      </c>
    </row>
    <row r="134" spans="1:63">
      <c r="A134" s="412">
        <f t="shared" si="5"/>
        <v>2019200377</v>
      </c>
      <c r="D134" s="342" t="s">
        <v>1957</v>
      </c>
      <c r="F134" s="343">
        <f>VLOOKUP(A134,TradesEquity!$1:$1048576,2,FALSE)</f>
        <v>44172</v>
      </c>
      <c r="H134" s="343">
        <f>VLOOKUP(A134,TradesEquity!$1:$1048576,21,FALSE)</f>
        <v>44174</v>
      </c>
      <c r="I134" s="344" t="str">
        <f>IF(VLOOKUP(A134,TradesEquity!$1:$1048576,3,FALSE)="BUY","B","S")</f>
        <v>S</v>
      </c>
      <c r="J134" s="344" t="str">
        <f>VLOOKUP(A134,TradesEquity!$1:$1048576,5,FALSE)</f>
        <v>AU000000SYR9</v>
      </c>
      <c r="K134" s="342" t="s">
        <v>19</v>
      </c>
      <c r="L134" s="345" t="s">
        <v>1958</v>
      </c>
      <c r="AE134" s="346" t="str">
        <f>VLOOKUP(A134,TradesEquity!$1:$1048576,10,FALSE)</f>
        <v>AUD</v>
      </c>
      <c r="AF134" s="346" t="str">
        <f t="shared" si="4"/>
        <v>AUD</v>
      </c>
      <c r="AG134" s="346" t="str">
        <f t="shared" si="4"/>
        <v>AUD</v>
      </c>
      <c r="AH134" s="346" t="str">
        <f t="shared" si="4"/>
        <v>AUD</v>
      </c>
      <c r="AI134" s="346">
        <f>ABS(VLOOKUP(A134,TradesEquity!$1:$1048576,13,FALSE))</f>
        <v>128539</v>
      </c>
      <c r="AJ134" s="347">
        <v>0</v>
      </c>
      <c r="AK134" s="347">
        <v>1</v>
      </c>
      <c r="AL134" s="346">
        <f>VLOOKUP(A134,TradesEquity!$1:$1048576,11,FALSE)</f>
        <v>1.0245</v>
      </c>
      <c r="AM134" s="347">
        <v>1</v>
      </c>
      <c r="AN134" s="346">
        <f>ABS(VLOOKUP(A134,TradesEquity!$1:$1048576,14,FALSE))</f>
        <v>131688.20549999998</v>
      </c>
      <c r="AO134" s="346">
        <f>ABS(VLOOKUP(A134,TradesEquity!$1:$1048576,15,FALSE))</f>
        <v>79.010000000000005</v>
      </c>
      <c r="AP134" s="348">
        <f>ABS(VLOOKUP(A134,TradesEquity!$1:$1048576,16,FALSE))</f>
        <v>0</v>
      </c>
      <c r="AQ134" s="286">
        <v>0</v>
      </c>
      <c r="AR134" s="286">
        <v>0</v>
      </c>
      <c r="AS134" s="286">
        <v>0</v>
      </c>
      <c r="AT134" s="286">
        <v>0</v>
      </c>
      <c r="AU134" s="286">
        <v>0</v>
      </c>
      <c r="AV134" s="348">
        <f>ABS(VLOOKUP(A134,TradesEquity!$1:$1048576,18,FALSE))</f>
        <v>131609.19549999997</v>
      </c>
      <c r="AW134" s="349">
        <v>0</v>
      </c>
      <c r="AX134" s="350">
        <v>4542</v>
      </c>
      <c r="AY134" s="351" t="s">
        <v>1959</v>
      </c>
      <c r="AZ134" s="352" t="str">
        <f>(VLOOKUP(A134,TradesEquity!$1:$1048576,29,FALSE))</f>
        <v>GSILGB2XXXX</v>
      </c>
      <c r="BA134" s="352" t="str">
        <f>(VLOOKUP(A134,TradesEquity!$1:$1048576,30,FALSE))</f>
        <v>CAETAU21</v>
      </c>
      <c r="BB134" s="352" t="str">
        <f>(VLOOKUP(A134,TradesEquity!$1:$1048576,31,FALSE))</f>
        <v>011-109048-061</v>
      </c>
      <c r="BC134" s="352" t="str">
        <f>(VLOOKUP(A134,TradesEquity!$1:$1048576,32,FALSE))</f>
        <v>N</v>
      </c>
      <c r="BI134" s="352" t="str">
        <f>(VLOOKUP(A134,TradesEquity!$1:$1048576,38,FALSE))</f>
        <v xml:space="preserve">        </v>
      </c>
      <c r="BJ134" s="352" t="str">
        <f>(VLOOKUP(A134,TradesEquity!$1:$1048576,39,FALSE))</f>
        <v xml:space="preserve">        </v>
      </c>
      <c r="BK134" s="352" t="str">
        <f>(VLOOKUP(A134,TradesEquity!$1:$1048576,40,FALSE))</f>
        <v>HKBAAU2SSYD</v>
      </c>
    </row>
    <row r="135" spans="1:63">
      <c r="A135" s="412">
        <f t="shared" si="5"/>
        <v>2019200378</v>
      </c>
      <c r="D135" s="342" t="s">
        <v>1957</v>
      </c>
      <c r="F135" s="343">
        <f>VLOOKUP(A135,TradesEquity!$1:$1048576,2,FALSE)</f>
        <v>44172</v>
      </c>
      <c r="H135" s="343">
        <f>VLOOKUP(A135,TradesEquity!$1:$1048576,21,FALSE)</f>
        <v>44174</v>
      </c>
      <c r="I135" s="344" t="str">
        <f>IF(VLOOKUP(A135,TradesEquity!$1:$1048576,3,FALSE)="BUY","B","S")</f>
        <v>S</v>
      </c>
      <c r="J135" s="344" t="str">
        <f>VLOOKUP(A135,TradesEquity!$1:$1048576,5,FALSE)</f>
        <v>IT0005424830</v>
      </c>
      <c r="K135" s="342" t="s">
        <v>19</v>
      </c>
      <c r="L135" s="345" t="s">
        <v>1958</v>
      </c>
      <c r="AE135" s="346" t="str">
        <f>VLOOKUP(A135,TradesEquity!$1:$1048576,10,FALSE)</f>
        <v>EUR</v>
      </c>
      <c r="AF135" s="346" t="str">
        <f t="shared" si="4"/>
        <v>EUR</v>
      </c>
      <c r="AG135" s="346" t="str">
        <f t="shared" si="4"/>
        <v>EUR</v>
      </c>
      <c r="AH135" s="346" t="str">
        <f t="shared" si="4"/>
        <v>EUR</v>
      </c>
      <c r="AI135" s="346">
        <f>ABS(VLOOKUP(A135,TradesEquity!$1:$1048576,13,FALSE))</f>
        <v>10000</v>
      </c>
      <c r="AJ135" s="347">
        <v>0</v>
      </c>
      <c r="AK135" s="347">
        <v>1</v>
      </c>
      <c r="AL135" s="346">
        <f>VLOOKUP(A135,TradesEquity!$1:$1048576,11,FALSE)</f>
        <v>2.4329999999999998</v>
      </c>
      <c r="AM135" s="347">
        <v>1</v>
      </c>
      <c r="AN135" s="346">
        <f>ABS(VLOOKUP(A135,TradesEquity!$1:$1048576,14,FALSE))</f>
        <v>24330</v>
      </c>
      <c r="AO135" s="346">
        <f>ABS(VLOOKUP(A135,TradesEquity!$1:$1048576,15,FALSE))</f>
        <v>14.6</v>
      </c>
      <c r="AP135" s="348">
        <f>ABS(VLOOKUP(A135,TradesEquity!$1:$1048576,16,FALSE))</f>
        <v>0</v>
      </c>
      <c r="AQ135" s="286">
        <v>0</v>
      </c>
      <c r="AR135" s="286">
        <v>0</v>
      </c>
      <c r="AS135" s="286">
        <v>0</v>
      </c>
      <c r="AT135" s="286">
        <v>0</v>
      </c>
      <c r="AU135" s="286">
        <v>0</v>
      </c>
      <c r="AV135" s="348">
        <f>ABS(VLOOKUP(A135,TradesEquity!$1:$1048576,18,FALSE))</f>
        <v>24315.4</v>
      </c>
      <c r="AW135" s="349">
        <v>0</v>
      </c>
      <c r="AX135" s="350">
        <v>4542</v>
      </c>
      <c r="AY135" s="351" t="s">
        <v>1959</v>
      </c>
      <c r="AZ135" s="352" t="str">
        <f>(VLOOKUP(A135,TradesEquity!$1:$1048576,29,FALSE))</f>
        <v>GSILGB2XXXX</v>
      </c>
      <c r="BA135" s="352" t="str">
        <f>(VLOOKUP(A135,TradesEquity!$1:$1048576,30,FALSE))</f>
        <v>MOTIITMMXXX</v>
      </c>
      <c r="BB135" s="352" t="str">
        <f>(VLOOKUP(A135,TradesEquity!$1:$1048576,31,FALSE))</f>
        <v>MOTICITIITMXXXX6013800</v>
      </c>
      <c r="BC135" s="352" t="str">
        <f>(VLOOKUP(A135,TradesEquity!$1:$1048576,32,FALSE))</f>
        <v>N</v>
      </c>
      <c r="BI135" s="352" t="str">
        <f>(VLOOKUP(A135,TradesEquity!$1:$1048576,38,FALSE))</f>
        <v xml:space="preserve">        </v>
      </c>
      <c r="BJ135" s="352" t="str">
        <f>(VLOOKUP(A135,TradesEquity!$1:$1048576,39,FALSE))</f>
        <v xml:space="preserve">        </v>
      </c>
      <c r="BK135" s="352" t="str">
        <f>(VLOOKUP(A135,TradesEquity!$1:$1048576,40,FALSE))</f>
        <v>CITIITM1012</v>
      </c>
    </row>
    <row r="136" spans="1:63">
      <c r="A136" s="412">
        <f t="shared" si="5"/>
        <v>2019200379</v>
      </c>
      <c r="D136" s="342" t="s">
        <v>1957</v>
      </c>
      <c r="F136" s="343">
        <f>VLOOKUP(A136,TradesEquity!$1:$1048576,2,FALSE)</f>
        <v>44173</v>
      </c>
      <c r="H136" s="343">
        <f>VLOOKUP(A136,TradesEquity!$1:$1048576,21,FALSE)</f>
        <v>44175</v>
      </c>
      <c r="I136" s="344" t="str">
        <f>IF(VLOOKUP(A136,TradesEquity!$1:$1048576,3,FALSE)="BUY","B","S")</f>
        <v>S</v>
      </c>
      <c r="J136" s="344" t="str">
        <f>VLOOKUP(A136,TradesEquity!$1:$1048576,5,FALSE)</f>
        <v>US3434121022</v>
      </c>
      <c r="K136" s="342" t="s">
        <v>19</v>
      </c>
      <c r="L136" s="345" t="s">
        <v>1958</v>
      </c>
      <c r="AE136" s="346" t="str">
        <f>VLOOKUP(A136,TradesEquity!$1:$1048576,10,FALSE)</f>
        <v>USD</v>
      </c>
      <c r="AF136" s="346" t="str">
        <f t="shared" si="4"/>
        <v>USD</v>
      </c>
      <c r="AG136" s="346" t="str">
        <f t="shared" si="4"/>
        <v>USD</v>
      </c>
      <c r="AH136" s="346" t="str">
        <f t="shared" si="4"/>
        <v>USD</v>
      </c>
      <c r="AI136" s="346">
        <f>ABS(VLOOKUP(A136,TradesEquity!$1:$1048576,13,FALSE))</f>
        <v>13450</v>
      </c>
      <c r="AJ136" s="347">
        <v>0</v>
      </c>
      <c r="AK136" s="347">
        <v>1</v>
      </c>
      <c r="AL136" s="346">
        <f>VLOOKUP(A136,TradesEquity!$1:$1048576,11,FALSE)</f>
        <v>18.4679</v>
      </c>
      <c r="AM136" s="347">
        <v>1</v>
      </c>
      <c r="AN136" s="346">
        <f>ABS(VLOOKUP(A136,TradesEquity!$1:$1048576,14,FALSE))</f>
        <v>248393.255</v>
      </c>
      <c r="AO136" s="346">
        <f>ABS(VLOOKUP(A136,TradesEquity!$1:$1048576,15,FALSE))</f>
        <v>124.2</v>
      </c>
      <c r="AP136" s="348">
        <f>ABS(VLOOKUP(A136,TradesEquity!$1:$1048576,16,FALSE))</f>
        <v>5.49</v>
      </c>
      <c r="AQ136" s="286">
        <v>0</v>
      </c>
      <c r="AR136" s="286">
        <v>0</v>
      </c>
      <c r="AS136" s="286">
        <v>0</v>
      </c>
      <c r="AT136" s="286">
        <v>0</v>
      </c>
      <c r="AU136" s="286">
        <v>0</v>
      </c>
      <c r="AV136" s="348">
        <f>ABS(VLOOKUP(A136,TradesEquity!$1:$1048576,18,FALSE))</f>
        <v>248263.565</v>
      </c>
      <c r="AW136" s="349">
        <v>0</v>
      </c>
      <c r="AX136" s="350">
        <v>4542</v>
      </c>
      <c r="AY136" s="351" t="s">
        <v>1959</v>
      </c>
      <c r="AZ136" s="352" t="str">
        <f>(VLOOKUP(A136,TradesEquity!$1:$1048576,29,FALSE))</f>
        <v>GSILGB2XXXX</v>
      </c>
      <c r="BA136" s="352" t="str">
        <f>(VLOOKUP(A136,TradesEquity!$1:$1048576,30,FALSE))</f>
        <v>DTCYUS33</v>
      </c>
      <c r="BB136" s="352" t="str">
        <f>(VLOOKUP(A136,TradesEquity!$1:$1048576,31,FALSE))</f>
        <v xml:space="preserve">        </v>
      </c>
      <c r="BC136" s="352" t="str">
        <f>(VLOOKUP(A136,TradesEquity!$1:$1048576,32,FALSE))</f>
        <v>N</v>
      </c>
      <c r="BI136" s="352" t="str">
        <f>(VLOOKUP(A136,TradesEquity!$1:$1048576,38,FALSE))</f>
        <v>DTCYID</v>
      </c>
      <c r="BJ136" s="352">
        <f>(VLOOKUP(A136,TradesEquity!$1:$1048576,39,FALSE))</f>
        <v>5208</v>
      </c>
      <c r="BK136" s="352" t="str">
        <f>(VLOOKUP(A136,TradesEquity!$1:$1048576,40,FALSE))</f>
        <v xml:space="preserve">        </v>
      </c>
    </row>
    <row r="137" spans="1:63">
      <c r="A137" s="412">
        <f t="shared" si="5"/>
        <v>2019200380</v>
      </c>
      <c r="D137" s="342" t="s">
        <v>1957</v>
      </c>
      <c r="F137" s="343">
        <f>VLOOKUP(A137,TradesEquity!$1:$1048576,2,FALSE)</f>
        <v>44173</v>
      </c>
      <c r="H137" s="343">
        <f>VLOOKUP(A137,TradesEquity!$1:$1048576,21,FALSE)</f>
        <v>44175</v>
      </c>
      <c r="I137" s="344" t="str">
        <f>IF(VLOOKUP(A137,TradesEquity!$1:$1048576,3,FALSE)="BUY","B","S")</f>
        <v>S</v>
      </c>
      <c r="J137" s="344" t="str">
        <f>VLOOKUP(A137,TradesEquity!$1:$1048576,5,FALSE)</f>
        <v>IT0005424830</v>
      </c>
      <c r="K137" s="342" t="s">
        <v>19</v>
      </c>
      <c r="L137" s="345" t="s">
        <v>1958</v>
      </c>
      <c r="AE137" s="346" t="str">
        <f>VLOOKUP(A137,TradesEquity!$1:$1048576,10,FALSE)</f>
        <v>EUR</v>
      </c>
      <c r="AF137" s="346" t="str">
        <f t="shared" si="4"/>
        <v>EUR</v>
      </c>
      <c r="AG137" s="346" t="str">
        <f t="shared" si="4"/>
        <v>EUR</v>
      </c>
      <c r="AH137" s="346" t="str">
        <f t="shared" si="4"/>
        <v>EUR</v>
      </c>
      <c r="AI137" s="346">
        <f>ABS(VLOOKUP(A137,TradesEquity!$1:$1048576,13,FALSE))</f>
        <v>5000</v>
      </c>
      <c r="AJ137" s="347">
        <v>0</v>
      </c>
      <c r="AK137" s="347">
        <v>1</v>
      </c>
      <c r="AL137" s="346">
        <f>VLOOKUP(A137,TradesEquity!$1:$1048576,11,FALSE)</f>
        <v>2.4359999999999999</v>
      </c>
      <c r="AM137" s="347">
        <v>1</v>
      </c>
      <c r="AN137" s="346">
        <f>ABS(VLOOKUP(A137,TradesEquity!$1:$1048576,14,FALSE))</f>
        <v>12180</v>
      </c>
      <c r="AO137" s="346">
        <f>ABS(VLOOKUP(A137,TradesEquity!$1:$1048576,15,FALSE))</f>
        <v>7.31</v>
      </c>
      <c r="AP137" s="348">
        <f>ABS(VLOOKUP(A137,TradesEquity!$1:$1048576,16,FALSE))</f>
        <v>0</v>
      </c>
      <c r="AQ137" s="286">
        <v>0</v>
      </c>
      <c r="AR137" s="286">
        <v>0</v>
      </c>
      <c r="AS137" s="286">
        <v>0</v>
      </c>
      <c r="AT137" s="286">
        <v>0</v>
      </c>
      <c r="AU137" s="286">
        <v>0</v>
      </c>
      <c r="AV137" s="348">
        <f>ABS(VLOOKUP(A137,TradesEquity!$1:$1048576,18,FALSE))</f>
        <v>12172.69</v>
      </c>
      <c r="AW137" s="349">
        <v>0</v>
      </c>
      <c r="AX137" s="350">
        <v>4542</v>
      </c>
      <c r="AY137" s="351" t="s">
        <v>1959</v>
      </c>
      <c r="AZ137" s="352" t="str">
        <f>(VLOOKUP(A137,TradesEquity!$1:$1048576,29,FALSE))</f>
        <v>GSILGB2XXXX</v>
      </c>
      <c r="BA137" s="352" t="str">
        <f>(VLOOKUP(A137,TradesEquity!$1:$1048576,30,FALSE))</f>
        <v>MOTIITMMXXX</v>
      </c>
      <c r="BB137" s="352" t="str">
        <f>(VLOOKUP(A137,TradesEquity!$1:$1048576,31,FALSE))</f>
        <v>MOTICITIITMXXXX6013800</v>
      </c>
      <c r="BC137" s="352" t="str">
        <f>(VLOOKUP(A137,TradesEquity!$1:$1048576,32,FALSE))</f>
        <v>N</v>
      </c>
      <c r="BI137" s="352" t="str">
        <f>(VLOOKUP(A137,TradesEquity!$1:$1048576,38,FALSE))</f>
        <v xml:space="preserve">        </v>
      </c>
      <c r="BJ137" s="352" t="str">
        <f>(VLOOKUP(A137,TradesEquity!$1:$1048576,39,FALSE))</f>
        <v xml:space="preserve">        </v>
      </c>
      <c r="BK137" s="352" t="str">
        <f>(VLOOKUP(A137,TradesEquity!$1:$1048576,40,FALSE))</f>
        <v>CITIITM1012</v>
      </c>
    </row>
    <row r="138" spans="1:63">
      <c r="A138" s="412">
        <f t="shared" si="5"/>
        <v>2019200381</v>
      </c>
      <c r="D138" s="342" t="s">
        <v>1957</v>
      </c>
      <c r="F138" s="343">
        <f>VLOOKUP(A138,TradesEquity!$1:$1048576,2,FALSE)</f>
        <v>44175</v>
      </c>
      <c r="H138" s="343">
        <f>VLOOKUP(A138,TradesEquity!$1:$1048576,21,FALSE)</f>
        <v>44179</v>
      </c>
      <c r="I138" s="344" t="str">
        <f>IF(VLOOKUP(A138,TradesEquity!$1:$1048576,3,FALSE)="BUY","B","S")</f>
        <v>S</v>
      </c>
      <c r="J138" s="344" t="str">
        <f>VLOOKUP(A138,TradesEquity!$1:$1048576,5,FALSE)</f>
        <v>IT0005424830</v>
      </c>
      <c r="K138" s="342" t="s">
        <v>19</v>
      </c>
      <c r="L138" s="345" t="s">
        <v>1958</v>
      </c>
      <c r="AE138" s="346" t="str">
        <f>VLOOKUP(A138,TradesEquity!$1:$1048576,10,FALSE)</f>
        <v>EUR</v>
      </c>
      <c r="AF138" s="346" t="str">
        <f t="shared" si="4"/>
        <v>EUR</v>
      </c>
      <c r="AG138" s="346" t="str">
        <f t="shared" si="4"/>
        <v>EUR</v>
      </c>
      <c r="AH138" s="346" t="str">
        <f t="shared" si="4"/>
        <v>EUR</v>
      </c>
      <c r="AI138" s="346">
        <f>ABS(VLOOKUP(A138,TradesEquity!$1:$1048576,13,FALSE))</f>
        <v>9000</v>
      </c>
      <c r="AJ138" s="347">
        <v>0</v>
      </c>
      <c r="AK138" s="347">
        <v>1</v>
      </c>
      <c r="AL138" s="346">
        <f>VLOOKUP(A138,TradesEquity!$1:$1048576,11,FALSE)</f>
        <v>2.3666999999999998</v>
      </c>
      <c r="AM138" s="347">
        <v>1</v>
      </c>
      <c r="AN138" s="346">
        <f>ABS(VLOOKUP(A138,TradesEquity!$1:$1048576,14,FALSE))</f>
        <v>21300.3</v>
      </c>
      <c r="AO138" s="346">
        <f>ABS(VLOOKUP(A138,TradesEquity!$1:$1048576,15,FALSE))</f>
        <v>12.27</v>
      </c>
      <c r="AP138" s="348">
        <f>ABS(VLOOKUP(A138,TradesEquity!$1:$1048576,16,FALSE))</f>
        <v>0</v>
      </c>
      <c r="AQ138" s="286">
        <v>0</v>
      </c>
      <c r="AR138" s="286">
        <v>0</v>
      </c>
      <c r="AS138" s="286">
        <v>0</v>
      </c>
      <c r="AT138" s="286">
        <v>0</v>
      </c>
      <c r="AU138" s="286">
        <v>0</v>
      </c>
      <c r="AV138" s="348">
        <f>ABS(VLOOKUP(A138,TradesEquity!$1:$1048576,18,FALSE))</f>
        <v>21288.03</v>
      </c>
      <c r="AW138" s="349">
        <v>0</v>
      </c>
      <c r="AX138" s="350">
        <v>4542</v>
      </c>
      <c r="AY138" s="351" t="s">
        <v>1959</v>
      </c>
      <c r="AZ138" s="352" t="str">
        <f>(VLOOKUP(A138,TradesEquity!$1:$1048576,29,FALSE))</f>
        <v>GSILGB2XXXX</v>
      </c>
      <c r="BA138" s="352" t="str">
        <f>(VLOOKUP(A138,TradesEquity!$1:$1048576,30,FALSE))</f>
        <v>MOTIITMMXXX</v>
      </c>
      <c r="BB138" s="352" t="str">
        <f>(VLOOKUP(A138,TradesEquity!$1:$1048576,31,FALSE))</f>
        <v>MOTICITIITMXXXX6013800</v>
      </c>
      <c r="BC138" s="352" t="str">
        <f>(VLOOKUP(A138,TradesEquity!$1:$1048576,32,FALSE))</f>
        <v>N</v>
      </c>
      <c r="BI138" s="352" t="str">
        <f>(VLOOKUP(A138,TradesEquity!$1:$1048576,38,FALSE))</f>
        <v xml:space="preserve">        </v>
      </c>
      <c r="BJ138" s="352" t="str">
        <f>(VLOOKUP(A138,TradesEquity!$1:$1048576,39,FALSE))</f>
        <v xml:space="preserve">        </v>
      </c>
      <c r="BK138" s="352" t="str">
        <f>(VLOOKUP(A138,TradesEquity!$1:$1048576,40,FALSE))</f>
        <v>CITIITM1012</v>
      </c>
    </row>
    <row r="139" spans="1:63">
      <c r="A139" s="412">
        <f t="shared" si="5"/>
        <v>2019200382</v>
      </c>
      <c r="D139" s="342" t="s">
        <v>1957</v>
      </c>
      <c r="F139" s="343">
        <f>VLOOKUP(A139,TradesEquity!$1:$1048576,2,FALSE)</f>
        <v>44180</v>
      </c>
      <c r="H139" s="343">
        <f>VLOOKUP(A139,TradesEquity!$1:$1048576,21,FALSE)</f>
        <v>44182</v>
      </c>
      <c r="I139" s="344" t="str">
        <f>IF(VLOOKUP(A139,TradesEquity!$1:$1048576,3,FALSE)="BUY","B","S")</f>
        <v>B</v>
      </c>
      <c r="J139" s="344" t="str">
        <f>VLOOKUP(A139,TradesEquity!$1:$1048576,5,FALSE)</f>
        <v>JP3627400009</v>
      </c>
      <c r="K139" s="342" t="s">
        <v>19</v>
      </c>
      <c r="L139" s="345" t="s">
        <v>1958</v>
      </c>
      <c r="AE139" s="346" t="str">
        <f>VLOOKUP(A139,TradesEquity!$1:$1048576,10,FALSE)</f>
        <v>JPY</v>
      </c>
      <c r="AF139" s="346" t="str">
        <f t="shared" si="4"/>
        <v>JPY</v>
      </c>
      <c r="AG139" s="346" t="str">
        <f t="shared" si="4"/>
        <v>JPY</v>
      </c>
      <c r="AH139" s="346" t="str">
        <f t="shared" si="4"/>
        <v>JPY</v>
      </c>
      <c r="AI139" s="346">
        <f>ABS(VLOOKUP(A139,TradesEquity!$1:$1048576,13,FALSE))</f>
        <v>4100</v>
      </c>
      <c r="AJ139" s="347">
        <v>0</v>
      </c>
      <c r="AK139" s="347">
        <v>1</v>
      </c>
      <c r="AL139" s="346">
        <f>VLOOKUP(A139,TradesEquity!$1:$1048576,11,FALSE)</f>
        <v>2587.5927000000001</v>
      </c>
      <c r="AM139" s="347">
        <v>1</v>
      </c>
      <c r="AN139" s="346">
        <f>ABS(VLOOKUP(A139,TradesEquity!$1:$1048576,14,FALSE))</f>
        <v>10609130.07</v>
      </c>
      <c r="AO139" s="346">
        <f>ABS(VLOOKUP(A139,TradesEquity!$1:$1048576,15,FALSE))</f>
        <v>6365.4780000000001</v>
      </c>
      <c r="AP139" s="348">
        <f>ABS(VLOOKUP(A139,TradesEquity!$1:$1048576,16,FALSE))</f>
        <v>0</v>
      </c>
      <c r="AQ139" s="286">
        <v>0</v>
      </c>
      <c r="AR139" s="286">
        <v>0</v>
      </c>
      <c r="AS139" s="286">
        <v>0</v>
      </c>
      <c r="AT139" s="286">
        <v>0</v>
      </c>
      <c r="AU139" s="286">
        <v>0</v>
      </c>
      <c r="AV139" s="348">
        <f>ABS(VLOOKUP(A139,TradesEquity!$1:$1048576,18,FALSE))</f>
        <v>10615495.548</v>
      </c>
      <c r="AW139" s="349">
        <v>0</v>
      </c>
      <c r="AX139" s="350">
        <v>4542</v>
      </c>
      <c r="AY139" s="351" t="s">
        <v>1959</v>
      </c>
      <c r="AZ139" s="352" t="str">
        <f>(VLOOKUP(A139,TradesEquity!$1:$1048576,29,FALSE))</f>
        <v>GSILGB2XXXX</v>
      </c>
      <c r="BA139" s="352" t="str">
        <f>(VLOOKUP(A139,TradesEquity!$1:$1048576,30,FALSE))</f>
        <v>JJSDJPJTXXX</v>
      </c>
      <c r="BB139" s="352">
        <f>(VLOOKUP(A139,TradesEquity!$1:$1048576,31,FALSE))</f>
        <v>6530490016</v>
      </c>
      <c r="BC139" s="352" t="str">
        <f>(VLOOKUP(A139,TradesEquity!$1:$1048576,32,FALSE))</f>
        <v>N</v>
      </c>
      <c r="BI139" s="352" t="str">
        <f>(VLOOKUP(A139,TradesEquity!$1:$1048576,38,FALSE))</f>
        <v xml:space="preserve">                  </v>
      </c>
      <c r="BJ139" s="352" t="str">
        <f>(VLOOKUP(A139,TradesEquity!$1:$1048576,39,FALSE))</f>
        <v xml:space="preserve">                          </v>
      </c>
      <c r="BK139" s="352" t="str">
        <f>(VLOOKUP(A139,TradesEquity!$1:$1048576,40,FALSE))</f>
        <v>GOLDJPJXXXX</v>
      </c>
    </row>
    <row r="140" spans="1:63">
      <c r="A140" s="412">
        <f t="shared" si="5"/>
        <v>2019200383</v>
      </c>
      <c r="D140" s="342" t="s">
        <v>1957</v>
      </c>
      <c r="F140" s="343">
        <f>VLOOKUP(A140,TradesEquity!$1:$1048576,2,FALSE)</f>
        <v>44183</v>
      </c>
      <c r="H140" s="343">
        <f>VLOOKUP(A140,TradesEquity!$1:$1048576,21,FALSE)</f>
        <v>44187</v>
      </c>
      <c r="I140" s="344" t="str">
        <f>IF(VLOOKUP(A140,TradesEquity!$1:$1048576,3,FALSE)="BUY","B","S")</f>
        <v>S</v>
      </c>
      <c r="J140" s="344" t="str">
        <f>VLOOKUP(A140,TradesEquity!$1:$1048576,5,FALSE)</f>
        <v>KR7042600007</v>
      </c>
      <c r="K140" s="342" t="s">
        <v>19</v>
      </c>
      <c r="L140" s="345" t="s">
        <v>1958</v>
      </c>
      <c r="AE140" s="346" t="str">
        <f>VLOOKUP(A140,TradesEquity!$1:$1048576,10,FALSE)</f>
        <v>KRW</v>
      </c>
      <c r="AF140" s="346" t="str">
        <f t="shared" si="4"/>
        <v>KRW</v>
      </c>
      <c r="AG140" s="346" t="str">
        <f t="shared" si="4"/>
        <v>KRW</v>
      </c>
      <c r="AH140" s="346" t="str">
        <f t="shared" si="4"/>
        <v>KRW</v>
      </c>
      <c r="AI140" s="346">
        <f>ABS(VLOOKUP(A140,TradesEquity!$1:$1048576,13,FALSE))</f>
        <v>25000</v>
      </c>
      <c r="AJ140" s="347">
        <v>0</v>
      </c>
      <c r="AK140" s="347">
        <v>1</v>
      </c>
      <c r="AL140" s="346">
        <f>VLOOKUP(A140,TradesEquity!$1:$1048576,11,FALSE)</f>
        <v>14749.932000000001</v>
      </c>
      <c r="AM140" s="347">
        <v>1</v>
      </c>
      <c r="AN140" s="346">
        <f>ABS(VLOOKUP(A140,TradesEquity!$1:$1048576,14,FALSE))</f>
        <v>368748300</v>
      </c>
      <c r="AO140" s="346">
        <f>ABS(VLOOKUP(A140,TradesEquity!$1:$1048576,15,FALSE))</f>
        <v>553122</v>
      </c>
      <c r="AP140" s="348">
        <f>ABS(VLOOKUP(A140,TradesEquity!$1:$1048576,16,FALSE))</f>
        <v>921769</v>
      </c>
      <c r="AQ140" s="286">
        <v>0</v>
      </c>
      <c r="AR140" s="286">
        <v>0</v>
      </c>
      <c r="AS140" s="286">
        <v>0</v>
      </c>
      <c r="AT140" s="286">
        <v>0</v>
      </c>
      <c r="AU140" s="286">
        <v>0</v>
      </c>
      <c r="AV140" s="348">
        <f>ABS(VLOOKUP(A140,TradesEquity!$1:$1048576,18,FALSE))</f>
        <v>367273409</v>
      </c>
      <c r="AW140" s="349">
        <v>0</v>
      </c>
      <c r="AX140" s="350">
        <v>4542</v>
      </c>
      <c r="AY140" s="351" t="s">
        <v>1959</v>
      </c>
      <c r="AZ140" s="352" t="e">
        <f>(VLOOKUP(A140,TradesEquity!$1:$1048576,29,FALSE))</f>
        <v>#N/A</v>
      </c>
      <c r="BA140" s="352" t="e">
        <f>(VLOOKUP(A140,TradesEquity!$1:$1048576,30,FALSE))</f>
        <v>#N/A</v>
      </c>
      <c r="BB140" s="352" t="e">
        <f>(VLOOKUP(A140,TradesEquity!$1:$1048576,31,FALSE))</f>
        <v>#N/A</v>
      </c>
      <c r="BC140" s="352" t="e">
        <f>(VLOOKUP(A140,TradesEquity!$1:$1048576,32,FALSE))</f>
        <v>#N/A</v>
      </c>
      <c r="BI140" s="352" t="e">
        <f>(VLOOKUP(A140,TradesEquity!$1:$1048576,38,FALSE))</f>
        <v>#N/A</v>
      </c>
      <c r="BJ140" s="352" t="e">
        <f>(VLOOKUP(A140,TradesEquity!$1:$1048576,39,FALSE))</f>
        <v>#N/A</v>
      </c>
      <c r="BK140" s="352" t="e">
        <f>(VLOOKUP(A140,TradesEquity!$1:$1048576,40,FALSE))</f>
        <v>#N/A</v>
      </c>
    </row>
    <row r="141" spans="1:63">
      <c r="A141" s="412">
        <f t="shared" si="5"/>
        <v>2019200384</v>
      </c>
      <c r="D141" s="342" t="s">
        <v>1957</v>
      </c>
      <c r="F141" s="343">
        <f>VLOOKUP(A141,TradesEquity!$1:$1048576,2,FALSE)</f>
        <v>44183</v>
      </c>
      <c r="H141" s="343">
        <f>VLOOKUP(A141,TradesEquity!$1:$1048576,21,FALSE)</f>
        <v>44187</v>
      </c>
      <c r="I141" s="344" t="str">
        <f>IF(VLOOKUP(A141,TradesEquity!$1:$1048576,3,FALSE)="BUY","B","S")</f>
        <v>B</v>
      </c>
      <c r="J141" s="344" t="str">
        <f>VLOOKUP(A141,TradesEquity!$1:$1048576,5,FALSE)</f>
        <v>JP3627400009</v>
      </c>
      <c r="K141" s="342" t="s">
        <v>19</v>
      </c>
      <c r="L141" s="345" t="s">
        <v>1958</v>
      </c>
      <c r="AE141" s="346" t="str">
        <f>VLOOKUP(A141,TradesEquity!$1:$1048576,10,FALSE)</f>
        <v>JPY</v>
      </c>
      <c r="AF141" s="346" t="str">
        <f t="shared" si="4"/>
        <v>JPY</v>
      </c>
      <c r="AG141" s="346" t="str">
        <f t="shared" si="4"/>
        <v>JPY</v>
      </c>
      <c r="AH141" s="346" t="str">
        <f t="shared" si="4"/>
        <v>JPY</v>
      </c>
      <c r="AI141" s="346">
        <f>ABS(VLOOKUP(A141,TradesEquity!$1:$1048576,13,FALSE))</f>
        <v>3100</v>
      </c>
      <c r="AJ141" s="347">
        <v>0</v>
      </c>
      <c r="AK141" s="347">
        <v>1</v>
      </c>
      <c r="AL141" s="346">
        <f>VLOOKUP(A141,TradesEquity!$1:$1048576,11,FALSE)</f>
        <v>2299.9774000000002</v>
      </c>
      <c r="AM141" s="347">
        <v>1</v>
      </c>
      <c r="AN141" s="346">
        <f>ABS(VLOOKUP(A141,TradesEquity!$1:$1048576,14,FALSE))</f>
        <v>7129929.9400000004</v>
      </c>
      <c r="AO141" s="346">
        <f>ABS(VLOOKUP(A141,TradesEquity!$1:$1048576,15,FALSE))</f>
        <v>4278</v>
      </c>
      <c r="AP141" s="348">
        <f>ABS(VLOOKUP(A141,TradesEquity!$1:$1048576,16,FALSE))</f>
        <v>0</v>
      </c>
      <c r="AQ141" s="286">
        <v>0</v>
      </c>
      <c r="AR141" s="286">
        <v>0</v>
      </c>
      <c r="AS141" s="286">
        <v>0</v>
      </c>
      <c r="AT141" s="286">
        <v>0</v>
      </c>
      <c r="AU141" s="286">
        <v>0</v>
      </c>
      <c r="AV141" s="348">
        <f>ABS(VLOOKUP(A141,TradesEquity!$1:$1048576,18,FALSE))</f>
        <v>7134207.9400000004</v>
      </c>
      <c r="AW141" s="349">
        <v>0</v>
      </c>
      <c r="AX141" s="350">
        <v>4542</v>
      </c>
      <c r="AY141" s="351" t="s">
        <v>1959</v>
      </c>
      <c r="AZ141" s="352" t="str">
        <f>(VLOOKUP(A141,TradesEquity!$1:$1048576,29,FALSE))</f>
        <v>GSILGB2XXXX</v>
      </c>
      <c r="BA141" s="352" t="str">
        <f>(VLOOKUP(A141,TradesEquity!$1:$1048576,30,FALSE))</f>
        <v>JJSDJPJTXXX</v>
      </c>
      <c r="BB141" s="352">
        <f>(VLOOKUP(A141,TradesEquity!$1:$1048576,31,FALSE))</f>
        <v>6530490016</v>
      </c>
      <c r="BC141" s="352" t="str">
        <f>(VLOOKUP(A141,TradesEquity!$1:$1048576,32,FALSE))</f>
        <v>N</v>
      </c>
      <c r="BI141" s="352" t="str">
        <f>(VLOOKUP(A141,TradesEquity!$1:$1048576,38,FALSE))</f>
        <v xml:space="preserve">                  </v>
      </c>
      <c r="BJ141" s="352" t="str">
        <f>(VLOOKUP(A141,TradesEquity!$1:$1048576,39,FALSE))</f>
        <v xml:space="preserve">                          </v>
      </c>
      <c r="BK141" s="352" t="str">
        <f>(VLOOKUP(A141,TradesEquity!$1:$1048576,40,FALSE))</f>
        <v>GOLDJPJXXXX</v>
      </c>
    </row>
    <row r="142" spans="1:63">
      <c r="A142" s="412">
        <f t="shared" si="5"/>
        <v>2019200385</v>
      </c>
      <c r="D142" s="342" t="s">
        <v>1957</v>
      </c>
      <c r="F142" s="343">
        <f>VLOOKUP(A142,TradesEquity!$1:$1048576,2,FALSE)</f>
        <v>44183</v>
      </c>
      <c r="H142" s="343">
        <f>VLOOKUP(A142,TradesEquity!$1:$1048576,21,FALSE)</f>
        <v>44187</v>
      </c>
      <c r="I142" s="344" t="str">
        <f>IF(VLOOKUP(A142,TradesEquity!$1:$1048576,3,FALSE)="BUY","B","S")</f>
        <v>B</v>
      </c>
      <c r="J142" s="344" t="str">
        <f>VLOOKUP(A142,TradesEquity!$1:$1048576,5,FALSE)</f>
        <v>JP3592200004</v>
      </c>
      <c r="K142" s="342" t="s">
        <v>19</v>
      </c>
      <c r="L142" s="345" t="s">
        <v>1958</v>
      </c>
      <c r="AE142" s="346" t="str">
        <f>VLOOKUP(A142,TradesEquity!$1:$1048576,10,FALSE)</f>
        <v>JPY</v>
      </c>
      <c r="AF142" s="346" t="str">
        <f t="shared" si="4"/>
        <v>JPY</v>
      </c>
      <c r="AG142" s="346" t="str">
        <f t="shared" si="4"/>
        <v>JPY</v>
      </c>
      <c r="AH142" s="346" t="str">
        <f t="shared" si="4"/>
        <v>JPY</v>
      </c>
      <c r="AI142" s="346">
        <f>ABS(VLOOKUP(A142,TradesEquity!$1:$1048576,13,FALSE))</f>
        <v>3000</v>
      </c>
      <c r="AJ142" s="347">
        <v>0</v>
      </c>
      <c r="AK142" s="347">
        <v>1</v>
      </c>
      <c r="AL142" s="346">
        <f>VLOOKUP(A142,TradesEquity!$1:$1048576,11,FALSE)</f>
        <v>2998.64</v>
      </c>
      <c r="AM142" s="347">
        <v>1</v>
      </c>
      <c r="AN142" s="346">
        <f>ABS(VLOOKUP(A142,TradesEquity!$1:$1048576,14,FALSE))</f>
        <v>8995920</v>
      </c>
      <c r="AO142" s="346">
        <f>ABS(VLOOKUP(A142,TradesEquity!$1:$1048576,15,FALSE))</f>
        <v>5398</v>
      </c>
      <c r="AP142" s="348">
        <f>ABS(VLOOKUP(A142,TradesEquity!$1:$1048576,16,FALSE))</f>
        <v>0</v>
      </c>
      <c r="AQ142" s="286">
        <v>0</v>
      </c>
      <c r="AR142" s="286">
        <v>0</v>
      </c>
      <c r="AS142" s="286">
        <v>0</v>
      </c>
      <c r="AT142" s="286">
        <v>0</v>
      </c>
      <c r="AU142" s="286">
        <v>0</v>
      </c>
      <c r="AV142" s="348">
        <f>ABS(VLOOKUP(A142,TradesEquity!$1:$1048576,18,FALSE))</f>
        <v>9001318</v>
      </c>
      <c r="AW142" s="349">
        <v>0</v>
      </c>
      <c r="AX142" s="350">
        <v>4542</v>
      </c>
      <c r="AY142" s="351" t="s">
        <v>1959</v>
      </c>
      <c r="AZ142" s="352" t="str">
        <f>(VLOOKUP(A142,TradesEquity!$1:$1048576,29,FALSE))</f>
        <v>GSILGB2XXXX</v>
      </c>
      <c r="BA142" s="352" t="str">
        <f>(VLOOKUP(A142,TradesEquity!$1:$1048576,30,FALSE))</f>
        <v>JJSDJPJTXXX</v>
      </c>
      <c r="BB142" s="352">
        <f>(VLOOKUP(A142,TradesEquity!$1:$1048576,31,FALSE))</f>
        <v>6530490016</v>
      </c>
      <c r="BC142" s="352" t="str">
        <f>(VLOOKUP(A142,TradesEquity!$1:$1048576,32,FALSE))</f>
        <v>N</v>
      </c>
      <c r="BI142" s="352" t="str">
        <f>(VLOOKUP(A142,TradesEquity!$1:$1048576,38,FALSE))</f>
        <v xml:space="preserve">                  </v>
      </c>
      <c r="BJ142" s="352" t="str">
        <f>(VLOOKUP(A142,TradesEquity!$1:$1048576,39,FALSE))</f>
        <v xml:space="preserve">                          </v>
      </c>
      <c r="BK142" s="352" t="str">
        <f>(VLOOKUP(A142,TradesEquity!$1:$1048576,40,FALSE))</f>
        <v>GOLDJPJXXXX</v>
      </c>
    </row>
    <row r="143" spans="1:63">
      <c r="A143" s="412">
        <f t="shared" si="5"/>
        <v>2019200386</v>
      </c>
      <c r="D143" s="342" t="s">
        <v>1957</v>
      </c>
      <c r="F143" s="343">
        <f>VLOOKUP(A143,TradesEquity!$1:$1048576,2,FALSE)</f>
        <v>44194</v>
      </c>
      <c r="H143" s="343">
        <f>VLOOKUP(A143,TradesEquity!$1:$1048576,21,FALSE)</f>
        <v>44196</v>
      </c>
      <c r="I143" s="344" t="str">
        <f>IF(VLOOKUP(A143,TradesEquity!$1:$1048576,3,FALSE)="BUY","B","S")</f>
        <v>S</v>
      </c>
      <c r="J143" s="344" t="str">
        <f>VLOOKUP(A143,TradesEquity!$1:$1048576,5,FALSE)</f>
        <v>IT0005424822</v>
      </c>
      <c r="K143" s="342" t="s">
        <v>19</v>
      </c>
      <c r="L143" s="345" t="s">
        <v>1958</v>
      </c>
      <c r="AE143" s="346" t="str">
        <f>VLOOKUP(A143,TradesEquity!$1:$1048576,10,FALSE)</f>
        <v>EUR</v>
      </c>
      <c r="AF143" s="346" t="str">
        <f t="shared" si="4"/>
        <v>EUR</v>
      </c>
      <c r="AG143" s="346" t="str">
        <f t="shared" si="4"/>
        <v>EUR</v>
      </c>
      <c r="AH143" s="346" t="str">
        <f t="shared" si="4"/>
        <v>EUR</v>
      </c>
      <c r="AI143" s="346">
        <f>ABS(VLOOKUP(A143,TradesEquity!$1:$1048576,13,FALSE))</f>
        <v>1000</v>
      </c>
      <c r="AJ143" s="347">
        <v>0</v>
      </c>
      <c r="AK143" s="347">
        <v>1</v>
      </c>
      <c r="AL143" s="346">
        <f>VLOOKUP(A143,TradesEquity!$1:$1048576,11,FALSE)</f>
        <v>2.1</v>
      </c>
      <c r="AM143" s="347">
        <v>1</v>
      </c>
      <c r="AN143" s="346">
        <f>ABS(VLOOKUP(A143,TradesEquity!$1:$1048576,14,FALSE))</f>
        <v>2100</v>
      </c>
      <c r="AO143" s="346">
        <f>ABS(VLOOKUP(A143,TradesEquity!$1:$1048576,15,FALSE))</f>
        <v>1.26</v>
      </c>
      <c r="AP143" s="348">
        <f>ABS(VLOOKUP(A143,TradesEquity!$1:$1048576,16,FALSE))</f>
        <v>0</v>
      </c>
      <c r="AQ143" s="286">
        <v>0</v>
      </c>
      <c r="AR143" s="286">
        <v>0</v>
      </c>
      <c r="AS143" s="286">
        <v>0</v>
      </c>
      <c r="AT143" s="286">
        <v>0</v>
      </c>
      <c r="AU143" s="286">
        <v>0</v>
      </c>
      <c r="AV143" s="348">
        <f>ABS(VLOOKUP(A143,TradesEquity!$1:$1048576,18,FALSE))</f>
        <v>2098.7399999999998</v>
      </c>
      <c r="AW143" s="349">
        <v>0</v>
      </c>
      <c r="AX143" s="350">
        <v>4542</v>
      </c>
      <c r="AY143" s="351" t="s">
        <v>1959</v>
      </c>
      <c r="AZ143" s="352" t="str">
        <f>(VLOOKUP(A143,TradesEquity!$1:$1048576,29,FALSE))</f>
        <v>GSILGB2XXXX</v>
      </c>
      <c r="BA143" s="352" t="str">
        <f>(VLOOKUP(A143,TradesEquity!$1:$1048576,30,FALSE))</f>
        <v>MOTIITMMXXX</v>
      </c>
      <c r="BB143" s="352" t="str">
        <f>(VLOOKUP(A143,TradesEquity!$1:$1048576,31,FALSE))</f>
        <v>MOTICITIITMXXXX6013800</v>
      </c>
      <c r="BC143" s="352" t="str">
        <f>(VLOOKUP(A143,TradesEquity!$1:$1048576,32,FALSE))</f>
        <v>N</v>
      </c>
      <c r="BI143" s="352" t="str">
        <f>(VLOOKUP(A143,TradesEquity!$1:$1048576,38,FALSE))</f>
        <v xml:space="preserve">        </v>
      </c>
      <c r="BJ143" s="352" t="str">
        <f>(VLOOKUP(A143,TradesEquity!$1:$1048576,39,FALSE))</f>
        <v xml:space="preserve">        </v>
      </c>
      <c r="BK143" s="352" t="str">
        <f>(VLOOKUP(A143,TradesEquity!$1:$1048576,40,FALSE))</f>
        <v>CITIITM1012</v>
      </c>
    </row>
    <row r="144" spans="1:63">
      <c r="A144" s="412">
        <v>2019200388</v>
      </c>
      <c r="D144" s="342" t="s">
        <v>1957</v>
      </c>
      <c r="F144" s="343">
        <f>VLOOKUP(A144,TradesEquity!$1:$1048576,2,FALSE)</f>
        <v>44200</v>
      </c>
      <c r="H144" s="343">
        <f>VLOOKUP(A144,TradesEquity!$1:$1048576,21,FALSE)</f>
        <v>44202</v>
      </c>
      <c r="I144" s="344" t="str">
        <f>IF(VLOOKUP(A144,TradesEquity!$1:$1048576,3,FALSE)="BUY","B","S")</f>
        <v>B</v>
      </c>
      <c r="J144" s="344" t="str">
        <f>VLOOKUP(A144,TradesEquity!$1:$1048576,5,FALSE)</f>
        <v>JP3866800000</v>
      </c>
      <c r="K144" s="342" t="s">
        <v>19</v>
      </c>
      <c r="L144" s="345" t="s">
        <v>1958</v>
      </c>
      <c r="AE144" s="346" t="str">
        <f>VLOOKUP(A144,TradesEquity!$1:$1048576,10,FALSE)</f>
        <v>JPY</v>
      </c>
      <c r="AF144" s="346" t="str">
        <f t="shared" si="4"/>
        <v>JPY</v>
      </c>
      <c r="AG144" s="346" t="str">
        <f t="shared" si="4"/>
        <v>JPY</v>
      </c>
      <c r="AH144" s="346" t="str">
        <f t="shared" si="4"/>
        <v>JPY</v>
      </c>
      <c r="AI144" s="346">
        <f>ABS(VLOOKUP(A144,TradesEquity!$1:$1048576,13,FALSE))</f>
        <v>9350</v>
      </c>
      <c r="AJ144" s="347">
        <v>0</v>
      </c>
      <c r="AK144" s="347">
        <v>1</v>
      </c>
      <c r="AL144" s="346">
        <f>VLOOKUP(A144,TradesEquity!$1:$1048576,11,FALSE)</f>
        <v>1188.9996000000001</v>
      </c>
      <c r="AM144" s="347">
        <v>1</v>
      </c>
      <c r="AN144" s="346">
        <f>ABS(VLOOKUP(A144,TradesEquity!$1:$1048576,14,FALSE))</f>
        <v>11117146.260000002</v>
      </c>
      <c r="AO144" s="346">
        <f>ABS(VLOOKUP(A144,TradesEquity!$1:$1048576,15,FALSE))</f>
        <v>6670</v>
      </c>
      <c r="AP144" s="348">
        <f>ABS(VLOOKUP(A144,TradesEquity!$1:$1048576,16,FALSE))</f>
        <v>0</v>
      </c>
      <c r="AQ144" s="286">
        <v>0</v>
      </c>
      <c r="AR144" s="286">
        <v>0</v>
      </c>
      <c r="AS144" s="286">
        <v>0</v>
      </c>
      <c r="AT144" s="286">
        <v>0</v>
      </c>
      <c r="AU144" s="286">
        <v>0</v>
      </c>
      <c r="AV144" s="348">
        <f>ABS(VLOOKUP(A144,TradesEquity!$1:$1048576,18,FALSE))</f>
        <v>11123816.260000002</v>
      </c>
      <c r="AW144" s="349">
        <v>0</v>
      </c>
      <c r="AX144" s="350">
        <v>4542</v>
      </c>
      <c r="AY144" s="351" t="s">
        <v>1959</v>
      </c>
      <c r="AZ144" s="352" t="str">
        <f>(VLOOKUP(A144,TradesEquity!$1:$1048576,29,FALSE))</f>
        <v>GSILGB2XXXX</v>
      </c>
      <c r="BA144" s="352" t="str">
        <f>(VLOOKUP(A144,TradesEquity!$1:$1048576,30,FALSE))</f>
        <v>JJSDJPJTXXX</v>
      </c>
      <c r="BB144" s="352">
        <f>(VLOOKUP(A144,TradesEquity!$1:$1048576,31,FALSE))</f>
        <v>6530490016</v>
      </c>
      <c r="BC144" s="352" t="str">
        <f>(VLOOKUP(A144,TradesEquity!$1:$1048576,32,FALSE))</f>
        <v>N</v>
      </c>
      <c r="BI144" s="352" t="str">
        <f>(VLOOKUP(A144,TradesEquity!$1:$1048576,38,FALSE))</f>
        <v xml:space="preserve">                  </v>
      </c>
      <c r="BJ144" s="352" t="str">
        <f>(VLOOKUP(A144,TradesEquity!$1:$1048576,39,FALSE))</f>
        <v xml:space="preserve">                          </v>
      </c>
      <c r="BK144" s="352" t="str">
        <f>(VLOOKUP(A144,TradesEquity!$1:$1048576,40,FALSE))</f>
        <v>GOLDJPJXXXX</v>
      </c>
    </row>
    <row r="145" spans="1:63">
      <c r="A145" s="412">
        <v>2019200389</v>
      </c>
      <c r="D145" s="342" t="s">
        <v>1957</v>
      </c>
      <c r="F145" s="343">
        <f>VLOOKUP(A145,TradesEquity!$1:$1048576,2,FALSE)</f>
        <v>44202</v>
      </c>
      <c r="H145" s="343">
        <f>VLOOKUP(A145,TradesEquity!$1:$1048576,21,FALSE)</f>
        <v>44204</v>
      </c>
      <c r="I145" s="344" t="str">
        <f>IF(VLOOKUP(A145,TradesEquity!$1:$1048576,3,FALSE)="BUY","B","S")</f>
        <v>B</v>
      </c>
      <c r="J145" s="344" t="str">
        <f>VLOOKUP(A145,TradesEquity!$1:$1048576,5,FALSE)</f>
        <v>JP3544000007</v>
      </c>
      <c r="K145" s="342" t="s">
        <v>19</v>
      </c>
      <c r="L145" s="345" t="s">
        <v>1958</v>
      </c>
      <c r="AE145" s="346" t="str">
        <f>VLOOKUP(A145,TradesEquity!$1:$1048576,10,FALSE)</f>
        <v>JPY</v>
      </c>
      <c r="AF145" s="346" t="str">
        <f t="shared" si="4"/>
        <v>JPY</v>
      </c>
      <c r="AG145" s="346" t="str">
        <f t="shared" si="4"/>
        <v>JPY</v>
      </c>
      <c r="AH145" s="346" t="str">
        <f t="shared" si="4"/>
        <v>JPY</v>
      </c>
      <c r="AI145" s="346">
        <f>ABS(VLOOKUP(A145,TradesEquity!$1:$1048576,13,FALSE))</f>
        <v>5800</v>
      </c>
      <c r="AJ145" s="347">
        <v>0</v>
      </c>
      <c r="AK145" s="347">
        <v>1</v>
      </c>
      <c r="AL145" s="346">
        <f>VLOOKUP(A145,TradesEquity!$1:$1048576,11,FALSE)</f>
        <v>1928.6948199999999</v>
      </c>
      <c r="AM145" s="347">
        <v>1</v>
      </c>
      <c r="AN145" s="346">
        <f>ABS(VLOOKUP(A145,TradesEquity!$1:$1048576,14,FALSE))</f>
        <v>11186429.956</v>
      </c>
      <c r="AO145" s="346">
        <f>ABS(VLOOKUP(A145,TradesEquity!$1:$1048576,15,FALSE))</f>
        <v>6712</v>
      </c>
      <c r="AP145" s="348">
        <f>ABS(VLOOKUP(A145,TradesEquity!$1:$1048576,16,FALSE))</f>
        <v>0</v>
      </c>
      <c r="AQ145" s="286">
        <v>0</v>
      </c>
      <c r="AR145" s="286">
        <v>0</v>
      </c>
      <c r="AS145" s="286">
        <v>0</v>
      </c>
      <c r="AT145" s="286">
        <v>0</v>
      </c>
      <c r="AU145" s="286">
        <v>0</v>
      </c>
      <c r="AV145" s="348">
        <f>ABS(VLOOKUP(A145,TradesEquity!$1:$1048576,18,FALSE))</f>
        <v>11193141.956</v>
      </c>
      <c r="AW145" s="349">
        <v>0</v>
      </c>
      <c r="AX145" s="350">
        <v>4542</v>
      </c>
      <c r="AY145" s="351" t="s">
        <v>1959</v>
      </c>
      <c r="AZ145" s="352" t="str">
        <f>(VLOOKUP(A145,TradesEquity!$1:$1048576,29,FALSE))</f>
        <v>GSILGB2XXXX</v>
      </c>
      <c r="BA145" s="352" t="str">
        <f>(VLOOKUP(A145,TradesEquity!$1:$1048576,30,FALSE))</f>
        <v>JJSDJPJTXXX</v>
      </c>
      <c r="BB145" s="352">
        <f>(VLOOKUP(A145,TradesEquity!$1:$1048576,31,FALSE))</f>
        <v>6530490016</v>
      </c>
      <c r="BC145" s="352" t="str">
        <f>(VLOOKUP(A145,TradesEquity!$1:$1048576,32,FALSE))</f>
        <v>N</v>
      </c>
      <c r="BI145" s="352" t="str">
        <f>(VLOOKUP(A145,TradesEquity!$1:$1048576,38,FALSE))</f>
        <v xml:space="preserve">                  </v>
      </c>
      <c r="BJ145" s="352" t="str">
        <f>(VLOOKUP(A145,TradesEquity!$1:$1048576,39,FALSE))</f>
        <v xml:space="preserve">                          </v>
      </c>
      <c r="BK145" s="352" t="str">
        <f>(VLOOKUP(A145,TradesEquity!$1:$1048576,40,FALSE))</f>
        <v>GOLDJPJXXXX</v>
      </c>
    </row>
    <row r="146" spans="1:63">
      <c r="A146" s="412">
        <v>2019200390</v>
      </c>
      <c r="D146" s="342" t="s">
        <v>1957</v>
      </c>
      <c r="F146" s="343">
        <f>VLOOKUP(A146,TradesEquity!$1:$1048576,2,FALSE)</f>
        <v>44202</v>
      </c>
      <c r="H146" s="343">
        <f>VLOOKUP(A146,TradesEquity!$1:$1048576,21,FALSE)</f>
        <v>44204</v>
      </c>
      <c r="I146" s="344" t="str">
        <f>IF(VLOOKUP(A146,TradesEquity!$1:$1048576,3,FALSE)="BUY","B","S")</f>
        <v>S</v>
      </c>
      <c r="J146" s="344" t="str">
        <f>VLOOKUP(A146,TradesEquity!$1:$1048576,5,FALSE)</f>
        <v>KR7096770003</v>
      </c>
      <c r="K146" s="342" t="s">
        <v>19</v>
      </c>
      <c r="L146" s="345" t="s">
        <v>1958</v>
      </c>
      <c r="AE146" s="346" t="str">
        <f>VLOOKUP(A146,TradesEquity!$1:$1048576,10,FALSE)</f>
        <v>KRW</v>
      </c>
      <c r="AF146" s="346" t="str">
        <f t="shared" si="4"/>
        <v>KRW</v>
      </c>
      <c r="AG146" s="346" t="str">
        <f t="shared" si="4"/>
        <v>KRW</v>
      </c>
      <c r="AH146" s="346" t="str">
        <f t="shared" si="4"/>
        <v>KRW</v>
      </c>
      <c r="AI146" s="346">
        <f>ABS(VLOOKUP(A146,TradesEquity!$1:$1048576,13,FALSE))</f>
        <v>990</v>
      </c>
      <c r="AJ146" s="347">
        <v>0</v>
      </c>
      <c r="AK146" s="347">
        <v>1</v>
      </c>
      <c r="AL146" s="346">
        <f>VLOOKUP(A146,TradesEquity!$1:$1048576,11,FALSE)</f>
        <v>262267.676768</v>
      </c>
      <c r="AM146" s="347">
        <v>1</v>
      </c>
      <c r="AN146" s="346">
        <f>ABS(VLOOKUP(A146,TradesEquity!$1:$1048576,14,FALSE))</f>
        <v>259645000.00032002</v>
      </c>
      <c r="AO146" s="346">
        <f>ABS(VLOOKUP(A146,TradesEquity!$1:$1048576,15,FALSE))</f>
        <v>389468</v>
      </c>
      <c r="AP146" s="348">
        <f>ABS(VLOOKUP(A146,TradesEquity!$1:$1048576,16,FALSE))</f>
        <v>597163</v>
      </c>
      <c r="AQ146" s="286">
        <v>0</v>
      </c>
      <c r="AR146" s="286">
        <v>0</v>
      </c>
      <c r="AS146" s="286">
        <v>0</v>
      </c>
      <c r="AT146" s="286">
        <v>0</v>
      </c>
      <c r="AU146" s="286">
        <v>0</v>
      </c>
      <c r="AV146" s="348">
        <f>ABS(VLOOKUP(A146,TradesEquity!$1:$1048576,18,FALSE))</f>
        <v>258658369.00032002</v>
      </c>
      <c r="AW146" s="349">
        <v>0</v>
      </c>
      <c r="AX146" s="350">
        <v>4542</v>
      </c>
      <c r="AY146" s="351" t="s">
        <v>1959</v>
      </c>
      <c r="AZ146" s="352" t="e">
        <f>(VLOOKUP(A146,TradesEquity!$1:$1048576,29,FALSE))</f>
        <v>#N/A</v>
      </c>
      <c r="BA146" s="352" t="e">
        <f>(VLOOKUP(A146,TradesEquity!$1:$1048576,30,FALSE))</f>
        <v>#N/A</v>
      </c>
      <c r="BB146" s="352" t="e">
        <f>(VLOOKUP(A146,TradesEquity!$1:$1048576,31,FALSE))</f>
        <v>#N/A</v>
      </c>
      <c r="BC146" s="352" t="e">
        <f>(VLOOKUP(A146,TradesEquity!$1:$1048576,32,FALSE))</f>
        <v>#N/A</v>
      </c>
      <c r="BI146" s="352" t="e">
        <f>(VLOOKUP(A146,TradesEquity!$1:$1048576,38,FALSE))</f>
        <v>#N/A</v>
      </c>
      <c r="BJ146" s="352" t="e">
        <f>(VLOOKUP(A146,TradesEquity!$1:$1048576,39,FALSE))</f>
        <v>#N/A</v>
      </c>
      <c r="BK146" s="352" t="e">
        <f>(VLOOKUP(A146,TradesEquity!$1:$1048576,40,FALSE))</f>
        <v>#N/A</v>
      </c>
    </row>
    <row r="147" spans="1:63">
      <c r="A147" s="412">
        <v>2019200391</v>
      </c>
      <c r="D147" s="342" t="s">
        <v>1957</v>
      </c>
      <c r="F147" s="343">
        <f>VLOOKUP(A147,TradesEquity!$1:$1048576,2,FALSE)</f>
        <v>44207</v>
      </c>
      <c r="H147" s="343">
        <f>VLOOKUP(A147,TradesEquity!$1:$1048576,21,FALSE)</f>
        <v>44209</v>
      </c>
      <c r="I147" s="344" t="str">
        <f>IF(VLOOKUP(A147,TradesEquity!$1:$1048576,3,FALSE)="BUY","B","S")</f>
        <v>S</v>
      </c>
      <c r="J147" s="344" t="str">
        <f>VLOOKUP(A147,TradesEquity!$1:$1048576,5,FALSE)</f>
        <v>KR7006401004</v>
      </c>
      <c r="K147" s="342" t="s">
        <v>19</v>
      </c>
      <c r="L147" s="345" t="s">
        <v>1958</v>
      </c>
      <c r="AE147" s="346" t="str">
        <f>VLOOKUP(A147,TradesEquity!$1:$1048576,10,FALSE)</f>
        <v>KRW</v>
      </c>
      <c r="AF147" s="346" t="str">
        <f t="shared" si="4"/>
        <v>KRW</v>
      </c>
      <c r="AG147" s="346" t="str">
        <f t="shared" si="4"/>
        <v>KRW</v>
      </c>
      <c r="AH147" s="346" t="str">
        <f t="shared" si="4"/>
        <v>KRW</v>
      </c>
      <c r="AI147" s="346">
        <f>ABS(VLOOKUP(A147,TradesEquity!$1:$1048576,13,FALSE))</f>
        <v>300</v>
      </c>
      <c r="AJ147" s="347">
        <v>0</v>
      </c>
      <c r="AK147" s="347">
        <v>1</v>
      </c>
      <c r="AL147" s="346">
        <f>VLOOKUP(A147,TradesEquity!$1:$1048576,11,FALSE)</f>
        <v>495811.66666699998</v>
      </c>
      <c r="AM147" s="347">
        <v>1</v>
      </c>
      <c r="AN147" s="346">
        <f>ABS(VLOOKUP(A147,TradesEquity!$1:$1048576,14,FALSE))</f>
        <v>148743500.00009999</v>
      </c>
      <c r="AO147" s="346">
        <f>ABS(VLOOKUP(A147,TradesEquity!$1:$1048576,15,FALSE))</f>
        <v>223115</v>
      </c>
      <c r="AP147" s="348">
        <f>ABS(VLOOKUP(A147,TradesEquity!$1:$1048576,16,FALSE))</f>
        <v>342073</v>
      </c>
      <c r="AQ147" s="286">
        <v>0</v>
      </c>
      <c r="AR147" s="286">
        <v>0</v>
      </c>
      <c r="AS147" s="286">
        <v>0</v>
      </c>
      <c r="AT147" s="286">
        <v>0</v>
      </c>
      <c r="AU147" s="286">
        <v>0</v>
      </c>
      <c r="AV147" s="348">
        <f>ABS(VLOOKUP(A147,TradesEquity!$1:$1048576,18,FALSE))</f>
        <v>148178312.00009999</v>
      </c>
      <c r="AW147" s="349">
        <v>0</v>
      </c>
      <c r="AX147" s="350">
        <v>4542</v>
      </c>
      <c r="AY147" s="351" t="s">
        <v>1959</v>
      </c>
      <c r="AZ147" s="352" t="e">
        <f>(VLOOKUP(A147,TradesEquity!$1:$1048576,29,FALSE))</f>
        <v>#N/A</v>
      </c>
      <c r="BA147" s="352" t="e">
        <f>(VLOOKUP(A147,TradesEquity!$1:$1048576,30,FALSE))</f>
        <v>#N/A</v>
      </c>
      <c r="BB147" s="352" t="e">
        <f>(VLOOKUP(A147,TradesEquity!$1:$1048576,31,FALSE))</f>
        <v>#N/A</v>
      </c>
      <c r="BC147" s="352" t="e">
        <f>(VLOOKUP(A147,TradesEquity!$1:$1048576,32,FALSE))</f>
        <v>#N/A</v>
      </c>
      <c r="BI147" s="352" t="e">
        <f>(VLOOKUP(A147,TradesEquity!$1:$1048576,38,FALSE))</f>
        <v>#N/A</v>
      </c>
      <c r="BJ147" s="352" t="e">
        <f>(VLOOKUP(A147,TradesEquity!$1:$1048576,39,FALSE))</f>
        <v>#N/A</v>
      </c>
      <c r="BK147" s="352" t="e">
        <f>(VLOOKUP(A147,TradesEquity!$1:$1048576,40,FALSE))</f>
        <v>#N/A</v>
      </c>
    </row>
    <row r="148" spans="1:63">
      <c r="A148" s="412">
        <v>2019200392</v>
      </c>
      <c r="D148" s="342" t="s">
        <v>1957</v>
      </c>
      <c r="F148" s="343">
        <f>VLOOKUP(A148,TradesEquity!$1:$1048576,2,FALSE)</f>
        <v>44208</v>
      </c>
      <c r="H148" s="343">
        <f>VLOOKUP(A148,TradesEquity!$1:$1048576,21,FALSE)</f>
        <v>44210</v>
      </c>
      <c r="I148" s="344" t="str">
        <f>IF(VLOOKUP(A148,TradesEquity!$1:$1048576,3,FALSE)="BUY","B","S")</f>
        <v>B</v>
      </c>
      <c r="J148" s="344" t="str">
        <f>VLOOKUP(A148,TradesEquity!$1:$1048576,5,FALSE)</f>
        <v>JP3592200004</v>
      </c>
      <c r="K148" s="342" t="s">
        <v>19</v>
      </c>
      <c r="L148" s="345" t="s">
        <v>1958</v>
      </c>
      <c r="AE148" s="346" t="str">
        <f>VLOOKUP(A148,TradesEquity!$1:$1048576,10,FALSE)</f>
        <v>JPY</v>
      </c>
      <c r="AF148" s="346" t="str">
        <f t="shared" si="4"/>
        <v>JPY</v>
      </c>
      <c r="AG148" s="346" t="str">
        <f t="shared" si="4"/>
        <v>JPY</v>
      </c>
      <c r="AH148" s="346" t="str">
        <f t="shared" si="4"/>
        <v>JPY</v>
      </c>
      <c r="AI148" s="346">
        <f>ABS(VLOOKUP(A148,TradesEquity!$1:$1048576,13,FALSE))</f>
        <v>9000</v>
      </c>
      <c r="AJ148" s="347">
        <v>0</v>
      </c>
      <c r="AK148" s="347">
        <v>1</v>
      </c>
      <c r="AL148" s="346">
        <f>VLOOKUP(A148,TradesEquity!$1:$1048576,11,FALSE)</f>
        <v>3039.2255559999999</v>
      </c>
      <c r="AM148" s="347">
        <v>1</v>
      </c>
      <c r="AN148" s="346">
        <f>ABS(VLOOKUP(A148,TradesEquity!$1:$1048576,14,FALSE))</f>
        <v>27353030.004000001</v>
      </c>
      <c r="AO148" s="346">
        <f>ABS(VLOOKUP(A148,TradesEquity!$1:$1048576,15,FALSE))</f>
        <v>16412</v>
      </c>
      <c r="AP148" s="348">
        <f>ABS(VLOOKUP(A148,TradesEquity!$1:$1048576,16,FALSE))</f>
        <v>0</v>
      </c>
      <c r="AQ148" s="286">
        <v>0</v>
      </c>
      <c r="AR148" s="286">
        <v>0</v>
      </c>
      <c r="AS148" s="286">
        <v>0</v>
      </c>
      <c r="AT148" s="286">
        <v>0</v>
      </c>
      <c r="AU148" s="286">
        <v>0</v>
      </c>
      <c r="AV148" s="348">
        <f>ABS(VLOOKUP(A148,TradesEquity!$1:$1048576,18,FALSE))</f>
        <v>27369442.004000001</v>
      </c>
      <c r="AW148" s="349">
        <v>0</v>
      </c>
      <c r="AX148" s="350">
        <v>4542</v>
      </c>
      <c r="AY148" s="351" t="s">
        <v>1959</v>
      </c>
      <c r="AZ148" s="352" t="str">
        <f>(VLOOKUP(A148,TradesEquity!$1:$1048576,29,FALSE))</f>
        <v>GSILGB2XXXX</v>
      </c>
      <c r="BA148" s="352" t="str">
        <f>(VLOOKUP(A148,TradesEquity!$1:$1048576,30,FALSE))</f>
        <v>JJSDJPJTXXX</v>
      </c>
      <c r="BB148" s="352">
        <f>(VLOOKUP(A148,TradesEquity!$1:$1048576,31,FALSE))</f>
        <v>6530490016</v>
      </c>
      <c r="BC148" s="352" t="str">
        <f>(VLOOKUP(A148,TradesEquity!$1:$1048576,32,FALSE))</f>
        <v>N</v>
      </c>
      <c r="BI148" s="352" t="str">
        <f>(VLOOKUP(A148,TradesEquity!$1:$1048576,38,FALSE))</f>
        <v xml:space="preserve">                  </v>
      </c>
      <c r="BJ148" s="352" t="str">
        <f>(VLOOKUP(A148,TradesEquity!$1:$1048576,39,FALSE))</f>
        <v xml:space="preserve">                          </v>
      </c>
      <c r="BK148" s="352" t="str">
        <f>(VLOOKUP(A148,TradesEquity!$1:$1048576,40,FALSE))</f>
        <v>GOLDJPJXXXX</v>
      </c>
    </row>
    <row r="149" spans="1:63">
      <c r="A149" s="412">
        <v>2019200393</v>
      </c>
      <c r="D149" s="342" t="s">
        <v>1957</v>
      </c>
      <c r="F149" s="343">
        <f>VLOOKUP(A149,TradesEquity!$1:$1048576,2,FALSE)</f>
        <v>44208</v>
      </c>
      <c r="H149" s="343">
        <f>VLOOKUP(A149,TradesEquity!$1:$1048576,21,FALSE)</f>
        <v>44210</v>
      </c>
      <c r="I149" s="344" t="str">
        <f>IF(VLOOKUP(A149,TradesEquity!$1:$1048576,3,FALSE)="BUY","B","S")</f>
        <v>B</v>
      </c>
      <c r="J149" s="344" t="str">
        <f>VLOOKUP(A149,TradesEquity!$1:$1048576,5,FALSE)</f>
        <v>JP3866800000</v>
      </c>
      <c r="K149" s="342" t="s">
        <v>19</v>
      </c>
      <c r="L149" s="345" t="s">
        <v>1958</v>
      </c>
      <c r="AE149" s="346" t="str">
        <f>VLOOKUP(A149,TradesEquity!$1:$1048576,10,FALSE)</f>
        <v>JPY</v>
      </c>
      <c r="AF149" s="346" t="str">
        <f t="shared" si="4"/>
        <v>JPY</v>
      </c>
      <c r="AG149" s="346" t="str">
        <f t="shared" si="4"/>
        <v>JPY</v>
      </c>
      <c r="AH149" s="346" t="str">
        <f t="shared" si="4"/>
        <v>JPY</v>
      </c>
      <c r="AI149" s="346">
        <f>ABS(VLOOKUP(A149,TradesEquity!$1:$1048576,13,FALSE))</f>
        <v>6000</v>
      </c>
      <c r="AJ149" s="347">
        <v>0</v>
      </c>
      <c r="AK149" s="347">
        <v>1</v>
      </c>
      <c r="AL149" s="346">
        <f>VLOOKUP(A149,TradesEquity!$1:$1048576,11,FALSE)</f>
        <v>1287.3908329999999</v>
      </c>
      <c r="AM149" s="347">
        <v>1</v>
      </c>
      <c r="AN149" s="346">
        <f>ABS(VLOOKUP(A149,TradesEquity!$1:$1048576,14,FALSE))</f>
        <v>7724344.9979999997</v>
      </c>
      <c r="AO149" s="346">
        <f>ABS(VLOOKUP(A149,TradesEquity!$1:$1048576,15,FALSE))</f>
        <v>4635</v>
      </c>
      <c r="AP149" s="348">
        <f>ABS(VLOOKUP(A149,TradesEquity!$1:$1048576,16,FALSE))</f>
        <v>0</v>
      </c>
      <c r="AQ149" s="286">
        <v>0</v>
      </c>
      <c r="AR149" s="286">
        <v>0</v>
      </c>
      <c r="AS149" s="286">
        <v>0</v>
      </c>
      <c r="AT149" s="286">
        <v>0</v>
      </c>
      <c r="AU149" s="286">
        <v>0</v>
      </c>
      <c r="AV149" s="348">
        <f>ABS(VLOOKUP(A149,TradesEquity!$1:$1048576,18,FALSE))</f>
        <v>7728979.9979999997</v>
      </c>
      <c r="AW149" s="349">
        <v>0</v>
      </c>
      <c r="AX149" s="350">
        <v>4542</v>
      </c>
      <c r="AY149" s="351" t="s">
        <v>1959</v>
      </c>
      <c r="AZ149" s="352" t="str">
        <f>(VLOOKUP(A149,TradesEquity!$1:$1048576,29,FALSE))</f>
        <v>GSILGB2XXXX</v>
      </c>
      <c r="BA149" s="352" t="str">
        <f>(VLOOKUP(A149,TradesEquity!$1:$1048576,30,FALSE))</f>
        <v>JJSDJPJTXXX</v>
      </c>
      <c r="BB149" s="352">
        <f>(VLOOKUP(A149,TradesEquity!$1:$1048576,31,FALSE))</f>
        <v>6530490016</v>
      </c>
      <c r="BC149" s="352" t="str">
        <f>(VLOOKUP(A149,TradesEquity!$1:$1048576,32,FALSE))</f>
        <v>N</v>
      </c>
      <c r="BI149" s="352" t="str">
        <f>(VLOOKUP(A149,TradesEquity!$1:$1048576,38,FALSE))</f>
        <v xml:space="preserve">                  </v>
      </c>
      <c r="BJ149" s="352" t="str">
        <f>(VLOOKUP(A149,TradesEquity!$1:$1048576,39,FALSE))</f>
        <v xml:space="preserve">                          </v>
      </c>
      <c r="BK149" s="352" t="str">
        <f>(VLOOKUP(A149,TradesEquity!$1:$1048576,40,FALSE))</f>
        <v>GOLDJPJXXXX</v>
      </c>
    </row>
    <row r="150" spans="1:63">
      <c r="A150" s="412">
        <v>2019200396</v>
      </c>
      <c r="D150" s="342" t="s">
        <v>1957</v>
      </c>
      <c r="F150" s="343">
        <f>VLOOKUP(A150,TradesEquity!$1:$1048576,2,FALSE)</f>
        <v>44209</v>
      </c>
      <c r="H150" s="343">
        <f>VLOOKUP(A150,TradesEquity!$1:$1048576,21,FALSE)</f>
        <v>44211</v>
      </c>
      <c r="I150" s="344" t="str">
        <f>IF(VLOOKUP(A150,TradesEquity!$1:$1048576,3,FALSE)="BUY","B","S")</f>
        <v>B</v>
      </c>
      <c r="J150" s="344" t="str">
        <f>VLOOKUP(A150,TradesEquity!$1:$1048576,5,FALSE)</f>
        <v>JP3544000007</v>
      </c>
      <c r="K150" s="342" t="s">
        <v>19</v>
      </c>
      <c r="L150" s="345" t="s">
        <v>1958</v>
      </c>
      <c r="AE150" s="346" t="str">
        <f>VLOOKUP(A150,TradesEquity!$1:$1048576,10,FALSE)</f>
        <v>JPY</v>
      </c>
      <c r="AF150" s="346" t="str">
        <f t="shared" si="4"/>
        <v>JPY</v>
      </c>
      <c r="AG150" s="346" t="str">
        <f t="shared" si="4"/>
        <v>JPY</v>
      </c>
      <c r="AH150" s="346" t="str">
        <f t="shared" si="4"/>
        <v>JPY</v>
      </c>
      <c r="AI150" s="346">
        <f>ABS(VLOOKUP(A150,TradesEquity!$1:$1048576,13,FALSE))</f>
        <v>5000</v>
      </c>
      <c r="AJ150" s="347">
        <v>0</v>
      </c>
      <c r="AK150" s="347">
        <v>1</v>
      </c>
      <c r="AL150" s="346">
        <f>VLOOKUP(A150,TradesEquity!$1:$1048576,11,FALSE)</f>
        <v>1998.742</v>
      </c>
      <c r="AM150" s="347">
        <v>1</v>
      </c>
      <c r="AN150" s="346">
        <f>ABS(VLOOKUP(A150,TradesEquity!$1:$1048576,14,FALSE))</f>
        <v>9993710</v>
      </c>
      <c r="AO150" s="346">
        <f>ABS(VLOOKUP(A150,TradesEquity!$1:$1048576,15,FALSE))</f>
        <v>5996</v>
      </c>
      <c r="AP150" s="348">
        <f>ABS(VLOOKUP(A150,TradesEquity!$1:$1048576,16,FALSE))</f>
        <v>0</v>
      </c>
      <c r="AQ150" s="286">
        <v>0</v>
      </c>
      <c r="AR150" s="286">
        <v>0</v>
      </c>
      <c r="AS150" s="286">
        <v>0</v>
      </c>
      <c r="AT150" s="286">
        <v>0</v>
      </c>
      <c r="AU150" s="286">
        <v>0</v>
      </c>
      <c r="AV150" s="348">
        <f>ABS(VLOOKUP(A150,TradesEquity!$1:$1048576,18,FALSE))</f>
        <v>9999706</v>
      </c>
      <c r="AW150" s="349">
        <v>0</v>
      </c>
      <c r="AX150" s="350">
        <v>4542</v>
      </c>
      <c r="AY150" s="351" t="s">
        <v>1959</v>
      </c>
      <c r="AZ150" s="352" t="str">
        <f>(VLOOKUP(A150,TradesEquity!$1:$1048576,29,FALSE))</f>
        <v>GSILGB2XXXX</v>
      </c>
      <c r="BA150" s="352" t="str">
        <f>(VLOOKUP(A150,TradesEquity!$1:$1048576,30,FALSE))</f>
        <v>JJSDJPJTXXX</v>
      </c>
      <c r="BB150" s="352">
        <f>(VLOOKUP(A150,TradesEquity!$1:$1048576,31,FALSE))</f>
        <v>6530490016</v>
      </c>
      <c r="BC150" s="352" t="str">
        <f>(VLOOKUP(A150,TradesEquity!$1:$1048576,32,FALSE))</f>
        <v>N</v>
      </c>
      <c r="BI150" s="352" t="str">
        <f>(VLOOKUP(A150,TradesEquity!$1:$1048576,38,FALSE))</f>
        <v xml:space="preserve">                  </v>
      </c>
      <c r="BJ150" s="352" t="str">
        <f>(VLOOKUP(A150,TradesEquity!$1:$1048576,39,FALSE))</f>
        <v xml:space="preserve">                          </v>
      </c>
      <c r="BK150" s="352" t="str">
        <f>(VLOOKUP(A150,TradesEquity!$1:$1048576,40,FALSE))</f>
        <v>GOLDJPJXXXX</v>
      </c>
    </row>
    <row r="151" spans="1:63">
      <c r="A151" s="412">
        <v>2019200397</v>
      </c>
      <c r="D151" s="342" t="s">
        <v>1957</v>
      </c>
      <c r="F151" s="343">
        <f>VLOOKUP(A151,TradesEquity!$1:$1048576,2,FALSE)</f>
        <v>44210</v>
      </c>
      <c r="H151" s="343">
        <f>VLOOKUP(A151,TradesEquity!$1:$1048576,21,FALSE)</f>
        <v>44214</v>
      </c>
      <c r="I151" s="344" t="str">
        <f>IF(VLOOKUP(A151,TradesEquity!$1:$1048576,3,FALSE)="BUY","B","S")</f>
        <v>B</v>
      </c>
      <c r="J151" s="344" t="str">
        <f>VLOOKUP(A151,TradesEquity!$1:$1048576,5,FALSE)</f>
        <v>JP3592200004</v>
      </c>
      <c r="K151" s="342" t="s">
        <v>19</v>
      </c>
      <c r="L151" s="345" t="s">
        <v>1958</v>
      </c>
      <c r="AE151" s="346" t="str">
        <f>VLOOKUP(A151,TradesEquity!$1:$1048576,10,FALSE)</f>
        <v>JPY</v>
      </c>
      <c r="AF151" s="346" t="str">
        <f t="shared" si="4"/>
        <v>JPY</v>
      </c>
      <c r="AG151" s="346" t="str">
        <f t="shared" si="4"/>
        <v>JPY</v>
      </c>
      <c r="AH151" s="346" t="str">
        <f t="shared" si="4"/>
        <v>JPY</v>
      </c>
      <c r="AI151" s="346">
        <f>ABS(VLOOKUP(A151,TradesEquity!$1:$1048576,13,FALSE))</f>
        <v>8000</v>
      </c>
      <c r="AJ151" s="347">
        <v>0</v>
      </c>
      <c r="AK151" s="347">
        <v>1</v>
      </c>
      <c r="AL151" s="346">
        <f>VLOOKUP(A151,TradesEquity!$1:$1048576,11,FALSE)</f>
        <v>3005.1862000000001</v>
      </c>
      <c r="AM151" s="347">
        <v>1</v>
      </c>
      <c r="AN151" s="346">
        <f>ABS(VLOOKUP(A151,TradesEquity!$1:$1048576,14,FALSE))</f>
        <v>24041489.600000001</v>
      </c>
      <c r="AO151" s="346">
        <f>ABS(VLOOKUP(A151,TradesEquity!$1:$1048576,15,FALSE))</f>
        <v>14424.89</v>
      </c>
      <c r="AP151" s="348">
        <f>ABS(VLOOKUP(A151,TradesEquity!$1:$1048576,16,FALSE))</f>
        <v>0</v>
      </c>
      <c r="AQ151" s="286">
        <v>0</v>
      </c>
      <c r="AR151" s="286">
        <v>0</v>
      </c>
      <c r="AS151" s="286">
        <v>0</v>
      </c>
      <c r="AT151" s="286">
        <v>0</v>
      </c>
      <c r="AU151" s="286">
        <v>0</v>
      </c>
      <c r="AV151" s="348">
        <f>ABS(VLOOKUP(A151,TradesEquity!$1:$1048576,18,FALSE))</f>
        <v>24055914.490000002</v>
      </c>
      <c r="AW151" s="349">
        <v>0</v>
      </c>
      <c r="AX151" s="350">
        <v>4542</v>
      </c>
      <c r="AY151" s="351" t="s">
        <v>1959</v>
      </c>
      <c r="AZ151" s="352" t="str">
        <f>(VLOOKUP(A151,TradesEquity!$1:$1048576,29,FALSE))</f>
        <v>GSILGB2XXXX</v>
      </c>
      <c r="BA151" s="352" t="str">
        <f>(VLOOKUP(A151,TradesEquity!$1:$1048576,30,FALSE))</f>
        <v>JJSDJPJTXXX</v>
      </c>
      <c r="BB151" s="352">
        <f>(VLOOKUP(A151,TradesEquity!$1:$1048576,31,FALSE))</f>
        <v>6530490016</v>
      </c>
      <c r="BC151" s="352" t="str">
        <f>(VLOOKUP(A151,TradesEquity!$1:$1048576,32,FALSE))</f>
        <v>N</v>
      </c>
      <c r="BI151" s="352" t="str">
        <f>(VLOOKUP(A151,TradesEquity!$1:$1048576,38,FALSE))</f>
        <v xml:space="preserve">                  </v>
      </c>
      <c r="BJ151" s="352" t="str">
        <f>(VLOOKUP(A151,TradesEquity!$1:$1048576,39,FALSE))</f>
        <v xml:space="preserve">                          </v>
      </c>
      <c r="BK151" s="352" t="str">
        <f>(VLOOKUP(A151,TradesEquity!$1:$1048576,40,FALSE))</f>
        <v>GOLDJPJXXXX</v>
      </c>
    </row>
    <row r="152" spans="1:63">
      <c r="A152" s="412">
        <v>2019200398</v>
      </c>
      <c r="D152" s="342" t="s">
        <v>1957</v>
      </c>
      <c r="F152" s="343">
        <f>VLOOKUP(A152,TradesEquity!$1:$1048576,2,FALSE)</f>
        <v>44210</v>
      </c>
      <c r="H152" s="343">
        <f>VLOOKUP(A152,TradesEquity!$1:$1048576,21,FALSE)</f>
        <v>44214</v>
      </c>
      <c r="I152" s="344" t="str">
        <f>IF(VLOOKUP(A152,TradesEquity!$1:$1048576,3,FALSE)="BUY","B","S")</f>
        <v>B</v>
      </c>
      <c r="J152" s="344" t="str">
        <f>VLOOKUP(A152,TradesEquity!$1:$1048576,5,FALSE)</f>
        <v>KR7064960008</v>
      </c>
      <c r="K152" s="342" t="s">
        <v>19</v>
      </c>
      <c r="L152" s="345" t="s">
        <v>1958</v>
      </c>
      <c r="AE152" s="346" t="str">
        <f>VLOOKUP(A152,TradesEquity!$1:$1048576,10,FALSE)</f>
        <v>KRW</v>
      </c>
      <c r="AF152" s="346" t="str">
        <f t="shared" si="4"/>
        <v>KRW</v>
      </c>
      <c r="AG152" s="346" t="str">
        <f t="shared" si="4"/>
        <v>KRW</v>
      </c>
      <c r="AH152" s="346" t="str">
        <f t="shared" si="4"/>
        <v>KRW</v>
      </c>
      <c r="AI152" s="346">
        <f>ABS(VLOOKUP(A152,TradesEquity!$1:$1048576,13,FALSE))</f>
        <v>2000</v>
      </c>
      <c r="AJ152" s="347">
        <v>0</v>
      </c>
      <c r="AK152" s="347">
        <v>1</v>
      </c>
      <c r="AL152" s="346">
        <f>VLOOKUP(A152,TradesEquity!$1:$1048576,11,FALSE)</f>
        <v>55624.95</v>
      </c>
      <c r="AM152" s="347">
        <v>1</v>
      </c>
      <c r="AN152" s="346">
        <f>ABS(VLOOKUP(A152,TradesEquity!$1:$1048576,14,FALSE))</f>
        <v>111249900</v>
      </c>
      <c r="AO152" s="346">
        <f>ABS(VLOOKUP(A152,TradesEquity!$1:$1048576,15,FALSE))</f>
        <v>166875</v>
      </c>
      <c r="AP152" s="348">
        <f>ABS(VLOOKUP(A152,TradesEquity!$1:$1048576,16,FALSE))</f>
        <v>0</v>
      </c>
      <c r="AQ152" s="286">
        <v>0</v>
      </c>
      <c r="AR152" s="286">
        <v>0</v>
      </c>
      <c r="AS152" s="286">
        <v>0</v>
      </c>
      <c r="AT152" s="286">
        <v>0</v>
      </c>
      <c r="AU152" s="286">
        <v>0</v>
      </c>
      <c r="AV152" s="348">
        <f>ABS(VLOOKUP(A152,TradesEquity!$1:$1048576,18,FALSE))</f>
        <v>111416775</v>
      </c>
      <c r="AW152" s="349">
        <v>0</v>
      </c>
      <c r="AX152" s="350">
        <v>4542</v>
      </c>
      <c r="AY152" s="351" t="s">
        <v>1959</v>
      </c>
      <c r="AZ152" s="352" t="e">
        <f>(VLOOKUP(A152,TradesEquity!$1:$1048576,29,FALSE))</f>
        <v>#N/A</v>
      </c>
      <c r="BA152" s="352" t="e">
        <f>(VLOOKUP(A152,TradesEquity!$1:$1048576,30,FALSE))</f>
        <v>#N/A</v>
      </c>
      <c r="BB152" s="352" t="e">
        <f>(VLOOKUP(A152,TradesEquity!$1:$1048576,31,FALSE))</f>
        <v>#N/A</v>
      </c>
      <c r="BC152" s="352" t="e">
        <f>(VLOOKUP(A152,TradesEquity!$1:$1048576,32,FALSE))</f>
        <v>#N/A</v>
      </c>
      <c r="BI152" s="352" t="e">
        <f>(VLOOKUP(A152,TradesEquity!$1:$1048576,38,FALSE))</f>
        <v>#N/A</v>
      </c>
      <c r="BJ152" s="352" t="e">
        <f>(VLOOKUP(A152,TradesEquity!$1:$1048576,39,FALSE))</f>
        <v>#N/A</v>
      </c>
      <c r="BK152" s="352" t="e">
        <f>(VLOOKUP(A152,TradesEquity!$1:$1048576,40,FALSE))</f>
        <v>#N/A</v>
      </c>
    </row>
    <row r="153" spans="1:63">
      <c r="A153" s="412">
        <v>2019200399</v>
      </c>
      <c r="D153" s="342" t="s">
        <v>1957</v>
      </c>
      <c r="F153" s="343">
        <f>VLOOKUP(A153,TradesEquity!$1:$1048576,2,FALSE)</f>
        <v>44210</v>
      </c>
      <c r="H153" s="343">
        <f>VLOOKUP(A153,TradesEquity!$1:$1048576,21,FALSE)</f>
        <v>44214</v>
      </c>
      <c r="I153" s="344" t="str">
        <f>IF(VLOOKUP(A153,TradesEquity!$1:$1048576,3,FALSE)="BUY","B","S")</f>
        <v>B</v>
      </c>
      <c r="J153" s="344" t="str">
        <f>VLOOKUP(A153,TradesEquity!$1:$1048576,5,FALSE)</f>
        <v>KR7056190002</v>
      </c>
      <c r="K153" s="342" t="s">
        <v>19</v>
      </c>
      <c r="L153" s="345" t="s">
        <v>1958</v>
      </c>
      <c r="AE153" s="346" t="str">
        <f>VLOOKUP(A153,TradesEquity!$1:$1048576,10,FALSE)</f>
        <v>KRW</v>
      </c>
      <c r="AF153" s="346" t="str">
        <f t="shared" si="4"/>
        <v>KRW</v>
      </c>
      <c r="AG153" s="346" t="str">
        <f t="shared" si="4"/>
        <v>KRW</v>
      </c>
      <c r="AH153" s="346" t="str">
        <f t="shared" si="4"/>
        <v>KRW</v>
      </c>
      <c r="AI153" s="346">
        <f>ABS(VLOOKUP(A153,TradesEquity!$1:$1048576,13,FALSE))</f>
        <v>4200</v>
      </c>
      <c r="AJ153" s="347">
        <v>0</v>
      </c>
      <c r="AK153" s="347">
        <v>1</v>
      </c>
      <c r="AL153" s="346">
        <f>VLOOKUP(A153,TradesEquity!$1:$1048576,11,FALSE)</f>
        <v>39313.154761999998</v>
      </c>
      <c r="AM153" s="347">
        <v>1</v>
      </c>
      <c r="AN153" s="346">
        <f>ABS(VLOOKUP(A153,TradesEquity!$1:$1048576,14,FALSE))</f>
        <v>165115250.00040001</v>
      </c>
      <c r="AO153" s="346">
        <f>ABS(VLOOKUP(A153,TradesEquity!$1:$1048576,15,FALSE))</f>
        <v>247673</v>
      </c>
      <c r="AP153" s="348">
        <f>ABS(VLOOKUP(A153,TradesEquity!$1:$1048576,16,FALSE))</f>
        <v>0</v>
      </c>
      <c r="AQ153" s="286">
        <v>0</v>
      </c>
      <c r="AR153" s="286">
        <v>0</v>
      </c>
      <c r="AS153" s="286">
        <v>0</v>
      </c>
      <c r="AT153" s="286">
        <v>0</v>
      </c>
      <c r="AU153" s="286">
        <v>0</v>
      </c>
      <c r="AV153" s="348">
        <f>ABS(VLOOKUP(A153,TradesEquity!$1:$1048576,18,FALSE))</f>
        <v>165362923.00040001</v>
      </c>
      <c r="AW153" s="349">
        <v>0</v>
      </c>
      <c r="AX153" s="350">
        <v>4542</v>
      </c>
      <c r="AY153" s="351" t="s">
        <v>1959</v>
      </c>
      <c r="AZ153" s="352" t="e">
        <f>(VLOOKUP(A153,TradesEquity!$1:$1048576,29,FALSE))</f>
        <v>#N/A</v>
      </c>
      <c r="BA153" s="352" t="e">
        <f>(VLOOKUP(A153,TradesEquity!$1:$1048576,30,FALSE))</f>
        <v>#N/A</v>
      </c>
      <c r="BB153" s="352" t="e">
        <f>(VLOOKUP(A153,TradesEquity!$1:$1048576,31,FALSE))</f>
        <v>#N/A</v>
      </c>
      <c r="BC153" s="352" t="e">
        <f>(VLOOKUP(A153,TradesEquity!$1:$1048576,32,FALSE))</f>
        <v>#N/A</v>
      </c>
      <c r="BI153" s="352" t="e">
        <f>(VLOOKUP(A153,TradesEquity!$1:$1048576,38,FALSE))</f>
        <v>#N/A</v>
      </c>
      <c r="BJ153" s="352" t="e">
        <f>(VLOOKUP(A153,TradesEquity!$1:$1048576,39,FALSE))</f>
        <v>#N/A</v>
      </c>
      <c r="BK153" s="352" t="e">
        <f>(VLOOKUP(A153,TradesEquity!$1:$1048576,40,FALSE))</f>
        <v>#N/A</v>
      </c>
    </row>
    <row r="154" spans="1:63">
      <c r="A154" s="412">
        <v>2019200400</v>
      </c>
      <c r="D154" s="342" t="s">
        <v>1957</v>
      </c>
      <c r="F154" s="343">
        <f>VLOOKUP(A154,TradesEquity!$1:$1048576,2,FALSE)</f>
        <v>44214</v>
      </c>
      <c r="H154" s="343">
        <f>VLOOKUP(A154,TradesEquity!$1:$1048576,21,FALSE)</f>
        <v>44216</v>
      </c>
      <c r="I154" s="344" t="str">
        <f>IF(VLOOKUP(A154,TradesEquity!$1:$1048576,3,FALSE)="BUY","B","S")</f>
        <v>B</v>
      </c>
      <c r="J154" s="344" t="str">
        <f>VLOOKUP(A154,TradesEquity!$1:$1048576,5,FALSE)</f>
        <v>KR7056190002</v>
      </c>
      <c r="K154" s="342" t="s">
        <v>19</v>
      </c>
      <c r="L154" s="345" t="s">
        <v>1958</v>
      </c>
      <c r="AE154" s="346" t="str">
        <f>VLOOKUP(A154,TradesEquity!$1:$1048576,10,FALSE)</f>
        <v>KRW</v>
      </c>
      <c r="AF154" s="346" t="str">
        <f t="shared" si="4"/>
        <v>KRW</v>
      </c>
      <c r="AG154" s="346" t="str">
        <f t="shared" si="4"/>
        <v>KRW</v>
      </c>
      <c r="AH154" s="346" t="str">
        <f t="shared" si="4"/>
        <v>KRW</v>
      </c>
      <c r="AI154" s="346">
        <f>ABS(VLOOKUP(A154,TradesEquity!$1:$1048576,13,FALSE))</f>
        <v>2600</v>
      </c>
      <c r="AJ154" s="347">
        <v>0</v>
      </c>
      <c r="AK154" s="347">
        <v>1</v>
      </c>
      <c r="AL154" s="346">
        <f>VLOOKUP(A154,TradesEquity!$1:$1048576,11,FALSE)</f>
        <v>38177.884599999998</v>
      </c>
      <c r="AM154" s="347">
        <v>1</v>
      </c>
      <c r="AN154" s="346">
        <f>ABS(VLOOKUP(A154,TradesEquity!$1:$1048576,14,FALSE))</f>
        <v>99262499.959999993</v>
      </c>
      <c r="AO154" s="346">
        <f>ABS(VLOOKUP(A154,TradesEquity!$1:$1048576,15,FALSE))</f>
        <v>148894</v>
      </c>
      <c r="AP154" s="348">
        <f>ABS(VLOOKUP(A154,TradesEquity!$1:$1048576,16,FALSE))</f>
        <v>0</v>
      </c>
      <c r="AQ154" s="286">
        <v>0</v>
      </c>
      <c r="AR154" s="286">
        <v>0</v>
      </c>
      <c r="AS154" s="286">
        <v>0</v>
      </c>
      <c r="AT154" s="286">
        <v>0</v>
      </c>
      <c r="AU154" s="286">
        <v>0</v>
      </c>
      <c r="AV154" s="348">
        <f>ABS(VLOOKUP(A154,TradesEquity!$1:$1048576,18,FALSE))</f>
        <v>99411393.959999993</v>
      </c>
      <c r="AW154" s="349">
        <v>0</v>
      </c>
      <c r="AX154" s="350">
        <v>4542</v>
      </c>
      <c r="AY154" s="351" t="s">
        <v>1959</v>
      </c>
      <c r="AZ154" s="352" t="e">
        <f>(VLOOKUP(A154,TradesEquity!$1:$1048576,29,FALSE))</f>
        <v>#N/A</v>
      </c>
      <c r="BA154" s="352" t="e">
        <f>(VLOOKUP(A154,TradesEquity!$1:$1048576,30,FALSE))</f>
        <v>#N/A</v>
      </c>
      <c r="BB154" s="352" t="e">
        <f>(VLOOKUP(A154,TradesEquity!$1:$1048576,31,FALSE))</f>
        <v>#N/A</v>
      </c>
      <c r="BC154" s="352" t="e">
        <f>(VLOOKUP(A154,TradesEquity!$1:$1048576,32,FALSE))</f>
        <v>#N/A</v>
      </c>
      <c r="BI154" s="352" t="e">
        <f>(VLOOKUP(A154,TradesEquity!$1:$1048576,38,FALSE))</f>
        <v>#N/A</v>
      </c>
      <c r="BJ154" s="352" t="e">
        <f>(VLOOKUP(A154,TradesEquity!$1:$1048576,39,FALSE))</f>
        <v>#N/A</v>
      </c>
      <c r="BK154" s="352" t="e">
        <f>(VLOOKUP(A154,TradesEquity!$1:$1048576,40,FALSE))</f>
        <v>#N/A</v>
      </c>
    </row>
    <row r="155" spans="1:63">
      <c r="A155" s="412">
        <v>2019200402</v>
      </c>
      <c r="D155" s="342" t="s">
        <v>1957</v>
      </c>
      <c r="F155" s="343">
        <f>VLOOKUP(A155,TradesEquity!$1:$1048576,2,FALSE)</f>
        <v>44217</v>
      </c>
      <c r="H155" s="343">
        <f>VLOOKUP(A155,TradesEquity!$1:$1048576,21,FALSE)</f>
        <v>44221</v>
      </c>
      <c r="I155" s="344" t="str">
        <f>IF(VLOOKUP(A155,TradesEquity!$1:$1048576,3,FALSE)="BUY","B","S")</f>
        <v>B</v>
      </c>
      <c r="J155" s="344" t="str">
        <f>VLOOKUP(A155,TradesEquity!$1:$1048576,5,FALSE)</f>
        <v>JP3627400009</v>
      </c>
      <c r="K155" s="342" t="s">
        <v>19</v>
      </c>
      <c r="L155" s="345" t="s">
        <v>1958</v>
      </c>
      <c r="AE155" s="346" t="str">
        <f>VLOOKUP(A155,TradesEquity!$1:$1048576,10,FALSE)</f>
        <v>JPY</v>
      </c>
      <c r="AF155" s="346" t="str">
        <f t="shared" si="4"/>
        <v>JPY</v>
      </c>
      <c r="AG155" s="346" t="str">
        <f t="shared" si="4"/>
        <v>JPY</v>
      </c>
      <c r="AH155" s="346" t="str">
        <f t="shared" si="4"/>
        <v>JPY</v>
      </c>
      <c r="AI155" s="346">
        <f>ABS(VLOOKUP(A155,TradesEquity!$1:$1048576,13,FALSE))</f>
        <v>2200</v>
      </c>
      <c r="AJ155" s="347">
        <v>0</v>
      </c>
      <c r="AK155" s="347">
        <v>1</v>
      </c>
      <c r="AL155" s="346">
        <f>VLOOKUP(A155,TradesEquity!$1:$1048576,11,FALSE)</f>
        <v>2379.5090909999999</v>
      </c>
      <c r="AM155" s="347">
        <v>1</v>
      </c>
      <c r="AN155" s="346">
        <f>ABS(VLOOKUP(A155,TradesEquity!$1:$1048576,14,FALSE))</f>
        <v>5234920.0001999997</v>
      </c>
      <c r="AO155" s="346">
        <f>ABS(VLOOKUP(A155,TradesEquity!$1:$1048576,15,FALSE))</f>
        <v>3141</v>
      </c>
      <c r="AP155" s="348">
        <f>ABS(VLOOKUP(A155,TradesEquity!$1:$1048576,16,FALSE))</f>
        <v>0</v>
      </c>
      <c r="AQ155" s="286">
        <v>0</v>
      </c>
      <c r="AR155" s="286">
        <v>0</v>
      </c>
      <c r="AS155" s="286">
        <v>0</v>
      </c>
      <c r="AT155" s="286">
        <v>0</v>
      </c>
      <c r="AU155" s="286">
        <v>0</v>
      </c>
      <c r="AV155" s="348">
        <f>ABS(VLOOKUP(A155,TradesEquity!$1:$1048576,18,FALSE))</f>
        <v>5238061.0001999997</v>
      </c>
      <c r="AW155" s="349">
        <v>0</v>
      </c>
      <c r="AX155" s="350">
        <v>4542</v>
      </c>
      <c r="AY155" s="351" t="s">
        <v>1959</v>
      </c>
      <c r="AZ155" s="352" t="str">
        <f>(VLOOKUP(A155,TradesEquity!$1:$1048576,29,FALSE))</f>
        <v>GSILGB2XXXX</v>
      </c>
      <c r="BA155" s="352" t="str">
        <f>(VLOOKUP(A155,TradesEquity!$1:$1048576,30,FALSE))</f>
        <v>JJSDJPJTXXX</v>
      </c>
      <c r="BB155" s="352">
        <f>(VLOOKUP(A155,TradesEquity!$1:$1048576,31,FALSE))</f>
        <v>6530490016</v>
      </c>
      <c r="BC155" s="352" t="str">
        <f>(VLOOKUP(A155,TradesEquity!$1:$1048576,32,FALSE))</f>
        <v>N</v>
      </c>
      <c r="BI155" s="352" t="str">
        <f>(VLOOKUP(A155,TradesEquity!$1:$1048576,38,FALSE))</f>
        <v xml:space="preserve">                  </v>
      </c>
      <c r="BJ155" s="352" t="str">
        <f>(VLOOKUP(A155,TradesEquity!$1:$1048576,39,FALSE))</f>
        <v xml:space="preserve">                          </v>
      </c>
      <c r="BK155" s="352" t="str">
        <f>(VLOOKUP(A155,TradesEquity!$1:$1048576,40,FALSE))</f>
        <v>GOLDJPJXXXX</v>
      </c>
    </row>
    <row r="156" spans="1:63">
      <c r="A156" s="412">
        <v>2019200403</v>
      </c>
      <c r="D156" s="342" t="s">
        <v>1957</v>
      </c>
      <c r="F156" s="343">
        <f>VLOOKUP(A156,TradesEquity!$1:$1048576,2,FALSE)</f>
        <v>44217</v>
      </c>
      <c r="H156" s="343">
        <f>VLOOKUP(A156,TradesEquity!$1:$1048576,21,FALSE)</f>
        <v>44221</v>
      </c>
      <c r="I156" s="344" t="str">
        <f>IF(VLOOKUP(A156,TradesEquity!$1:$1048576,3,FALSE)="BUY","B","S")</f>
        <v>B</v>
      </c>
      <c r="J156" s="344" t="str">
        <f>VLOOKUP(A156,TradesEquity!$1:$1048576,5,FALSE)</f>
        <v>JP3544000007</v>
      </c>
      <c r="K156" s="342" t="s">
        <v>19</v>
      </c>
      <c r="L156" s="345" t="s">
        <v>1958</v>
      </c>
      <c r="AE156" s="346" t="str">
        <f>VLOOKUP(A156,TradesEquity!$1:$1048576,10,FALSE)</f>
        <v>JPY</v>
      </c>
      <c r="AF156" s="346" t="str">
        <f t="shared" si="4"/>
        <v>JPY</v>
      </c>
      <c r="AG156" s="346" t="str">
        <f t="shared" si="4"/>
        <v>JPY</v>
      </c>
      <c r="AH156" s="346" t="str">
        <f t="shared" si="4"/>
        <v>JPY</v>
      </c>
      <c r="AI156" s="346">
        <f>ABS(VLOOKUP(A156,TradesEquity!$1:$1048576,13,FALSE))</f>
        <v>11000</v>
      </c>
      <c r="AJ156" s="347">
        <v>0</v>
      </c>
      <c r="AK156" s="347">
        <v>1</v>
      </c>
      <c r="AL156" s="346">
        <f>VLOOKUP(A156,TradesEquity!$1:$1048576,11,FALSE)</f>
        <v>1937.501818</v>
      </c>
      <c r="AM156" s="347">
        <v>1</v>
      </c>
      <c r="AN156" s="346">
        <f>ABS(VLOOKUP(A156,TradesEquity!$1:$1048576,14,FALSE))</f>
        <v>21312519.998</v>
      </c>
      <c r="AO156" s="346">
        <f>ABS(VLOOKUP(A156,TradesEquity!$1:$1048576,15,FALSE))</f>
        <v>12788</v>
      </c>
      <c r="AP156" s="348">
        <f>ABS(VLOOKUP(A156,TradesEquity!$1:$1048576,16,FALSE))</f>
        <v>0</v>
      </c>
      <c r="AQ156" s="286">
        <v>0</v>
      </c>
      <c r="AR156" s="286">
        <v>0</v>
      </c>
      <c r="AS156" s="286">
        <v>0</v>
      </c>
      <c r="AT156" s="286">
        <v>0</v>
      </c>
      <c r="AU156" s="286">
        <v>0</v>
      </c>
      <c r="AV156" s="348">
        <f>ABS(VLOOKUP(A156,TradesEquity!$1:$1048576,18,FALSE))</f>
        <v>21325307.998</v>
      </c>
      <c r="AW156" s="349">
        <v>0</v>
      </c>
      <c r="AX156" s="350">
        <v>4542</v>
      </c>
      <c r="AY156" s="351" t="s">
        <v>1959</v>
      </c>
      <c r="AZ156" s="352" t="str">
        <f>(VLOOKUP(A156,TradesEquity!$1:$1048576,29,FALSE))</f>
        <v>GSILGB2XXXX</v>
      </c>
      <c r="BA156" s="352" t="str">
        <f>(VLOOKUP(A156,TradesEquity!$1:$1048576,30,FALSE))</f>
        <v>JJSDJPJTXXX</v>
      </c>
      <c r="BB156" s="352">
        <f>(VLOOKUP(A156,TradesEquity!$1:$1048576,31,FALSE))</f>
        <v>6530490016</v>
      </c>
      <c r="BC156" s="352" t="str">
        <f>(VLOOKUP(A156,TradesEquity!$1:$1048576,32,FALSE))</f>
        <v>N</v>
      </c>
      <c r="BI156" s="352" t="str">
        <f>(VLOOKUP(A156,TradesEquity!$1:$1048576,38,FALSE))</f>
        <v xml:space="preserve">                  </v>
      </c>
      <c r="BJ156" s="352" t="str">
        <f>(VLOOKUP(A156,TradesEquity!$1:$1048576,39,FALSE))</f>
        <v xml:space="preserve">                          </v>
      </c>
      <c r="BK156" s="352" t="str">
        <f>(VLOOKUP(A156,TradesEquity!$1:$1048576,40,FALSE))</f>
        <v>GOLDJPJXXXX</v>
      </c>
    </row>
    <row r="157" spans="1:63">
      <c r="A157" s="412">
        <v>2019200404</v>
      </c>
      <c r="D157" s="342" t="s">
        <v>1957</v>
      </c>
      <c r="F157" s="343">
        <f>VLOOKUP(A157,TradesEquity!$1:$1048576,2,FALSE)</f>
        <v>44217</v>
      </c>
      <c r="H157" s="343">
        <f>VLOOKUP(A157,TradesEquity!$1:$1048576,21,FALSE)</f>
        <v>44221</v>
      </c>
      <c r="I157" s="344" t="str">
        <f>IF(VLOOKUP(A157,TradesEquity!$1:$1048576,3,FALSE)="BUY","B","S")</f>
        <v>B</v>
      </c>
      <c r="J157" s="344" t="str">
        <f>VLOOKUP(A157,TradesEquity!$1:$1048576,5,FALSE)</f>
        <v>JP3592200004</v>
      </c>
      <c r="K157" s="342" t="s">
        <v>19</v>
      </c>
      <c r="L157" s="345" t="s">
        <v>1958</v>
      </c>
      <c r="AE157" s="346" t="str">
        <f>VLOOKUP(A157,TradesEquity!$1:$1048576,10,FALSE)</f>
        <v>JPY</v>
      </c>
      <c r="AF157" s="346" t="str">
        <f t="shared" si="4"/>
        <v>JPY</v>
      </c>
      <c r="AG157" s="346" t="str">
        <f t="shared" si="4"/>
        <v>JPY</v>
      </c>
      <c r="AH157" s="346" t="str">
        <f t="shared" si="4"/>
        <v>JPY</v>
      </c>
      <c r="AI157" s="346">
        <f>ABS(VLOOKUP(A157,TradesEquity!$1:$1048576,13,FALSE))</f>
        <v>5000</v>
      </c>
      <c r="AJ157" s="347">
        <v>0</v>
      </c>
      <c r="AK157" s="347">
        <v>1</v>
      </c>
      <c r="AL157" s="346">
        <f>VLOOKUP(A157,TradesEquity!$1:$1048576,11,FALSE)</f>
        <v>3001.8760000000002</v>
      </c>
      <c r="AM157" s="347">
        <v>1</v>
      </c>
      <c r="AN157" s="346">
        <f>ABS(VLOOKUP(A157,TradesEquity!$1:$1048576,14,FALSE))</f>
        <v>15009380.000000002</v>
      </c>
      <c r="AO157" s="346">
        <f>ABS(VLOOKUP(A157,TradesEquity!$1:$1048576,15,FALSE))</f>
        <v>9006</v>
      </c>
      <c r="AP157" s="348">
        <f>ABS(VLOOKUP(A157,TradesEquity!$1:$1048576,16,FALSE))</f>
        <v>0</v>
      </c>
      <c r="AQ157" s="286">
        <v>0</v>
      </c>
      <c r="AR157" s="286">
        <v>0</v>
      </c>
      <c r="AS157" s="286">
        <v>0</v>
      </c>
      <c r="AT157" s="286">
        <v>0</v>
      </c>
      <c r="AU157" s="286">
        <v>0</v>
      </c>
      <c r="AV157" s="348">
        <f>ABS(VLOOKUP(A157,TradesEquity!$1:$1048576,18,FALSE))</f>
        <v>15018386.000000002</v>
      </c>
      <c r="AW157" s="349">
        <v>0</v>
      </c>
      <c r="AX157" s="350">
        <v>4542</v>
      </c>
      <c r="AY157" s="351" t="s">
        <v>1959</v>
      </c>
      <c r="AZ157" s="352" t="str">
        <f>(VLOOKUP(A157,TradesEquity!$1:$1048576,29,FALSE))</f>
        <v>GSILGB2XXXX</v>
      </c>
      <c r="BA157" s="352" t="str">
        <f>(VLOOKUP(A157,TradesEquity!$1:$1048576,30,FALSE))</f>
        <v>JJSDJPJTXXX</v>
      </c>
      <c r="BB157" s="352">
        <f>(VLOOKUP(A157,TradesEquity!$1:$1048576,31,FALSE))</f>
        <v>6530490016</v>
      </c>
      <c r="BC157" s="352" t="str">
        <f>(VLOOKUP(A157,TradesEquity!$1:$1048576,32,FALSE))</f>
        <v>N</v>
      </c>
      <c r="BI157" s="352" t="str">
        <f>(VLOOKUP(A157,TradesEquity!$1:$1048576,38,FALSE))</f>
        <v xml:space="preserve">                  </v>
      </c>
      <c r="BJ157" s="352" t="str">
        <f>(VLOOKUP(A157,TradesEquity!$1:$1048576,39,FALSE))</f>
        <v xml:space="preserve">                          </v>
      </c>
      <c r="BK157" s="352" t="str">
        <f>(VLOOKUP(A157,TradesEquity!$1:$1048576,40,FALSE))</f>
        <v>GOLDJPJXXXX</v>
      </c>
    </row>
    <row r="158" spans="1:63">
      <c r="A158" s="412">
        <v>2019200405</v>
      </c>
      <c r="D158" s="342" t="s">
        <v>1957</v>
      </c>
      <c r="F158" s="343">
        <f>VLOOKUP(A158,TradesEquity!$1:$1048576,2,FALSE)</f>
        <v>44218</v>
      </c>
      <c r="H158" s="343">
        <f>VLOOKUP(A158,TradesEquity!$1:$1048576,21,FALSE)</f>
        <v>44222</v>
      </c>
      <c r="I158" s="344" t="str">
        <f>IF(VLOOKUP(A158,TradesEquity!$1:$1048576,3,FALSE)="BUY","B","S")</f>
        <v>B</v>
      </c>
      <c r="J158" s="344" t="str">
        <f>VLOOKUP(A158,TradesEquity!$1:$1048576,5,FALSE)</f>
        <v>JP3627400009</v>
      </c>
      <c r="K158" s="342" t="s">
        <v>19</v>
      </c>
      <c r="L158" s="345" t="s">
        <v>1958</v>
      </c>
      <c r="AE158" s="346" t="str">
        <f>VLOOKUP(A158,TradesEquity!$1:$1048576,10,FALSE)</f>
        <v>JPY</v>
      </c>
      <c r="AF158" s="346" t="str">
        <f t="shared" si="4"/>
        <v>JPY</v>
      </c>
      <c r="AG158" s="346" t="str">
        <f t="shared" si="4"/>
        <v>JPY</v>
      </c>
      <c r="AH158" s="346" t="str">
        <f t="shared" si="4"/>
        <v>JPY</v>
      </c>
      <c r="AI158" s="346">
        <f>ABS(VLOOKUP(A158,TradesEquity!$1:$1048576,13,FALSE))</f>
        <v>2100</v>
      </c>
      <c r="AJ158" s="347">
        <v>0</v>
      </c>
      <c r="AK158" s="347">
        <v>1</v>
      </c>
      <c r="AL158" s="346">
        <f>VLOOKUP(A158,TradesEquity!$1:$1048576,11,FALSE)</f>
        <v>2349.166667</v>
      </c>
      <c r="AM158" s="347">
        <v>1</v>
      </c>
      <c r="AN158" s="346">
        <f>ABS(VLOOKUP(A158,TradesEquity!$1:$1048576,14,FALSE))</f>
        <v>4933250.0006999997</v>
      </c>
      <c r="AO158" s="346">
        <f>ABS(VLOOKUP(A158,TradesEquity!$1:$1048576,15,FALSE))</f>
        <v>2960</v>
      </c>
      <c r="AP158" s="348">
        <f>ABS(VLOOKUP(A158,TradesEquity!$1:$1048576,16,FALSE))</f>
        <v>0</v>
      </c>
      <c r="AQ158" s="286">
        <v>0</v>
      </c>
      <c r="AR158" s="286">
        <v>0</v>
      </c>
      <c r="AS158" s="286">
        <v>0</v>
      </c>
      <c r="AT158" s="286">
        <v>0</v>
      </c>
      <c r="AU158" s="286">
        <v>0</v>
      </c>
      <c r="AV158" s="348">
        <f>ABS(VLOOKUP(A158,TradesEquity!$1:$1048576,18,FALSE))</f>
        <v>4936210.0006999997</v>
      </c>
      <c r="AW158" s="349">
        <v>0</v>
      </c>
      <c r="AX158" s="350">
        <v>4542</v>
      </c>
      <c r="AY158" s="351" t="s">
        <v>1959</v>
      </c>
      <c r="AZ158" s="352" t="str">
        <f>(VLOOKUP(A158,TradesEquity!$1:$1048576,29,FALSE))</f>
        <v>GSILGB2XXXX</v>
      </c>
      <c r="BA158" s="352" t="str">
        <f>(VLOOKUP(A158,TradesEquity!$1:$1048576,30,FALSE))</f>
        <v>JJSDJPJTXXX</v>
      </c>
      <c r="BB158" s="352">
        <f>(VLOOKUP(A158,TradesEquity!$1:$1048576,31,FALSE))</f>
        <v>6530490016</v>
      </c>
      <c r="BC158" s="352" t="str">
        <f>(VLOOKUP(A158,TradesEquity!$1:$1048576,32,FALSE))</f>
        <v>N</v>
      </c>
      <c r="BI158" s="352" t="str">
        <f>(VLOOKUP(A158,TradesEquity!$1:$1048576,38,FALSE))</f>
        <v xml:space="preserve">                  </v>
      </c>
      <c r="BJ158" s="352" t="str">
        <f>(VLOOKUP(A158,TradesEquity!$1:$1048576,39,FALSE))</f>
        <v xml:space="preserve">                          </v>
      </c>
      <c r="BK158" s="352" t="str">
        <f>(VLOOKUP(A158,TradesEquity!$1:$1048576,40,FALSE))</f>
        <v>GOLDJPJXXXX</v>
      </c>
    </row>
    <row r="159" spans="1:63">
      <c r="A159" s="412">
        <v>2019200406</v>
      </c>
      <c r="D159" s="342" t="s">
        <v>1957</v>
      </c>
      <c r="F159" s="343">
        <f>VLOOKUP(A159,TradesEquity!$1:$1048576,2,FALSE)</f>
        <v>44218</v>
      </c>
      <c r="H159" s="343">
        <f>VLOOKUP(A159,TradesEquity!$1:$1048576,21,FALSE)</f>
        <v>44222</v>
      </c>
      <c r="I159" s="344" t="str">
        <f>IF(VLOOKUP(A159,TradesEquity!$1:$1048576,3,FALSE)="BUY","B","S")</f>
        <v>B</v>
      </c>
      <c r="J159" s="344" t="str">
        <f>VLOOKUP(A159,TradesEquity!$1:$1048576,5,FALSE)</f>
        <v>JP3544000007</v>
      </c>
      <c r="K159" s="342" t="s">
        <v>19</v>
      </c>
      <c r="L159" s="345" t="s">
        <v>1958</v>
      </c>
      <c r="AE159" s="346" t="str">
        <f>VLOOKUP(A159,TradesEquity!$1:$1048576,10,FALSE)</f>
        <v>JPY</v>
      </c>
      <c r="AF159" s="346" t="str">
        <f t="shared" si="4"/>
        <v>JPY</v>
      </c>
      <c r="AG159" s="346" t="str">
        <f t="shared" si="4"/>
        <v>JPY</v>
      </c>
      <c r="AH159" s="346" t="str">
        <f t="shared" si="4"/>
        <v>JPY</v>
      </c>
      <c r="AI159" s="346">
        <f>ABS(VLOOKUP(A159,TradesEquity!$1:$1048576,13,FALSE))</f>
        <v>4200</v>
      </c>
      <c r="AJ159" s="347">
        <v>0</v>
      </c>
      <c r="AK159" s="347">
        <v>1</v>
      </c>
      <c r="AL159" s="346">
        <f>VLOOKUP(A159,TradesEquity!$1:$1048576,11,FALSE)</f>
        <v>1903.633333</v>
      </c>
      <c r="AM159" s="347">
        <v>1</v>
      </c>
      <c r="AN159" s="346">
        <f>ABS(VLOOKUP(A159,TradesEquity!$1:$1048576,14,FALSE))</f>
        <v>7995259.9985999996</v>
      </c>
      <c r="AO159" s="346">
        <f>ABS(VLOOKUP(A159,TradesEquity!$1:$1048576,15,FALSE))</f>
        <v>4797</v>
      </c>
      <c r="AP159" s="348">
        <f>ABS(VLOOKUP(A159,TradesEquity!$1:$1048576,16,FALSE))</f>
        <v>0</v>
      </c>
      <c r="AQ159" s="286">
        <v>0</v>
      </c>
      <c r="AR159" s="286">
        <v>0</v>
      </c>
      <c r="AS159" s="286">
        <v>0</v>
      </c>
      <c r="AT159" s="286">
        <v>0</v>
      </c>
      <c r="AU159" s="286">
        <v>0</v>
      </c>
      <c r="AV159" s="348">
        <f>ABS(VLOOKUP(A159,TradesEquity!$1:$1048576,18,FALSE))</f>
        <v>8000056.9985999996</v>
      </c>
      <c r="AW159" s="349">
        <v>0</v>
      </c>
      <c r="AX159" s="350">
        <v>4542</v>
      </c>
      <c r="AY159" s="351" t="s">
        <v>1959</v>
      </c>
      <c r="AZ159" s="352" t="str">
        <f>(VLOOKUP(A159,TradesEquity!$1:$1048576,29,FALSE))</f>
        <v>GSILGB2XXXX</v>
      </c>
      <c r="BA159" s="352" t="str">
        <f>(VLOOKUP(A159,TradesEquity!$1:$1048576,30,FALSE))</f>
        <v>JJSDJPJTXXX</v>
      </c>
      <c r="BB159" s="352">
        <f>(VLOOKUP(A159,TradesEquity!$1:$1048576,31,FALSE))</f>
        <v>6530490016</v>
      </c>
      <c r="BC159" s="352" t="str">
        <f>(VLOOKUP(A159,TradesEquity!$1:$1048576,32,FALSE))</f>
        <v>N</v>
      </c>
      <c r="BI159" s="352" t="str">
        <f>(VLOOKUP(A159,TradesEquity!$1:$1048576,38,FALSE))</f>
        <v xml:space="preserve">                  </v>
      </c>
      <c r="BJ159" s="352" t="str">
        <f>(VLOOKUP(A159,TradesEquity!$1:$1048576,39,FALSE))</f>
        <v xml:space="preserve">                          </v>
      </c>
      <c r="BK159" s="352" t="str">
        <f>(VLOOKUP(A159,TradesEquity!$1:$1048576,40,FALSE))</f>
        <v>GOLDJPJXXXX</v>
      </c>
    </row>
    <row r="160" spans="1:63">
      <c r="A160" s="412">
        <v>2019200407</v>
      </c>
      <c r="D160" s="342" t="s">
        <v>1957</v>
      </c>
      <c r="F160" s="343">
        <f>VLOOKUP(A160,TradesEquity!$1:$1048576,2,FALSE)</f>
        <v>44218</v>
      </c>
      <c r="H160" s="343">
        <f>VLOOKUP(A160,TradesEquity!$1:$1048576,21,FALSE)</f>
        <v>44222</v>
      </c>
      <c r="I160" s="344" t="str">
        <f>IF(VLOOKUP(A160,TradesEquity!$1:$1048576,3,FALSE)="BUY","B","S")</f>
        <v>B</v>
      </c>
      <c r="J160" s="344" t="str">
        <f>VLOOKUP(A160,TradesEquity!$1:$1048576,5,FALSE)</f>
        <v>JP3692000007</v>
      </c>
      <c r="K160" s="342" t="s">
        <v>19</v>
      </c>
      <c r="L160" s="345" t="s">
        <v>1958</v>
      </c>
      <c r="AE160" s="346" t="str">
        <f>VLOOKUP(A160,TradesEquity!$1:$1048576,10,FALSE)</f>
        <v>JPY</v>
      </c>
      <c r="AF160" s="346" t="str">
        <f t="shared" si="4"/>
        <v>JPY</v>
      </c>
      <c r="AG160" s="346" t="str">
        <f t="shared" si="4"/>
        <v>JPY</v>
      </c>
      <c r="AH160" s="346" t="str">
        <f t="shared" si="4"/>
        <v>JPY</v>
      </c>
      <c r="AI160" s="346">
        <f>ABS(VLOOKUP(A160,TradesEquity!$1:$1048576,13,FALSE))</f>
        <v>5600</v>
      </c>
      <c r="AJ160" s="347">
        <v>0</v>
      </c>
      <c r="AK160" s="347">
        <v>1</v>
      </c>
      <c r="AL160" s="346">
        <f>VLOOKUP(A160,TradesEquity!$1:$1048576,11,FALSE)</f>
        <v>1350.732143</v>
      </c>
      <c r="AM160" s="347">
        <v>1</v>
      </c>
      <c r="AN160" s="346">
        <f>ABS(VLOOKUP(A160,TradesEquity!$1:$1048576,14,FALSE))</f>
        <v>7564100.0007999996</v>
      </c>
      <c r="AO160" s="346">
        <f>ABS(VLOOKUP(A160,TradesEquity!$1:$1048576,15,FALSE))</f>
        <v>4538</v>
      </c>
      <c r="AP160" s="348">
        <f>ABS(VLOOKUP(A160,TradesEquity!$1:$1048576,16,FALSE))</f>
        <v>0</v>
      </c>
      <c r="AQ160" s="286">
        <v>0</v>
      </c>
      <c r="AR160" s="286">
        <v>0</v>
      </c>
      <c r="AS160" s="286">
        <v>0</v>
      </c>
      <c r="AT160" s="286">
        <v>0</v>
      </c>
      <c r="AU160" s="286">
        <v>0</v>
      </c>
      <c r="AV160" s="348">
        <f>ABS(VLOOKUP(A160,TradesEquity!$1:$1048576,18,FALSE))</f>
        <v>7568638.0007999996</v>
      </c>
      <c r="AW160" s="349">
        <v>0</v>
      </c>
      <c r="AX160" s="350">
        <v>4542</v>
      </c>
      <c r="AY160" s="351" t="s">
        <v>1959</v>
      </c>
      <c r="AZ160" s="352" t="str">
        <f>(VLOOKUP(A160,TradesEquity!$1:$1048576,29,FALSE))</f>
        <v>GSILGB2XXXX</v>
      </c>
      <c r="BA160" s="352" t="str">
        <f>(VLOOKUP(A160,TradesEquity!$1:$1048576,30,FALSE))</f>
        <v>JJSDJPJTXXX</v>
      </c>
      <c r="BB160" s="352">
        <f>(VLOOKUP(A160,TradesEquity!$1:$1048576,31,FALSE))</f>
        <v>6530490016</v>
      </c>
      <c r="BC160" s="352" t="str">
        <f>(VLOOKUP(A160,TradesEquity!$1:$1048576,32,FALSE))</f>
        <v>N</v>
      </c>
      <c r="BI160" s="352" t="str">
        <f>(VLOOKUP(A160,TradesEquity!$1:$1048576,38,FALSE))</f>
        <v xml:space="preserve">                  </v>
      </c>
      <c r="BJ160" s="352" t="str">
        <f>(VLOOKUP(A160,TradesEquity!$1:$1048576,39,FALSE))</f>
        <v xml:space="preserve">                          </v>
      </c>
      <c r="BK160" s="352" t="str">
        <f>(VLOOKUP(A160,TradesEquity!$1:$1048576,40,FALSE))</f>
        <v>GOLDJPJXXXX</v>
      </c>
    </row>
    <row r="161" spans="1:63">
      <c r="A161" s="412">
        <v>2019200408</v>
      </c>
      <c r="D161" s="342" t="s">
        <v>1957</v>
      </c>
      <c r="F161" s="343">
        <f>VLOOKUP(A161,TradesEquity!$1:$1048576,2,FALSE)</f>
        <v>44218</v>
      </c>
      <c r="H161" s="343">
        <f>VLOOKUP(A161,TradesEquity!$1:$1048576,21,FALSE)</f>
        <v>44222</v>
      </c>
      <c r="I161" s="344" t="str">
        <f>IF(VLOOKUP(A161,TradesEquity!$1:$1048576,3,FALSE)="BUY","B","S")</f>
        <v>B</v>
      </c>
      <c r="J161" s="344" t="str">
        <f>VLOOKUP(A161,TradesEquity!$1:$1048576,5,FALSE)</f>
        <v>JP3734600004</v>
      </c>
      <c r="K161" s="342" t="s">
        <v>19</v>
      </c>
      <c r="L161" s="345" t="s">
        <v>1958</v>
      </c>
      <c r="AE161" s="346" t="str">
        <f>VLOOKUP(A161,TradesEquity!$1:$1048576,10,FALSE)</f>
        <v>JPY</v>
      </c>
      <c r="AF161" s="346" t="str">
        <f t="shared" si="4"/>
        <v>JPY</v>
      </c>
      <c r="AG161" s="346" t="str">
        <f t="shared" si="4"/>
        <v>JPY</v>
      </c>
      <c r="AH161" s="346" t="str">
        <f t="shared" si="4"/>
        <v>JPY</v>
      </c>
      <c r="AI161" s="346">
        <f>ABS(VLOOKUP(A161,TradesEquity!$1:$1048576,13,FALSE))</f>
        <v>42000</v>
      </c>
      <c r="AJ161" s="347">
        <v>0</v>
      </c>
      <c r="AK161" s="347">
        <v>1</v>
      </c>
      <c r="AL161" s="346">
        <f>VLOOKUP(A161,TradesEquity!$1:$1048576,11,FALSE)</f>
        <v>283.14285699999999</v>
      </c>
      <c r="AM161" s="347">
        <v>1</v>
      </c>
      <c r="AN161" s="346">
        <f>ABS(VLOOKUP(A161,TradesEquity!$1:$1048576,14,FALSE))</f>
        <v>11891999.993999999</v>
      </c>
      <c r="AO161" s="346">
        <f>ABS(VLOOKUP(A161,TradesEquity!$1:$1048576,15,FALSE))</f>
        <v>7135</v>
      </c>
      <c r="AP161" s="348">
        <f>ABS(VLOOKUP(A161,TradesEquity!$1:$1048576,16,FALSE))</f>
        <v>0</v>
      </c>
      <c r="AQ161" s="286">
        <v>0</v>
      </c>
      <c r="AR161" s="286">
        <v>0</v>
      </c>
      <c r="AS161" s="286">
        <v>0</v>
      </c>
      <c r="AT161" s="286">
        <v>0</v>
      </c>
      <c r="AU161" s="286">
        <v>0</v>
      </c>
      <c r="AV161" s="348">
        <f>ABS(VLOOKUP(A161,TradesEquity!$1:$1048576,18,FALSE))</f>
        <v>11899134.993999999</v>
      </c>
      <c r="AW161" s="349">
        <v>0</v>
      </c>
      <c r="AX161" s="350">
        <v>4542</v>
      </c>
      <c r="AY161" s="351" t="s">
        <v>1959</v>
      </c>
      <c r="AZ161" s="352" t="str">
        <f>(VLOOKUP(A161,TradesEquity!$1:$1048576,29,FALSE))</f>
        <v>GSILGB2XXXX</v>
      </c>
      <c r="BA161" s="352" t="str">
        <f>(VLOOKUP(A161,TradesEquity!$1:$1048576,30,FALSE))</f>
        <v>JJSDJPJTXXX</v>
      </c>
      <c r="BB161" s="352">
        <f>(VLOOKUP(A161,TradesEquity!$1:$1048576,31,FALSE))</f>
        <v>6530490016</v>
      </c>
      <c r="BC161" s="352" t="str">
        <f>(VLOOKUP(A161,TradesEquity!$1:$1048576,32,FALSE))</f>
        <v>N</v>
      </c>
      <c r="BI161" s="352" t="str">
        <f>(VLOOKUP(A161,TradesEquity!$1:$1048576,38,FALSE))</f>
        <v xml:space="preserve">                  </v>
      </c>
      <c r="BJ161" s="352" t="str">
        <f>(VLOOKUP(A161,TradesEquity!$1:$1048576,39,FALSE))</f>
        <v xml:space="preserve">                          </v>
      </c>
      <c r="BK161" s="352" t="str">
        <f>(VLOOKUP(A161,TradesEquity!$1:$1048576,40,FALSE))</f>
        <v>GOLDJPJXXXX</v>
      </c>
    </row>
    <row r="162" spans="1:63">
      <c r="A162" s="412">
        <v>2019200409</v>
      </c>
      <c r="D162" s="342" t="s">
        <v>1957</v>
      </c>
      <c r="F162" s="343">
        <f>VLOOKUP(A162,TradesEquity!$1:$1048576,2,FALSE)</f>
        <v>44218</v>
      </c>
      <c r="H162" s="343">
        <f>VLOOKUP(A162,TradesEquity!$1:$1048576,21,FALSE)</f>
        <v>44222</v>
      </c>
      <c r="I162" s="344" t="str">
        <f>IF(VLOOKUP(A162,TradesEquity!$1:$1048576,3,FALSE)="BUY","B","S")</f>
        <v>B</v>
      </c>
      <c r="J162" s="344" t="str">
        <f>VLOOKUP(A162,TradesEquity!$1:$1048576,5,FALSE)</f>
        <v>JP3232600001</v>
      </c>
      <c r="K162" s="342" t="s">
        <v>19</v>
      </c>
      <c r="L162" s="345" t="s">
        <v>1958</v>
      </c>
      <c r="AE162" s="346" t="str">
        <f>VLOOKUP(A162,TradesEquity!$1:$1048576,10,FALSE)</f>
        <v>JPY</v>
      </c>
      <c r="AF162" s="346" t="str">
        <f t="shared" si="4"/>
        <v>JPY</v>
      </c>
      <c r="AG162" s="346" t="str">
        <f t="shared" si="4"/>
        <v>JPY</v>
      </c>
      <c r="AH162" s="346" t="str">
        <f t="shared" si="4"/>
        <v>JPY</v>
      </c>
      <c r="AI162" s="346">
        <f>ABS(VLOOKUP(A162,TradesEquity!$1:$1048576,13,FALSE))</f>
        <v>17000</v>
      </c>
      <c r="AJ162" s="347">
        <v>0</v>
      </c>
      <c r="AK162" s="347">
        <v>1</v>
      </c>
      <c r="AL162" s="346">
        <f>VLOOKUP(A162,TradesEquity!$1:$1048576,11,FALSE)</f>
        <v>826.39588200000003</v>
      </c>
      <c r="AM162" s="347">
        <v>1</v>
      </c>
      <c r="AN162" s="346">
        <f>ABS(VLOOKUP(A162,TradesEquity!$1:$1048576,14,FALSE))</f>
        <v>14048729.994000001</v>
      </c>
      <c r="AO162" s="346">
        <f>ABS(VLOOKUP(A162,TradesEquity!$1:$1048576,15,FALSE))</f>
        <v>8429</v>
      </c>
      <c r="AP162" s="348">
        <f>ABS(VLOOKUP(A162,TradesEquity!$1:$1048576,16,FALSE))</f>
        <v>0</v>
      </c>
      <c r="AQ162" s="286">
        <v>0</v>
      </c>
      <c r="AR162" s="286">
        <v>0</v>
      </c>
      <c r="AS162" s="286">
        <v>0</v>
      </c>
      <c r="AT162" s="286">
        <v>0</v>
      </c>
      <c r="AU162" s="286">
        <v>0</v>
      </c>
      <c r="AV162" s="348">
        <f>ABS(VLOOKUP(A162,TradesEquity!$1:$1048576,18,FALSE))</f>
        <v>14057158.994000001</v>
      </c>
      <c r="AW162" s="349">
        <v>0</v>
      </c>
      <c r="AX162" s="350">
        <v>4542</v>
      </c>
      <c r="AY162" s="351" t="s">
        <v>1959</v>
      </c>
      <c r="AZ162" s="352" t="str">
        <f>(VLOOKUP(A162,TradesEquity!$1:$1048576,29,FALSE))</f>
        <v>GSILGB2XXXX</v>
      </c>
      <c r="BA162" s="352" t="str">
        <f>(VLOOKUP(A162,TradesEquity!$1:$1048576,30,FALSE))</f>
        <v>JJSDJPJTXXX</v>
      </c>
      <c r="BB162" s="352">
        <f>(VLOOKUP(A162,TradesEquity!$1:$1048576,31,FALSE))</f>
        <v>6530490016</v>
      </c>
      <c r="BC162" s="352" t="str">
        <f>(VLOOKUP(A162,TradesEquity!$1:$1048576,32,FALSE))</f>
        <v>N</v>
      </c>
      <c r="BI162" s="352" t="str">
        <f>(VLOOKUP(A162,TradesEquity!$1:$1048576,38,FALSE))</f>
        <v xml:space="preserve">                  </v>
      </c>
      <c r="BJ162" s="352" t="str">
        <f>(VLOOKUP(A162,TradesEquity!$1:$1048576,39,FALSE))</f>
        <v xml:space="preserve">                          </v>
      </c>
      <c r="BK162" s="352" t="str">
        <f>(VLOOKUP(A162,TradesEquity!$1:$1048576,40,FALSE))</f>
        <v>GOLDJPJXXXX</v>
      </c>
    </row>
    <row r="163" spans="1:63">
      <c r="A163" s="412">
        <v>2019200410</v>
      </c>
      <c r="D163" s="342" t="s">
        <v>1957</v>
      </c>
      <c r="F163" s="343">
        <f>VLOOKUP(A163,TradesEquity!$1:$1048576,2,FALSE)</f>
        <v>44218</v>
      </c>
      <c r="H163" s="343">
        <f>VLOOKUP(A163,TradesEquity!$1:$1048576,21,FALSE)</f>
        <v>44222</v>
      </c>
      <c r="I163" s="344" t="str">
        <f>IF(VLOOKUP(A163,TradesEquity!$1:$1048576,3,FALSE)="BUY","B","S")</f>
        <v>B</v>
      </c>
      <c r="J163" s="344" t="str">
        <f>VLOOKUP(A163,TradesEquity!$1:$1048576,5,FALSE)</f>
        <v>JP3147200004</v>
      </c>
      <c r="K163" s="342" t="s">
        <v>19</v>
      </c>
      <c r="L163" s="345" t="s">
        <v>1958</v>
      </c>
      <c r="AE163" s="346" t="str">
        <f>VLOOKUP(A163,TradesEquity!$1:$1048576,10,FALSE)</f>
        <v>JPY</v>
      </c>
      <c r="AF163" s="346" t="str">
        <f t="shared" si="4"/>
        <v>JPY</v>
      </c>
      <c r="AG163" s="346" t="str">
        <f t="shared" si="4"/>
        <v>JPY</v>
      </c>
      <c r="AH163" s="346" t="str">
        <f t="shared" si="4"/>
        <v>JPY</v>
      </c>
      <c r="AI163" s="346">
        <f>ABS(VLOOKUP(A163,TradesEquity!$1:$1048576,13,FALSE))</f>
        <v>4300</v>
      </c>
      <c r="AJ163" s="347">
        <v>0</v>
      </c>
      <c r="AK163" s="347">
        <v>1</v>
      </c>
      <c r="AL163" s="346">
        <f>VLOOKUP(A163,TradesEquity!$1:$1048576,11,FALSE)</f>
        <v>1089.5999999999999</v>
      </c>
      <c r="AM163" s="347">
        <v>1</v>
      </c>
      <c r="AN163" s="346">
        <f>ABS(VLOOKUP(A163,TradesEquity!$1:$1048576,14,FALSE))</f>
        <v>4685280</v>
      </c>
      <c r="AO163" s="346">
        <f>ABS(VLOOKUP(A163,TradesEquity!$1:$1048576,15,FALSE))</f>
        <v>2811</v>
      </c>
      <c r="AP163" s="348">
        <f>ABS(VLOOKUP(A163,TradesEquity!$1:$1048576,16,FALSE))</f>
        <v>0</v>
      </c>
      <c r="AQ163" s="286">
        <v>0</v>
      </c>
      <c r="AR163" s="286">
        <v>0</v>
      </c>
      <c r="AS163" s="286">
        <v>0</v>
      </c>
      <c r="AT163" s="286">
        <v>0</v>
      </c>
      <c r="AU163" s="286">
        <v>0</v>
      </c>
      <c r="AV163" s="348">
        <f>ABS(VLOOKUP(A163,TradesEquity!$1:$1048576,18,FALSE))</f>
        <v>4688091</v>
      </c>
      <c r="AW163" s="349">
        <v>0</v>
      </c>
      <c r="AX163" s="350">
        <v>4542</v>
      </c>
      <c r="AY163" s="351" t="s">
        <v>1959</v>
      </c>
      <c r="AZ163" s="352" t="str">
        <f>(VLOOKUP(A163,TradesEquity!$1:$1048576,29,FALSE))</f>
        <v>GSILGB2XXXX</v>
      </c>
      <c r="BA163" s="352" t="str">
        <f>(VLOOKUP(A163,TradesEquity!$1:$1048576,30,FALSE))</f>
        <v>JJSDJPJTXXX</v>
      </c>
      <c r="BB163" s="352">
        <f>(VLOOKUP(A163,TradesEquity!$1:$1048576,31,FALSE))</f>
        <v>6530490016</v>
      </c>
      <c r="BC163" s="352" t="str">
        <f>(VLOOKUP(A163,TradesEquity!$1:$1048576,32,FALSE))</f>
        <v>N</v>
      </c>
      <c r="BI163" s="352" t="str">
        <f>(VLOOKUP(A163,TradesEquity!$1:$1048576,38,FALSE))</f>
        <v xml:space="preserve">                  </v>
      </c>
      <c r="BJ163" s="352" t="str">
        <f>(VLOOKUP(A163,TradesEquity!$1:$1048576,39,FALSE))</f>
        <v xml:space="preserve">                          </v>
      </c>
      <c r="BK163" s="352" t="str">
        <f>(VLOOKUP(A163,TradesEquity!$1:$1048576,40,FALSE))</f>
        <v>GOLDJPJXXXX</v>
      </c>
    </row>
    <row r="164" spans="1:63">
      <c r="A164" s="412">
        <v>2019200411</v>
      </c>
      <c r="D164" s="342" t="s">
        <v>1957</v>
      </c>
      <c r="F164" s="343">
        <f>VLOOKUP(A164,TradesEquity!$1:$1048576,2,FALSE)</f>
        <v>44218</v>
      </c>
      <c r="H164" s="343">
        <f>VLOOKUP(A164,TradesEquity!$1:$1048576,21,FALSE)</f>
        <v>44222</v>
      </c>
      <c r="I164" s="344" t="str">
        <f>IF(VLOOKUP(A164,TradesEquity!$1:$1048576,3,FALSE)="BUY","B","S")</f>
        <v>B</v>
      </c>
      <c r="J164" s="344" t="str">
        <f>VLOOKUP(A164,TradesEquity!$1:$1048576,5,FALSE)</f>
        <v>JP3332600000</v>
      </c>
      <c r="K164" s="342" t="s">
        <v>19</v>
      </c>
      <c r="L164" s="345" t="s">
        <v>1958</v>
      </c>
      <c r="AE164" s="346" t="str">
        <f>VLOOKUP(A164,TradesEquity!$1:$1048576,10,FALSE)</f>
        <v>JPY</v>
      </c>
      <c r="AF164" s="346" t="str">
        <f t="shared" si="4"/>
        <v>JPY</v>
      </c>
      <c r="AG164" s="346" t="str">
        <f t="shared" si="4"/>
        <v>JPY</v>
      </c>
      <c r="AH164" s="346" t="str">
        <f t="shared" si="4"/>
        <v>JPY</v>
      </c>
      <c r="AI164" s="346">
        <f>ABS(VLOOKUP(A164,TradesEquity!$1:$1048576,13,FALSE))</f>
        <v>3900</v>
      </c>
      <c r="AJ164" s="347">
        <v>0</v>
      </c>
      <c r="AK164" s="347">
        <v>1</v>
      </c>
      <c r="AL164" s="346">
        <f>VLOOKUP(A164,TradesEquity!$1:$1048576,11,FALSE)</f>
        <v>903.14359000000002</v>
      </c>
      <c r="AM164" s="347">
        <v>1</v>
      </c>
      <c r="AN164" s="346">
        <f>ABS(VLOOKUP(A164,TradesEquity!$1:$1048576,14,FALSE))</f>
        <v>3522260.0010000002</v>
      </c>
      <c r="AO164" s="346">
        <f>ABS(VLOOKUP(A164,TradesEquity!$1:$1048576,15,FALSE))</f>
        <v>2113</v>
      </c>
      <c r="AP164" s="348">
        <f>ABS(VLOOKUP(A164,TradesEquity!$1:$1048576,16,FALSE))</f>
        <v>0</v>
      </c>
      <c r="AQ164" s="286">
        <v>0</v>
      </c>
      <c r="AR164" s="286">
        <v>0</v>
      </c>
      <c r="AS164" s="286">
        <v>0</v>
      </c>
      <c r="AT164" s="286">
        <v>0</v>
      </c>
      <c r="AU164" s="286">
        <v>0</v>
      </c>
      <c r="AV164" s="348">
        <f>ABS(VLOOKUP(A164,TradesEquity!$1:$1048576,18,FALSE))</f>
        <v>3524373.0010000002</v>
      </c>
      <c r="AW164" s="349">
        <v>0</v>
      </c>
      <c r="AX164" s="350">
        <v>4542</v>
      </c>
      <c r="AY164" s="351" t="s">
        <v>1959</v>
      </c>
      <c r="AZ164" s="352" t="str">
        <f>(VLOOKUP(A164,TradesEquity!$1:$1048576,29,FALSE))</f>
        <v>GSILGB2XXXX</v>
      </c>
      <c r="BA164" s="352" t="str">
        <f>(VLOOKUP(A164,TradesEquity!$1:$1048576,30,FALSE))</f>
        <v>JJSDJPJTXXX</v>
      </c>
      <c r="BB164" s="352">
        <f>(VLOOKUP(A164,TradesEquity!$1:$1048576,31,FALSE))</f>
        <v>6530490016</v>
      </c>
      <c r="BC164" s="352" t="str">
        <f>(VLOOKUP(A164,TradesEquity!$1:$1048576,32,FALSE))</f>
        <v>N</v>
      </c>
      <c r="BI164" s="352" t="str">
        <f>(VLOOKUP(A164,TradesEquity!$1:$1048576,38,FALSE))</f>
        <v xml:space="preserve">                  </v>
      </c>
      <c r="BJ164" s="352" t="str">
        <f>(VLOOKUP(A164,TradesEquity!$1:$1048576,39,FALSE))</f>
        <v xml:space="preserve">                          </v>
      </c>
      <c r="BK164" s="352" t="str">
        <f>(VLOOKUP(A164,TradesEquity!$1:$1048576,40,FALSE))</f>
        <v>GOLDJPJXXXX</v>
      </c>
    </row>
    <row r="165" spans="1:63">
      <c r="A165" s="412">
        <v>2019200412</v>
      </c>
      <c r="D165" s="342" t="s">
        <v>1957</v>
      </c>
      <c r="F165" s="343">
        <f>VLOOKUP(A165,TradesEquity!$1:$1048576,2,FALSE)</f>
        <v>44218</v>
      </c>
      <c r="H165" s="343">
        <f>VLOOKUP(A165,TradesEquity!$1:$1048576,21,FALSE)</f>
        <v>44222</v>
      </c>
      <c r="I165" s="344" t="str">
        <f>IF(VLOOKUP(A165,TradesEquity!$1:$1048576,3,FALSE)="BUY","B","S")</f>
        <v>B</v>
      </c>
      <c r="J165" s="344" t="str">
        <f>VLOOKUP(A165,TradesEquity!$1:$1048576,5,FALSE)</f>
        <v>KR7056190002</v>
      </c>
      <c r="K165" s="342" t="s">
        <v>19</v>
      </c>
      <c r="L165" s="345" t="s">
        <v>1958</v>
      </c>
      <c r="AE165" s="346" t="str">
        <f>VLOOKUP(A165,TradesEquity!$1:$1048576,10,FALSE)</f>
        <v>KRW</v>
      </c>
      <c r="AF165" s="346" t="str">
        <f t="shared" si="4"/>
        <v>KRW</v>
      </c>
      <c r="AG165" s="346" t="str">
        <f t="shared" si="4"/>
        <v>KRW</v>
      </c>
      <c r="AH165" s="346" t="str">
        <f t="shared" si="4"/>
        <v>KRW</v>
      </c>
      <c r="AI165" s="346">
        <f>ABS(VLOOKUP(A165,TradesEquity!$1:$1048576,13,FALSE))</f>
        <v>3200</v>
      </c>
      <c r="AJ165" s="347">
        <v>0</v>
      </c>
      <c r="AK165" s="347">
        <v>1</v>
      </c>
      <c r="AL165" s="346">
        <f>VLOOKUP(A165,TradesEquity!$1:$1048576,11,FALSE)</f>
        <v>40127.031300000002</v>
      </c>
      <c r="AM165" s="347">
        <v>1</v>
      </c>
      <c r="AN165" s="346">
        <f>ABS(VLOOKUP(A165,TradesEquity!$1:$1048576,14,FALSE))</f>
        <v>128406500.16000001</v>
      </c>
      <c r="AO165" s="346">
        <f>ABS(VLOOKUP(A165,TradesEquity!$1:$1048576,15,FALSE))</f>
        <v>192610</v>
      </c>
      <c r="AP165" s="348">
        <f>ABS(VLOOKUP(A165,TradesEquity!$1:$1048576,16,FALSE))</f>
        <v>0</v>
      </c>
      <c r="AQ165" s="286">
        <v>0</v>
      </c>
      <c r="AR165" s="286">
        <v>0</v>
      </c>
      <c r="AS165" s="286">
        <v>0</v>
      </c>
      <c r="AT165" s="286">
        <v>0</v>
      </c>
      <c r="AU165" s="286">
        <v>0</v>
      </c>
      <c r="AV165" s="348">
        <f>ABS(VLOOKUP(A165,TradesEquity!$1:$1048576,18,FALSE))</f>
        <v>128599110.16000001</v>
      </c>
      <c r="AW165" s="349">
        <v>0</v>
      </c>
      <c r="AX165" s="350">
        <v>4542</v>
      </c>
      <c r="AY165" s="351" t="s">
        <v>1959</v>
      </c>
      <c r="AZ165" s="352" t="e">
        <f>(VLOOKUP(A165,TradesEquity!$1:$1048576,29,FALSE))</f>
        <v>#N/A</v>
      </c>
      <c r="BA165" s="352" t="e">
        <f>(VLOOKUP(A165,TradesEquity!$1:$1048576,30,FALSE))</f>
        <v>#N/A</v>
      </c>
      <c r="BB165" s="352" t="e">
        <f>(VLOOKUP(A165,TradesEquity!$1:$1048576,31,FALSE))</f>
        <v>#N/A</v>
      </c>
      <c r="BC165" s="352" t="e">
        <f>(VLOOKUP(A165,TradesEquity!$1:$1048576,32,FALSE))</f>
        <v>#N/A</v>
      </c>
      <c r="BI165" s="352" t="e">
        <f>(VLOOKUP(A165,TradesEquity!$1:$1048576,38,FALSE))</f>
        <v>#N/A</v>
      </c>
      <c r="BJ165" s="352" t="e">
        <f>(VLOOKUP(A165,TradesEquity!$1:$1048576,39,FALSE))</f>
        <v>#N/A</v>
      </c>
      <c r="BK165" s="352" t="e">
        <f>(VLOOKUP(A165,TradesEquity!$1:$1048576,40,FALSE))</f>
        <v>#N/A</v>
      </c>
    </row>
    <row r="166" spans="1:63">
      <c r="A166" s="412">
        <v>2019200413</v>
      </c>
      <c r="D166" s="342" t="s">
        <v>1957</v>
      </c>
      <c r="F166" s="343">
        <f>VLOOKUP(A166,TradesEquity!$1:$1048576,2,FALSE)</f>
        <v>44221</v>
      </c>
      <c r="H166" s="343">
        <f>VLOOKUP(A166,TradesEquity!$1:$1048576,21,FALSE)</f>
        <v>44223</v>
      </c>
      <c r="I166" s="344" t="str">
        <f>IF(VLOOKUP(A166,TradesEquity!$1:$1048576,3,FALSE)="BUY","B","S")</f>
        <v>B</v>
      </c>
      <c r="J166" s="344" t="str">
        <f>VLOOKUP(A166,TradesEquity!$1:$1048576,5,FALSE)</f>
        <v>JP3147200004</v>
      </c>
      <c r="K166" s="342" t="s">
        <v>19</v>
      </c>
      <c r="L166" s="345" t="s">
        <v>1958</v>
      </c>
      <c r="AE166" s="346" t="str">
        <f>VLOOKUP(A166,TradesEquity!$1:$1048576,10,FALSE)</f>
        <v>JPY</v>
      </c>
      <c r="AF166" s="346" t="str">
        <f t="shared" si="4"/>
        <v>JPY</v>
      </c>
      <c r="AG166" s="346" t="str">
        <f t="shared" si="4"/>
        <v>JPY</v>
      </c>
      <c r="AH166" s="346" t="str">
        <f t="shared" si="4"/>
        <v>JPY</v>
      </c>
      <c r="AI166" s="346">
        <f>ABS(VLOOKUP(A166,TradesEquity!$1:$1048576,13,FALSE))</f>
        <v>9400</v>
      </c>
      <c r="AJ166" s="347">
        <v>0</v>
      </c>
      <c r="AK166" s="347">
        <v>1</v>
      </c>
      <c r="AL166" s="346">
        <f>VLOOKUP(A166,TradesEquity!$1:$1048576,11,FALSE)</f>
        <v>1095.1904259999999</v>
      </c>
      <c r="AM166" s="347">
        <v>1</v>
      </c>
      <c r="AN166" s="346">
        <f>ABS(VLOOKUP(A166,TradesEquity!$1:$1048576,14,FALSE))</f>
        <v>10294790.004399998</v>
      </c>
      <c r="AO166" s="346">
        <f>ABS(VLOOKUP(A166,TradesEquity!$1:$1048576,15,FALSE))</f>
        <v>6177</v>
      </c>
      <c r="AP166" s="348">
        <f>ABS(VLOOKUP(A166,TradesEquity!$1:$1048576,16,FALSE))</f>
        <v>0</v>
      </c>
      <c r="AQ166" s="286">
        <v>0</v>
      </c>
      <c r="AR166" s="286">
        <v>0</v>
      </c>
      <c r="AS166" s="286">
        <v>0</v>
      </c>
      <c r="AT166" s="286">
        <v>0</v>
      </c>
      <c r="AU166" s="286">
        <v>0</v>
      </c>
      <c r="AV166" s="348">
        <f>ABS(VLOOKUP(A166,TradesEquity!$1:$1048576,18,FALSE))</f>
        <v>10300967.004399998</v>
      </c>
      <c r="AW166" s="349">
        <v>0</v>
      </c>
      <c r="AX166" s="350">
        <v>4542</v>
      </c>
      <c r="AY166" s="351" t="s">
        <v>1959</v>
      </c>
      <c r="AZ166" s="352" t="str">
        <f>(VLOOKUP(A166,TradesEquity!$1:$1048576,29,FALSE))</f>
        <v>GSILGB2XXXX</v>
      </c>
      <c r="BA166" s="352" t="str">
        <f>(VLOOKUP(A166,TradesEquity!$1:$1048576,30,FALSE))</f>
        <v>JJSDJPJTXXX</v>
      </c>
      <c r="BB166" s="352">
        <f>(VLOOKUP(A166,TradesEquity!$1:$1048576,31,FALSE))</f>
        <v>6530490016</v>
      </c>
      <c r="BC166" s="352" t="str">
        <f>(VLOOKUP(A166,TradesEquity!$1:$1048576,32,FALSE))</f>
        <v>N</v>
      </c>
      <c r="BI166" s="352" t="str">
        <f>(VLOOKUP(A166,TradesEquity!$1:$1048576,38,FALSE))</f>
        <v xml:space="preserve">                  </v>
      </c>
      <c r="BJ166" s="352" t="str">
        <f>(VLOOKUP(A166,TradesEquity!$1:$1048576,39,FALSE))</f>
        <v xml:space="preserve">                          </v>
      </c>
      <c r="BK166" s="352" t="str">
        <f>(VLOOKUP(A166,TradesEquity!$1:$1048576,40,FALSE))</f>
        <v>GOLDJPJXXXX</v>
      </c>
    </row>
    <row r="167" spans="1:63">
      <c r="A167" s="412">
        <v>2019200414</v>
      </c>
      <c r="D167" s="342" t="s">
        <v>1957</v>
      </c>
      <c r="F167" s="343">
        <f>VLOOKUP(A167,TradesEquity!$1:$1048576,2,FALSE)</f>
        <v>44221</v>
      </c>
      <c r="H167" s="343">
        <f>VLOOKUP(A167,TradesEquity!$1:$1048576,21,FALSE)</f>
        <v>44223</v>
      </c>
      <c r="I167" s="344" t="str">
        <f>IF(VLOOKUP(A167,TradesEquity!$1:$1048576,3,FALSE)="BUY","B","S")</f>
        <v>B</v>
      </c>
      <c r="J167" s="344" t="str">
        <f>VLOOKUP(A167,TradesEquity!$1:$1048576,5,FALSE)</f>
        <v>JP3332600000</v>
      </c>
      <c r="K167" s="342" t="s">
        <v>19</v>
      </c>
      <c r="L167" s="345" t="s">
        <v>1958</v>
      </c>
      <c r="AE167" s="346" t="str">
        <f>VLOOKUP(A167,TradesEquity!$1:$1048576,10,FALSE)</f>
        <v>JPY</v>
      </c>
      <c r="AF167" s="346" t="str">
        <f t="shared" si="4"/>
        <v>JPY</v>
      </c>
      <c r="AG167" s="346" t="str">
        <f t="shared" si="4"/>
        <v>JPY</v>
      </c>
      <c r="AH167" s="346" t="str">
        <f t="shared" si="4"/>
        <v>JPY</v>
      </c>
      <c r="AI167" s="346">
        <f>ABS(VLOOKUP(A167,TradesEquity!$1:$1048576,13,FALSE))</f>
        <v>11000</v>
      </c>
      <c r="AJ167" s="347">
        <v>0</v>
      </c>
      <c r="AK167" s="347">
        <v>1</v>
      </c>
      <c r="AL167" s="346">
        <f>VLOOKUP(A167,TradesEquity!$1:$1048576,11,FALSE)</f>
        <v>929.54909099999998</v>
      </c>
      <c r="AM167" s="347">
        <v>1</v>
      </c>
      <c r="AN167" s="346">
        <f>ABS(VLOOKUP(A167,TradesEquity!$1:$1048576,14,FALSE))</f>
        <v>10225040.001</v>
      </c>
      <c r="AO167" s="346">
        <f>ABS(VLOOKUP(A167,TradesEquity!$1:$1048576,15,FALSE))</f>
        <v>6135</v>
      </c>
      <c r="AP167" s="348">
        <f>ABS(VLOOKUP(A167,TradesEquity!$1:$1048576,16,FALSE))</f>
        <v>0</v>
      </c>
      <c r="AQ167" s="286">
        <v>0</v>
      </c>
      <c r="AR167" s="286">
        <v>0</v>
      </c>
      <c r="AS167" s="286">
        <v>0</v>
      </c>
      <c r="AT167" s="286">
        <v>0</v>
      </c>
      <c r="AU167" s="286">
        <v>0</v>
      </c>
      <c r="AV167" s="348">
        <f>ABS(VLOOKUP(A167,TradesEquity!$1:$1048576,18,FALSE))</f>
        <v>10231175.001</v>
      </c>
      <c r="AW167" s="349">
        <v>0</v>
      </c>
      <c r="AX167" s="350">
        <v>4542</v>
      </c>
      <c r="AY167" s="351" t="s">
        <v>1959</v>
      </c>
      <c r="AZ167" s="352" t="str">
        <f>(VLOOKUP(A167,TradesEquity!$1:$1048576,29,FALSE))</f>
        <v>GSILGB2XXXX</v>
      </c>
      <c r="BA167" s="352" t="str">
        <f>(VLOOKUP(A167,TradesEquity!$1:$1048576,30,FALSE))</f>
        <v>JJSDJPJTXXX</v>
      </c>
      <c r="BB167" s="352">
        <f>(VLOOKUP(A167,TradesEquity!$1:$1048576,31,FALSE))</f>
        <v>6530490016</v>
      </c>
      <c r="BC167" s="352" t="str">
        <f>(VLOOKUP(A167,TradesEquity!$1:$1048576,32,FALSE))</f>
        <v>N</v>
      </c>
      <c r="BI167" s="352" t="str">
        <f>(VLOOKUP(A167,TradesEquity!$1:$1048576,38,FALSE))</f>
        <v xml:space="preserve">                  </v>
      </c>
      <c r="BJ167" s="352" t="str">
        <f>(VLOOKUP(A167,TradesEquity!$1:$1048576,39,FALSE))</f>
        <v xml:space="preserve">                          </v>
      </c>
      <c r="BK167" s="352" t="str">
        <f>(VLOOKUP(A167,TradesEquity!$1:$1048576,40,FALSE))</f>
        <v>GOLDJPJXXXX</v>
      </c>
    </row>
    <row r="168" spans="1:63">
      <c r="A168" s="412">
        <v>2019200415</v>
      </c>
      <c r="D168" s="342" t="s">
        <v>1957</v>
      </c>
      <c r="F168" s="343">
        <f>VLOOKUP(A168,TradesEquity!$1:$1048576,2,FALSE)</f>
        <v>44221</v>
      </c>
      <c r="H168" s="343">
        <f>VLOOKUP(A168,TradesEquity!$1:$1048576,21,FALSE)</f>
        <v>44223</v>
      </c>
      <c r="I168" s="344" t="str">
        <f>IF(VLOOKUP(A168,TradesEquity!$1:$1048576,3,FALSE)="BUY","B","S")</f>
        <v>B</v>
      </c>
      <c r="J168" s="344" t="str">
        <f>VLOOKUP(A168,TradesEquity!$1:$1048576,5,FALSE)</f>
        <v>JP3425000001</v>
      </c>
      <c r="K168" s="342" t="s">
        <v>19</v>
      </c>
      <c r="L168" s="345" t="s">
        <v>1958</v>
      </c>
      <c r="AE168" s="346" t="str">
        <f>VLOOKUP(A168,TradesEquity!$1:$1048576,10,FALSE)</f>
        <v>JPY</v>
      </c>
      <c r="AF168" s="346" t="str">
        <f t="shared" si="4"/>
        <v>JPY</v>
      </c>
      <c r="AG168" s="346" t="str">
        <f t="shared" si="4"/>
        <v>JPY</v>
      </c>
      <c r="AH168" s="346" t="str">
        <f t="shared" si="4"/>
        <v>JPY</v>
      </c>
      <c r="AI168" s="346">
        <f>ABS(VLOOKUP(A168,TradesEquity!$1:$1048576,13,FALSE))</f>
        <v>6700</v>
      </c>
      <c r="AJ168" s="347">
        <v>0</v>
      </c>
      <c r="AK168" s="347">
        <v>1</v>
      </c>
      <c r="AL168" s="346">
        <f>VLOOKUP(A168,TradesEquity!$1:$1048576,11,FALSE)</f>
        <v>2185.7746269999998</v>
      </c>
      <c r="AM168" s="347">
        <v>1</v>
      </c>
      <c r="AN168" s="346">
        <f>ABS(VLOOKUP(A168,TradesEquity!$1:$1048576,14,FALSE))</f>
        <v>14644690.000899998</v>
      </c>
      <c r="AO168" s="346">
        <f>ABS(VLOOKUP(A168,TradesEquity!$1:$1048576,15,FALSE))</f>
        <v>8787</v>
      </c>
      <c r="AP168" s="348">
        <f>ABS(VLOOKUP(A168,TradesEquity!$1:$1048576,16,FALSE))</f>
        <v>0</v>
      </c>
      <c r="AQ168" s="286">
        <v>0</v>
      </c>
      <c r="AR168" s="286">
        <v>0</v>
      </c>
      <c r="AS168" s="286">
        <v>0</v>
      </c>
      <c r="AT168" s="286">
        <v>0</v>
      </c>
      <c r="AU168" s="286">
        <v>0</v>
      </c>
      <c r="AV168" s="348">
        <f>ABS(VLOOKUP(A168,TradesEquity!$1:$1048576,18,FALSE))</f>
        <v>14653477.000899998</v>
      </c>
      <c r="AW168" s="349">
        <v>0</v>
      </c>
      <c r="AX168" s="350">
        <v>4542</v>
      </c>
      <c r="AY168" s="351" t="s">
        <v>1959</v>
      </c>
      <c r="AZ168" s="352" t="str">
        <f>(VLOOKUP(A168,TradesEquity!$1:$1048576,29,FALSE))</f>
        <v>GSILGB2XXXX</v>
      </c>
      <c r="BA168" s="352" t="str">
        <f>(VLOOKUP(A168,TradesEquity!$1:$1048576,30,FALSE))</f>
        <v>JJSDJPJTXXX</v>
      </c>
      <c r="BB168" s="352">
        <f>(VLOOKUP(A168,TradesEquity!$1:$1048576,31,FALSE))</f>
        <v>6530490016</v>
      </c>
      <c r="BC168" s="352" t="str">
        <f>(VLOOKUP(A168,TradesEquity!$1:$1048576,32,FALSE))</f>
        <v>N</v>
      </c>
      <c r="BI168" s="352" t="str">
        <f>(VLOOKUP(A168,TradesEquity!$1:$1048576,38,FALSE))</f>
        <v xml:space="preserve">                  </v>
      </c>
      <c r="BJ168" s="352" t="str">
        <f>(VLOOKUP(A168,TradesEquity!$1:$1048576,39,FALSE))</f>
        <v xml:space="preserve">                          </v>
      </c>
      <c r="BK168" s="352" t="str">
        <f>(VLOOKUP(A168,TradesEquity!$1:$1048576,40,FALSE))</f>
        <v>GOLDJPJXXXX</v>
      </c>
    </row>
    <row r="169" spans="1:63">
      <c r="A169" s="412">
        <v>2019200416</v>
      </c>
      <c r="D169" s="342" t="s">
        <v>1957</v>
      </c>
      <c r="F169" s="343">
        <f>VLOOKUP(A169,TradesEquity!$1:$1048576,2,FALSE)</f>
        <v>44221</v>
      </c>
      <c r="H169" s="343">
        <f>VLOOKUP(A169,TradesEquity!$1:$1048576,21,FALSE)</f>
        <v>44223</v>
      </c>
      <c r="I169" s="344" t="str">
        <f>IF(VLOOKUP(A169,TradesEquity!$1:$1048576,3,FALSE)="BUY","B","S")</f>
        <v>B</v>
      </c>
      <c r="J169" s="344" t="str">
        <f>VLOOKUP(A169,TradesEquity!$1:$1048576,5,FALSE)</f>
        <v>JP3400900001</v>
      </c>
      <c r="K169" s="342" t="s">
        <v>19</v>
      </c>
      <c r="L169" s="345" t="s">
        <v>1958</v>
      </c>
      <c r="AE169" s="346" t="str">
        <f>VLOOKUP(A169,TradesEquity!$1:$1048576,10,FALSE)</f>
        <v>JPY</v>
      </c>
      <c r="AF169" s="346" t="str">
        <f t="shared" si="4"/>
        <v>JPY</v>
      </c>
      <c r="AG169" s="346" t="str">
        <f t="shared" si="4"/>
        <v>JPY</v>
      </c>
      <c r="AH169" s="346" t="str">
        <f t="shared" si="4"/>
        <v>JPY</v>
      </c>
      <c r="AI169" s="346">
        <f>ABS(VLOOKUP(A169,TradesEquity!$1:$1048576,13,FALSE))</f>
        <v>11000</v>
      </c>
      <c r="AJ169" s="347">
        <v>0</v>
      </c>
      <c r="AK169" s="347">
        <v>1</v>
      </c>
      <c r="AL169" s="346">
        <f>VLOOKUP(A169,TradesEquity!$1:$1048576,11,FALSE)</f>
        <v>3108.7336359999999</v>
      </c>
      <c r="AM169" s="347">
        <v>1</v>
      </c>
      <c r="AN169" s="346">
        <f>ABS(VLOOKUP(A169,TradesEquity!$1:$1048576,14,FALSE))</f>
        <v>34196069.995999999</v>
      </c>
      <c r="AO169" s="346">
        <f>ABS(VLOOKUP(A169,TradesEquity!$1:$1048576,15,FALSE))</f>
        <v>20518</v>
      </c>
      <c r="AP169" s="348">
        <f>ABS(VLOOKUP(A169,TradesEquity!$1:$1048576,16,FALSE))</f>
        <v>0</v>
      </c>
      <c r="AQ169" s="286">
        <v>0</v>
      </c>
      <c r="AR169" s="286">
        <v>0</v>
      </c>
      <c r="AS169" s="286">
        <v>0</v>
      </c>
      <c r="AT169" s="286">
        <v>0</v>
      </c>
      <c r="AU169" s="286">
        <v>0</v>
      </c>
      <c r="AV169" s="348">
        <f>ABS(VLOOKUP(A169,TradesEquity!$1:$1048576,18,FALSE))</f>
        <v>34216587.995999999</v>
      </c>
      <c r="AW169" s="349">
        <v>0</v>
      </c>
      <c r="AX169" s="350">
        <v>4542</v>
      </c>
      <c r="AY169" s="351" t="s">
        <v>1959</v>
      </c>
      <c r="AZ169" s="352" t="str">
        <f>(VLOOKUP(A169,TradesEquity!$1:$1048576,29,FALSE))</f>
        <v>GSILGB2XXXX</v>
      </c>
      <c r="BA169" s="352" t="str">
        <f>(VLOOKUP(A169,TradesEquity!$1:$1048576,30,FALSE))</f>
        <v>JJSDJPJTXXX</v>
      </c>
      <c r="BB169" s="352">
        <f>(VLOOKUP(A169,TradesEquity!$1:$1048576,31,FALSE))</f>
        <v>6530490016</v>
      </c>
      <c r="BC169" s="352" t="str">
        <f>(VLOOKUP(A169,TradesEquity!$1:$1048576,32,FALSE))</f>
        <v>N</v>
      </c>
      <c r="BI169" s="352" t="str">
        <f>(VLOOKUP(A169,TradesEquity!$1:$1048576,38,FALSE))</f>
        <v xml:space="preserve">                  </v>
      </c>
      <c r="BJ169" s="352" t="str">
        <f>(VLOOKUP(A169,TradesEquity!$1:$1048576,39,FALSE))</f>
        <v xml:space="preserve">                          </v>
      </c>
      <c r="BK169" s="352" t="str">
        <f>(VLOOKUP(A169,TradesEquity!$1:$1048576,40,FALSE))</f>
        <v>GOLDJPJXXXX</v>
      </c>
    </row>
    <row r="170" spans="1:63">
      <c r="A170" s="412">
        <v>2019200417</v>
      </c>
      <c r="D170" s="342" t="s">
        <v>1957</v>
      </c>
      <c r="F170" s="343">
        <f>VLOOKUP(A170,TradesEquity!$1:$1048576,2,FALSE)</f>
        <v>44221</v>
      </c>
      <c r="H170" s="343">
        <f>VLOOKUP(A170,TradesEquity!$1:$1048576,21,FALSE)</f>
        <v>44223</v>
      </c>
      <c r="I170" s="344" t="str">
        <f>IF(VLOOKUP(A170,TradesEquity!$1:$1048576,3,FALSE)="BUY","B","S")</f>
        <v>B</v>
      </c>
      <c r="J170" s="344" t="str">
        <f>VLOOKUP(A170,TradesEquity!$1:$1048576,5,FALSE)</f>
        <v>JP3102000001</v>
      </c>
      <c r="K170" s="342" t="s">
        <v>19</v>
      </c>
      <c r="L170" s="345" t="s">
        <v>1958</v>
      </c>
      <c r="AE170" s="346" t="str">
        <f>VLOOKUP(A170,TradesEquity!$1:$1048576,10,FALSE)</f>
        <v>JPY</v>
      </c>
      <c r="AF170" s="346" t="str">
        <f t="shared" si="4"/>
        <v>JPY</v>
      </c>
      <c r="AG170" s="346" t="str">
        <f t="shared" si="4"/>
        <v>JPY</v>
      </c>
      <c r="AH170" s="346" t="str">
        <f t="shared" si="4"/>
        <v>JPY</v>
      </c>
      <c r="AI170" s="346">
        <f>ABS(VLOOKUP(A170,TradesEquity!$1:$1048576,13,FALSE))</f>
        <v>2200</v>
      </c>
      <c r="AJ170" s="347">
        <v>0</v>
      </c>
      <c r="AK170" s="347">
        <v>1</v>
      </c>
      <c r="AL170" s="346">
        <f>VLOOKUP(A170,TradesEquity!$1:$1048576,11,FALSE)</f>
        <v>3085</v>
      </c>
      <c r="AM170" s="347">
        <v>1</v>
      </c>
      <c r="AN170" s="346">
        <f>ABS(VLOOKUP(A170,TradesEquity!$1:$1048576,14,FALSE))</f>
        <v>6787000</v>
      </c>
      <c r="AO170" s="346">
        <f>ABS(VLOOKUP(A170,TradesEquity!$1:$1048576,15,FALSE))</f>
        <v>4073</v>
      </c>
      <c r="AP170" s="348">
        <f>ABS(VLOOKUP(A170,TradesEquity!$1:$1048576,16,FALSE))</f>
        <v>0</v>
      </c>
      <c r="AQ170" s="286">
        <v>0</v>
      </c>
      <c r="AR170" s="286">
        <v>0</v>
      </c>
      <c r="AS170" s="286">
        <v>0</v>
      </c>
      <c r="AT170" s="286">
        <v>0</v>
      </c>
      <c r="AU170" s="286">
        <v>0</v>
      </c>
      <c r="AV170" s="348">
        <f>ABS(VLOOKUP(A170,TradesEquity!$1:$1048576,18,FALSE))</f>
        <v>6791073</v>
      </c>
      <c r="AW170" s="349">
        <v>0</v>
      </c>
      <c r="AX170" s="350">
        <v>4542</v>
      </c>
      <c r="AY170" s="351" t="s">
        <v>1959</v>
      </c>
      <c r="AZ170" s="352" t="str">
        <f>(VLOOKUP(A170,TradesEquity!$1:$1048576,29,FALSE))</f>
        <v>GSILGB2XXXX</v>
      </c>
      <c r="BA170" s="352" t="str">
        <f>(VLOOKUP(A170,TradesEquity!$1:$1048576,30,FALSE))</f>
        <v>JJSDJPJTXXX</v>
      </c>
      <c r="BB170" s="352">
        <f>(VLOOKUP(A170,TradesEquity!$1:$1048576,31,FALSE))</f>
        <v>6530490016</v>
      </c>
      <c r="BC170" s="352" t="str">
        <f>(VLOOKUP(A170,TradesEquity!$1:$1048576,32,FALSE))</f>
        <v>N</v>
      </c>
      <c r="BI170" s="352" t="str">
        <f>(VLOOKUP(A170,TradesEquity!$1:$1048576,38,FALSE))</f>
        <v xml:space="preserve">                  </v>
      </c>
      <c r="BJ170" s="352" t="str">
        <f>(VLOOKUP(A170,TradesEquity!$1:$1048576,39,FALSE))</f>
        <v xml:space="preserve">                          </v>
      </c>
      <c r="BK170" s="352" t="str">
        <f>(VLOOKUP(A170,TradesEquity!$1:$1048576,40,FALSE))</f>
        <v>GOLDJPJXXXX</v>
      </c>
    </row>
    <row r="171" spans="1:63">
      <c r="A171" s="412">
        <v>2019200418</v>
      </c>
      <c r="D171" s="342" t="s">
        <v>1957</v>
      </c>
      <c r="F171" s="343">
        <f>VLOOKUP(A171,TradesEquity!$1:$1048576,2,FALSE)</f>
        <v>44221</v>
      </c>
      <c r="H171" s="343">
        <f>VLOOKUP(A171,TradesEquity!$1:$1048576,21,FALSE)</f>
        <v>44223</v>
      </c>
      <c r="I171" s="344" t="str">
        <f>IF(VLOOKUP(A171,TradesEquity!$1:$1048576,3,FALSE)="BUY","B","S")</f>
        <v>B</v>
      </c>
      <c r="J171" s="344" t="str">
        <f>VLOOKUP(A171,TradesEquity!$1:$1048576,5,FALSE)</f>
        <v>JP3544000007</v>
      </c>
      <c r="K171" s="342" t="s">
        <v>19</v>
      </c>
      <c r="L171" s="345" t="s">
        <v>1958</v>
      </c>
      <c r="AE171" s="346" t="str">
        <f>VLOOKUP(A171,TradesEquity!$1:$1048576,10,FALSE)</f>
        <v>JPY</v>
      </c>
      <c r="AF171" s="346" t="str">
        <f t="shared" si="4"/>
        <v>JPY</v>
      </c>
      <c r="AG171" s="346" t="str">
        <f t="shared" si="4"/>
        <v>JPY</v>
      </c>
      <c r="AH171" s="346" t="str">
        <f t="shared" si="4"/>
        <v>JPY</v>
      </c>
      <c r="AI171" s="346">
        <f>ABS(VLOOKUP(A171,TradesEquity!$1:$1048576,13,FALSE))</f>
        <v>2200</v>
      </c>
      <c r="AJ171" s="347">
        <v>0</v>
      </c>
      <c r="AK171" s="347">
        <v>1</v>
      </c>
      <c r="AL171" s="346">
        <f>VLOOKUP(A171,TradesEquity!$1:$1048576,11,FALSE)</f>
        <v>1944.8227300000001</v>
      </c>
      <c r="AM171" s="347">
        <v>1</v>
      </c>
      <c r="AN171" s="346">
        <f>ABS(VLOOKUP(A171,TradesEquity!$1:$1048576,14,FALSE))</f>
        <v>4278610.0060000001</v>
      </c>
      <c r="AO171" s="346">
        <f>ABS(VLOOKUP(A171,TradesEquity!$1:$1048576,15,FALSE))</f>
        <v>2567</v>
      </c>
      <c r="AP171" s="348">
        <f>ABS(VLOOKUP(A171,TradesEquity!$1:$1048576,16,FALSE))</f>
        <v>0</v>
      </c>
      <c r="AQ171" s="286">
        <v>0</v>
      </c>
      <c r="AR171" s="286">
        <v>0</v>
      </c>
      <c r="AS171" s="286">
        <v>0</v>
      </c>
      <c r="AT171" s="286">
        <v>0</v>
      </c>
      <c r="AU171" s="286">
        <v>0</v>
      </c>
      <c r="AV171" s="348">
        <f>ABS(VLOOKUP(A171,TradesEquity!$1:$1048576,18,FALSE))</f>
        <v>4281177.0060000001</v>
      </c>
      <c r="AW171" s="349">
        <v>0</v>
      </c>
      <c r="AX171" s="350">
        <v>4542</v>
      </c>
      <c r="AY171" s="351" t="s">
        <v>1959</v>
      </c>
      <c r="AZ171" s="352" t="str">
        <f>(VLOOKUP(A171,TradesEquity!$1:$1048576,29,FALSE))</f>
        <v>GSILGB2XXXX</v>
      </c>
      <c r="BA171" s="352" t="str">
        <f>(VLOOKUP(A171,TradesEquity!$1:$1048576,30,FALSE))</f>
        <v>JJSDJPJTXXX</v>
      </c>
      <c r="BB171" s="352">
        <f>(VLOOKUP(A171,TradesEquity!$1:$1048576,31,FALSE))</f>
        <v>6530490016</v>
      </c>
      <c r="BC171" s="352" t="str">
        <f>(VLOOKUP(A171,TradesEquity!$1:$1048576,32,FALSE))</f>
        <v>N</v>
      </c>
      <c r="BI171" s="352" t="str">
        <f>(VLOOKUP(A171,TradesEquity!$1:$1048576,38,FALSE))</f>
        <v xml:space="preserve">                  </v>
      </c>
      <c r="BJ171" s="352" t="str">
        <f>(VLOOKUP(A171,TradesEquity!$1:$1048576,39,FALSE))</f>
        <v xml:space="preserve">                          </v>
      </c>
      <c r="BK171" s="352" t="str">
        <f>(VLOOKUP(A171,TradesEquity!$1:$1048576,40,FALSE))</f>
        <v>GOLDJPJXXXX</v>
      </c>
    </row>
    <row r="172" spans="1:63">
      <c r="A172" s="412">
        <v>2019200419</v>
      </c>
      <c r="D172" s="342" t="s">
        <v>1957</v>
      </c>
      <c r="F172" s="343">
        <f>VLOOKUP(A172,TradesEquity!$1:$1048576,2,FALSE)</f>
        <v>44221</v>
      </c>
      <c r="H172" s="343">
        <f>VLOOKUP(A172,TradesEquity!$1:$1048576,21,FALSE)</f>
        <v>44223</v>
      </c>
      <c r="I172" s="344" t="str">
        <f>IF(VLOOKUP(A172,TradesEquity!$1:$1048576,3,FALSE)="BUY","B","S")</f>
        <v>B</v>
      </c>
      <c r="J172" s="344" t="str">
        <f>VLOOKUP(A172,TradesEquity!$1:$1048576,5,FALSE)</f>
        <v>JP3627400009</v>
      </c>
      <c r="K172" s="342" t="s">
        <v>19</v>
      </c>
      <c r="L172" s="345" t="s">
        <v>1958</v>
      </c>
      <c r="AE172" s="346" t="str">
        <f>VLOOKUP(A172,TradesEquity!$1:$1048576,10,FALSE)</f>
        <v>JPY</v>
      </c>
      <c r="AF172" s="346" t="str">
        <f t="shared" si="4"/>
        <v>JPY</v>
      </c>
      <c r="AG172" s="346" t="str">
        <f t="shared" si="4"/>
        <v>JPY</v>
      </c>
      <c r="AH172" s="346" t="str">
        <f t="shared" si="4"/>
        <v>JPY</v>
      </c>
      <c r="AI172" s="346">
        <f>ABS(VLOOKUP(A172,TradesEquity!$1:$1048576,13,FALSE))</f>
        <v>2200</v>
      </c>
      <c r="AJ172" s="347">
        <v>0</v>
      </c>
      <c r="AK172" s="347">
        <v>1</v>
      </c>
      <c r="AL172" s="346">
        <f>VLOOKUP(A172,TradesEquity!$1:$1048576,11,FALSE)</f>
        <v>2390.181818</v>
      </c>
      <c r="AM172" s="347">
        <v>1</v>
      </c>
      <c r="AN172" s="346">
        <f>ABS(VLOOKUP(A172,TradesEquity!$1:$1048576,14,FALSE))</f>
        <v>5258399.9995999997</v>
      </c>
      <c r="AO172" s="346">
        <f>ABS(VLOOKUP(A172,TradesEquity!$1:$1048576,15,FALSE))</f>
        <v>3155</v>
      </c>
      <c r="AP172" s="348">
        <f>ABS(VLOOKUP(A172,TradesEquity!$1:$1048576,16,FALSE))</f>
        <v>0</v>
      </c>
      <c r="AQ172" s="286">
        <v>0</v>
      </c>
      <c r="AR172" s="286">
        <v>0</v>
      </c>
      <c r="AS172" s="286">
        <v>0</v>
      </c>
      <c r="AT172" s="286">
        <v>0</v>
      </c>
      <c r="AU172" s="286">
        <v>0</v>
      </c>
      <c r="AV172" s="348">
        <f>ABS(VLOOKUP(A172,TradesEquity!$1:$1048576,18,FALSE))</f>
        <v>5261554.9995999997</v>
      </c>
      <c r="AW172" s="349">
        <v>0</v>
      </c>
      <c r="AX172" s="350">
        <v>4542</v>
      </c>
      <c r="AY172" s="351" t="s">
        <v>1959</v>
      </c>
      <c r="AZ172" s="352" t="str">
        <f>(VLOOKUP(A172,TradesEquity!$1:$1048576,29,FALSE))</f>
        <v>GSILGB2XXXX</v>
      </c>
      <c r="BA172" s="352" t="str">
        <f>(VLOOKUP(A172,TradesEquity!$1:$1048576,30,FALSE))</f>
        <v>JJSDJPJTXXX</v>
      </c>
      <c r="BB172" s="352">
        <f>(VLOOKUP(A172,TradesEquity!$1:$1048576,31,FALSE))</f>
        <v>6530490016</v>
      </c>
      <c r="BC172" s="352" t="str">
        <f>(VLOOKUP(A172,TradesEquity!$1:$1048576,32,FALSE))</f>
        <v>N</v>
      </c>
      <c r="BI172" s="352" t="str">
        <f>(VLOOKUP(A172,TradesEquity!$1:$1048576,38,FALSE))</f>
        <v xml:space="preserve">                  </v>
      </c>
      <c r="BJ172" s="352" t="str">
        <f>(VLOOKUP(A172,TradesEquity!$1:$1048576,39,FALSE))</f>
        <v xml:space="preserve">                          </v>
      </c>
      <c r="BK172" s="352" t="str">
        <f>(VLOOKUP(A172,TradesEquity!$1:$1048576,40,FALSE))</f>
        <v>GOLDJPJXXXX</v>
      </c>
    </row>
    <row r="173" spans="1:63">
      <c r="A173" s="412">
        <v>2019200420</v>
      </c>
      <c r="D173" s="342" t="s">
        <v>1957</v>
      </c>
      <c r="F173" s="343">
        <f>VLOOKUP(A173,TradesEquity!$1:$1048576,2,FALSE)</f>
        <v>44221</v>
      </c>
      <c r="H173" s="343">
        <f>VLOOKUP(A173,TradesEquity!$1:$1048576,21,FALSE)</f>
        <v>44224</v>
      </c>
      <c r="I173" s="344" t="str">
        <f>IF(VLOOKUP(A173,TradesEquity!$1:$1048576,3,FALSE)="BUY","B","S")</f>
        <v>B</v>
      </c>
      <c r="J173" s="344" t="str">
        <f>VLOOKUP(A173,TradesEquity!$1:$1048576,5,FALSE)</f>
        <v>AU000000SFR8</v>
      </c>
      <c r="K173" s="342" t="s">
        <v>19</v>
      </c>
      <c r="L173" s="345" t="s">
        <v>1958</v>
      </c>
      <c r="AE173" s="346" t="str">
        <f>VLOOKUP(A173,TradesEquity!$1:$1048576,10,FALSE)</f>
        <v>AUD</v>
      </c>
      <c r="AF173" s="346" t="str">
        <f t="shared" si="4"/>
        <v>AUD</v>
      </c>
      <c r="AG173" s="346" t="str">
        <f t="shared" si="4"/>
        <v>AUD</v>
      </c>
      <c r="AH173" s="346" t="str">
        <f t="shared" si="4"/>
        <v>AUD</v>
      </c>
      <c r="AI173" s="346">
        <f>ABS(VLOOKUP(A173,TradesEquity!$1:$1048576,13,FALSE))</f>
        <v>42000</v>
      </c>
      <c r="AJ173" s="347">
        <v>0</v>
      </c>
      <c r="AK173" s="347">
        <v>1</v>
      </c>
      <c r="AL173" s="346">
        <f>VLOOKUP(A173,TradesEquity!$1:$1048576,11,FALSE)</f>
        <v>5.0746000000000002</v>
      </c>
      <c r="AM173" s="347">
        <v>1</v>
      </c>
      <c r="AN173" s="346">
        <f>ABS(VLOOKUP(A173,TradesEquity!$1:$1048576,14,FALSE))</f>
        <v>213133.2</v>
      </c>
      <c r="AO173" s="346">
        <f>ABS(VLOOKUP(A173,TradesEquity!$1:$1048576,15,FALSE))</f>
        <v>127.88</v>
      </c>
      <c r="AP173" s="348">
        <f>ABS(VLOOKUP(A173,TradesEquity!$1:$1048576,16,FALSE))</f>
        <v>0</v>
      </c>
      <c r="AQ173" s="286">
        <v>0</v>
      </c>
      <c r="AR173" s="286">
        <v>0</v>
      </c>
      <c r="AS173" s="286">
        <v>0</v>
      </c>
      <c r="AT173" s="286">
        <v>0</v>
      </c>
      <c r="AU173" s="286">
        <v>0</v>
      </c>
      <c r="AV173" s="348">
        <f>ABS(VLOOKUP(A173,TradesEquity!$1:$1048576,18,FALSE))</f>
        <v>213261.08000000002</v>
      </c>
      <c r="AW173" s="349">
        <v>0</v>
      </c>
      <c r="AX173" s="350">
        <v>4542</v>
      </c>
      <c r="AY173" s="351" t="s">
        <v>1959</v>
      </c>
      <c r="AZ173" s="352" t="str">
        <f>(VLOOKUP(A173,TradesEquity!$1:$1048576,29,FALSE))</f>
        <v>GSILGB2XXXX</v>
      </c>
      <c r="BA173" s="352" t="str">
        <f>(VLOOKUP(A173,TradesEquity!$1:$1048576,30,FALSE))</f>
        <v>CAETAU21</v>
      </c>
      <c r="BB173" s="352" t="str">
        <f>(VLOOKUP(A173,TradesEquity!$1:$1048576,31,FALSE))</f>
        <v>011-109048-061</v>
      </c>
      <c r="BC173" s="352" t="str">
        <f>(VLOOKUP(A173,TradesEquity!$1:$1048576,32,FALSE))</f>
        <v>N</v>
      </c>
      <c r="BI173" s="352" t="str">
        <f>(VLOOKUP(A173,TradesEquity!$1:$1048576,38,FALSE))</f>
        <v xml:space="preserve">        </v>
      </c>
      <c r="BJ173" s="352" t="str">
        <f>(VLOOKUP(A173,TradesEquity!$1:$1048576,39,FALSE))</f>
        <v xml:space="preserve">        </v>
      </c>
      <c r="BK173" s="352" t="str">
        <f>(VLOOKUP(A173,TradesEquity!$1:$1048576,40,FALSE))</f>
        <v>HKBAAU2SSYD</v>
      </c>
    </row>
    <row r="174" spans="1:63">
      <c r="A174" s="412">
        <v>2019200421</v>
      </c>
      <c r="D174" s="342" t="s">
        <v>1957</v>
      </c>
      <c r="F174" s="343">
        <f>VLOOKUP(A174,TradesEquity!$1:$1048576,2,FALSE)</f>
        <v>44221</v>
      </c>
      <c r="H174" s="343">
        <f>VLOOKUP(A174,TradesEquity!$1:$1048576,21,FALSE)</f>
        <v>44223</v>
      </c>
      <c r="I174" s="344" t="str">
        <f>IF(VLOOKUP(A174,TradesEquity!$1:$1048576,3,FALSE)="BUY","B","S")</f>
        <v>B</v>
      </c>
      <c r="J174" s="344" t="str">
        <f>VLOOKUP(A174,TradesEquity!$1:$1048576,5,FALSE)</f>
        <v>CNE100001TJ4</v>
      </c>
      <c r="K174" s="342" t="s">
        <v>19</v>
      </c>
      <c r="L174" s="345" t="s">
        <v>1958</v>
      </c>
      <c r="AE174" s="346" t="str">
        <f>VLOOKUP(A174,TradesEquity!$1:$1048576,10,FALSE)</f>
        <v>HKD</v>
      </c>
      <c r="AF174" s="346" t="str">
        <f t="shared" si="4"/>
        <v>HKD</v>
      </c>
      <c r="AG174" s="346" t="str">
        <f t="shared" si="4"/>
        <v>HKD</v>
      </c>
      <c r="AH174" s="346" t="str">
        <f t="shared" si="4"/>
        <v>HKD</v>
      </c>
      <c r="AI174" s="346">
        <f>ABS(VLOOKUP(A174,TradesEquity!$1:$1048576,13,FALSE))</f>
        <v>430000</v>
      </c>
      <c r="AJ174" s="347">
        <v>0</v>
      </c>
      <c r="AK174" s="347">
        <v>1</v>
      </c>
      <c r="AL174" s="346">
        <f>VLOOKUP(A174,TradesEquity!$1:$1048576,11,FALSE)</f>
        <v>2.9624999999999999</v>
      </c>
      <c r="AM174" s="347">
        <v>1</v>
      </c>
      <c r="AN174" s="346">
        <f>ABS(VLOOKUP(A174,TradesEquity!$1:$1048576,14,FALSE))</f>
        <v>1273875</v>
      </c>
      <c r="AO174" s="346">
        <f>ABS(VLOOKUP(A174,TradesEquity!$1:$1048576,15,FALSE))</f>
        <v>764.33</v>
      </c>
      <c r="AP174" s="348">
        <f>ABS(VLOOKUP(A174,TradesEquity!$1:$1048576,16,FALSE))</f>
        <v>1372.05</v>
      </c>
      <c r="AQ174" s="286">
        <v>0</v>
      </c>
      <c r="AR174" s="286">
        <v>0</v>
      </c>
      <c r="AS174" s="286">
        <v>0</v>
      </c>
      <c r="AT174" s="286">
        <v>0</v>
      </c>
      <c r="AU174" s="286">
        <v>0</v>
      </c>
      <c r="AV174" s="348">
        <f>ABS(VLOOKUP(A174,TradesEquity!$1:$1048576,18,FALSE))</f>
        <v>1276011.3800000001</v>
      </c>
      <c r="AW174" s="349">
        <v>0</v>
      </c>
      <c r="AX174" s="350">
        <v>4542</v>
      </c>
      <c r="AY174" s="351" t="s">
        <v>1959</v>
      </c>
      <c r="AZ174" s="352" t="e">
        <f>(VLOOKUP(A174,TradesEquity!$1:$1048576,29,FALSE))</f>
        <v>#N/A</v>
      </c>
      <c r="BA174" s="352" t="e">
        <f>(VLOOKUP(A174,TradesEquity!$1:$1048576,30,FALSE))</f>
        <v>#N/A</v>
      </c>
      <c r="BB174" s="352" t="e">
        <f>(VLOOKUP(A174,TradesEquity!$1:$1048576,31,FALSE))</f>
        <v>#N/A</v>
      </c>
      <c r="BC174" s="352" t="e">
        <f>(VLOOKUP(A174,TradesEquity!$1:$1048576,32,FALSE))</f>
        <v>#N/A</v>
      </c>
      <c r="BI174" s="352" t="e">
        <f>(VLOOKUP(A174,TradesEquity!$1:$1048576,38,FALSE))</f>
        <v>#N/A</v>
      </c>
      <c r="BJ174" s="352" t="e">
        <f>(VLOOKUP(A174,TradesEquity!$1:$1048576,39,FALSE))</f>
        <v>#N/A</v>
      </c>
      <c r="BK174" s="352" t="e">
        <f>(VLOOKUP(A174,TradesEquity!$1:$1048576,40,FALSE))</f>
        <v>#N/A</v>
      </c>
    </row>
    <row r="175" spans="1:63">
      <c r="A175" s="412">
        <v>2019200422</v>
      </c>
      <c r="D175" s="342" t="s">
        <v>1957</v>
      </c>
      <c r="F175" s="343">
        <f>VLOOKUP(A175,TradesEquity!$1:$1048576,2,FALSE)</f>
        <v>44222</v>
      </c>
      <c r="H175" s="343">
        <f>VLOOKUP(A175,TradesEquity!$1:$1048576,21,FALSE)</f>
        <v>44224</v>
      </c>
      <c r="I175" s="344" t="str">
        <f>IF(VLOOKUP(A175,TradesEquity!$1:$1048576,3,FALSE)="BUY","B","S")</f>
        <v>S</v>
      </c>
      <c r="J175" s="344" t="str">
        <f>VLOOKUP(A175,TradesEquity!$1:$1048576,5,FALSE)</f>
        <v>KR7006401004</v>
      </c>
      <c r="K175" s="342" t="s">
        <v>19</v>
      </c>
      <c r="L175" s="345" t="s">
        <v>1958</v>
      </c>
      <c r="AE175" s="346" t="str">
        <f>VLOOKUP(A175,TradesEquity!$1:$1048576,10,FALSE)</f>
        <v>KRW</v>
      </c>
      <c r="AF175" s="346" t="str">
        <f t="shared" si="4"/>
        <v>KRW</v>
      </c>
      <c r="AG175" s="346" t="str">
        <f t="shared" si="4"/>
        <v>KRW</v>
      </c>
      <c r="AH175" s="346" t="str">
        <f t="shared" si="4"/>
        <v>KRW</v>
      </c>
      <c r="AI175" s="346">
        <f>ABS(VLOOKUP(A175,TradesEquity!$1:$1048576,13,FALSE))</f>
        <v>300</v>
      </c>
      <c r="AJ175" s="347">
        <v>0</v>
      </c>
      <c r="AK175" s="347">
        <v>1</v>
      </c>
      <c r="AL175" s="346">
        <f>VLOOKUP(A175,TradesEquity!$1:$1048576,11,FALSE)</f>
        <v>551103.33330000006</v>
      </c>
      <c r="AM175" s="347">
        <v>1</v>
      </c>
      <c r="AN175" s="346">
        <f>ABS(VLOOKUP(A175,TradesEquity!$1:$1048576,14,FALSE))</f>
        <v>165330999.99000001</v>
      </c>
      <c r="AO175" s="346">
        <f>ABS(VLOOKUP(A175,TradesEquity!$1:$1048576,15,FALSE))</f>
        <v>247997</v>
      </c>
      <c r="AP175" s="348">
        <f>ABS(VLOOKUP(A175,TradesEquity!$1:$1048576,16,FALSE))</f>
        <v>380254</v>
      </c>
      <c r="AQ175" s="286">
        <v>0</v>
      </c>
      <c r="AR175" s="286">
        <v>0</v>
      </c>
      <c r="AS175" s="286">
        <v>0</v>
      </c>
      <c r="AT175" s="286">
        <v>0</v>
      </c>
      <c r="AU175" s="286">
        <v>0</v>
      </c>
      <c r="AV175" s="348">
        <f>ABS(VLOOKUP(A175,TradesEquity!$1:$1048576,18,FALSE))</f>
        <v>164702748.99000001</v>
      </c>
      <c r="AW175" s="349">
        <v>0</v>
      </c>
      <c r="AX175" s="350">
        <v>4542</v>
      </c>
      <c r="AY175" s="351" t="s">
        <v>1959</v>
      </c>
      <c r="AZ175" s="352" t="e">
        <f>(VLOOKUP(A175,TradesEquity!$1:$1048576,29,FALSE))</f>
        <v>#N/A</v>
      </c>
      <c r="BA175" s="352" t="e">
        <f>(VLOOKUP(A175,TradesEquity!$1:$1048576,30,FALSE))</f>
        <v>#N/A</v>
      </c>
      <c r="BB175" s="352" t="e">
        <f>(VLOOKUP(A175,TradesEquity!$1:$1048576,31,FALSE))</f>
        <v>#N/A</v>
      </c>
      <c r="BC175" s="352" t="e">
        <f>(VLOOKUP(A175,TradesEquity!$1:$1048576,32,FALSE))</f>
        <v>#N/A</v>
      </c>
      <c r="BI175" s="352" t="e">
        <f>(VLOOKUP(A175,TradesEquity!$1:$1048576,38,FALSE))</f>
        <v>#N/A</v>
      </c>
      <c r="BJ175" s="352" t="e">
        <f>(VLOOKUP(A175,TradesEquity!$1:$1048576,39,FALSE))</f>
        <v>#N/A</v>
      </c>
      <c r="BK175" s="352" t="e">
        <f>(VLOOKUP(A175,TradesEquity!$1:$1048576,40,FALSE))</f>
        <v>#N/A</v>
      </c>
    </row>
    <row r="176" spans="1:63">
      <c r="A176" s="412">
        <v>2019200423</v>
      </c>
      <c r="D176" s="342" t="s">
        <v>1957</v>
      </c>
      <c r="F176" s="343">
        <f>VLOOKUP(A176,TradesEquity!$1:$1048576,2,FALSE)</f>
        <v>44223</v>
      </c>
      <c r="H176" s="343">
        <f>VLOOKUP(A176,TradesEquity!$1:$1048576,21,FALSE)</f>
        <v>44225</v>
      </c>
      <c r="I176" s="344" t="str">
        <f>IF(VLOOKUP(A176,TradesEquity!$1:$1048576,3,FALSE)="BUY","B","S")</f>
        <v>S</v>
      </c>
      <c r="J176" s="344" t="str">
        <f>VLOOKUP(A176,TradesEquity!$1:$1048576,5,FALSE)</f>
        <v>KR7006401004</v>
      </c>
      <c r="K176" s="342" t="s">
        <v>19</v>
      </c>
      <c r="L176" s="345" t="s">
        <v>1958</v>
      </c>
      <c r="AE176" s="346" t="str">
        <f>VLOOKUP(A176,TradesEquity!$1:$1048576,10,FALSE)</f>
        <v>KRW</v>
      </c>
      <c r="AF176" s="346" t="str">
        <f t="shared" ref="AF176:AH239" si="6">AE176</f>
        <v>KRW</v>
      </c>
      <c r="AG176" s="346" t="str">
        <f t="shared" si="6"/>
        <v>KRW</v>
      </c>
      <c r="AH176" s="346" t="str">
        <f t="shared" si="6"/>
        <v>KRW</v>
      </c>
      <c r="AI176" s="346">
        <f>ABS(VLOOKUP(A176,TradesEquity!$1:$1048576,13,FALSE))</f>
        <v>300</v>
      </c>
      <c r="AJ176" s="347">
        <v>0</v>
      </c>
      <c r="AK176" s="347">
        <v>1</v>
      </c>
      <c r="AL176" s="346">
        <f>VLOOKUP(A176,TradesEquity!$1:$1048576,11,FALSE)</f>
        <v>605356.66666700004</v>
      </c>
      <c r="AM176" s="347">
        <v>1</v>
      </c>
      <c r="AN176" s="346">
        <f>ABS(VLOOKUP(A176,TradesEquity!$1:$1048576,14,FALSE))</f>
        <v>181607000.00010002</v>
      </c>
      <c r="AO176" s="346">
        <f>ABS(VLOOKUP(A176,TradesEquity!$1:$1048576,15,FALSE))</f>
        <v>272411</v>
      </c>
      <c r="AP176" s="348">
        <f>ABS(VLOOKUP(A176,TradesEquity!$1:$1048576,16,FALSE))</f>
        <v>417664</v>
      </c>
      <c r="AQ176" s="286">
        <v>0</v>
      </c>
      <c r="AR176" s="286">
        <v>0</v>
      </c>
      <c r="AS176" s="286">
        <v>0</v>
      </c>
      <c r="AT176" s="286">
        <v>0</v>
      </c>
      <c r="AU176" s="286">
        <v>0</v>
      </c>
      <c r="AV176" s="348">
        <f>ABS(VLOOKUP(A176,TradesEquity!$1:$1048576,18,FALSE))</f>
        <v>180916925.00010002</v>
      </c>
      <c r="AW176" s="349">
        <v>0</v>
      </c>
      <c r="AX176" s="350">
        <v>4542</v>
      </c>
      <c r="AY176" s="351" t="s">
        <v>1959</v>
      </c>
      <c r="AZ176" s="352" t="e">
        <f>(VLOOKUP(A176,TradesEquity!$1:$1048576,29,FALSE))</f>
        <v>#N/A</v>
      </c>
      <c r="BA176" s="352" t="e">
        <f>(VLOOKUP(A176,TradesEquity!$1:$1048576,30,FALSE))</f>
        <v>#N/A</v>
      </c>
      <c r="BB176" s="352" t="e">
        <f>(VLOOKUP(A176,TradesEquity!$1:$1048576,31,FALSE))</f>
        <v>#N/A</v>
      </c>
      <c r="BC176" s="352" t="e">
        <f>(VLOOKUP(A176,TradesEquity!$1:$1048576,32,FALSE))</f>
        <v>#N/A</v>
      </c>
      <c r="BI176" s="352" t="e">
        <f>(VLOOKUP(A176,TradesEquity!$1:$1048576,38,FALSE))</f>
        <v>#N/A</v>
      </c>
      <c r="BJ176" s="352" t="e">
        <f>(VLOOKUP(A176,TradesEquity!$1:$1048576,39,FALSE))</f>
        <v>#N/A</v>
      </c>
      <c r="BK176" s="352" t="e">
        <f>(VLOOKUP(A176,TradesEquity!$1:$1048576,40,FALSE))</f>
        <v>#N/A</v>
      </c>
    </row>
    <row r="177" spans="1:63">
      <c r="A177" s="412">
        <v>2019200424</v>
      </c>
      <c r="D177" s="342" t="s">
        <v>1957</v>
      </c>
      <c r="F177" s="343">
        <f>VLOOKUP(A177,TradesEquity!$1:$1048576,2,FALSE)</f>
        <v>44225</v>
      </c>
      <c r="H177" s="343">
        <f>VLOOKUP(A177,TradesEquity!$1:$1048576,21,FALSE)</f>
        <v>44229</v>
      </c>
      <c r="I177" s="344" t="str">
        <f>IF(VLOOKUP(A177,TradesEquity!$1:$1048576,3,FALSE)="BUY","B","S")</f>
        <v>B</v>
      </c>
      <c r="J177" s="344" t="str">
        <f>VLOOKUP(A177,TradesEquity!$1:$1048576,5,FALSE)</f>
        <v>AU000000WSA9</v>
      </c>
      <c r="K177" s="342" t="s">
        <v>19</v>
      </c>
      <c r="L177" s="345" t="s">
        <v>1958</v>
      </c>
      <c r="AE177" s="346" t="str">
        <f>VLOOKUP(A177,TradesEquity!$1:$1048576,10,FALSE)</f>
        <v>AUD</v>
      </c>
      <c r="AF177" s="346" t="str">
        <f t="shared" si="6"/>
        <v>AUD</v>
      </c>
      <c r="AG177" s="346" t="str">
        <f t="shared" si="6"/>
        <v>AUD</v>
      </c>
      <c r="AH177" s="346" t="str">
        <f t="shared" si="6"/>
        <v>AUD</v>
      </c>
      <c r="AI177" s="346">
        <f>ABS(VLOOKUP(A177,TradesEquity!$1:$1048576,13,FALSE))</f>
        <v>61726</v>
      </c>
      <c r="AJ177" s="347">
        <v>0</v>
      </c>
      <c r="AK177" s="347">
        <v>1</v>
      </c>
      <c r="AL177" s="346">
        <f>VLOOKUP(A177,TradesEquity!$1:$1048576,11,FALSE)</f>
        <v>2.3704670000000001</v>
      </c>
      <c r="AM177" s="347">
        <v>1</v>
      </c>
      <c r="AN177" s="346">
        <f>ABS(VLOOKUP(A177,TradesEquity!$1:$1048576,14,FALSE))</f>
        <v>146319.446042</v>
      </c>
      <c r="AO177" s="346">
        <f>ABS(VLOOKUP(A177,TradesEquity!$1:$1048576,15,FALSE))</f>
        <v>87.79</v>
      </c>
      <c r="AP177" s="348">
        <f>ABS(VLOOKUP(A177,TradesEquity!$1:$1048576,16,FALSE))</f>
        <v>0</v>
      </c>
      <c r="AQ177" s="286">
        <v>0</v>
      </c>
      <c r="AR177" s="286">
        <v>0</v>
      </c>
      <c r="AS177" s="286">
        <v>0</v>
      </c>
      <c r="AT177" s="286">
        <v>0</v>
      </c>
      <c r="AU177" s="286">
        <v>0</v>
      </c>
      <c r="AV177" s="348">
        <f>ABS(VLOOKUP(A177,TradesEquity!$1:$1048576,18,FALSE))</f>
        <v>146407.236042</v>
      </c>
      <c r="AW177" s="349">
        <v>0</v>
      </c>
      <c r="AX177" s="350">
        <v>4542</v>
      </c>
      <c r="AY177" s="351" t="s">
        <v>1959</v>
      </c>
      <c r="AZ177" s="352" t="str">
        <f>(VLOOKUP(A177,TradesEquity!$1:$1048576,29,FALSE))</f>
        <v>GSILGB2XXXX</v>
      </c>
      <c r="BA177" s="352" t="str">
        <f>(VLOOKUP(A177,TradesEquity!$1:$1048576,30,FALSE))</f>
        <v>CAETAU21</v>
      </c>
      <c r="BB177" s="352" t="str">
        <f>(VLOOKUP(A177,TradesEquity!$1:$1048576,31,FALSE))</f>
        <v>011-109048-061</v>
      </c>
      <c r="BC177" s="352" t="str">
        <f>(VLOOKUP(A177,TradesEquity!$1:$1048576,32,FALSE))</f>
        <v>N</v>
      </c>
      <c r="BI177" s="352" t="str">
        <f>(VLOOKUP(A177,TradesEquity!$1:$1048576,38,FALSE))</f>
        <v xml:space="preserve">        </v>
      </c>
      <c r="BJ177" s="352" t="str">
        <f>(VLOOKUP(A177,TradesEquity!$1:$1048576,39,FALSE))</f>
        <v xml:space="preserve">        </v>
      </c>
      <c r="BK177" s="352" t="str">
        <f>(VLOOKUP(A177,TradesEquity!$1:$1048576,40,FALSE))</f>
        <v>HKBAAU2SSYD</v>
      </c>
    </row>
    <row r="178" spans="1:63">
      <c r="A178" s="412">
        <v>2019200425</v>
      </c>
      <c r="D178" s="342" t="s">
        <v>1957</v>
      </c>
      <c r="F178" s="343">
        <f>VLOOKUP(A178,TradesEquity!$1:$1048576,2,FALSE)</f>
        <v>44228</v>
      </c>
      <c r="H178" s="343">
        <f>VLOOKUP(A178,TradesEquity!$1:$1048576,21,FALSE)</f>
        <v>44230</v>
      </c>
      <c r="I178" s="344" t="str">
        <f>IF(VLOOKUP(A178,TradesEquity!$1:$1048576,3,FALSE)="BUY","B","S")</f>
        <v>S</v>
      </c>
      <c r="J178" s="344" t="str">
        <f>VLOOKUP(A178,TradesEquity!$1:$1048576,5,FALSE)</f>
        <v>KR7096771001</v>
      </c>
      <c r="K178" s="342" t="s">
        <v>19</v>
      </c>
      <c r="L178" s="345" t="s">
        <v>1958</v>
      </c>
      <c r="AE178" s="346" t="str">
        <f>VLOOKUP(A178,TradesEquity!$1:$1048576,10,FALSE)</f>
        <v>KRW</v>
      </c>
      <c r="AF178" s="346" t="str">
        <f t="shared" si="6"/>
        <v>KRW</v>
      </c>
      <c r="AG178" s="346" t="str">
        <f t="shared" si="6"/>
        <v>KRW</v>
      </c>
      <c r="AH178" s="346" t="str">
        <f t="shared" si="6"/>
        <v>KRW</v>
      </c>
      <c r="AI178" s="346">
        <f>ABS(VLOOKUP(A178,TradesEquity!$1:$1048576,13,FALSE))</f>
        <v>1100</v>
      </c>
      <c r="AJ178" s="347">
        <v>0</v>
      </c>
      <c r="AK178" s="347">
        <v>1</v>
      </c>
      <c r="AL178" s="346">
        <f>VLOOKUP(A178,TradesEquity!$1:$1048576,11,FALSE)</f>
        <v>199226.81820000001</v>
      </c>
      <c r="AM178" s="347">
        <v>1</v>
      </c>
      <c r="AN178" s="346">
        <f>ABS(VLOOKUP(A178,TradesEquity!$1:$1048576,14,FALSE))</f>
        <v>219149500.02000001</v>
      </c>
      <c r="AO178" s="346">
        <f>ABS(VLOOKUP(A178,TradesEquity!$1:$1048576,15,FALSE))</f>
        <v>328724</v>
      </c>
      <c r="AP178" s="348">
        <f>ABS(VLOOKUP(A178,TradesEquity!$1:$1048576,16,FALSE))</f>
        <v>504012</v>
      </c>
      <c r="AQ178" s="286">
        <v>0</v>
      </c>
      <c r="AR178" s="286">
        <v>0</v>
      </c>
      <c r="AS178" s="286">
        <v>0</v>
      </c>
      <c r="AT178" s="286">
        <v>0</v>
      </c>
      <c r="AU178" s="286">
        <v>0</v>
      </c>
      <c r="AV178" s="348">
        <f>ABS(VLOOKUP(A178,TradesEquity!$1:$1048576,18,FALSE))</f>
        <v>218316764.02000001</v>
      </c>
      <c r="AW178" s="349">
        <v>0</v>
      </c>
      <c r="AX178" s="350">
        <v>4542</v>
      </c>
      <c r="AY178" s="351" t="s">
        <v>1959</v>
      </c>
      <c r="AZ178" s="352" t="e">
        <f>(VLOOKUP(A178,TradesEquity!$1:$1048576,29,FALSE))</f>
        <v>#N/A</v>
      </c>
      <c r="BA178" s="352" t="e">
        <f>(VLOOKUP(A178,TradesEquity!$1:$1048576,30,FALSE))</f>
        <v>#N/A</v>
      </c>
      <c r="BB178" s="352" t="e">
        <f>(VLOOKUP(A178,TradesEquity!$1:$1048576,31,FALSE))</f>
        <v>#N/A</v>
      </c>
      <c r="BC178" s="352" t="e">
        <f>(VLOOKUP(A178,TradesEquity!$1:$1048576,32,FALSE))</f>
        <v>#N/A</v>
      </c>
      <c r="BI178" s="352" t="e">
        <f>(VLOOKUP(A178,TradesEquity!$1:$1048576,38,FALSE))</f>
        <v>#N/A</v>
      </c>
      <c r="BJ178" s="352" t="e">
        <f>(VLOOKUP(A178,TradesEquity!$1:$1048576,39,FALSE))</f>
        <v>#N/A</v>
      </c>
      <c r="BK178" s="352" t="e">
        <f>(VLOOKUP(A178,TradesEquity!$1:$1048576,40,FALSE))</f>
        <v>#N/A</v>
      </c>
    </row>
    <row r="179" spans="1:63">
      <c r="A179" s="412">
        <v>2019200426</v>
      </c>
      <c r="D179" s="342" t="s">
        <v>1957</v>
      </c>
      <c r="F179" s="343">
        <f>VLOOKUP(A179,TradesEquity!$1:$1048576,2,FALSE)</f>
        <v>44230</v>
      </c>
      <c r="H179" s="343">
        <f>VLOOKUP(A179,TradesEquity!$1:$1048576,21,FALSE)</f>
        <v>44232</v>
      </c>
      <c r="I179" s="344" t="str">
        <f>IF(VLOOKUP(A179,TradesEquity!$1:$1048576,3,FALSE)="BUY","B","S")</f>
        <v>S</v>
      </c>
      <c r="J179" s="344" t="str">
        <f>VLOOKUP(A179,TradesEquity!$1:$1048576,5,FALSE)</f>
        <v>KR7096771001</v>
      </c>
      <c r="K179" s="342" t="s">
        <v>19</v>
      </c>
      <c r="L179" s="345" t="s">
        <v>1958</v>
      </c>
      <c r="AE179" s="346" t="str">
        <f>VLOOKUP(A179,TradesEquity!$1:$1048576,10,FALSE)</f>
        <v>KRW</v>
      </c>
      <c r="AF179" s="346" t="str">
        <f t="shared" si="6"/>
        <v>KRW</v>
      </c>
      <c r="AG179" s="346" t="str">
        <f t="shared" si="6"/>
        <v>KRW</v>
      </c>
      <c r="AH179" s="346" t="str">
        <f t="shared" si="6"/>
        <v>KRW</v>
      </c>
      <c r="AI179" s="346">
        <f>ABS(VLOOKUP(A179,TradesEquity!$1:$1048576,13,FALSE))</f>
        <v>1100</v>
      </c>
      <c r="AJ179" s="347">
        <v>0</v>
      </c>
      <c r="AK179" s="347">
        <v>1</v>
      </c>
      <c r="AL179" s="346">
        <f>VLOOKUP(A179,TradesEquity!$1:$1048576,11,FALSE)</f>
        <v>230827.7273</v>
      </c>
      <c r="AM179" s="347">
        <v>1</v>
      </c>
      <c r="AN179" s="346">
        <f>ABS(VLOOKUP(A179,TradesEquity!$1:$1048576,14,FALSE))</f>
        <v>253910500.03</v>
      </c>
      <c r="AO179" s="346">
        <f>ABS(VLOOKUP(A179,TradesEquity!$1:$1048576,15,FALSE))</f>
        <v>380866</v>
      </c>
      <c r="AP179" s="348">
        <f>ABS(VLOOKUP(A179,TradesEquity!$1:$1048576,16,FALSE))</f>
        <v>583910</v>
      </c>
      <c r="AQ179" s="286">
        <v>0</v>
      </c>
      <c r="AR179" s="286">
        <v>0</v>
      </c>
      <c r="AS179" s="286">
        <v>0</v>
      </c>
      <c r="AT179" s="286">
        <v>0</v>
      </c>
      <c r="AU179" s="286">
        <v>0</v>
      </c>
      <c r="AV179" s="348">
        <f>ABS(VLOOKUP(A179,TradesEquity!$1:$1048576,18,FALSE))</f>
        <v>252945724.03</v>
      </c>
      <c r="AW179" s="349">
        <v>0</v>
      </c>
      <c r="AX179" s="350">
        <v>4542</v>
      </c>
      <c r="AY179" s="351" t="s">
        <v>1959</v>
      </c>
      <c r="AZ179" s="352" t="e">
        <f>(VLOOKUP(A179,TradesEquity!$1:$1048576,29,FALSE))</f>
        <v>#N/A</v>
      </c>
      <c r="BA179" s="352" t="e">
        <f>(VLOOKUP(A179,TradesEquity!$1:$1048576,30,FALSE))</f>
        <v>#N/A</v>
      </c>
      <c r="BB179" s="352" t="e">
        <f>(VLOOKUP(A179,TradesEquity!$1:$1048576,31,FALSE))</f>
        <v>#N/A</v>
      </c>
      <c r="BC179" s="352" t="e">
        <f>(VLOOKUP(A179,TradesEquity!$1:$1048576,32,FALSE))</f>
        <v>#N/A</v>
      </c>
      <c r="BI179" s="352" t="e">
        <f>(VLOOKUP(A179,TradesEquity!$1:$1048576,38,FALSE))</f>
        <v>#N/A</v>
      </c>
      <c r="BJ179" s="352" t="e">
        <f>(VLOOKUP(A179,TradesEquity!$1:$1048576,39,FALSE))</f>
        <v>#N/A</v>
      </c>
      <c r="BK179" s="352" t="e">
        <f>(VLOOKUP(A179,TradesEquity!$1:$1048576,40,FALSE))</f>
        <v>#N/A</v>
      </c>
    </row>
    <row r="180" spans="1:63">
      <c r="A180" s="412">
        <v>2019200427</v>
      </c>
      <c r="D180" s="342" t="s">
        <v>1957</v>
      </c>
      <c r="F180" s="343">
        <f>VLOOKUP(A180,TradesEquity!$1:$1048576,2,FALSE)</f>
        <v>44231</v>
      </c>
      <c r="H180" s="343">
        <f>VLOOKUP(A180,TradesEquity!$1:$1048576,21,FALSE)</f>
        <v>44235</v>
      </c>
      <c r="I180" s="344" t="str">
        <f>IF(VLOOKUP(A180,TradesEquity!$1:$1048576,3,FALSE)="BUY","B","S")</f>
        <v>B</v>
      </c>
      <c r="J180" s="344" t="str">
        <f>VLOOKUP(A180,TradesEquity!$1:$1048576,5,FALSE)</f>
        <v>JP3627400009</v>
      </c>
      <c r="K180" s="342" t="s">
        <v>19</v>
      </c>
      <c r="L180" s="345" t="s">
        <v>1958</v>
      </c>
      <c r="AE180" s="346" t="str">
        <f>VLOOKUP(A180,TradesEquity!$1:$1048576,10,FALSE)</f>
        <v>JPY</v>
      </c>
      <c r="AF180" s="346" t="str">
        <f t="shared" si="6"/>
        <v>JPY</v>
      </c>
      <c r="AG180" s="346" t="str">
        <f t="shared" si="6"/>
        <v>JPY</v>
      </c>
      <c r="AH180" s="346" t="str">
        <f t="shared" si="6"/>
        <v>JPY</v>
      </c>
      <c r="AI180" s="346">
        <f>ABS(VLOOKUP(A180,TradesEquity!$1:$1048576,13,FALSE))</f>
        <v>3400</v>
      </c>
      <c r="AJ180" s="347">
        <v>0</v>
      </c>
      <c r="AK180" s="347">
        <v>1</v>
      </c>
      <c r="AL180" s="346">
        <f>VLOOKUP(A180,TradesEquity!$1:$1048576,11,FALSE)</f>
        <v>2215.882353</v>
      </c>
      <c r="AM180" s="347">
        <v>1</v>
      </c>
      <c r="AN180" s="346">
        <f>ABS(VLOOKUP(A180,TradesEquity!$1:$1048576,14,FALSE))</f>
        <v>7534000.0001999997</v>
      </c>
      <c r="AO180" s="346">
        <f>ABS(VLOOKUP(A180,TradesEquity!$1:$1048576,15,FALSE))</f>
        <v>4520</v>
      </c>
      <c r="AP180" s="348">
        <f>ABS(VLOOKUP(A180,TradesEquity!$1:$1048576,16,FALSE))</f>
        <v>0</v>
      </c>
      <c r="AQ180" s="286">
        <v>0</v>
      </c>
      <c r="AR180" s="286">
        <v>0</v>
      </c>
      <c r="AS180" s="286">
        <v>0</v>
      </c>
      <c r="AT180" s="286">
        <v>0</v>
      </c>
      <c r="AU180" s="286">
        <v>0</v>
      </c>
      <c r="AV180" s="348">
        <f>ABS(VLOOKUP(A180,TradesEquity!$1:$1048576,18,FALSE))</f>
        <v>7538520.0001999997</v>
      </c>
      <c r="AW180" s="349">
        <v>0</v>
      </c>
      <c r="AX180" s="350">
        <v>4542</v>
      </c>
      <c r="AY180" s="351" t="s">
        <v>1959</v>
      </c>
      <c r="AZ180" s="352" t="str">
        <f>(VLOOKUP(A180,TradesEquity!$1:$1048576,29,FALSE))</f>
        <v>GSILGB2XXXX</v>
      </c>
      <c r="BA180" s="352" t="str">
        <f>(VLOOKUP(A180,TradesEquity!$1:$1048576,30,FALSE))</f>
        <v>JJSDJPJTXXX</v>
      </c>
      <c r="BB180" s="352">
        <f>(VLOOKUP(A180,TradesEquity!$1:$1048576,31,FALSE))</f>
        <v>6530490016</v>
      </c>
      <c r="BC180" s="352" t="str">
        <f>(VLOOKUP(A180,TradesEquity!$1:$1048576,32,FALSE))</f>
        <v>N</v>
      </c>
      <c r="BI180" s="352" t="str">
        <f>(VLOOKUP(A180,TradesEquity!$1:$1048576,38,FALSE))</f>
        <v xml:space="preserve">                  </v>
      </c>
      <c r="BJ180" s="352" t="str">
        <f>(VLOOKUP(A180,TradesEquity!$1:$1048576,39,FALSE))</f>
        <v xml:space="preserve">                          </v>
      </c>
      <c r="BK180" s="352" t="str">
        <f>(VLOOKUP(A180,TradesEquity!$1:$1048576,40,FALSE))</f>
        <v>GOLDJPJXXXX</v>
      </c>
    </row>
    <row r="181" spans="1:63">
      <c r="A181" s="412">
        <v>2019200428</v>
      </c>
      <c r="D181" s="342" t="s">
        <v>1957</v>
      </c>
      <c r="F181" s="343">
        <f>VLOOKUP(A181,TradesEquity!$1:$1048576,2,FALSE)</f>
        <v>44232</v>
      </c>
      <c r="H181" s="343">
        <f>VLOOKUP(A181,TradesEquity!$1:$1048576,21,FALSE)</f>
        <v>44236</v>
      </c>
      <c r="I181" s="344" t="str">
        <f>IF(VLOOKUP(A181,TradesEquity!$1:$1048576,3,FALSE)="BUY","B","S")</f>
        <v>B</v>
      </c>
      <c r="J181" s="344" t="str">
        <f>VLOOKUP(A181,TradesEquity!$1:$1048576,5,FALSE)</f>
        <v>JP3627400009</v>
      </c>
      <c r="K181" s="342" t="s">
        <v>19</v>
      </c>
      <c r="L181" s="345" t="s">
        <v>1958</v>
      </c>
      <c r="AE181" s="346" t="str">
        <f>VLOOKUP(A181,TradesEquity!$1:$1048576,10,FALSE)</f>
        <v>JPY</v>
      </c>
      <c r="AF181" s="346" t="str">
        <f t="shared" si="6"/>
        <v>JPY</v>
      </c>
      <c r="AG181" s="346" t="str">
        <f t="shared" si="6"/>
        <v>JPY</v>
      </c>
      <c r="AH181" s="346" t="str">
        <f t="shared" si="6"/>
        <v>JPY</v>
      </c>
      <c r="AI181" s="346">
        <f>ABS(VLOOKUP(A181,TradesEquity!$1:$1048576,13,FALSE))</f>
        <v>3000</v>
      </c>
      <c r="AJ181" s="347">
        <v>0</v>
      </c>
      <c r="AK181" s="347">
        <v>1</v>
      </c>
      <c r="AL181" s="346">
        <f>VLOOKUP(A181,TradesEquity!$1:$1048576,11,FALSE)</f>
        <v>2236.5700000000002</v>
      </c>
      <c r="AM181" s="347">
        <v>1</v>
      </c>
      <c r="AN181" s="346">
        <f>ABS(VLOOKUP(A181,TradesEquity!$1:$1048576,14,FALSE))</f>
        <v>6709710.0000000009</v>
      </c>
      <c r="AO181" s="346">
        <f>ABS(VLOOKUP(A181,TradesEquity!$1:$1048576,15,FALSE))</f>
        <v>4026</v>
      </c>
      <c r="AP181" s="348">
        <f>ABS(VLOOKUP(A181,TradesEquity!$1:$1048576,16,FALSE))</f>
        <v>0</v>
      </c>
      <c r="AQ181" s="286">
        <v>0</v>
      </c>
      <c r="AR181" s="286">
        <v>0</v>
      </c>
      <c r="AS181" s="286">
        <v>0</v>
      </c>
      <c r="AT181" s="286">
        <v>0</v>
      </c>
      <c r="AU181" s="286">
        <v>0</v>
      </c>
      <c r="AV181" s="348">
        <f>ABS(VLOOKUP(A181,TradesEquity!$1:$1048576,18,FALSE))</f>
        <v>6713736.0000000009</v>
      </c>
      <c r="AW181" s="349">
        <v>0</v>
      </c>
      <c r="AX181" s="350">
        <v>4542</v>
      </c>
      <c r="AY181" s="351" t="s">
        <v>1959</v>
      </c>
      <c r="AZ181" s="352" t="str">
        <f>(VLOOKUP(A181,TradesEquity!$1:$1048576,29,FALSE))</f>
        <v>GSILGB2XXXX</v>
      </c>
      <c r="BA181" s="352" t="str">
        <f>(VLOOKUP(A181,TradesEquity!$1:$1048576,30,FALSE))</f>
        <v>JJSDJPJTXXX</v>
      </c>
      <c r="BB181" s="352">
        <f>(VLOOKUP(A181,TradesEquity!$1:$1048576,31,FALSE))</f>
        <v>6530490016</v>
      </c>
      <c r="BC181" s="352" t="str">
        <f>(VLOOKUP(A181,TradesEquity!$1:$1048576,32,FALSE))</f>
        <v>N</v>
      </c>
      <c r="BI181" s="352" t="str">
        <f>(VLOOKUP(A181,TradesEquity!$1:$1048576,38,FALSE))</f>
        <v xml:space="preserve">                  </v>
      </c>
      <c r="BJ181" s="352" t="str">
        <f>(VLOOKUP(A181,TradesEquity!$1:$1048576,39,FALSE))</f>
        <v xml:space="preserve">                          </v>
      </c>
      <c r="BK181" s="352" t="str">
        <f>(VLOOKUP(A181,TradesEquity!$1:$1048576,40,FALSE))</f>
        <v>GOLDJPJXXXX</v>
      </c>
    </row>
    <row r="182" spans="1:63">
      <c r="A182" s="412">
        <v>2019200429</v>
      </c>
      <c r="D182" s="342" t="s">
        <v>1957</v>
      </c>
      <c r="F182" s="343">
        <f>VLOOKUP(A182,TradesEquity!$1:$1048576,2,FALSE)</f>
        <v>44232</v>
      </c>
      <c r="H182" s="343">
        <f>VLOOKUP(A182,TradesEquity!$1:$1048576,21,FALSE)</f>
        <v>44236</v>
      </c>
      <c r="I182" s="344" t="str">
        <f>IF(VLOOKUP(A182,TradesEquity!$1:$1048576,3,FALSE)="BUY","B","S")</f>
        <v>B</v>
      </c>
      <c r="J182" s="344" t="str">
        <f>VLOOKUP(A182,TradesEquity!$1:$1048576,5,FALSE)</f>
        <v>JP3691600005</v>
      </c>
      <c r="K182" s="342" t="s">
        <v>19</v>
      </c>
      <c r="L182" s="345" t="s">
        <v>1958</v>
      </c>
      <c r="AE182" s="346" t="str">
        <f>VLOOKUP(A182,TradesEquity!$1:$1048576,10,FALSE)</f>
        <v>JPY</v>
      </c>
      <c r="AF182" s="346" t="str">
        <f t="shared" si="6"/>
        <v>JPY</v>
      </c>
      <c r="AG182" s="346" t="str">
        <f t="shared" si="6"/>
        <v>JPY</v>
      </c>
      <c r="AH182" s="346" t="str">
        <f t="shared" si="6"/>
        <v>JPY</v>
      </c>
      <c r="AI182" s="346">
        <f>ABS(VLOOKUP(A182,TradesEquity!$1:$1048576,13,FALSE))</f>
        <v>3300</v>
      </c>
      <c r="AJ182" s="347">
        <v>0</v>
      </c>
      <c r="AK182" s="347">
        <v>1</v>
      </c>
      <c r="AL182" s="346">
        <f>VLOOKUP(A182,TradesEquity!$1:$1048576,11,FALSE)</f>
        <v>2954</v>
      </c>
      <c r="AM182" s="347">
        <v>1</v>
      </c>
      <c r="AN182" s="346">
        <f>ABS(VLOOKUP(A182,TradesEquity!$1:$1048576,14,FALSE))</f>
        <v>9748200</v>
      </c>
      <c r="AO182" s="346">
        <f>ABS(VLOOKUP(A182,TradesEquity!$1:$1048576,15,FALSE))</f>
        <v>5849</v>
      </c>
      <c r="AP182" s="348">
        <f>ABS(VLOOKUP(A182,TradesEquity!$1:$1048576,16,FALSE))</f>
        <v>0</v>
      </c>
      <c r="AQ182" s="286">
        <v>0</v>
      </c>
      <c r="AR182" s="286">
        <v>0</v>
      </c>
      <c r="AS182" s="286">
        <v>0</v>
      </c>
      <c r="AT182" s="286">
        <v>0</v>
      </c>
      <c r="AU182" s="286">
        <v>0</v>
      </c>
      <c r="AV182" s="348">
        <f>ABS(VLOOKUP(A182,TradesEquity!$1:$1048576,18,FALSE))</f>
        <v>9754049</v>
      </c>
      <c r="AW182" s="349">
        <v>0</v>
      </c>
      <c r="AX182" s="350">
        <v>4542</v>
      </c>
      <c r="AY182" s="351" t="s">
        <v>1959</v>
      </c>
      <c r="AZ182" s="352" t="str">
        <f>(VLOOKUP(A182,TradesEquity!$1:$1048576,29,FALSE))</f>
        <v>GSILGB2XXXX</v>
      </c>
      <c r="BA182" s="352" t="str">
        <f>(VLOOKUP(A182,TradesEquity!$1:$1048576,30,FALSE))</f>
        <v>JJSDJPJTXXX</v>
      </c>
      <c r="BB182" s="352">
        <f>(VLOOKUP(A182,TradesEquity!$1:$1048576,31,FALSE))</f>
        <v>6530490016</v>
      </c>
      <c r="BC182" s="352" t="str">
        <f>(VLOOKUP(A182,TradesEquity!$1:$1048576,32,FALSE))</f>
        <v>N</v>
      </c>
      <c r="BI182" s="352" t="str">
        <f>(VLOOKUP(A182,TradesEquity!$1:$1048576,38,FALSE))</f>
        <v xml:space="preserve">                  </v>
      </c>
      <c r="BJ182" s="352" t="str">
        <f>(VLOOKUP(A182,TradesEquity!$1:$1048576,39,FALSE))</f>
        <v xml:space="preserve">                          </v>
      </c>
      <c r="BK182" s="352" t="str">
        <f>(VLOOKUP(A182,TradesEquity!$1:$1048576,40,FALSE))</f>
        <v>GOLDJPJXXXX</v>
      </c>
    </row>
    <row r="183" spans="1:63">
      <c r="A183" s="412">
        <v>2019200430</v>
      </c>
      <c r="D183" s="342" t="s">
        <v>1957</v>
      </c>
      <c r="F183" s="343">
        <f>VLOOKUP(A183,TradesEquity!$1:$1048576,2,FALSE)</f>
        <v>44235</v>
      </c>
      <c r="H183" s="343">
        <f>VLOOKUP(A183,TradesEquity!$1:$1048576,21,FALSE)</f>
        <v>44237</v>
      </c>
      <c r="I183" s="344" t="str">
        <f>IF(VLOOKUP(A183,TradesEquity!$1:$1048576,3,FALSE)="BUY","B","S")</f>
        <v>B</v>
      </c>
      <c r="J183" s="344" t="str">
        <f>VLOOKUP(A183,TradesEquity!$1:$1048576,5,FALSE)</f>
        <v>JP3691600005</v>
      </c>
      <c r="K183" s="342" t="s">
        <v>19</v>
      </c>
      <c r="L183" s="345" t="s">
        <v>1958</v>
      </c>
      <c r="AE183" s="346" t="str">
        <f>VLOOKUP(A183,TradesEquity!$1:$1048576,10,FALSE)</f>
        <v>JPY</v>
      </c>
      <c r="AF183" s="346" t="str">
        <f t="shared" si="6"/>
        <v>JPY</v>
      </c>
      <c r="AG183" s="346" t="str">
        <f t="shared" si="6"/>
        <v>JPY</v>
      </c>
      <c r="AH183" s="346" t="str">
        <f t="shared" si="6"/>
        <v>JPY</v>
      </c>
      <c r="AI183" s="346">
        <f>ABS(VLOOKUP(A183,TradesEquity!$1:$1048576,13,FALSE))</f>
        <v>3000</v>
      </c>
      <c r="AJ183" s="347">
        <v>0</v>
      </c>
      <c r="AK183" s="347">
        <v>1</v>
      </c>
      <c r="AL183" s="346">
        <f>VLOOKUP(A183,TradesEquity!$1:$1048576,11,FALSE)</f>
        <v>2990.6333300000001</v>
      </c>
      <c r="AM183" s="347">
        <v>1</v>
      </c>
      <c r="AN183" s="346">
        <f>ABS(VLOOKUP(A183,TradesEquity!$1:$1048576,14,FALSE))</f>
        <v>8971899.9900000002</v>
      </c>
      <c r="AO183" s="346">
        <f>ABS(VLOOKUP(A183,TradesEquity!$1:$1048576,15,FALSE))</f>
        <v>5383</v>
      </c>
      <c r="AP183" s="348">
        <f>ABS(VLOOKUP(A183,TradesEquity!$1:$1048576,16,FALSE))</f>
        <v>0</v>
      </c>
      <c r="AQ183" s="286">
        <v>0</v>
      </c>
      <c r="AR183" s="286">
        <v>0</v>
      </c>
      <c r="AS183" s="286">
        <v>0</v>
      </c>
      <c r="AT183" s="286">
        <v>0</v>
      </c>
      <c r="AU183" s="286">
        <v>0</v>
      </c>
      <c r="AV183" s="348">
        <f>ABS(VLOOKUP(A183,TradesEquity!$1:$1048576,18,FALSE))</f>
        <v>8977282.9900000002</v>
      </c>
      <c r="AW183" s="349">
        <v>0</v>
      </c>
      <c r="AX183" s="350">
        <v>4542</v>
      </c>
      <c r="AY183" s="351" t="s">
        <v>1959</v>
      </c>
      <c r="AZ183" s="352" t="str">
        <f>(VLOOKUP(A183,TradesEquity!$1:$1048576,29,FALSE))</f>
        <v>GSILGB2XXXX</v>
      </c>
      <c r="BA183" s="352" t="str">
        <f>(VLOOKUP(A183,TradesEquity!$1:$1048576,30,FALSE))</f>
        <v>JJSDJPJTXXX</v>
      </c>
      <c r="BB183" s="352">
        <f>(VLOOKUP(A183,TradesEquity!$1:$1048576,31,FALSE))</f>
        <v>6530490016</v>
      </c>
      <c r="BC183" s="352" t="str">
        <f>(VLOOKUP(A183,TradesEquity!$1:$1048576,32,FALSE))</f>
        <v>N</v>
      </c>
      <c r="BI183" s="352" t="str">
        <f>(VLOOKUP(A183,TradesEquity!$1:$1048576,38,FALSE))</f>
        <v xml:space="preserve">                  </v>
      </c>
      <c r="BJ183" s="352" t="str">
        <f>(VLOOKUP(A183,TradesEquity!$1:$1048576,39,FALSE))</f>
        <v xml:space="preserve">                          </v>
      </c>
      <c r="BK183" s="352" t="str">
        <f>(VLOOKUP(A183,TradesEquity!$1:$1048576,40,FALSE))</f>
        <v>GOLDJPJXXXX</v>
      </c>
    </row>
    <row r="184" spans="1:63">
      <c r="A184" s="412">
        <v>2019200431</v>
      </c>
      <c r="D184" s="342" t="s">
        <v>1957</v>
      </c>
      <c r="F184" s="343">
        <f>VLOOKUP(A184,TradesEquity!$1:$1048576,2,FALSE)</f>
        <v>44235</v>
      </c>
      <c r="H184" s="343">
        <f>VLOOKUP(A184,TradesEquity!$1:$1048576,21,FALSE)</f>
        <v>44237</v>
      </c>
      <c r="I184" s="344" t="str">
        <f>IF(VLOOKUP(A184,TradesEquity!$1:$1048576,3,FALSE)="BUY","B","S")</f>
        <v>B</v>
      </c>
      <c r="J184" s="344" t="str">
        <f>VLOOKUP(A184,TradesEquity!$1:$1048576,5,FALSE)</f>
        <v>JP3627400009</v>
      </c>
      <c r="K184" s="342" t="s">
        <v>19</v>
      </c>
      <c r="L184" s="345" t="s">
        <v>1958</v>
      </c>
      <c r="AE184" s="346" t="str">
        <f>VLOOKUP(A184,TradesEquity!$1:$1048576,10,FALSE)</f>
        <v>JPY</v>
      </c>
      <c r="AF184" s="346" t="str">
        <f t="shared" si="6"/>
        <v>JPY</v>
      </c>
      <c r="AG184" s="346" t="str">
        <f t="shared" si="6"/>
        <v>JPY</v>
      </c>
      <c r="AH184" s="346" t="str">
        <f t="shared" si="6"/>
        <v>JPY</v>
      </c>
      <c r="AI184" s="346">
        <f>ABS(VLOOKUP(A184,TradesEquity!$1:$1048576,13,FALSE))</f>
        <v>3000</v>
      </c>
      <c r="AJ184" s="347">
        <v>0</v>
      </c>
      <c r="AK184" s="347">
        <v>1</v>
      </c>
      <c r="AL184" s="346">
        <f>VLOOKUP(A184,TradesEquity!$1:$1048576,11,FALSE)</f>
        <v>2252</v>
      </c>
      <c r="AM184" s="347">
        <v>1</v>
      </c>
      <c r="AN184" s="346">
        <f>ABS(VLOOKUP(A184,TradesEquity!$1:$1048576,14,FALSE))</f>
        <v>6756000</v>
      </c>
      <c r="AO184" s="346">
        <f>ABS(VLOOKUP(A184,TradesEquity!$1:$1048576,15,FALSE))</f>
        <v>4054</v>
      </c>
      <c r="AP184" s="348">
        <f>ABS(VLOOKUP(A184,TradesEquity!$1:$1048576,16,FALSE))</f>
        <v>0</v>
      </c>
      <c r="AQ184" s="286">
        <v>0</v>
      </c>
      <c r="AR184" s="286">
        <v>0</v>
      </c>
      <c r="AS184" s="286">
        <v>0</v>
      </c>
      <c r="AT184" s="286">
        <v>0</v>
      </c>
      <c r="AU184" s="286">
        <v>0</v>
      </c>
      <c r="AV184" s="348">
        <f>ABS(VLOOKUP(A184,TradesEquity!$1:$1048576,18,FALSE))</f>
        <v>6760054</v>
      </c>
      <c r="AW184" s="349">
        <v>0</v>
      </c>
      <c r="AX184" s="350">
        <v>4542</v>
      </c>
      <c r="AY184" s="351" t="s">
        <v>1959</v>
      </c>
      <c r="AZ184" s="352" t="str">
        <f>(VLOOKUP(A184,TradesEquity!$1:$1048576,29,FALSE))</f>
        <v>GSILGB2XXXX</v>
      </c>
      <c r="BA184" s="352" t="str">
        <f>(VLOOKUP(A184,TradesEquity!$1:$1048576,30,FALSE))</f>
        <v>JJSDJPJTXXX</v>
      </c>
      <c r="BB184" s="352">
        <f>(VLOOKUP(A184,TradesEquity!$1:$1048576,31,FALSE))</f>
        <v>6530490016</v>
      </c>
      <c r="BC184" s="352" t="str">
        <f>(VLOOKUP(A184,TradesEquity!$1:$1048576,32,FALSE))</f>
        <v>N</v>
      </c>
      <c r="BI184" s="352" t="str">
        <f>(VLOOKUP(A184,TradesEquity!$1:$1048576,38,FALSE))</f>
        <v xml:space="preserve">                  </v>
      </c>
      <c r="BJ184" s="352" t="str">
        <f>(VLOOKUP(A184,TradesEquity!$1:$1048576,39,FALSE))</f>
        <v xml:space="preserve">                          </v>
      </c>
      <c r="BK184" s="352" t="str">
        <f>(VLOOKUP(A184,TradesEquity!$1:$1048576,40,FALSE))</f>
        <v>GOLDJPJXXXX</v>
      </c>
    </row>
    <row r="185" spans="1:63">
      <c r="A185" s="412">
        <v>2019200432</v>
      </c>
      <c r="D185" s="342" t="s">
        <v>1957</v>
      </c>
      <c r="F185" s="343">
        <f>VLOOKUP(A185,TradesEquity!$1:$1048576,2,FALSE)</f>
        <v>44236</v>
      </c>
      <c r="H185" s="343">
        <f>VLOOKUP(A185,TradesEquity!$1:$1048576,21,FALSE)</f>
        <v>44239</v>
      </c>
      <c r="I185" s="344" t="str">
        <f>IF(VLOOKUP(A185,TradesEquity!$1:$1048576,3,FALSE)="BUY","B","S")</f>
        <v>B</v>
      </c>
      <c r="J185" s="344" t="str">
        <f>VLOOKUP(A185,TradesEquity!$1:$1048576,5,FALSE)</f>
        <v>JP3627400009</v>
      </c>
      <c r="K185" s="342" t="s">
        <v>19</v>
      </c>
      <c r="L185" s="345" t="s">
        <v>1958</v>
      </c>
      <c r="AE185" s="346" t="str">
        <f>VLOOKUP(A185,TradesEquity!$1:$1048576,10,FALSE)</f>
        <v>JPY</v>
      </c>
      <c r="AF185" s="346" t="str">
        <f t="shared" si="6"/>
        <v>JPY</v>
      </c>
      <c r="AG185" s="346" t="str">
        <f t="shared" si="6"/>
        <v>JPY</v>
      </c>
      <c r="AH185" s="346" t="str">
        <f t="shared" si="6"/>
        <v>JPY</v>
      </c>
      <c r="AI185" s="346">
        <f>ABS(VLOOKUP(A185,TradesEquity!$1:$1048576,13,FALSE))</f>
        <v>3000</v>
      </c>
      <c r="AJ185" s="347">
        <v>0</v>
      </c>
      <c r="AK185" s="347">
        <v>1</v>
      </c>
      <c r="AL185" s="346">
        <f>VLOOKUP(A185,TradesEquity!$1:$1048576,11,FALSE)</f>
        <v>2182</v>
      </c>
      <c r="AM185" s="347">
        <v>1</v>
      </c>
      <c r="AN185" s="346">
        <f>ABS(VLOOKUP(A185,TradesEquity!$1:$1048576,14,FALSE))</f>
        <v>6546000</v>
      </c>
      <c r="AO185" s="346">
        <f>ABS(VLOOKUP(A185,TradesEquity!$1:$1048576,15,FALSE))</f>
        <v>3928</v>
      </c>
      <c r="AP185" s="348">
        <f>ABS(VLOOKUP(A185,TradesEquity!$1:$1048576,16,FALSE))</f>
        <v>0</v>
      </c>
      <c r="AQ185" s="286">
        <v>0</v>
      </c>
      <c r="AR185" s="286">
        <v>0</v>
      </c>
      <c r="AS185" s="286">
        <v>0</v>
      </c>
      <c r="AT185" s="286">
        <v>0</v>
      </c>
      <c r="AU185" s="286">
        <v>0</v>
      </c>
      <c r="AV185" s="348">
        <f>ABS(VLOOKUP(A185,TradesEquity!$1:$1048576,18,FALSE))</f>
        <v>6549928</v>
      </c>
      <c r="AW185" s="349">
        <v>0</v>
      </c>
      <c r="AX185" s="350">
        <v>4542</v>
      </c>
      <c r="AY185" s="351" t="s">
        <v>1959</v>
      </c>
      <c r="AZ185" s="352" t="str">
        <f>(VLOOKUP(A185,TradesEquity!$1:$1048576,29,FALSE))</f>
        <v>GSILGB2XXXX</v>
      </c>
      <c r="BA185" s="352" t="str">
        <f>(VLOOKUP(A185,TradesEquity!$1:$1048576,30,FALSE))</f>
        <v>JJSDJPJTXXX</v>
      </c>
      <c r="BB185" s="352">
        <f>(VLOOKUP(A185,TradesEquity!$1:$1048576,31,FALSE))</f>
        <v>6530490016</v>
      </c>
      <c r="BC185" s="352" t="str">
        <f>(VLOOKUP(A185,TradesEquity!$1:$1048576,32,FALSE))</f>
        <v>N</v>
      </c>
      <c r="BI185" s="352" t="str">
        <f>(VLOOKUP(A185,TradesEquity!$1:$1048576,38,FALSE))</f>
        <v xml:space="preserve">                  </v>
      </c>
      <c r="BJ185" s="352" t="str">
        <f>(VLOOKUP(A185,TradesEquity!$1:$1048576,39,FALSE))</f>
        <v xml:space="preserve">                          </v>
      </c>
      <c r="BK185" s="352" t="str">
        <f>(VLOOKUP(A185,TradesEquity!$1:$1048576,40,FALSE))</f>
        <v>GOLDJPJXXXX</v>
      </c>
    </row>
    <row r="186" spans="1:63">
      <c r="A186" s="412">
        <v>2019200433</v>
      </c>
      <c r="D186" s="342" t="s">
        <v>1957</v>
      </c>
      <c r="F186" s="343">
        <f>VLOOKUP(A186,TradesEquity!$1:$1048576,2,FALSE)</f>
        <v>44242</v>
      </c>
      <c r="H186" s="343">
        <f>VLOOKUP(A186,TradesEquity!$1:$1048576,21,FALSE)</f>
        <v>44244</v>
      </c>
      <c r="I186" s="344" t="str">
        <f>IF(VLOOKUP(A186,TradesEquity!$1:$1048576,3,FALSE)="BUY","B","S")</f>
        <v>B</v>
      </c>
      <c r="J186" s="344" t="str">
        <f>VLOOKUP(A186,TradesEquity!$1:$1048576,5,FALSE)</f>
        <v>JP3147200004</v>
      </c>
      <c r="K186" s="342" t="s">
        <v>19</v>
      </c>
      <c r="L186" s="345" t="s">
        <v>1958</v>
      </c>
      <c r="AE186" s="346" t="str">
        <f>VLOOKUP(A186,TradesEquity!$1:$1048576,10,FALSE)</f>
        <v>JPY</v>
      </c>
      <c r="AF186" s="346" t="str">
        <f t="shared" si="6"/>
        <v>JPY</v>
      </c>
      <c r="AG186" s="346" t="str">
        <f t="shared" si="6"/>
        <v>JPY</v>
      </c>
      <c r="AH186" s="346" t="str">
        <f t="shared" si="6"/>
        <v>JPY</v>
      </c>
      <c r="AI186" s="346">
        <f>ABS(VLOOKUP(A186,TradesEquity!$1:$1048576,13,FALSE))</f>
        <v>8300</v>
      </c>
      <c r="AJ186" s="347">
        <v>0</v>
      </c>
      <c r="AK186" s="347">
        <v>1</v>
      </c>
      <c r="AL186" s="346">
        <f>VLOOKUP(A186,TradesEquity!$1:$1048576,11,FALSE)</f>
        <v>1028.8722889999999</v>
      </c>
      <c r="AM186" s="347">
        <v>1</v>
      </c>
      <c r="AN186" s="346">
        <f>ABS(VLOOKUP(A186,TradesEquity!$1:$1048576,14,FALSE))</f>
        <v>8539639.9986999985</v>
      </c>
      <c r="AO186" s="346">
        <f>ABS(VLOOKUP(A186,TradesEquity!$1:$1048576,15,FALSE))</f>
        <v>5124</v>
      </c>
      <c r="AP186" s="348">
        <f>ABS(VLOOKUP(A186,TradesEquity!$1:$1048576,16,FALSE))</f>
        <v>0</v>
      </c>
      <c r="AQ186" s="286">
        <v>0</v>
      </c>
      <c r="AR186" s="286">
        <v>0</v>
      </c>
      <c r="AS186" s="286">
        <v>0</v>
      </c>
      <c r="AT186" s="286">
        <v>0</v>
      </c>
      <c r="AU186" s="286">
        <v>0</v>
      </c>
      <c r="AV186" s="348">
        <f>ABS(VLOOKUP(A186,TradesEquity!$1:$1048576,18,FALSE))</f>
        <v>8544763.9986999985</v>
      </c>
      <c r="AW186" s="349">
        <v>0</v>
      </c>
      <c r="AX186" s="350">
        <v>4542</v>
      </c>
      <c r="AY186" s="351" t="s">
        <v>1959</v>
      </c>
      <c r="AZ186" s="352" t="str">
        <f>(VLOOKUP(A186,TradesEquity!$1:$1048576,29,FALSE))</f>
        <v>GSILGB2XXXX</v>
      </c>
      <c r="BA186" s="352" t="str">
        <f>(VLOOKUP(A186,TradesEquity!$1:$1048576,30,FALSE))</f>
        <v>JJSDJPJTXXX</v>
      </c>
      <c r="BB186" s="352">
        <f>(VLOOKUP(A186,TradesEquity!$1:$1048576,31,FALSE))</f>
        <v>6530490016</v>
      </c>
      <c r="BC186" s="352" t="str">
        <f>(VLOOKUP(A186,TradesEquity!$1:$1048576,32,FALSE))</f>
        <v>N</v>
      </c>
      <c r="BI186" s="352" t="str">
        <f>(VLOOKUP(A186,TradesEquity!$1:$1048576,38,FALSE))</f>
        <v xml:space="preserve">                  </v>
      </c>
      <c r="BJ186" s="352" t="str">
        <f>(VLOOKUP(A186,TradesEquity!$1:$1048576,39,FALSE))</f>
        <v xml:space="preserve">                          </v>
      </c>
      <c r="BK186" s="352" t="str">
        <f>(VLOOKUP(A186,TradesEquity!$1:$1048576,40,FALSE))</f>
        <v>GOLDJPJXXXX</v>
      </c>
    </row>
    <row r="187" spans="1:63">
      <c r="A187" s="412">
        <v>2019200434</v>
      </c>
      <c r="D187" s="342" t="s">
        <v>1957</v>
      </c>
      <c r="F187" s="343">
        <f>VLOOKUP(A187,TradesEquity!$1:$1048576,2,FALSE)</f>
        <v>44251</v>
      </c>
      <c r="H187" s="343">
        <f>VLOOKUP(A187,TradesEquity!$1:$1048576,21,FALSE)</f>
        <v>44253</v>
      </c>
      <c r="I187" s="344" t="str">
        <f>IF(VLOOKUP(A187,TradesEquity!$1:$1048576,3,FALSE)="BUY","B","S")</f>
        <v>B</v>
      </c>
      <c r="J187" s="344" t="str">
        <f>VLOOKUP(A187,TradesEquity!$1:$1048576,5,FALSE)</f>
        <v>JP3332600000</v>
      </c>
      <c r="K187" s="342" t="s">
        <v>19</v>
      </c>
      <c r="L187" s="345" t="s">
        <v>1958</v>
      </c>
      <c r="AE187" s="346" t="str">
        <f>VLOOKUP(A187,TradesEquity!$1:$1048576,10,FALSE)</f>
        <v>JPY</v>
      </c>
      <c r="AF187" s="346" t="str">
        <f t="shared" si="6"/>
        <v>JPY</v>
      </c>
      <c r="AG187" s="346" t="str">
        <f t="shared" si="6"/>
        <v>JPY</v>
      </c>
      <c r="AH187" s="346" t="str">
        <f t="shared" si="6"/>
        <v>JPY</v>
      </c>
      <c r="AI187" s="346">
        <f>ABS(VLOOKUP(A187,TradesEquity!$1:$1048576,13,FALSE))</f>
        <v>7100</v>
      </c>
      <c r="AJ187" s="347">
        <v>0</v>
      </c>
      <c r="AK187" s="347">
        <v>1</v>
      </c>
      <c r="AL187" s="346">
        <f>VLOOKUP(A187,TradesEquity!$1:$1048576,11,FALSE)</f>
        <v>847.11549300000001</v>
      </c>
      <c r="AM187" s="347">
        <v>1</v>
      </c>
      <c r="AN187" s="346">
        <f>ABS(VLOOKUP(A187,TradesEquity!$1:$1048576,14,FALSE))</f>
        <v>6014520.0003000004</v>
      </c>
      <c r="AO187" s="346">
        <f>ABS(VLOOKUP(A187,TradesEquity!$1:$1048576,15,FALSE))</f>
        <v>3609</v>
      </c>
      <c r="AP187" s="348">
        <f>ABS(VLOOKUP(A187,TradesEquity!$1:$1048576,16,FALSE))</f>
        <v>0</v>
      </c>
      <c r="AQ187" s="286">
        <v>0</v>
      </c>
      <c r="AR187" s="286">
        <v>0</v>
      </c>
      <c r="AS187" s="286">
        <v>0</v>
      </c>
      <c r="AT187" s="286">
        <v>0</v>
      </c>
      <c r="AU187" s="286">
        <v>0</v>
      </c>
      <c r="AV187" s="348">
        <f>ABS(VLOOKUP(A187,TradesEquity!$1:$1048576,18,FALSE))</f>
        <v>6018129.0003000004</v>
      </c>
      <c r="AW187" s="349">
        <v>0</v>
      </c>
      <c r="AX187" s="350">
        <v>4542</v>
      </c>
      <c r="AY187" s="351" t="s">
        <v>1959</v>
      </c>
      <c r="AZ187" s="352" t="str">
        <f>(VLOOKUP(A187,TradesEquity!$1:$1048576,29,FALSE))</f>
        <v>GSILGB2XXXX</v>
      </c>
      <c r="BA187" s="352" t="str">
        <f>(VLOOKUP(A187,TradesEquity!$1:$1048576,30,FALSE))</f>
        <v>JJSDJPJTXXX</v>
      </c>
      <c r="BB187" s="352">
        <f>(VLOOKUP(A187,TradesEquity!$1:$1048576,31,FALSE))</f>
        <v>6530490016</v>
      </c>
      <c r="BC187" s="352" t="str">
        <f>(VLOOKUP(A187,TradesEquity!$1:$1048576,32,FALSE))</f>
        <v>N</v>
      </c>
      <c r="BI187" s="352" t="str">
        <f>(VLOOKUP(A187,TradesEquity!$1:$1048576,38,FALSE))</f>
        <v xml:space="preserve">                  </v>
      </c>
      <c r="BJ187" s="352" t="str">
        <f>(VLOOKUP(A187,TradesEquity!$1:$1048576,39,FALSE))</f>
        <v xml:space="preserve">                          </v>
      </c>
      <c r="BK187" s="352" t="str">
        <f>(VLOOKUP(A187,TradesEquity!$1:$1048576,40,FALSE))</f>
        <v>GOLDJPJXXXX</v>
      </c>
    </row>
    <row r="188" spans="1:63">
      <c r="A188" s="412">
        <v>2019200435</v>
      </c>
      <c r="D188" s="342" t="s">
        <v>1957</v>
      </c>
      <c r="F188" s="343">
        <f>VLOOKUP(A188,TradesEquity!$1:$1048576,2,FALSE)</f>
        <v>44251</v>
      </c>
      <c r="H188" s="343">
        <f>VLOOKUP(A188,TradesEquity!$1:$1048576,21,FALSE)</f>
        <v>44253</v>
      </c>
      <c r="I188" s="344" t="str">
        <f>IF(VLOOKUP(A188,TradesEquity!$1:$1048576,3,FALSE)="BUY","B","S")</f>
        <v>B</v>
      </c>
      <c r="J188" s="344" t="str">
        <f>VLOOKUP(A188,TradesEquity!$1:$1048576,5,FALSE)</f>
        <v>JP3734600004</v>
      </c>
      <c r="K188" s="342" t="s">
        <v>19</v>
      </c>
      <c r="L188" s="345" t="s">
        <v>1958</v>
      </c>
      <c r="AE188" s="346" t="str">
        <f>VLOOKUP(A188,TradesEquity!$1:$1048576,10,FALSE)</f>
        <v>JPY</v>
      </c>
      <c r="AF188" s="346" t="str">
        <f t="shared" si="6"/>
        <v>JPY</v>
      </c>
      <c r="AG188" s="346" t="str">
        <f t="shared" si="6"/>
        <v>JPY</v>
      </c>
      <c r="AH188" s="346" t="str">
        <f t="shared" si="6"/>
        <v>JPY</v>
      </c>
      <c r="AI188" s="346">
        <f>ABS(VLOOKUP(A188,TradesEquity!$1:$1048576,13,FALSE))</f>
        <v>27000</v>
      </c>
      <c r="AJ188" s="347">
        <v>0</v>
      </c>
      <c r="AK188" s="347">
        <v>1</v>
      </c>
      <c r="AL188" s="346">
        <f>VLOOKUP(A188,TradesEquity!$1:$1048576,11,FALSE)</f>
        <v>285.52814799999999</v>
      </c>
      <c r="AM188" s="347">
        <v>1</v>
      </c>
      <c r="AN188" s="346">
        <f>ABS(VLOOKUP(A188,TradesEquity!$1:$1048576,14,FALSE))</f>
        <v>7709259.9959999993</v>
      </c>
      <c r="AO188" s="346">
        <f>ABS(VLOOKUP(A188,TradesEquity!$1:$1048576,15,FALSE))</f>
        <v>4626</v>
      </c>
      <c r="AP188" s="348">
        <f>ABS(VLOOKUP(A188,TradesEquity!$1:$1048576,16,FALSE))</f>
        <v>0</v>
      </c>
      <c r="AQ188" s="286">
        <v>0</v>
      </c>
      <c r="AR188" s="286">
        <v>0</v>
      </c>
      <c r="AS188" s="286">
        <v>0</v>
      </c>
      <c r="AT188" s="286">
        <v>0</v>
      </c>
      <c r="AU188" s="286">
        <v>0</v>
      </c>
      <c r="AV188" s="348">
        <f>ABS(VLOOKUP(A188,TradesEquity!$1:$1048576,18,FALSE))</f>
        <v>7713885.9959999993</v>
      </c>
      <c r="AW188" s="349">
        <v>0</v>
      </c>
      <c r="AX188" s="350">
        <v>4542</v>
      </c>
      <c r="AY188" s="351" t="s">
        <v>1959</v>
      </c>
      <c r="AZ188" s="352" t="str">
        <f>(VLOOKUP(A188,TradesEquity!$1:$1048576,29,FALSE))</f>
        <v>GSILGB2XXXX</v>
      </c>
      <c r="BA188" s="352" t="str">
        <f>(VLOOKUP(A188,TradesEquity!$1:$1048576,30,FALSE))</f>
        <v>JJSDJPJTXXX</v>
      </c>
      <c r="BB188" s="352">
        <f>(VLOOKUP(A188,TradesEquity!$1:$1048576,31,FALSE))</f>
        <v>6530490016</v>
      </c>
      <c r="BC188" s="352" t="str">
        <f>(VLOOKUP(A188,TradesEquity!$1:$1048576,32,FALSE))</f>
        <v>N</v>
      </c>
      <c r="BI188" s="352" t="str">
        <f>(VLOOKUP(A188,TradesEquity!$1:$1048576,38,FALSE))</f>
        <v xml:space="preserve">                  </v>
      </c>
      <c r="BJ188" s="352" t="str">
        <f>(VLOOKUP(A188,TradesEquity!$1:$1048576,39,FALSE))</f>
        <v xml:space="preserve">                          </v>
      </c>
      <c r="BK188" s="352" t="str">
        <f>(VLOOKUP(A188,TradesEquity!$1:$1048576,40,FALSE))</f>
        <v>GOLDJPJXXXX</v>
      </c>
    </row>
    <row r="189" spans="1:63">
      <c r="A189" s="412">
        <v>2019200436</v>
      </c>
      <c r="D189" s="342" t="s">
        <v>1957</v>
      </c>
      <c r="F189" s="343">
        <f>VLOOKUP(A189,TradesEquity!$1:$1048576,2,FALSE)</f>
        <v>44256</v>
      </c>
      <c r="H189" s="343">
        <f>VLOOKUP(A189,TradesEquity!$1:$1048576,21,FALSE)</f>
        <v>44258</v>
      </c>
      <c r="I189" s="344" t="str">
        <f>IF(VLOOKUP(A189,TradesEquity!$1:$1048576,3,FALSE)="BUY","B","S")</f>
        <v>B</v>
      </c>
      <c r="J189" s="344" t="str">
        <f>VLOOKUP(A189,TradesEquity!$1:$1048576,5,FALSE)</f>
        <v>JP3449020001</v>
      </c>
      <c r="K189" s="342" t="s">
        <v>19</v>
      </c>
      <c r="L189" s="345" t="s">
        <v>1958</v>
      </c>
      <c r="AE189" s="346" t="str">
        <f>VLOOKUP(A189,TradesEquity!$1:$1048576,10,FALSE)</f>
        <v>JPY</v>
      </c>
      <c r="AF189" s="346" t="str">
        <f t="shared" si="6"/>
        <v>JPY</v>
      </c>
      <c r="AG189" s="346" t="str">
        <f t="shared" si="6"/>
        <v>JPY</v>
      </c>
      <c r="AH189" s="346" t="str">
        <f t="shared" si="6"/>
        <v>JPY</v>
      </c>
      <c r="AI189" s="346">
        <f>ABS(VLOOKUP(A189,TradesEquity!$1:$1048576,13,FALSE))</f>
        <v>17000</v>
      </c>
      <c r="AJ189" s="347">
        <v>0</v>
      </c>
      <c r="AK189" s="347">
        <v>1</v>
      </c>
      <c r="AL189" s="346">
        <f>VLOOKUP(A189,TradesEquity!$1:$1048576,11,FALSE)</f>
        <v>2657.2294000000002</v>
      </c>
      <c r="AM189" s="347">
        <v>1</v>
      </c>
      <c r="AN189" s="346">
        <f>ABS(VLOOKUP(A189,TradesEquity!$1:$1048576,14,FALSE))</f>
        <v>45172899.800000004</v>
      </c>
      <c r="AO189" s="346">
        <f>ABS(VLOOKUP(A189,TradesEquity!$1:$1048576,15,FALSE))</f>
        <v>27104</v>
      </c>
      <c r="AP189" s="348">
        <f>ABS(VLOOKUP(A189,TradesEquity!$1:$1048576,16,FALSE))</f>
        <v>0</v>
      </c>
      <c r="AQ189" s="286">
        <v>0</v>
      </c>
      <c r="AR189" s="286">
        <v>0</v>
      </c>
      <c r="AS189" s="286">
        <v>0</v>
      </c>
      <c r="AT189" s="286">
        <v>0</v>
      </c>
      <c r="AU189" s="286">
        <v>0</v>
      </c>
      <c r="AV189" s="348">
        <f>ABS(VLOOKUP(A189,TradesEquity!$1:$1048576,18,FALSE))</f>
        <v>45200003.800000004</v>
      </c>
      <c r="AW189" s="349">
        <v>0</v>
      </c>
      <c r="AX189" s="350">
        <v>4542</v>
      </c>
      <c r="AY189" s="351" t="s">
        <v>1959</v>
      </c>
      <c r="AZ189" s="352" t="str">
        <f>(VLOOKUP(A189,TradesEquity!$1:$1048576,29,FALSE))</f>
        <v>GSILGB2XXXX</v>
      </c>
      <c r="BA189" s="352" t="str">
        <f>(VLOOKUP(A189,TradesEquity!$1:$1048576,30,FALSE))</f>
        <v>JJSDJPJTXXX</v>
      </c>
      <c r="BB189" s="352">
        <f>(VLOOKUP(A189,TradesEquity!$1:$1048576,31,FALSE))</f>
        <v>6530490016</v>
      </c>
      <c r="BC189" s="352" t="str">
        <f>(VLOOKUP(A189,TradesEquity!$1:$1048576,32,FALSE))</f>
        <v>N</v>
      </c>
      <c r="BI189" s="352" t="str">
        <f>(VLOOKUP(A189,TradesEquity!$1:$1048576,38,FALSE))</f>
        <v xml:space="preserve">                  </v>
      </c>
      <c r="BJ189" s="352" t="str">
        <f>(VLOOKUP(A189,TradesEquity!$1:$1048576,39,FALSE))</f>
        <v xml:space="preserve">                          </v>
      </c>
      <c r="BK189" s="352" t="str">
        <f>(VLOOKUP(A189,TradesEquity!$1:$1048576,40,FALSE))</f>
        <v>GOLDJPJXXXX</v>
      </c>
    </row>
    <row r="190" spans="1:63">
      <c r="A190" s="412">
        <v>2019200437</v>
      </c>
      <c r="D190" s="342" t="s">
        <v>1957</v>
      </c>
      <c r="F190" s="343">
        <f>VLOOKUP(A190,TradesEquity!$1:$1048576,2,FALSE)</f>
        <v>44260</v>
      </c>
      <c r="H190" s="343">
        <f>VLOOKUP(A190,TradesEquity!$1:$1048576,21,FALSE)</f>
        <v>44264</v>
      </c>
      <c r="I190" s="344" t="str">
        <f>IF(VLOOKUP(A190,TradesEquity!$1:$1048576,3,FALSE)="BUY","B","S")</f>
        <v>B</v>
      </c>
      <c r="J190" s="344" t="str">
        <f>VLOOKUP(A190,TradesEquity!$1:$1048576,5,FALSE)</f>
        <v>FR0013176526</v>
      </c>
      <c r="K190" s="342" t="s">
        <v>19</v>
      </c>
      <c r="L190" s="345" t="s">
        <v>1958</v>
      </c>
      <c r="AE190" s="346" t="str">
        <f>VLOOKUP(A190,TradesEquity!$1:$1048576,10,FALSE)</f>
        <v>EUR</v>
      </c>
      <c r="AF190" s="346" t="str">
        <f t="shared" si="6"/>
        <v>EUR</v>
      </c>
      <c r="AG190" s="346" t="str">
        <f t="shared" si="6"/>
        <v>EUR</v>
      </c>
      <c r="AH190" s="346" t="str">
        <f t="shared" si="6"/>
        <v>EUR</v>
      </c>
      <c r="AI190" s="346">
        <f>ABS(VLOOKUP(A190,TradesEquity!$1:$1048576,13,FALSE))</f>
        <v>3800</v>
      </c>
      <c r="AJ190" s="347">
        <v>0</v>
      </c>
      <c r="AK190" s="347">
        <v>1</v>
      </c>
      <c r="AL190" s="346">
        <f>VLOOKUP(A190,TradesEquity!$1:$1048576,11,FALSE)</f>
        <v>29.857177</v>
      </c>
      <c r="AM190" s="347">
        <v>1</v>
      </c>
      <c r="AN190" s="346">
        <f>ABS(VLOOKUP(A190,TradesEquity!$1:$1048576,14,FALSE))</f>
        <v>113457.2726</v>
      </c>
      <c r="AO190" s="346">
        <f>ABS(VLOOKUP(A190,TradesEquity!$1:$1048576,15,FALSE))</f>
        <v>68.069999999999993</v>
      </c>
      <c r="AP190" s="348">
        <f>ABS(VLOOKUP(A190,TradesEquity!$1:$1048576,16,FALSE))</f>
        <v>340.37</v>
      </c>
      <c r="AQ190" s="286">
        <v>0</v>
      </c>
      <c r="AR190" s="286">
        <v>0</v>
      </c>
      <c r="AS190" s="286">
        <v>0</v>
      </c>
      <c r="AT190" s="286">
        <v>0</v>
      </c>
      <c r="AU190" s="286">
        <v>0</v>
      </c>
      <c r="AV190" s="348">
        <f>ABS(VLOOKUP(A190,TradesEquity!$1:$1048576,18,FALSE))</f>
        <v>113865.7126</v>
      </c>
      <c r="AW190" s="349">
        <v>0</v>
      </c>
      <c r="AX190" s="350">
        <v>4542</v>
      </c>
      <c r="AY190" s="351" t="s">
        <v>1959</v>
      </c>
      <c r="AZ190" s="352" t="str">
        <f>(VLOOKUP(A190,TradesEquity!$1:$1048576,29,FALSE))</f>
        <v>GSILGB2XXXX</v>
      </c>
      <c r="BA190" s="352" t="str">
        <f>(VLOOKUP(A190,TradesEquity!$1:$1048576,30,FALSE))</f>
        <v>SICVFRPPXXX</v>
      </c>
      <c r="BB190" s="352" t="str">
        <f>(VLOOKUP(A190,TradesEquity!$1:$1048576,31,FALSE))</f>
        <v>SICVPARBFRPPXXX000L10</v>
      </c>
      <c r="BC190" s="352" t="str">
        <f>(VLOOKUP(A190,TradesEquity!$1:$1048576,32,FALSE))</f>
        <v>N</v>
      </c>
      <c r="BI190" s="352" t="str">
        <f>(VLOOKUP(A190,TradesEquity!$1:$1048576,38,FALSE))</f>
        <v xml:space="preserve">        </v>
      </c>
      <c r="BJ190" s="352" t="str">
        <f>(VLOOKUP(A190,TradesEquity!$1:$1048576,39,FALSE))</f>
        <v xml:space="preserve">        </v>
      </c>
      <c r="BK190" s="352" t="str">
        <f>(VLOOKUP(A190,TradesEquity!$1:$1048576,40,FALSE))</f>
        <v>PARBFRPPXXX</v>
      </c>
    </row>
    <row r="191" spans="1:63">
      <c r="A191" s="412">
        <f>(A190+1)</f>
        <v>2019200438</v>
      </c>
      <c r="D191" s="342" t="s">
        <v>1957</v>
      </c>
      <c r="F191" s="343">
        <f>VLOOKUP(A191,TradesEquity!$1:$1048576,2,FALSE)</f>
        <v>44264</v>
      </c>
      <c r="H191" s="343">
        <f>VLOOKUP(A191,TradesEquity!$1:$1048576,21,FALSE)</f>
        <v>44266</v>
      </c>
      <c r="I191" s="344" t="str">
        <f>IF(VLOOKUP(A191,TradesEquity!$1:$1048576,3,FALSE)="BUY","B","S")</f>
        <v>S</v>
      </c>
      <c r="J191" s="344" t="str">
        <f>VLOOKUP(A191,TradesEquity!$1:$1048576,5,FALSE)</f>
        <v>KR7357780006</v>
      </c>
      <c r="K191" s="342" t="s">
        <v>19</v>
      </c>
      <c r="L191" s="345" t="s">
        <v>1958</v>
      </c>
      <c r="AE191" s="346" t="str">
        <f>VLOOKUP(A191,TradesEquity!$1:$1048576,10,FALSE)</f>
        <v>KRW</v>
      </c>
      <c r="AF191" s="346" t="str">
        <f t="shared" si="6"/>
        <v>KRW</v>
      </c>
      <c r="AG191" s="346" t="str">
        <f t="shared" si="6"/>
        <v>KRW</v>
      </c>
      <c r="AH191" s="346" t="str">
        <f t="shared" si="6"/>
        <v>KRW</v>
      </c>
      <c r="AI191" s="346">
        <f>ABS(VLOOKUP(A191,TradesEquity!$1:$1048576,13,FALSE))</f>
        <v>165</v>
      </c>
      <c r="AJ191" s="347">
        <v>0</v>
      </c>
      <c r="AK191" s="347">
        <v>1</v>
      </c>
      <c r="AL191" s="346">
        <f>VLOOKUP(A191,TradesEquity!$1:$1048576,11,FALSE)</f>
        <v>288547.27269999997</v>
      </c>
      <c r="AM191" s="347">
        <v>1</v>
      </c>
      <c r="AN191" s="346">
        <f>ABS(VLOOKUP(A191,TradesEquity!$1:$1048576,14,FALSE))</f>
        <v>47610299.995499998</v>
      </c>
      <c r="AO191" s="346">
        <f>ABS(VLOOKUP(A191,TradesEquity!$1:$1048576,15,FALSE))</f>
        <v>71415</v>
      </c>
      <c r="AP191" s="348">
        <f>ABS(VLOOKUP(A191,TradesEquity!$1:$1048576,16,FALSE))</f>
        <v>109498</v>
      </c>
      <c r="AQ191" s="286">
        <v>0</v>
      </c>
      <c r="AR191" s="286">
        <v>0</v>
      </c>
      <c r="AS191" s="286">
        <v>0</v>
      </c>
      <c r="AT191" s="286">
        <v>0</v>
      </c>
      <c r="AU191" s="286">
        <v>0</v>
      </c>
      <c r="AV191" s="348">
        <f>ABS(VLOOKUP(A191,TradesEquity!$1:$1048576,18,FALSE))</f>
        <v>47429386.995499998</v>
      </c>
      <c r="AW191" s="349">
        <v>0</v>
      </c>
      <c r="AX191" s="350">
        <v>4542</v>
      </c>
      <c r="AY191" s="351" t="s">
        <v>1959</v>
      </c>
      <c r="AZ191" s="352" t="e">
        <f>(VLOOKUP(A191,TradesEquity!$1:$1048576,29,FALSE))</f>
        <v>#N/A</v>
      </c>
      <c r="BA191" s="352" t="e">
        <f>(VLOOKUP(A191,TradesEquity!$1:$1048576,30,FALSE))</f>
        <v>#N/A</v>
      </c>
      <c r="BB191" s="352" t="e">
        <f>(VLOOKUP(A191,TradesEquity!$1:$1048576,31,FALSE))</f>
        <v>#N/A</v>
      </c>
      <c r="BC191" s="352" t="e">
        <f>(VLOOKUP(A191,TradesEquity!$1:$1048576,32,FALSE))</f>
        <v>#N/A</v>
      </c>
      <c r="BI191" s="352" t="e">
        <f>(VLOOKUP(A191,TradesEquity!$1:$1048576,38,FALSE))</f>
        <v>#N/A</v>
      </c>
      <c r="BJ191" s="352" t="e">
        <f>(VLOOKUP(A191,TradesEquity!$1:$1048576,39,FALSE))</f>
        <v>#N/A</v>
      </c>
      <c r="BK191" s="352" t="e">
        <f>(VLOOKUP(A191,TradesEquity!$1:$1048576,40,FALSE))</f>
        <v>#N/A</v>
      </c>
    </row>
    <row r="192" spans="1:63">
      <c r="A192" s="412">
        <f t="shared" ref="A192:A204" si="7">(A191+1)</f>
        <v>2019200439</v>
      </c>
      <c r="D192" s="342" t="s">
        <v>1957</v>
      </c>
      <c r="F192" s="343">
        <f>VLOOKUP(A192,TradesEquity!$1:$1048576,2,FALSE)</f>
        <v>44264</v>
      </c>
      <c r="H192" s="343">
        <f>VLOOKUP(A192,TradesEquity!$1:$1048576,21,FALSE)</f>
        <v>44266</v>
      </c>
      <c r="I192" s="344" t="str">
        <f>IF(VLOOKUP(A192,TradesEquity!$1:$1048576,3,FALSE)="BUY","B","S")</f>
        <v>S</v>
      </c>
      <c r="J192" s="344" t="str">
        <f>VLOOKUP(A192,TradesEquity!$1:$1048576,5,FALSE)</f>
        <v>KR7086520004</v>
      </c>
      <c r="K192" s="342" t="s">
        <v>19</v>
      </c>
      <c r="L192" s="345" t="s">
        <v>1958</v>
      </c>
      <c r="AE192" s="346" t="str">
        <f>VLOOKUP(A192,TradesEquity!$1:$1048576,10,FALSE)</f>
        <v>KRW</v>
      </c>
      <c r="AF192" s="346" t="str">
        <f t="shared" si="6"/>
        <v>KRW</v>
      </c>
      <c r="AG192" s="346" t="str">
        <f t="shared" si="6"/>
        <v>KRW</v>
      </c>
      <c r="AH192" s="346" t="str">
        <f t="shared" si="6"/>
        <v>KRW</v>
      </c>
      <c r="AI192" s="346">
        <f>ABS(VLOOKUP(A192,TradesEquity!$1:$1048576,13,FALSE))</f>
        <v>2390</v>
      </c>
      <c r="AJ192" s="347">
        <v>0</v>
      </c>
      <c r="AK192" s="347">
        <v>1</v>
      </c>
      <c r="AL192" s="346">
        <f>VLOOKUP(A192,TradesEquity!$1:$1048576,11,FALSE)</f>
        <v>64285.188300000002</v>
      </c>
      <c r="AM192" s="347">
        <v>1</v>
      </c>
      <c r="AN192" s="346">
        <f>ABS(VLOOKUP(A192,TradesEquity!$1:$1048576,14,FALSE))</f>
        <v>153641600.037</v>
      </c>
      <c r="AO192" s="346">
        <f>ABS(VLOOKUP(A192,TradesEquity!$1:$1048576,15,FALSE))</f>
        <v>230462</v>
      </c>
      <c r="AP192" s="348">
        <f>ABS(VLOOKUP(A192,TradesEquity!$1:$1048576,16,FALSE))</f>
        <v>353361</v>
      </c>
      <c r="AQ192" s="286">
        <v>0</v>
      </c>
      <c r="AR192" s="286">
        <v>0</v>
      </c>
      <c r="AS192" s="286">
        <v>0</v>
      </c>
      <c r="AT192" s="286">
        <v>0</v>
      </c>
      <c r="AU192" s="286">
        <v>0</v>
      </c>
      <c r="AV192" s="348">
        <f>ABS(VLOOKUP(A192,TradesEquity!$1:$1048576,18,FALSE))</f>
        <v>153057777.037</v>
      </c>
      <c r="AW192" s="349">
        <v>0</v>
      </c>
      <c r="AX192" s="350">
        <v>4542</v>
      </c>
      <c r="AY192" s="351" t="s">
        <v>1959</v>
      </c>
      <c r="AZ192" s="352" t="e">
        <f>(VLOOKUP(A192,TradesEquity!$1:$1048576,29,FALSE))</f>
        <v>#N/A</v>
      </c>
      <c r="BA192" s="352" t="e">
        <f>(VLOOKUP(A192,TradesEquity!$1:$1048576,30,FALSE))</f>
        <v>#N/A</v>
      </c>
      <c r="BB192" s="352" t="e">
        <f>(VLOOKUP(A192,TradesEquity!$1:$1048576,31,FALSE))</f>
        <v>#N/A</v>
      </c>
      <c r="BC192" s="352" t="e">
        <f>(VLOOKUP(A192,TradesEquity!$1:$1048576,32,FALSE))</f>
        <v>#N/A</v>
      </c>
      <c r="BI192" s="352" t="e">
        <f>(VLOOKUP(A192,TradesEquity!$1:$1048576,38,FALSE))</f>
        <v>#N/A</v>
      </c>
      <c r="BJ192" s="352" t="e">
        <f>(VLOOKUP(A192,TradesEquity!$1:$1048576,39,FALSE))</f>
        <v>#N/A</v>
      </c>
      <c r="BK192" s="352" t="e">
        <f>(VLOOKUP(A192,TradesEquity!$1:$1048576,40,FALSE))</f>
        <v>#N/A</v>
      </c>
    </row>
    <row r="193" spans="1:63">
      <c r="A193" s="412">
        <f t="shared" si="7"/>
        <v>2019200440</v>
      </c>
      <c r="D193" s="342" t="s">
        <v>1957</v>
      </c>
      <c r="F193" s="343">
        <f>VLOOKUP(A193,TradesEquity!$1:$1048576,2,FALSE)</f>
        <v>44264</v>
      </c>
      <c r="H193" s="343">
        <f>VLOOKUP(A193,TradesEquity!$1:$1048576,21,FALSE)</f>
        <v>44266</v>
      </c>
      <c r="I193" s="344" t="str">
        <f>IF(VLOOKUP(A193,TradesEquity!$1:$1048576,3,FALSE)="BUY","B","S")</f>
        <v>S</v>
      </c>
      <c r="J193" s="344" t="str">
        <f>VLOOKUP(A193,TradesEquity!$1:$1048576,5,FALSE)</f>
        <v>KR7005070008</v>
      </c>
      <c r="K193" s="342" t="s">
        <v>19</v>
      </c>
      <c r="L193" s="345" t="s">
        <v>1958</v>
      </c>
      <c r="AE193" s="346" t="str">
        <f>VLOOKUP(A193,TradesEquity!$1:$1048576,10,FALSE)</f>
        <v>KRW</v>
      </c>
      <c r="AF193" s="346" t="str">
        <f t="shared" si="6"/>
        <v>KRW</v>
      </c>
      <c r="AG193" s="346" t="str">
        <f t="shared" si="6"/>
        <v>KRW</v>
      </c>
      <c r="AH193" s="346" t="str">
        <f t="shared" si="6"/>
        <v>KRW</v>
      </c>
      <c r="AI193" s="346">
        <f>ABS(VLOOKUP(A193,TradesEquity!$1:$1048576,13,FALSE))</f>
        <v>8355</v>
      </c>
      <c r="AJ193" s="347">
        <v>0</v>
      </c>
      <c r="AK193" s="347">
        <v>1</v>
      </c>
      <c r="AL193" s="346">
        <f>VLOOKUP(A193,TradesEquity!$1:$1048576,11,FALSE)</f>
        <v>17759.7965</v>
      </c>
      <c r="AM193" s="347">
        <v>1</v>
      </c>
      <c r="AN193" s="346">
        <f>ABS(VLOOKUP(A193,TradesEquity!$1:$1048576,14,FALSE))</f>
        <v>148383099.75749999</v>
      </c>
      <c r="AO193" s="346">
        <f>ABS(VLOOKUP(A193,TradesEquity!$1:$1048576,15,FALSE))</f>
        <v>222575</v>
      </c>
      <c r="AP193" s="348">
        <f>ABS(VLOOKUP(A193,TradesEquity!$1:$1048576,16,FALSE))</f>
        <v>341212</v>
      </c>
      <c r="AQ193" s="286">
        <v>0</v>
      </c>
      <c r="AR193" s="286">
        <v>0</v>
      </c>
      <c r="AS193" s="286">
        <v>0</v>
      </c>
      <c r="AT193" s="286">
        <v>0</v>
      </c>
      <c r="AU193" s="286">
        <v>0</v>
      </c>
      <c r="AV193" s="348">
        <f>ABS(VLOOKUP(A193,TradesEquity!$1:$1048576,18,FALSE))</f>
        <v>147819312.75749999</v>
      </c>
      <c r="AW193" s="349">
        <v>0</v>
      </c>
      <c r="AX193" s="350">
        <v>4542</v>
      </c>
      <c r="AY193" s="351" t="s">
        <v>1959</v>
      </c>
      <c r="AZ193" s="352" t="e">
        <f>(VLOOKUP(A193,TradesEquity!$1:$1048576,29,FALSE))</f>
        <v>#N/A</v>
      </c>
      <c r="BA193" s="352" t="e">
        <f>(VLOOKUP(A193,TradesEquity!$1:$1048576,30,FALSE))</f>
        <v>#N/A</v>
      </c>
      <c r="BB193" s="352" t="e">
        <f>(VLOOKUP(A193,TradesEquity!$1:$1048576,31,FALSE))</f>
        <v>#N/A</v>
      </c>
      <c r="BC193" s="352" t="e">
        <f>(VLOOKUP(A193,TradesEquity!$1:$1048576,32,FALSE))</f>
        <v>#N/A</v>
      </c>
      <c r="BI193" s="352" t="e">
        <f>(VLOOKUP(A193,TradesEquity!$1:$1048576,38,FALSE))</f>
        <v>#N/A</v>
      </c>
      <c r="BJ193" s="352" t="e">
        <f>(VLOOKUP(A193,TradesEquity!$1:$1048576,39,FALSE))</f>
        <v>#N/A</v>
      </c>
      <c r="BK193" s="352" t="e">
        <f>(VLOOKUP(A193,TradesEquity!$1:$1048576,40,FALSE))</f>
        <v>#N/A</v>
      </c>
    </row>
    <row r="194" spans="1:63">
      <c r="A194" s="412">
        <f t="shared" si="7"/>
        <v>2019200441</v>
      </c>
      <c r="D194" s="342" t="s">
        <v>1957</v>
      </c>
      <c r="F194" s="343">
        <f>VLOOKUP(A194,TradesEquity!$1:$1048576,2,FALSE)</f>
        <v>44264</v>
      </c>
      <c r="H194" s="343">
        <f>VLOOKUP(A194,TradesEquity!$1:$1048576,21,FALSE)</f>
        <v>44266</v>
      </c>
      <c r="I194" s="344" t="str">
        <f>IF(VLOOKUP(A194,TradesEquity!$1:$1048576,3,FALSE)="BUY","B","S")</f>
        <v>B</v>
      </c>
      <c r="J194" s="344" t="str">
        <f>VLOOKUP(A194,TradesEquity!$1:$1048576,5,FALSE)</f>
        <v>JP3627400009</v>
      </c>
      <c r="K194" s="342" t="s">
        <v>19</v>
      </c>
      <c r="L194" s="345" t="s">
        <v>1958</v>
      </c>
      <c r="AE194" s="346" t="str">
        <f>VLOOKUP(A194,TradesEquity!$1:$1048576,10,FALSE)</f>
        <v>JPY</v>
      </c>
      <c r="AF194" s="346" t="str">
        <f t="shared" si="6"/>
        <v>JPY</v>
      </c>
      <c r="AG194" s="346" t="str">
        <f t="shared" si="6"/>
        <v>JPY</v>
      </c>
      <c r="AH194" s="346" t="str">
        <f t="shared" si="6"/>
        <v>JPY</v>
      </c>
      <c r="AI194" s="346">
        <f>ABS(VLOOKUP(A194,TradesEquity!$1:$1048576,13,FALSE))</f>
        <v>3900</v>
      </c>
      <c r="AJ194" s="347">
        <v>0</v>
      </c>
      <c r="AK194" s="347">
        <v>1</v>
      </c>
      <c r="AL194" s="346">
        <f>VLOOKUP(A194,TradesEquity!$1:$1048576,11,FALSE)</f>
        <v>2098.8435899999999</v>
      </c>
      <c r="AM194" s="347">
        <v>1</v>
      </c>
      <c r="AN194" s="346">
        <f>ABS(VLOOKUP(A194,TradesEquity!$1:$1048576,14,FALSE))</f>
        <v>8185490.0010000002</v>
      </c>
      <c r="AO194" s="346">
        <f>ABS(VLOOKUP(A194,TradesEquity!$1:$1048576,15,FALSE))</f>
        <v>4911</v>
      </c>
      <c r="AP194" s="348">
        <f>ABS(VLOOKUP(A194,TradesEquity!$1:$1048576,16,FALSE))</f>
        <v>0</v>
      </c>
      <c r="AQ194" s="286">
        <v>0</v>
      </c>
      <c r="AR194" s="286">
        <v>0</v>
      </c>
      <c r="AS194" s="286">
        <v>0</v>
      </c>
      <c r="AT194" s="286">
        <v>0</v>
      </c>
      <c r="AU194" s="286">
        <v>0</v>
      </c>
      <c r="AV194" s="348">
        <f>ABS(VLOOKUP(A194,TradesEquity!$1:$1048576,18,FALSE))</f>
        <v>8190401.0010000002</v>
      </c>
      <c r="AW194" s="349">
        <v>0</v>
      </c>
      <c r="AX194" s="350">
        <v>4542</v>
      </c>
      <c r="AY194" s="351" t="s">
        <v>1959</v>
      </c>
      <c r="AZ194" s="352" t="str">
        <f>(VLOOKUP(A194,TradesEquity!$1:$1048576,29,FALSE))</f>
        <v>GSILGB2XXXX</v>
      </c>
      <c r="BA194" s="352" t="str">
        <f>(VLOOKUP(A194,TradesEquity!$1:$1048576,30,FALSE))</f>
        <v>JJSDJPJTXXX</v>
      </c>
      <c r="BB194" s="352">
        <f>(VLOOKUP(A194,TradesEquity!$1:$1048576,31,FALSE))</f>
        <v>6530490016</v>
      </c>
      <c r="BC194" s="352" t="str">
        <f>(VLOOKUP(A194,TradesEquity!$1:$1048576,32,FALSE))</f>
        <v>N</v>
      </c>
      <c r="BI194" s="352" t="str">
        <f>(VLOOKUP(A194,TradesEquity!$1:$1048576,38,FALSE))</f>
        <v xml:space="preserve">                  </v>
      </c>
      <c r="BJ194" s="352" t="str">
        <f>(VLOOKUP(A194,TradesEquity!$1:$1048576,39,FALSE))</f>
        <v xml:space="preserve">                          </v>
      </c>
      <c r="BK194" s="352" t="str">
        <f>(VLOOKUP(A194,TradesEquity!$1:$1048576,40,FALSE))</f>
        <v>GOLDJPJXXXX</v>
      </c>
    </row>
    <row r="195" spans="1:63">
      <c r="A195" s="412">
        <f t="shared" si="7"/>
        <v>2019200442</v>
      </c>
      <c r="D195" s="342" t="s">
        <v>1957</v>
      </c>
      <c r="F195" s="343">
        <f>VLOOKUP(A195,TradesEquity!$1:$1048576,2,FALSE)</f>
        <v>44264</v>
      </c>
      <c r="H195" s="343">
        <f>VLOOKUP(A195,TradesEquity!$1:$1048576,21,FALSE)</f>
        <v>44266</v>
      </c>
      <c r="I195" s="344" t="str">
        <f>IF(VLOOKUP(A195,TradesEquity!$1:$1048576,3,FALSE)="BUY","B","S")</f>
        <v>B</v>
      </c>
      <c r="J195" s="344" t="str">
        <f>VLOOKUP(A195,TradesEquity!$1:$1048576,5,FALSE)</f>
        <v>CNE100001TJ4</v>
      </c>
      <c r="K195" s="342" t="s">
        <v>19</v>
      </c>
      <c r="L195" s="345" t="s">
        <v>1958</v>
      </c>
      <c r="AE195" s="346" t="str">
        <f>VLOOKUP(A195,TradesEquity!$1:$1048576,10,FALSE)</f>
        <v>HKD</v>
      </c>
      <c r="AF195" s="346" t="str">
        <f t="shared" si="6"/>
        <v>HKD</v>
      </c>
      <c r="AG195" s="346" t="str">
        <f t="shared" si="6"/>
        <v>HKD</v>
      </c>
      <c r="AH195" s="346" t="str">
        <f t="shared" si="6"/>
        <v>HKD</v>
      </c>
      <c r="AI195" s="346">
        <f>ABS(VLOOKUP(A195,TradesEquity!$1:$1048576,13,FALSE))</f>
        <v>570000</v>
      </c>
      <c r="AJ195" s="347">
        <v>0</v>
      </c>
      <c r="AK195" s="347">
        <v>1</v>
      </c>
      <c r="AL195" s="346">
        <f>VLOOKUP(A195,TradesEquity!$1:$1048576,11,FALSE)</f>
        <v>2.6724559999999999</v>
      </c>
      <c r="AM195" s="347">
        <v>1</v>
      </c>
      <c r="AN195" s="346">
        <f>ABS(VLOOKUP(A195,TradesEquity!$1:$1048576,14,FALSE))</f>
        <v>1523299.92</v>
      </c>
      <c r="AO195" s="346">
        <f>ABS(VLOOKUP(A195,TradesEquity!$1:$1048576,15,FALSE))</f>
        <v>913.98</v>
      </c>
      <c r="AP195" s="348">
        <f>ABS(VLOOKUP(A195,TradesEquity!$1:$1048576,16,FALSE))</f>
        <v>1640.59</v>
      </c>
      <c r="AQ195" s="286">
        <v>0</v>
      </c>
      <c r="AR195" s="286">
        <v>0</v>
      </c>
      <c r="AS195" s="286">
        <v>0</v>
      </c>
      <c r="AT195" s="286">
        <v>0</v>
      </c>
      <c r="AU195" s="286">
        <v>0</v>
      </c>
      <c r="AV195" s="348">
        <f>ABS(VLOOKUP(A195,TradesEquity!$1:$1048576,18,FALSE))</f>
        <v>1525854.49</v>
      </c>
      <c r="AW195" s="349">
        <v>0</v>
      </c>
      <c r="AX195" s="350">
        <v>4542</v>
      </c>
      <c r="AY195" s="351" t="s">
        <v>1959</v>
      </c>
      <c r="AZ195" s="352" t="str">
        <f>(VLOOKUP(A195,TradesEquity!$1:$1048576,29,FALSE))</f>
        <v>GSILGB2XXXX</v>
      </c>
      <c r="BA195" s="352" t="str">
        <f>(VLOOKUP(A195,TradesEquity!$1:$1048576,30,FALSE))</f>
        <v>XHKCHKH1XXX</v>
      </c>
      <c r="BB195" s="352" t="str">
        <f>(VLOOKUP(A195,TradesEquity!$1:$1048576,31,FALSE))</f>
        <v xml:space="preserve">        </v>
      </c>
      <c r="BC195" s="352" t="str">
        <f>(VLOOKUP(A195,TradesEquity!$1:$1048576,32,FALSE))</f>
        <v>N</v>
      </c>
      <c r="BI195" s="352" t="str">
        <f>(VLOOKUP(A195,TradesEquity!$1:$1048576,38,FALSE))</f>
        <v>CCASS</v>
      </c>
      <c r="BJ195" s="352" t="str">
        <f>(VLOOKUP(A195,TradesEquity!$1:$1048576,39,FALSE))</f>
        <v>B01451</v>
      </c>
      <c r="BK195" s="352" t="str">
        <f>(VLOOKUP(A195,TradesEquity!$1:$1048576,40,FALSE))</f>
        <v>GSASHKH1XX</v>
      </c>
    </row>
    <row r="196" spans="1:63">
      <c r="A196" s="412">
        <f t="shared" si="7"/>
        <v>2019200443</v>
      </c>
      <c r="D196" s="342" t="s">
        <v>1957</v>
      </c>
      <c r="F196" s="343">
        <f>VLOOKUP(A196,TradesEquity!$1:$1048576,2,FALSE)</f>
        <v>44265</v>
      </c>
      <c r="H196" s="343">
        <f>VLOOKUP(A196,TradesEquity!$1:$1048576,21,FALSE)</f>
        <v>44267</v>
      </c>
      <c r="I196" s="344" t="str">
        <f>IF(VLOOKUP(A196,TradesEquity!$1:$1048576,3,FALSE)="BUY","B","S")</f>
        <v>B</v>
      </c>
      <c r="J196" s="344" t="str">
        <f>VLOOKUP(A196,TradesEquity!$1:$1048576,5,FALSE)</f>
        <v>AU000000WSA9</v>
      </c>
      <c r="K196" s="342" t="s">
        <v>19</v>
      </c>
      <c r="L196" s="345" t="s">
        <v>1958</v>
      </c>
      <c r="AE196" s="346" t="str">
        <f>VLOOKUP(A196,TradesEquity!$1:$1048576,10,FALSE)</f>
        <v>AUD</v>
      </c>
      <c r="AF196" s="346" t="str">
        <f t="shared" si="6"/>
        <v>AUD</v>
      </c>
      <c r="AG196" s="346" t="str">
        <f t="shared" si="6"/>
        <v>AUD</v>
      </c>
      <c r="AH196" s="346" t="str">
        <f t="shared" si="6"/>
        <v>AUD</v>
      </c>
      <c r="AI196" s="346">
        <f>ABS(VLOOKUP(A196,TradesEquity!$1:$1048576,13,FALSE))</f>
        <v>80000</v>
      </c>
      <c r="AJ196" s="347">
        <v>0</v>
      </c>
      <c r="AK196" s="347">
        <v>1</v>
      </c>
      <c r="AL196" s="346">
        <f>VLOOKUP(A196,TradesEquity!$1:$1048576,11,FALSE)</f>
        <v>2.1118410000000001</v>
      </c>
      <c r="AM196" s="347">
        <v>1</v>
      </c>
      <c r="AN196" s="346">
        <f>ABS(VLOOKUP(A196,TradesEquity!$1:$1048576,14,FALSE))</f>
        <v>168947.28</v>
      </c>
      <c r="AO196" s="346">
        <f>ABS(VLOOKUP(A196,TradesEquity!$1:$1048576,15,FALSE))</f>
        <v>101.37</v>
      </c>
      <c r="AP196" s="348">
        <f>ABS(VLOOKUP(A196,TradesEquity!$1:$1048576,16,FALSE))</f>
        <v>0</v>
      </c>
      <c r="AQ196" s="286">
        <v>0</v>
      </c>
      <c r="AR196" s="286">
        <v>0</v>
      </c>
      <c r="AS196" s="286">
        <v>0</v>
      </c>
      <c r="AT196" s="286">
        <v>0</v>
      </c>
      <c r="AU196" s="286">
        <v>0</v>
      </c>
      <c r="AV196" s="348">
        <f>ABS(VLOOKUP(A196,TradesEquity!$1:$1048576,18,FALSE))</f>
        <v>169048.65</v>
      </c>
      <c r="AW196" s="349">
        <v>0</v>
      </c>
      <c r="AX196" s="350">
        <v>4542</v>
      </c>
      <c r="AY196" s="351" t="s">
        <v>1959</v>
      </c>
      <c r="AZ196" s="352" t="str">
        <f>(VLOOKUP(A196,TradesEquity!$1:$1048576,29,FALSE))</f>
        <v>GSILGB2XXXX</v>
      </c>
      <c r="BA196" s="352" t="str">
        <f>(VLOOKUP(A196,TradesEquity!$1:$1048576,30,FALSE))</f>
        <v>CAETAU21</v>
      </c>
      <c r="BB196" s="352" t="str">
        <f>(VLOOKUP(A196,TradesEquity!$1:$1048576,31,FALSE))</f>
        <v>011-109048-061</v>
      </c>
      <c r="BC196" s="352" t="str">
        <f>(VLOOKUP(A196,TradesEquity!$1:$1048576,32,FALSE))</f>
        <v>N</v>
      </c>
      <c r="BI196" s="352" t="str">
        <f>(VLOOKUP(A196,TradesEquity!$1:$1048576,38,FALSE))</f>
        <v xml:space="preserve">        </v>
      </c>
      <c r="BJ196" s="352" t="str">
        <f>(VLOOKUP(A196,TradesEquity!$1:$1048576,39,FALSE))</f>
        <v xml:space="preserve">        </v>
      </c>
      <c r="BK196" s="352" t="str">
        <f>(VLOOKUP(A196,TradesEquity!$1:$1048576,40,FALSE))</f>
        <v>HKBAAU2SSYD</v>
      </c>
    </row>
    <row r="197" spans="1:63">
      <c r="A197" s="412">
        <f t="shared" si="7"/>
        <v>2019200444</v>
      </c>
      <c r="D197" s="342" t="s">
        <v>1957</v>
      </c>
      <c r="F197" s="343">
        <f>VLOOKUP(A197,TradesEquity!$1:$1048576,2,FALSE)</f>
        <v>44266</v>
      </c>
      <c r="H197" s="343">
        <f>VLOOKUP(A197,TradesEquity!$1:$1048576,21,FALSE)</f>
        <v>44270</v>
      </c>
      <c r="I197" s="344" t="str">
        <f>IF(VLOOKUP(A197,TradesEquity!$1:$1048576,3,FALSE)="BUY","B","S")</f>
        <v>S</v>
      </c>
      <c r="J197" s="344" t="str">
        <f>VLOOKUP(A197,TradesEquity!$1:$1048576,5,FALSE)</f>
        <v>DE0007664005</v>
      </c>
      <c r="K197" s="342" t="s">
        <v>19</v>
      </c>
      <c r="L197" s="345" t="s">
        <v>1958</v>
      </c>
      <c r="AE197" s="346" t="str">
        <f>VLOOKUP(A197,TradesEquity!$1:$1048576,10,FALSE)</f>
        <v>EUR</v>
      </c>
      <c r="AF197" s="346" t="str">
        <f t="shared" si="6"/>
        <v>EUR</v>
      </c>
      <c r="AG197" s="346" t="str">
        <f t="shared" si="6"/>
        <v>EUR</v>
      </c>
      <c r="AH197" s="346" t="str">
        <f t="shared" si="6"/>
        <v>EUR</v>
      </c>
      <c r="AI197" s="346">
        <f>ABS(VLOOKUP(A197,TradesEquity!$1:$1048576,13,FALSE))</f>
        <v>790</v>
      </c>
      <c r="AJ197" s="347">
        <v>0</v>
      </c>
      <c r="AK197" s="347">
        <v>1</v>
      </c>
      <c r="AL197" s="346">
        <f>VLOOKUP(A197,TradesEquity!$1:$1048576,11,FALSE)</f>
        <v>230.8</v>
      </c>
      <c r="AM197" s="347">
        <v>1</v>
      </c>
      <c r="AN197" s="346">
        <f>ABS(VLOOKUP(A197,TradesEquity!$1:$1048576,14,FALSE))</f>
        <v>182332</v>
      </c>
      <c r="AO197" s="346">
        <f>ABS(VLOOKUP(A197,TradesEquity!$1:$1048576,15,FALSE))</f>
        <v>109.4</v>
      </c>
      <c r="AP197" s="348">
        <f>ABS(VLOOKUP(A197,TradesEquity!$1:$1048576,16,FALSE))</f>
        <v>0</v>
      </c>
      <c r="AQ197" s="286">
        <v>0</v>
      </c>
      <c r="AR197" s="286">
        <v>0</v>
      </c>
      <c r="AS197" s="286">
        <v>0</v>
      </c>
      <c r="AT197" s="286">
        <v>0</v>
      </c>
      <c r="AU197" s="286">
        <v>0</v>
      </c>
      <c r="AV197" s="348">
        <f>ABS(VLOOKUP(A197,TradesEquity!$1:$1048576,18,FALSE))</f>
        <v>182222.6</v>
      </c>
      <c r="AW197" s="349">
        <v>0</v>
      </c>
      <c r="AX197" s="350">
        <v>4542</v>
      </c>
      <c r="AY197" s="351" t="s">
        <v>1959</v>
      </c>
      <c r="AZ197" s="352" t="e">
        <f>(VLOOKUP(A197,TradesEquity!$1:$1048576,29,FALSE))</f>
        <v>#N/A</v>
      </c>
      <c r="BA197" s="352" t="e">
        <f>(VLOOKUP(A197,TradesEquity!$1:$1048576,30,FALSE))</f>
        <v>#N/A</v>
      </c>
      <c r="BB197" s="352" t="e">
        <f>(VLOOKUP(A197,TradesEquity!$1:$1048576,31,FALSE))</f>
        <v>#N/A</v>
      </c>
      <c r="BC197" s="352" t="e">
        <f>(VLOOKUP(A197,TradesEquity!$1:$1048576,32,FALSE))</f>
        <v>#N/A</v>
      </c>
      <c r="BI197" s="352" t="e">
        <f>(VLOOKUP(A197,TradesEquity!$1:$1048576,38,FALSE))</f>
        <v>#N/A</v>
      </c>
      <c r="BJ197" s="352" t="e">
        <f>(VLOOKUP(A197,TradesEquity!$1:$1048576,39,FALSE))</f>
        <v>#N/A</v>
      </c>
      <c r="BK197" s="352" t="e">
        <f>(VLOOKUP(A197,TradesEquity!$1:$1048576,40,FALSE))</f>
        <v>#N/A</v>
      </c>
    </row>
    <row r="198" spans="1:63">
      <c r="A198" s="412">
        <f t="shared" si="7"/>
        <v>2019200445</v>
      </c>
      <c r="D198" s="342" t="s">
        <v>1957</v>
      </c>
      <c r="F198" s="343">
        <f>VLOOKUP(A198,TradesEquity!$1:$1048576,2,FALSE)</f>
        <v>44266</v>
      </c>
      <c r="H198" s="343">
        <f>VLOOKUP(A198,TradesEquity!$1:$1048576,21,FALSE)</f>
        <v>44270</v>
      </c>
      <c r="I198" s="344" t="str">
        <f>IF(VLOOKUP(A198,TradesEquity!$1:$1048576,3,FALSE)="BUY","B","S")</f>
        <v>B</v>
      </c>
      <c r="J198" s="344" t="str">
        <f>VLOOKUP(A198,TradesEquity!$1:$1048576,5,FALSE)</f>
        <v>DE0007664039</v>
      </c>
      <c r="K198" s="342" t="s">
        <v>19</v>
      </c>
      <c r="L198" s="345" t="s">
        <v>1958</v>
      </c>
      <c r="AE198" s="346" t="str">
        <f>VLOOKUP(A198,TradesEquity!$1:$1048576,10,FALSE)</f>
        <v>EUR</v>
      </c>
      <c r="AF198" s="346" t="str">
        <f t="shared" si="6"/>
        <v>EUR</v>
      </c>
      <c r="AG198" s="346" t="str">
        <f t="shared" si="6"/>
        <v>EUR</v>
      </c>
      <c r="AH198" s="346" t="str">
        <f t="shared" si="6"/>
        <v>EUR</v>
      </c>
      <c r="AI198" s="346">
        <f>ABS(VLOOKUP(A198,TradesEquity!$1:$1048576,13,FALSE))</f>
        <v>960</v>
      </c>
      <c r="AJ198" s="347">
        <v>0</v>
      </c>
      <c r="AK198" s="347">
        <v>1</v>
      </c>
      <c r="AL198" s="346">
        <f>VLOOKUP(A198,TradesEquity!$1:$1048576,11,FALSE)</f>
        <v>192.04</v>
      </c>
      <c r="AM198" s="347">
        <v>1</v>
      </c>
      <c r="AN198" s="346">
        <f>ABS(VLOOKUP(A198,TradesEquity!$1:$1048576,14,FALSE))</f>
        <v>184358.39999999999</v>
      </c>
      <c r="AO198" s="346">
        <f>ABS(VLOOKUP(A198,TradesEquity!$1:$1048576,15,FALSE))</f>
        <v>110.62</v>
      </c>
      <c r="AP198" s="348">
        <f>ABS(VLOOKUP(A198,TradesEquity!$1:$1048576,16,FALSE))</f>
        <v>0</v>
      </c>
      <c r="AQ198" s="286">
        <v>0</v>
      </c>
      <c r="AR198" s="286">
        <v>0</v>
      </c>
      <c r="AS198" s="286">
        <v>0</v>
      </c>
      <c r="AT198" s="286">
        <v>0</v>
      </c>
      <c r="AU198" s="286">
        <v>0</v>
      </c>
      <c r="AV198" s="348">
        <f>ABS(VLOOKUP(A198,TradesEquity!$1:$1048576,18,FALSE))</f>
        <v>184469.02</v>
      </c>
      <c r="AW198" s="349">
        <v>0</v>
      </c>
      <c r="AX198" s="350">
        <v>4542</v>
      </c>
      <c r="AY198" s="351" t="s">
        <v>1959</v>
      </c>
      <c r="AZ198" s="352" t="str">
        <f>(VLOOKUP(A198,TradesEquity!$1:$1048576,29,FALSE))</f>
        <v>EMSIITM1XXX</v>
      </c>
      <c r="BA198" s="352" t="str">
        <f>(VLOOKUP(A198,TradesEquity!$1:$1048576,30,FALSE))</f>
        <v>DAKVDEFFXXX</v>
      </c>
      <c r="BB198" s="352" t="str">
        <f>(VLOOKUP(A198,TradesEquity!$1:$1048576,31,FALSE))</f>
        <v>DAKV8135000</v>
      </c>
      <c r="BC198" s="352" t="str">
        <f>(VLOOKUP(A198,TradesEquity!$1:$1048576,32,FALSE))</f>
        <v>N</v>
      </c>
      <c r="BI198" s="352" t="str">
        <f>(VLOOKUP(A198,TradesEquity!$1:$1048576,38,FALSE))</f>
        <v xml:space="preserve">        </v>
      </c>
      <c r="BJ198" s="352" t="str">
        <f>(VLOOKUP(A198,TradesEquity!$1:$1048576,39,FALSE))</f>
        <v xml:space="preserve">        </v>
      </c>
      <c r="BK198" s="352" t="str">
        <f>(VLOOKUP(A198,TradesEquity!$1:$1048576,40,FALSE))</f>
        <v>BCITITMMD03</v>
      </c>
    </row>
    <row r="199" spans="1:63">
      <c r="A199" s="412">
        <f t="shared" si="7"/>
        <v>2019200446</v>
      </c>
      <c r="D199" s="342" t="s">
        <v>1957</v>
      </c>
      <c r="F199" s="343">
        <f>VLOOKUP(A199,TradesEquity!$1:$1048576,2,FALSE)</f>
        <v>44272</v>
      </c>
      <c r="H199" s="343">
        <f>VLOOKUP(A199,TradesEquity!$1:$1048576,21,FALSE)</f>
        <v>44274</v>
      </c>
      <c r="I199" s="344" t="str">
        <f>IF(VLOOKUP(A199,TradesEquity!$1:$1048576,3,FALSE)="BUY","B","S")</f>
        <v>B</v>
      </c>
      <c r="J199" s="344" t="str">
        <f>VLOOKUP(A199,TradesEquity!$1:$1048576,5,FALSE)</f>
        <v>AU000000WSA9</v>
      </c>
      <c r="K199" s="342" t="s">
        <v>19</v>
      </c>
      <c r="L199" s="345" t="s">
        <v>1958</v>
      </c>
      <c r="AE199" s="346" t="str">
        <f>VLOOKUP(A199,TradesEquity!$1:$1048576,10,FALSE)</f>
        <v>AUD</v>
      </c>
      <c r="AF199" s="346" t="str">
        <f t="shared" si="6"/>
        <v>AUD</v>
      </c>
      <c r="AG199" s="346" t="str">
        <f t="shared" si="6"/>
        <v>AUD</v>
      </c>
      <c r="AH199" s="346" t="str">
        <f t="shared" si="6"/>
        <v>AUD</v>
      </c>
      <c r="AI199" s="346">
        <f>ABS(VLOOKUP(A199,TradesEquity!$1:$1048576,13,FALSE))</f>
        <v>70000</v>
      </c>
      <c r="AJ199" s="347">
        <v>0</v>
      </c>
      <c r="AK199" s="347">
        <v>1</v>
      </c>
      <c r="AL199" s="346">
        <f>VLOOKUP(A199,TradesEquity!$1:$1048576,11,FALSE)</f>
        <v>2.03376</v>
      </c>
      <c r="AM199" s="347">
        <v>1</v>
      </c>
      <c r="AN199" s="346">
        <f>ABS(VLOOKUP(A199,TradesEquity!$1:$1048576,14,FALSE))</f>
        <v>142363.20000000001</v>
      </c>
      <c r="AO199" s="346">
        <f>ABS(VLOOKUP(A199,TradesEquity!$1:$1048576,15,FALSE))</f>
        <v>85.42</v>
      </c>
      <c r="AP199" s="348">
        <f>ABS(VLOOKUP(A199,TradesEquity!$1:$1048576,16,FALSE))</f>
        <v>0</v>
      </c>
      <c r="AQ199" s="286">
        <v>0</v>
      </c>
      <c r="AR199" s="286">
        <v>0</v>
      </c>
      <c r="AS199" s="286">
        <v>0</v>
      </c>
      <c r="AT199" s="286">
        <v>0</v>
      </c>
      <c r="AU199" s="286">
        <v>0</v>
      </c>
      <c r="AV199" s="348">
        <f>ABS(VLOOKUP(A199,TradesEquity!$1:$1048576,18,FALSE))</f>
        <v>142448.62000000002</v>
      </c>
      <c r="AW199" s="349">
        <v>0</v>
      </c>
      <c r="AX199" s="350">
        <v>4542</v>
      </c>
      <c r="AY199" s="351" t="s">
        <v>1959</v>
      </c>
      <c r="AZ199" s="352" t="str">
        <f>(VLOOKUP(A199,TradesEquity!$1:$1048576,29,FALSE))</f>
        <v>GSILGB2XXXX</v>
      </c>
      <c r="BA199" s="352" t="str">
        <f>(VLOOKUP(A199,TradesEquity!$1:$1048576,30,FALSE))</f>
        <v>CAETAU21</v>
      </c>
      <c r="BB199" s="352" t="str">
        <f>(VLOOKUP(A199,TradesEquity!$1:$1048576,31,FALSE))</f>
        <v>011-109048-061</v>
      </c>
      <c r="BC199" s="352" t="str">
        <f>(VLOOKUP(A199,TradesEquity!$1:$1048576,32,FALSE))</f>
        <v>N</v>
      </c>
      <c r="BI199" s="352" t="str">
        <f>(VLOOKUP(A199,TradesEquity!$1:$1048576,38,FALSE))</f>
        <v xml:space="preserve">        </v>
      </c>
      <c r="BJ199" s="352" t="str">
        <f>(VLOOKUP(A199,TradesEquity!$1:$1048576,39,FALSE))</f>
        <v xml:space="preserve">        </v>
      </c>
      <c r="BK199" s="352" t="str">
        <f>(VLOOKUP(A199,TradesEquity!$1:$1048576,40,FALSE))</f>
        <v>HKBAAU2SSYD</v>
      </c>
    </row>
    <row r="200" spans="1:63">
      <c r="A200" s="412">
        <f t="shared" si="7"/>
        <v>2019200447</v>
      </c>
      <c r="D200" s="342" t="s">
        <v>1957</v>
      </c>
      <c r="F200" s="343">
        <f>VLOOKUP(A200,TradesEquity!$1:$1048576,2,FALSE)</f>
        <v>44277</v>
      </c>
      <c r="H200" s="343">
        <f>VLOOKUP(A200,TradesEquity!$1:$1048576,21,FALSE)</f>
        <v>44279</v>
      </c>
      <c r="I200" s="344" t="str">
        <f>IF(VLOOKUP(A200,TradesEquity!$1:$1048576,3,FALSE)="BUY","B","S")</f>
        <v>B</v>
      </c>
      <c r="J200" s="344" t="str">
        <f>VLOOKUP(A200,TradesEquity!$1:$1048576,5,FALSE)</f>
        <v>JP3627400009</v>
      </c>
      <c r="K200" s="342" t="s">
        <v>19</v>
      </c>
      <c r="L200" s="345" t="s">
        <v>1958</v>
      </c>
      <c r="AE200" s="346" t="str">
        <f>VLOOKUP(A200,TradesEquity!$1:$1048576,10,FALSE)</f>
        <v>JPY</v>
      </c>
      <c r="AF200" s="346" t="str">
        <f t="shared" si="6"/>
        <v>JPY</v>
      </c>
      <c r="AG200" s="346" t="str">
        <f t="shared" si="6"/>
        <v>JPY</v>
      </c>
      <c r="AH200" s="346" t="str">
        <f t="shared" si="6"/>
        <v>JPY</v>
      </c>
      <c r="AI200" s="346">
        <f>ABS(VLOOKUP(A200,TradesEquity!$1:$1048576,13,FALSE))</f>
        <v>2600</v>
      </c>
      <c r="AJ200" s="347">
        <v>0</v>
      </c>
      <c r="AK200" s="347">
        <v>1</v>
      </c>
      <c r="AL200" s="346">
        <f>VLOOKUP(A200,TradesEquity!$1:$1048576,11,FALSE)</f>
        <v>2243.5</v>
      </c>
      <c r="AM200" s="347">
        <v>1</v>
      </c>
      <c r="AN200" s="346">
        <f>ABS(VLOOKUP(A200,TradesEquity!$1:$1048576,14,FALSE))</f>
        <v>5833100</v>
      </c>
      <c r="AO200" s="346">
        <f>ABS(VLOOKUP(A200,TradesEquity!$1:$1048576,15,FALSE))</f>
        <v>3500</v>
      </c>
      <c r="AP200" s="348">
        <f>ABS(VLOOKUP(A200,TradesEquity!$1:$1048576,16,FALSE))</f>
        <v>0</v>
      </c>
      <c r="AQ200" s="286">
        <v>0</v>
      </c>
      <c r="AR200" s="286">
        <v>0</v>
      </c>
      <c r="AS200" s="286">
        <v>0</v>
      </c>
      <c r="AT200" s="286">
        <v>0</v>
      </c>
      <c r="AU200" s="286">
        <v>0</v>
      </c>
      <c r="AV200" s="348">
        <f>ABS(VLOOKUP(A200,TradesEquity!$1:$1048576,18,FALSE))</f>
        <v>5836600</v>
      </c>
      <c r="AW200" s="349">
        <v>0</v>
      </c>
      <c r="AX200" s="350">
        <v>4542</v>
      </c>
      <c r="AY200" s="351" t="s">
        <v>1959</v>
      </c>
      <c r="AZ200" s="352" t="str">
        <f>(VLOOKUP(A200,TradesEquity!$1:$1048576,29,FALSE))</f>
        <v>GSILGB2XXXX</v>
      </c>
      <c r="BA200" s="352" t="str">
        <f>(VLOOKUP(A200,TradesEquity!$1:$1048576,30,FALSE))</f>
        <v>JJSDJPJTXXX</v>
      </c>
      <c r="BB200" s="352">
        <f>(VLOOKUP(A200,TradesEquity!$1:$1048576,31,FALSE))</f>
        <v>6530490016</v>
      </c>
      <c r="BC200" s="352" t="str">
        <f>(VLOOKUP(A200,TradesEquity!$1:$1048576,32,FALSE))</f>
        <v>N</v>
      </c>
      <c r="BI200" s="352" t="str">
        <f>(VLOOKUP(A200,TradesEquity!$1:$1048576,38,FALSE))</f>
        <v xml:space="preserve">                  </v>
      </c>
      <c r="BJ200" s="352" t="str">
        <f>(VLOOKUP(A200,TradesEquity!$1:$1048576,39,FALSE))</f>
        <v xml:space="preserve">                          </v>
      </c>
      <c r="BK200" s="352" t="str">
        <f>(VLOOKUP(A200,TradesEquity!$1:$1048576,40,FALSE))</f>
        <v>GOLDJPJXXXX</v>
      </c>
    </row>
    <row r="201" spans="1:63">
      <c r="A201" s="412">
        <f t="shared" si="7"/>
        <v>2019200448</v>
      </c>
      <c r="D201" s="342" t="s">
        <v>1957</v>
      </c>
      <c r="F201" s="343">
        <f>VLOOKUP(A201,TradesEquity!$1:$1048576,2,FALSE)</f>
        <v>44278</v>
      </c>
      <c r="H201" s="343">
        <f>VLOOKUP(A201,TradesEquity!$1:$1048576,21,FALSE)</f>
        <v>44280</v>
      </c>
      <c r="I201" s="344" t="str">
        <f>IF(VLOOKUP(A201,TradesEquity!$1:$1048576,3,FALSE)="BUY","B","S")</f>
        <v>B</v>
      </c>
      <c r="J201" s="344" t="str">
        <f>VLOOKUP(A201,TradesEquity!$1:$1048576,5,FALSE)</f>
        <v>FR0013176526</v>
      </c>
      <c r="K201" s="342" t="s">
        <v>19</v>
      </c>
      <c r="L201" s="345" t="s">
        <v>1958</v>
      </c>
      <c r="AE201" s="346" t="str">
        <f>VLOOKUP(A201,TradesEquity!$1:$1048576,10,FALSE)</f>
        <v>EUR</v>
      </c>
      <c r="AF201" s="346" t="str">
        <f t="shared" si="6"/>
        <v>EUR</v>
      </c>
      <c r="AG201" s="346" t="str">
        <f t="shared" si="6"/>
        <v>EUR</v>
      </c>
      <c r="AH201" s="346" t="str">
        <f t="shared" si="6"/>
        <v>EUR</v>
      </c>
      <c r="AI201" s="346">
        <f>ABS(VLOOKUP(A201,TradesEquity!$1:$1048576,13,FALSE))</f>
        <v>5100</v>
      </c>
      <c r="AJ201" s="347">
        <v>0</v>
      </c>
      <c r="AK201" s="347">
        <v>1</v>
      </c>
      <c r="AL201" s="346">
        <f>VLOOKUP(A201,TradesEquity!$1:$1048576,11,FALSE)</f>
        <v>28.1433</v>
      </c>
      <c r="AM201" s="347">
        <v>1</v>
      </c>
      <c r="AN201" s="346">
        <f>ABS(VLOOKUP(A201,TradesEquity!$1:$1048576,14,FALSE))</f>
        <v>143530.82999999999</v>
      </c>
      <c r="AO201" s="346">
        <f>ABS(VLOOKUP(A201,TradesEquity!$1:$1048576,15,FALSE))</f>
        <v>86.12</v>
      </c>
      <c r="AP201" s="348">
        <f>ABS(VLOOKUP(A201,TradesEquity!$1:$1048576,16,FALSE))</f>
        <v>430.59</v>
      </c>
      <c r="AQ201" s="286">
        <v>0</v>
      </c>
      <c r="AR201" s="286">
        <v>0</v>
      </c>
      <c r="AS201" s="286">
        <v>0</v>
      </c>
      <c r="AT201" s="286">
        <v>0</v>
      </c>
      <c r="AU201" s="286">
        <v>0</v>
      </c>
      <c r="AV201" s="348">
        <f>ABS(VLOOKUP(A201,TradesEquity!$1:$1048576,18,FALSE))</f>
        <v>144047.53999999998</v>
      </c>
      <c r="AW201" s="349">
        <v>0</v>
      </c>
      <c r="AX201" s="350">
        <v>4542</v>
      </c>
      <c r="AY201" s="351" t="s">
        <v>1959</v>
      </c>
      <c r="AZ201" s="352" t="e">
        <f>(VLOOKUP(A201,TradesEquity!$1:$1048576,29,FALSE))</f>
        <v>#N/A</v>
      </c>
      <c r="BA201" s="352" t="e">
        <f>(VLOOKUP(A201,TradesEquity!$1:$1048576,30,FALSE))</f>
        <v>#N/A</v>
      </c>
      <c r="BB201" s="352" t="e">
        <f>(VLOOKUP(A201,TradesEquity!$1:$1048576,31,FALSE))</f>
        <v>#N/A</v>
      </c>
      <c r="BC201" s="352" t="e">
        <f>(VLOOKUP(A201,TradesEquity!$1:$1048576,32,FALSE))</f>
        <v>#N/A</v>
      </c>
      <c r="BI201" s="352" t="e">
        <f>(VLOOKUP(A201,TradesEquity!$1:$1048576,38,FALSE))</f>
        <v>#N/A</v>
      </c>
      <c r="BJ201" s="352" t="e">
        <f>(VLOOKUP(A201,TradesEquity!$1:$1048576,39,FALSE))</f>
        <v>#N/A</v>
      </c>
      <c r="BK201" s="352" t="e">
        <f>(VLOOKUP(A201,TradesEquity!$1:$1048576,40,FALSE))</f>
        <v>#N/A</v>
      </c>
    </row>
    <row r="202" spans="1:63">
      <c r="A202" s="412">
        <f t="shared" si="7"/>
        <v>2019200449</v>
      </c>
      <c r="D202" s="342" t="s">
        <v>1957</v>
      </c>
      <c r="F202" s="343">
        <f>VLOOKUP(A202,TradesEquity!$1:$1048576,2,FALSE)</f>
        <v>44279</v>
      </c>
      <c r="H202" s="343">
        <f>VLOOKUP(A202,TradesEquity!$1:$1048576,21,FALSE)</f>
        <v>44281</v>
      </c>
      <c r="I202" s="344" t="str">
        <f>IF(VLOOKUP(A202,TradesEquity!$1:$1048576,3,FALSE)="BUY","B","S")</f>
        <v>B</v>
      </c>
      <c r="J202" s="344" t="str">
        <f>VLOOKUP(A202,TradesEquity!$1:$1048576,5,FALSE)</f>
        <v>FR0013176526</v>
      </c>
      <c r="K202" s="342" t="s">
        <v>19</v>
      </c>
      <c r="L202" s="345" t="s">
        <v>1958</v>
      </c>
      <c r="AE202" s="346" t="str">
        <f>VLOOKUP(A202,TradesEquity!$1:$1048576,10,FALSE)</f>
        <v>EUR</v>
      </c>
      <c r="AF202" s="346" t="str">
        <f t="shared" si="6"/>
        <v>EUR</v>
      </c>
      <c r="AG202" s="346" t="str">
        <f t="shared" si="6"/>
        <v>EUR</v>
      </c>
      <c r="AH202" s="346" t="str">
        <f t="shared" si="6"/>
        <v>EUR</v>
      </c>
      <c r="AI202" s="346">
        <f>ABS(VLOOKUP(A202,TradesEquity!$1:$1048576,13,FALSE))</f>
        <v>5000</v>
      </c>
      <c r="AJ202" s="347">
        <v>0</v>
      </c>
      <c r="AK202" s="347">
        <v>1</v>
      </c>
      <c r="AL202" s="346">
        <f>VLOOKUP(A202,TradesEquity!$1:$1048576,11,FALSE)</f>
        <v>28.3385</v>
      </c>
      <c r="AM202" s="347">
        <v>1</v>
      </c>
      <c r="AN202" s="346">
        <f>ABS(VLOOKUP(A202,TradesEquity!$1:$1048576,14,FALSE))</f>
        <v>141692.5</v>
      </c>
      <c r="AO202" s="346">
        <f>ABS(VLOOKUP(A202,TradesEquity!$1:$1048576,15,FALSE))</f>
        <v>85.02</v>
      </c>
      <c r="AP202" s="348">
        <f>ABS(VLOOKUP(A202,TradesEquity!$1:$1048576,16,FALSE))</f>
        <v>425.08</v>
      </c>
      <c r="AQ202" s="286">
        <v>0</v>
      </c>
      <c r="AR202" s="286">
        <v>0</v>
      </c>
      <c r="AS202" s="286">
        <v>0</v>
      </c>
      <c r="AT202" s="286">
        <v>0</v>
      </c>
      <c r="AU202" s="286">
        <v>0</v>
      </c>
      <c r="AV202" s="348">
        <f>ABS(VLOOKUP(A202,TradesEquity!$1:$1048576,18,FALSE))</f>
        <v>142202.59999999998</v>
      </c>
      <c r="AW202" s="349">
        <v>0</v>
      </c>
      <c r="AX202" s="350">
        <v>4542</v>
      </c>
      <c r="AY202" s="351" t="s">
        <v>1959</v>
      </c>
      <c r="AZ202" s="352" t="e">
        <f>(VLOOKUP(A202,TradesEquity!$1:$1048576,29,FALSE))</f>
        <v>#N/A</v>
      </c>
      <c r="BA202" s="352" t="e">
        <f>(VLOOKUP(A202,TradesEquity!$1:$1048576,30,FALSE))</f>
        <v>#N/A</v>
      </c>
      <c r="BB202" s="352" t="e">
        <f>(VLOOKUP(A202,TradesEquity!$1:$1048576,31,FALSE))</f>
        <v>#N/A</v>
      </c>
      <c r="BC202" s="352" t="e">
        <f>(VLOOKUP(A202,TradesEquity!$1:$1048576,32,FALSE))</f>
        <v>#N/A</v>
      </c>
      <c r="BI202" s="352" t="e">
        <f>(VLOOKUP(A202,TradesEquity!$1:$1048576,38,FALSE))</f>
        <v>#N/A</v>
      </c>
      <c r="BJ202" s="352" t="e">
        <f>(VLOOKUP(A202,TradesEquity!$1:$1048576,39,FALSE))</f>
        <v>#N/A</v>
      </c>
      <c r="BK202" s="352" t="e">
        <f>(VLOOKUP(A202,TradesEquity!$1:$1048576,40,FALSE))</f>
        <v>#N/A</v>
      </c>
    </row>
    <row r="203" spans="1:63">
      <c r="A203" s="412">
        <f t="shared" si="7"/>
        <v>2019200450</v>
      </c>
      <c r="D203" s="342" t="s">
        <v>1957</v>
      </c>
      <c r="F203" s="343">
        <f>VLOOKUP(A203,TradesEquity!$1:$1048576,2,FALSE)</f>
        <v>44280</v>
      </c>
      <c r="H203" s="343">
        <f>VLOOKUP(A203,TradesEquity!$1:$1048576,21,FALSE)</f>
        <v>44284</v>
      </c>
      <c r="I203" s="344" t="str">
        <f>IF(VLOOKUP(A203,TradesEquity!$1:$1048576,3,FALSE)="BUY","B","S")</f>
        <v>B</v>
      </c>
      <c r="J203" s="344" t="str">
        <f>VLOOKUP(A203,TradesEquity!$1:$1048576,5,FALSE)</f>
        <v>CNE100001TJ4</v>
      </c>
      <c r="K203" s="342" t="s">
        <v>19</v>
      </c>
      <c r="L203" s="345" t="s">
        <v>1958</v>
      </c>
      <c r="AE203" s="346" t="str">
        <f>VLOOKUP(A203,TradesEquity!$1:$1048576,10,FALSE)</f>
        <v>HKD</v>
      </c>
      <c r="AF203" s="346" t="str">
        <f t="shared" si="6"/>
        <v>HKD</v>
      </c>
      <c r="AG203" s="346" t="str">
        <f t="shared" si="6"/>
        <v>HKD</v>
      </c>
      <c r="AH203" s="346" t="str">
        <f t="shared" si="6"/>
        <v>HKD</v>
      </c>
      <c r="AI203" s="346">
        <f>ABS(VLOOKUP(A203,TradesEquity!$1:$1048576,13,FALSE))</f>
        <v>330000</v>
      </c>
      <c r="AJ203" s="347">
        <v>0</v>
      </c>
      <c r="AK203" s="347">
        <v>1</v>
      </c>
      <c r="AL203" s="346">
        <f>VLOOKUP(A203,TradesEquity!$1:$1048576,11,FALSE)</f>
        <v>2.5767730000000002</v>
      </c>
      <c r="AM203" s="347">
        <v>1</v>
      </c>
      <c r="AN203" s="346">
        <f>ABS(VLOOKUP(A203,TradesEquity!$1:$1048576,14,FALSE))</f>
        <v>850335.09000000008</v>
      </c>
      <c r="AO203" s="346">
        <f>ABS(VLOOKUP(A203,TradesEquity!$1:$1048576,15,FALSE))</f>
        <v>510.2</v>
      </c>
      <c r="AP203" s="348">
        <f>ABS(VLOOKUP(A203,TradesEquity!$1:$1048576,16,FALSE))</f>
        <v>915.82</v>
      </c>
      <c r="AQ203" s="286">
        <v>0</v>
      </c>
      <c r="AR203" s="286">
        <v>0</v>
      </c>
      <c r="AS203" s="286">
        <v>0</v>
      </c>
      <c r="AT203" s="286">
        <v>0</v>
      </c>
      <c r="AU203" s="286">
        <v>0</v>
      </c>
      <c r="AV203" s="348">
        <f>ABS(VLOOKUP(A203,TradesEquity!$1:$1048576,18,FALSE))</f>
        <v>851761.11</v>
      </c>
      <c r="AW203" s="349">
        <v>0</v>
      </c>
      <c r="AX203" s="350">
        <v>4542</v>
      </c>
      <c r="AY203" s="351" t="s">
        <v>1959</v>
      </c>
      <c r="AZ203" s="352" t="str">
        <f>(VLOOKUP(A203,TradesEquity!$1:$1048576,29,FALSE))</f>
        <v>GSILGB2XXXX</v>
      </c>
      <c r="BA203" s="352" t="str">
        <f>(VLOOKUP(A203,TradesEquity!$1:$1048576,30,FALSE))</f>
        <v>XHKCHKH1XXX</v>
      </c>
      <c r="BB203" s="352" t="str">
        <f>(VLOOKUP(A203,TradesEquity!$1:$1048576,31,FALSE))</f>
        <v xml:space="preserve">        </v>
      </c>
      <c r="BC203" s="352" t="str">
        <f>(VLOOKUP(A203,TradesEquity!$1:$1048576,32,FALSE))</f>
        <v>N</v>
      </c>
      <c r="BI203" s="352" t="str">
        <f>(VLOOKUP(A203,TradesEquity!$1:$1048576,38,FALSE))</f>
        <v>CCASS</v>
      </c>
      <c r="BJ203" s="352" t="str">
        <f>(VLOOKUP(A203,TradesEquity!$1:$1048576,39,FALSE))</f>
        <v>B01451</v>
      </c>
      <c r="BK203" s="352" t="str">
        <f>(VLOOKUP(A203,TradesEquity!$1:$1048576,40,FALSE))</f>
        <v>GSASHKH1XX</v>
      </c>
    </row>
    <row r="204" spans="1:63">
      <c r="A204" s="412">
        <f t="shared" si="7"/>
        <v>2019200451</v>
      </c>
      <c r="D204" s="342" t="s">
        <v>1957</v>
      </c>
      <c r="F204" s="343">
        <f>VLOOKUP(A204,TradesEquity!$1:$1048576,2,FALSE)</f>
        <v>44280</v>
      </c>
      <c r="H204" s="343">
        <f>VLOOKUP(A204,TradesEquity!$1:$1048576,21,FALSE)</f>
        <v>44284</v>
      </c>
      <c r="I204" s="344" t="str">
        <f>IF(VLOOKUP(A204,TradesEquity!$1:$1048576,3,FALSE)="BUY","B","S")</f>
        <v>B</v>
      </c>
      <c r="J204" s="344" t="str">
        <f>VLOOKUP(A204,TradesEquity!$1:$1048576,5,FALSE)</f>
        <v>JP3332600000</v>
      </c>
      <c r="K204" s="342" t="s">
        <v>19</v>
      </c>
      <c r="L204" s="345" t="s">
        <v>1958</v>
      </c>
      <c r="AE204" s="346" t="str">
        <f>VLOOKUP(A204,TradesEquity!$1:$1048576,10,FALSE)</f>
        <v>JPY</v>
      </c>
      <c r="AF204" s="346" t="str">
        <f t="shared" si="6"/>
        <v>JPY</v>
      </c>
      <c r="AG204" s="346" t="str">
        <f t="shared" si="6"/>
        <v>JPY</v>
      </c>
      <c r="AH204" s="346" t="str">
        <f t="shared" si="6"/>
        <v>JPY</v>
      </c>
      <c r="AI204" s="346">
        <f>ABS(VLOOKUP(A204,TradesEquity!$1:$1048576,13,FALSE))</f>
        <v>9100</v>
      </c>
      <c r="AJ204" s="347">
        <v>0</v>
      </c>
      <c r="AK204" s="347">
        <v>1</v>
      </c>
      <c r="AL204" s="346">
        <f>VLOOKUP(A204,TradesEquity!$1:$1048576,11,FALSE)</f>
        <v>825.39340700000002</v>
      </c>
      <c r="AM204" s="347">
        <v>1</v>
      </c>
      <c r="AN204" s="346">
        <f>ABS(VLOOKUP(A204,TradesEquity!$1:$1048576,14,FALSE))</f>
        <v>7511080.0037000002</v>
      </c>
      <c r="AO204" s="346">
        <f>ABS(VLOOKUP(A204,TradesEquity!$1:$1048576,15,FALSE))</f>
        <v>4507</v>
      </c>
      <c r="AP204" s="348">
        <f>ABS(VLOOKUP(A204,TradesEquity!$1:$1048576,16,FALSE))</f>
        <v>0</v>
      </c>
      <c r="AQ204" s="286">
        <v>0</v>
      </c>
      <c r="AR204" s="286">
        <v>0</v>
      </c>
      <c r="AS204" s="286">
        <v>0</v>
      </c>
      <c r="AT204" s="286">
        <v>0</v>
      </c>
      <c r="AU204" s="286">
        <v>0</v>
      </c>
      <c r="AV204" s="348">
        <f>ABS(VLOOKUP(A204,TradesEquity!$1:$1048576,18,FALSE))</f>
        <v>7515587.0037000002</v>
      </c>
      <c r="AW204" s="349">
        <v>0</v>
      </c>
      <c r="AX204" s="350">
        <v>4542</v>
      </c>
      <c r="AY204" s="351" t="s">
        <v>1959</v>
      </c>
      <c r="AZ204" s="352" t="str">
        <f>(VLOOKUP(A204,TradesEquity!$1:$1048576,29,FALSE))</f>
        <v>GSILGB2XXXX</v>
      </c>
      <c r="BA204" s="352" t="str">
        <f>(VLOOKUP(A204,TradesEquity!$1:$1048576,30,FALSE))</f>
        <v>JJSDJPJTXXX</v>
      </c>
      <c r="BB204" s="352">
        <f>(VLOOKUP(A204,TradesEquity!$1:$1048576,31,FALSE))</f>
        <v>6530490016</v>
      </c>
      <c r="BC204" s="352" t="str">
        <f>(VLOOKUP(A204,TradesEquity!$1:$1048576,32,FALSE))</f>
        <v>N</v>
      </c>
      <c r="BI204" s="352" t="str">
        <f>(VLOOKUP(A204,TradesEquity!$1:$1048576,38,FALSE))</f>
        <v xml:space="preserve">                  </v>
      </c>
      <c r="BJ204" s="352" t="str">
        <f>(VLOOKUP(A204,TradesEquity!$1:$1048576,39,FALSE))</f>
        <v xml:space="preserve">                          </v>
      </c>
      <c r="BK204" s="352" t="str">
        <f>(VLOOKUP(A204,TradesEquity!$1:$1048576,40,FALSE))</f>
        <v>GOLDJPJXXXX</v>
      </c>
    </row>
    <row r="205" spans="1:63">
      <c r="A205" s="412">
        <v>2019200452</v>
      </c>
      <c r="D205" s="342" t="s">
        <v>1957</v>
      </c>
      <c r="F205" s="343">
        <f>VLOOKUP(A205,TradesEquity!$1:$1048576,2,FALSE)</f>
        <v>44280</v>
      </c>
      <c r="H205" s="343">
        <f>VLOOKUP(A205,TradesEquity!$1:$1048576,21,FALSE)</f>
        <v>44284</v>
      </c>
      <c r="I205" s="344" t="str">
        <f>IF(VLOOKUP(A205,TradesEquity!$1:$1048576,3,FALSE)="BUY","B","S")</f>
        <v>B</v>
      </c>
      <c r="J205" s="344" t="str">
        <f>VLOOKUP(A205,TradesEquity!$1:$1048576,5,FALSE)</f>
        <v>DE0005439004</v>
      </c>
      <c r="K205" s="342" t="s">
        <v>19</v>
      </c>
      <c r="L205" s="345" t="s">
        <v>1958</v>
      </c>
      <c r="AE205" s="346" t="str">
        <f>VLOOKUP(A205,TradesEquity!$1:$1048576,10,FALSE)</f>
        <v>EUR</v>
      </c>
      <c r="AF205" s="346" t="str">
        <f t="shared" si="6"/>
        <v>EUR</v>
      </c>
      <c r="AG205" s="346" t="str">
        <f t="shared" si="6"/>
        <v>EUR</v>
      </c>
      <c r="AH205" s="346" t="str">
        <f t="shared" si="6"/>
        <v>EUR</v>
      </c>
      <c r="AI205" s="346">
        <f>ABS(VLOOKUP(A205,TradesEquity!$1:$1048576,13,FALSE))</f>
        <v>1090</v>
      </c>
      <c r="AJ205" s="347">
        <v>0</v>
      </c>
      <c r="AK205" s="347">
        <v>1</v>
      </c>
      <c r="AL205" s="346">
        <f>VLOOKUP(A205,TradesEquity!$1:$1048576,11,FALSE)</f>
        <v>111.36279999999999</v>
      </c>
      <c r="AM205" s="347">
        <v>1</v>
      </c>
      <c r="AN205" s="346">
        <f>ABS(VLOOKUP(A205,TradesEquity!$1:$1048576,14,FALSE))</f>
        <v>121385.45199999999</v>
      </c>
      <c r="AO205" s="346">
        <f>ABS(VLOOKUP(A205,TradesEquity!$1:$1048576,15,FALSE))</f>
        <v>72.83</v>
      </c>
      <c r="AP205" s="348">
        <f>ABS(VLOOKUP(A205,TradesEquity!$1:$1048576,16,FALSE))</f>
        <v>0</v>
      </c>
      <c r="AQ205" s="286">
        <v>0</v>
      </c>
      <c r="AR205" s="286">
        <v>0</v>
      </c>
      <c r="AS205" s="286">
        <v>0</v>
      </c>
      <c r="AT205" s="286">
        <v>0</v>
      </c>
      <c r="AU205" s="286">
        <v>0</v>
      </c>
      <c r="AV205" s="348">
        <f>ABS(VLOOKUP(A205,TradesEquity!$1:$1048576,18,FALSE))</f>
        <v>121458.28199999999</v>
      </c>
      <c r="AW205" s="349">
        <v>0</v>
      </c>
      <c r="AX205" s="350">
        <v>4542</v>
      </c>
      <c r="AY205" s="351" t="s">
        <v>1959</v>
      </c>
      <c r="AZ205" s="352" t="str">
        <f>(VLOOKUP(A205,TradesEquity!$1:$1048576,29,FALSE))</f>
        <v>EMSIITM1XXX</v>
      </c>
      <c r="BA205" s="352" t="str">
        <f>(VLOOKUP(A205,TradesEquity!$1:$1048576,30,FALSE))</f>
        <v>DAKVDEFFXXX</v>
      </c>
      <c r="BB205" s="352" t="str">
        <f>(VLOOKUP(A205,TradesEquity!$1:$1048576,31,FALSE))</f>
        <v>DAKV8135000</v>
      </c>
      <c r="BC205" s="352" t="str">
        <f>(VLOOKUP(A205,TradesEquity!$1:$1048576,32,FALSE))</f>
        <v>N</v>
      </c>
      <c r="BI205" s="352" t="str">
        <f>(VLOOKUP(A205,TradesEquity!$1:$1048576,38,FALSE))</f>
        <v xml:space="preserve">        </v>
      </c>
      <c r="BJ205" s="352" t="str">
        <f>(VLOOKUP(A205,TradesEquity!$1:$1048576,39,FALSE))</f>
        <v xml:space="preserve">        </v>
      </c>
      <c r="BK205" s="352" t="str">
        <f>(VLOOKUP(A205,TradesEquity!$1:$1048576,40,FALSE))</f>
        <v>BCITITMMD03</v>
      </c>
    </row>
    <row r="206" spans="1:63">
      <c r="A206" s="412">
        <f t="shared" ref="A206:A215" si="8">(A205+1)</f>
        <v>2019200453</v>
      </c>
      <c r="D206" s="342" t="s">
        <v>1957</v>
      </c>
      <c r="F206" s="343">
        <f>VLOOKUP(A206,TradesEquity!$1:$1048576,2,FALSE)</f>
        <v>44293</v>
      </c>
      <c r="H206" s="343">
        <f>VLOOKUP(A206,TradesEquity!$1:$1048576,21,FALSE)</f>
        <v>44295</v>
      </c>
      <c r="I206" s="344" t="str">
        <f>IF(VLOOKUP(A206,TradesEquity!$1:$1048576,3,FALSE)="BUY","B","S")</f>
        <v>S</v>
      </c>
      <c r="J206" s="344" t="str">
        <f>VLOOKUP(A206,TradesEquity!$1:$1048576,5,FALSE)</f>
        <v>JP3592200004</v>
      </c>
      <c r="K206" s="342" t="s">
        <v>19</v>
      </c>
      <c r="L206" s="345" t="s">
        <v>1958</v>
      </c>
      <c r="AE206" s="346" t="str">
        <f>VLOOKUP(A206,TradesEquity!$1:$1048576,10,FALSE)</f>
        <v>JPY</v>
      </c>
      <c r="AF206" s="346" t="str">
        <f t="shared" si="6"/>
        <v>JPY</v>
      </c>
      <c r="AG206" s="346" t="str">
        <f t="shared" si="6"/>
        <v>JPY</v>
      </c>
      <c r="AH206" s="346" t="str">
        <f t="shared" si="6"/>
        <v>JPY</v>
      </c>
      <c r="AI206" s="346">
        <f>ABS(VLOOKUP(A206,TradesEquity!$1:$1048576,13,FALSE))</f>
        <v>22000</v>
      </c>
      <c r="AJ206" s="347">
        <v>0</v>
      </c>
      <c r="AK206" s="347">
        <v>1</v>
      </c>
      <c r="AL206" s="346">
        <f>VLOOKUP(A206,TradesEquity!$1:$1048576,11,FALSE)</f>
        <v>4530</v>
      </c>
      <c r="AM206" s="347">
        <v>1</v>
      </c>
      <c r="AN206" s="346">
        <f>ABS(VLOOKUP(A206,TradesEquity!$1:$1048576,14,FALSE))</f>
        <v>99660000</v>
      </c>
      <c r="AO206" s="346">
        <f>ABS(VLOOKUP(A206,TradesEquity!$1:$1048576,15,FALSE))</f>
        <v>59796</v>
      </c>
      <c r="AP206" s="348">
        <f>ABS(VLOOKUP(A206,TradesEquity!$1:$1048576,16,FALSE))</f>
        <v>0</v>
      </c>
      <c r="AQ206" s="286">
        <v>0</v>
      </c>
      <c r="AR206" s="286">
        <v>0</v>
      </c>
      <c r="AS206" s="286">
        <v>0</v>
      </c>
      <c r="AT206" s="286">
        <v>0</v>
      </c>
      <c r="AU206" s="286">
        <v>0</v>
      </c>
      <c r="AV206" s="348">
        <f>ABS(VLOOKUP(A206,TradesEquity!$1:$1048576,18,FALSE))</f>
        <v>99600204</v>
      </c>
      <c r="AW206" s="349">
        <v>0</v>
      </c>
      <c r="AX206" s="350">
        <v>4542</v>
      </c>
      <c r="AY206" s="351" t="s">
        <v>1959</v>
      </c>
      <c r="AZ206" s="352" t="str">
        <f>(VLOOKUP(A206,TradesEquity!$1:$1048576,29,FALSE))</f>
        <v>GSILGB2XXXX</v>
      </c>
      <c r="BA206" s="352" t="str">
        <f>(VLOOKUP(A206,TradesEquity!$1:$1048576,30,FALSE))</f>
        <v>JJSDJPJTXXX</v>
      </c>
      <c r="BB206" s="352">
        <f>(VLOOKUP(A206,TradesEquity!$1:$1048576,31,FALSE))</f>
        <v>6530490016</v>
      </c>
      <c r="BC206" s="352" t="str">
        <f>(VLOOKUP(A206,TradesEquity!$1:$1048576,32,FALSE))</f>
        <v>N</v>
      </c>
      <c r="BI206" s="352" t="str">
        <f>(VLOOKUP(A206,TradesEquity!$1:$1048576,38,FALSE))</f>
        <v xml:space="preserve">                  </v>
      </c>
      <c r="BJ206" s="352" t="str">
        <f>(VLOOKUP(A206,TradesEquity!$1:$1048576,39,FALSE))</f>
        <v xml:space="preserve">                          </v>
      </c>
      <c r="BK206" s="352" t="str">
        <f>(VLOOKUP(A206,TradesEquity!$1:$1048576,40,FALSE))</f>
        <v>GOLDJPJXXXX</v>
      </c>
    </row>
    <row r="207" spans="1:63">
      <c r="A207" s="412">
        <f t="shared" si="8"/>
        <v>2019200454</v>
      </c>
      <c r="D207" s="342" t="s">
        <v>1957</v>
      </c>
      <c r="F207" s="343">
        <f>VLOOKUP(A207,TradesEquity!$1:$1048576,2,FALSE)</f>
        <v>44293</v>
      </c>
      <c r="H207" s="343">
        <f>VLOOKUP(A207,TradesEquity!$1:$1048576,21,FALSE)</f>
        <v>44295</v>
      </c>
      <c r="I207" s="344" t="str">
        <f>IF(VLOOKUP(A207,TradesEquity!$1:$1048576,3,FALSE)="BUY","B","S")</f>
        <v>B</v>
      </c>
      <c r="J207" s="344" t="str">
        <f>VLOOKUP(A207,TradesEquity!$1:$1048576,5,FALSE)</f>
        <v>JP3332600000</v>
      </c>
      <c r="K207" s="342" t="s">
        <v>19</v>
      </c>
      <c r="L207" s="345" t="s">
        <v>1958</v>
      </c>
      <c r="AE207" s="346" t="str">
        <f>VLOOKUP(A207,TradesEquity!$1:$1048576,10,FALSE)</f>
        <v>JPY</v>
      </c>
      <c r="AF207" s="346" t="str">
        <f t="shared" si="6"/>
        <v>JPY</v>
      </c>
      <c r="AG207" s="346" t="str">
        <f t="shared" si="6"/>
        <v>JPY</v>
      </c>
      <c r="AH207" s="346" t="str">
        <f t="shared" si="6"/>
        <v>JPY</v>
      </c>
      <c r="AI207" s="346">
        <f>ABS(VLOOKUP(A207,TradesEquity!$1:$1048576,13,FALSE))</f>
        <v>2800</v>
      </c>
      <c r="AJ207" s="347">
        <v>0</v>
      </c>
      <c r="AK207" s="347">
        <v>1</v>
      </c>
      <c r="AL207" s="346">
        <f>VLOOKUP(A207,TradesEquity!$1:$1048576,11,FALSE)</f>
        <v>824.11785699999996</v>
      </c>
      <c r="AM207" s="347">
        <v>1</v>
      </c>
      <c r="AN207" s="346">
        <f>ABS(VLOOKUP(A207,TradesEquity!$1:$1048576,14,FALSE))</f>
        <v>2307529.9995999997</v>
      </c>
      <c r="AO207" s="346">
        <f>ABS(VLOOKUP(A207,TradesEquity!$1:$1048576,15,FALSE))</f>
        <v>1385</v>
      </c>
      <c r="AP207" s="348">
        <f>ABS(VLOOKUP(A207,TradesEquity!$1:$1048576,16,FALSE))</f>
        <v>0</v>
      </c>
      <c r="AQ207" s="286">
        <v>0</v>
      </c>
      <c r="AR207" s="286">
        <v>0</v>
      </c>
      <c r="AS207" s="286">
        <v>0</v>
      </c>
      <c r="AT207" s="286">
        <v>0</v>
      </c>
      <c r="AU207" s="286">
        <v>0</v>
      </c>
      <c r="AV207" s="348">
        <f>ABS(VLOOKUP(A207,TradesEquity!$1:$1048576,18,FALSE))</f>
        <v>2308914.9995999997</v>
      </c>
      <c r="AW207" s="349">
        <v>0</v>
      </c>
      <c r="AX207" s="350">
        <v>4542</v>
      </c>
      <c r="AY207" s="351" t="s">
        <v>1959</v>
      </c>
      <c r="AZ207" s="352" t="str">
        <f>(VLOOKUP(A207,TradesEquity!$1:$1048576,29,FALSE))</f>
        <v>GSILGB2XXXX</v>
      </c>
      <c r="BA207" s="352" t="str">
        <f>(VLOOKUP(A207,TradesEquity!$1:$1048576,30,FALSE))</f>
        <v>JJSDJPJTXXX</v>
      </c>
      <c r="BB207" s="352">
        <f>(VLOOKUP(A207,TradesEquity!$1:$1048576,31,FALSE))</f>
        <v>6530490016</v>
      </c>
      <c r="BC207" s="352" t="str">
        <f>(VLOOKUP(A207,TradesEquity!$1:$1048576,32,FALSE))</f>
        <v>N</v>
      </c>
      <c r="BI207" s="352" t="str">
        <f>(VLOOKUP(A207,TradesEquity!$1:$1048576,38,FALSE))</f>
        <v xml:space="preserve">                  </v>
      </c>
      <c r="BJ207" s="352" t="str">
        <f>(VLOOKUP(A207,TradesEquity!$1:$1048576,39,FALSE))</f>
        <v xml:space="preserve">                          </v>
      </c>
      <c r="BK207" s="352" t="str">
        <f>(VLOOKUP(A207,TradesEquity!$1:$1048576,40,FALSE))</f>
        <v>GOLDJPJXXXX</v>
      </c>
    </row>
    <row r="208" spans="1:63">
      <c r="A208" s="412">
        <f t="shared" si="8"/>
        <v>2019200455</v>
      </c>
      <c r="D208" s="342" t="s">
        <v>1957</v>
      </c>
      <c r="F208" s="343">
        <f>VLOOKUP(A208,TradesEquity!$1:$1048576,2,FALSE)</f>
        <v>44294</v>
      </c>
      <c r="H208" s="343">
        <f>VLOOKUP(A208,TradesEquity!$1:$1048576,21,FALSE)</f>
        <v>44298</v>
      </c>
      <c r="I208" s="344" t="str">
        <f>IF(VLOOKUP(A208,TradesEquity!$1:$1048576,3,FALSE)="BUY","B","S")</f>
        <v>B</v>
      </c>
      <c r="J208" s="344" t="str">
        <f>VLOOKUP(A208,TradesEquity!$1:$1048576,5,FALSE)</f>
        <v>JP3544000007</v>
      </c>
      <c r="K208" s="342" t="s">
        <v>19</v>
      </c>
      <c r="L208" s="345" t="s">
        <v>1958</v>
      </c>
      <c r="AE208" s="346" t="str">
        <f>VLOOKUP(A208,TradesEquity!$1:$1048576,10,FALSE)</f>
        <v>JPY</v>
      </c>
      <c r="AF208" s="346" t="str">
        <f t="shared" si="6"/>
        <v>JPY</v>
      </c>
      <c r="AG208" s="346" t="str">
        <f t="shared" si="6"/>
        <v>JPY</v>
      </c>
      <c r="AH208" s="346" t="str">
        <f t="shared" si="6"/>
        <v>JPY</v>
      </c>
      <c r="AI208" s="346">
        <f>ABS(VLOOKUP(A208,TradesEquity!$1:$1048576,13,FALSE))</f>
        <v>11600</v>
      </c>
      <c r="AJ208" s="347">
        <v>0</v>
      </c>
      <c r="AK208" s="347">
        <v>1</v>
      </c>
      <c r="AL208" s="346">
        <f>VLOOKUP(A208,TradesEquity!$1:$1048576,11,FALSE)</f>
        <v>1876.63607</v>
      </c>
      <c r="AM208" s="347">
        <v>1</v>
      </c>
      <c r="AN208" s="346">
        <f>ABS(VLOOKUP(A208,TradesEquity!$1:$1048576,14,FALSE))</f>
        <v>21768978.412</v>
      </c>
      <c r="AO208" s="346">
        <f>ABS(VLOOKUP(A208,TradesEquity!$1:$1048576,15,FALSE))</f>
        <v>13061</v>
      </c>
      <c r="AP208" s="348">
        <f>ABS(VLOOKUP(A208,TradesEquity!$1:$1048576,16,FALSE))</f>
        <v>0</v>
      </c>
      <c r="AQ208" s="286">
        <v>0</v>
      </c>
      <c r="AR208" s="286">
        <v>0</v>
      </c>
      <c r="AS208" s="286">
        <v>0</v>
      </c>
      <c r="AT208" s="286">
        <v>0</v>
      </c>
      <c r="AU208" s="286">
        <v>0</v>
      </c>
      <c r="AV208" s="348">
        <f>ABS(VLOOKUP(A208,TradesEquity!$1:$1048576,18,FALSE))</f>
        <v>21782039.412</v>
      </c>
      <c r="AW208" s="349">
        <v>0</v>
      </c>
      <c r="AX208" s="350">
        <v>4542</v>
      </c>
      <c r="AY208" s="351" t="s">
        <v>1959</v>
      </c>
      <c r="AZ208" s="352" t="str">
        <f>(VLOOKUP(A208,TradesEquity!$1:$1048576,29,FALSE))</f>
        <v>GSILGB2XXXX</v>
      </c>
      <c r="BA208" s="352" t="str">
        <f>(VLOOKUP(A208,TradesEquity!$1:$1048576,30,FALSE))</f>
        <v>JJSDJPJTXXX</v>
      </c>
      <c r="BB208" s="352">
        <f>(VLOOKUP(A208,TradesEquity!$1:$1048576,31,FALSE))</f>
        <v>6530490016</v>
      </c>
      <c r="BC208" s="352" t="str">
        <f>(VLOOKUP(A208,TradesEquity!$1:$1048576,32,FALSE))</f>
        <v>N</v>
      </c>
      <c r="BI208" s="352" t="str">
        <f>(VLOOKUP(A208,TradesEquity!$1:$1048576,38,FALSE))</f>
        <v xml:space="preserve">                  </v>
      </c>
      <c r="BJ208" s="352" t="str">
        <f>(VLOOKUP(A208,TradesEquity!$1:$1048576,39,FALSE))</f>
        <v xml:space="preserve">                          </v>
      </c>
      <c r="BK208" s="352" t="str">
        <f>(VLOOKUP(A208,TradesEquity!$1:$1048576,40,FALSE))</f>
        <v>GOLDJPJXXXX</v>
      </c>
    </row>
    <row r="209" spans="1:63">
      <c r="A209" s="412">
        <f t="shared" si="8"/>
        <v>2019200456</v>
      </c>
      <c r="D209" s="342" t="s">
        <v>1957</v>
      </c>
      <c r="F209" s="343">
        <f>VLOOKUP(A209,TradesEquity!$1:$1048576,2,FALSE)</f>
        <v>44294</v>
      </c>
      <c r="H209" s="343">
        <f>VLOOKUP(A209,TradesEquity!$1:$1048576,21,FALSE)</f>
        <v>44298</v>
      </c>
      <c r="I209" s="344" t="str">
        <f>IF(VLOOKUP(A209,TradesEquity!$1:$1048576,3,FALSE)="BUY","B","S")</f>
        <v>S</v>
      </c>
      <c r="J209" s="344" t="str">
        <f>VLOOKUP(A209,TradesEquity!$1:$1048576,5,FALSE)</f>
        <v>JP3111200006</v>
      </c>
      <c r="K209" s="342" t="s">
        <v>19</v>
      </c>
      <c r="L209" s="345" t="s">
        <v>1958</v>
      </c>
      <c r="AE209" s="346" t="str">
        <f>VLOOKUP(A209,TradesEquity!$1:$1048576,10,FALSE)</f>
        <v>JPY</v>
      </c>
      <c r="AF209" s="346" t="str">
        <f t="shared" si="6"/>
        <v>JPY</v>
      </c>
      <c r="AG209" s="346" t="str">
        <f t="shared" si="6"/>
        <v>JPY</v>
      </c>
      <c r="AH209" s="346" t="str">
        <f t="shared" si="6"/>
        <v>JPY</v>
      </c>
      <c r="AI209" s="346">
        <f>ABS(VLOOKUP(A209,TradesEquity!$1:$1048576,13,FALSE))</f>
        <v>17600</v>
      </c>
      <c r="AJ209" s="347">
        <v>0</v>
      </c>
      <c r="AK209" s="347">
        <v>1</v>
      </c>
      <c r="AL209" s="346">
        <f>VLOOKUP(A209,TradesEquity!$1:$1048576,11,FALSE)</f>
        <v>1232.67983</v>
      </c>
      <c r="AM209" s="347">
        <v>1</v>
      </c>
      <c r="AN209" s="346">
        <f>ABS(VLOOKUP(A209,TradesEquity!$1:$1048576,14,FALSE))</f>
        <v>21695165.008000001</v>
      </c>
      <c r="AO209" s="346">
        <f>ABS(VLOOKUP(A209,TradesEquity!$1:$1048576,15,FALSE))</f>
        <v>13017</v>
      </c>
      <c r="AP209" s="348">
        <f>ABS(VLOOKUP(A209,TradesEquity!$1:$1048576,16,FALSE))</f>
        <v>0</v>
      </c>
      <c r="AQ209" s="286">
        <v>0</v>
      </c>
      <c r="AR209" s="286">
        <v>0</v>
      </c>
      <c r="AS209" s="286">
        <v>0</v>
      </c>
      <c r="AT209" s="286">
        <v>0</v>
      </c>
      <c r="AU209" s="286">
        <v>0</v>
      </c>
      <c r="AV209" s="348">
        <f>ABS(VLOOKUP(A209,TradesEquity!$1:$1048576,18,FALSE))</f>
        <v>21682148.008000001</v>
      </c>
      <c r="AW209" s="349">
        <v>0</v>
      </c>
      <c r="AX209" s="350">
        <v>4542</v>
      </c>
      <c r="AY209" s="351" t="s">
        <v>1959</v>
      </c>
      <c r="AZ209" s="352" t="str">
        <f>(VLOOKUP(A209,TradesEquity!$1:$1048576,29,FALSE))</f>
        <v>GSILGB2XXXX</v>
      </c>
      <c r="BA209" s="352" t="str">
        <f>(VLOOKUP(A209,TradesEquity!$1:$1048576,30,FALSE))</f>
        <v>JJSDJPJTXXX</v>
      </c>
      <c r="BB209" s="352">
        <f>(VLOOKUP(A209,TradesEquity!$1:$1048576,31,FALSE))</f>
        <v>6530490016</v>
      </c>
      <c r="BC209" s="352" t="str">
        <f>(VLOOKUP(A209,TradesEquity!$1:$1048576,32,FALSE))</f>
        <v>N</v>
      </c>
      <c r="BI209" s="352" t="str">
        <f>(VLOOKUP(A209,TradesEquity!$1:$1048576,38,FALSE))</f>
        <v xml:space="preserve">                  </v>
      </c>
      <c r="BJ209" s="352" t="str">
        <f>(VLOOKUP(A209,TradesEquity!$1:$1048576,39,FALSE))</f>
        <v xml:space="preserve">                          </v>
      </c>
      <c r="BK209" s="352" t="str">
        <f>(VLOOKUP(A209,TradesEquity!$1:$1048576,40,FALSE))</f>
        <v>GOLDJPJXXXX</v>
      </c>
    </row>
    <row r="210" spans="1:63">
      <c r="A210" s="412">
        <f t="shared" si="8"/>
        <v>2019200457</v>
      </c>
      <c r="D210" s="342" t="s">
        <v>1957</v>
      </c>
      <c r="F210" s="343">
        <f>VLOOKUP(A210,TradesEquity!$1:$1048576,2,FALSE)</f>
        <v>44299</v>
      </c>
      <c r="H210" s="343">
        <f>VLOOKUP(A210,TradesEquity!$1:$1048576,21,FALSE)</f>
        <v>44301</v>
      </c>
      <c r="I210" s="344" t="str">
        <f>IF(VLOOKUP(A210,TradesEquity!$1:$1048576,3,FALSE)="BUY","B","S")</f>
        <v>B</v>
      </c>
      <c r="J210" s="344" t="str">
        <f>VLOOKUP(A210,TradesEquity!$1:$1048576,5,FALSE)</f>
        <v>JP3866800000</v>
      </c>
      <c r="K210" s="342" t="s">
        <v>19</v>
      </c>
      <c r="L210" s="345" t="s">
        <v>1958</v>
      </c>
      <c r="AE210" s="346" t="str">
        <f>VLOOKUP(A210,TradesEquity!$1:$1048576,10,FALSE)</f>
        <v>JPY</v>
      </c>
      <c r="AF210" s="346" t="str">
        <f t="shared" si="6"/>
        <v>JPY</v>
      </c>
      <c r="AG210" s="346" t="str">
        <f t="shared" si="6"/>
        <v>JPY</v>
      </c>
      <c r="AH210" s="346" t="str">
        <f t="shared" si="6"/>
        <v>JPY</v>
      </c>
      <c r="AI210" s="346">
        <f>ABS(VLOOKUP(A210,TradesEquity!$1:$1048576,13,FALSE))</f>
        <v>5000</v>
      </c>
      <c r="AJ210" s="347">
        <v>0</v>
      </c>
      <c r="AK210" s="347">
        <v>1</v>
      </c>
      <c r="AL210" s="346">
        <f>VLOOKUP(A210,TradesEquity!$1:$1048576,11,FALSE)</f>
        <v>1397.6220000000001</v>
      </c>
      <c r="AM210" s="347">
        <v>1</v>
      </c>
      <c r="AN210" s="346">
        <f>ABS(VLOOKUP(A210,TradesEquity!$1:$1048576,14,FALSE))</f>
        <v>6988110</v>
      </c>
      <c r="AO210" s="346">
        <f>ABS(VLOOKUP(A210,TradesEquity!$1:$1048576,15,FALSE))</f>
        <v>4193</v>
      </c>
      <c r="AP210" s="348">
        <f>ABS(VLOOKUP(A210,TradesEquity!$1:$1048576,16,FALSE))</f>
        <v>0</v>
      </c>
      <c r="AQ210" s="286">
        <v>0</v>
      </c>
      <c r="AR210" s="286">
        <v>0</v>
      </c>
      <c r="AS210" s="286">
        <v>0</v>
      </c>
      <c r="AT210" s="286">
        <v>0</v>
      </c>
      <c r="AU210" s="286">
        <v>0</v>
      </c>
      <c r="AV210" s="348">
        <f>ABS(VLOOKUP(A210,TradesEquity!$1:$1048576,18,FALSE))</f>
        <v>6992303</v>
      </c>
      <c r="AW210" s="349">
        <v>0</v>
      </c>
      <c r="AX210" s="350">
        <v>4542</v>
      </c>
      <c r="AY210" s="351" t="s">
        <v>1959</v>
      </c>
      <c r="AZ210" s="352" t="str">
        <f>(VLOOKUP(A210,TradesEquity!$1:$1048576,29,FALSE))</f>
        <v>GSILGB2XXXX</v>
      </c>
      <c r="BA210" s="352" t="str">
        <f>(VLOOKUP(A210,TradesEquity!$1:$1048576,30,FALSE))</f>
        <v>JJSDJPJTXXX</v>
      </c>
      <c r="BB210" s="352">
        <f>(VLOOKUP(A210,TradesEquity!$1:$1048576,31,FALSE))</f>
        <v>6530490016</v>
      </c>
      <c r="BC210" s="352" t="str">
        <f>(VLOOKUP(A210,TradesEquity!$1:$1048576,32,FALSE))</f>
        <v>N</v>
      </c>
      <c r="BI210" s="352" t="str">
        <f>(VLOOKUP(A210,TradesEquity!$1:$1048576,38,FALSE))</f>
        <v xml:space="preserve">                  </v>
      </c>
      <c r="BJ210" s="352" t="str">
        <f>(VLOOKUP(A210,TradesEquity!$1:$1048576,39,FALSE))</f>
        <v xml:space="preserve">                          </v>
      </c>
      <c r="BK210" s="352" t="str">
        <f>(VLOOKUP(A210,TradesEquity!$1:$1048576,40,FALSE))</f>
        <v>GOLDJPJXXXX</v>
      </c>
    </row>
    <row r="211" spans="1:63">
      <c r="A211" s="412">
        <f t="shared" si="8"/>
        <v>2019200458</v>
      </c>
      <c r="D211" s="342" t="s">
        <v>1957</v>
      </c>
      <c r="F211" s="343">
        <f>VLOOKUP(A211,TradesEquity!$1:$1048576,2,FALSE)</f>
        <v>44299</v>
      </c>
      <c r="H211" s="343">
        <f>VLOOKUP(A211,TradesEquity!$1:$1048576,21,FALSE)</f>
        <v>44301</v>
      </c>
      <c r="I211" s="344" t="str">
        <f>IF(VLOOKUP(A211,TradesEquity!$1:$1048576,3,FALSE)="BUY","B","S")</f>
        <v>B</v>
      </c>
      <c r="J211" s="344" t="str">
        <f>VLOOKUP(A211,TradesEquity!$1:$1048576,5,FALSE)</f>
        <v>FR0013176526</v>
      </c>
      <c r="K211" s="342" t="s">
        <v>19</v>
      </c>
      <c r="L211" s="345" t="s">
        <v>1958</v>
      </c>
      <c r="AE211" s="346" t="str">
        <f>VLOOKUP(A211,TradesEquity!$1:$1048576,10,FALSE)</f>
        <v>EUR</v>
      </c>
      <c r="AF211" s="346" t="str">
        <f t="shared" si="6"/>
        <v>EUR</v>
      </c>
      <c r="AG211" s="346" t="str">
        <f t="shared" si="6"/>
        <v>EUR</v>
      </c>
      <c r="AH211" s="346" t="str">
        <f t="shared" si="6"/>
        <v>EUR</v>
      </c>
      <c r="AI211" s="346">
        <f>ABS(VLOOKUP(A211,TradesEquity!$1:$1048576,13,FALSE))</f>
        <v>4200</v>
      </c>
      <c r="AJ211" s="347">
        <v>0</v>
      </c>
      <c r="AK211" s="347">
        <v>1</v>
      </c>
      <c r="AL211" s="346">
        <f>VLOOKUP(A211,TradesEquity!$1:$1048576,11,FALSE)</f>
        <v>27.2988</v>
      </c>
      <c r="AM211" s="347">
        <v>1</v>
      </c>
      <c r="AN211" s="346">
        <f>ABS(VLOOKUP(A211,TradesEquity!$1:$1048576,14,FALSE))</f>
        <v>114654.96</v>
      </c>
      <c r="AO211" s="346">
        <f>ABS(VLOOKUP(A211,TradesEquity!$1:$1048576,15,FALSE))</f>
        <v>68.790000000000006</v>
      </c>
      <c r="AP211" s="348">
        <f>ABS(VLOOKUP(A211,TradesEquity!$1:$1048576,16,FALSE))</f>
        <v>343.96</v>
      </c>
      <c r="AQ211" s="286">
        <v>0</v>
      </c>
      <c r="AR211" s="286">
        <v>0</v>
      </c>
      <c r="AS211" s="286">
        <v>0</v>
      </c>
      <c r="AT211" s="286">
        <v>0</v>
      </c>
      <c r="AU211" s="286">
        <v>0</v>
      </c>
      <c r="AV211" s="348">
        <f>ABS(VLOOKUP(A211,TradesEquity!$1:$1048576,18,FALSE))</f>
        <v>115067.71</v>
      </c>
      <c r="AW211" s="349">
        <v>0</v>
      </c>
      <c r="AX211" s="350">
        <v>4542</v>
      </c>
      <c r="AY211" s="351" t="s">
        <v>1959</v>
      </c>
      <c r="AZ211" s="352" t="str">
        <f>(VLOOKUP(A211,TradesEquity!$1:$1048576,29,FALSE))</f>
        <v>EMSIITM1XXX</v>
      </c>
      <c r="BA211" s="352" t="str">
        <f>(VLOOKUP(A211,TradesEquity!$1:$1048576,30,FALSE))</f>
        <v>SICVFRPPXXX</v>
      </c>
      <c r="BB211" s="352" t="str">
        <f>(VLOOKUP(A211,TradesEquity!$1:$1048576,31,FALSE))</f>
        <v>SICVBCITITMMD00000L10</v>
      </c>
      <c r="BC211" s="352" t="str">
        <f>(VLOOKUP(A211,TradesEquity!$1:$1048576,32,FALSE))</f>
        <v>N</v>
      </c>
      <c r="BI211" s="352" t="str">
        <f>(VLOOKUP(A211,TradesEquity!$1:$1048576,38,FALSE))</f>
        <v xml:space="preserve">        </v>
      </c>
      <c r="BJ211" s="352" t="str">
        <f>(VLOOKUP(A211,TradesEquity!$1:$1048576,39,FALSE))</f>
        <v xml:space="preserve">        </v>
      </c>
      <c r="BK211" s="352" t="str">
        <f>(VLOOKUP(A211,TradesEquity!$1:$1048576,40,FALSE))</f>
        <v>BCITITMMD00</v>
      </c>
    </row>
    <row r="212" spans="1:63">
      <c r="A212" s="412">
        <f t="shared" si="8"/>
        <v>2019200459</v>
      </c>
      <c r="D212" s="342" t="s">
        <v>1957</v>
      </c>
      <c r="F212" s="343">
        <f>VLOOKUP(A212,TradesEquity!$1:$1048576,2,FALSE)</f>
        <v>44301</v>
      </c>
      <c r="H212" s="343">
        <f>VLOOKUP(A212,TradesEquity!$1:$1048576,21,FALSE)</f>
        <v>44305</v>
      </c>
      <c r="I212" s="344" t="str">
        <f>IF(VLOOKUP(A212,TradesEquity!$1:$1048576,3,FALSE)="BUY","B","S")</f>
        <v>S</v>
      </c>
      <c r="J212" s="344" t="str">
        <f>VLOOKUP(A212,TradesEquity!$1:$1048576,5,FALSE)</f>
        <v>JP3592200004</v>
      </c>
      <c r="K212" s="342" t="s">
        <v>19</v>
      </c>
      <c r="L212" s="345" t="s">
        <v>1958</v>
      </c>
      <c r="AE212" s="346" t="str">
        <f>VLOOKUP(A212,TradesEquity!$1:$1048576,10,FALSE)</f>
        <v>JPY</v>
      </c>
      <c r="AF212" s="346" t="str">
        <f t="shared" si="6"/>
        <v>JPY</v>
      </c>
      <c r="AG212" s="346" t="str">
        <f t="shared" si="6"/>
        <v>JPY</v>
      </c>
      <c r="AH212" s="346" t="str">
        <f t="shared" si="6"/>
        <v>JPY</v>
      </c>
      <c r="AI212" s="346">
        <f>ABS(VLOOKUP(A212,TradesEquity!$1:$1048576,13,FALSE))</f>
        <v>11000</v>
      </c>
      <c r="AJ212" s="347">
        <v>0</v>
      </c>
      <c r="AK212" s="347">
        <v>1</v>
      </c>
      <c r="AL212" s="346">
        <f>VLOOKUP(A212,TradesEquity!$1:$1048576,11,FALSE)</f>
        <v>4914.7</v>
      </c>
      <c r="AM212" s="347">
        <v>1</v>
      </c>
      <c r="AN212" s="346">
        <f>ABS(VLOOKUP(A212,TradesEquity!$1:$1048576,14,FALSE))</f>
        <v>54061700</v>
      </c>
      <c r="AO212" s="346">
        <f>ABS(VLOOKUP(A212,TradesEquity!$1:$1048576,15,FALSE))</f>
        <v>32437</v>
      </c>
      <c r="AP212" s="348">
        <f>ABS(VLOOKUP(A212,TradesEquity!$1:$1048576,16,FALSE))</f>
        <v>0</v>
      </c>
      <c r="AQ212" s="286">
        <v>0</v>
      </c>
      <c r="AR212" s="286">
        <v>0</v>
      </c>
      <c r="AS212" s="286">
        <v>0</v>
      </c>
      <c r="AT212" s="286">
        <v>0</v>
      </c>
      <c r="AU212" s="286">
        <v>0</v>
      </c>
      <c r="AV212" s="348">
        <f>ABS(VLOOKUP(A212,TradesEquity!$1:$1048576,18,FALSE))</f>
        <v>54029263</v>
      </c>
      <c r="AW212" s="349">
        <v>0</v>
      </c>
      <c r="AX212" s="350">
        <v>4542</v>
      </c>
      <c r="AY212" s="351" t="s">
        <v>1959</v>
      </c>
      <c r="AZ212" s="352" t="str">
        <f>(VLOOKUP(A212,TradesEquity!$1:$1048576,29,FALSE))</f>
        <v>GSILGB2XXXX</v>
      </c>
      <c r="BA212" s="352" t="str">
        <f>(VLOOKUP(A212,TradesEquity!$1:$1048576,30,FALSE))</f>
        <v>JJSDJPJTXXX</v>
      </c>
      <c r="BB212" s="352">
        <f>(VLOOKUP(A212,TradesEquity!$1:$1048576,31,FALSE))</f>
        <v>6530490016</v>
      </c>
      <c r="BC212" s="352" t="str">
        <f>(VLOOKUP(A212,TradesEquity!$1:$1048576,32,FALSE))</f>
        <v>N</v>
      </c>
      <c r="BI212" s="352" t="str">
        <f>(VLOOKUP(A212,TradesEquity!$1:$1048576,38,FALSE))</f>
        <v xml:space="preserve">                  </v>
      </c>
      <c r="BJ212" s="352" t="str">
        <f>(VLOOKUP(A212,TradesEquity!$1:$1048576,39,FALSE))</f>
        <v xml:space="preserve">                          </v>
      </c>
      <c r="BK212" s="352" t="str">
        <f>(VLOOKUP(A212,TradesEquity!$1:$1048576,40,FALSE))</f>
        <v>GOLDJPJXXXX</v>
      </c>
    </row>
    <row r="213" spans="1:63">
      <c r="A213" s="412">
        <f t="shared" si="8"/>
        <v>2019200460</v>
      </c>
      <c r="D213" s="342" t="s">
        <v>1957</v>
      </c>
      <c r="F213" s="343">
        <f>VLOOKUP(A213,TradesEquity!$1:$1048576,2,FALSE)</f>
        <v>44307</v>
      </c>
      <c r="H213" s="343">
        <f>VLOOKUP(A213,TradesEquity!$1:$1048576,21,FALSE)</f>
        <v>44309</v>
      </c>
      <c r="I213" s="344" t="str">
        <f>IF(VLOOKUP(A213,TradesEquity!$1:$1048576,3,FALSE)="BUY","B","S")</f>
        <v>B</v>
      </c>
      <c r="J213" s="344" t="str">
        <f>VLOOKUP(A213,TradesEquity!$1:$1048576,5,FALSE)</f>
        <v>JP3866800000</v>
      </c>
      <c r="K213" s="342" t="s">
        <v>19</v>
      </c>
      <c r="L213" s="345" t="s">
        <v>1958</v>
      </c>
      <c r="AE213" s="346" t="str">
        <f>VLOOKUP(A213,TradesEquity!$1:$1048576,10,FALSE)</f>
        <v>JPY</v>
      </c>
      <c r="AF213" s="346" t="str">
        <f t="shared" si="6"/>
        <v>JPY</v>
      </c>
      <c r="AG213" s="346" t="str">
        <f t="shared" si="6"/>
        <v>JPY</v>
      </c>
      <c r="AH213" s="346" t="str">
        <f t="shared" si="6"/>
        <v>JPY</v>
      </c>
      <c r="AI213" s="346">
        <f>ABS(VLOOKUP(A213,TradesEquity!$1:$1048576,13,FALSE))</f>
        <v>11000</v>
      </c>
      <c r="AJ213" s="347">
        <v>0</v>
      </c>
      <c r="AK213" s="347">
        <v>1</v>
      </c>
      <c r="AL213" s="346">
        <f>VLOOKUP(A213,TradesEquity!$1:$1048576,11,FALSE)</f>
        <v>1312.2236359999999</v>
      </c>
      <c r="AM213" s="347">
        <v>1</v>
      </c>
      <c r="AN213" s="346">
        <f>ABS(VLOOKUP(A213,TradesEquity!$1:$1048576,14,FALSE))</f>
        <v>14434459.995999999</v>
      </c>
      <c r="AO213" s="346">
        <f>ABS(VLOOKUP(A213,TradesEquity!$1:$1048576,15,FALSE))</f>
        <v>8661</v>
      </c>
      <c r="AP213" s="348">
        <f>ABS(VLOOKUP(A213,TradesEquity!$1:$1048576,16,FALSE))</f>
        <v>0</v>
      </c>
      <c r="AQ213" s="286">
        <v>0</v>
      </c>
      <c r="AR213" s="286">
        <v>0</v>
      </c>
      <c r="AS213" s="286">
        <v>0</v>
      </c>
      <c r="AT213" s="286">
        <v>0</v>
      </c>
      <c r="AU213" s="286">
        <v>0</v>
      </c>
      <c r="AV213" s="348">
        <f>ABS(VLOOKUP(A213,TradesEquity!$1:$1048576,18,FALSE))</f>
        <v>14443120.995999999</v>
      </c>
      <c r="AW213" s="349">
        <v>0</v>
      </c>
      <c r="AX213" s="350">
        <v>4542</v>
      </c>
      <c r="AY213" s="351" t="s">
        <v>1959</v>
      </c>
      <c r="AZ213" s="352" t="str">
        <f>(VLOOKUP(A213,TradesEquity!$1:$1048576,29,FALSE))</f>
        <v>GSILGB2XXXX</v>
      </c>
      <c r="BA213" s="352" t="str">
        <f>(VLOOKUP(A213,TradesEquity!$1:$1048576,30,FALSE))</f>
        <v>JJSDJPJTXXX</v>
      </c>
      <c r="BB213" s="352">
        <f>(VLOOKUP(A213,TradesEquity!$1:$1048576,31,FALSE))</f>
        <v>6530490016</v>
      </c>
      <c r="BC213" s="352" t="str">
        <f>(VLOOKUP(A213,TradesEquity!$1:$1048576,32,FALSE))</f>
        <v>N</v>
      </c>
      <c r="BI213" s="352" t="str">
        <f>(VLOOKUP(A213,TradesEquity!$1:$1048576,38,FALSE))</f>
        <v xml:space="preserve">                  </v>
      </c>
      <c r="BJ213" s="352" t="str">
        <f>(VLOOKUP(A213,TradesEquity!$1:$1048576,39,FALSE))</f>
        <v xml:space="preserve">                          </v>
      </c>
      <c r="BK213" s="352" t="str">
        <f>(VLOOKUP(A213,TradesEquity!$1:$1048576,40,FALSE))</f>
        <v>GOLDJPJXXXX</v>
      </c>
    </row>
    <row r="214" spans="1:63">
      <c r="A214" s="412">
        <f t="shared" si="8"/>
        <v>2019200461</v>
      </c>
      <c r="D214" s="342" t="s">
        <v>1957</v>
      </c>
      <c r="F214" s="343">
        <f>VLOOKUP(A214,TradesEquity!$1:$1048576,2,FALSE)</f>
        <v>44307</v>
      </c>
      <c r="H214" s="343">
        <f>VLOOKUP(A214,TradesEquity!$1:$1048576,21,FALSE)</f>
        <v>44309</v>
      </c>
      <c r="I214" s="344" t="str">
        <f>IF(VLOOKUP(A214,TradesEquity!$1:$1048576,3,FALSE)="BUY","B","S")</f>
        <v>B</v>
      </c>
      <c r="J214" s="344" t="str">
        <f>VLOOKUP(A214,TradesEquity!$1:$1048576,5,FALSE)</f>
        <v>JP3592200004</v>
      </c>
      <c r="K214" s="342" t="s">
        <v>19</v>
      </c>
      <c r="L214" s="345" t="s">
        <v>1958</v>
      </c>
      <c r="AE214" s="346" t="str">
        <f>VLOOKUP(A214,TradesEquity!$1:$1048576,10,FALSE)</f>
        <v>JPY</v>
      </c>
      <c r="AF214" s="346" t="str">
        <f t="shared" si="6"/>
        <v>JPY</v>
      </c>
      <c r="AG214" s="346" t="str">
        <f t="shared" si="6"/>
        <v>JPY</v>
      </c>
      <c r="AH214" s="346" t="str">
        <f t="shared" si="6"/>
        <v>JPY</v>
      </c>
      <c r="AI214" s="346">
        <f>ABS(VLOOKUP(A214,TradesEquity!$1:$1048576,13,FALSE))</f>
        <v>11000</v>
      </c>
      <c r="AJ214" s="347">
        <v>0</v>
      </c>
      <c r="AK214" s="347">
        <v>1</v>
      </c>
      <c r="AL214" s="346">
        <f>VLOOKUP(A214,TradesEquity!$1:$1048576,11,FALSE)</f>
        <v>4188.8545450000001</v>
      </c>
      <c r="AM214" s="347">
        <v>1</v>
      </c>
      <c r="AN214" s="346">
        <f>ABS(VLOOKUP(A214,TradesEquity!$1:$1048576,14,FALSE))</f>
        <v>46077399.995000005</v>
      </c>
      <c r="AO214" s="346">
        <f>ABS(VLOOKUP(A214,TradesEquity!$1:$1048576,15,FALSE))</f>
        <v>27646</v>
      </c>
      <c r="AP214" s="348">
        <f>ABS(VLOOKUP(A214,TradesEquity!$1:$1048576,16,FALSE))</f>
        <v>0</v>
      </c>
      <c r="AQ214" s="286">
        <v>0</v>
      </c>
      <c r="AR214" s="286">
        <v>0</v>
      </c>
      <c r="AS214" s="286">
        <v>0</v>
      </c>
      <c r="AT214" s="286">
        <v>0</v>
      </c>
      <c r="AU214" s="286">
        <v>0</v>
      </c>
      <c r="AV214" s="348">
        <f>ABS(VLOOKUP(A214,TradesEquity!$1:$1048576,18,FALSE))</f>
        <v>46105045.995000005</v>
      </c>
      <c r="AW214" s="349">
        <v>0</v>
      </c>
      <c r="AX214" s="350">
        <v>4542</v>
      </c>
      <c r="AY214" s="351" t="s">
        <v>1959</v>
      </c>
      <c r="AZ214" s="352" t="str">
        <f>(VLOOKUP(A214,TradesEquity!$1:$1048576,29,FALSE))</f>
        <v>GSILGB2XXXX</v>
      </c>
      <c r="BA214" s="352" t="str">
        <f>(VLOOKUP(A214,TradesEquity!$1:$1048576,30,FALSE))</f>
        <v>JJSDJPJTXXX</v>
      </c>
      <c r="BB214" s="352">
        <f>(VLOOKUP(A214,TradesEquity!$1:$1048576,31,FALSE))</f>
        <v>6530490016</v>
      </c>
      <c r="BC214" s="352" t="str">
        <f>(VLOOKUP(A214,TradesEquity!$1:$1048576,32,FALSE))</f>
        <v>N</v>
      </c>
      <c r="BI214" s="352" t="str">
        <f>(VLOOKUP(A214,TradesEquity!$1:$1048576,38,FALSE))</f>
        <v xml:space="preserve">                  </v>
      </c>
      <c r="BJ214" s="352" t="str">
        <f>(VLOOKUP(A214,TradesEquity!$1:$1048576,39,FALSE))</f>
        <v xml:space="preserve">                          </v>
      </c>
      <c r="BK214" s="352" t="str">
        <f>(VLOOKUP(A214,TradesEquity!$1:$1048576,40,FALSE))</f>
        <v>GOLDJPJXXXX</v>
      </c>
    </row>
    <row r="215" spans="1:63">
      <c r="A215" s="412">
        <f t="shared" si="8"/>
        <v>2019200462</v>
      </c>
      <c r="D215" s="342" t="s">
        <v>1957</v>
      </c>
      <c r="F215" s="343">
        <f>VLOOKUP(A215,TradesEquity!$1:$1048576,2,FALSE)</f>
        <v>44307</v>
      </c>
      <c r="H215" s="343">
        <f>VLOOKUP(A215,TradesEquity!$1:$1048576,21,FALSE)</f>
        <v>44309</v>
      </c>
      <c r="I215" s="344" t="str">
        <f>IF(VLOOKUP(A215,TradesEquity!$1:$1048576,3,FALSE)="BUY","B","S")</f>
        <v>S</v>
      </c>
      <c r="J215" s="344" t="str">
        <f>VLOOKUP(A215,TradesEquity!$1:$1048576,5,FALSE)</f>
        <v>IT0005424830</v>
      </c>
      <c r="K215" s="342" t="s">
        <v>19</v>
      </c>
      <c r="L215" s="345" t="s">
        <v>1958</v>
      </c>
      <c r="AE215" s="346" t="str">
        <f>VLOOKUP(A215,TradesEquity!$1:$1048576,10,FALSE)</f>
        <v>EUR</v>
      </c>
      <c r="AF215" s="346" t="str">
        <f t="shared" si="6"/>
        <v>EUR</v>
      </c>
      <c r="AG215" s="346" t="str">
        <f t="shared" si="6"/>
        <v>EUR</v>
      </c>
      <c r="AH215" s="346" t="str">
        <f t="shared" si="6"/>
        <v>EUR</v>
      </c>
      <c r="AI215" s="346">
        <f>ABS(VLOOKUP(A215,TradesEquity!$1:$1048576,13,FALSE))</f>
        <v>4187</v>
      </c>
      <c r="AJ215" s="347">
        <v>0</v>
      </c>
      <c r="AK215" s="347">
        <v>1</v>
      </c>
      <c r="AL215" s="346">
        <f>VLOOKUP(A215,TradesEquity!$1:$1048576,11,FALSE)</f>
        <v>4.9228290000000001</v>
      </c>
      <c r="AM215" s="347">
        <v>1</v>
      </c>
      <c r="AN215" s="346">
        <f>ABS(VLOOKUP(A215,TradesEquity!$1:$1048576,14,FALSE))</f>
        <v>20611.885022999999</v>
      </c>
      <c r="AO215" s="346">
        <f>ABS(VLOOKUP(A215,TradesEquity!$1:$1048576,15,FALSE))</f>
        <v>12.37</v>
      </c>
      <c r="AP215" s="348">
        <f>ABS(VLOOKUP(A215,TradesEquity!$1:$1048576,16,FALSE))</f>
        <v>0</v>
      </c>
      <c r="AQ215" s="286">
        <v>0</v>
      </c>
      <c r="AR215" s="286">
        <v>0</v>
      </c>
      <c r="AS215" s="286">
        <v>0</v>
      </c>
      <c r="AT215" s="286">
        <v>0</v>
      </c>
      <c r="AU215" s="286">
        <v>0</v>
      </c>
      <c r="AV215" s="348">
        <f>ABS(VLOOKUP(A215,TradesEquity!$1:$1048576,18,FALSE))</f>
        <v>20599.515023</v>
      </c>
      <c r="AW215" s="349">
        <v>0</v>
      </c>
      <c r="AX215" s="350">
        <v>4542</v>
      </c>
      <c r="AY215" s="351" t="s">
        <v>1959</v>
      </c>
      <c r="AZ215" s="352" t="str">
        <f>(VLOOKUP(A215,TradesEquity!$1:$1048576,29,FALSE))</f>
        <v>GSILGB2XXXX</v>
      </c>
      <c r="BA215" s="352" t="str">
        <f>(VLOOKUP(A215,TradesEquity!$1:$1048576,30,FALSE))</f>
        <v>MOTIITMMXXX</v>
      </c>
      <c r="BB215" s="352" t="str">
        <f>(VLOOKUP(A215,TradesEquity!$1:$1048576,31,FALSE))</f>
        <v>MOTICITIITMXXXX6013800</v>
      </c>
      <c r="BC215" s="352" t="str">
        <f>(VLOOKUP(A215,TradesEquity!$1:$1048576,32,FALSE))</f>
        <v>N</v>
      </c>
      <c r="BI215" s="352" t="str">
        <f>(VLOOKUP(A215,TradesEquity!$1:$1048576,38,FALSE))</f>
        <v xml:space="preserve">        </v>
      </c>
      <c r="BJ215" s="352" t="str">
        <f>(VLOOKUP(A215,TradesEquity!$1:$1048576,39,FALSE))</f>
        <v xml:space="preserve">        </v>
      </c>
      <c r="BK215" s="352" t="str">
        <f>(VLOOKUP(A215,TradesEquity!$1:$1048576,40,FALSE))</f>
        <v>CITIITM1012</v>
      </c>
    </row>
    <row r="216" spans="1:63">
      <c r="A216" s="412">
        <v>2019200463</v>
      </c>
      <c r="D216" s="342" t="s">
        <v>1957</v>
      </c>
      <c r="F216" s="343">
        <f>VLOOKUP(A216,TradesEquity!$1:$1048576,2,FALSE)</f>
        <v>44308</v>
      </c>
      <c r="H216" s="343">
        <f>VLOOKUP(A216,TradesEquity!$1:$1048576,21,FALSE)</f>
        <v>44312</v>
      </c>
      <c r="I216" s="344" t="str">
        <f>IF(VLOOKUP(A216,TradesEquity!$1:$1048576,3,FALSE)="BUY","B","S")</f>
        <v>B</v>
      </c>
      <c r="J216" s="344" t="str">
        <f>VLOOKUP(A216,TradesEquity!$1:$1048576,5,FALSE)</f>
        <v>FR0000131906</v>
      </c>
      <c r="K216" s="342" t="s">
        <v>19</v>
      </c>
      <c r="L216" s="345" t="s">
        <v>1958</v>
      </c>
      <c r="AE216" s="346" t="str">
        <f>VLOOKUP(A216,TradesEquity!$1:$1048576,10,FALSE)</f>
        <v>EUR</v>
      </c>
      <c r="AF216" s="346" t="str">
        <f t="shared" si="6"/>
        <v>EUR</v>
      </c>
      <c r="AG216" s="346" t="str">
        <f t="shared" si="6"/>
        <v>EUR</v>
      </c>
      <c r="AH216" s="346" t="str">
        <f t="shared" si="6"/>
        <v>EUR</v>
      </c>
      <c r="AI216" s="346">
        <f>ABS(VLOOKUP(A216,TradesEquity!$1:$1048576,13,FALSE))</f>
        <v>4500</v>
      </c>
      <c r="AJ216" s="347">
        <v>0</v>
      </c>
      <c r="AK216" s="347">
        <v>1</v>
      </c>
      <c r="AL216" s="346">
        <f>VLOOKUP(A216,TradesEquity!$1:$1048576,11,FALSE)</f>
        <v>33.870199999999997</v>
      </c>
      <c r="AM216" s="347">
        <v>1</v>
      </c>
      <c r="AN216" s="346">
        <f>ABS(VLOOKUP(A216,TradesEquity!$1:$1048576,14,FALSE))</f>
        <v>152415.9</v>
      </c>
      <c r="AO216" s="346">
        <f>ABS(VLOOKUP(A216,TradesEquity!$1:$1048576,15,FALSE))</f>
        <v>91.45</v>
      </c>
      <c r="AP216" s="348">
        <f>ABS(VLOOKUP(A216,TradesEquity!$1:$1048576,16,FALSE))</f>
        <v>457.25</v>
      </c>
      <c r="AQ216" s="286">
        <v>0</v>
      </c>
      <c r="AR216" s="286">
        <v>0</v>
      </c>
      <c r="AS216" s="286">
        <v>0</v>
      </c>
      <c r="AT216" s="286">
        <v>0</v>
      </c>
      <c r="AU216" s="286">
        <v>0</v>
      </c>
      <c r="AV216" s="348">
        <f>ABS(VLOOKUP(A216,TradesEquity!$1:$1048576,18,FALSE))</f>
        <v>152964.6</v>
      </c>
      <c r="AW216" s="349">
        <v>0</v>
      </c>
      <c r="AX216" s="350">
        <v>4542</v>
      </c>
      <c r="AY216" s="351" t="s">
        <v>1959</v>
      </c>
      <c r="AZ216" s="352" t="str">
        <f>(VLOOKUP(A216,TradesEquity!$1:$1048576,29,FALSE))</f>
        <v>EMSIITM1XXX</v>
      </c>
      <c r="BA216" s="352" t="str">
        <f>(VLOOKUP(A216,TradesEquity!$1:$1048576,30,FALSE))</f>
        <v>SICVFRPPXXX</v>
      </c>
      <c r="BB216" s="352" t="str">
        <f>(VLOOKUP(A216,TradesEquity!$1:$1048576,31,FALSE))</f>
        <v>SICVBCITITMMD00000L10</v>
      </c>
      <c r="BC216" s="352" t="str">
        <f>(VLOOKUP(A216,TradesEquity!$1:$1048576,32,FALSE))</f>
        <v>N</v>
      </c>
      <c r="BI216" s="352" t="str">
        <f>(VLOOKUP(A216,TradesEquity!$1:$1048576,38,FALSE))</f>
        <v xml:space="preserve">        </v>
      </c>
      <c r="BJ216" s="352" t="str">
        <f>(VLOOKUP(A216,TradesEquity!$1:$1048576,39,FALSE))</f>
        <v xml:space="preserve">        </v>
      </c>
      <c r="BK216" s="352" t="str">
        <f>(VLOOKUP(A216,TradesEquity!$1:$1048576,40,FALSE))</f>
        <v>BCITITMMD00</v>
      </c>
    </row>
    <row r="217" spans="1:63">
      <c r="A217" s="412">
        <v>2019200464</v>
      </c>
      <c r="D217" s="342" t="s">
        <v>1957</v>
      </c>
      <c r="F217" s="343">
        <f>VLOOKUP(A217,TradesEquity!$1:$1048576,2,FALSE)</f>
        <v>44309</v>
      </c>
      <c r="H217" s="343">
        <f>VLOOKUP(A217,TradesEquity!$1:$1048576,21,FALSE)</f>
        <v>44312</v>
      </c>
      <c r="I217" s="344" t="str">
        <f>IF(VLOOKUP(A217,TradesEquity!$1:$1048576,3,FALSE)="BUY","B","S")</f>
        <v>S</v>
      </c>
      <c r="J217" s="344" t="str">
        <f>VLOOKUP(A217,TradesEquity!$1:$1048576,5,FALSE)</f>
        <v>IT0005424830</v>
      </c>
      <c r="K217" s="342" t="s">
        <v>19</v>
      </c>
      <c r="L217" s="345" t="s">
        <v>1958</v>
      </c>
      <c r="AE217" s="346" t="str">
        <f>VLOOKUP(A217,TradesEquity!$1:$1048576,10,FALSE)</f>
        <v>EUR</v>
      </c>
      <c r="AF217" s="346" t="str">
        <f t="shared" si="6"/>
        <v>EUR</v>
      </c>
      <c r="AG217" s="346" t="str">
        <f t="shared" si="6"/>
        <v>EUR</v>
      </c>
      <c r="AH217" s="346" t="str">
        <f t="shared" si="6"/>
        <v>EUR</v>
      </c>
      <c r="AI217" s="346">
        <f>ABS(VLOOKUP(A217,TradesEquity!$1:$1048576,13,FALSE))</f>
        <v>1240</v>
      </c>
      <c r="AJ217" s="347">
        <v>0</v>
      </c>
      <c r="AK217" s="347">
        <v>1</v>
      </c>
      <c r="AL217" s="346">
        <f>VLOOKUP(A217,TradesEquity!$1:$1048576,11,FALSE)</f>
        <v>4.8864960000000002</v>
      </c>
      <c r="AM217" s="347">
        <v>1</v>
      </c>
      <c r="AN217" s="346">
        <f>ABS(VLOOKUP(A217,TradesEquity!$1:$1048576,14,FALSE))</f>
        <v>6059.25504</v>
      </c>
      <c r="AO217" s="346">
        <f>ABS(VLOOKUP(A217,TradesEquity!$1:$1048576,15,FALSE))</f>
        <v>3.64</v>
      </c>
      <c r="AP217" s="348">
        <f>ABS(VLOOKUP(A217,TradesEquity!$1:$1048576,16,FALSE))</f>
        <v>0</v>
      </c>
      <c r="AQ217" s="286">
        <v>0</v>
      </c>
      <c r="AR217" s="286">
        <v>0</v>
      </c>
      <c r="AS217" s="286">
        <v>0</v>
      </c>
      <c r="AT217" s="286">
        <v>0</v>
      </c>
      <c r="AU217" s="286">
        <v>0</v>
      </c>
      <c r="AV217" s="348">
        <f>ABS(VLOOKUP(A217,TradesEquity!$1:$1048576,18,FALSE))</f>
        <v>6055.6150399999997</v>
      </c>
      <c r="AW217" s="349">
        <v>0</v>
      </c>
      <c r="AX217" s="350">
        <v>4542</v>
      </c>
      <c r="AY217" s="351" t="s">
        <v>1959</v>
      </c>
      <c r="AZ217" s="352" t="str">
        <f>(VLOOKUP(A217,TradesEquity!$1:$1048576,29,FALSE))</f>
        <v>GSILGB2XXXX</v>
      </c>
      <c r="BA217" s="352" t="str">
        <f>(VLOOKUP(A217,TradesEquity!$1:$1048576,30,FALSE))</f>
        <v>MOTIITMMXXX</v>
      </c>
      <c r="BB217" s="352" t="str">
        <f>(VLOOKUP(A217,TradesEquity!$1:$1048576,31,FALSE))</f>
        <v>MOTICITIITMXXXX6013800</v>
      </c>
      <c r="BC217" s="352" t="str">
        <f>(VLOOKUP(A217,TradesEquity!$1:$1048576,32,FALSE))</f>
        <v>N</v>
      </c>
      <c r="BI217" s="352" t="str">
        <f>(VLOOKUP(A217,TradesEquity!$1:$1048576,38,FALSE))</f>
        <v xml:space="preserve">        </v>
      </c>
      <c r="BJ217" s="352" t="str">
        <f>(VLOOKUP(A217,TradesEquity!$1:$1048576,39,FALSE))</f>
        <v xml:space="preserve">        </v>
      </c>
      <c r="BK217" s="352" t="str">
        <f>(VLOOKUP(A217,TradesEquity!$1:$1048576,40,FALSE))</f>
        <v>CITIITM1012</v>
      </c>
    </row>
    <row r="218" spans="1:63">
      <c r="A218" s="412">
        <v>2019200465</v>
      </c>
      <c r="D218" s="342" t="s">
        <v>1957</v>
      </c>
      <c r="F218" s="343">
        <f>VLOOKUP(A218,TradesEquity!$1:$1048576,2,FALSE)</f>
        <v>44309</v>
      </c>
      <c r="H218" s="343">
        <f>VLOOKUP(A218,TradesEquity!$1:$1048576,21,FALSE)</f>
        <v>44313</v>
      </c>
      <c r="I218" s="344" t="str">
        <f>IF(VLOOKUP(A218,TradesEquity!$1:$1048576,3,FALSE)="BUY","B","S")</f>
        <v>S</v>
      </c>
      <c r="J218" s="344" t="str">
        <f>VLOOKUP(A218,TradesEquity!$1:$1048576,5,FALSE)</f>
        <v>IT0005424830</v>
      </c>
      <c r="K218" s="342" t="s">
        <v>19</v>
      </c>
      <c r="L218" s="345" t="s">
        <v>1958</v>
      </c>
      <c r="AE218" s="346" t="str">
        <f>VLOOKUP(A218,TradesEquity!$1:$1048576,10,FALSE)</f>
        <v>EUR</v>
      </c>
      <c r="AF218" s="346" t="str">
        <f t="shared" si="6"/>
        <v>EUR</v>
      </c>
      <c r="AG218" s="346" t="str">
        <f t="shared" si="6"/>
        <v>EUR</v>
      </c>
      <c r="AH218" s="346" t="str">
        <f t="shared" si="6"/>
        <v>EUR</v>
      </c>
      <c r="AI218" s="346">
        <f>ABS(VLOOKUP(A218,TradesEquity!$1:$1048576,13,FALSE))</f>
        <v>4084</v>
      </c>
      <c r="AJ218" s="347">
        <v>0</v>
      </c>
      <c r="AK218" s="347">
        <v>1</v>
      </c>
      <c r="AL218" s="346">
        <f>VLOOKUP(A218,TradesEquity!$1:$1048576,11,FALSE)</f>
        <v>4.8109859999999998</v>
      </c>
      <c r="AM218" s="347">
        <v>1</v>
      </c>
      <c r="AN218" s="346">
        <f>ABS(VLOOKUP(A218,TradesEquity!$1:$1048576,14,FALSE))</f>
        <v>19648.066823999998</v>
      </c>
      <c r="AO218" s="346">
        <f>ABS(VLOOKUP(A218,TradesEquity!$1:$1048576,15,FALSE))</f>
        <v>11.79</v>
      </c>
      <c r="AP218" s="348">
        <f>ABS(VLOOKUP(A218,TradesEquity!$1:$1048576,16,FALSE))</f>
        <v>0</v>
      </c>
      <c r="AQ218" s="286">
        <v>0</v>
      </c>
      <c r="AR218" s="286">
        <v>0</v>
      </c>
      <c r="AS218" s="286">
        <v>0</v>
      </c>
      <c r="AT218" s="286">
        <v>0</v>
      </c>
      <c r="AU218" s="286">
        <v>0</v>
      </c>
      <c r="AV218" s="348">
        <f>ABS(VLOOKUP(A218,TradesEquity!$1:$1048576,18,FALSE))</f>
        <v>19636.276823999997</v>
      </c>
      <c r="AW218" s="349">
        <v>0</v>
      </c>
      <c r="AX218" s="350">
        <v>4542</v>
      </c>
      <c r="AY218" s="351" t="s">
        <v>1959</v>
      </c>
      <c r="AZ218" s="352" t="str">
        <f>(VLOOKUP(A218,TradesEquity!$1:$1048576,29,FALSE))</f>
        <v>GSILGB2XXXX</v>
      </c>
      <c r="BA218" s="352" t="str">
        <f>(VLOOKUP(A218,TradesEquity!$1:$1048576,30,FALSE))</f>
        <v>MOTIITMMXXX</v>
      </c>
      <c r="BB218" s="352" t="str">
        <f>(VLOOKUP(A218,TradesEquity!$1:$1048576,31,FALSE))</f>
        <v>MOTICITIITMXXXX6013800</v>
      </c>
      <c r="BC218" s="352" t="str">
        <f>(VLOOKUP(A218,TradesEquity!$1:$1048576,32,FALSE))</f>
        <v>N</v>
      </c>
      <c r="BI218" s="352" t="str">
        <f>(VLOOKUP(A218,TradesEquity!$1:$1048576,38,FALSE))</f>
        <v xml:space="preserve">        </v>
      </c>
      <c r="BJ218" s="352" t="str">
        <f>(VLOOKUP(A218,TradesEquity!$1:$1048576,39,FALSE))</f>
        <v xml:space="preserve">        </v>
      </c>
      <c r="BK218" s="352" t="str">
        <f>(VLOOKUP(A218,TradesEquity!$1:$1048576,40,FALSE))</f>
        <v>CITIITM1012</v>
      </c>
    </row>
    <row r="219" spans="1:63">
      <c r="A219" s="412">
        <v>2019200466</v>
      </c>
      <c r="D219" s="342" t="s">
        <v>1957</v>
      </c>
      <c r="F219" s="343">
        <f>VLOOKUP(A219,TradesEquity!$1:$1048576,2,FALSE)</f>
        <v>44312</v>
      </c>
      <c r="H219" s="343">
        <f>VLOOKUP(A219,TradesEquity!$1:$1048576,21,FALSE)</f>
        <v>44314</v>
      </c>
      <c r="I219" s="344" t="str">
        <f>IF(VLOOKUP(A219,TradesEquity!$1:$1048576,3,FALSE)="BUY","B","S")</f>
        <v>B</v>
      </c>
      <c r="J219" s="344" t="str">
        <f>VLOOKUP(A219,TradesEquity!$1:$1048576,5,FALSE)</f>
        <v>JP3866800000</v>
      </c>
      <c r="K219" s="342" t="s">
        <v>19</v>
      </c>
      <c r="L219" s="345" t="s">
        <v>1958</v>
      </c>
      <c r="AE219" s="346" t="str">
        <f>VLOOKUP(A219,TradesEquity!$1:$1048576,10,FALSE)</f>
        <v>JPY</v>
      </c>
      <c r="AF219" s="346" t="str">
        <f t="shared" si="6"/>
        <v>JPY</v>
      </c>
      <c r="AG219" s="346" t="str">
        <f t="shared" si="6"/>
        <v>JPY</v>
      </c>
      <c r="AH219" s="346" t="str">
        <f t="shared" si="6"/>
        <v>JPY</v>
      </c>
      <c r="AI219" s="346">
        <f>ABS(VLOOKUP(A219,TradesEquity!$1:$1048576,13,FALSE))</f>
        <v>9000</v>
      </c>
      <c r="AJ219" s="347">
        <v>0</v>
      </c>
      <c r="AK219" s="347">
        <v>1</v>
      </c>
      <c r="AL219" s="346">
        <f>VLOOKUP(A219,TradesEquity!$1:$1048576,11,FALSE)</f>
        <v>1319.5</v>
      </c>
      <c r="AM219" s="347">
        <v>1</v>
      </c>
      <c r="AN219" s="346">
        <f>ABS(VLOOKUP(A219,TradesEquity!$1:$1048576,14,FALSE))</f>
        <v>11875500</v>
      </c>
      <c r="AO219" s="346">
        <f>ABS(VLOOKUP(A219,TradesEquity!$1:$1048576,15,FALSE))</f>
        <v>7124</v>
      </c>
      <c r="AP219" s="348">
        <f>ABS(VLOOKUP(A219,TradesEquity!$1:$1048576,16,FALSE))</f>
        <v>0</v>
      </c>
      <c r="AQ219" s="286">
        <v>0</v>
      </c>
      <c r="AR219" s="286">
        <v>0</v>
      </c>
      <c r="AS219" s="286">
        <v>0</v>
      </c>
      <c r="AT219" s="286">
        <v>0</v>
      </c>
      <c r="AU219" s="286">
        <v>0</v>
      </c>
      <c r="AV219" s="348">
        <f>ABS(VLOOKUP(A219,TradesEquity!$1:$1048576,18,FALSE))</f>
        <v>11882624</v>
      </c>
      <c r="AW219" s="349">
        <v>0</v>
      </c>
      <c r="AX219" s="350">
        <v>4542</v>
      </c>
      <c r="AY219" s="351" t="s">
        <v>1959</v>
      </c>
      <c r="AZ219" s="352" t="str">
        <f>(VLOOKUP(A219,TradesEquity!$1:$1048576,29,FALSE))</f>
        <v>GSILGB2XXXX</v>
      </c>
      <c r="BA219" s="352" t="str">
        <f>(VLOOKUP(A219,TradesEquity!$1:$1048576,30,FALSE))</f>
        <v>JJSDJPJTXXX</v>
      </c>
      <c r="BB219" s="352">
        <f>(VLOOKUP(A219,TradesEquity!$1:$1048576,31,FALSE))</f>
        <v>6530490016</v>
      </c>
      <c r="BC219" s="352" t="str">
        <f>(VLOOKUP(A219,TradesEquity!$1:$1048576,32,FALSE))</f>
        <v>N</v>
      </c>
      <c r="BI219" s="352" t="str">
        <f>(VLOOKUP(A219,TradesEquity!$1:$1048576,38,FALSE))</f>
        <v xml:space="preserve">                  </v>
      </c>
      <c r="BJ219" s="352" t="str">
        <f>(VLOOKUP(A219,TradesEquity!$1:$1048576,39,FALSE))</f>
        <v xml:space="preserve">                          </v>
      </c>
      <c r="BK219" s="352" t="str">
        <f>(VLOOKUP(A219,TradesEquity!$1:$1048576,40,FALSE))</f>
        <v>GOLDJPJXXXX</v>
      </c>
    </row>
    <row r="220" spans="1:63">
      <c r="A220" s="412">
        <v>2019200467</v>
      </c>
      <c r="D220" s="342" t="s">
        <v>1957</v>
      </c>
      <c r="F220" s="343">
        <f>VLOOKUP(A220,TradesEquity!$1:$1048576,2,FALSE)</f>
        <v>44312</v>
      </c>
      <c r="H220" s="343">
        <f>VLOOKUP(A220,TradesEquity!$1:$1048576,21,FALSE)</f>
        <v>44314</v>
      </c>
      <c r="I220" s="344" t="str">
        <f>IF(VLOOKUP(A220,TradesEquity!$1:$1048576,3,FALSE)="BUY","B","S")</f>
        <v>B</v>
      </c>
      <c r="J220" s="344" t="str">
        <f>VLOOKUP(A220,TradesEquity!$1:$1048576,5,FALSE)</f>
        <v>JP3544000007</v>
      </c>
      <c r="K220" s="342" t="s">
        <v>19</v>
      </c>
      <c r="L220" s="345" t="s">
        <v>1958</v>
      </c>
      <c r="AE220" s="346" t="str">
        <f>VLOOKUP(A220,TradesEquity!$1:$1048576,10,FALSE)</f>
        <v>JPY</v>
      </c>
      <c r="AF220" s="346" t="str">
        <f t="shared" si="6"/>
        <v>JPY</v>
      </c>
      <c r="AG220" s="346" t="str">
        <f t="shared" si="6"/>
        <v>JPY</v>
      </c>
      <c r="AH220" s="346" t="str">
        <f t="shared" si="6"/>
        <v>JPY</v>
      </c>
      <c r="AI220" s="346">
        <f>ABS(VLOOKUP(A220,TradesEquity!$1:$1048576,13,FALSE))</f>
        <v>5000</v>
      </c>
      <c r="AJ220" s="347">
        <v>0</v>
      </c>
      <c r="AK220" s="347">
        <v>1</v>
      </c>
      <c r="AL220" s="346">
        <f>VLOOKUP(A220,TradesEquity!$1:$1048576,11,FALSE)</f>
        <v>1791.192</v>
      </c>
      <c r="AM220" s="347">
        <v>1</v>
      </c>
      <c r="AN220" s="346">
        <f>ABS(VLOOKUP(A220,TradesEquity!$1:$1048576,14,FALSE))</f>
        <v>8955960</v>
      </c>
      <c r="AO220" s="346">
        <f>ABS(VLOOKUP(A220,TradesEquity!$1:$1048576,15,FALSE))</f>
        <v>5374</v>
      </c>
      <c r="AP220" s="348">
        <f>ABS(VLOOKUP(A220,TradesEquity!$1:$1048576,16,FALSE))</f>
        <v>0</v>
      </c>
      <c r="AQ220" s="286">
        <v>0</v>
      </c>
      <c r="AR220" s="286">
        <v>0</v>
      </c>
      <c r="AS220" s="286">
        <v>0</v>
      </c>
      <c r="AT220" s="286">
        <v>0</v>
      </c>
      <c r="AU220" s="286">
        <v>0</v>
      </c>
      <c r="AV220" s="348">
        <f>ABS(VLOOKUP(A220,TradesEquity!$1:$1048576,18,FALSE))</f>
        <v>8961334</v>
      </c>
      <c r="AW220" s="349">
        <v>0</v>
      </c>
      <c r="AX220" s="350">
        <v>4542</v>
      </c>
      <c r="AY220" s="351" t="s">
        <v>1959</v>
      </c>
      <c r="AZ220" s="352" t="str">
        <f>(VLOOKUP(A220,TradesEquity!$1:$1048576,29,FALSE))</f>
        <v>GSILGB2XXXX</v>
      </c>
      <c r="BA220" s="352" t="str">
        <f>(VLOOKUP(A220,TradesEquity!$1:$1048576,30,FALSE))</f>
        <v>JJSDJPJTXXX</v>
      </c>
      <c r="BB220" s="352">
        <f>(VLOOKUP(A220,TradesEquity!$1:$1048576,31,FALSE))</f>
        <v>6530490016</v>
      </c>
      <c r="BC220" s="352" t="str">
        <f>(VLOOKUP(A220,TradesEquity!$1:$1048576,32,FALSE))</f>
        <v>N</v>
      </c>
      <c r="BI220" s="352" t="str">
        <f>(VLOOKUP(A220,TradesEquity!$1:$1048576,38,FALSE))</f>
        <v xml:space="preserve">                  </v>
      </c>
      <c r="BJ220" s="352" t="str">
        <f>(VLOOKUP(A220,TradesEquity!$1:$1048576,39,FALSE))</f>
        <v xml:space="preserve">                          </v>
      </c>
      <c r="BK220" s="352" t="str">
        <f>(VLOOKUP(A220,TradesEquity!$1:$1048576,40,FALSE))</f>
        <v>GOLDJPJXXXX</v>
      </c>
    </row>
    <row r="221" spans="1:63">
      <c r="A221" s="412">
        <v>2019200468</v>
      </c>
      <c r="D221" s="342" t="s">
        <v>1957</v>
      </c>
      <c r="F221" s="343">
        <f>VLOOKUP(A221,TradesEquity!$1:$1048576,2,FALSE)</f>
        <v>44313</v>
      </c>
      <c r="H221" s="343">
        <f>VLOOKUP(A221,TradesEquity!$1:$1048576,21,FALSE)</f>
        <v>44315</v>
      </c>
      <c r="I221" s="344" t="str">
        <f>IF(VLOOKUP(A221,TradesEquity!$1:$1048576,3,FALSE)="BUY","B","S")</f>
        <v>S</v>
      </c>
      <c r="J221" s="344" t="str">
        <f>VLOOKUP(A221,TradesEquity!$1:$1048576,5,FALSE)</f>
        <v>IT0005424830</v>
      </c>
      <c r="K221" s="342" t="s">
        <v>19</v>
      </c>
      <c r="L221" s="345" t="s">
        <v>1958</v>
      </c>
      <c r="AE221" s="346" t="str">
        <f>VLOOKUP(A221,TradesEquity!$1:$1048576,10,FALSE)</f>
        <v>EUR</v>
      </c>
      <c r="AF221" s="346" t="str">
        <f t="shared" si="6"/>
        <v>EUR</v>
      </c>
      <c r="AG221" s="346" t="str">
        <f t="shared" si="6"/>
        <v>EUR</v>
      </c>
      <c r="AH221" s="346" t="str">
        <f t="shared" si="6"/>
        <v>EUR</v>
      </c>
      <c r="AI221" s="346">
        <f>ABS(VLOOKUP(A221,TradesEquity!$1:$1048576,13,FALSE))</f>
        <v>5062</v>
      </c>
      <c r="AJ221" s="347">
        <v>0</v>
      </c>
      <c r="AK221" s="347">
        <v>1</v>
      </c>
      <c r="AL221" s="346">
        <f>VLOOKUP(A221,TradesEquity!$1:$1048576,11,FALSE)</f>
        <v>4.7933789999999998</v>
      </c>
      <c r="AM221" s="347">
        <v>1</v>
      </c>
      <c r="AN221" s="346">
        <f>ABS(VLOOKUP(A221,TradesEquity!$1:$1048576,14,FALSE))</f>
        <v>24264.084498</v>
      </c>
      <c r="AO221" s="346">
        <f>ABS(VLOOKUP(A221,TradesEquity!$1:$1048576,15,FALSE))</f>
        <v>14.56</v>
      </c>
      <c r="AP221" s="348">
        <f>ABS(VLOOKUP(A221,TradesEquity!$1:$1048576,16,FALSE))</f>
        <v>0</v>
      </c>
      <c r="AQ221" s="286">
        <v>0</v>
      </c>
      <c r="AR221" s="286">
        <v>0</v>
      </c>
      <c r="AS221" s="286">
        <v>0</v>
      </c>
      <c r="AT221" s="286">
        <v>0</v>
      </c>
      <c r="AU221" s="286">
        <v>0</v>
      </c>
      <c r="AV221" s="348">
        <f>ABS(VLOOKUP(A221,TradesEquity!$1:$1048576,18,FALSE))</f>
        <v>24249.524497999999</v>
      </c>
      <c r="AW221" s="349">
        <v>0</v>
      </c>
      <c r="AX221" s="350">
        <v>4542</v>
      </c>
      <c r="AY221" s="351" t="s">
        <v>1959</v>
      </c>
      <c r="AZ221" s="352" t="str">
        <f>(VLOOKUP(A221,TradesEquity!$1:$1048576,29,FALSE))</f>
        <v>GSILGB2XXXX</v>
      </c>
      <c r="BA221" s="352" t="str">
        <f>(VLOOKUP(A221,TradesEquity!$1:$1048576,30,FALSE))</f>
        <v>MOTIITMMXXX</v>
      </c>
      <c r="BB221" s="352" t="str">
        <f>(VLOOKUP(A221,TradesEquity!$1:$1048576,31,FALSE))</f>
        <v>MOTICITIITMXXXX6013800</v>
      </c>
      <c r="BC221" s="352" t="str">
        <f>(VLOOKUP(A221,TradesEquity!$1:$1048576,32,FALSE))</f>
        <v>N</v>
      </c>
      <c r="BI221" s="352" t="str">
        <f>(VLOOKUP(A221,TradesEquity!$1:$1048576,38,FALSE))</f>
        <v xml:space="preserve">        </v>
      </c>
      <c r="BJ221" s="352" t="str">
        <f>(VLOOKUP(A221,TradesEquity!$1:$1048576,39,FALSE))</f>
        <v xml:space="preserve">        </v>
      </c>
      <c r="BK221" s="352" t="str">
        <f>(VLOOKUP(A221,TradesEquity!$1:$1048576,40,FALSE))</f>
        <v>CITIITM1012</v>
      </c>
    </row>
    <row r="222" spans="1:63">
      <c r="A222" s="412">
        <v>2019200469</v>
      </c>
      <c r="D222" s="342" t="s">
        <v>1957</v>
      </c>
      <c r="F222" s="343">
        <f>VLOOKUP(A222,TradesEquity!$1:$1048576,2,FALSE)</f>
        <v>44314</v>
      </c>
      <c r="H222" s="343">
        <f>VLOOKUP(A222,TradesEquity!$1:$1048576,21,FALSE)</f>
        <v>44316</v>
      </c>
      <c r="I222" s="344" t="str">
        <f>IF(VLOOKUP(A222,TradesEquity!$1:$1048576,3,FALSE)="BUY","B","S")</f>
        <v>S</v>
      </c>
      <c r="J222" s="344" t="str">
        <f>VLOOKUP(A222,TradesEquity!$1:$1048576,5,FALSE)</f>
        <v>IT0005424830</v>
      </c>
      <c r="K222" s="342" t="s">
        <v>19</v>
      </c>
      <c r="L222" s="345" t="s">
        <v>1958</v>
      </c>
      <c r="AE222" s="346" t="str">
        <f>VLOOKUP(A222,TradesEquity!$1:$1048576,10,FALSE)</f>
        <v>EUR</v>
      </c>
      <c r="AF222" s="346" t="str">
        <f t="shared" si="6"/>
        <v>EUR</v>
      </c>
      <c r="AG222" s="346" t="str">
        <f t="shared" si="6"/>
        <v>EUR</v>
      </c>
      <c r="AH222" s="346" t="str">
        <f t="shared" si="6"/>
        <v>EUR</v>
      </c>
      <c r="AI222" s="346">
        <f>ABS(VLOOKUP(A222,TradesEquity!$1:$1048576,13,FALSE))</f>
        <v>1427</v>
      </c>
      <c r="AJ222" s="347">
        <v>0</v>
      </c>
      <c r="AK222" s="347">
        <v>1</v>
      </c>
      <c r="AL222" s="346">
        <f>VLOOKUP(A222,TradesEquity!$1:$1048576,11,FALSE)</f>
        <v>4.7937180000000001</v>
      </c>
      <c r="AM222" s="347">
        <v>1</v>
      </c>
      <c r="AN222" s="346">
        <f>ABS(VLOOKUP(A222,TradesEquity!$1:$1048576,14,FALSE))</f>
        <v>6840.6355860000003</v>
      </c>
      <c r="AO222" s="346">
        <f>ABS(VLOOKUP(A222,TradesEquity!$1:$1048576,15,FALSE))</f>
        <v>4.0999999999999996</v>
      </c>
      <c r="AP222" s="348">
        <f>ABS(VLOOKUP(A222,TradesEquity!$1:$1048576,16,FALSE))</f>
        <v>0</v>
      </c>
      <c r="AQ222" s="286">
        <v>0</v>
      </c>
      <c r="AR222" s="286">
        <v>0</v>
      </c>
      <c r="AS222" s="286">
        <v>0</v>
      </c>
      <c r="AT222" s="286">
        <v>0</v>
      </c>
      <c r="AU222" s="286">
        <v>0</v>
      </c>
      <c r="AV222" s="348">
        <f>ABS(VLOOKUP(A222,TradesEquity!$1:$1048576,18,FALSE))</f>
        <v>6836.535586</v>
      </c>
      <c r="AW222" s="349">
        <v>0</v>
      </c>
      <c r="AX222" s="350">
        <v>4542</v>
      </c>
      <c r="AY222" s="351" t="s">
        <v>1959</v>
      </c>
      <c r="AZ222" s="352" t="str">
        <f>(VLOOKUP(A222,TradesEquity!$1:$1048576,29,FALSE))</f>
        <v>GSILGB2XXXX</v>
      </c>
      <c r="BA222" s="352" t="str">
        <f>(VLOOKUP(A222,TradesEquity!$1:$1048576,30,FALSE))</f>
        <v>MOTIITMMXXX</v>
      </c>
      <c r="BB222" s="352" t="str">
        <f>(VLOOKUP(A222,TradesEquity!$1:$1048576,31,FALSE))</f>
        <v>MOTICITIITMXXXX6013800</v>
      </c>
      <c r="BC222" s="352" t="str">
        <f>(VLOOKUP(A222,TradesEquity!$1:$1048576,32,FALSE))</f>
        <v>N</v>
      </c>
      <c r="BI222" s="352" t="str">
        <f>(VLOOKUP(A222,TradesEquity!$1:$1048576,38,FALSE))</f>
        <v xml:space="preserve">        </v>
      </c>
      <c r="BJ222" s="352" t="str">
        <f>(VLOOKUP(A222,TradesEquity!$1:$1048576,39,FALSE))</f>
        <v xml:space="preserve">        </v>
      </c>
      <c r="BK222" s="352" t="str">
        <f>(VLOOKUP(A222,TradesEquity!$1:$1048576,40,FALSE))</f>
        <v>CITIITM1012</v>
      </c>
    </row>
    <row r="223" spans="1:63">
      <c r="A223" s="412">
        <v>2019200470</v>
      </c>
      <c r="D223" s="342" t="s">
        <v>1957</v>
      </c>
      <c r="F223" s="343">
        <f>VLOOKUP(A223,TradesEquity!$1:$1048576,2,FALSE)</f>
        <v>44316</v>
      </c>
      <c r="H223" s="343">
        <f>VLOOKUP(A223,TradesEquity!$1:$1048576,21,FALSE)</f>
        <v>44323</v>
      </c>
      <c r="I223" s="344" t="str">
        <f>IF(VLOOKUP(A223,TradesEquity!$1:$1048576,3,FALSE)="BUY","B","S")</f>
        <v>S</v>
      </c>
      <c r="J223" s="344" t="str">
        <f>VLOOKUP(A223,TradesEquity!$1:$1048576,5,FALSE)</f>
        <v>JP3102000001</v>
      </c>
      <c r="K223" s="342" t="s">
        <v>19</v>
      </c>
      <c r="L223" s="345" t="s">
        <v>1958</v>
      </c>
      <c r="AE223" s="346" t="str">
        <f>VLOOKUP(A223,TradesEquity!$1:$1048576,10,FALSE)</f>
        <v>JPY</v>
      </c>
      <c r="AF223" s="346" t="str">
        <f t="shared" si="6"/>
        <v>JPY</v>
      </c>
      <c r="AG223" s="346" t="str">
        <f t="shared" si="6"/>
        <v>JPY</v>
      </c>
      <c r="AH223" s="346" t="str">
        <f t="shared" si="6"/>
        <v>JPY</v>
      </c>
      <c r="AI223" s="346">
        <f>ABS(VLOOKUP(A223,TradesEquity!$1:$1048576,13,FALSE))</f>
        <v>2200</v>
      </c>
      <c r="AJ223" s="347">
        <v>0</v>
      </c>
      <c r="AK223" s="347">
        <v>1</v>
      </c>
      <c r="AL223" s="346">
        <f>VLOOKUP(A223,TradesEquity!$1:$1048576,11,FALSE)</f>
        <v>4243.6636360000002</v>
      </c>
      <c r="AM223" s="347">
        <v>1</v>
      </c>
      <c r="AN223" s="346">
        <f>ABS(VLOOKUP(A223,TradesEquity!$1:$1048576,14,FALSE))</f>
        <v>9336059.9992000014</v>
      </c>
      <c r="AO223" s="346">
        <f>ABS(VLOOKUP(A223,TradesEquity!$1:$1048576,15,FALSE))</f>
        <v>5602</v>
      </c>
      <c r="AP223" s="348">
        <f>ABS(VLOOKUP(A223,TradesEquity!$1:$1048576,16,FALSE))</f>
        <v>0</v>
      </c>
      <c r="AQ223" s="286">
        <v>0</v>
      </c>
      <c r="AR223" s="286">
        <v>0</v>
      </c>
      <c r="AS223" s="286">
        <v>0</v>
      </c>
      <c r="AT223" s="286">
        <v>0</v>
      </c>
      <c r="AU223" s="286">
        <v>0</v>
      </c>
      <c r="AV223" s="348">
        <f>ABS(VLOOKUP(A223,TradesEquity!$1:$1048576,18,FALSE))</f>
        <v>9330457.9992000014</v>
      </c>
      <c r="AW223" s="349">
        <v>0</v>
      </c>
      <c r="AX223" s="350">
        <v>4542</v>
      </c>
      <c r="AY223" s="351" t="s">
        <v>1959</v>
      </c>
      <c r="AZ223" s="352" t="str">
        <f>(VLOOKUP(A223,TradesEquity!$1:$1048576,29,FALSE))</f>
        <v>GSILGB2XXXX</v>
      </c>
      <c r="BA223" s="352" t="str">
        <f>(VLOOKUP(A223,TradesEquity!$1:$1048576,30,FALSE))</f>
        <v>JJSDJPJTXXX</v>
      </c>
      <c r="BB223" s="352">
        <f>(VLOOKUP(A223,TradesEquity!$1:$1048576,31,FALSE))</f>
        <v>6530490016</v>
      </c>
      <c r="BC223" s="352" t="str">
        <f>(VLOOKUP(A223,TradesEquity!$1:$1048576,32,FALSE))</f>
        <v>N</v>
      </c>
      <c r="BI223" s="352" t="str">
        <f>(VLOOKUP(A223,TradesEquity!$1:$1048576,38,FALSE))</f>
        <v xml:space="preserve">                  </v>
      </c>
      <c r="BJ223" s="352" t="str">
        <f>(VLOOKUP(A223,TradesEquity!$1:$1048576,39,FALSE))</f>
        <v xml:space="preserve">                          </v>
      </c>
      <c r="BK223" s="352" t="str">
        <f>(VLOOKUP(A223,TradesEquity!$1:$1048576,40,FALSE))</f>
        <v>GOLDJPJXXXX</v>
      </c>
    </row>
    <row r="224" spans="1:63">
      <c r="A224" s="412">
        <v>2019200471</v>
      </c>
      <c r="D224" s="342" t="s">
        <v>1957</v>
      </c>
      <c r="F224" s="343">
        <f>VLOOKUP(A224,TradesEquity!$1:$1048576,2,FALSE)</f>
        <v>44322</v>
      </c>
      <c r="H224" s="343">
        <f>VLOOKUP(A224,TradesEquity!$1:$1048576,21,FALSE)</f>
        <v>44326</v>
      </c>
      <c r="I224" s="344" t="str">
        <f>IF(VLOOKUP(A224,TradesEquity!$1:$1048576,3,FALSE)="BUY","B","S")</f>
        <v>B</v>
      </c>
      <c r="J224" s="344" t="str">
        <f>VLOOKUP(A224,TradesEquity!$1:$1048576,5,FALSE)</f>
        <v>JP3866800000</v>
      </c>
      <c r="K224" s="342" t="s">
        <v>19</v>
      </c>
      <c r="L224" s="345" t="s">
        <v>1958</v>
      </c>
      <c r="AE224" s="346" t="str">
        <f>VLOOKUP(A224,TradesEquity!$1:$1048576,10,FALSE)</f>
        <v>JPY</v>
      </c>
      <c r="AF224" s="346" t="str">
        <f t="shared" si="6"/>
        <v>JPY</v>
      </c>
      <c r="AG224" s="346" t="str">
        <f t="shared" si="6"/>
        <v>JPY</v>
      </c>
      <c r="AH224" s="346" t="str">
        <f t="shared" si="6"/>
        <v>JPY</v>
      </c>
      <c r="AI224" s="346">
        <f>ABS(VLOOKUP(A224,TradesEquity!$1:$1048576,13,FALSE))</f>
        <v>25000</v>
      </c>
      <c r="AJ224" s="347">
        <v>0</v>
      </c>
      <c r="AK224" s="347">
        <v>1</v>
      </c>
      <c r="AL224" s="346">
        <f>VLOOKUP(A224,TradesEquity!$1:$1048576,11,FALSE)</f>
        <v>1308</v>
      </c>
      <c r="AM224" s="347">
        <v>1</v>
      </c>
      <c r="AN224" s="346">
        <f>ABS(VLOOKUP(A224,TradesEquity!$1:$1048576,14,FALSE))</f>
        <v>32700000</v>
      </c>
      <c r="AO224" s="346">
        <f>ABS(VLOOKUP(A224,TradesEquity!$1:$1048576,15,FALSE))</f>
        <v>19620</v>
      </c>
      <c r="AP224" s="348">
        <f>ABS(VLOOKUP(A224,TradesEquity!$1:$1048576,16,FALSE))</f>
        <v>0</v>
      </c>
      <c r="AQ224" s="286">
        <v>0</v>
      </c>
      <c r="AR224" s="286">
        <v>0</v>
      </c>
      <c r="AS224" s="286">
        <v>0</v>
      </c>
      <c r="AT224" s="286">
        <v>0</v>
      </c>
      <c r="AU224" s="286">
        <v>0</v>
      </c>
      <c r="AV224" s="348">
        <f>ABS(VLOOKUP(A224,TradesEquity!$1:$1048576,18,FALSE))</f>
        <v>32719620</v>
      </c>
      <c r="AW224" s="349">
        <v>0</v>
      </c>
      <c r="AX224" s="350">
        <v>4542</v>
      </c>
      <c r="AY224" s="351" t="s">
        <v>1959</v>
      </c>
      <c r="AZ224" s="352" t="str">
        <f>(VLOOKUP(A224,TradesEquity!$1:$1048576,29,FALSE))</f>
        <v>GSILGB2XXXX</v>
      </c>
      <c r="BA224" s="352" t="str">
        <f>(VLOOKUP(A224,TradesEquity!$1:$1048576,30,FALSE))</f>
        <v>JJSDJPJTXXX</v>
      </c>
      <c r="BB224" s="352">
        <f>(VLOOKUP(A224,TradesEquity!$1:$1048576,31,FALSE))</f>
        <v>6530490016</v>
      </c>
      <c r="BC224" s="352" t="str">
        <f>(VLOOKUP(A224,TradesEquity!$1:$1048576,32,FALSE))</f>
        <v>N</v>
      </c>
      <c r="BI224" s="352" t="str">
        <f>(VLOOKUP(A224,TradesEquity!$1:$1048576,38,FALSE))</f>
        <v xml:space="preserve">                  </v>
      </c>
      <c r="BJ224" s="352" t="str">
        <f>(VLOOKUP(A224,TradesEquity!$1:$1048576,39,FALSE))</f>
        <v xml:space="preserve">                          </v>
      </c>
      <c r="BK224" s="352" t="str">
        <f>(VLOOKUP(A224,TradesEquity!$1:$1048576,40,FALSE))</f>
        <v>GOLDJPJXXXX</v>
      </c>
    </row>
    <row r="225" spans="1:63">
      <c r="A225" s="412">
        <f>(A224+1)</f>
        <v>2019200472</v>
      </c>
      <c r="D225" s="342" t="s">
        <v>1957</v>
      </c>
      <c r="F225" s="343">
        <f>VLOOKUP(A225,TradesEquity!$1:$1048576,2,FALSE)</f>
        <v>44327</v>
      </c>
      <c r="H225" s="343">
        <f>VLOOKUP(A225,TradesEquity!$1:$1048576,21,FALSE)</f>
        <v>44329</v>
      </c>
      <c r="I225" s="344" t="str">
        <f>IF(VLOOKUP(A225,TradesEquity!$1:$1048576,3,FALSE)="BUY","B","S")</f>
        <v>S</v>
      </c>
      <c r="J225" s="344" t="str">
        <f>VLOOKUP(A225,TradesEquity!$1:$1048576,5,FALSE)</f>
        <v>KR7096771001</v>
      </c>
      <c r="K225" s="342" t="s">
        <v>19</v>
      </c>
      <c r="L225" s="345" t="s">
        <v>1958</v>
      </c>
      <c r="AE225" s="346" t="str">
        <f>VLOOKUP(A225,TradesEquity!$1:$1048576,10,FALSE)</f>
        <v>KRW</v>
      </c>
      <c r="AF225" s="346" t="str">
        <f t="shared" si="6"/>
        <v>KRW</v>
      </c>
      <c r="AG225" s="346" t="str">
        <f t="shared" si="6"/>
        <v>KRW</v>
      </c>
      <c r="AH225" s="346" t="str">
        <f t="shared" si="6"/>
        <v>KRW</v>
      </c>
      <c r="AI225" s="346">
        <f>ABS(VLOOKUP(A225,TradesEquity!$1:$1048576,13,FALSE))</f>
        <v>500</v>
      </c>
      <c r="AJ225" s="347">
        <v>0</v>
      </c>
      <c r="AK225" s="347">
        <v>1</v>
      </c>
      <c r="AL225" s="346">
        <f>VLOOKUP(A225,TradesEquity!$1:$1048576,11,FALSE)</f>
        <v>191298</v>
      </c>
      <c r="AM225" s="347">
        <v>1</v>
      </c>
      <c r="AN225" s="346">
        <f>ABS(VLOOKUP(A225,TradesEquity!$1:$1048576,14,FALSE))</f>
        <v>95649000</v>
      </c>
      <c r="AO225" s="346">
        <f>ABS(VLOOKUP(A225,TradesEquity!$1:$1048576,15,FALSE))</f>
        <v>143474</v>
      </c>
      <c r="AP225" s="348">
        <f>ABS(VLOOKUP(A225,TradesEquity!$1:$1048576,16,FALSE))</f>
        <v>219959</v>
      </c>
      <c r="AQ225" s="286">
        <v>0</v>
      </c>
      <c r="AR225" s="286">
        <v>0</v>
      </c>
      <c r="AS225" s="286">
        <v>0</v>
      </c>
      <c r="AT225" s="286">
        <v>0</v>
      </c>
      <c r="AU225" s="286">
        <v>0</v>
      </c>
      <c r="AV225" s="348">
        <f>ABS(VLOOKUP(A225,TradesEquity!$1:$1048576,18,FALSE))</f>
        <v>95285567</v>
      </c>
      <c r="AW225" s="349">
        <v>0</v>
      </c>
      <c r="AX225" s="350">
        <v>4542</v>
      </c>
      <c r="AY225" s="351" t="s">
        <v>1959</v>
      </c>
      <c r="AZ225" s="352" t="e">
        <f>(VLOOKUP(A225,TradesEquity!$1:$1048576,29,FALSE))</f>
        <v>#N/A</v>
      </c>
      <c r="BA225" s="352" t="e">
        <f>(VLOOKUP(A225,TradesEquity!$1:$1048576,30,FALSE))</f>
        <v>#N/A</v>
      </c>
      <c r="BB225" s="352" t="e">
        <f>(VLOOKUP(A225,TradesEquity!$1:$1048576,31,FALSE))</f>
        <v>#N/A</v>
      </c>
      <c r="BC225" s="352" t="e">
        <f>(VLOOKUP(A225,TradesEquity!$1:$1048576,32,FALSE))</f>
        <v>#N/A</v>
      </c>
      <c r="BI225" s="352" t="e">
        <f>(VLOOKUP(A225,TradesEquity!$1:$1048576,38,FALSE))</f>
        <v>#N/A</v>
      </c>
      <c r="BJ225" s="352" t="e">
        <f>(VLOOKUP(A225,TradesEquity!$1:$1048576,39,FALSE))</f>
        <v>#N/A</v>
      </c>
      <c r="BK225" s="352" t="e">
        <f>(VLOOKUP(A225,TradesEquity!$1:$1048576,40,FALSE))</f>
        <v>#N/A</v>
      </c>
    </row>
    <row r="226" spans="1:63">
      <c r="A226" s="412">
        <f t="shared" ref="A226:A228" si="9">(A225+1)</f>
        <v>2019200473</v>
      </c>
      <c r="D226" s="342" t="s">
        <v>1957</v>
      </c>
      <c r="F226" s="343">
        <f>VLOOKUP(A226,TradesEquity!$1:$1048576,2,FALSE)</f>
        <v>44327</v>
      </c>
      <c r="H226" s="343">
        <f>VLOOKUP(A226,TradesEquity!$1:$1048576,21,FALSE)</f>
        <v>44329</v>
      </c>
      <c r="I226" s="344" t="str">
        <f>IF(VLOOKUP(A226,TradesEquity!$1:$1048576,3,FALSE)="BUY","B","S")</f>
        <v>S</v>
      </c>
      <c r="J226" s="344" t="str">
        <f>VLOOKUP(A226,TradesEquity!$1:$1048576,5,FALSE)</f>
        <v>KR7006401004</v>
      </c>
      <c r="K226" s="342" t="s">
        <v>19</v>
      </c>
      <c r="L226" s="345" t="s">
        <v>1958</v>
      </c>
      <c r="AE226" s="346" t="str">
        <f>VLOOKUP(A226,TradesEquity!$1:$1048576,10,FALSE)</f>
        <v>KRW</v>
      </c>
      <c r="AF226" s="346" t="str">
        <f t="shared" si="6"/>
        <v>KRW</v>
      </c>
      <c r="AG226" s="346" t="str">
        <f t="shared" si="6"/>
        <v>KRW</v>
      </c>
      <c r="AH226" s="346" t="str">
        <f t="shared" si="6"/>
        <v>KRW</v>
      </c>
      <c r="AI226" s="346">
        <f>ABS(VLOOKUP(A226,TradesEquity!$1:$1048576,13,FALSE))</f>
        <v>410</v>
      </c>
      <c r="AJ226" s="347">
        <v>0</v>
      </c>
      <c r="AK226" s="347">
        <v>1</v>
      </c>
      <c r="AL226" s="346">
        <f>VLOOKUP(A226,TradesEquity!$1:$1048576,11,FALSE)</f>
        <v>438754.87800000003</v>
      </c>
      <c r="AM226" s="347">
        <v>1</v>
      </c>
      <c r="AN226" s="346">
        <f>ABS(VLOOKUP(A226,TradesEquity!$1:$1048576,14,FALSE))</f>
        <v>179889499.98000002</v>
      </c>
      <c r="AO226" s="346">
        <f>ABS(VLOOKUP(A226,TradesEquity!$1:$1048576,15,FALSE))</f>
        <v>269834</v>
      </c>
      <c r="AP226" s="348">
        <f>ABS(VLOOKUP(A226,TradesEquity!$1:$1048576,16,FALSE))</f>
        <v>413621</v>
      </c>
      <c r="AQ226" s="286">
        <v>0</v>
      </c>
      <c r="AR226" s="286">
        <v>0</v>
      </c>
      <c r="AS226" s="286">
        <v>0</v>
      </c>
      <c r="AT226" s="286">
        <v>0</v>
      </c>
      <c r="AU226" s="286">
        <v>0</v>
      </c>
      <c r="AV226" s="348">
        <f>ABS(VLOOKUP(A226,TradesEquity!$1:$1048576,18,FALSE))</f>
        <v>179206044.98000002</v>
      </c>
      <c r="AW226" s="349">
        <v>0</v>
      </c>
      <c r="AX226" s="350">
        <v>4542</v>
      </c>
      <c r="AY226" s="351" t="s">
        <v>1959</v>
      </c>
      <c r="AZ226" s="352" t="e">
        <f>(VLOOKUP(A226,TradesEquity!$1:$1048576,29,FALSE))</f>
        <v>#N/A</v>
      </c>
      <c r="BA226" s="352" t="e">
        <f>(VLOOKUP(A226,TradesEquity!$1:$1048576,30,FALSE))</f>
        <v>#N/A</v>
      </c>
      <c r="BB226" s="352" t="e">
        <f>(VLOOKUP(A226,TradesEquity!$1:$1048576,31,FALSE))</f>
        <v>#N/A</v>
      </c>
      <c r="BC226" s="352" t="e">
        <f>(VLOOKUP(A226,TradesEquity!$1:$1048576,32,FALSE))</f>
        <v>#N/A</v>
      </c>
      <c r="BI226" s="352" t="e">
        <f>(VLOOKUP(A226,TradesEquity!$1:$1048576,38,FALSE))</f>
        <v>#N/A</v>
      </c>
      <c r="BJ226" s="352" t="e">
        <f>(VLOOKUP(A226,TradesEquity!$1:$1048576,39,FALSE))</f>
        <v>#N/A</v>
      </c>
      <c r="BK226" s="352" t="e">
        <f>(VLOOKUP(A226,TradesEquity!$1:$1048576,40,FALSE))</f>
        <v>#N/A</v>
      </c>
    </row>
    <row r="227" spans="1:63">
      <c r="A227" s="412">
        <f t="shared" si="9"/>
        <v>2019200474</v>
      </c>
      <c r="D227" s="342" t="s">
        <v>1957</v>
      </c>
      <c r="F227" s="343">
        <f>VLOOKUP(A227,TradesEquity!$1:$1048576,2,FALSE)</f>
        <v>44327</v>
      </c>
      <c r="H227" s="343">
        <f>VLOOKUP(A227,TradesEquity!$1:$1048576,21,FALSE)</f>
        <v>44329</v>
      </c>
      <c r="I227" s="344" t="str">
        <f>IF(VLOOKUP(A227,TradesEquity!$1:$1048576,3,FALSE)="BUY","B","S")</f>
        <v>S</v>
      </c>
      <c r="J227" s="344" t="str">
        <f>VLOOKUP(A227,TradesEquity!$1:$1048576,5,FALSE)</f>
        <v>KR7051911006</v>
      </c>
      <c r="K227" s="342" t="s">
        <v>19</v>
      </c>
      <c r="L227" s="345" t="s">
        <v>1958</v>
      </c>
      <c r="AE227" s="346" t="str">
        <f>VLOOKUP(A227,TradesEquity!$1:$1048576,10,FALSE)</f>
        <v>KRW</v>
      </c>
      <c r="AF227" s="346" t="str">
        <f t="shared" si="6"/>
        <v>KRW</v>
      </c>
      <c r="AG227" s="346" t="str">
        <f t="shared" si="6"/>
        <v>KRW</v>
      </c>
      <c r="AH227" s="346" t="str">
        <f t="shared" si="6"/>
        <v>KRW</v>
      </c>
      <c r="AI227" s="346">
        <f>ABS(VLOOKUP(A227,TradesEquity!$1:$1048576,13,FALSE))</f>
        <v>600</v>
      </c>
      <c r="AJ227" s="347">
        <v>0</v>
      </c>
      <c r="AK227" s="347">
        <v>1</v>
      </c>
      <c r="AL227" s="346">
        <f>VLOOKUP(A227,TradesEquity!$1:$1048576,11,FALSE)</f>
        <v>431132.5</v>
      </c>
      <c r="AM227" s="347">
        <v>1</v>
      </c>
      <c r="AN227" s="346">
        <f>ABS(VLOOKUP(A227,TradesEquity!$1:$1048576,14,FALSE))</f>
        <v>258679500</v>
      </c>
      <c r="AO227" s="346">
        <f>ABS(VLOOKUP(A227,TradesEquity!$1:$1048576,15,FALSE))</f>
        <v>388019</v>
      </c>
      <c r="AP227" s="348">
        <f>ABS(VLOOKUP(A227,TradesEquity!$1:$1048576,16,FALSE))</f>
        <v>594897</v>
      </c>
      <c r="AQ227" s="286">
        <v>0</v>
      </c>
      <c r="AR227" s="286">
        <v>0</v>
      </c>
      <c r="AS227" s="286">
        <v>0</v>
      </c>
      <c r="AT227" s="286">
        <v>0</v>
      </c>
      <c r="AU227" s="286">
        <v>0</v>
      </c>
      <c r="AV227" s="348">
        <f>ABS(VLOOKUP(A227,TradesEquity!$1:$1048576,18,FALSE))</f>
        <v>257696584</v>
      </c>
      <c r="AW227" s="349">
        <v>0</v>
      </c>
      <c r="AX227" s="350">
        <v>4542</v>
      </c>
      <c r="AY227" s="351" t="s">
        <v>1959</v>
      </c>
      <c r="AZ227" s="352" t="e">
        <f>(VLOOKUP(A227,TradesEquity!$1:$1048576,29,FALSE))</f>
        <v>#N/A</v>
      </c>
      <c r="BA227" s="352" t="e">
        <f>(VLOOKUP(A227,TradesEquity!$1:$1048576,30,FALSE))</f>
        <v>#N/A</v>
      </c>
      <c r="BB227" s="352" t="e">
        <f>(VLOOKUP(A227,TradesEquity!$1:$1048576,31,FALSE))</f>
        <v>#N/A</v>
      </c>
      <c r="BC227" s="352" t="e">
        <f>(VLOOKUP(A227,TradesEquity!$1:$1048576,32,FALSE))</f>
        <v>#N/A</v>
      </c>
      <c r="BI227" s="352" t="e">
        <f>(VLOOKUP(A227,TradesEquity!$1:$1048576,38,FALSE))</f>
        <v>#N/A</v>
      </c>
      <c r="BJ227" s="352" t="e">
        <f>(VLOOKUP(A227,TradesEquity!$1:$1048576,39,FALSE))</f>
        <v>#N/A</v>
      </c>
      <c r="BK227" s="352" t="e">
        <f>(VLOOKUP(A227,TradesEquity!$1:$1048576,40,FALSE))</f>
        <v>#N/A</v>
      </c>
    </row>
    <row r="228" spans="1:63">
      <c r="A228" s="412">
        <f t="shared" si="9"/>
        <v>2019200475</v>
      </c>
      <c r="D228" s="342" t="s">
        <v>1957</v>
      </c>
      <c r="F228" s="343">
        <f>VLOOKUP(A228,TradesEquity!$1:$1048576,2,FALSE)</f>
        <v>44327</v>
      </c>
      <c r="H228" s="343">
        <f>VLOOKUP(A228,TradesEquity!$1:$1048576,21,FALSE)</f>
        <v>44329</v>
      </c>
      <c r="I228" s="344" t="str">
        <f>IF(VLOOKUP(A228,TradesEquity!$1:$1048576,3,FALSE)="BUY","B","S")</f>
        <v>B</v>
      </c>
      <c r="J228" s="344" t="str">
        <f>VLOOKUP(A228,TradesEquity!$1:$1048576,5,FALSE)</f>
        <v>JP3866800000</v>
      </c>
      <c r="K228" s="342" t="s">
        <v>19</v>
      </c>
      <c r="L228" s="345" t="s">
        <v>1958</v>
      </c>
      <c r="AE228" s="346" t="str">
        <f>VLOOKUP(A228,TradesEquity!$1:$1048576,10,FALSE)</f>
        <v>JPY</v>
      </c>
      <c r="AF228" s="346" t="str">
        <f t="shared" si="6"/>
        <v>JPY</v>
      </c>
      <c r="AG228" s="346" t="str">
        <f t="shared" si="6"/>
        <v>JPY</v>
      </c>
      <c r="AH228" s="346" t="str">
        <f t="shared" si="6"/>
        <v>JPY</v>
      </c>
      <c r="AI228" s="346">
        <f>ABS(VLOOKUP(A228,TradesEquity!$1:$1048576,13,FALSE))</f>
        <v>22000</v>
      </c>
      <c r="AJ228" s="347">
        <v>0</v>
      </c>
      <c r="AK228" s="347">
        <v>1</v>
      </c>
      <c r="AL228" s="346">
        <f>VLOOKUP(A228,TradesEquity!$1:$1048576,11,FALSE)</f>
        <v>1242.160455</v>
      </c>
      <c r="AM228" s="347">
        <v>1</v>
      </c>
      <c r="AN228" s="346">
        <f>ABS(VLOOKUP(A228,TradesEquity!$1:$1048576,14,FALSE))</f>
        <v>27327530.009999998</v>
      </c>
      <c r="AO228" s="346">
        <f>ABS(VLOOKUP(A228,TradesEquity!$1:$1048576,15,FALSE))</f>
        <v>16397</v>
      </c>
      <c r="AP228" s="348">
        <f>ABS(VLOOKUP(A228,TradesEquity!$1:$1048576,16,FALSE))</f>
        <v>0</v>
      </c>
      <c r="AQ228" s="286">
        <v>0</v>
      </c>
      <c r="AR228" s="286">
        <v>0</v>
      </c>
      <c r="AS228" s="286">
        <v>0</v>
      </c>
      <c r="AT228" s="286">
        <v>0</v>
      </c>
      <c r="AU228" s="286">
        <v>0</v>
      </c>
      <c r="AV228" s="348">
        <f>ABS(VLOOKUP(A228,TradesEquity!$1:$1048576,18,FALSE))</f>
        <v>27343927.009999998</v>
      </c>
      <c r="AW228" s="349">
        <v>0</v>
      </c>
      <c r="AX228" s="350">
        <v>4542</v>
      </c>
      <c r="AY228" s="351" t="s">
        <v>1959</v>
      </c>
      <c r="AZ228" s="352" t="str">
        <f>(VLOOKUP(A228,TradesEquity!$1:$1048576,29,FALSE))</f>
        <v>GSILGB2XXXX</v>
      </c>
      <c r="BA228" s="352" t="str">
        <f>(VLOOKUP(A228,TradesEquity!$1:$1048576,30,FALSE))</f>
        <v>JJSDJPJTXXX</v>
      </c>
      <c r="BB228" s="352">
        <f>(VLOOKUP(A228,TradesEquity!$1:$1048576,31,FALSE))</f>
        <v>6530490016</v>
      </c>
      <c r="BC228" s="352" t="str">
        <f>(VLOOKUP(A228,TradesEquity!$1:$1048576,32,FALSE))</f>
        <v>N</v>
      </c>
      <c r="BI228" s="352" t="str">
        <f>(VLOOKUP(A228,TradesEquity!$1:$1048576,38,FALSE))</f>
        <v xml:space="preserve">                  </v>
      </c>
      <c r="BJ228" s="352" t="str">
        <f>(VLOOKUP(A228,TradesEquity!$1:$1048576,39,FALSE))</f>
        <v xml:space="preserve">                          </v>
      </c>
      <c r="BK228" s="352" t="str">
        <f>(VLOOKUP(A228,TradesEquity!$1:$1048576,40,FALSE))</f>
        <v>GOLDJPJXXXX</v>
      </c>
    </row>
    <row r="229" spans="1:63">
      <c r="A229" s="412">
        <v>2019200476</v>
      </c>
      <c r="D229" s="342" t="s">
        <v>1957</v>
      </c>
      <c r="F229" s="343">
        <f>VLOOKUP(A229,TradesEquity!$1:$1048576,2,FALSE)</f>
        <v>44333</v>
      </c>
      <c r="H229" s="343">
        <f>VLOOKUP(A229,TradesEquity!$1:$1048576,21,FALSE)</f>
        <v>44335</v>
      </c>
      <c r="I229" s="344" t="str">
        <f>IF(VLOOKUP(A229,TradesEquity!$1:$1048576,3,FALSE)="BUY","B","S")</f>
        <v>B</v>
      </c>
      <c r="J229" s="344" t="str">
        <f>VLOOKUP(A229,TradesEquity!$1:$1048576,5,FALSE)</f>
        <v>JP3399720006</v>
      </c>
      <c r="K229" s="342" t="s">
        <v>19</v>
      </c>
      <c r="L229" s="345" t="s">
        <v>1958</v>
      </c>
      <c r="AE229" s="346" t="str">
        <f>VLOOKUP(A229,TradesEquity!$1:$1048576,10,FALSE)</f>
        <v>JPY</v>
      </c>
      <c r="AF229" s="346" t="str">
        <f t="shared" si="6"/>
        <v>JPY</v>
      </c>
      <c r="AG229" s="346" t="str">
        <f t="shared" si="6"/>
        <v>JPY</v>
      </c>
      <c r="AH229" s="346" t="str">
        <f t="shared" si="6"/>
        <v>JPY</v>
      </c>
      <c r="AI229" s="346">
        <f>ABS(VLOOKUP(A229,TradesEquity!$1:$1048576,13,FALSE))</f>
        <v>4500</v>
      </c>
      <c r="AJ229" s="347">
        <v>0</v>
      </c>
      <c r="AK229" s="347">
        <v>1</v>
      </c>
      <c r="AL229" s="346">
        <f>VLOOKUP(A229,TradesEquity!$1:$1048576,11,FALSE)</f>
        <v>2937.417778</v>
      </c>
      <c r="AM229" s="347">
        <v>1</v>
      </c>
      <c r="AN229" s="346">
        <f>ABS(VLOOKUP(A229,TradesEquity!$1:$1048576,14,FALSE))</f>
        <v>13218380.001</v>
      </c>
      <c r="AO229" s="346">
        <f>ABS(VLOOKUP(A229,TradesEquity!$1:$1048576,15,FALSE))</f>
        <v>7931</v>
      </c>
      <c r="AP229" s="348">
        <f>ABS(VLOOKUP(A229,TradesEquity!$1:$1048576,16,FALSE))</f>
        <v>0</v>
      </c>
      <c r="AQ229" s="286">
        <v>0</v>
      </c>
      <c r="AR229" s="286">
        <v>0</v>
      </c>
      <c r="AS229" s="286">
        <v>0</v>
      </c>
      <c r="AT229" s="286">
        <v>0</v>
      </c>
      <c r="AU229" s="286">
        <v>0</v>
      </c>
      <c r="AV229" s="348">
        <f>ABS(VLOOKUP(A229,TradesEquity!$1:$1048576,18,FALSE))</f>
        <v>13226311.001</v>
      </c>
      <c r="AW229" s="349">
        <v>0</v>
      </c>
      <c r="AX229" s="350">
        <v>4542</v>
      </c>
      <c r="AY229" s="351" t="s">
        <v>1959</v>
      </c>
      <c r="AZ229" s="352" t="str">
        <f>(VLOOKUP(A229,TradesEquity!$1:$1048576,29,FALSE))</f>
        <v>GSILGB2XXXX</v>
      </c>
      <c r="BA229" s="352" t="str">
        <f>(VLOOKUP(A229,TradesEquity!$1:$1048576,30,FALSE))</f>
        <v>JJSDJPJTXXX</v>
      </c>
      <c r="BB229" s="352">
        <f>(VLOOKUP(A229,TradesEquity!$1:$1048576,31,FALSE))</f>
        <v>6530490016</v>
      </c>
      <c r="BC229" s="352" t="str">
        <f>(VLOOKUP(A229,TradesEquity!$1:$1048576,32,FALSE))</f>
        <v>N</v>
      </c>
      <c r="BI229" s="352" t="str">
        <f>(VLOOKUP(A229,TradesEquity!$1:$1048576,38,FALSE))</f>
        <v xml:space="preserve">                  </v>
      </c>
      <c r="BJ229" s="352" t="str">
        <f>(VLOOKUP(A229,TradesEquity!$1:$1048576,39,FALSE))</f>
        <v xml:space="preserve">                          </v>
      </c>
      <c r="BK229" s="352" t="str">
        <f>(VLOOKUP(A229,TradesEquity!$1:$1048576,40,FALSE))</f>
        <v>GOLDJPJXXXX</v>
      </c>
    </row>
    <row r="230" spans="1:63">
      <c r="A230" s="412">
        <v>2019200477</v>
      </c>
      <c r="D230" s="342" t="s">
        <v>1957</v>
      </c>
      <c r="F230" s="343">
        <f>VLOOKUP(A230,TradesEquity!$1:$1048576,2,FALSE)</f>
        <v>44333</v>
      </c>
      <c r="H230" s="343">
        <f>VLOOKUP(A230,TradesEquity!$1:$1048576,21,FALSE)</f>
        <v>44335</v>
      </c>
      <c r="I230" s="344" t="str">
        <f>IF(VLOOKUP(A230,TradesEquity!$1:$1048576,3,FALSE)="BUY","B","S")</f>
        <v>B</v>
      </c>
      <c r="J230" s="344" t="str">
        <f>VLOOKUP(A230,TradesEquity!$1:$1048576,5,FALSE)</f>
        <v>JP3425000001</v>
      </c>
      <c r="K230" s="342" t="s">
        <v>19</v>
      </c>
      <c r="L230" s="345" t="s">
        <v>1958</v>
      </c>
      <c r="AE230" s="346" t="str">
        <f>VLOOKUP(A230,TradesEquity!$1:$1048576,10,FALSE)</f>
        <v>JPY</v>
      </c>
      <c r="AF230" s="346" t="str">
        <f t="shared" si="6"/>
        <v>JPY</v>
      </c>
      <c r="AG230" s="346" t="str">
        <f t="shared" si="6"/>
        <v>JPY</v>
      </c>
      <c r="AH230" s="346" t="str">
        <f t="shared" si="6"/>
        <v>JPY</v>
      </c>
      <c r="AI230" s="346">
        <f>ABS(VLOOKUP(A230,TradesEquity!$1:$1048576,13,FALSE))</f>
        <v>5000</v>
      </c>
      <c r="AJ230" s="347">
        <v>0</v>
      </c>
      <c r="AK230" s="347">
        <v>1</v>
      </c>
      <c r="AL230" s="346">
        <f>VLOOKUP(A230,TradesEquity!$1:$1048576,11,FALSE)</f>
        <v>2194.1759999999999</v>
      </c>
      <c r="AM230" s="347">
        <v>1</v>
      </c>
      <c r="AN230" s="346">
        <f>ABS(VLOOKUP(A230,TradesEquity!$1:$1048576,14,FALSE))</f>
        <v>10970880</v>
      </c>
      <c r="AO230" s="346">
        <f>ABS(VLOOKUP(A230,TradesEquity!$1:$1048576,15,FALSE))</f>
        <v>6583</v>
      </c>
      <c r="AP230" s="348">
        <f>ABS(VLOOKUP(A230,TradesEquity!$1:$1048576,16,FALSE))</f>
        <v>0</v>
      </c>
      <c r="AQ230" s="286">
        <v>0</v>
      </c>
      <c r="AR230" s="286">
        <v>0</v>
      </c>
      <c r="AS230" s="286">
        <v>0</v>
      </c>
      <c r="AT230" s="286">
        <v>0</v>
      </c>
      <c r="AU230" s="286">
        <v>0</v>
      </c>
      <c r="AV230" s="348">
        <f>ABS(VLOOKUP(A230,TradesEquity!$1:$1048576,18,FALSE))</f>
        <v>10977463</v>
      </c>
      <c r="AW230" s="349">
        <v>0</v>
      </c>
      <c r="AX230" s="350">
        <v>4542</v>
      </c>
      <c r="AY230" s="351" t="s">
        <v>1959</v>
      </c>
      <c r="AZ230" s="352" t="str">
        <f>(VLOOKUP(A230,TradesEquity!$1:$1048576,29,FALSE))</f>
        <v>GSILGB2XXXX</v>
      </c>
      <c r="BA230" s="352" t="str">
        <f>(VLOOKUP(A230,TradesEquity!$1:$1048576,30,FALSE))</f>
        <v>JJSDJPJTXXX</v>
      </c>
      <c r="BB230" s="352">
        <f>(VLOOKUP(A230,TradesEquity!$1:$1048576,31,FALSE))</f>
        <v>6530490016</v>
      </c>
      <c r="BC230" s="352" t="str">
        <f>(VLOOKUP(A230,TradesEquity!$1:$1048576,32,FALSE))</f>
        <v>N</v>
      </c>
      <c r="BI230" s="352" t="str">
        <f>(VLOOKUP(A230,TradesEquity!$1:$1048576,38,FALSE))</f>
        <v xml:space="preserve">                  </v>
      </c>
      <c r="BJ230" s="352" t="str">
        <f>(VLOOKUP(A230,TradesEquity!$1:$1048576,39,FALSE))</f>
        <v xml:space="preserve">                          </v>
      </c>
      <c r="BK230" s="352" t="str">
        <f>(VLOOKUP(A230,TradesEquity!$1:$1048576,40,FALSE))</f>
        <v>GOLDJPJXXXX</v>
      </c>
    </row>
    <row r="231" spans="1:63">
      <c r="A231" s="412">
        <v>2019200478</v>
      </c>
      <c r="D231" s="342" t="s">
        <v>1957</v>
      </c>
      <c r="F231" s="343">
        <f>VLOOKUP(A231,TradesEquity!$1:$1048576,2,FALSE)</f>
        <v>44333</v>
      </c>
      <c r="H231" s="343">
        <f>VLOOKUP(A231,TradesEquity!$1:$1048576,21,FALSE)</f>
        <v>44335</v>
      </c>
      <c r="I231" s="344" t="str">
        <f>IF(VLOOKUP(A231,TradesEquity!$1:$1048576,3,FALSE)="BUY","B","S")</f>
        <v>B</v>
      </c>
      <c r="J231" s="344" t="str">
        <f>VLOOKUP(A231,TradesEquity!$1:$1048576,5,FALSE)</f>
        <v>JP3449020001</v>
      </c>
      <c r="K231" s="342" t="s">
        <v>19</v>
      </c>
      <c r="L231" s="345" t="s">
        <v>1958</v>
      </c>
      <c r="AE231" s="346" t="str">
        <f>VLOOKUP(A231,TradesEquity!$1:$1048576,10,FALSE)</f>
        <v>JPY</v>
      </c>
      <c r="AF231" s="346" t="str">
        <f t="shared" si="6"/>
        <v>JPY</v>
      </c>
      <c r="AG231" s="346" t="str">
        <f t="shared" si="6"/>
        <v>JPY</v>
      </c>
      <c r="AH231" s="346" t="str">
        <f t="shared" si="6"/>
        <v>JPY</v>
      </c>
      <c r="AI231" s="346">
        <f>ABS(VLOOKUP(A231,TradesEquity!$1:$1048576,13,FALSE))</f>
        <v>5000</v>
      </c>
      <c r="AJ231" s="347">
        <v>0</v>
      </c>
      <c r="AK231" s="347">
        <v>1</v>
      </c>
      <c r="AL231" s="346">
        <f>VLOOKUP(A231,TradesEquity!$1:$1048576,11,FALSE)</f>
        <v>2599.2220000000002</v>
      </c>
      <c r="AM231" s="347">
        <v>1</v>
      </c>
      <c r="AN231" s="346">
        <f>ABS(VLOOKUP(A231,TradesEquity!$1:$1048576,14,FALSE))</f>
        <v>12996110.000000002</v>
      </c>
      <c r="AO231" s="346">
        <f>ABS(VLOOKUP(A231,TradesEquity!$1:$1048576,15,FALSE))</f>
        <v>7798</v>
      </c>
      <c r="AP231" s="348">
        <f>ABS(VLOOKUP(A231,TradesEquity!$1:$1048576,16,FALSE))</f>
        <v>0</v>
      </c>
      <c r="AQ231" s="286">
        <v>0</v>
      </c>
      <c r="AR231" s="286">
        <v>0</v>
      </c>
      <c r="AS231" s="286">
        <v>0</v>
      </c>
      <c r="AT231" s="286">
        <v>0</v>
      </c>
      <c r="AU231" s="286">
        <v>0</v>
      </c>
      <c r="AV231" s="348">
        <f>ABS(VLOOKUP(A231,TradesEquity!$1:$1048576,18,FALSE))</f>
        <v>13003908.000000002</v>
      </c>
      <c r="AW231" s="349">
        <v>0</v>
      </c>
      <c r="AX231" s="350">
        <v>4542</v>
      </c>
      <c r="AY231" s="351" t="s">
        <v>1959</v>
      </c>
      <c r="AZ231" s="352" t="str">
        <f>(VLOOKUP(A231,TradesEquity!$1:$1048576,29,FALSE))</f>
        <v>GSILGB2XXXX</v>
      </c>
      <c r="BA231" s="352" t="str">
        <f>(VLOOKUP(A231,TradesEquity!$1:$1048576,30,FALSE))</f>
        <v>JJSDJPJTXXX</v>
      </c>
      <c r="BB231" s="352">
        <f>(VLOOKUP(A231,TradesEquity!$1:$1048576,31,FALSE))</f>
        <v>6530490016</v>
      </c>
      <c r="BC231" s="352" t="str">
        <f>(VLOOKUP(A231,TradesEquity!$1:$1048576,32,FALSE))</f>
        <v>N</v>
      </c>
      <c r="BI231" s="352" t="str">
        <f>(VLOOKUP(A231,TradesEquity!$1:$1048576,38,FALSE))</f>
        <v xml:space="preserve">                  </v>
      </c>
      <c r="BJ231" s="352" t="str">
        <f>(VLOOKUP(A231,TradesEquity!$1:$1048576,39,FALSE))</f>
        <v xml:space="preserve">                          </v>
      </c>
      <c r="BK231" s="352" t="str">
        <f>(VLOOKUP(A231,TradesEquity!$1:$1048576,40,FALSE))</f>
        <v>GOLDJPJXXXX</v>
      </c>
    </row>
    <row r="232" spans="1:63">
      <c r="A232" s="412">
        <v>2019200479</v>
      </c>
      <c r="D232" s="342" t="s">
        <v>1957</v>
      </c>
      <c r="F232" s="343">
        <f>VLOOKUP(A232,TradesEquity!$1:$1048576,2,FALSE)</f>
        <v>44335</v>
      </c>
      <c r="H232" s="343">
        <f>VLOOKUP(A232,TradesEquity!$1:$1048576,21,FALSE)</f>
        <v>44337</v>
      </c>
      <c r="I232" s="344" t="str">
        <f>IF(VLOOKUP(A232,TradesEquity!$1:$1048576,3,FALSE)="BUY","B","S")</f>
        <v>B</v>
      </c>
      <c r="J232" s="344" t="str">
        <f>VLOOKUP(A232,TradesEquity!$1:$1048576,5,FALSE)</f>
        <v>JP3866800000</v>
      </c>
      <c r="K232" s="342" t="s">
        <v>19</v>
      </c>
      <c r="L232" s="345" t="s">
        <v>1958</v>
      </c>
      <c r="AE232" s="346" t="str">
        <f>VLOOKUP(A232,TradesEquity!$1:$1048576,10,FALSE)</f>
        <v>JPY</v>
      </c>
      <c r="AF232" s="346" t="str">
        <f t="shared" si="6"/>
        <v>JPY</v>
      </c>
      <c r="AG232" s="346" t="str">
        <f t="shared" si="6"/>
        <v>JPY</v>
      </c>
      <c r="AH232" s="346" t="str">
        <f t="shared" si="6"/>
        <v>JPY</v>
      </c>
      <c r="AI232" s="346">
        <f>ABS(VLOOKUP(A232,TradesEquity!$1:$1048576,13,FALSE))</f>
        <v>11000</v>
      </c>
      <c r="AJ232" s="347">
        <v>0</v>
      </c>
      <c r="AK232" s="347">
        <v>1</v>
      </c>
      <c r="AL232" s="346">
        <f>VLOOKUP(A232,TradesEquity!$1:$1048576,11,FALSE)</f>
        <v>1198.1313640000001</v>
      </c>
      <c r="AM232" s="347">
        <v>1</v>
      </c>
      <c r="AN232" s="346">
        <f>ABS(VLOOKUP(A232,TradesEquity!$1:$1048576,14,FALSE))</f>
        <v>13179445.004000001</v>
      </c>
      <c r="AO232" s="346">
        <f>ABS(VLOOKUP(A232,TradesEquity!$1:$1048576,15,FALSE))</f>
        <v>7908</v>
      </c>
      <c r="AP232" s="348">
        <f>ABS(VLOOKUP(A232,TradesEquity!$1:$1048576,16,FALSE))</f>
        <v>0</v>
      </c>
      <c r="AQ232" s="286">
        <v>0</v>
      </c>
      <c r="AR232" s="286">
        <v>0</v>
      </c>
      <c r="AS232" s="286">
        <v>0</v>
      </c>
      <c r="AT232" s="286">
        <v>0</v>
      </c>
      <c r="AU232" s="286">
        <v>0</v>
      </c>
      <c r="AV232" s="348">
        <f>ABS(VLOOKUP(A232,TradesEquity!$1:$1048576,18,FALSE))</f>
        <v>13187353.004000001</v>
      </c>
      <c r="AW232" s="349">
        <v>0</v>
      </c>
      <c r="AX232" s="350">
        <v>4542</v>
      </c>
      <c r="AY232" s="351" t="s">
        <v>1959</v>
      </c>
      <c r="AZ232" s="352" t="str">
        <f>(VLOOKUP(A232,TradesEquity!$1:$1048576,29,FALSE))</f>
        <v>GSILGB2XXXX</v>
      </c>
      <c r="BA232" s="352" t="str">
        <f>(VLOOKUP(A232,TradesEquity!$1:$1048576,30,FALSE))</f>
        <v>JJSDJPJTXXX</v>
      </c>
      <c r="BB232" s="352">
        <f>(VLOOKUP(A232,TradesEquity!$1:$1048576,31,FALSE))</f>
        <v>6530490016</v>
      </c>
      <c r="BC232" s="352" t="str">
        <f>(VLOOKUP(A232,TradesEquity!$1:$1048576,32,FALSE))</f>
        <v>N</v>
      </c>
      <c r="BI232" s="352"/>
      <c r="BJ232" s="352"/>
      <c r="BK232" s="352" t="s">
        <v>1849</v>
      </c>
    </row>
    <row r="233" spans="1:63">
      <c r="A233" s="443">
        <f t="shared" ref="A233" si="10">(A232+1)</f>
        <v>2019200480</v>
      </c>
      <c r="D233" s="342" t="s">
        <v>1957</v>
      </c>
      <c r="F233" s="343">
        <f>VLOOKUP(A233,TradesEquity!$1:$1048576,2,FALSE)</f>
        <v>44342</v>
      </c>
      <c r="H233" s="343">
        <f>VLOOKUP(A233,TradesEquity!$1:$1048576,21,FALSE)</f>
        <v>44344</v>
      </c>
      <c r="I233" s="344" t="str">
        <f>IF(VLOOKUP(A233,TradesEquity!$1:$1048576,3,FALSE)="BUY","B","S")</f>
        <v>B</v>
      </c>
      <c r="J233" s="344" t="str">
        <f>VLOOKUP(A233,TradesEquity!$1:$1048576,5,FALSE)</f>
        <v>KR7056190002</v>
      </c>
      <c r="K233" s="342" t="s">
        <v>19</v>
      </c>
      <c r="L233" s="345" t="s">
        <v>1958</v>
      </c>
      <c r="AE233" s="346" t="str">
        <f>VLOOKUP(A233,TradesEquity!$1:$1048576,10,FALSE)</f>
        <v>KRW</v>
      </c>
      <c r="AF233" s="346" t="str">
        <f t="shared" si="6"/>
        <v>KRW</v>
      </c>
      <c r="AG233" s="346" t="str">
        <f t="shared" si="6"/>
        <v>KRW</v>
      </c>
      <c r="AH233" s="346" t="str">
        <f t="shared" si="6"/>
        <v>KRW</v>
      </c>
      <c r="AI233" s="346">
        <f>ABS(VLOOKUP(A233,TradesEquity!$1:$1048576,13,FALSE))</f>
        <v>5970</v>
      </c>
      <c r="AJ233" s="347">
        <v>0</v>
      </c>
      <c r="AK233" s="347">
        <v>1</v>
      </c>
      <c r="AL233" s="346">
        <f>VLOOKUP(A233,TradesEquity!$1:$1048576,11,FALSE)</f>
        <v>42803.475700000003</v>
      </c>
      <c r="AM233" s="347">
        <v>1</v>
      </c>
      <c r="AN233" s="346">
        <f>ABS(VLOOKUP(A233,TradesEquity!$1:$1048576,14,FALSE))</f>
        <v>255536749.92900002</v>
      </c>
      <c r="AO233" s="346">
        <f>ABS(VLOOKUP(A233,TradesEquity!$1:$1048576,15,FALSE))</f>
        <v>383305</v>
      </c>
      <c r="AP233" s="348">
        <f>ABS(VLOOKUP(A233,TradesEquity!$1:$1048576,16,FALSE))</f>
        <v>0</v>
      </c>
      <c r="AQ233" s="286">
        <v>0</v>
      </c>
      <c r="AR233" s="286">
        <v>0</v>
      </c>
      <c r="AS233" s="286">
        <v>0</v>
      </c>
      <c r="AT233" s="286">
        <v>0</v>
      </c>
      <c r="AU233" s="286">
        <v>0</v>
      </c>
      <c r="AV233" s="348">
        <f>ABS(VLOOKUP(A233,TradesEquity!$1:$1048576,18,FALSE))</f>
        <v>255920054.92900002</v>
      </c>
      <c r="AW233" s="349">
        <v>0</v>
      </c>
      <c r="AX233" s="350">
        <v>4542</v>
      </c>
      <c r="AY233" s="351" t="s">
        <v>1959</v>
      </c>
      <c r="AZ233" s="352" t="e">
        <f>(VLOOKUP(A233,TradesEquity!$1:$1048576,29,FALSE))</f>
        <v>#N/A</v>
      </c>
      <c r="BA233" s="352" t="e">
        <f>(VLOOKUP(A233,TradesEquity!$1:$1048576,30,FALSE))</f>
        <v>#N/A</v>
      </c>
      <c r="BB233" s="352" t="e">
        <f>(VLOOKUP(A233,TradesEquity!$1:$1048576,31,FALSE))</f>
        <v>#N/A</v>
      </c>
      <c r="BC233" s="352" t="e">
        <f>(VLOOKUP(A233,TradesEquity!$1:$1048576,32,FALSE))</f>
        <v>#N/A</v>
      </c>
      <c r="BI233" s="352" t="e">
        <f>(VLOOKUP(A233,TradesEquity!$1:$1048576,38,FALSE))</f>
        <v>#N/A</v>
      </c>
      <c r="BJ233" s="352" t="e">
        <f>(VLOOKUP(A233,TradesEquity!$1:$1048576,39,FALSE))</f>
        <v>#N/A</v>
      </c>
      <c r="BK233" s="352" t="e">
        <f>(VLOOKUP(A233,TradesEquity!$1:$1048576,40,FALSE))</f>
        <v>#N/A</v>
      </c>
    </row>
    <row r="234" spans="1:63">
      <c r="A234" s="412">
        <v>2019200481</v>
      </c>
      <c r="D234" s="342" t="s">
        <v>1957</v>
      </c>
      <c r="F234" s="343">
        <f>VLOOKUP(A234,TradesEquity!$1:$1048576,2,FALSE)</f>
        <v>44343</v>
      </c>
      <c r="H234" s="343">
        <f>VLOOKUP(A234,TradesEquity!$1:$1048576,21,FALSE)</f>
        <v>44347</v>
      </c>
      <c r="I234" s="344" t="str">
        <f>IF(VLOOKUP(A234,TradesEquity!$1:$1048576,3,FALSE)="BUY","B","S")</f>
        <v>B</v>
      </c>
      <c r="J234" s="344" t="str">
        <f>VLOOKUP(A234,TradesEquity!$1:$1048576,5,FALSE)</f>
        <v>KR7056190002</v>
      </c>
      <c r="K234" s="342" t="s">
        <v>19</v>
      </c>
      <c r="L234" s="345" t="s">
        <v>1958</v>
      </c>
      <c r="AE234" s="346" t="str">
        <f>VLOOKUP(A234,TradesEquity!$1:$1048576,10,FALSE)</f>
        <v>KRW</v>
      </c>
      <c r="AF234" s="346" t="str">
        <f t="shared" si="6"/>
        <v>KRW</v>
      </c>
      <c r="AG234" s="346" t="str">
        <f t="shared" si="6"/>
        <v>KRW</v>
      </c>
      <c r="AH234" s="346" t="str">
        <f t="shared" si="6"/>
        <v>KRW</v>
      </c>
      <c r="AI234" s="346">
        <f>ABS(VLOOKUP(A234,TradesEquity!$1:$1048576,13,FALSE))</f>
        <v>1900</v>
      </c>
      <c r="AJ234" s="347">
        <v>0</v>
      </c>
      <c r="AK234" s="347">
        <v>1</v>
      </c>
      <c r="AL234" s="346">
        <f>VLOOKUP(A234,TradesEquity!$1:$1048576,11,FALSE)</f>
        <v>42857.657899999998</v>
      </c>
      <c r="AM234" s="347">
        <v>1</v>
      </c>
      <c r="AN234" s="346">
        <f>ABS(VLOOKUP(A234,TradesEquity!$1:$1048576,14,FALSE))</f>
        <v>81429550.00999999</v>
      </c>
      <c r="AO234" s="346">
        <f>ABS(VLOOKUP(A234,TradesEquity!$1:$1048576,15,FALSE))</f>
        <v>122144</v>
      </c>
      <c r="AP234" s="348">
        <f>ABS(VLOOKUP(A234,TradesEquity!$1:$1048576,16,FALSE))</f>
        <v>0</v>
      </c>
      <c r="AQ234" s="286">
        <v>0</v>
      </c>
      <c r="AR234" s="286">
        <v>0</v>
      </c>
      <c r="AS234" s="286">
        <v>0</v>
      </c>
      <c r="AT234" s="286">
        <v>0</v>
      </c>
      <c r="AU234" s="286">
        <v>0</v>
      </c>
      <c r="AV234" s="348">
        <f>ABS(VLOOKUP(A234,TradesEquity!$1:$1048576,18,FALSE))</f>
        <v>81551694.00999999</v>
      </c>
      <c r="AW234" s="349">
        <v>0</v>
      </c>
      <c r="AX234" s="350">
        <v>4542</v>
      </c>
      <c r="AY234" s="351" t="s">
        <v>1959</v>
      </c>
      <c r="AZ234" s="352" t="e">
        <f>(VLOOKUP(A234,TradesEquity!$1:$1048576,29,FALSE))</f>
        <v>#N/A</v>
      </c>
      <c r="BA234" s="352" t="e">
        <f>(VLOOKUP(A234,TradesEquity!$1:$1048576,30,FALSE))</f>
        <v>#N/A</v>
      </c>
      <c r="BB234" s="352" t="e">
        <f>(VLOOKUP(A234,TradesEquity!$1:$1048576,31,FALSE))</f>
        <v>#N/A</v>
      </c>
      <c r="BC234" s="352" t="e">
        <f>(VLOOKUP(A234,TradesEquity!$1:$1048576,32,FALSE))</f>
        <v>#N/A</v>
      </c>
      <c r="BI234" s="352" t="e">
        <f>(VLOOKUP(A234,TradesEquity!$1:$1048576,38,FALSE))</f>
        <v>#N/A</v>
      </c>
      <c r="BJ234" s="352" t="e">
        <f>(VLOOKUP(A234,TradesEquity!$1:$1048576,39,FALSE))</f>
        <v>#N/A</v>
      </c>
      <c r="BK234" s="352" t="e">
        <f>(VLOOKUP(A234,TradesEquity!$1:$1048576,40,FALSE))</f>
        <v>#N/A</v>
      </c>
    </row>
    <row r="235" spans="1:63">
      <c r="A235" s="443">
        <f t="shared" ref="A235" si="11">(A234+1)</f>
        <v>2019200482</v>
      </c>
      <c r="D235" s="342" t="s">
        <v>1957</v>
      </c>
      <c r="F235" s="343">
        <f>VLOOKUP(A235,TradesEquity!$1:$1048576,2,FALSE)</f>
        <v>44347</v>
      </c>
      <c r="H235" s="343">
        <f>VLOOKUP(A235,TradesEquity!$1:$1048576,21,FALSE)</f>
        <v>44349</v>
      </c>
      <c r="I235" s="344" t="str">
        <f>IF(VLOOKUP(A235,TradesEquity!$1:$1048576,3,FALSE)="BUY","B","S")</f>
        <v>B</v>
      </c>
      <c r="J235" s="344" t="str">
        <f>VLOOKUP(A235,TradesEquity!$1:$1048576,5,FALSE)</f>
        <v>JP3627400009</v>
      </c>
      <c r="K235" s="342" t="s">
        <v>19</v>
      </c>
      <c r="L235" s="345" t="s">
        <v>1958</v>
      </c>
      <c r="AE235" s="346" t="str">
        <f>VLOOKUP(A235,TradesEquity!$1:$1048576,10,FALSE)</f>
        <v>JPY</v>
      </c>
      <c r="AF235" s="346" t="str">
        <f t="shared" si="6"/>
        <v>JPY</v>
      </c>
      <c r="AG235" s="346" t="str">
        <f t="shared" si="6"/>
        <v>JPY</v>
      </c>
      <c r="AH235" s="346" t="str">
        <f t="shared" si="6"/>
        <v>JPY</v>
      </c>
      <c r="AI235" s="346">
        <f>ABS(VLOOKUP(A235,TradesEquity!$1:$1048576,13,FALSE))</f>
        <v>4500</v>
      </c>
      <c r="AJ235" s="347">
        <v>0</v>
      </c>
      <c r="AK235" s="347">
        <v>1</v>
      </c>
      <c r="AL235" s="346">
        <f>VLOOKUP(A235,TradesEquity!$1:$1048576,11,FALSE)</f>
        <v>2316.8222000000001</v>
      </c>
      <c r="AM235" s="347">
        <v>1</v>
      </c>
      <c r="AN235" s="346">
        <f>ABS(VLOOKUP(A235,TradesEquity!$1:$1048576,14,FALSE))</f>
        <v>10425699.9</v>
      </c>
      <c r="AO235" s="346">
        <f>ABS(VLOOKUP(A235,TradesEquity!$1:$1048576,15,FALSE))</f>
        <v>6255</v>
      </c>
      <c r="AP235" s="348">
        <f>ABS(VLOOKUP(A235,TradesEquity!$1:$1048576,16,FALSE))</f>
        <v>0</v>
      </c>
      <c r="AQ235" s="286">
        <v>0</v>
      </c>
      <c r="AR235" s="286">
        <v>0</v>
      </c>
      <c r="AS235" s="286">
        <v>0</v>
      </c>
      <c r="AT235" s="286">
        <v>0</v>
      </c>
      <c r="AU235" s="286">
        <v>0</v>
      </c>
      <c r="AV235" s="348">
        <f>ABS(VLOOKUP(A235,TradesEquity!$1:$1048576,18,FALSE))</f>
        <v>10431954.9</v>
      </c>
      <c r="AW235" s="349">
        <v>0</v>
      </c>
      <c r="AX235" s="350">
        <v>4542</v>
      </c>
      <c r="AY235" s="351" t="s">
        <v>1959</v>
      </c>
      <c r="AZ235" s="352" t="str">
        <f>(VLOOKUP(A235,TradesEquity!$1:$1048576,29,FALSE))</f>
        <v>GSILGB2XXXX</v>
      </c>
      <c r="BA235" s="352" t="str">
        <f>(VLOOKUP(A235,TradesEquity!$1:$1048576,30,FALSE))</f>
        <v>JJSDJPJTXXX</v>
      </c>
      <c r="BB235" s="352">
        <f>(VLOOKUP(A235,TradesEquity!$1:$1048576,31,FALSE))</f>
        <v>6530490016</v>
      </c>
      <c r="BC235" s="352" t="str">
        <f>(VLOOKUP(A235,TradesEquity!$1:$1048576,32,FALSE))</f>
        <v>N</v>
      </c>
      <c r="BI235" s="352"/>
      <c r="BJ235" s="352"/>
      <c r="BK235" s="352" t="str">
        <f>(VLOOKUP(A235,TradesEquity!$1:$1048576,40,FALSE))</f>
        <v>GOLDJPJXXXX</v>
      </c>
    </row>
    <row r="236" spans="1:63">
      <c r="A236" s="60">
        <v>2019200483</v>
      </c>
      <c r="D236" s="342" t="s">
        <v>1957</v>
      </c>
      <c r="F236" s="343">
        <f>VLOOKUP(A236,TradesEquity!$1:$1048576,2,FALSE)</f>
        <v>44351</v>
      </c>
      <c r="H236" s="343">
        <f>VLOOKUP(A236,TradesEquity!$1:$1048576,21,FALSE)</f>
        <v>44355</v>
      </c>
      <c r="I236" s="344" t="str">
        <f>IF(VLOOKUP(A236,TradesEquity!$1:$1048576,3,FALSE)="BUY","B","S")</f>
        <v>S</v>
      </c>
      <c r="J236" s="344" t="str">
        <f>VLOOKUP(A236,TradesEquity!$1:$1048576,5,FALSE)</f>
        <v>KR7357780006</v>
      </c>
      <c r="K236" s="342" t="s">
        <v>19</v>
      </c>
      <c r="L236" s="345" t="s">
        <v>1958</v>
      </c>
      <c r="AE236" s="346" t="str">
        <f>VLOOKUP(A236,TradesEquity!$1:$1048576,10,FALSE)</f>
        <v>KRW</v>
      </c>
      <c r="AF236" s="346" t="str">
        <f t="shared" si="6"/>
        <v>KRW</v>
      </c>
      <c r="AG236" s="346" t="str">
        <f t="shared" si="6"/>
        <v>KRW</v>
      </c>
      <c r="AH236" s="346" t="str">
        <f t="shared" si="6"/>
        <v>KRW</v>
      </c>
      <c r="AI236" s="346">
        <f>ABS(VLOOKUP(A236,TradesEquity!$1:$1048576,13,FALSE))</f>
        <v>420</v>
      </c>
      <c r="AJ236" s="347">
        <v>0</v>
      </c>
      <c r="AK236" s="347">
        <v>1</v>
      </c>
      <c r="AL236" s="346">
        <f>VLOOKUP(A236,TradesEquity!$1:$1048576,11,FALSE)</f>
        <v>340049.76190500002</v>
      </c>
      <c r="AM236" s="347">
        <v>1</v>
      </c>
      <c r="AN236" s="346">
        <f>ABS(VLOOKUP(A236,TradesEquity!$1:$1048576,14,FALSE))</f>
        <v>142820900.00010002</v>
      </c>
      <c r="AO236" s="346">
        <f>ABS(VLOOKUP(A236,TradesEquity!$1:$1048576,15,FALSE))</f>
        <v>214231</v>
      </c>
      <c r="AP236" s="348">
        <f>ABS(VLOOKUP(A236,TradesEquity!$1:$1048576,16,FALSE))</f>
        <v>328436</v>
      </c>
      <c r="AQ236" s="286">
        <v>0</v>
      </c>
      <c r="AR236" s="286">
        <v>0</v>
      </c>
      <c r="AS236" s="286">
        <v>0</v>
      </c>
      <c r="AT236" s="286">
        <v>0</v>
      </c>
      <c r="AU236" s="286">
        <v>0</v>
      </c>
      <c r="AV236" s="348">
        <f>ABS(VLOOKUP(A236,TradesEquity!$1:$1048576,18,FALSE))</f>
        <v>142278233.00010002</v>
      </c>
      <c r="AW236" s="349">
        <v>0</v>
      </c>
      <c r="AX236" s="350">
        <v>4542</v>
      </c>
      <c r="AY236" s="351" t="s">
        <v>1959</v>
      </c>
      <c r="AZ236" s="352" t="str">
        <f>(VLOOKUP(A236,TradesEquity!$1:$1048576,29,FALSE))</f>
        <v>SAMCKRS1XXX</v>
      </c>
      <c r="BA236" s="352" t="str">
        <f>(VLOOKUP(A236,TradesEquity!$1:$1048576,30,FALSE))</f>
        <v>KSDCKRSEXXX</v>
      </c>
      <c r="BB236" s="352" t="str">
        <f>(VLOOKUP(A236,TradesEquity!$1:$1048576,31,FALSE))</f>
        <v>30-00</v>
      </c>
      <c r="BC236" s="352" t="str">
        <f>(VLOOKUP(A236,TradesEquity!$1:$1048576,32,FALSE))</f>
        <v>N</v>
      </c>
      <c r="BI236" s="352" t="str">
        <f>(VLOOKUP(A236,TradesEquity!$1:$1048576,38,FALSE))</f>
        <v xml:space="preserve">        </v>
      </c>
      <c r="BJ236" s="352" t="str">
        <f>(VLOOKUP(A236,TradesEquity!$1:$1048576,39,FALSE))</f>
        <v xml:space="preserve">        </v>
      </c>
      <c r="BK236" s="352" t="str">
        <f>(VLOOKUP(A236,TradesEquity!$1:$1048576,40,FALSE))</f>
        <v>SAMCKRS1XXX</v>
      </c>
    </row>
    <row r="237" spans="1:63">
      <c r="A237" s="60">
        <v>2019200484</v>
      </c>
      <c r="D237" s="342" t="s">
        <v>1957</v>
      </c>
      <c r="F237" s="343">
        <f>VLOOKUP(A237,TradesEquity!$1:$1048576,2,FALSE)</f>
        <v>44351</v>
      </c>
      <c r="H237" s="343">
        <f>VLOOKUP(A237,TradesEquity!$1:$1048576,21,FALSE)</f>
        <v>44355</v>
      </c>
      <c r="I237" s="344" t="str">
        <f>IF(VLOOKUP(A237,TradesEquity!$1:$1048576,3,FALSE)="BUY","B","S")</f>
        <v>S</v>
      </c>
      <c r="J237" s="344" t="str">
        <f>VLOOKUP(A237,TradesEquity!$1:$1048576,5,FALSE)</f>
        <v>KR7383310000</v>
      </c>
      <c r="K237" s="342" t="s">
        <v>19</v>
      </c>
      <c r="L237" s="345" t="s">
        <v>1958</v>
      </c>
      <c r="AE237" s="346" t="str">
        <f>VLOOKUP(A237,TradesEquity!$1:$1048576,10,FALSE)</f>
        <v>KRW</v>
      </c>
      <c r="AF237" s="346" t="str">
        <f t="shared" si="6"/>
        <v>KRW</v>
      </c>
      <c r="AG237" s="346" t="str">
        <f t="shared" si="6"/>
        <v>KRW</v>
      </c>
      <c r="AH237" s="346" t="str">
        <f t="shared" si="6"/>
        <v>KRW</v>
      </c>
      <c r="AI237" s="346">
        <f>ABS(VLOOKUP(A237,TradesEquity!$1:$1048576,13,FALSE))</f>
        <v>373</v>
      </c>
      <c r="AJ237" s="347">
        <v>0</v>
      </c>
      <c r="AK237" s="347">
        <v>1</v>
      </c>
      <c r="AL237" s="346">
        <f>VLOOKUP(A237,TradesEquity!$1:$1048576,11,FALSE)</f>
        <v>152423.86060000001</v>
      </c>
      <c r="AM237" s="347">
        <v>1</v>
      </c>
      <c r="AN237" s="346">
        <f>ABS(VLOOKUP(A237,TradesEquity!$1:$1048576,14,FALSE))</f>
        <v>56854100.003800005</v>
      </c>
      <c r="AO237" s="346">
        <f>ABS(VLOOKUP(A237,TradesEquity!$1:$1048576,15,FALSE))</f>
        <v>85281</v>
      </c>
      <c r="AP237" s="348">
        <f>ABS(VLOOKUP(A237,TradesEquity!$1:$1048576,16,FALSE))</f>
        <v>130729</v>
      </c>
      <c r="AQ237" s="286">
        <v>0</v>
      </c>
      <c r="AR237" s="286">
        <v>0</v>
      </c>
      <c r="AS237" s="286">
        <v>0</v>
      </c>
      <c r="AT237" s="286">
        <v>0</v>
      </c>
      <c r="AU237" s="286">
        <v>0</v>
      </c>
      <c r="AV237" s="348">
        <f>ABS(VLOOKUP(A237,TradesEquity!$1:$1048576,18,FALSE))</f>
        <v>56638090.003800005</v>
      </c>
      <c r="AW237" s="349">
        <v>0</v>
      </c>
      <c r="AX237" s="350">
        <v>4542</v>
      </c>
      <c r="AY237" s="351" t="s">
        <v>1959</v>
      </c>
      <c r="AZ237" s="352" t="str">
        <f>(VLOOKUP(A237,TradesEquity!$1:$1048576,29,FALSE))</f>
        <v>SAMCKRS1XXX</v>
      </c>
      <c r="BA237" s="352" t="str">
        <f>(VLOOKUP(A237,TradesEquity!$1:$1048576,30,FALSE))</f>
        <v>KSDCKRSEXXX</v>
      </c>
      <c r="BB237" s="352" t="str">
        <f>(VLOOKUP(A237,TradesEquity!$1:$1048576,31,FALSE))</f>
        <v>30-00</v>
      </c>
      <c r="BC237" s="352" t="str">
        <f>(VLOOKUP(A237,TradesEquity!$1:$1048576,32,FALSE))</f>
        <v>N</v>
      </c>
      <c r="BI237" s="352" t="str">
        <f>(VLOOKUP(A237,TradesEquity!$1:$1048576,38,FALSE))</f>
        <v xml:space="preserve">        </v>
      </c>
      <c r="BJ237" s="352" t="str">
        <f>(VLOOKUP(A237,TradesEquity!$1:$1048576,39,FALSE))</f>
        <v xml:space="preserve">        </v>
      </c>
      <c r="BK237" s="352" t="str">
        <f>(VLOOKUP(A237,TradesEquity!$1:$1048576,40,FALSE))</f>
        <v>SAMCKRS1XXX</v>
      </c>
    </row>
    <row r="238" spans="1:63">
      <c r="A238" s="60">
        <v>2019200485</v>
      </c>
      <c r="D238" s="342" t="s">
        <v>1957</v>
      </c>
      <c r="F238" s="343">
        <f>VLOOKUP(A238,TradesEquity!$1:$1048576,2,FALSE)</f>
        <v>43834</v>
      </c>
      <c r="H238" s="343">
        <f>VLOOKUP(A238,TradesEquity!$1:$1048576,21,FALSE)</f>
        <v>44355</v>
      </c>
      <c r="I238" s="344" t="str">
        <f>IF(VLOOKUP(A238,TradesEquity!$1:$1048576,3,FALSE)="BUY","B","S")</f>
        <v>B</v>
      </c>
      <c r="J238" s="344" t="str">
        <f>VLOOKUP(A238,TradesEquity!$1:$1048576,5,FALSE)</f>
        <v>KR7036830008</v>
      </c>
      <c r="K238" s="342" t="s">
        <v>19</v>
      </c>
      <c r="L238" s="345" t="s">
        <v>1958</v>
      </c>
      <c r="AE238" s="346" t="str">
        <f>VLOOKUP(A238,TradesEquity!$1:$1048576,10,FALSE)</f>
        <v>KRW</v>
      </c>
      <c r="AF238" s="346" t="str">
        <f t="shared" si="6"/>
        <v>KRW</v>
      </c>
      <c r="AG238" s="346" t="str">
        <f t="shared" si="6"/>
        <v>KRW</v>
      </c>
      <c r="AH238" s="346" t="str">
        <f t="shared" si="6"/>
        <v>KRW</v>
      </c>
      <c r="AI238" s="346">
        <f>ABS(VLOOKUP(A238,TradesEquity!$1:$1048576,13,FALSE))</f>
        <v>5076</v>
      </c>
      <c r="AJ238" s="347">
        <v>0</v>
      </c>
      <c r="AK238" s="347">
        <v>1</v>
      </c>
      <c r="AL238" s="346">
        <f>VLOOKUP(A238,TradesEquity!$1:$1048576,11,FALSE)</f>
        <v>37650</v>
      </c>
      <c r="AM238" s="347">
        <v>1</v>
      </c>
      <c r="AN238" s="346">
        <f>ABS(VLOOKUP(A238,TradesEquity!$1:$1048576,14,FALSE))</f>
        <v>191111400</v>
      </c>
      <c r="AO238" s="346">
        <f>ABS(VLOOKUP(A238,TradesEquity!$1:$1048576,15,FALSE))</f>
        <v>0</v>
      </c>
      <c r="AP238" s="348">
        <f>ABS(VLOOKUP(A238,TradesEquity!$1:$1048576,16,FALSE))</f>
        <v>0</v>
      </c>
      <c r="AQ238" s="286">
        <v>0</v>
      </c>
      <c r="AR238" s="286">
        <v>0</v>
      </c>
      <c r="AS238" s="286">
        <v>0</v>
      </c>
      <c r="AT238" s="286">
        <v>0</v>
      </c>
      <c r="AU238" s="286">
        <v>0</v>
      </c>
      <c r="AV238" s="348">
        <f>ABS(VLOOKUP(A238,TradesEquity!$1:$1048576,18,FALSE))</f>
        <v>191111400</v>
      </c>
      <c r="AW238" s="349">
        <v>0</v>
      </c>
      <c r="AX238" s="350">
        <v>4542</v>
      </c>
      <c r="AY238" s="351" t="s">
        <v>1959</v>
      </c>
      <c r="AZ238" s="352" t="str">
        <f>(VLOOKUP(A238,TradesEquity!$1:$1048576,29,FALSE))</f>
        <v>SAMCKRS1XXX</v>
      </c>
      <c r="BA238" s="352" t="str">
        <f>(VLOOKUP(A238,TradesEquity!$1:$1048576,30,FALSE))</f>
        <v>KSDCKRSEXXX</v>
      </c>
      <c r="BB238" s="352" t="str">
        <f>(VLOOKUP(A238,TradesEquity!$1:$1048576,31,FALSE))</f>
        <v>30-00</v>
      </c>
      <c r="BC238" s="352" t="str">
        <f>(VLOOKUP(A238,TradesEquity!$1:$1048576,32,FALSE))</f>
        <v>N</v>
      </c>
      <c r="BI238" s="352" t="str">
        <f>(VLOOKUP(A238,TradesEquity!$1:$1048576,38,FALSE))</f>
        <v xml:space="preserve">        </v>
      </c>
      <c r="BJ238" s="352" t="str">
        <f>(VLOOKUP(A238,TradesEquity!$1:$1048576,39,FALSE))</f>
        <v xml:space="preserve">        </v>
      </c>
      <c r="BK238" s="352" t="str">
        <f>(VLOOKUP(A238,TradesEquity!$1:$1048576,40,FALSE))</f>
        <v>SAMCKRS1XXX</v>
      </c>
    </row>
    <row r="239" spans="1:63">
      <c r="A239" s="60">
        <v>2019200486</v>
      </c>
      <c r="D239" s="342" t="s">
        <v>1957</v>
      </c>
      <c r="F239" s="343">
        <f>VLOOKUP(A239,TradesEquity!$1:$1048576,2,FALSE)</f>
        <v>44364</v>
      </c>
      <c r="H239" s="343">
        <f>VLOOKUP(A239,TradesEquity!$1:$1048576,21,FALSE)</f>
        <v>44368</v>
      </c>
      <c r="I239" s="344" t="str">
        <f>IF(VLOOKUP(A239,TradesEquity!$1:$1048576,3,FALSE)="BUY","B","S")</f>
        <v>B</v>
      </c>
      <c r="J239" s="344" t="str">
        <f>VLOOKUP(A239,TradesEquity!$1:$1048576,5,FALSE)</f>
        <v>JP3544000007</v>
      </c>
      <c r="K239" s="342" t="s">
        <v>19</v>
      </c>
      <c r="L239" s="345" t="s">
        <v>1958</v>
      </c>
      <c r="AE239" s="346" t="str">
        <f>VLOOKUP(A239,TradesEquity!$1:$1048576,10,FALSE)</f>
        <v>JPY</v>
      </c>
      <c r="AF239" s="346" t="str">
        <f t="shared" si="6"/>
        <v>JPY</v>
      </c>
      <c r="AG239" s="346" t="str">
        <f t="shared" si="6"/>
        <v>JPY</v>
      </c>
      <c r="AH239" s="346" t="str">
        <f t="shared" si="6"/>
        <v>JPY</v>
      </c>
      <c r="AI239" s="346">
        <f>ABS(VLOOKUP(A239,TradesEquity!$1:$1048576,13,FALSE))</f>
        <v>5000</v>
      </c>
      <c r="AJ239" s="347">
        <v>0</v>
      </c>
      <c r="AK239" s="347">
        <v>1</v>
      </c>
      <c r="AL239" s="346">
        <f>VLOOKUP(A239,TradesEquity!$1:$1048576,11,FALSE)</f>
        <v>1721.38</v>
      </c>
      <c r="AM239" s="347">
        <v>1</v>
      </c>
      <c r="AN239" s="346">
        <f>ABS(VLOOKUP(A239,TradesEquity!$1:$1048576,14,FALSE))</f>
        <v>8606900</v>
      </c>
      <c r="AO239" s="346">
        <f>ABS(VLOOKUP(A239,TradesEquity!$1:$1048576,15,FALSE))</f>
        <v>5164</v>
      </c>
      <c r="AP239" s="348">
        <f>ABS(VLOOKUP(A239,TradesEquity!$1:$1048576,16,FALSE))</f>
        <v>0</v>
      </c>
      <c r="AQ239" s="286">
        <v>0</v>
      </c>
      <c r="AR239" s="286">
        <v>0</v>
      </c>
      <c r="AS239" s="286">
        <v>0</v>
      </c>
      <c r="AT239" s="286">
        <v>0</v>
      </c>
      <c r="AU239" s="286">
        <v>0</v>
      </c>
      <c r="AV239" s="348">
        <f>ABS(VLOOKUP(A239,TradesEquity!$1:$1048576,18,FALSE))</f>
        <v>8612064</v>
      </c>
      <c r="AW239" s="349">
        <v>0</v>
      </c>
      <c r="AX239" s="350">
        <v>4542</v>
      </c>
      <c r="AY239" s="351" t="s">
        <v>1959</v>
      </c>
      <c r="AZ239" s="352" t="str">
        <f>(VLOOKUP(A239,TradesEquity!$1:$1048576,29,FALSE))</f>
        <v>GSILGB2XXXX</v>
      </c>
      <c r="BA239" s="352" t="str">
        <f>(VLOOKUP(A239,TradesEquity!$1:$1048576,30,FALSE))</f>
        <v>JJSDJPJTXXX</v>
      </c>
      <c r="BB239" s="352">
        <f>(VLOOKUP(A239,TradesEquity!$1:$1048576,31,FALSE))</f>
        <v>6530490016</v>
      </c>
      <c r="BC239" s="352" t="str">
        <f>(VLOOKUP(A239,TradesEquity!$1:$1048576,32,FALSE))</f>
        <v>N</v>
      </c>
      <c r="BI239" s="352" t="str">
        <f>(VLOOKUP(A239,TradesEquity!$1:$1048576,38,FALSE))</f>
        <v xml:space="preserve">                  </v>
      </c>
      <c r="BJ239" s="352" t="str">
        <f>(VLOOKUP(A239,TradesEquity!$1:$1048576,39,FALSE))</f>
        <v xml:space="preserve">                          </v>
      </c>
      <c r="BK239" s="352" t="str">
        <f>(VLOOKUP(A239,TradesEquity!$1:$1048576,40,FALSE))</f>
        <v>GOLDJPJXXXX</v>
      </c>
    </row>
    <row r="240" spans="1:63">
      <c r="A240" s="60">
        <v>2019200487</v>
      </c>
      <c r="D240" s="342" t="s">
        <v>1957</v>
      </c>
      <c r="F240" s="343">
        <f>VLOOKUP(A240,TradesEquity!$1:$1048576,2,FALSE)</f>
        <v>44365</v>
      </c>
      <c r="H240" s="343">
        <f>VLOOKUP(A240,TradesEquity!$1:$1048576,21,FALSE)</f>
        <v>44369</v>
      </c>
      <c r="I240" s="344" t="str">
        <f>IF(VLOOKUP(A240,TradesEquity!$1:$1048576,3,FALSE)="BUY","B","S")</f>
        <v>B</v>
      </c>
      <c r="J240" s="344" t="str">
        <f>VLOOKUP(A240,TradesEquity!$1:$1048576,5,FALSE)</f>
        <v>FR0000131906</v>
      </c>
      <c r="K240" s="342" t="s">
        <v>19</v>
      </c>
      <c r="L240" s="345" t="s">
        <v>1958</v>
      </c>
      <c r="AE240" s="346" t="str">
        <f>VLOOKUP(A240,TradesEquity!$1:$1048576,10,FALSE)</f>
        <v>EUR</v>
      </c>
      <c r="AF240" s="346" t="str">
        <f t="shared" ref="AF240:AH298" si="12">AE240</f>
        <v>EUR</v>
      </c>
      <c r="AG240" s="346" t="str">
        <f t="shared" si="12"/>
        <v>EUR</v>
      </c>
      <c r="AH240" s="346" t="str">
        <f t="shared" si="12"/>
        <v>EUR</v>
      </c>
      <c r="AI240" s="346">
        <f>ABS(VLOOKUP(A240,TradesEquity!$1:$1048576,13,FALSE))</f>
        <v>3900</v>
      </c>
      <c r="AJ240" s="347">
        <v>0</v>
      </c>
      <c r="AK240" s="347">
        <v>1</v>
      </c>
      <c r="AL240" s="346">
        <f>VLOOKUP(A240,TradesEquity!$1:$1048576,11,FALSE)</f>
        <v>35.155099999999997</v>
      </c>
      <c r="AM240" s="347">
        <v>1</v>
      </c>
      <c r="AN240" s="346">
        <f>ABS(VLOOKUP(A240,TradesEquity!$1:$1048576,14,FALSE))</f>
        <v>137104.88999999998</v>
      </c>
      <c r="AO240" s="346">
        <f>ABS(VLOOKUP(A240,TradesEquity!$1:$1048576,15,FALSE))</f>
        <v>82.26</v>
      </c>
      <c r="AP240" s="348">
        <f>ABS(VLOOKUP(A240,TradesEquity!$1:$1048576,16,FALSE))</f>
        <v>411.31</v>
      </c>
      <c r="AQ240" s="286">
        <v>0</v>
      </c>
      <c r="AR240" s="286">
        <v>0</v>
      </c>
      <c r="AS240" s="286">
        <v>0</v>
      </c>
      <c r="AT240" s="286">
        <v>0</v>
      </c>
      <c r="AU240" s="286">
        <v>0</v>
      </c>
      <c r="AV240" s="348">
        <f>ABS(VLOOKUP(A240,TradesEquity!$1:$1048576,18,FALSE))</f>
        <v>137598.46</v>
      </c>
      <c r="AW240" s="349">
        <v>0</v>
      </c>
      <c r="AX240" s="350">
        <v>4542</v>
      </c>
      <c r="AY240" s="351" t="s">
        <v>1959</v>
      </c>
      <c r="AZ240" s="352" t="str">
        <f>(VLOOKUP(A240,TradesEquity!$1:$1048576,29,FALSE))</f>
        <v>EMSIITM1XXX</v>
      </c>
      <c r="BA240" s="352" t="str">
        <f>(VLOOKUP(A240,TradesEquity!$1:$1048576,30,FALSE))</f>
        <v>SICVFRPPXXX</v>
      </c>
      <c r="BB240" s="352" t="str">
        <f>(VLOOKUP(A240,TradesEquity!$1:$1048576,31,FALSE))</f>
        <v>SICVBCITITMMD00000L10</v>
      </c>
      <c r="BC240" s="352" t="str">
        <f>(VLOOKUP(A240,TradesEquity!$1:$1048576,32,FALSE))</f>
        <v>N</v>
      </c>
      <c r="BI240" s="352" t="str">
        <f>(VLOOKUP(A240,TradesEquity!$1:$1048576,38,FALSE))</f>
        <v xml:space="preserve">        </v>
      </c>
      <c r="BJ240" s="352" t="str">
        <f>(VLOOKUP(A240,TradesEquity!$1:$1048576,39,FALSE))</f>
        <v xml:space="preserve">        </v>
      </c>
      <c r="BK240" s="352" t="str">
        <f>(VLOOKUP(A240,TradesEquity!$1:$1048576,40,FALSE))</f>
        <v>BCITITMMD00</v>
      </c>
    </row>
    <row r="241" spans="1:63">
      <c r="A241" s="60">
        <v>2019200488</v>
      </c>
      <c r="D241" s="342" t="s">
        <v>1957</v>
      </c>
      <c r="F241" s="343">
        <f>VLOOKUP(A241,TradesEquity!$1:$1048576,2,FALSE)</f>
        <v>44365</v>
      </c>
      <c r="H241" s="343">
        <f>VLOOKUP(A241,TradesEquity!$1:$1048576,21,FALSE)</f>
        <v>44369</v>
      </c>
      <c r="I241" s="344" t="str">
        <f>IF(VLOOKUP(A241,TradesEquity!$1:$1048576,3,FALSE)="BUY","B","S")</f>
        <v>B</v>
      </c>
      <c r="J241" s="344" t="str">
        <f>VLOOKUP(A241,TradesEquity!$1:$1048576,5,FALSE)</f>
        <v>FR0013176526</v>
      </c>
      <c r="K241" s="342" t="s">
        <v>19</v>
      </c>
      <c r="L241" s="345" t="s">
        <v>1958</v>
      </c>
      <c r="AE241" s="346" t="str">
        <f>VLOOKUP(A241,TradesEquity!$1:$1048576,10,FALSE)</f>
        <v>EUR</v>
      </c>
      <c r="AF241" s="346" t="str">
        <f t="shared" si="12"/>
        <v>EUR</v>
      </c>
      <c r="AG241" s="346" t="str">
        <f t="shared" si="12"/>
        <v>EUR</v>
      </c>
      <c r="AH241" s="346" t="str">
        <f t="shared" si="12"/>
        <v>EUR</v>
      </c>
      <c r="AI241" s="346">
        <f>ABS(VLOOKUP(A241,TradesEquity!$1:$1048576,13,FALSE))</f>
        <v>6800</v>
      </c>
      <c r="AJ241" s="347">
        <v>0</v>
      </c>
      <c r="AK241" s="347">
        <v>1</v>
      </c>
      <c r="AL241" s="346">
        <f>VLOOKUP(A241,TradesEquity!$1:$1048576,11,FALSE)</f>
        <v>26.3658</v>
      </c>
      <c r="AM241" s="347">
        <v>1</v>
      </c>
      <c r="AN241" s="346">
        <f>ABS(VLOOKUP(A241,TradesEquity!$1:$1048576,14,FALSE))</f>
        <v>179287.44</v>
      </c>
      <c r="AO241" s="346">
        <f>ABS(VLOOKUP(A241,TradesEquity!$1:$1048576,15,FALSE))</f>
        <v>107.57</v>
      </c>
      <c r="AP241" s="348">
        <f>ABS(VLOOKUP(A241,TradesEquity!$1:$1048576,16,FALSE))</f>
        <v>537.86</v>
      </c>
      <c r="AQ241" s="286">
        <v>0</v>
      </c>
      <c r="AR241" s="286">
        <v>0</v>
      </c>
      <c r="AS241" s="286">
        <v>0</v>
      </c>
      <c r="AT241" s="286">
        <v>0</v>
      </c>
      <c r="AU241" s="286">
        <v>0</v>
      </c>
      <c r="AV241" s="348">
        <f>ABS(VLOOKUP(A241,TradesEquity!$1:$1048576,18,FALSE))</f>
        <v>179932.87</v>
      </c>
      <c r="AW241" s="349">
        <v>0</v>
      </c>
      <c r="AX241" s="350">
        <v>4542</v>
      </c>
      <c r="AY241" s="351" t="s">
        <v>1959</v>
      </c>
      <c r="AZ241" s="352" t="str">
        <f>(VLOOKUP(A241,TradesEquity!$1:$1048576,29,FALSE))</f>
        <v>EMSIITM1XXX</v>
      </c>
      <c r="BA241" s="352" t="str">
        <f>(VLOOKUP(A241,TradesEquity!$1:$1048576,30,FALSE))</f>
        <v>SICVFRPPXXX</v>
      </c>
      <c r="BB241" s="352" t="str">
        <f>(VLOOKUP(A241,TradesEquity!$1:$1048576,31,FALSE))</f>
        <v>SICVBCITITMMD00000L10</v>
      </c>
      <c r="BC241" s="352" t="str">
        <f>(VLOOKUP(A241,TradesEquity!$1:$1048576,32,FALSE))</f>
        <v>N</v>
      </c>
      <c r="BI241" s="352" t="str">
        <f>(VLOOKUP(A241,TradesEquity!$1:$1048576,38,FALSE))</f>
        <v xml:space="preserve">        </v>
      </c>
      <c r="BJ241" s="352" t="str">
        <f>(VLOOKUP(A241,TradesEquity!$1:$1048576,39,FALSE))</f>
        <v xml:space="preserve">        </v>
      </c>
      <c r="BK241" s="352" t="str">
        <f>(VLOOKUP(A241,TradesEquity!$1:$1048576,40,FALSE))</f>
        <v>BCITITMMD00</v>
      </c>
    </row>
    <row r="242" spans="1:63">
      <c r="A242" s="472">
        <v>2019200489</v>
      </c>
      <c r="D242" s="342" t="s">
        <v>1957</v>
      </c>
      <c r="F242" s="343">
        <f>VLOOKUP(A242,TradesEquity!$1:$1048576,2,FALSE)</f>
        <v>44372</v>
      </c>
      <c r="H242" s="343">
        <f>VLOOKUP(A242,TradesEquity!$1:$1048576,21,FALSE)</f>
        <v>44376</v>
      </c>
      <c r="I242" s="344" t="str">
        <f>IF(VLOOKUP(A242,TradesEquity!$1:$1048576,3,FALSE)="BUY","B","S")</f>
        <v>B</v>
      </c>
      <c r="J242" s="344" t="str">
        <f>VLOOKUP(A242,TradesEquity!$1:$1048576,5,FALSE)</f>
        <v>JP3544000007</v>
      </c>
      <c r="K242" s="342" t="s">
        <v>19</v>
      </c>
      <c r="L242" s="345" t="s">
        <v>1958</v>
      </c>
      <c r="AE242" s="346" t="str">
        <f>VLOOKUP(A242,TradesEquity!$1:$1048576,10,FALSE)</f>
        <v>JPY</v>
      </c>
      <c r="AF242" s="346" t="str">
        <f t="shared" si="12"/>
        <v>JPY</v>
      </c>
      <c r="AG242" s="346" t="str">
        <f t="shared" si="12"/>
        <v>JPY</v>
      </c>
      <c r="AH242" s="346" t="str">
        <f t="shared" si="12"/>
        <v>JPY</v>
      </c>
      <c r="AI242" s="346">
        <f>ABS(VLOOKUP(A242,TradesEquity!$1:$1048576,13,FALSE))</f>
        <v>6000</v>
      </c>
      <c r="AJ242" s="347">
        <v>0</v>
      </c>
      <c r="AK242" s="347">
        <v>1</v>
      </c>
      <c r="AL242" s="346">
        <f>VLOOKUP(A242,TradesEquity!$1:$1048576,11,FALSE)</f>
        <v>1724.521667</v>
      </c>
      <c r="AM242" s="347">
        <v>1</v>
      </c>
      <c r="AN242" s="346">
        <f>ABS(VLOOKUP(A242,TradesEquity!$1:$1048576,14,FALSE))</f>
        <v>10347130.002</v>
      </c>
      <c r="AO242" s="346">
        <f>ABS(VLOOKUP(A242,TradesEquity!$1:$1048576,15,FALSE))</f>
        <v>6208</v>
      </c>
      <c r="AP242" s="348">
        <f>ABS(VLOOKUP(A242,TradesEquity!$1:$1048576,16,FALSE))</f>
        <v>0</v>
      </c>
      <c r="AQ242" s="286">
        <v>0</v>
      </c>
      <c r="AR242" s="286">
        <v>0</v>
      </c>
      <c r="AS242" s="286">
        <v>0</v>
      </c>
      <c r="AT242" s="286">
        <v>0</v>
      </c>
      <c r="AU242" s="286">
        <v>0</v>
      </c>
      <c r="AV242" s="348">
        <f>ABS(VLOOKUP(A242,TradesEquity!$1:$1048576,18,FALSE))</f>
        <v>10353338.002</v>
      </c>
      <c r="AW242" s="349">
        <v>0</v>
      </c>
      <c r="AX242" s="350">
        <v>4542</v>
      </c>
      <c r="AY242" s="351" t="s">
        <v>1959</v>
      </c>
      <c r="AZ242" s="352" t="str">
        <f>(VLOOKUP(A242,TradesEquity!$1:$1048576,29,FALSE))</f>
        <v>GSILGB2XXXX</v>
      </c>
      <c r="BA242" s="352" t="str">
        <f>(VLOOKUP(A242,TradesEquity!$1:$1048576,30,FALSE))</f>
        <v>JJSDJPJTXXX</v>
      </c>
      <c r="BB242" s="352">
        <f>(VLOOKUP(A242,TradesEquity!$1:$1048576,31,FALSE))</f>
        <v>6530490016</v>
      </c>
      <c r="BC242" s="352" t="str">
        <f>(VLOOKUP(A242,TradesEquity!$1:$1048576,32,FALSE))</f>
        <v>N</v>
      </c>
      <c r="BI242" s="352" t="str">
        <f>(VLOOKUP(A242,TradesEquity!$1:$1048576,38,FALSE))</f>
        <v xml:space="preserve">                  </v>
      </c>
      <c r="BJ242" s="352" t="str">
        <f>(VLOOKUP(A242,TradesEquity!$1:$1048576,39,FALSE))</f>
        <v xml:space="preserve">                          </v>
      </c>
      <c r="BK242" s="352" t="str">
        <f>(VLOOKUP(A242,TradesEquity!$1:$1048576,40,FALSE))</f>
        <v>GOLDJPJXXXX</v>
      </c>
    </row>
    <row r="243" spans="1:63">
      <c r="A243" s="472">
        <v>2019200490</v>
      </c>
      <c r="D243" s="342" t="s">
        <v>1957</v>
      </c>
      <c r="F243" s="343">
        <f>VLOOKUP(A243,TradesEquity!$1:$1048576,2,FALSE)</f>
        <v>44372</v>
      </c>
      <c r="H243" s="343">
        <f>VLOOKUP(A243,TradesEquity!$1:$1048576,21,FALSE)</f>
        <v>44376</v>
      </c>
      <c r="I243" s="344" t="str">
        <f>IF(VLOOKUP(A243,TradesEquity!$1:$1048576,3,FALSE)="BUY","B","S")</f>
        <v>S</v>
      </c>
      <c r="J243" s="344" t="str">
        <f>VLOOKUP(A243,TradesEquity!$1:$1048576,5,FALSE)</f>
        <v>JP3866800000</v>
      </c>
      <c r="K243" s="342" t="s">
        <v>19</v>
      </c>
      <c r="L243" s="345" t="s">
        <v>1958</v>
      </c>
      <c r="AE243" s="346" t="str">
        <f>VLOOKUP(A243,TradesEquity!$1:$1048576,10,FALSE)</f>
        <v>JPY</v>
      </c>
      <c r="AF243" s="346" t="str">
        <f t="shared" si="12"/>
        <v>JPY</v>
      </c>
      <c r="AG243" s="346" t="str">
        <f t="shared" si="12"/>
        <v>JPY</v>
      </c>
      <c r="AH243" s="346" t="str">
        <f t="shared" si="12"/>
        <v>JPY</v>
      </c>
      <c r="AI243" s="346">
        <f>ABS(VLOOKUP(A243,TradesEquity!$1:$1048576,13,FALSE))</f>
        <v>4200</v>
      </c>
      <c r="AJ243" s="347">
        <v>0</v>
      </c>
      <c r="AK243" s="347">
        <v>1</v>
      </c>
      <c r="AL243" s="346">
        <f>VLOOKUP(A243,TradesEquity!$1:$1048576,11,FALSE)</f>
        <v>1303.4107140000001</v>
      </c>
      <c r="AM243" s="347">
        <v>1</v>
      </c>
      <c r="AN243" s="346">
        <f>ABS(VLOOKUP(A243,TradesEquity!$1:$1048576,14,FALSE))</f>
        <v>5474324.9988000002</v>
      </c>
      <c r="AO243" s="346">
        <f>ABS(VLOOKUP(A243,TradesEquity!$1:$1048576,15,FALSE))</f>
        <v>3285</v>
      </c>
      <c r="AP243" s="348">
        <f>ABS(VLOOKUP(A243,TradesEquity!$1:$1048576,16,FALSE))</f>
        <v>0</v>
      </c>
      <c r="AQ243" s="286">
        <v>0</v>
      </c>
      <c r="AR243" s="286">
        <v>0</v>
      </c>
      <c r="AS243" s="286">
        <v>0</v>
      </c>
      <c r="AT243" s="286">
        <v>0</v>
      </c>
      <c r="AU243" s="286">
        <v>0</v>
      </c>
      <c r="AV243" s="348">
        <f>ABS(VLOOKUP(A243,TradesEquity!$1:$1048576,18,FALSE))</f>
        <v>5471039.9988000002</v>
      </c>
      <c r="AW243" s="349">
        <v>0</v>
      </c>
      <c r="AX243" s="350">
        <v>4542</v>
      </c>
      <c r="AY243" s="351" t="s">
        <v>1959</v>
      </c>
      <c r="AZ243" s="352" t="str">
        <f>(VLOOKUP(A243,TradesEquity!$1:$1048576,29,FALSE))</f>
        <v>GSILGB2XXXX</v>
      </c>
      <c r="BA243" s="352" t="str">
        <f>(VLOOKUP(A243,TradesEquity!$1:$1048576,30,FALSE))</f>
        <v>JJSDJPJTXXX</v>
      </c>
      <c r="BB243" s="352">
        <f>(VLOOKUP(A243,TradesEquity!$1:$1048576,31,FALSE))</f>
        <v>6530490016</v>
      </c>
      <c r="BC243" s="352" t="str">
        <f>(VLOOKUP(A243,TradesEquity!$1:$1048576,32,FALSE))</f>
        <v>N</v>
      </c>
      <c r="BI243" s="352" t="str">
        <f>(VLOOKUP(A243,TradesEquity!$1:$1048576,38,FALSE))</f>
        <v xml:space="preserve">                  </v>
      </c>
      <c r="BJ243" s="352" t="str">
        <f>(VLOOKUP(A243,TradesEquity!$1:$1048576,39,FALSE))</f>
        <v xml:space="preserve">                          </v>
      </c>
      <c r="BK243" s="352" t="str">
        <f>(VLOOKUP(A243,TradesEquity!$1:$1048576,40,FALSE))</f>
        <v>GOLDJPJXXXX</v>
      </c>
    </row>
    <row r="244" spans="1:63">
      <c r="A244" s="472">
        <v>2019200495</v>
      </c>
      <c r="D244" s="342" t="s">
        <v>1957</v>
      </c>
      <c r="F244" s="343">
        <f>VLOOKUP(A244,TradesEquity!$1:$1048576,2,FALSE)</f>
        <v>44392</v>
      </c>
      <c r="H244" s="343">
        <f>VLOOKUP(A244,TradesEquity!$1:$1048576,21,FALSE)</f>
        <v>44396</v>
      </c>
      <c r="I244" s="344" t="str">
        <f>IF(VLOOKUP(A244,TradesEquity!$1:$1048576,3,FALSE)="BUY","B","S")</f>
        <v>S</v>
      </c>
      <c r="J244" s="344" t="e">
        <f ca="1">VLOOKUP(A244,TradesEquity!$1:$1048576,5,FALSE)</f>
        <v>#NAME?</v>
      </c>
      <c r="K244" s="342" t="s">
        <v>19</v>
      </c>
      <c r="L244" s="345" t="s">
        <v>1958</v>
      </c>
      <c r="AE244" s="346" t="str">
        <f>VLOOKUP(A244,TradesEquity!$1:$1048576,10,FALSE)</f>
        <v>JPY</v>
      </c>
      <c r="AF244" s="346" t="str">
        <f t="shared" si="12"/>
        <v>JPY</v>
      </c>
      <c r="AG244" s="346" t="str">
        <f t="shared" si="12"/>
        <v>JPY</v>
      </c>
      <c r="AH244" s="346" t="str">
        <f t="shared" si="12"/>
        <v>JPY</v>
      </c>
      <c r="AI244" s="346">
        <f>ABS(VLOOKUP(A244,TradesEquity!$1:$1048576,13,FALSE))</f>
        <v>5000</v>
      </c>
      <c r="AJ244" s="347">
        <v>0</v>
      </c>
      <c r="AK244" s="347">
        <v>1</v>
      </c>
      <c r="AL244" s="346">
        <f>VLOOKUP(A244,TradesEquity!$1:$1048576,11,FALSE)</f>
        <v>1311.59</v>
      </c>
      <c r="AM244" s="347">
        <v>1</v>
      </c>
      <c r="AN244" s="346">
        <f>ABS(VLOOKUP(A244,TradesEquity!$1:$1048576,14,FALSE))</f>
        <v>6557950</v>
      </c>
      <c r="AO244" s="346">
        <f>ABS(VLOOKUP(A244,TradesEquity!$1:$1048576,15,FALSE))</f>
        <v>3935</v>
      </c>
      <c r="AP244" s="348">
        <f>ABS(VLOOKUP(A244,TradesEquity!$1:$1048576,16,FALSE))</f>
        <v>0</v>
      </c>
      <c r="AQ244" s="286">
        <v>0</v>
      </c>
      <c r="AR244" s="286">
        <v>0</v>
      </c>
      <c r="AS244" s="286">
        <v>0</v>
      </c>
      <c r="AT244" s="286">
        <v>0</v>
      </c>
      <c r="AU244" s="286">
        <v>0</v>
      </c>
      <c r="AV244" s="348">
        <f>ABS(VLOOKUP(A244,TradesEquity!$1:$1048576,18,FALSE))</f>
        <v>6554015</v>
      </c>
      <c r="AW244" s="349">
        <v>0</v>
      </c>
      <c r="AX244" s="350">
        <v>4542</v>
      </c>
      <c r="AY244" s="351" t="s">
        <v>1959</v>
      </c>
      <c r="AZ244" s="352" t="e">
        <f ca="1">(VLOOKUP(A244,TradesEquity!$1:$1048576,29,FALSE))</f>
        <v>#NAME?</v>
      </c>
      <c r="BA244" s="352" t="e">
        <f ca="1">(VLOOKUP(A244,TradesEquity!$1:$1048576,30,FALSE))</f>
        <v>#NAME?</v>
      </c>
      <c r="BB244" s="352" t="e">
        <f ca="1">(VLOOKUP(A244,TradesEquity!$1:$1048576,31,FALSE))</f>
        <v>#NAME?</v>
      </c>
      <c r="BC244" s="352" t="e">
        <f ca="1">(VLOOKUP(A244,TradesEquity!$1:$1048576,32,FALSE))</f>
        <v>#NAME?</v>
      </c>
      <c r="BI244" s="352" t="e">
        <f ca="1">(VLOOKUP(A244,TradesEquity!$1:$1048576,38,FALSE))</f>
        <v>#NAME?</v>
      </c>
      <c r="BJ244" s="352" t="e">
        <f ca="1">(VLOOKUP(A244,TradesEquity!$1:$1048576,39,FALSE))</f>
        <v>#NAME?</v>
      </c>
      <c r="BK244" s="352" t="e">
        <f ca="1">(VLOOKUP(A244,TradesEquity!$1:$1048576,40,FALSE))</f>
        <v>#NAME?</v>
      </c>
    </row>
    <row r="245" spans="1:63">
      <c r="A245" s="60">
        <v>2019200498</v>
      </c>
      <c r="D245" s="342" t="s">
        <v>1957</v>
      </c>
      <c r="F245" s="343">
        <f>VLOOKUP(A245,TradesEquity!$1:$1048576,2,FALSE)</f>
        <v>44410</v>
      </c>
      <c r="H245" s="343">
        <f>VLOOKUP(A245,TradesEquity!$1:$1048576,21,FALSE)</f>
        <v>44412</v>
      </c>
      <c r="I245" s="344" t="str">
        <f>IF(VLOOKUP(A245,TradesEquity!$1:$1048576,3,FALSE)="BUY","B","S")</f>
        <v>S</v>
      </c>
      <c r="J245" s="344" t="e">
        <f ca="1">VLOOKUP(A245,TradesEquity!$1:$1048576,5,FALSE)</f>
        <v>#NAME?</v>
      </c>
      <c r="K245" s="342" t="s">
        <v>19</v>
      </c>
      <c r="L245" s="345" t="s">
        <v>1958</v>
      </c>
      <c r="AE245" s="346" t="e">
        <f ca="1">VLOOKUP(A245,TradesEquity!$1:$1048576,10,FALSE)</f>
        <v>#NAME?</v>
      </c>
      <c r="AF245" s="346" t="e">
        <f t="shared" ca="1" si="12"/>
        <v>#NAME?</v>
      </c>
      <c r="AG245" s="346" t="e">
        <f t="shared" ca="1" si="12"/>
        <v>#NAME?</v>
      </c>
      <c r="AH245" s="346" t="e">
        <f t="shared" ca="1" si="12"/>
        <v>#NAME?</v>
      </c>
      <c r="AI245" s="346">
        <f>ABS(VLOOKUP(A245,TradesEquity!$1:$1048576,13,FALSE))</f>
        <v>11000</v>
      </c>
      <c r="AJ245" s="347">
        <v>0</v>
      </c>
      <c r="AK245" s="347">
        <v>1</v>
      </c>
      <c r="AL245" s="346">
        <f>VLOOKUP(A245,TradesEquity!$1:$1048576,11,FALSE)</f>
        <v>9.4742999999999995</v>
      </c>
      <c r="AM245" s="347">
        <v>1</v>
      </c>
      <c r="AN245" s="346">
        <f>ABS(VLOOKUP(A245,TradesEquity!$1:$1048576,14,FALSE))</f>
        <v>104217.29999999999</v>
      </c>
      <c r="AO245" s="346">
        <f>ABS(VLOOKUP(A245,TradesEquity!$1:$1048576,15,FALSE))</f>
        <v>62.53</v>
      </c>
      <c r="AP245" s="348">
        <f>ABS(VLOOKUP(A245,TradesEquity!$1:$1048576,16,FALSE))</f>
        <v>0</v>
      </c>
      <c r="AQ245" s="286">
        <v>0</v>
      </c>
      <c r="AR245" s="286">
        <v>0</v>
      </c>
      <c r="AS245" s="286">
        <v>0</v>
      </c>
      <c r="AT245" s="286">
        <v>0</v>
      </c>
      <c r="AU245" s="286">
        <v>0</v>
      </c>
      <c r="AV245" s="348">
        <f>ABS(VLOOKUP(A245,TradesEquity!$1:$1048576,18,FALSE))</f>
        <v>104154.76999999999</v>
      </c>
      <c r="AW245" s="349">
        <v>0</v>
      </c>
      <c r="AX245" s="350">
        <v>4542</v>
      </c>
      <c r="AY245" s="351" t="s">
        <v>1959</v>
      </c>
      <c r="AZ245" s="352" t="e">
        <f ca="1">(VLOOKUP(A245,TradesEquity!$1:$1048576,29,FALSE))</f>
        <v>#NAME?</v>
      </c>
      <c r="BA245" s="352" t="e">
        <f ca="1">(VLOOKUP(A245,TradesEquity!$1:$1048576,30,FALSE))</f>
        <v>#NAME?</v>
      </c>
      <c r="BB245" s="352" t="e">
        <f ca="1">(VLOOKUP(A245,TradesEquity!$1:$1048576,31,FALSE))</f>
        <v>#NAME?</v>
      </c>
      <c r="BC245" s="352" t="e">
        <f ca="1">(VLOOKUP(A245,TradesEquity!$1:$1048576,32,FALSE))</f>
        <v>#NAME?</v>
      </c>
      <c r="BI245" s="352" t="e">
        <f ca="1">(VLOOKUP(A245,TradesEquity!$1:$1048576,38,FALSE))</f>
        <v>#NAME?</v>
      </c>
      <c r="BJ245" s="352" t="e">
        <f ca="1">(VLOOKUP(A245,TradesEquity!$1:$1048576,39,FALSE))</f>
        <v>#NAME?</v>
      </c>
      <c r="BK245" s="352" t="e">
        <f ca="1">(VLOOKUP(A245,TradesEquity!$1:$1048576,40,FALSE))</f>
        <v>#NAME?</v>
      </c>
    </row>
    <row r="246" spans="1:63">
      <c r="A246" s="60">
        <v>2019200499</v>
      </c>
      <c r="D246" s="342" t="s">
        <v>1957</v>
      </c>
      <c r="F246" s="343">
        <f>VLOOKUP(A246,TradesEquity!$1:$1048576,2,FALSE)</f>
        <v>44413</v>
      </c>
      <c r="H246" s="343">
        <f>VLOOKUP(A246,TradesEquity!$1:$1048576,21,FALSE)</f>
        <v>44418</v>
      </c>
      <c r="I246" s="344" t="str">
        <f>IF(VLOOKUP(A246,TradesEquity!$1:$1048576,3,FALSE)="BUY","B","S")</f>
        <v>S</v>
      </c>
      <c r="J246" s="344" t="e">
        <f ca="1">VLOOKUP(A246,TradesEquity!$1:$1048576,5,FALSE)</f>
        <v>#NAME?</v>
      </c>
      <c r="K246" s="342" t="s">
        <v>19</v>
      </c>
      <c r="L246" s="345" t="s">
        <v>1958</v>
      </c>
      <c r="AE246" s="346" t="e">
        <f ca="1">VLOOKUP(A246,TradesEquity!$1:$1048576,10,FALSE)</f>
        <v>#NAME?</v>
      </c>
      <c r="AF246" s="346" t="e">
        <f t="shared" ca="1" si="12"/>
        <v>#NAME?</v>
      </c>
      <c r="AG246" s="346" t="e">
        <f t="shared" ca="1" si="12"/>
        <v>#NAME?</v>
      </c>
      <c r="AH246" s="346" t="e">
        <f t="shared" ca="1" si="12"/>
        <v>#NAME?</v>
      </c>
      <c r="AI246" s="346">
        <f>ABS(VLOOKUP(A246,TradesEquity!$1:$1048576,13,FALSE))</f>
        <v>4000</v>
      </c>
      <c r="AJ246" s="347">
        <v>0</v>
      </c>
      <c r="AK246" s="347">
        <v>1</v>
      </c>
      <c r="AL246" s="346">
        <f>VLOOKUP(A246,TradesEquity!$1:$1048576,11,FALSE)</f>
        <v>1351.78125</v>
      </c>
      <c r="AM246" s="347">
        <v>1</v>
      </c>
      <c r="AN246" s="346">
        <f>ABS(VLOOKUP(A246,TradesEquity!$1:$1048576,14,FALSE))</f>
        <v>5407125</v>
      </c>
      <c r="AO246" s="346">
        <f>ABS(VLOOKUP(A246,TradesEquity!$1:$1048576,15,FALSE))</f>
        <v>3244</v>
      </c>
      <c r="AP246" s="348">
        <f>ABS(VLOOKUP(A246,TradesEquity!$1:$1048576,16,FALSE))</f>
        <v>0</v>
      </c>
      <c r="AQ246" s="286">
        <v>0</v>
      </c>
      <c r="AR246" s="286">
        <v>0</v>
      </c>
      <c r="AS246" s="286">
        <v>0</v>
      </c>
      <c r="AT246" s="286">
        <v>0</v>
      </c>
      <c r="AU246" s="286">
        <v>0</v>
      </c>
      <c r="AV246" s="348">
        <f>ABS(VLOOKUP(A246,TradesEquity!$1:$1048576,18,FALSE))</f>
        <v>5403881</v>
      </c>
      <c r="AW246" s="349">
        <v>0</v>
      </c>
      <c r="AX246" s="350">
        <v>4542</v>
      </c>
      <c r="AY246" s="351" t="s">
        <v>1959</v>
      </c>
      <c r="AZ246" s="352" t="e">
        <f ca="1">(VLOOKUP(A246,TradesEquity!$1:$1048576,29,FALSE))</f>
        <v>#NAME?</v>
      </c>
      <c r="BA246" s="352" t="e">
        <f ca="1">(VLOOKUP(A246,TradesEquity!$1:$1048576,30,FALSE))</f>
        <v>#NAME?</v>
      </c>
      <c r="BB246" s="352" t="e">
        <f ca="1">(VLOOKUP(A246,TradesEquity!$1:$1048576,31,FALSE))</f>
        <v>#NAME?</v>
      </c>
      <c r="BC246" s="352" t="e">
        <f ca="1">(VLOOKUP(A246,TradesEquity!$1:$1048576,32,FALSE))</f>
        <v>#NAME?</v>
      </c>
      <c r="BI246" s="352" t="e">
        <f ca="1">(VLOOKUP(A246,TradesEquity!$1:$1048576,38,FALSE))</f>
        <v>#NAME?</v>
      </c>
      <c r="BJ246" s="352" t="e">
        <f ca="1">(VLOOKUP(A246,TradesEquity!$1:$1048576,39,FALSE))</f>
        <v>#NAME?</v>
      </c>
      <c r="BK246" s="352" t="e">
        <f ca="1">(VLOOKUP(A246,TradesEquity!$1:$1048576,40,FALSE))</f>
        <v>#NAME?</v>
      </c>
    </row>
    <row r="247" spans="1:63">
      <c r="A247" s="60">
        <v>2019200501</v>
      </c>
      <c r="D247" s="342" t="s">
        <v>1957</v>
      </c>
      <c r="F247" s="343">
        <f>VLOOKUP(A247,TradesEquity!$1:$1048576,2,FALSE)</f>
        <v>44418</v>
      </c>
      <c r="H247" s="343">
        <f>VLOOKUP(A247,TradesEquity!$1:$1048576,21,FALSE)</f>
        <v>44420</v>
      </c>
      <c r="I247" s="344" t="str">
        <f>IF(VLOOKUP(A247,TradesEquity!$1:$1048576,3,FALSE)="BUY","B","S")</f>
        <v>B</v>
      </c>
      <c r="J247" s="344" t="e">
        <f ca="1">VLOOKUP(A247,TradesEquity!$1:$1048576,5,FALSE)</f>
        <v>#NAME?</v>
      </c>
      <c r="K247" s="342" t="s">
        <v>19</v>
      </c>
      <c r="L247" s="345" t="s">
        <v>1958</v>
      </c>
      <c r="AE247" s="346" t="e">
        <f ca="1">VLOOKUP(A247,TradesEquity!$1:$1048576,10,FALSE)</f>
        <v>#NAME?</v>
      </c>
      <c r="AF247" s="346" t="e">
        <f t="shared" ca="1" si="12"/>
        <v>#NAME?</v>
      </c>
      <c r="AG247" s="346" t="e">
        <f t="shared" ca="1" si="12"/>
        <v>#NAME?</v>
      </c>
      <c r="AH247" s="346" t="e">
        <f t="shared" ca="1" si="12"/>
        <v>#NAME?</v>
      </c>
      <c r="AI247" s="346">
        <f>ABS(VLOOKUP(A247,TradesEquity!$1:$1048576,13,FALSE))</f>
        <v>4100</v>
      </c>
      <c r="AJ247" s="347">
        <v>0</v>
      </c>
      <c r="AK247" s="347">
        <v>1</v>
      </c>
      <c r="AL247" s="346">
        <f>VLOOKUP(A247,TradesEquity!$1:$1048576,11,FALSE)</f>
        <v>4190.3048779999999</v>
      </c>
      <c r="AM247" s="347">
        <v>1</v>
      </c>
      <c r="AN247" s="346">
        <f>ABS(VLOOKUP(A247,TradesEquity!$1:$1048576,14,FALSE))</f>
        <v>17180249.9998</v>
      </c>
      <c r="AO247" s="346">
        <f>ABS(VLOOKUP(A247,TradesEquity!$1:$1048576,15,FALSE))</f>
        <v>10308</v>
      </c>
      <c r="AP247" s="348">
        <f>ABS(VLOOKUP(A247,TradesEquity!$1:$1048576,16,FALSE))</f>
        <v>0</v>
      </c>
      <c r="AQ247" s="286">
        <v>0</v>
      </c>
      <c r="AR247" s="286">
        <v>0</v>
      </c>
      <c r="AS247" s="286">
        <v>0</v>
      </c>
      <c r="AT247" s="286">
        <v>0</v>
      </c>
      <c r="AU247" s="286">
        <v>0</v>
      </c>
      <c r="AV247" s="348">
        <f>ABS(VLOOKUP(A247,TradesEquity!$1:$1048576,18,FALSE))</f>
        <v>17190557.9998</v>
      </c>
      <c r="AW247" s="349">
        <v>0</v>
      </c>
      <c r="AX247" s="350">
        <v>4542</v>
      </c>
      <c r="AY247" s="351" t="s">
        <v>1959</v>
      </c>
      <c r="AZ247" s="352" t="e">
        <f ca="1">(VLOOKUP(A247,TradesEquity!$1:$1048576,29,FALSE))</f>
        <v>#NAME?</v>
      </c>
      <c r="BA247" s="352" t="e">
        <f ca="1">(VLOOKUP(A247,TradesEquity!$1:$1048576,30,FALSE))</f>
        <v>#NAME?</v>
      </c>
      <c r="BB247" s="352" t="e">
        <f ca="1">(VLOOKUP(A247,TradesEquity!$1:$1048576,31,FALSE))</f>
        <v>#NAME?</v>
      </c>
      <c r="BC247" s="352" t="e">
        <f ca="1">(VLOOKUP(A247,TradesEquity!$1:$1048576,32,FALSE))</f>
        <v>#NAME?</v>
      </c>
      <c r="BI247" s="352"/>
      <c r="BJ247" s="352"/>
      <c r="BK247" s="352" t="e">
        <f ca="1">(VLOOKUP(A247,TradesEquity!$1:$1048576,40,FALSE))</f>
        <v>#NAME?</v>
      </c>
    </row>
    <row r="248" spans="1:63">
      <c r="A248" s="60">
        <v>2019200502</v>
      </c>
      <c r="D248" s="342" t="s">
        <v>1957</v>
      </c>
      <c r="F248" s="343">
        <f>VLOOKUP(A248,TradesEquity!$1:$1048576,2,FALSE)</f>
        <v>44418</v>
      </c>
      <c r="H248" s="343">
        <f>VLOOKUP(A248,TradesEquity!$1:$1048576,21,FALSE)</f>
        <v>44420</v>
      </c>
      <c r="I248" s="344" t="str">
        <f>IF(VLOOKUP(A248,TradesEquity!$1:$1048576,3,FALSE)="BUY","B","S")</f>
        <v>S</v>
      </c>
      <c r="J248" s="344" t="e">
        <f ca="1">VLOOKUP(A248,TradesEquity!$1:$1048576,5,FALSE)</f>
        <v>#NAME?</v>
      </c>
      <c r="K248" s="342" t="s">
        <v>19</v>
      </c>
      <c r="L248" s="345" t="s">
        <v>1958</v>
      </c>
      <c r="AE248" s="346" t="e">
        <f ca="1">VLOOKUP(A248,TradesEquity!$1:$1048576,10,FALSE)</f>
        <v>#NAME?</v>
      </c>
      <c r="AF248" s="346" t="e">
        <f t="shared" ca="1" si="12"/>
        <v>#NAME?</v>
      </c>
      <c r="AG248" s="346" t="e">
        <f t="shared" ca="1" si="12"/>
        <v>#NAME?</v>
      </c>
      <c r="AH248" s="346" t="e">
        <f t="shared" ca="1" si="12"/>
        <v>#NAME?</v>
      </c>
      <c r="AI248" s="346">
        <f>ABS(VLOOKUP(A248,TradesEquity!$1:$1048576,13,FALSE))</f>
        <v>22000</v>
      </c>
      <c r="AJ248" s="347">
        <v>0</v>
      </c>
      <c r="AK248" s="347">
        <v>1</v>
      </c>
      <c r="AL248" s="346">
        <f>VLOOKUP(A248,TradesEquity!$1:$1048576,11,FALSE)</f>
        <v>9.7878279999999993</v>
      </c>
      <c r="AM248" s="347">
        <v>1</v>
      </c>
      <c r="AN248" s="346">
        <f>ABS(VLOOKUP(A248,TradesEquity!$1:$1048576,14,FALSE))</f>
        <v>215332.21599999999</v>
      </c>
      <c r="AO248" s="346">
        <f>ABS(VLOOKUP(A248,TradesEquity!$1:$1048576,15,FALSE))</f>
        <v>129.19999999999999</v>
      </c>
      <c r="AP248" s="348">
        <f>ABS(VLOOKUP(A248,TradesEquity!$1:$1048576,16,FALSE))</f>
        <v>0</v>
      </c>
      <c r="AQ248" s="286">
        <v>0</v>
      </c>
      <c r="AR248" s="286">
        <v>0</v>
      </c>
      <c r="AS248" s="286">
        <v>0</v>
      </c>
      <c r="AT248" s="286">
        <v>0</v>
      </c>
      <c r="AU248" s="286">
        <v>0</v>
      </c>
      <c r="AV248" s="348">
        <f>ABS(VLOOKUP(A248,TradesEquity!$1:$1048576,18,FALSE))</f>
        <v>215203.01599999997</v>
      </c>
      <c r="AW248" s="349">
        <v>0</v>
      </c>
      <c r="AX248" s="350">
        <v>4542</v>
      </c>
      <c r="AY248" s="351" t="s">
        <v>1959</v>
      </c>
      <c r="AZ248" s="352" t="e">
        <f ca="1">(VLOOKUP(A248,TradesEquity!$1:$1048576,29,FALSE))</f>
        <v>#NAME?</v>
      </c>
      <c r="BA248" s="352" t="e">
        <f ca="1">(VLOOKUP(A248,TradesEquity!$1:$1048576,30,FALSE))</f>
        <v>#NAME?</v>
      </c>
      <c r="BB248" s="352" t="e">
        <f ca="1">(VLOOKUP(A248,TradesEquity!$1:$1048576,31,FALSE))</f>
        <v>#NAME?</v>
      </c>
      <c r="BC248" s="352" t="e">
        <f ca="1">(VLOOKUP(A248,TradesEquity!$1:$1048576,32,FALSE))</f>
        <v>#NAME?</v>
      </c>
      <c r="BI248" s="352"/>
      <c r="BJ248" s="352"/>
      <c r="BK248" s="352" t="e">
        <f ca="1">(VLOOKUP(A248,TradesEquity!$1:$1048576,40,FALSE))</f>
        <v>#NAME?</v>
      </c>
    </row>
    <row r="249" spans="1:63">
      <c r="A249" s="60">
        <v>2019200520</v>
      </c>
      <c r="D249" s="342" t="s">
        <v>1957</v>
      </c>
      <c r="F249" s="343">
        <f>VLOOKUP(A249,TradesEquity!$1:$1048576,2,FALSE)</f>
        <v>44475</v>
      </c>
      <c r="H249" s="343">
        <f>VLOOKUP(A249,TradesEquity!$1:$1048576,21,FALSE)</f>
        <v>44477</v>
      </c>
      <c r="I249" s="344" t="str">
        <f>IF(VLOOKUP(A249,TradesEquity!$1:$1048576,3,FALSE)="BUY","B","S")</f>
        <v>S</v>
      </c>
      <c r="J249" s="344" t="e">
        <f ca="1">VLOOKUP(A249,TradesEquity!$1:$1048576,5,FALSE)</f>
        <v>#NAME?</v>
      </c>
      <c r="K249" s="342" t="s">
        <v>19</v>
      </c>
      <c r="L249" s="345" t="s">
        <v>1958</v>
      </c>
      <c r="AE249" s="346" t="e">
        <f ca="1">VLOOKUP(A249,TradesEquity!$1:$1048576,10,FALSE)</f>
        <v>#NAME?</v>
      </c>
      <c r="AF249" s="346" t="e">
        <f t="shared" ca="1" si="12"/>
        <v>#NAME?</v>
      </c>
      <c r="AG249" s="346" t="e">
        <f t="shared" ca="1" si="12"/>
        <v>#NAME?</v>
      </c>
      <c r="AH249" s="346" t="e">
        <f t="shared" ca="1" si="12"/>
        <v>#NAME?</v>
      </c>
      <c r="AI249" s="346">
        <f>ABS(VLOOKUP(A249,TradesEquity!$1:$1048576,13,FALSE))</f>
        <v>42000</v>
      </c>
      <c r="AJ249" s="347">
        <v>0</v>
      </c>
      <c r="AK249" s="347">
        <v>1</v>
      </c>
      <c r="AL249" s="346">
        <f>VLOOKUP(A249,TradesEquity!$1:$1048576,11,FALSE)</f>
        <v>2.931238</v>
      </c>
      <c r="AM249" s="347">
        <v>1</v>
      </c>
      <c r="AN249" s="346">
        <f>ABS(VLOOKUP(A249,TradesEquity!$1:$1048576,14,FALSE))</f>
        <v>123111.996</v>
      </c>
      <c r="AO249" s="346">
        <f>ABS(VLOOKUP(A249,TradesEquity!$1:$1048576,15,FALSE))</f>
        <v>73.87</v>
      </c>
      <c r="AP249" s="348">
        <f>ABS(VLOOKUP(A249,TradesEquity!$1:$1048576,16,FALSE))</f>
        <v>0</v>
      </c>
      <c r="AQ249" s="286">
        <v>0</v>
      </c>
      <c r="AR249" s="286">
        <v>0</v>
      </c>
      <c r="AS249" s="286">
        <v>0</v>
      </c>
      <c r="AT249" s="286">
        <v>0</v>
      </c>
      <c r="AU249" s="286">
        <v>0</v>
      </c>
      <c r="AV249" s="348">
        <f>ABS(VLOOKUP(A249,TradesEquity!$1:$1048576,18,FALSE))</f>
        <v>123038.126</v>
      </c>
      <c r="AW249" s="349">
        <v>0</v>
      </c>
      <c r="AX249" s="350">
        <v>4542</v>
      </c>
      <c r="AY249" s="351" t="s">
        <v>1959</v>
      </c>
      <c r="AZ249" s="352" t="e">
        <f ca="1">(VLOOKUP(A249,TradesEquity!$1:$1048576,29,FALSE))</f>
        <v>#NAME?</v>
      </c>
      <c r="BA249" s="352" t="e">
        <f ca="1">(VLOOKUP(A249,TradesEquity!$1:$1048576,30,FALSE))</f>
        <v>#NAME?</v>
      </c>
      <c r="BB249" s="352" t="e">
        <f ca="1">(VLOOKUP(A249,TradesEquity!$1:$1048576,31,FALSE))</f>
        <v>#NAME?</v>
      </c>
      <c r="BC249" s="352" t="e">
        <f ca="1">(VLOOKUP(A249,TradesEquity!$1:$1048576,32,FALSE))</f>
        <v>#NAME?</v>
      </c>
      <c r="BI249" s="352"/>
      <c r="BJ249" s="352"/>
      <c r="BK249" s="352" t="e">
        <f ca="1">(VLOOKUP(A249,TradesEquity!$1:$1048576,40,FALSE))</f>
        <v>#NAME?</v>
      </c>
    </row>
    <row r="250" spans="1:63">
      <c r="A250" s="60">
        <v>2019200522</v>
      </c>
      <c r="D250" s="342" t="s">
        <v>1957</v>
      </c>
      <c r="F250" s="343">
        <f>VLOOKUP(A250,TradesEquity!$1:$1048576,2,FALSE)</f>
        <v>44495</v>
      </c>
      <c r="H250" s="343">
        <f>VLOOKUP(A250,TradesEquity!$1:$1048576,21,FALSE)</f>
        <v>44497</v>
      </c>
      <c r="I250" s="344" t="str">
        <f>IF(VLOOKUP(A250,TradesEquity!$1:$1048576,3,FALSE)="BUY","B","S")</f>
        <v>S</v>
      </c>
      <c r="J250" s="344" t="e">
        <f ca="1">VLOOKUP(A250,TradesEquity!$1:$1048576,5,FALSE)</f>
        <v>#NAME?</v>
      </c>
      <c r="K250" s="342" t="s">
        <v>19</v>
      </c>
      <c r="L250" s="345" t="s">
        <v>1958</v>
      </c>
      <c r="AE250" s="346" t="e">
        <f ca="1">VLOOKUP(A250,TradesEquity!$1:$1048576,10,FALSE)</f>
        <v>#NAME?</v>
      </c>
      <c r="AF250" s="346" t="e">
        <f t="shared" ca="1" si="12"/>
        <v>#NAME?</v>
      </c>
      <c r="AG250" s="346" t="e">
        <f t="shared" ca="1" si="12"/>
        <v>#NAME?</v>
      </c>
      <c r="AH250" s="346" t="e">
        <f t="shared" ca="1" si="12"/>
        <v>#NAME?</v>
      </c>
      <c r="AI250" s="346">
        <f>ABS(VLOOKUP(A250,TradesEquity!$1:$1048576,13,FALSE))</f>
        <v>7000</v>
      </c>
      <c r="AJ250" s="347">
        <v>0</v>
      </c>
      <c r="AK250" s="347">
        <v>1</v>
      </c>
      <c r="AL250" s="346">
        <f>VLOOKUP(A250,TradesEquity!$1:$1048576,11,FALSE)</f>
        <v>1525.4571000000001</v>
      </c>
      <c r="AM250" s="347">
        <v>1</v>
      </c>
      <c r="AN250" s="346">
        <f>ABS(VLOOKUP(A250,TradesEquity!$1:$1048576,14,FALSE))</f>
        <v>10678199.700000001</v>
      </c>
      <c r="AO250" s="346">
        <f>ABS(VLOOKUP(A250,TradesEquity!$1:$1048576,15,FALSE))</f>
        <v>6407</v>
      </c>
      <c r="AP250" s="348">
        <f>ABS(VLOOKUP(A250,TradesEquity!$1:$1048576,16,FALSE))</f>
        <v>0</v>
      </c>
      <c r="AQ250" s="286">
        <v>0</v>
      </c>
      <c r="AR250" s="286">
        <v>0</v>
      </c>
      <c r="AS250" s="286">
        <v>0</v>
      </c>
      <c r="AT250" s="286">
        <v>0</v>
      </c>
      <c r="AU250" s="286">
        <v>0</v>
      </c>
      <c r="AV250" s="348">
        <f>ABS(VLOOKUP(A250,TradesEquity!$1:$1048576,18,FALSE))</f>
        <v>10671792.700000001</v>
      </c>
      <c r="AW250" s="349">
        <v>0</v>
      </c>
      <c r="AX250" s="350">
        <v>4542</v>
      </c>
      <c r="AY250" s="351" t="s">
        <v>1959</v>
      </c>
      <c r="AZ250" s="352" t="e">
        <f ca="1">(VLOOKUP(A250,TradesEquity!$1:$1048576,29,FALSE))</f>
        <v>#NAME?</v>
      </c>
      <c r="BA250" s="352" t="e">
        <f ca="1">(VLOOKUP(A250,TradesEquity!$1:$1048576,30,FALSE))</f>
        <v>#NAME?</v>
      </c>
      <c r="BB250" s="352" t="e">
        <f ca="1">(VLOOKUP(A250,TradesEquity!$1:$1048576,31,FALSE))</f>
        <v>#NAME?</v>
      </c>
      <c r="BC250" s="352" t="e">
        <f ca="1">(VLOOKUP(A250,TradesEquity!$1:$1048576,32,FALSE))</f>
        <v>#NAME?</v>
      </c>
      <c r="BI250" s="352"/>
      <c r="BJ250" s="352"/>
      <c r="BK250" s="352" t="e">
        <f ca="1">(VLOOKUP(A250,TradesEquity!$1:$1048576,40,FALSE))</f>
        <v>#NAME?</v>
      </c>
    </row>
    <row r="251" spans="1:63">
      <c r="A251" s="60">
        <v>2019200523</v>
      </c>
      <c r="D251" s="342" t="s">
        <v>1957</v>
      </c>
      <c r="F251" s="343">
        <f>VLOOKUP(A251,TradesEquity!$1:$1048576,2,FALSE)</f>
        <v>44508</v>
      </c>
      <c r="H251" s="343">
        <f>VLOOKUP(A251,TradesEquity!$1:$1048576,21,FALSE)</f>
        <v>44510</v>
      </c>
      <c r="I251" s="344" t="str">
        <f>IF(VLOOKUP(A251,TradesEquity!$1:$1048576,3,FALSE)="BUY","B","S")</f>
        <v>S</v>
      </c>
      <c r="J251" s="344" t="e">
        <f ca="1">VLOOKUP(A251,TradesEquity!$1:$1048576,5,FALSE)</f>
        <v>#NAME?</v>
      </c>
      <c r="K251" s="342" t="s">
        <v>19</v>
      </c>
      <c r="L251" s="345" t="s">
        <v>1958</v>
      </c>
      <c r="AE251" s="346" t="e">
        <f ca="1">VLOOKUP(A251,TradesEquity!$1:$1048576,10,FALSE)</f>
        <v>#NAME?</v>
      </c>
      <c r="AF251" s="346" t="e">
        <f t="shared" ca="1" si="12"/>
        <v>#NAME?</v>
      </c>
      <c r="AG251" s="346" t="e">
        <f t="shared" ca="1" si="12"/>
        <v>#NAME?</v>
      </c>
      <c r="AH251" s="346" t="e">
        <f t="shared" ca="1" si="12"/>
        <v>#NAME?</v>
      </c>
      <c r="AI251" s="346">
        <f>ABS(VLOOKUP(A251,TradesEquity!$1:$1048576,13,FALSE))</f>
        <v>1826</v>
      </c>
      <c r="AJ251" s="347">
        <v>0</v>
      </c>
      <c r="AK251" s="347">
        <v>1</v>
      </c>
      <c r="AL251" s="346">
        <f>VLOOKUP(A251,TradesEquity!$1:$1048576,11,FALSE)</f>
        <v>135947.42610000001</v>
      </c>
      <c r="AM251" s="347">
        <v>1</v>
      </c>
      <c r="AN251" s="346">
        <f>ABS(VLOOKUP(A251,TradesEquity!$1:$1048576,14,FALSE))</f>
        <v>248240000.05860001</v>
      </c>
      <c r="AO251" s="346">
        <f>ABS(VLOOKUP(A251,TradesEquity!$1:$1048576,15,FALSE))</f>
        <v>372360</v>
      </c>
      <c r="AP251" s="348">
        <f>ABS(VLOOKUP(A251,TradesEquity!$1:$1048576,16,FALSE))</f>
        <v>570933</v>
      </c>
      <c r="AQ251" s="286">
        <v>0</v>
      </c>
      <c r="AR251" s="286">
        <v>0</v>
      </c>
      <c r="AS251" s="286">
        <v>0</v>
      </c>
      <c r="AT251" s="286">
        <v>0</v>
      </c>
      <c r="AU251" s="286">
        <v>0</v>
      </c>
      <c r="AV251" s="348">
        <f>ABS(VLOOKUP(A251,TradesEquity!$1:$1048576,18,FALSE))</f>
        <v>247296707.05860001</v>
      </c>
      <c r="AW251" s="349">
        <v>0</v>
      </c>
      <c r="AX251" s="350">
        <v>4542</v>
      </c>
      <c r="AY251" s="351" t="s">
        <v>1959</v>
      </c>
      <c r="AZ251" s="352" t="e">
        <f ca="1">(VLOOKUP(A251,TradesEquity!$1:$1048576,29,FALSE))</f>
        <v>#NAME?</v>
      </c>
      <c r="BA251" s="352" t="e">
        <f ca="1">(VLOOKUP(A251,TradesEquity!$1:$1048576,30,FALSE))</f>
        <v>#NAME?</v>
      </c>
      <c r="BB251" s="352" t="e">
        <f ca="1">(VLOOKUP(A251,TradesEquity!$1:$1048576,31,FALSE))</f>
        <v>#NAME?</v>
      </c>
      <c r="BC251" s="352" t="e">
        <f ca="1">(VLOOKUP(A251,TradesEquity!$1:$1048576,32,FALSE))</f>
        <v>#NAME?</v>
      </c>
      <c r="BI251" s="352" t="e">
        <f ca="1">(VLOOKUP(A251,TradesEquity!$1:$1048576,38,FALSE))</f>
        <v>#NAME?</v>
      </c>
      <c r="BJ251" s="352" t="e">
        <f ca="1">(VLOOKUP(A251,TradesEquity!$1:$1048576,39,FALSE))</f>
        <v>#NAME?</v>
      </c>
      <c r="BK251" s="352" t="e">
        <f ca="1">(VLOOKUP(A251,TradesEquity!$1:$1048576,40,FALSE))</f>
        <v>#NAME?</v>
      </c>
    </row>
    <row r="252" spans="1:63">
      <c r="A252" s="60">
        <v>2019200524</v>
      </c>
      <c r="D252" s="342" t="s">
        <v>1957</v>
      </c>
      <c r="F252" s="343">
        <f>VLOOKUP(A252,TradesEquity!$1:$1048576,2,FALSE)</f>
        <v>44508</v>
      </c>
      <c r="H252" s="343">
        <f>VLOOKUP(A252,TradesEquity!$1:$1048576,21,FALSE)</f>
        <v>44510</v>
      </c>
      <c r="I252" s="344" t="str">
        <f>IF(VLOOKUP(A252,TradesEquity!$1:$1048576,3,FALSE)="BUY","B","S")</f>
        <v>S</v>
      </c>
      <c r="J252" s="344" t="e">
        <f ca="1">VLOOKUP(A252,TradesEquity!$1:$1048576,5,FALSE)</f>
        <v>#NAME?</v>
      </c>
      <c r="K252" s="342" t="s">
        <v>19</v>
      </c>
      <c r="L252" s="345" t="s">
        <v>1958</v>
      </c>
      <c r="AE252" s="346" t="e">
        <f ca="1">VLOOKUP(A252,TradesEquity!$1:$1048576,10,FALSE)</f>
        <v>#NAME?</v>
      </c>
      <c r="AF252" s="346" t="e">
        <f t="shared" ca="1" si="12"/>
        <v>#NAME?</v>
      </c>
      <c r="AG252" s="346" t="e">
        <f t="shared" ca="1" si="12"/>
        <v>#NAME?</v>
      </c>
      <c r="AH252" s="346" t="e">
        <f t="shared" ca="1" si="12"/>
        <v>#NAME?</v>
      </c>
      <c r="AI252" s="346">
        <f>ABS(VLOOKUP(A252,TradesEquity!$1:$1048576,13,FALSE))</f>
        <v>11000</v>
      </c>
      <c r="AJ252" s="347">
        <v>0</v>
      </c>
      <c r="AK252" s="347">
        <v>1</v>
      </c>
      <c r="AL252" s="346">
        <f>VLOOKUP(A252,TradesEquity!$1:$1048576,11,FALSE)</f>
        <v>5063.9090910000004</v>
      </c>
      <c r="AM252" s="347">
        <v>1</v>
      </c>
      <c r="AN252" s="346">
        <f>ABS(VLOOKUP(A252,TradesEquity!$1:$1048576,14,FALSE))</f>
        <v>55703000.001000002</v>
      </c>
      <c r="AO252" s="346">
        <f>ABS(VLOOKUP(A252,TradesEquity!$1:$1048576,15,FALSE))</f>
        <v>33422</v>
      </c>
      <c r="AP252" s="348">
        <f>ABS(VLOOKUP(A252,TradesEquity!$1:$1048576,16,FALSE))</f>
        <v>0</v>
      </c>
      <c r="AQ252" s="286">
        <v>0</v>
      </c>
      <c r="AR252" s="286">
        <v>0</v>
      </c>
      <c r="AS252" s="286">
        <v>0</v>
      </c>
      <c r="AT252" s="286">
        <v>0</v>
      </c>
      <c r="AU252" s="286">
        <v>0</v>
      </c>
      <c r="AV252" s="348">
        <f>ABS(VLOOKUP(A252,TradesEquity!$1:$1048576,18,FALSE))</f>
        <v>55669578.001000002</v>
      </c>
      <c r="AW252" s="349">
        <v>0</v>
      </c>
      <c r="AX252" s="350">
        <v>4542</v>
      </c>
      <c r="AY252" s="351" t="s">
        <v>1959</v>
      </c>
      <c r="AZ252" s="352" t="e">
        <f ca="1">(VLOOKUP(A252,TradesEquity!$1:$1048576,29,FALSE))</f>
        <v>#NAME?</v>
      </c>
      <c r="BA252" s="352" t="e">
        <f ca="1">(VLOOKUP(A252,TradesEquity!$1:$1048576,30,FALSE))</f>
        <v>#NAME?</v>
      </c>
      <c r="BB252" s="352" t="e">
        <f ca="1">(VLOOKUP(A252,TradesEquity!$1:$1048576,31,FALSE))</f>
        <v>#NAME?</v>
      </c>
      <c r="BC252" s="352" t="e">
        <f ca="1">(VLOOKUP(A252,TradesEquity!$1:$1048576,32,FALSE))</f>
        <v>#NAME?</v>
      </c>
      <c r="BI252" s="352" t="e">
        <f ca="1">(VLOOKUP(A252,TradesEquity!$1:$1048576,38,FALSE))</f>
        <v>#NAME?</v>
      </c>
      <c r="BJ252" s="352" t="e">
        <f ca="1">(VLOOKUP(A252,TradesEquity!$1:$1048576,39,FALSE))</f>
        <v>#NAME?</v>
      </c>
      <c r="BK252" s="352" t="e">
        <f ca="1">(VLOOKUP(A252,TradesEquity!$1:$1048576,40,FALSE))</f>
        <v>#NAME?</v>
      </c>
    </row>
    <row r="253" spans="1:63">
      <c r="A253" s="60">
        <v>2019200525</v>
      </c>
      <c r="D253" s="342" t="s">
        <v>1957</v>
      </c>
      <c r="F253" s="343">
        <f>VLOOKUP(A253,TradesEquity!$1:$1048576,2,FALSE)</f>
        <v>44508</v>
      </c>
      <c r="H253" s="343">
        <f>VLOOKUP(A253,TradesEquity!$1:$1048576,21,FALSE)</f>
        <v>44510</v>
      </c>
      <c r="I253" s="344" t="str">
        <f>IF(VLOOKUP(A253,TradesEquity!$1:$1048576,3,FALSE)="BUY","B","S")</f>
        <v>B</v>
      </c>
      <c r="J253" s="344" t="e">
        <f ca="1">VLOOKUP(A253,TradesEquity!$1:$1048576,5,FALSE)</f>
        <v>#NAME?</v>
      </c>
      <c r="K253" s="342" t="s">
        <v>19</v>
      </c>
      <c r="L253" s="345" t="s">
        <v>1958</v>
      </c>
      <c r="AE253" s="346" t="e">
        <f ca="1">VLOOKUP(A253,TradesEquity!$1:$1048576,10,FALSE)</f>
        <v>#NAME?</v>
      </c>
      <c r="AF253" s="346" t="e">
        <f t="shared" ca="1" si="12"/>
        <v>#NAME?</v>
      </c>
      <c r="AG253" s="346" t="e">
        <f t="shared" ca="1" si="12"/>
        <v>#NAME?</v>
      </c>
      <c r="AH253" s="346" t="e">
        <f t="shared" ca="1" si="12"/>
        <v>#NAME?</v>
      </c>
      <c r="AI253" s="346">
        <f>ABS(VLOOKUP(A253,TradesEquity!$1:$1048576,13,FALSE))</f>
        <v>950</v>
      </c>
      <c r="AJ253" s="347">
        <v>0</v>
      </c>
      <c r="AK253" s="347">
        <v>1</v>
      </c>
      <c r="AL253" s="346">
        <f>VLOOKUP(A253,TradesEquity!$1:$1048576,11,FALSE)</f>
        <v>143175.78950000001</v>
      </c>
      <c r="AM253" s="347">
        <v>1</v>
      </c>
      <c r="AN253" s="346">
        <f>ABS(VLOOKUP(A253,TradesEquity!$1:$1048576,14,FALSE))</f>
        <v>136017000.02500001</v>
      </c>
      <c r="AO253" s="346">
        <f>ABS(VLOOKUP(A253,TradesEquity!$1:$1048576,15,FALSE))</f>
        <v>204026</v>
      </c>
      <c r="AP253" s="348">
        <f>ABS(VLOOKUP(A253,TradesEquity!$1:$1048576,16,FALSE))</f>
        <v>0</v>
      </c>
      <c r="AQ253" s="286">
        <v>0</v>
      </c>
      <c r="AR253" s="286">
        <v>0</v>
      </c>
      <c r="AS253" s="286">
        <v>0</v>
      </c>
      <c r="AT253" s="286">
        <v>0</v>
      </c>
      <c r="AU253" s="286">
        <v>0</v>
      </c>
      <c r="AV253" s="348">
        <f>ABS(VLOOKUP(A253,TradesEquity!$1:$1048576,18,FALSE))</f>
        <v>136221026.02500001</v>
      </c>
      <c r="AW253" s="349">
        <v>0</v>
      </c>
      <c r="AX253" s="350">
        <v>4542</v>
      </c>
      <c r="AY253" s="351" t="s">
        <v>1959</v>
      </c>
      <c r="AZ253" s="352" t="e">
        <f ca="1">(VLOOKUP(A253,TradesEquity!$1:$1048576,29,FALSE))</f>
        <v>#NAME?</v>
      </c>
      <c r="BA253" s="352" t="e">
        <f ca="1">(VLOOKUP(A253,TradesEquity!$1:$1048576,30,FALSE))</f>
        <v>#NAME?</v>
      </c>
      <c r="BB253" s="352" t="e">
        <f ca="1">(VLOOKUP(A253,TradesEquity!$1:$1048576,31,FALSE))</f>
        <v>#NAME?</v>
      </c>
      <c r="BC253" s="352" t="e">
        <f ca="1">(VLOOKUP(A253,TradesEquity!$1:$1048576,32,FALSE))</f>
        <v>#NAME?</v>
      </c>
      <c r="BI253" s="352" t="e">
        <f ca="1">(VLOOKUP(A253,TradesEquity!$1:$1048576,38,FALSE))</f>
        <v>#NAME?</v>
      </c>
      <c r="BJ253" s="352" t="e">
        <f ca="1">(VLOOKUP(A253,TradesEquity!$1:$1048576,39,FALSE))</f>
        <v>#NAME?</v>
      </c>
      <c r="BK253" s="352" t="e">
        <f ca="1">(VLOOKUP(A253,TradesEquity!$1:$1048576,40,FALSE))</f>
        <v>#NAME?</v>
      </c>
    </row>
    <row r="254" spans="1:63">
      <c r="A254" s="60">
        <v>2019200526</v>
      </c>
      <c r="D254" s="342" t="s">
        <v>1957</v>
      </c>
      <c r="F254" s="343">
        <f>VLOOKUP(A254,TradesEquity!$1:$1048576,2,FALSE)</f>
        <v>44508</v>
      </c>
      <c r="H254" s="343">
        <f>VLOOKUP(A254,TradesEquity!$1:$1048576,21,FALSE)</f>
        <v>44510</v>
      </c>
      <c r="I254" s="344" t="str">
        <f>IF(VLOOKUP(A254,TradesEquity!$1:$1048576,3,FALSE)="BUY","B","S")</f>
        <v>B</v>
      </c>
      <c r="J254" s="344" t="e">
        <f ca="1">VLOOKUP(A254,TradesEquity!$1:$1048576,5,FALSE)</f>
        <v>#NAME?</v>
      </c>
      <c r="K254" s="342" t="s">
        <v>19</v>
      </c>
      <c r="L254" s="345" t="s">
        <v>1958</v>
      </c>
      <c r="AE254" s="346" t="e">
        <f ca="1">VLOOKUP(A254,TradesEquity!$1:$1048576,10,FALSE)</f>
        <v>#NAME?</v>
      </c>
      <c r="AF254" s="346" t="e">
        <f t="shared" ca="1" si="12"/>
        <v>#NAME?</v>
      </c>
      <c r="AG254" s="346" t="e">
        <f t="shared" ca="1" si="12"/>
        <v>#NAME?</v>
      </c>
      <c r="AH254" s="346" t="e">
        <f t="shared" ca="1" si="12"/>
        <v>#NAME?</v>
      </c>
      <c r="AI254" s="346">
        <f>ABS(VLOOKUP(A254,TradesEquity!$1:$1048576,13,FALSE))</f>
        <v>600</v>
      </c>
      <c r="AJ254" s="347">
        <v>0</v>
      </c>
      <c r="AK254" s="347">
        <v>1</v>
      </c>
      <c r="AL254" s="346">
        <f>VLOOKUP(A254,TradesEquity!$1:$1048576,11,FALSE)</f>
        <v>358250</v>
      </c>
      <c r="AM254" s="347">
        <v>1</v>
      </c>
      <c r="AN254" s="346">
        <f>ABS(VLOOKUP(A254,TradesEquity!$1:$1048576,14,FALSE))</f>
        <v>214950000</v>
      </c>
      <c r="AO254" s="346">
        <f>ABS(VLOOKUP(A254,TradesEquity!$1:$1048576,15,FALSE))</f>
        <v>322425</v>
      </c>
      <c r="AP254" s="348">
        <f>ABS(VLOOKUP(A254,TradesEquity!$1:$1048576,16,FALSE))</f>
        <v>0</v>
      </c>
      <c r="AQ254" s="286">
        <v>0</v>
      </c>
      <c r="AR254" s="286">
        <v>0</v>
      </c>
      <c r="AS254" s="286">
        <v>0</v>
      </c>
      <c r="AT254" s="286">
        <v>0</v>
      </c>
      <c r="AU254" s="286">
        <v>0</v>
      </c>
      <c r="AV254" s="348">
        <f>ABS(VLOOKUP(A254,TradesEquity!$1:$1048576,18,FALSE))</f>
        <v>215272425</v>
      </c>
      <c r="AW254" s="349">
        <v>0</v>
      </c>
      <c r="AX254" s="350">
        <v>4542</v>
      </c>
      <c r="AY254" s="351" t="s">
        <v>1959</v>
      </c>
      <c r="AZ254" s="352" t="e">
        <f ca="1">(VLOOKUP(A254,TradesEquity!$1:$1048576,29,FALSE))</f>
        <v>#NAME?</v>
      </c>
      <c r="BA254" s="352" t="e">
        <f ca="1">(VLOOKUP(A254,TradesEquity!$1:$1048576,30,FALSE))</f>
        <v>#NAME?</v>
      </c>
      <c r="BB254" s="352" t="e">
        <f ca="1">(VLOOKUP(A254,TradesEquity!$1:$1048576,31,FALSE))</f>
        <v>#NAME?</v>
      </c>
      <c r="BC254" s="352" t="e">
        <f ca="1">(VLOOKUP(A254,TradesEquity!$1:$1048576,32,FALSE))</f>
        <v>#NAME?</v>
      </c>
      <c r="BI254" s="352" t="e">
        <f ca="1">(VLOOKUP(A254,TradesEquity!$1:$1048576,38,FALSE))</f>
        <v>#NAME?</v>
      </c>
      <c r="BJ254" s="352" t="e">
        <f ca="1">(VLOOKUP(A254,TradesEquity!$1:$1048576,39,FALSE))</f>
        <v>#NAME?</v>
      </c>
      <c r="BK254" s="352" t="e">
        <f ca="1">(VLOOKUP(A254,TradesEquity!$1:$1048576,40,FALSE))</f>
        <v>#NAME?</v>
      </c>
    </row>
    <row r="255" spans="1:63">
      <c r="A255" s="1014">
        <v>2019200544</v>
      </c>
      <c r="D255" s="342" t="s">
        <v>1957</v>
      </c>
      <c r="F255" s="343">
        <f>VLOOKUP(A255,TradesEquity!$1:$1048576,2,FALSE)</f>
        <v>44523</v>
      </c>
      <c r="H255" s="343">
        <f>VLOOKUP(A255,TradesEquity!$1:$1048576,21,FALSE)</f>
        <v>44525</v>
      </c>
      <c r="I255" s="344" t="str">
        <f>IF(VLOOKUP(A255,TradesEquity!$1:$1048576,3,FALSE)="BUY","B","S")</f>
        <v>B</v>
      </c>
      <c r="J255" s="344" t="e">
        <f ca="1">VLOOKUP(A255,TradesEquity!$1:$1048576,5,FALSE)</f>
        <v>#NAME?</v>
      </c>
      <c r="K255" s="342" t="s">
        <v>19</v>
      </c>
      <c r="L255" s="345" t="s">
        <v>1958</v>
      </c>
      <c r="AE255" s="346" t="e">
        <f ca="1">VLOOKUP(A255,TradesEquity!$1:$1048576,10,FALSE)</f>
        <v>#NAME?</v>
      </c>
      <c r="AF255" s="346" t="e">
        <f t="shared" ca="1" si="12"/>
        <v>#NAME?</v>
      </c>
      <c r="AG255" s="346" t="e">
        <f t="shared" ca="1" si="12"/>
        <v>#NAME?</v>
      </c>
      <c r="AH255" s="346" t="e">
        <f t="shared" ca="1" si="12"/>
        <v>#NAME?</v>
      </c>
      <c r="AI255" s="346">
        <f>ABS(VLOOKUP(A255,TradesEquity!$1:$1048576,13,FALSE))</f>
        <v>4200</v>
      </c>
      <c r="AJ255" s="347">
        <v>0</v>
      </c>
      <c r="AK255" s="347">
        <v>1</v>
      </c>
      <c r="AL255" s="346">
        <f>VLOOKUP(A255,TradesEquity!$1:$1048576,11,FALSE)</f>
        <v>42.6783</v>
      </c>
      <c r="AM255" s="347">
        <v>1</v>
      </c>
      <c r="AN255" s="346">
        <f>ABS(VLOOKUP(A255,TradesEquity!$1:$1048576,14,FALSE))</f>
        <v>179248.86</v>
      </c>
      <c r="AO255" s="346">
        <f>ABS(VLOOKUP(A255,TradesEquity!$1:$1048576,15,FALSE))</f>
        <v>107.55</v>
      </c>
      <c r="AP255" s="348">
        <f>ABS(VLOOKUP(A255,TradesEquity!$1:$1048576,16,FALSE))</f>
        <v>0</v>
      </c>
      <c r="AQ255" s="286">
        <v>0</v>
      </c>
      <c r="AR255" s="286">
        <v>0</v>
      </c>
      <c r="AS255" s="286">
        <v>0</v>
      </c>
      <c r="AT255" s="286">
        <v>0</v>
      </c>
      <c r="AU255" s="286">
        <v>0</v>
      </c>
      <c r="AV255" s="348">
        <f>ABS(VLOOKUP(A255,TradesEquity!$1:$1048576,18,FALSE))</f>
        <v>179356.40999999997</v>
      </c>
      <c r="AW255" s="349">
        <v>0</v>
      </c>
      <c r="AX255" s="350">
        <v>4542</v>
      </c>
      <c r="AY255" s="351" t="s">
        <v>1959</v>
      </c>
      <c r="AZ255" s="352" t="e">
        <f ca="1">(VLOOKUP(A255,TradesEquity!$1:$1048576,29,FALSE))</f>
        <v>#NAME?</v>
      </c>
      <c r="BA255" s="352" t="e">
        <f ca="1">(VLOOKUP(A255,TradesEquity!$1:$1048576,30,FALSE))</f>
        <v>#NAME?</v>
      </c>
      <c r="BB255" s="352" t="e">
        <f ca="1">(VLOOKUP(A255,TradesEquity!$1:$1048576,31,FALSE))</f>
        <v>#NAME?</v>
      </c>
      <c r="BC255" s="352" t="e">
        <f ca="1">(VLOOKUP(A255,TradesEquity!$1:$1048576,32,FALSE))</f>
        <v>#NAME?</v>
      </c>
      <c r="BI255" s="352" t="e">
        <f ca="1">(VLOOKUP(A255,TradesEquity!$1:$1048576,38,FALSE))</f>
        <v>#NAME?</v>
      </c>
      <c r="BJ255" s="352" t="e">
        <f ca="1">(VLOOKUP(A255,TradesEquity!$1:$1048576,39,FALSE))</f>
        <v>#NAME?</v>
      </c>
      <c r="BK255" s="352" t="e">
        <f ca="1">(VLOOKUP(A255,TradesEquity!$1:$1048576,40,FALSE))</f>
        <v>#NAME?</v>
      </c>
    </row>
    <row r="256" spans="1:63">
      <c r="A256" s="60">
        <v>2019200548</v>
      </c>
      <c r="D256" s="342" t="s">
        <v>1957</v>
      </c>
      <c r="F256" s="343">
        <f>VLOOKUP(A256,TradesEquity!$1:$1048576,2,FALSE)</f>
        <v>44529</v>
      </c>
      <c r="H256" s="343">
        <f>VLOOKUP(A256,TradesEquity!$1:$1048576,21,FALSE)</f>
        <v>44531</v>
      </c>
      <c r="I256" s="344" t="str">
        <f>IF(VLOOKUP(A256,TradesEquity!$1:$1048576,3,FALSE)="BUY","B","S")</f>
        <v>B</v>
      </c>
      <c r="J256" s="344" t="e">
        <f ca="1">VLOOKUP(A256,TradesEquity!$1:$1048576,5,FALSE)</f>
        <v>#NAME?</v>
      </c>
      <c r="K256" s="342" t="s">
        <v>19</v>
      </c>
      <c r="L256" s="345" t="s">
        <v>1958</v>
      </c>
      <c r="AE256" s="346" t="e">
        <f ca="1">VLOOKUP(A256,TradesEquity!$1:$1048576,10,FALSE)</f>
        <v>#NAME?</v>
      </c>
      <c r="AF256" s="346" t="e">
        <f t="shared" ca="1" si="12"/>
        <v>#NAME?</v>
      </c>
      <c r="AG256" s="346" t="e">
        <f t="shared" ca="1" si="12"/>
        <v>#NAME?</v>
      </c>
      <c r="AH256" s="346" t="e">
        <f t="shared" ca="1" si="12"/>
        <v>#NAME?</v>
      </c>
      <c r="AI256" s="346">
        <f>ABS(VLOOKUP(A256,TradesEquity!$1:$1048576,13,FALSE))</f>
        <v>320</v>
      </c>
      <c r="AJ256" s="347">
        <v>0</v>
      </c>
      <c r="AK256" s="347">
        <v>1</v>
      </c>
      <c r="AL256" s="346">
        <f>VLOOKUP(A256,TradesEquity!$1:$1048576,11,FALSE)</f>
        <v>125798.4375</v>
      </c>
      <c r="AM256" s="347">
        <v>1</v>
      </c>
      <c r="AN256" s="346">
        <f>ABS(VLOOKUP(A256,TradesEquity!$1:$1048576,14,FALSE))</f>
        <v>40255500</v>
      </c>
      <c r="AO256" s="346">
        <f>ABS(VLOOKUP(A256,TradesEquity!$1:$1048576,15,FALSE))</f>
        <v>60383</v>
      </c>
      <c r="AP256" s="348">
        <f>ABS(VLOOKUP(A256,TradesEquity!$1:$1048576,16,FALSE))</f>
        <v>0</v>
      </c>
      <c r="AQ256" s="286">
        <v>0</v>
      </c>
      <c r="AR256" s="286">
        <v>0</v>
      </c>
      <c r="AS256" s="286">
        <v>0</v>
      </c>
      <c r="AT256" s="286">
        <v>0</v>
      </c>
      <c r="AU256" s="286">
        <v>0</v>
      </c>
      <c r="AV256" s="348">
        <f>ABS(VLOOKUP(A256,TradesEquity!$1:$1048576,18,FALSE))</f>
        <v>40315883</v>
      </c>
      <c r="AW256" s="349">
        <v>0</v>
      </c>
      <c r="AX256" s="350">
        <v>4542</v>
      </c>
      <c r="AY256" s="351" t="s">
        <v>1959</v>
      </c>
      <c r="AZ256" s="352" t="e">
        <f ca="1">(VLOOKUP(A256,TradesEquity!$1:$1048576,29,FALSE))</f>
        <v>#NAME?</v>
      </c>
      <c r="BA256" s="352" t="e">
        <f ca="1">(VLOOKUP(A256,TradesEquity!$1:$1048576,30,FALSE))</f>
        <v>#NAME?</v>
      </c>
      <c r="BB256" s="352" t="e">
        <f ca="1">(VLOOKUP(A256,TradesEquity!$1:$1048576,31,FALSE))</f>
        <v>#NAME?</v>
      </c>
      <c r="BC256" s="352" t="e">
        <f ca="1">(VLOOKUP(A256,TradesEquity!$1:$1048576,32,FALSE))</f>
        <v>#NAME?</v>
      </c>
      <c r="BI256" s="352" t="e">
        <f ca="1">(VLOOKUP(A256,TradesEquity!$1:$1048576,38,FALSE))</f>
        <v>#NAME?</v>
      </c>
      <c r="BJ256" s="352" t="e">
        <f ca="1">(VLOOKUP(A256,TradesEquity!$1:$1048576,39,FALSE))</f>
        <v>#NAME?</v>
      </c>
      <c r="BK256" s="352" t="e">
        <f ca="1">(VLOOKUP(A256,TradesEquity!$1:$1048576,40,FALSE))</f>
        <v>#NAME?</v>
      </c>
    </row>
    <row r="257" spans="1:63">
      <c r="A257" s="60">
        <v>2019200549</v>
      </c>
      <c r="D257" s="342" t="s">
        <v>1957</v>
      </c>
      <c r="F257" s="343">
        <f>VLOOKUP(A257,TradesEquity!$1:$1048576,2,FALSE)</f>
        <v>44529</v>
      </c>
      <c r="H257" s="343">
        <f>VLOOKUP(A257,TradesEquity!$1:$1048576,21,FALSE)</f>
        <v>44531</v>
      </c>
      <c r="I257" s="344" t="str">
        <f>IF(VLOOKUP(A257,TradesEquity!$1:$1048576,3,FALSE)="BUY","B","S")</f>
        <v>B</v>
      </c>
      <c r="J257" s="344" t="e">
        <f ca="1">VLOOKUP(A257,TradesEquity!$1:$1048576,5,FALSE)</f>
        <v>#NAME?</v>
      </c>
      <c r="K257" s="342" t="s">
        <v>19</v>
      </c>
      <c r="L257" s="345" t="s">
        <v>1958</v>
      </c>
      <c r="AE257" s="346" t="e">
        <f ca="1">VLOOKUP(A257,TradesEquity!$1:$1048576,10,FALSE)</f>
        <v>#NAME?</v>
      </c>
      <c r="AF257" s="346" t="e">
        <f t="shared" ca="1" si="12"/>
        <v>#NAME?</v>
      </c>
      <c r="AG257" s="346" t="e">
        <f t="shared" ca="1" si="12"/>
        <v>#NAME?</v>
      </c>
      <c r="AH257" s="346" t="e">
        <f t="shared" ca="1" si="12"/>
        <v>#NAME?</v>
      </c>
      <c r="AI257" s="346">
        <f>ABS(VLOOKUP(A257,TradesEquity!$1:$1048576,13,FALSE))</f>
        <v>470</v>
      </c>
      <c r="AJ257" s="347">
        <v>0</v>
      </c>
      <c r="AK257" s="347">
        <v>1</v>
      </c>
      <c r="AL257" s="346">
        <f>VLOOKUP(A257,TradesEquity!$1:$1048576,11,FALSE)</f>
        <v>341681.91489999997</v>
      </c>
      <c r="AM257" s="347">
        <v>1</v>
      </c>
      <c r="AN257" s="346">
        <f>ABS(VLOOKUP(A257,TradesEquity!$1:$1048576,14,FALSE))</f>
        <v>160590500.00299999</v>
      </c>
      <c r="AO257" s="346">
        <f>ABS(VLOOKUP(A257,TradesEquity!$1:$1048576,15,FALSE))</f>
        <v>240886</v>
      </c>
      <c r="AP257" s="348">
        <f>ABS(VLOOKUP(A257,TradesEquity!$1:$1048576,16,FALSE))</f>
        <v>0</v>
      </c>
      <c r="AQ257" s="286">
        <v>0</v>
      </c>
      <c r="AR257" s="286">
        <v>0</v>
      </c>
      <c r="AS257" s="286">
        <v>0</v>
      </c>
      <c r="AT257" s="286">
        <v>0</v>
      </c>
      <c r="AU257" s="286">
        <v>0</v>
      </c>
      <c r="AV257" s="348">
        <f>ABS(VLOOKUP(A257,TradesEquity!$1:$1048576,18,FALSE))</f>
        <v>160831386.00299999</v>
      </c>
      <c r="AW257" s="349">
        <v>0</v>
      </c>
      <c r="AX257" s="350">
        <v>4542</v>
      </c>
      <c r="AY257" s="351" t="s">
        <v>1959</v>
      </c>
      <c r="AZ257" s="352" t="e">
        <f ca="1">(VLOOKUP(A257,TradesEquity!$1:$1048576,29,FALSE))</f>
        <v>#NAME?</v>
      </c>
      <c r="BA257" s="352" t="e">
        <f ca="1">(VLOOKUP(A257,TradesEquity!$1:$1048576,30,FALSE))</f>
        <v>#NAME?</v>
      </c>
      <c r="BB257" s="352" t="e">
        <f ca="1">(VLOOKUP(A257,TradesEquity!$1:$1048576,31,FALSE))</f>
        <v>#NAME?</v>
      </c>
      <c r="BC257" s="352" t="e">
        <f ca="1">(VLOOKUP(A257,TradesEquity!$1:$1048576,32,FALSE))</f>
        <v>#NAME?</v>
      </c>
      <c r="BI257" s="352" t="e">
        <f ca="1">(VLOOKUP(A257,TradesEquity!$1:$1048576,38,FALSE))</f>
        <v>#NAME?</v>
      </c>
      <c r="BJ257" s="352" t="e">
        <f ca="1">(VLOOKUP(A257,TradesEquity!$1:$1048576,39,FALSE))</f>
        <v>#NAME?</v>
      </c>
      <c r="BK257" s="352" t="e">
        <f ca="1">(VLOOKUP(A257,TradesEquity!$1:$1048576,40,FALSE))</f>
        <v>#NAME?</v>
      </c>
    </row>
    <row r="258" spans="1:63">
      <c r="A258" s="60">
        <v>2019200550</v>
      </c>
      <c r="D258" s="342" t="s">
        <v>1957</v>
      </c>
      <c r="F258" s="343">
        <f>VLOOKUP(A258,TradesEquity!$1:$1048576,2,FALSE)</f>
        <v>44532</v>
      </c>
      <c r="H258" s="343">
        <f>VLOOKUP(A258,TradesEquity!$1:$1048576,21,FALSE)</f>
        <v>44536</v>
      </c>
      <c r="I258" s="344" t="str">
        <f>IF(VLOOKUP(A258,TradesEquity!$1:$1048576,3,FALSE)="BUY","B","S")</f>
        <v>B</v>
      </c>
      <c r="J258" s="344" t="e">
        <f ca="1">VLOOKUP(A258,TradesEquity!$1:$1048576,5,FALSE)</f>
        <v>#NAME?</v>
      </c>
      <c r="K258" s="342" t="s">
        <v>19</v>
      </c>
      <c r="L258" s="345" t="s">
        <v>1958</v>
      </c>
      <c r="AE258" s="346" t="e">
        <f ca="1">VLOOKUP(A258,TradesEquity!$1:$1048576,10,FALSE)</f>
        <v>#NAME?</v>
      </c>
      <c r="AF258" s="346" t="e">
        <f t="shared" ca="1" si="12"/>
        <v>#NAME?</v>
      </c>
      <c r="AG258" s="346" t="e">
        <f t="shared" ca="1" si="12"/>
        <v>#NAME?</v>
      </c>
      <c r="AH258" s="346" t="e">
        <f t="shared" ca="1" si="12"/>
        <v>#NAME?</v>
      </c>
      <c r="AI258" s="346">
        <f>ABS(VLOOKUP(A258,TradesEquity!$1:$1048576,13,FALSE))</f>
        <v>4200</v>
      </c>
      <c r="AJ258" s="347">
        <v>0</v>
      </c>
      <c r="AK258" s="347">
        <v>1</v>
      </c>
      <c r="AL258" s="346">
        <f>VLOOKUP(A258,TradesEquity!$1:$1048576,11,FALSE)</f>
        <v>2409.890476</v>
      </c>
      <c r="AM258" s="347">
        <v>1</v>
      </c>
      <c r="AN258" s="346">
        <f>ABS(VLOOKUP(A258,TradesEquity!$1:$1048576,14,FALSE))</f>
        <v>10121539.999199999</v>
      </c>
      <c r="AO258" s="346">
        <f>ABS(VLOOKUP(A258,TradesEquity!$1:$1048576,15,FALSE))</f>
        <v>6073</v>
      </c>
      <c r="AP258" s="348">
        <f>ABS(VLOOKUP(A258,TradesEquity!$1:$1048576,16,FALSE))</f>
        <v>0</v>
      </c>
      <c r="AQ258" s="286">
        <v>0</v>
      </c>
      <c r="AR258" s="286">
        <v>0</v>
      </c>
      <c r="AS258" s="286">
        <v>0</v>
      </c>
      <c r="AT258" s="286">
        <v>0</v>
      </c>
      <c r="AU258" s="286">
        <v>0</v>
      </c>
      <c r="AV258" s="348">
        <f>ABS(VLOOKUP(A258,TradesEquity!$1:$1048576,18,FALSE))</f>
        <v>10127612.999199999</v>
      </c>
      <c r="AW258" s="349">
        <v>0</v>
      </c>
      <c r="AX258" s="350">
        <v>4542</v>
      </c>
      <c r="AY258" s="351" t="s">
        <v>1959</v>
      </c>
      <c r="AZ258" s="352" t="e">
        <f ca="1">(VLOOKUP(A258,TradesEquity!$1:$1048576,29,FALSE))</f>
        <v>#NAME?</v>
      </c>
      <c r="BA258" s="352" t="e">
        <f ca="1">(VLOOKUP(A258,TradesEquity!$1:$1048576,30,FALSE))</f>
        <v>#NAME?</v>
      </c>
      <c r="BB258" s="352" t="e">
        <f ca="1">(VLOOKUP(A258,TradesEquity!$1:$1048576,31,FALSE))</f>
        <v>#NAME?</v>
      </c>
      <c r="BC258" s="352" t="e">
        <f ca="1">(VLOOKUP(A258,TradesEquity!$1:$1048576,32,FALSE))</f>
        <v>#NAME?</v>
      </c>
      <c r="BI258" s="352" t="e">
        <f ca="1">(VLOOKUP(A258,TradesEquity!$1:$1048576,38,FALSE))</f>
        <v>#NAME?</v>
      </c>
      <c r="BJ258" s="352" t="e">
        <f ca="1">(VLOOKUP(A258,TradesEquity!$1:$1048576,39,FALSE))</f>
        <v>#NAME?</v>
      </c>
      <c r="BK258" s="352" t="e">
        <f ca="1">(VLOOKUP(A258,TradesEquity!$1:$1048576,40,FALSE))</f>
        <v>#NAME?</v>
      </c>
    </row>
    <row r="259" spans="1:63">
      <c r="A259" s="60">
        <v>2019200551</v>
      </c>
      <c r="D259" s="342" t="s">
        <v>1957</v>
      </c>
      <c r="F259" s="343">
        <f>VLOOKUP(A259,TradesEquity!$1:$1048576,2,FALSE)</f>
        <v>44532</v>
      </c>
      <c r="H259" s="343">
        <f>VLOOKUP(A259,TradesEquity!$1:$1048576,21,FALSE)</f>
        <v>44536</v>
      </c>
      <c r="I259" s="344" t="str">
        <f>IF(VLOOKUP(A259,TradesEquity!$1:$1048576,3,FALSE)="BUY","B","S")</f>
        <v>B</v>
      </c>
      <c r="J259" s="344" t="e">
        <f ca="1">VLOOKUP(A259,TradesEquity!$1:$1048576,5,FALSE)</f>
        <v>#NAME?</v>
      </c>
      <c r="K259" s="342" t="s">
        <v>19</v>
      </c>
      <c r="L259" s="345" t="s">
        <v>1958</v>
      </c>
      <c r="AE259" s="346" t="e">
        <f ca="1">VLOOKUP(A259,TradesEquity!$1:$1048576,10,FALSE)</f>
        <v>#NAME?</v>
      </c>
      <c r="AF259" s="346" t="e">
        <f t="shared" ca="1" si="12"/>
        <v>#NAME?</v>
      </c>
      <c r="AG259" s="346" t="e">
        <f t="shared" ca="1" si="12"/>
        <v>#NAME?</v>
      </c>
      <c r="AH259" s="346" t="e">
        <f t="shared" ca="1" si="12"/>
        <v>#NAME?</v>
      </c>
      <c r="AI259" s="346">
        <f>ABS(VLOOKUP(A259,TradesEquity!$1:$1048576,13,FALSE))</f>
        <v>6700</v>
      </c>
      <c r="AJ259" s="347">
        <v>0</v>
      </c>
      <c r="AK259" s="347">
        <v>1</v>
      </c>
      <c r="AL259" s="346">
        <f>VLOOKUP(A259,TradesEquity!$1:$1048576,11,FALSE)</f>
        <v>2140.5985070000002</v>
      </c>
      <c r="AM259" s="347">
        <v>1</v>
      </c>
      <c r="AN259" s="346">
        <f>ABS(VLOOKUP(A259,TradesEquity!$1:$1048576,14,FALSE))</f>
        <v>14342009.996900002</v>
      </c>
      <c r="AO259" s="346">
        <f>ABS(VLOOKUP(A259,TradesEquity!$1:$1048576,15,FALSE))</f>
        <v>8605</v>
      </c>
      <c r="AP259" s="348">
        <f>ABS(VLOOKUP(A259,TradesEquity!$1:$1048576,16,FALSE))</f>
        <v>0</v>
      </c>
      <c r="AQ259" s="286">
        <v>0</v>
      </c>
      <c r="AR259" s="286">
        <v>0</v>
      </c>
      <c r="AS259" s="286">
        <v>0</v>
      </c>
      <c r="AT259" s="286">
        <v>0</v>
      </c>
      <c r="AU259" s="286">
        <v>0</v>
      </c>
      <c r="AV259" s="348">
        <f>ABS(VLOOKUP(A259,TradesEquity!$1:$1048576,18,FALSE))</f>
        <v>14350614.996900002</v>
      </c>
      <c r="AW259" s="349">
        <v>0</v>
      </c>
      <c r="AX259" s="350">
        <v>4542</v>
      </c>
      <c r="AY259" s="351" t="s">
        <v>1959</v>
      </c>
      <c r="AZ259" s="352" t="e">
        <f ca="1">(VLOOKUP(A259,TradesEquity!$1:$1048576,29,FALSE))</f>
        <v>#NAME?</v>
      </c>
      <c r="BA259" s="352" t="e">
        <f ca="1">(VLOOKUP(A259,TradesEquity!$1:$1048576,30,FALSE))</f>
        <v>#NAME?</v>
      </c>
      <c r="BB259" s="352" t="e">
        <f ca="1">(VLOOKUP(A259,TradesEquity!$1:$1048576,31,FALSE))</f>
        <v>#NAME?</v>
      </c>
      <c r="BC259" s="352" t="e">
        <f ca="1">(VLOOKUP(A259,TradesEquity!$1:$1048576,32,FALSE))</f>
        <v>#NAME?</v>
      </c>
      <c r="BI259" s="352" t="e">
        <f ca="1">(VLOOKUP(A259,TradesEquity!$1:$1048576,38,FALSE))</f>
        <v>#NAME?</v>
      </c>
      <c r="BJ259" s="352" t="e">
        <f ca="1">(VLOOKUP(A259,TradesEquity!$1:$1048576,39,FALSE))</f>
        <v>#NAME?</v>
      </c>
      <c r="BK259" s="352" t="e">
        <f ca="1">(VLOOKUP(A259,TradesEquity!$1:$1048576,40,FALSE))</f>
        <v>#NAME?</v>
      </c>
    </row>
    <row r="260" spans="1:63">
      <c r="A260" s="60">
        <v>2019200552</v>
      </c>
      <c r="D260" s="342" t="s">
        <v>1957</v>
      </c>
      <c r="F260" s="343">
        <f>VLOOKUP(A260,TradesEquity!$1:$1048576,2,FALSE)</f>
        <v>44532</v>
      </c>
      <c r="H260" s="343">
        <f>VLOOKUP(A260,TradesEquity!$1:$1048576,21,FALSE)</f>
        <v>44536</v>
      </c>
      <c r="I260" s="344" t="str">
        <f>IF(VLOOKUP(A260,TradesEquity!$1:$1048576,3,FALSE)="BUY","B","S")</f>
        <v>S</v>
      </c>
      <c r="J260" s="344" t="e">
        <f ca="1">VLOOKUP(A260,TradesEquity!$1:$1048576,5,FALSE)</f>
        <v>#NAME?</v>
      </c>
      <c r="K260" s="342" t="s">
        <v>19</v>
      </c>
      <c r="L260" s="345" t="s">
        <v>1958</v>
      </c>
      <c r="AE260" s="346" t="e">
        <f ca="1">VLOOKUP(A260,TradesEquity!$1:$1048576,10,FALSE)</f>
        <v>#NAME?</v>
      </c>
      <c r="AF260" s="346" t="e">
        <f t="shared" ca="1" si="12"/>
        <v>#NAME?</v>
      </c>
      <c r="AG260" s="346" t="e">
        <f t="shared" ca="1" si="12"/>
        <v>#NAME?</v>
      </c>
      <c r="AH260" s="346" t="e">
        <f t="shared" ca="1" si="12"/>
        <v>#NAME?</v>
      </c>
      <c r="AI260" s="346">
        <f>ABS(VLOOKUP(A260,TradesEquity!$1:$1048576,13,FALSE))</f>
        <v>17000</v>
      </c>
      <c r="AJ260" s="347">
        <v>0</v>
      </c>
      <c r="AK260" s="347">
        <v>1</v>
      </c>
      <c r="AL260" s="346">
        <f>VLOOKUP(A260,TradesEquity!$1:$1048576,11,FALSE)</f>
        <v>3.4929999999999999</v>
      </c>
      <c r="AM260" s="347">
        <v>1</v>
      </c>
      <c r="AN260" s="346">
        <f>ABS(VLOOKUP(A260,TradesEquity!$1:$1048576,14,FALSE))</f>
        <v>59381</v>
      </c>
      <c r="AO260" s="346">
        <f>ABS(VLOOKUP(A260,TradesEquity!$1:$1048576,15,FALSE))</f>
        <v>35.630000000000003</v>
      </c>
      <c r="AP260" s="348">
        <f>ABS(VLOOKUP(A260,TradesEquity!$1:$1048576,16,FALSE))</f>
        <v>0</v>
      </c>
      <c r="AQ260" s="286">
        <v>0</v>
      </c>
      <c r="AR260" s="286">
        <v>0</v>
      </c>
      <c r="AS260" s="286">
        <v>0</v>
      </c>
      <c r="AT260" s="286">
        <v>0</v>
      </c>
      <c r="AU260" s="286">
        <v>0</v>
      </c>
      <c r="AV260" s="348">
        <f>ABS(VLOOKUP(A260,TradesEquity!$1:$1048576,18,FALSE))</f>
        <v>59345.37</v>
      </c>
      <c r="AW260" s="349">
        <v>0</v>
      </c>
      <c r="AX260" s="350">
        <v>4542</v>
      </c>
      <c r="AY260" s="351" t="s">
        <v>1959</v>
      </c>
      <c r="AZ260" s="352" t="str">
        <f>(VLOOKUP(A260,TradesEquity!$1:$1048576,29,FALSE))</f>
        <v>BCITITMMXXX</v>
      </c>
      <c r="BA260" s="352" t="str">
        <f>(VLOOKUP(A260,TradesEquity!$1:$1048576,30,FALSE))</f>
        <v>CRSTGB22XXX</v>
      </c>
      <c r="BB260" s="352">
        <f>(VLOOKUP(A260,TradesEquity!$1:$1048576,31,FALSE))</f>
        <v>862872</v>
      </c>
      <c r="BC260" s="352" t="str">
        <f>(VLOOKUP(A260,TradesEquity!$1:$1048576,32,FALSE))</f>
        <v>N</v>
      </c>
      <c r="BI260" s="352" t="str">
        <f>(VLOOKUP(A260,TradesEquity!$1:$1048576,38,FALSE))</f>
        <v>CRST</v>
      </c>
      <c r="BJ260" s="352" t="str">
        <f>(VLOOKUP(A260,TradesEquity!$1:$1048576,39,FALSE))</f>
        <v>BH01</v>
      </c>
      <c r="BK260" s="352" t="str">
        <f>(VLOOKUP(A260,TradesEquity!$1:$1048576,40,FALSE))</f>
        <v xml:space="preserve">        </v>
      </c>
    </row>
    <row r="261" spans="1:63">
      <c r="A261" s="909">
        <f t="shared" ref="A261:A262" si="13">(A260+1)</f>
        <v>2019200553</v>
      </c>
      <c r="D261" s="342" t="s">
        <v>1957</v>
      </c>
      <c r="F261" s="343">
        <f>VLOOKUP(A261,TradesEquity!$1:$1048576,2,FALSE)</f>
        <v>44533</v>
      </c>
      <c r="H261" s="343">
        <f>VLOOKUP(A261,TradesEquity!$1:$1048576,21,FALSE)</f>
        <v>44537</v>
      </c>
      <c r="I261" s="344" t="str">
        <f>IF(VLOOKUP(A261,TradesEquity!$1:$1048576,3,FALSE)="BUY","B","S")</f>
        <v>B</v>
      </c>
      <c r="J261" s="344" t="e">
        <f ca="1">VLOOKUP(A261,TradesEquity!$1:$1048576,5,FALSE)</f>
        <v>#NAME?</v>
      </c>
      <c r="K261" s="342" t="s">
        <v>19</v>
      </c>
      <c r="L261" s="345" t="s">
        <v>1958</v>
      </c>
      <c r="AE261" s="346" t="e">
        <f ca="1">VLOOKUP(A261,TradesEquity!$1:$1048576,10,FALSE)</f>
        <v>#NAME?</v>
      </c>
      <c r="AF261" s="346" t="e">
        <f t="shared" ca="1" si="12"/>
        <v>#NAME?</v>
      </c>
      <c r="AG261" s="346" t="e">
        <f t="shared" ca="1" si="12"/>
        <v>#NAME?</v>
      </c>
      <c r="AH261" s="346" t="e">
        <f t="shared" ca="1" si="12"/>
        <v>#NAME?</v>
      </c>
      <c r="AI261" s="346">
        <f>ABS(VLOOKUP(A261,TradesEquity!$1:$1048576,13,FALSE))</f>
        <v>11000</v>
      </c>
      <c r="AJ261" s="347">
        <v>0</v>
      </c>
      <c r="AK261" s="347">
        <v>1</v>
      </c>
      <c r="AL261" s="346">
        <f>VLOOKUP(A261,TradesEquity!$1:$1048576,11,FALSE)</f>
        <v>1103.0095449999999</v>
      </c>
      <c r="AM261" s="347">
        <v>1</v>
      </c>
      <c r="AN261" s="346">
        <f>ABS(VLOOKUP(A261,TradesEquity!$1:$1048576,14,FALSE))</f>
        <v>12133104.994999999</v>
      </c>
      <c r="AO261" s="346">
        <f>ABS(VLOOKUP(A261,TradesEquity!$1:$1048576,15,FALSE))</f>
        <v>7280</v>
      </c>
      <c r="AP261" s="348">
        <f>ABS(VLOOKUP(A261,TradesEquity!$1:$1048576,16,FALSE))</f>
        <v>0</v>
      </c>
      <c r="AQ261" s="286">
        <v>0</v>
      </c>
      <c r="AR261" s="286">
        <v>0</v>
      </c>
      <c r="AS261" s="286">
        <v>0</v>
      </c>
      <c r="AT261" s="286">
        <v>0</v>
      </c>
      <c r="AU261" s="286">
        <v>0</v>
      </c>
      <c r="AV261" s="348">
        <f>ABS(VLOOKUP(A261,TradesEquity!$1:$1048576,18,FALSE))</f>
        <v>12140384.994999999</v>
      </c>
      <c r="AW261" s="349">
        <v>0</v>
      </c>
      <c r="AX261" s="350">
        <v>4542</v>
      </c>
      <c r="AY261" s="351" t="s">
        <v>1959</v>
      </c>
      <c r="AZ261" s="352" t="e">
        <f ca="1">(VLOOKUP(A261,TradesEquity!$1:$1048576,29,FALSE))</f>
        <v>#NAME?</v>
      </c>
      <c r="BA261" s="352" t="e">
        <f ca="1">(VLOOKUP(A261,TradesEquity!$1:$1048576,30,FALSE))</f>
        <v>#NAME?</v>
      </c>
      <c r="BB261" s="352" t="e">
        <f ca="1">(VLOOKUP(A261,TradesEquity!$1:$1048576,31,FALSE))</f>
        <v>#NAME?</v>
      </c>
      <c r="BC261" s="352" t="e">
        <f ca="1">(VLOOKUP(A261,TradesEquity!$1:$1048576,32,FALSE))</f>
        <v>#NAME?</v>
      </c>
      <c r="BI261" s="352" t="e">
        <f ca="1">(VLOOKUP(A261,TradesEquity!$1:$1048576,38,FALSE))</f>
        <v>#NAME?</v>
      </c>
      <c r="BJ261" s="352" t="e">
        <f ca="1">(VLOOKUP(A261,TradesEquity!$1:$1048576,39,FALSE))</f>
        <v>#NAME?</v>
      </c>
      <c r="BK261" s="352" t="e">
        <f ca="1">(VLOOKUP(A261,TradesEquity!$1:$1048576,40,FALSE))</f>
        <v>#NAME?</v>
      </c>
    </row>
    <row r="262" spans="1:63">
      <c r="A262" s="909">
        <f t="shared" si="13"/>
        <v>2019200554</v>
      </c>
      <c r="D262" s="342" t="s">
        <v>1957</v>
      </c>
      <c r="F262" s="343">
        <f>VLOOKUP(A262,TradesEquity!$1:$1048576,2,FALSE)</f>
        <v>44533</v>
      </c>
      <c r="H262" s="343">
        <f>VLOOKUP(A262,TradesEquity!$1:$1048576,21,FALSE)</f>
        <v>44537</v>
      </c>
      <c r="I262" s="344" t="str">
        <f>IF(VLOOKUP(A262,TradesEquity!$1:$1048576,3,FALSE)="BUY","B","S")</f>
        <v>S</v>
      </c>
      <c r="J262" s="344" t="e">
        <f ca="1">VLOOKUP(A262,TradesEquity!$1:$1048576,5,FALSE)</f>
        <v>#NAME?</v>
      </c>
      <c r="K262" s="342" t="s">
        <v>19</v>
      </c>
      <c r="L262" s="345" t="s">
        <v>1958</v>
      </c>
      <c r="AE262" s="346" t="e">
        <f ca="1">VLOOKUP(A262,TradesEquity!$1:$1048576,10,FALSE)</f>
        <v>#NAME?</v>
      </c>
      <c r="AF262" s="346" t="e">
        <f t="shared" ca="1" si="12"/>
        <v>#NAME?</v>
      </c>
      <c r="AG262" s="346" t="e">
        <f t="shared" ca="1" si="12"/>
        <v>#NAME?</v>
      </c>
      <c r="AH262" s="346" t="e">
        <f t="shared" ca="1" si="12"/>
        <v>#NAME?</v>
      </c>
      <c r="AI262" s="346">
        <f>ABS(VLOOKUP(A262,TradesEquity!$1:$1048576,13,FALSE))</f>
        <v>4100</v>
      </c>
      <c r="AJ262" s="347">
        <v>0</v>
      </c>
      <c r="AK262" s="347">
        <v>1</v>
      </c>
      <c r="AL262" s="346">
        <f>VLOOKUP(A262,TradesEquity!$1:$1048576,11,FALSE)</f>
        <v>4704</v>
      </c>
      <c r="AM262" s="347">
        <v>1</v>
      </c>
      <c r="AN262" s="346">
        <f>ABS(VLOOKUP(A262,TradesEquity!$1:$1048576,14,FALSE))</f>
        <v>19286400</v>
      </c>
      <c r="AO262" s="346">
        <f>ABS(VLOOKUP(A262,TradesEquity!$1:$1048576,15,FALSE))</f>
        <v>11572</v>
      </c>
      <c r="AP262" s="348">
        <f>ABS(VLOOKUP(A262,TradesEquity!$1:$1048576,16,FALSE))</f>
        <v>0</v>
      </c>
      <c r="AQ262" s="286">
        <v>0</v>
      </c>
      <c r="AR262" s="286">
        <v>0</v>
      </c>
      <c r="AS262" s="286">
        <v>0</v>
      </c>
      <c r="AT262" s="286">
        <v>0</v>
      </c>
      <c r="AU262" s="286">
        <v>0</v>
      </c>
      <c r="AV262" s="348">
        <f>ABS(VLOOKUP(A262,TradesEquity!$1:$1048576,18,FALSE))</f>
        <v>19274828</v>
      </c>
      <c r="AW262" s="349">
        <v>0</v>
      </c>
      <c r="AX262" s="350">
        <v>4542</v>
      </c>
      <c r="AY262" s="351" t="s">
        <v>1959</v>
      </c>
      <c r="AZ262" s="352" t="e">
        <f ca="1">(VLOOKUP(A262,TradesEquity!$1:$1048576,29,FALSE))</f>
        <v>#NAME?</v>
      </c>
      <c r="BA262" s="352" t="e">
        <f ca="1">(VLOOKUP(A262,TradesEquity!$1:$1048576,30,FALSE))</f>
        <v>#NAME?</v>
      </c>
      <c r="BB262" s="352" t="e">
        <f ca="1">(VLOOKUP(A262,TradesEquity!$1:$1048576,31,FALSE))</f>
        <v>#NAME?</v>
      </c>
      <c r="BC262" s="352" t="e">
        <f ca="1">(VLOOKUP(A262,TradesEquity!$1:$1048576,32,FALSE))</f>
        <v>#NAME?</v>
      </c>
      <c r="BI262" s="352" t="e">
        <f ca="1">(VLOOKUP(A262,TradesEquity!$1:$1048576,38,FALSE))</f>
        <v>#NAME?</v>
      </c>
      <c r="BJ262" s="352" t="e">
        <f ca="1">(VLOOKUP(A262,TradesEquity!$1:$1048576,39,FALSE))</f>
        <v>#NAME?</v>
      </c>
      <c r="BK262" s="352" t="e">
        <f ca="1">(VLOOKUP(A262,TradesEquity!$1:$1048576,40,FALSE))</f>
        <v>#NAME?</v>
      </c>
    </row>
    <row r="263" spans="1:63">
      <c r="A263" s="909">
        <v>2019200555</v>
      </c>
      <c r="D263" s="342" t="s">
        <v>1957</v>
      </c>
      <c r="F263" s="343">
        <f>VLOOKUP(A263,TradesEquity!$1:$1048576,2,FALSE)</f>
        <v>44533</v>
      </c>
      <c r="H263" s="343">
        <f>VLOOKUP(A263,TradesEquity!$1:$1048576,21,FALSE)</f>
        <v>44537</v>
      </c>
      <c r="I263" s="344" t="str">
        <f>IF(VLOOKUP(A263,TradesEquity!$1:$1048576,3,FALSE)="BUY","B","S")</f>
        <v>B</v>
      </c>
      <c r="J263" s="344" t="e">
        <f ca="1">VLOOKUP(A263,TradesEquity!$1:$1048576,5,FALSE)</f>
        <v>#NAME?</v>
      </c>
      <c r="K263" s="342" t="s">
        <v>19</v>
      </c>
      <c r="L263" s="345" t="s">
        <v>1958</v>
      </c>
      <c r="AE263" s="346" t="e">
        <f ca="1">VLOOKUP(A263,TradesEquity!$1:$1048576,10,FALSE)</f>
        <v>#NAME?</v>
      </c>
      <c r="AF263" s="346" t="e">
        <f t="shared" ca="1" si="12"/>
        <v>#NAME?</v>
      </c>
      <c r="AG263" s="346" t="e">
        <f t="shared" ca="1" si="12"/>
        <v>#NAME?</v>
      </c>
      <c r="AH263" s="346" t="e">
        <f t="shared" ca="1" si="12"/>
        <v>#NAME?</v>
      </c>
      <c r="AI263" s="346">
        <f>ABS(VLOOKUP(A263,TradesEquity!$1:$1048576,13,FALSE))</f>
        <v>4100</v>
      </c>
      <c r="AJ263" s="347">
        <v>0</v>
      </c>
      <c r="AK263" s="347">
        <v>1</v>
      </c>
      <c r="AL263" s="346">
        <f>VLOOKUP(A263,TradesEquity!$1:$1048576,11,FALSE)</f>
        <v>36305.804878000003</v>
      </c>
      <c r="AM263" s="347">
        <v>1</v>
      </c>
      <c r="AN263" s="346">
        <f>ABS(VLOOKUP(A263,TradesEquity!$1:$1048576,14,FALSE))</f>
        <v>148853799.9998</v>
      </c>
      <c r="AO263" s="346">
        <f>ABS(VLOOKUP(A263,TradesEquity!$1:$1048576,15,FALSE))</f>
        <v>223281</v>
      </c>
      <c r="AP263" s="348">
        <f>ABS(VLOOKUP(A263,TradesEquity!$1:$1048576,16,FALSE))</f>
        <v>0</v>
      </c>
      <c r="AQ263" s="286">
        <v>0</v>
      </c>
      <c r="AR263" s="286">
        <v>0</v>
      </c>
      <c r="AS263" s="286">
        <v>0</v>
      </c>
      <c r="AT263" s="286">
        <v>0</v>
      </c>
      <c r="AU263" s="286">
        <v>0</v>
      </c>
      <c r="AV263" s="348">
        <f>ABS(VLOOKUP(A263,TradesEquity!$1:$1048576,18,FALSE))</f>
        <v>149077080.9998</v>
      </c>
      <c r="AW263" s="349">
        <v>0</v>
      </c>
      <c r="AX263" s="350">
        <v>4542</v>
      </c>
      <c r="AY263" s="351" t="s">
        <v>1959</v>
      </c>
      <c r="AZ263" s="352" t="e">
        <f ca="1">(VLOOKUP(A263,TradesEquity!$1:$1048576,29,FALSE))</f>
        <v>#NAME?</v>
      </c>
      <c r="BA263" s="352" t="e">
        <f ca="1">(VLOOKUP(A263,TradesEquity!$1:$1048576,30,FALSE))</f>
        <v>#NAME?</v>
      </c>
      <c r="BB263" s="352" t="e">
        <f ca="1">(VLOOKUP(A263,TradesEquity!$1:$1048576,31,FALSE))</f>
        <v>#NAME?</v>
      </c>
      <c r="BC263" s="352" t="e">
        <f ca="1">(VLOOKUP(A263,TradesEquity!$1:$1048576,32,FALSE))</f>
        <v>#NAME?</v>
      </c>
      <c r="BI263" s="352" t="e">
        <f ca="1">(VLOOKUP(A263,TradesEquity!$1:$1048576,38,FALSE))</f>
        <v>#NAME?</v>
      </c>
      <c r="BJ263" s="352" t="e">
        <f ca="1">(VLOOKUP(A263,TradesEquity!$1:$1048576,39,FALSE))</f>
        <v>#NAME?</v>
      </c>
      <c r="BK263" s="352" t="e">
        <f ca="1">(VLOOKUP(A263,TradesEquity!$1:$1048576,40,FALSE))</f>
        <v>#NAME?</v>
      </c>
    </row>
    <row r="264" spans="1:63">
      <c r="A264" s="909">
        <v>2019200556</v>
      </c>
      <c r="D264" s="342" t="s">
        <v>1957</v>
      </c>
      <c r="F264" s="343">
        <f>VLOOKUP(A264,TradesEquity!$1:$1048576,2,FALSE)</f>
        <v>44533</v>
      </c>
      <c r="H264" s="343">
        <f>VLOOKUP(A264,TradesEquity!$1:$1048576,21,FALSE)</f>
        <v>44537</v>
      </c>
      <c r="I264" s="344" t="str">
        <f>IF(VLOOKUP(A264,TradesEquity!$1:$1048576,3,FALSE)="BUY","B","S")</f>
        <v>B</v>
      </c>
      <c r="J264" s="344" t="e">
        <f ca="1">VLOOKUP(A264,TradesEquity!$1:$1048576,5,FALSE)</f>
        <v>#NAME?</v>
      </c>
      <c r="K264" s="342" t="s">
        <v>19</v>
      </c>
      <c r="L264" s="345" t="s">
        <v>1958</v>
      </c>
      <c r="AE264" s="346" t="e">
        <f ca="1">VLOOKUP(A264,TradesEquity!$1:$1048576,10,FALSE)</f>
        <v>#NAME?</v>
      </c>
      <c r="AF264" s="346" t="e">
        <f t="shared" ca="1" si="12"/>
        <v>#NAME?</v>
      </c>
      <c r="AG264" s="346" t="e">
        <f t="shared" ca="1" si="12"/>
        <v>#NAME?</v>
      </c>
      <c r="AH264" s="346" t="e">
        <f t="shared" ca="1" si="12"/>
        <v>#NAME?</v>
      </c>
      <c r="AI264" s="346">
        <f>ABS(VLOOKUP(A264,TradesEquity!$1:$1048576,13,FALSE))</f>
        <v>330</v>
      </c>
      <c r="AJ264" s="347">
        <v>0</v>
      </c>
      <c r="AK264" s="347">
        <v>1</v>
      </c>
      <c r="AL264" s="346">
        <f>VLOOKUP(A264,TradesEquity!$1:$1048576,11,FALSE)</f>
        <v>337892.42424199998</v>
      </c>
      <c r="AM264" s="347">
        <v>1</v>
      </c>
      <c r="AN264" s="346">
        <f>ABS(VLOOKUP(A264,TradesEquity!$1:$1048576,14,FALSE))</f>
        <v>111504499.99985999</v>
      </c>
      <c r="AO264" s="346">
        <f>ABS(VLOOKUP(A264,TradesEquity!$1:$1048576,15,FALSE))</f>
        <v>167257</v>
      </c>
      <c r="AP264" s="348">
        <f>ABS(VLOOKUP(A264,TradesEquity!$1:$1048576,16,FALSE))</f>
        <v>0</v>
      </c>
      <c r="AQ264" s="286">
        <v>0</v>
      </c>
      <c r="AR264" s="286">
        <v>0</v>
      </c>
      <c r="AS264" s="286">
        <v>0</v>
      </c>
      <c r="AT264" s="286">
        <v>0</v>
      </c>
      <c r="AU264" s="286">
        <v>0</v>
      </c>
      <c r="AV264" s="348">
        <f>ABS(VLOOKUP(A264,TradesEquity!$1:$1048576,18,FALSE))</f>
        <v>111671756.99985999</v>
      </c>
      <c r="AW264" s="349">
        <v>0</v>
      </c>
      <c r="AX264" s="350">
        <v>4542</v>
      </c>
      <c r="AY264" s="351" t="s">
        <v>1959</v>
      </c>
      <c r="AZ264" s="352" t="e">
        <f ca="1">(VLOOKUP(A264,TradesEquity!$1:$1048576,29,FALSE))</f>
        <v>#NAME?</v>
      </c>
      <c r="BA264" s="352" t="e">
        <f ca="1">(VLOOKUP(A264,TradesEquity!$1:$1048576,30,FALSE))</f>
        <v>#NAME?</v>
      </c>
      <c r="BB264" s="352" t="e">
        <f ca="1">(VLOOKUP(A264,TradesEquity!$1:$1048576,31,FALSE))</f>
        <v>#NAME?</v>
      </c>
      <c r="BC264" s="352" t="e">
        <f ca="1">(VLOOKUP(A264,TradesEquity!$1:$1048576,32,FALSE))</f>
        <v>#NAME?</v>
      </c>
      <c r="BI264" s="352" t="e">
        <f ca="1">(VLOOKUP(A264,TradesEquity!$1:$1048576,38,FALSE))</f>
        <v>#NAME?</v>
      </c>
      <c r="BJ264" s="352" t="e">
        <f ca="1">(VLOOKUP(A264,TradesEquity!$1:$1048576,39,FALSE))</f>
        <v>#NAME?</v>
      </c>
      <c r="BK264" s="352" t="e">
        <f ca="1">(VLOOKUP(A264,TradesEquity!$1:$1048576,40,FALSE))</f>
        <v>#NAME?</v>
      </c>
    </row>
    <row r="265" spans="1:63">
      <c r="A265" s="909">
        <v>2019200557</v>
      </c>
      <c r="D265" s="342" t="s">
        <v>1957</v>
      </c>
      <c r="F265" s="343">
        <f>VLOOKUP(A265,TradesEquity!$1:$1048576,2,FALSE)</f>
        <v>44533</v>
      </c>
      <c r="H265" s="343">
        <f>VLOOKUP(A265,TradesEquity!$1:$1048576,21,FALSE)</f>
        <v>44537</v>
      </c>
      <c r="I265" s="344" t="str">
        <f>IF(VLOOKUP(A265,TradesEquity!$1:$1048576,3,FALSE)="BUY","B","S")</f>
        <v>B</v>
      </c>
      <c r="J265" s="344" t="e">
        <f ca="1">VLOOKUP(A265,TradesEquity!$1:$1048576,5,FALSE)</f>
        <v>#NAME?</v>
      </c>
      <c r="K265" s="342" t="s">
        <v>19</v>
      </c>
      <c r="L265" s="345" t="s">
        <v>1958</v>
      </c>
      <c r="AE265" s="346" t="e">
        <f ca="1">VLOOKUP(A265,TradesEquity!$1:$1048576,10,FALSE)</f>
        <v>#NAME?</v>
      </c>
      <c r="AF265" s="346" t="e">
        <f t="shared" ca="1" si="12"/>
        <v>#NAME?</v>
      </c>
      <c r="AG265" s="346" t="e">
        <f t="shared" ca="1" si="12"/>
        <v>#NAME?</v>
      </c>
      <c r="AH265" s="346" t="e">
        <f t="shared" ca="1" si="12"/>
        <v>#NAME?</v>
      </c>
      <c r="AI265" s="346">
        <f>ABS(VLOOKUP(A265,TradesEquity!$1:$1048576,13,FALSE))</f>
        <v>390</v>
      </c>
      <c r="AJ265" s="347">
        <v>0</v>
      </c>
      <c r="AK265" s="347">
        <v>1</v>
      </c>
      <c r="AL265" s="346">
        <f>VLOOKUP(A265,TradesEquity!$1:$1048576,11,FALSE)</f>
        <v>123593.589744</v>
      </c>
      <c r="AM265" s="347">
        <v>1</v>
      </c>
      <c r="AN265" s="346">
        <f>ABS(VLOOKUP(A265,TradesEquity!$1:$1048576,14,FALSE))</f>
        <v>48201500.000160001</v>
      </c>
      <c r="AO265" s="346">
        <f>ABS(VLOOKUP(A265,TradesEquity!$1:$1048576,15,FALSE))</f>
        <v>72302</v>
      </c>
      <c r="AP265" s="348">
        <f>ABS(VLOOKUP(A265,TradesEquity!$1:$1048576,16,FALSE))</f>
        <v>0</v>
      </c>
      <c r="AQ265" s="286">
        <v>0</v>
      </c>
      <c r="AR265" s="286">
        <v>0</v>
      </c>
      <c r="AS265" s="286">
        <v>0</v>
      </c>
      <c r="AT265" s="286">
        <v>0</v>
      </c>
      <c r="AU265" s="286">
        <v>0</v>
      </c>
      <c r="AV265" s="348">
        <f>ABS(VLOOKUP(A265,TradesEquity!$1:$1048576,18,FALSE))</f>
        <v>48273802.000160001</v>
      </c>
      <c r="AW265" s="349">
        <v>0</v>
      </c>
      <c r="AX265" s="350">
        <v>4542</v>
      </c>
      <c r="AY265" s="351" t="s">
        <v>1959</v>
      </c>
      <c r="AZ265" s="352" t="e">
        <f ca="1">(VLOOKUP(A265,TradesEquity!$1:$1048576,29,FALSE))</f>
        <v>#NAME?</v>
      </c>
      <c r="BA265" s="352" t="e">
        <f ca="1">(VLOOKUP(A265,TradesEquity!$1:$1048576,30,FALSE))</f>
        <v>#NAME?</v>
      </c>
      <c r="BB265" s="352" t="e">
        <f ca="1">(VLOOKUP(A265,TradesEquity!$1:$1048576,31,FALSE))</f>
        <v>#NAME?</v>
      </c>
      <c r="BC265" s="352" t="e">
        <f ca="1">(VLOOKUP(A265,TradesEquity!$1:$1048576,32,FALSE))</f>
        <v>#NAME?</v>
      </c>
      <c r="BI265" s="352" t="e">
        <f ca="1">(VLOOKUP(A265,TradesEquity!$1:$1048576,38,FALSE))</f>
        <v>#NAME?</v>
      </c>
      <c r="BJ265" s="352" t="e">
        <f ca="1">(VLOOKUP(A265,TradesEquity!$1:$1048576,39,FALSE))</f>
        <v>#NAME?</v>
      </c>
      <c r="BK265" s="352" t="e">
        <f ca="1">(VLOOKUP(A265,TradesEquity!$1:$1048576,40,FALSE))</f>
        <v>#NAME?</v>
      </c>
    </row>
    <row r="266" spans="1:63">
      <c r="A266" s="909">
        <f t="shared" ref="A266:A270" si="14">(A265+1)</f>
        <v>2019200558</v>
      </c>
      <c r="D266" s="342" t="s">
        <v>1957</v>
      </c>
      <c r="F266" s="343">
        <f>VLOOKUP(A266,TradesEquity!$1:$1048576,2,FALSE)</f>
        <v>44560</v>
      </c>
      <c r="H266" s="343">
        <f>VLOOKUP(A266,TradesEquity!$1:$1048576,21,FALSE)</f>
        <v>44562</v>
      </c>
      <c r="I266" s="344" t="str">
        <f>IF(VLOOKUP(A266,TradesEquity!$1:$1048576,3,FALSE)="BUY","B","S")</f>
        <v>S</v>
      </c>
      <c r="J266" s="344" t="e">
        <f ca="1">VLOOKUP(A266,TradesEquity!$1:$1048576,5,FALSE)</f>
        <v>#NAME?</v>
      </c>
      <c r="K266" s="342" t="s">
        <v>19</v>
      </c>
      <c r="L266" s="345" t="s">
        <v>1958</v>
      </c>
      <c r="AE266" s="346" t="e">
        <f ca="1">VLOOKUP(A266,TradesEquity!$1:$1048576,10,FALSE)</f>
        <v>#NAME?</v>
      </c>
      <c r="AF266" s="346" t="e">
        <f t="shared" ca="1" si="12"/>
        <v>#NAME?</v>
      </c>
      <c r="AG266" s="346" t="e">
        <f t="shared" ca="1" si="12"/>
        <v>#NAME?</v>
      </c>
      <c r="AH266" s="346" t="e">
        <f t="shared" ca="1" si="12"/>
        <v>#NAME?</v>
      </c>
      <c r="AI266" s="346">
        <f>ABS(VLOOKUP(A266,TradesEquity!$1:$1048576,13,FALSE))</f>
        <v>110000</v>
      </c>
      <c r="AJ266" s="347">
        <v>0</v>
      </c>
      <c r="AK266" s="347">
        <v>1</v>
      </c>
      <c r="AL266" s="346">
        <f>VLOOKUP(A266,TradesEquity!$1:$1048576,11,FALSE)</f>
        <v>3.4125999999999999</v>
      </c>
      <c r="AM266" s="347">
        <v>1</v>
      </c>
      <c r="AN266" s="346">
        <f>ABS(VLOOKUP(A266,TradesEquity!$1:$1048576,14,FALSE))</f>
        <v>375386</v>
      </c>
      <c r="AO266" s="346">
        <f>ABS(VLOOKUP(A266,TradesEquity!$1:$1048576,15,FALSE))</f>
        <v>225.23</v>
      </c>
      <c r="AP266" s="348">
        <f>ABS(VLOOKUP(A266,TradesEquity!$1:$1048576,16,FALSE))</f>
        <v>0</v>
      </c>
      <c r="AQ266" s="286">
        <v>0</v>
      </c>
      <c r="AR266" s="286">
        <v>0</v>
      </c>
      <c r="AS266" s="286">
        <v>0</v>
      </c>
      <c r="AT266" s="286">
        <v>0</v>
      </c>
      <c r="AU266" s="286">
        <v>0</v>
      </c>
      <c r="AV266" s="348">
        <f>ABS(VLOOKUP(A266,TradesEquity!$1:$1048576,18,FALSE))</f>
        <v>375160.77</v>
      </c>
      <c r="AW266" s="349">
        <v>0</v>
      </c>
      <c r="AX266" s="350">
        <v>4542</v>
      </c>
      <c r="AY266" s="351" t="s">
        <v>1959</v>
      </c>
      <c r="AZ266" s="352" t="e">
        <f ca="1">(VLOOKUP(A266,TradesEquity!$1:$1048576,29,FALSE))</f>
        <v>#NAME?</v>
      </c>
      <c r="BA266" s="352" t="e">
        <f ca="1">(VLOOKUP(A266,TradesEquity!$1:$1048576,30,FALSE))</f>
        <v>#NAME?</v>
      </c>
      <c r="BB266" s="352" t="e">
        <f ca="1">(VLOOKUP(A266,TradesEquity!$1:$1048576,31,FALSE))</f>
        <v>#NAME?</v>
      </c>
      <c r="BC266" s="352" t="e">
        <f ca="1">(VLOOKUP(A266,TradesEquity!$1:$1048576,32,FALSE))</f>
        <v>#NAME?</v>
      </c>
      <c r="BI266" s="352" t="e">
        <f ca="1">(VLOOKUP(A266,TradesEquity!$1:$1048576,38,FALSE))</f>
        <v>#NAME?</v>
      </c>
      <c r="BJ266" s="352" t="e">
        <f ca="1">(VLOOKUP(A266,TradesEquity!$1:$1048576,39,FALSE))</f>
        <v>#NAME?</v>
      </c>
      <c r="BK266" s="352" t="e">
        <f ca="1">(VLOOKUP(A266,TradesEquity!$1:$1048576,40,FALSE))</f>
        <v>#NAME?</v>
      </c>
    </row>
    <row r="267" spans="1:63">
      <c r="A267" s="909">
        <f t="shared" si="14"/>
        <v>2019200559</v>
      </c>
      <c r="D267" s="342" t="s">
        <v>1957</v>
      </c>
      <c r="F267" s="343">
        <f>VLOOKUP(A267,TradesEquity!$1:$1048576,2,FALSE)</f>
        <v>44560</v>
      </c>
      <c r="H267" s="343">
        <f>VLOOKUP(A267,TradesEquity!$1:$1048576,21,FALSE)</f>
        <v>44562</v>
      </c>
      <c r="I267" s="344" t="str">
        <f>IF(VLOOKUP(A267,TradesEquity!$1:$1048576,3,FALSE)="BUY","B","S")</f>
        <v>S</v>
      </c>
      <c r="J267" s="344" t="e">
        <f ca="1">VLOOKUP(A267,TradesEquity!$1:$1048576,5,FALSE)</f>
        <v>#NAME?</v>
      </c>
      <c r="K267" s="342" t="s">
        <v>19</v>
      </c>
      <c r="L267" s="345" t="s">
        <v>1958</v>
      </c>
      <c r="AE267" s="346" t="e">
        <f ca="1">VLOOKUP(A267,TradesEquity!$1:$1048576,10,FALSE)</f>
        <v>#NAME?</v>
      </c>
      <c r="AF267" s="346" t="e">
        <f t="shared" ca="1" si="12"/>
        <v>#NAME?</v>
      </c>
      <c r="AG267" s="346" t="e">
        <f t="shared" ca="1" si="12"/>
        <v>#NAME?</v>
      </c>
      <c r="AH267" s="346" t="e">
        <f t="shared" ca="1" si="12"/>
        <v>#NAME?</v>
      </c>
      <c r="AI267" s="346">
        <f>ABS(VLOOKUP(A267,TradesEquity!$1:$1048576,13,FALSE))</f>
        <v>4300</v>
      </c>
      <c r="AJ267" s="347">
        <v>0</v>
      </c>
      <c r="AK267" s="347">
        <v>1</v>
      </c>
      <c r="AL267" s="346">
        <f>VLOOKUP(A267,TradesEquity!$1:$1048576,11,FALSE)</f>
        <v>3543.1936000000001</v>
      </c>
      <c r="AM267" s="347">
        <v>1</v>
      </c>
      <c r="AN267" s="346">
        <f>ABS(VLOOKUP(A267,TradesEquity!$1:$1048576,14,FALSE))</f>
        <v>15235732.48</v>
      </c>
      <c r="AO267" s="346">
        <f>ABS(VLOOKUP(A267,TradesEquity!$1:$1048576,15,FALSE))</f>
        <v>9141</v>
      </c>
      <c r="AP267" s="348">
        <f>ABS(VLOOKUP(A267,TradesEquity!$1:$1048576,16,FALSE))</f>
        <v>0</v>
      </c>
      <c r="AQ267" s="286">
        <v>0</v>
      </c>
      <c r="AR267" s="286">
        <v>0</v>
      </c>
      <c r="AS267" s="286">
        <v>0</v>
      </c>
      <c r="AT267" s="286">
        <v>0</v>
      </c>
      <c r="AU267" s="286">
        <v>0</v>
      </c>
      <c r="AV267" s="348">
        <f>ABS(VLOOKUP(A267,TradesEquity!$1:$1048576,18,FALSE))</f>
        <v>15226591.48</v>
      </c>
      <c r="AW267" s="349">
        <v>0</v>
      </c>
      <c r="AX267" s="350">
        <v>4542</v>
      </c>
      <c r="AY267" s="351" t="s">
        <v>1959</v>
      </c>
      <c r="AZ267" s="352" t="e">
        <f ca="1">(VLOOKUP(A267,TradesEquity!$1:$1048576,29,FALSE))</f>
        <v>#NAME?</v>
      </c>
      <c r="BA267" s="352" t="e">
        <f ca="1">(VLOOKUP(A267,TradesEquity!$1:$1048576,30,FALSE))</f>
        <v>#NAME?</v>
      </c>
      <c r="BB267" s="352" t="e">
        <f ca="1">(VLOOKUP(A267,TradesEquity!$1:$1048576,31,FALSE))</f>
        <v>#NAME?</v>
      </c>
      <c r="BC267" s="352" t="e">
        <f ca="1">(VLOOKUP(A267,TradesEquity!$1:$1048576,32,FALSE))</f>
        <v>#NAME?</v>
      </c>
      <c r="BI267" s="352" t="e">
        <f ca="1">(VLOOKUP(A267,TradesEquity!$1:$1048576,38,FALSE))</f>
        <v>#NAME?</v>
      </c>
      <c r="BJ267" s="352" t="e">
        <f ca="1">(VLOOKUP(A267,TradesEquity!$1:$1048576,39,FALSE))</f>
        <v>#NAME?</v>
      </c>
      <c r="BK267" s="352" t="e">
        <f ca="1">(VLOOKUP(A267,TradesEquity!$1:$1048576,40,FALSE))</f>
        <v>#NAME?</v>
      </c>
    </row>
    <row r="268" spans="1:63">
      <c r="A268" s="909">
        <f t="shared" si="14"/>
        <v>2019200560</v>
      </c>
      <c r="D268" s="342" t="s">
        <v>1957</v>
      </c>
      <c r="F268" s="343">
        <f>VLOOKUP(A268,TradesEquity!$1:$1048576,2,FALSE)</f>
        <v>44560</v>
      </c>
      <c r="H268" s="343">
        <f>VLOOKUP(A268,TradesEquity!$1:$1048576,21,FALSE)</f>
        <v>44562</v>
      </c>
      <c r="I268" s="344" t="str">
        <f>IF(VLOOKUP(A268,TradesEquity!$1:$1048576,3,FALSE)="BUY","B","S")</f>
        <v>S</v>
      </c>
      <c r="J268" s="344" t="e">
        <f ca="1">VLOOKUP(A268,TradesEquity!$1:$1048576,5,FALSE)</f>
        <v>#NAME?</v>
      </c>
      <c r="K268" s="342" t="s">
        <v>19</v>
      </c>
      <c r="L268" s="345" t="s">
        <v>1958</v>
      </c>
      <c r="AE268" s="346" t="e">
        <f ca="1">VLOOKUP(A268,TradesEquity!$1:$1048576,10,FALSE)</f>
        <v>#NAME?</v>
      </c>
      <c r="AF268" s="346" t="e">
        <f t="shared" ca="1" si="12"/>
        <v>#NAME?</v>
      </c>
      <c r="AG268" s="346" t="e">
        <f t="shared" ca="1" si="12"/>
        <v>#NAME?</v>
      </c>
      <c r="AH268" s="346" t="e">
        <f t="shared" ca="1" si="12"/>
        <v>#NAME?</v>
      </c>
      <c r="AI268" s="346">
        <f>ABS(VLOOKUP(A268,TradesEquity!$1:$1048576,13,FALSE))</f>
        <v>138800</v>
      </c>
      <c r="AJ268" s="347">
        <v>0</v>
      </c>
      <c r="AK268" s="347">
        <v>1</v>
      </c>
      <c r="AL268" s="346">
        <f>VLOOKUP(A268,TradesEquity!$1:$1048576,11,FALSE)</f>
        <v>1.79</v>
      </c>
      <c r="AM268" s="347">
        <v>1</v>
      </c>
      <c r="AN268" s="346">
        <f>ABS(VLOOKUP(A268,TradesEquity!$1:$1048576,14,FALSE))</f>
        <v>248452</v>
      </c>
      <c r="AO268" s="346">
        <f>ABS(VLOOKUP(A268,TradesEquity!$1:$1048576,15,FALSE))</f>
        <v>149.07</v>
      </c>
      <c r="AP268" s="348">
        <f>ABS(VLOOKUP(A268,TradesEquity!$1:$1048576,16,FALSE))</f>
        <v>0</v>
      </c>
      <c r="AQ268" s="286">
        <v>0</v>
      </c>
      <c r="AR268" s="286">
        <v>0</v>
      </c>
      <c r="AS268" s="286">
        <v>0</v>
      </c>
      <c r="AT268" s="286">
        <v>0</v>
      </c>
      <c r="AU268" s="286">
        <v>0</v>
      </c>
      <c r="AV268" s="348">
        <f>ABS(VLOOKUP(A268,TradesEquity!$1:$1048576,18,FALSE))</f>
        <v>248302.93</v>
      </c>
      <c r="AW268" s="349">
        <v>0</v>
      </c>
      <c r="AX268" s="350">
        <v>4542</v>
      </c>
      <c r="AY268" s="351" t="s">
        <v>1959</v>
      </c>
      <c r="AZ268" s="352" t="e">
        <f ca="1">(VLOOKUP(A268,TradesEquity!$1:$1048576,29,FALSE))</f>
        <v>#NAME?</v>
      </c>
      <c r="BA268" s="352" t="e">
        <f ca="1">(VLOOKUP(A268,TradesEquity!$1:$1048576,30,FALSE))</f>
        <v>#NAME?</v>
      </c>
      <c r="BB268" s="352" t="e">
        <f ca="1">(VLOOKUP(A268,TradesEquity!$1:$1048576,31,FALSE))</f>
        <v>#NAME?</v>
      </c>
      <c r="BC268" s="352" t="e">
        <f ca="1">(VLOOKUP(A268,TradesEquity!$1:$1048576,32,FALSE))</f>
        <v>#NAME?</v>
      </c>
      <c r="BI268" s="352" t="e">
        <f ca="1">(VLOOKUP(A268,TradesEquity!$1:$1048576,38,FALSE))</f>
        <v>#NAME?</v>
      </c>
      <c r="BJ268" s="352" t="e">
        <f ca="1">(VLOOKUP(A268,TradesEquity!$1:$1048576,39,FALSE))</f>
        <v>#NAME?</v>
      </c>
      <c r="BK268" s="352" t="e">
        <f ca="1">(VLOOKUP(A268,TradesEquity!$1:$1048576,40,FALSE))</f>
        <v>#NAME?</v>
      </c>
    </row>
    <row r="269" spans="1:63">
      <c r="A269" s="909">
        <f t="shared" si="14"/>
        <v>2019200561</v>
      </c>
      <c r="D269" s="342" t="s">
        <v>1957</v>
      </c>
      <c r="F269" s="343">
        <f>VLOOKUP(A269,TradesEquity!$1:$1048576,2,FALSE)</f>
        <v>44560</v>
      </c>
      <c r="H269" s="343">
        <f>VLOOKUP(A269,TradesEquity!$1:$1048576,21,FALSE)</f>
        <v>44562</v>
      </c>
      <c r="I269" s="344" t="str">
        <f>IF(VLOOKUP(A269,TradesEquity!$1:$1048576,3,FALSE)="BUY","B","S")</f>
        <v>B</v>
      </c>
      <c r="J269" s="344" t="e">
        <f ca="1">VLOOKUP(A269,TradesEquity!$1:$1048576,5,FALSE)</f>
        <v>#NAME?</v>
      </c>
      <c r="K269" s="342" t="s">
        <v>19</v>
      </c>
      <c r="L269" s="345" t="s">
        <v>1958</v>
      </c>
      <c r="AE269" s="346" t="e">
        <f ca="1">VLOOKUP(A269,TradesEquity!$1:$1048576,10,FALSE)</f>
        <v>#NAME?</v>
      </c>
      <c r="AF269" s="346" t="e">
        <f t="shared" ca="1" si="12"/>
        <v>#NAME?</v>
      </c>
      <c r="AG269" s="346" t="e">
        <f t="shared" ca="1" si="12"/>
        <v>#NAME?</v>
      </c>
      <c r="AH269" s="346" t="e">
        <f t="shared" ca="1" si="12"/>
        <v>#NAME?</v>
      </c>
      <c r="AI269" s="346">
        <f>ABS(VLOOKUP(A269,TradesEquity!$1:$1048576,13,FALSE))</f>
        <v>1200</v>
      </c>
      <c r="AJ269" s="347">
        <v>0</v>
      </c>
      <c r="AK269" s="347">
        <v>1</v>
      </c>
      <c r="AL269" s="346">
        <f>VLOOKUP(A269,TradesEquity!$1:$1048576,11,FALSE)</f>
        <v>287617.5</v>
      </c>
      <c r="AM269" s="347">
        <v>1</v>
      </c>
      <c r="AN269" s="346">
        <f>ABS(VLOOKUP(A269,TradesEquity!$1:$1048576,14,FALSE))</f>
        <v>345141000</v>
      </c>
      <c r="AO269" s="346">
        <f>ABS(VLOOKUP(A269,TradesEquity!$1:$1048576,15,FALSE))</f>
        <v>517712</v>
      </c>
      <c r="AP269" s="348">
        <f>ABS(VLOOKUP(A269,TradesEquity!$1:$1048576,16,FALSE))</f>
        <v>0</v>
      </c>
      <c r="AQ269" s="286">
        <v>0</v>
      </c>
      <c r="AR269" s="286">
        <v>0</v>
      </c>
      <c r="AS269" s="286">
        <v>0</v>
      </c>
      <c r="AT269" s="286">
        <v>0</v>
      </c>
      <c r="AU269" s="286">
        <v>0</v>
      </c>
      <c r="AV269" s="348">
        <f>ABS(VLOOKUP(A269,TradesEquity!$1:$1048576,18,FALSE))</f>
        <v>345658712</v>
      </c>
      <c r="AW269" s="349">
        <v>0</v>
      </c>
      <c r="AX269" s="350">
        <v>4542</v>
      </c>
      <c r="AY269" s="351" t="s">
        <v>1959</v>
      </c>
      <c r="AZ269" s="352" t="e">
        <f ca="1">(VLOOKUP(A269,TradesEquity!$1:$1048576,29,FALSE))</f>
        <v>#NAME?</v>
      </c>
      <c r="BA269" s="352" t="e">
        <f ca="1">(VLOOKUP(A269,TradesEquity!$1:$1048576,30,FALSE))</f>
        <v>#NAME?</v>
      </c>
      <c r="BB269" s="352" t="e">
        <f ca="1">(VLOOKUP(A269,TradesEquity!$1:$1048576,31,FALSE))</f>
        <v>#NAME?</v>
      </c>
      <c r="BC269" s="352" t="e">
        <f ca="1">(VLOOKUP(A269,TradesEquity!$1:$1048576,32,FALSE))</f>
        <v>#NAME?</v>
      </c>
      <c r="BI269" s="352" t="e">
        <f ca="1">(VLOOKUP(A269,TradesEquity!$1:$1048576,38,FALSE))</f>
        <v>#NAME?</v>
      </c>
      <c r="BJ269" s="352" t="e">
        <f ca="1">(VLOOKUP(A269,TradesEquity!$1:$1048576,39,FALSE))</f>
        <v>#NAME?</v>
      </c>
      <c r="BK269" s="352" t="e">
        <f ca="1">(VLOOKUP(A269,TradesEquity!$1:$1048576,40,FALSE))</f>
        <v>#NAME?</v>
      </c>
    </row>
    <row r="270" spans="1:63">
      <c r="A270" s="909">
        <f t="shared" si="14"/>
        <v>2019200562</v>
      </c>
      <c r="D270" s="342" t="s">
        <v>1957</v>
      </c>
      <c r="F270" s="343">
        <f>VLOOKUP(A270,TradesEquity!$1:$1048576,2,FALSE)</f>
        <v>44560</v>
      </c>
      <c r="H270" s="343">
        <f>VLOOKUP(A270,TradesEquity!$1:$1048576,21,FALSE)</f>
        <v>44562</v>
      </c>
      <c r="I270" s="344" t="str">
        <f>IF(VLOOKUP(A270,TradesEquity!$1:$1048576,3,FALSE)="BUY","B","S")</f>
        <v>B</v>
      </c>
      <c r="J270" s="344" t="e">
        <f ca="1">VLOOKUP(A270,TradesEquity!$1:$1048576,5,FALSE)</f>
        <v>#NAME?</v>
      </c>
      <c r="K270" s="342" t="s">
        <v>19</v>
      </c>
      <c r="L270" s="345" t="s">
        <v>1958</v>
      </c>
      <c r="AE270" s="346" t="e">
        <f ca="1">VLOOKUP(A270,TradesEquity!$1:$1048576,10,FALSE)</f>
        <v>#NAME?</v>
      </c>
      <c r="AF270" s="346" t="e">
        <f t="shared" ca="1" si="12"/>
        <v>#NAME?</v>
      </c>
      <c r="AG270" s="346" t="e">
        <f t="shared" ca="1" si="12"/>
        <v>#NAME?</v>
      </c>
      <c r="AH270" s="346" t="e">
        <f t="shared" ca="1" si="12"/>
        <v>#NAME?</v>
      </c>
      <c r="AI270" s="346">
        <f>ABS(VLOOKUP(A270,TradesEquity!$1:$1048576,13,FALSE))</f>
        <v>870</v>
      </c>
      <c r="AJ270" s="347">
        <v>0</v>
      </c>
      <c r="AK270" s="347">
        <v>1</v>
      </c>
      <c r="AL270" s="346">
        <f>VLOOKUP(A270,TradesEquity!$1:$1048576,11,FALSE)</f>
        <v>141118.39079999999</v>
      </c>
      <c r="AM270" s="347">
        <v>1</v>
      </c>
      <c r="AN270" s="346">
        <f>ABS(VLOOKUP(A270,TradesEquity!$1:$1048576,14,FALSE))</f>
        <v>122772999.99599999</v>
      </c>
      <c r="AO270" s="346">
        <f>ABS(VLOOKUP(A270,TradesEquity!$1:$1048576,15,FALSE))</f>
        <v>184160</v>
      </c>
      <c r="AP270" s="348">
        <f>ABS(VLOOKUP(A270,TradesEquity!$1:$1048576,16,FALSE))</f>
        <v>0</v>
      </c>
      <c r="AQ270" s="286">
        <v>0</v>
      </c>
      <c r="AR270" s="286">
        <v>0</v>
      </c>
      <c r="AS270" s="286">
        <v>0</v>
      </c>
      <c r="AT270" s="286">
        <v>0</v>
      </c>
      <c r="AU270" s="286">
        <v>0</v>
      </c>
      <c r="AV270" s="348">
        <f>ABS(VLOOKUP(A270,TradesEquity!$1:$1048576,18,FALSE))</f>
        <v>122957159.99599999</v>
      </c>
      <c r="AW270" s="349">
        <v>0</v>
      </c>
      <c r="AX270" s="350">
        <v>4542</v>
      </c>
      <c r="AY270" s="351" t="s">
        <v>1959</v>
      </c>
      <c r="AZ270" s="352" t="e">
        <f ca="1">(VLOOKUP(A270,TradesEquity!$1:$1048576,29,FALSE))</f>
        <v>#NAME?</v>
      </c>
      <c r="BA270" s="352" t="e">
        <f ca="1">(VLOOKUP(A270,TradesEquity!$1:$1048576,30,FALSE))</f>
        <v>#NAME?</v>
      </c>
      <c r="BB270" s="352" t="e">
        <f ca="1">(VLOOKUP(A270,TradesEquity!$1:$1048576,31,FALSE))</f>
        <v>#NAME?</v>
      </c>
      <c r="BC270" s="352" t="e">
        <f ca="1">(VLOOKUP(A270,TradesEquity!$1:$1048576,32,FALSE))</f>
        <v>#NAME?</v>
      </c>
      <c r="BI270" s="352" t="e">
        <f ca="1">(VLOOKUP(A270,TradesEquity!$1:$1048576,38,FALSE))</f>
        <v>#NAME?</v>
      </c>
      <c r="BJ270" s="352" t="e">
        <f ca="1">(VLOOKUP(A270,TradesEquity!$1:$1048576,39,FALSE))</f>
        <v>#NAME?</v>
      </c>
      <c r="BK270" s="352" t="e">
        <f ca="1">(VLOOKUP(A270,TradesEquity!$1:$1048576,40,FALSE))</f>
        <v>#NAME?</v>
      </c>
    </row>
    <row r="271" spans="1:63">
      <c r="A271" s="909">
        <v>2019200563</v>
      </c>
      <c r="D271" s="342" t="s">
        <v>1957</v>
      </c>
      <c r="F271" s="343">
        <f>VLOOKUP(A271,TradesEquity!$1:$1048576,2,FALSE)</f>
        <v>44589</v>
      </c>
      <c r="H271" s="343">
        <f>VLOOKUP(A271,TradesEquity!$1:$1048576,21,FALSE)</f>
        <v>44596</v>
      </c>
      <c r="I271" s="344" t="str">
        <f>IF(VLOOKUP(A271,TradesEquity!$1:$1048576,3,FALSE)="BUY","B","S")</f>
        <v>B</v>
      </c>
      <c r="J271" s="344" t="e">
        <f ca="1">VLOOKUP(A271,TradesEquity!$1:$1048576,5,FALSE)</f>
        <v>#NAME?</v>
      </c>
      <c r="K271" s="342" t="s">
        <v>19</v>
      </c>
      <c r="L271" s="345" t="s">
        <v>1958</v>
      </c>
      <c r="AE271" s="346" t="e">
        <f ca="1">VLOOKUP(A271,TradesEquity!$1:$1048576,10,FALSE)</f>
        <v>#NAME?</v>
      </c>
      <c r="AF271" s="346" t="e">
        <f t="shared" ca="1" si="12"/>
        <v>#NAME?</v>
      </c>
      <c r="AG271" s="346" t="e">
        <f t="shared" ca="1" si="12"/>
        <v>#NAME?</v>
      </c>
      <c r="AH271" s="346" t="e">
        <f t="shared" ca="1" si="12"/>
        <v>#NAME?</v>
      </c>
      <c r="AI271" s="346">
        <f>ABS(VLOOKUP(A271,TradesEquity!$1:$1048576,13,FALSE))</f>
        <v>1400</v>
      </c>
      <c r="AJ271" s="347">
        <v>0</v>
      </c>
      <c r="AK271" s="347">
        <v>1</v>
      </c>
      <c r="AL271" s="346">
        <f>VLOOKUP(A271,TradesEquity!$1:$1048576,11,FALSE)</f>
        <v>303643.92859999998</v>
      </c>
      <c r="AM271" s="347">
        <v>1</v>
      </c>
      <c r="AN271" s="346">
        <f>ABS(VLOOKUP(A271,TradesEquity!$1:$1048576,14,FALSE))</f>
        <v>425101500.03999996</v>
      </c>
      <c r="AO271" s="346">
        <f>ABS(VLOOKUP(A271,TradesEquity!$1:$1048576,15,FALSE))</f>
        <v>637652</v>
      </c>
      <c r="AP271" s="348">
        <f>ABS(VLOOKUP(A271,TradesEquity!$1:$1048576,16,FALSE))</f>
        <v>0</v>
      </c>
      <c r="AQ271" s="286">
        <v>0</v>
      </c>
      <c r="AR271" s="286">
        <v>0</v>
      </c>
      <c r="AS271" s="286">
        <v>0</v>
      </c>
      <c r="AT271" s="286">
        <v>0</v>
      </c>
      <c r="AU271" s="286">
        <v>0</v>
      </c>
      <c r="AV271" s="348">
        <f>ABS(VLOOKUP(A271,TradesEquity!$1:$1048576,18,FALSE))</f>
        <v>425739152.03999996</v>
      </c>
      <c r="AW271" s="349">
        <v>0</v>
      </c>
      <c r="AX271" s="350">
        <v>4542</v>
      </c>
      <c r="AY271" s="351" t="s">
        <v>1959</v>
      </c>
      <c r="AZ271" s="352" t="e">
        <f ca="1">(VLOOKUP(A271,TradesEquity!$1:$1048576,29,FALSE))</f>
        <v>#NAME?</v>
      </c>
      <c r="BA271" s="352" t="e">
        <f ca="1">(VLOOKUP(A271,TradesEquity!$1:$1048576,30,FALSE))</f>
        <v>#NAME?</v>
      </c>
      <c r="BB271" s="352" t="e">
        <f ca="1">(VLOOKUP(A271,TradesEquity!$1:$1048576,31,FALSE))</f>
        <v>#NAME?</v>
      </c>
      <c r="BC271" s="352" t="e">
        <f ca="1">(VLOOKUP(A271,TradesEquity!$1:$1048576,32,FALSE))</f>
        <v>#NAME?</v>
      </c>
      <c r="BI271" s="352" t="e">
        <f ca="1">(VLOOKUP(A271,TradesEquity!$1:$1048576,38,FALSE))</f>
        <v>#NAME?</v>
      </c>
      <c r="BJ271" s="352" t="e">
        <f ca="1">(VLOOKUP(A271,TradesEquity!$1:$1048576,39,FALSE))</f>
        <v>#NAME?</v>
      </c>
      <c r="BK271" s="352" t="e">
        <f ca="1">(VLOOKUP(A271,TradesEquity!$1:$1048576,40,FALSE))</f>
        <v>#NAME?</v>
      </c>
    </row>
    <row r="272" spans="1:63">
      <c r="A272" s="909">
        <v>2019200564</v>
      </c>
      <c r="D272" s="342" t="s">
        <v>1957</v>
      </c>
      <c r="F272" s="343">
        <f>VLOOKUP(A272,TradesEquity!$1:$1048576,2,FALSE)</f>
        <v>44589</v>
      </c>
      <c r="H272" s="343">
        <f>VLOOKUP(A272,TradesEquity!$1:$1048576,21,FALSE)</f>
        <v>44596</v>
      </c>
      <c r="I272" s="344" t="str">
        <f>IF(VLOOKUP(A272,TradesEquity!$1:$1048576,3,FALSE)="BUY","B","S")</f>
        <v>B</v>
      </c>
      <c r="J272" s="344" t="e">
        <f ca="1">VLOOKUP(A272,TradesEquity!$1:$1048576,5,FALSE)</f>
        <v>#NAME?</v>
      </c>
      <c r="K272" s="342" t="s">
        <v>19</v>
      </c>
      <c r="L272" s="345" t="s">
        <v>1958</v>
      </c>
      <c r="AE272" s="346" t="e">
        <f ca="1">VLOOKUP(A272,TradesEquity!$1:$1048576,10,FALSE)</f>
        <v>#NAME?</v>
      </c>
      <c r="AF272" s="346" t="e">
        <f t="shared" ca="1" si="12"/>
        <v>#NAME?</v>
      </c>
      <c r="AG272" s="346" t="e">
        <f t="shared" ca="1" si="12"/>
        <v>#NAME?</v>
      </c>
      <c r="AH272" s="346" t="e">
        <f t="shared" ca="1" si="12"/>
        <v>#NAME?</v>
      </c>
      <c r="AI272" s="346">
        <f>ABS(VLOOKUP(A272,TradesEquity!$1:$1048576,13,FALSE))</f>
        <v>1100</v>
      </c>
      <c r="AJ272" s="347">
        <v>0</v>
      </c>
      <c r="AK272" s="347">
        <v>1</v>
      </c>
      <c r="AL272" s="346">
        <f>VLOOKUP(A272,TradesEquity!$1:$1048576,11,FALSE)</f>
        <v>125323.18180000001</v>
      </c>
      <c r="AM272" s="347">
        <v>1</v>
      </c>
      <c r="AN272" s="346">
        <f>ABS(VLOOKUP(A272,TradesEquity!$1:$1048576,14,FALSE))</f>
        <v>137855499.98000002</v>
      </c>
      <c r="AO272" s="346">
        <f>ABS(VLOOKUP(A272,TradesEquity!$1:$1048576,15,FALSE))</f>
        <v>206783</v>
      </c>
      <c r="AP272" s="348">
        <f>ABS(VLOOKUP(A272,TradesEquity!$1:$1048576,16,FALSE))</f>
        <v>0</v>
      </c>
      <c r="AQ272" s="286">
        <v>0</v>
      </c>
      <c r="AR272" s="286">
        <v>0</v>
      </c>
      <c r="AS272" s="286">
        <v>0</v>
      </c>
      <c r="AT272" s="286">
        <v>0</v>
      </c>
      <c r="AU272" s="286">
        <v>0</v>
      </c>
      <c r="AV272" s="348">
        <f>ABS(VLOOKUP(A272,TradesEquity!$1:$1048576,18,FALSE))</f>
        <v>138062282.98000002</v>
      </c>
      <c r="AW272" s="349">
        <v>0</v>
      </c>
      <c r="AX272" s="350">
        <v>4542</v>
      </c>
      <c r="AY272" s="351" t="s">
        <v>1959</v>
      </c>
      <c r="AZ272" s="352" t="e">
        <f ca="1">(VLOOKUP(A272,TradesEquity!$1:$1048576,29,FALSE))</f>
        <v>#NAME?</v>
      </c>
      <c r="BA272" s="352" t="e">
        <f ca="1">(VLOOKUP(A272,TradesEquity!$1:$1048576,30,FALSE))</f>
        <v>#NAME?</v>
      </c>
      <c r="BB272" s="352" t="e">
        <f ca="1">(VLOOKUP(A272,TradesEquity!$1:$1048576,31,FALSE))</f>
        <v>#NAME?</v>
      </c>
      <c r="BC272" s="352" t="e">
        <f ca="1">(VLOOKUP(A272,TradesEquity!$1:$1048576,32,FALSE))</f>
        <v>#NAME?</v>
      </c>
      <c r="BI272" s="352" t="e">
        <f ca="1">(VLOOKUP(A272,TradesEquity!$1:$1048576,38,FALSE))</f>
        <v>#NAME?</v>
      </c>
      <c r="BJ272" s="352" t="e">
        <f ca="1">(VLOOKUP(A272,TradesEquity!$1:$1048576,39,FALSE))</f>
        <v>#NAME?</v>
      </c>
      <c r="BK272" s="352" t="e">
        <f ca="1">(VLOOKUP(A272,TradesEquity!$1:$1048576,40,FALSE))</f>
        <v>#NAME?</v>
      </c>
    </row>
    <row r="273" spans="1:63">
      <c r="A273" s="909">
        <v>2019200565</v>
      </c>
      <c r="D273" s="342" t="s">
        <v>1957</v>
      </c>
      <c r="F273" s="343">
        <f>VLOOKUP(A273,TradesEquity!$1:$1048576,2,FALSE)</f>
        <v>44589</v>
      </c>
      <c r="H273" s="343">
        <f>VLOOKUP(A273,TradesEquity!$1:$1048576,21,FALSE)</f>
        <v>44596</v>
      </c>
      <c r="I273" s="344" t="str">
        <f>IF(VLOOKUP(A273,TradesEquity!$1:$1048576,3,FALSE)="BUY","B","S")</f>
        <v>B</v>
      </c>
      <c r="J273" s="344" t="e">
        <f ca="1">VLOOKUP(A273,TradesEquity!$1:$1048576,5,FALSE)</f>
        <v>#NAME?</v>
      </c>
      <c r="K273" s="342" t="s">
        <v>19</v>
      </c>
      <c r="L273" s="345" t="s">
        <v>1958</v>
      </c>
      <c r="AE273" s="346" t="e">
        <f ca="1">VLOOKUP(A273,TradesEquity!$1:$1048576,10,FALSE)</f>
        <v>#NAME?</v>
      </c>
      <c r="AF273" s="346" t="e">
        <f t="shared" ca="1" si="12"/>
        <v>#NAME?</v>
      </c>
      <c r="AG273" s="346" t="e">
        <f t="shared" ca="1" si="12"/>
        <v>#NAME?</v>
      </c>
      <c r="AH273" s="346" t="e">
        <f t="shared" ca="1" si="12"/>
        <v>#NAME?</v>
      </c>
      <c r="AI273" s="346">
        <f>ABS(VLOOKUP(A273,TradesEquity!$1:$1048576,13,FALSE))</f>
        <v>1110</v>
      </c>
      <c r="AJ273" s="347">
        <v>0</v>
      </c>
      <c r="AK273" s="347">
        <v>1</v>
      </c>
      <c r="AL273" s="346">
        <f>VLOOKUP(A273,TradesEquity!$1:$1048576,11,FALSE)</f>
        <v>260698.90280000001</v>
      </c>
      <c r="AM273" s="347">
        <v>1</v>
      </c>
      <c r="AN273" s="346">
        <f>ABS(VLOOKUP(A273,TradesEquity!$1:$1048576,14,FALSE))</f>
        <v>289375782.10800004</v>
      </c>
      <c r="AO273" s="346">
        <f>ABS(VLOOKUP(A273,TradesEquity!$1:$1048576,15,FALSE))</f>
        <v>434064</v>
      </c>
      <c r="AP273" s="348">
        <f>ABS(VLOOKUP(A273,TradesEquity!$1:$1048576,16,FALSE))</f>
        <v>0</v>
      </c>
      <c r="AQ273" s="286">
        <v>0</v>
      </c>
      <c r="AR273" s="286">
        <v>0</v>
      </c>
      <c r="AS273" s="286">
        <v>0</v>
      </c>
      <c r="AT273" s="286">
        <v>0</v>
      </c>
      <c r="AU273" s="286">
        <v>0</v>
      </c>
      <c r="AV273" s="348">
        <f>ABS(VLOOKUP(A273,TradesEquity!$1:$1048576,18,FALSE))</f>
        <v>289809846.10800004</v>
      </c>
      <c r="AW273" s="349">
        <v>0</v>
      </c>
      <c r="AX273" s="350">
        <v>4542</v>
      </c>
      <c r="AY273" s="351" t="s">
        <v>1959</v>
      </c>
      <c r="AZ273" s="352" t="e">
        <f ca="1">(VLOOKUP(A273,TradesEquity!$1:$1048576,29,FALSE))</f>
        <v>#NAME?</v>
      </c>
      <c r="BA273" s="352" t="e">
        <f ca="1">(VLOOKUP(A273,TradesEquity!$1:$1048576,30,FALSE))</f>
        <v>#NAME?</v>
      </c>
      <c r="BB273" s="352" t="e">
        <f ca="1">(VLOOKUP(A273,TradesEquity!$1:$1048576,31,FALSE))</f>
        <v>#NAME?</v>
      </c>
      <c r="BC273" s="352" t="e">
        <f ca="1">(VLOOKUP(A273,TradesEquity!$1:$1048576,32,FALSE))</f>
        <v>#NAME?</v>
      </c>
      <c r="BI273" s="352" t="e">
        <f ca="1">(VLOOKUP(A273,TradesEquity!$1:$1048576,38,FALSE))</f>
        <v>#NAME?</v>
      </c>
      <c r="BJ273" s="352" t="e">
        <f ca="1">(VLOOKUP(A273,TradesEquity!$1:$1048576,39,FALSE))</f>
        <v>#NAME?</v>
      </c>
      <c r="BK273" s="352" t="e">
        <f ca="1">(VLOOKUP(A273,TradesEquity!$1:$1048576,40,FALSE))</f>
        <v>#NAME?</v>
      </c>
    </row>
    <row r="274" spans="1:63">
      <c r="A274" s="909">
        <v>2019200566</v>
      </c>
      <c r="D274" s="342" t="s">
        <v>1957</v>
      </c>
      <c r="F274" s="343">
        <f>VLOOKUP(A274,TradesEquity!$1:$1048576,2,FALSE)</f>
        <v>44589</v>
      </c>
      <c r="H274" s="343">
        <f>VLOOKUP(A274,TradesEquity!$1:$1048576,21,FALSE)</f>
        <v>44596</v>
      </c>
      <c r="I274" s="344" t="str">
        <f>IF(VLOOKUP(A274,TradesEquity!$1:$1048576,3,FALSE)="BUY","B","S")</f>
        <v>B</v>
      </c>
      <c r="J274" s="344" t="e">
        <f ca="1">VLOOKUP(A274,TradesEquity!$1:$1048576,5,FALSE)</f>
        <v>#NAME?</v>
      </c>
      <c r="K274" s="342" t="s">
        <v>19</v>
      </c>
      <c r="L274" s="345" t="s">
        <v>1958</v>
      </c>
      <c r="AE274" s="346" t="e">
        <f ca="1">VLOOKUP(A274,TradesEquity!$1:$1048576,10,FALSE)</f>
        <v>#NAME?</v>
      </c>
      <c r="AF274" s="346" t="e">
        <f t="shared" ca="1" si="12"/>
        <v>#NAME?</v>
      </c>
      <c r="AG274" s="346" t="e">
        <f t="shared" ca="1" si="12"/>
        <v>#NAME?</v>
      </c>
      <c r="AH274" s="346" t="e">
        <f t="shared" ca="1" si="12"/>
        <v>#NAME?</v>
      </c>
      <c r="AI274" s="346">
        <f>ABS(VLOOKUP(A274,TradesEquity!$1:$1048576,13,FALSE))</f>
        <v>4200</v>
      </c>
      <c r="AJ274" s="347">
        <v>0</v>
      </c>
      <c r="AK274" s="347">
        <v>1</v>
      </c>
      <c r="AL274" s="346">
        <f>VLOOKUP(A274,TradesEquity!$1:$1048576,11,FALSE)</f>
        <v>28133.476200000001</v>
      </c>
      <c r="AM274" s="347">
        <v>1</v>
      </c>
      <c r="AN274" s="346">
        <f>ABS(VLOOKUP(A274,TradesEquity!$1:$1048576,14,FALSE))</f>
        <v>118160600.04000001</v>
      </c>
      <c r="AO274" s="346">
        <f>ABS(VLOOKUP(A274,TradesEquity!$1:$1048576,15,FALSE))</f>
        <v>177241</v>
      </c>
      <c r="AP274" s="348">
        <f>ABS(VLOOKUP(A274,TradesEquity!$1:$1048576,16,FALSE))</f>
        <v>0</v>
      </c>
      <c r="AQ274" s="286">
        <v>0</v>
      </c>
      <c r="AR274" s="286">
        <v>0</v>
      </c>
      <c r="AS274" s="286">
        <v>0</v>
      </c>
      <c r="AT274" s="286">
        <v>0</v>
      </c>
      <c r="AU274" s="286">
        <v>0</v>
      </c>
      <c r="AV274" s="348">
        <f>ABS(VLOOKUP(A274,TradesEquity!$1:$1048576,18,FALSE))</f>
        <v>118337841.04000001</v>
      </c>
      <c r="AW274" s="349">
        <v>0</v>
      </c>
      <c r="AX274" s="350">
        <v>4542</v>
      </c>
      <c r="AY274" s="351" t="s">
        <v>1959</v>
      </c>
      <c r="AZ274" s="352" t="e">
        <f ca="1">(VLOOKUP(A274,TradesEquity!$1:$1048576,29,FALSE))</f>
        <v>#NAME?</v>
      </c>
      <c r="BA274" s="352" t="e">
        <f ca="1">(VLOOKUP(A274,TradesEquity!$1:$1048576,30,FALSE))</f>
        <v>#NAME?</v>
      </c>
      <c r="BB274" s="352" t="e">
        <f ca="1">(VLOOKUP(A274,TradesEquity!$1:$1048576,31,FALSE))</f>
        <v>#NAME?</v>
      </c>
      <c r="BC274" s="352" t="e">
        <f ca="1">(VLOOKUP(A274,TradesEquity!$1:$1048576,32,FALSE))</f>
        <v>#NAME?</v>
      </c>
      <c r="BI274" s="352" t="e">
        <f ca="1">(VLOOKUP(A274,TradesEquity!$1:$1048576,38,FALSE))</f>
        <v>#NAME?</v>
      </c>
      <c r="BJ274" s="352" t="e">
        <f ca="1">(VLOOKUP(A274,TradesEquity!$1:$1048576,39,FALSE))</f>
        <v>#NAME?</v>
      </c>
      <c r="BK274" s="352" t="e">
        <f ca="1">(VLOOKUP(A274,TradesEquity!$1:$1048576,40,FALSE))</f>
        <v>#NAME?</v>
      </c>
    </row>
    <row r="275" spans="1:63">
      <c r="A275" s="909">
        <v>2019200567</v>
      </c>
      <c r="D275" s="342" t="s">
        <v>1957</v>
      </c>
      <c r="F275" s="343">
        <f>VLOOKUP(A275,TradesEquity!$1:$1048576,2,FALSE)</f>
        <v>44589</v>
      </c>
      <c r="H275" s="343">
        <f>VLOOKUP(A275,TradesEquity!$1:$1048576,21,FALSE)</f>
        <v>44593</v>
      </c>
      <c r="I275" s="344" t="str">
        <f>IF(VLOOKUP(A275,TradesEquity!$1:$1048576,3,FALSE)="BUY","B","S")</f>
        <v>S</v>
      </c>
      <c r="J275" s="344" t="e">
        <f ca="1">VLOOKUP(A275,TradesEquity!$1:$1048576,5,FALSE)</f>
        <v>#NAME?</v>
      </c>
      <c r="K275" s="342" t="s">
        <v>19</v>
      </c>
      <c r="L275" s="345" t="s">
        <v>1958</v>
      </c>
      <c r="AE275" s="346" t="e">
        <f ca="1">VLOOKUP(A275,TradesEquity!$1:$1048576,10,FALSE)</f>
        <v>#NAME?</v>
      </c>
      <c r="AF275" s="346" t="e">
        <f t="shared" ca="1" si="12"/>
        <v>#NAME?</v>
      </c>
      <c r="AG275" s="346" t="e">
        <f t="shared" ca="1" si="12"/>
        <v>#NAME?</v>
      </c>
      <c r="AH275" s="346" t="e">
        <f t="shared" ca="1" si="12"/>
        <v>#NAME?</v>
      </c>
      <c r="AI275" s="346">
        <f>ABS(VLOOKUP(A275,TradesEquity!$1:$1048576,13,FALSE))</f>
        <v>6700</v>
      </c>
      <c r="AJ275" s="347">
        <v>0</v>
      </c>
      <c r="AK275" s="347">
        <v>1</v>
      </c>
      <c r="AL275" s="346">
        <f>VLOOKUP(A275,TradesEquity!$1:$1048576,11,FALSE)</f>
        <v>3547.8731339999999</v>
      </c>
      <c r="AM275" s="347">
        <v>1</v>
      </c>
      <c r="AN275" s="346">
        <f>ABS(VLOOKUP(A275,TradesEquity!$1:$1048576,14,FALSE))</f>
        <v>23770749.9978</v>
      </c>
      <c r="AO275" s="346">
        <f>ABS(VLOOKUP(A275,TradesEquity!$1:$1048576,15,FALSE))</f>
        <v>14262</v>
      </c>
      <c r="AP275" s="348">
        <f>ABS(VLOOKUP(A275,TradesEquity!$1:$1048576,16,FALSE))</f>
        <v>0</v>
      </c>
      <c r="AQ275" s="286">
        <v>0</v>
      </c>
      <c r="AR275" s="286">
        <v>0</v>
      </c>
      <c r="AS275" s="286">
        <v>0</v>
      </c>
      <c r="AT275" s="286">
        <v>0</v>
      </c>
      <c r="AU275" s="286">
        <v>0</v>
      </c>
      <c r="AV275" s="348">
        <f>ABS(VLOOKUP(A275,TradesEquity!$1:$1048576,18,FALSE))</f>
        <v>23756487.9978</v>
      </c>
      <c r="AW275" s="349">
        <v>0</v>
      </c>
      <c r="AX275" s="350">
        <v>4542</v>
      </c>
      <c r="AY275" s="351" t="s">
        <v>1959</v>
      </c>
      <c r="AZ275" s="352" t="e">
        <f ca="1">(VLOOKUP(A275,TradesEquity!$1:$1048576,29,FALSE))</f>
        <v>#NAME?</v>
      </c>
      <c r="BA275" s="352" t="e">
        <f ca="1">(VLOOKUP(A275,TradesEquity!$1:$1048576,30,FALSE))</f>
        <v>#NAME?</v>
      </c>
      <c r="BB275" s="352" t="e">
        <f ca="1">(VLOOKUP(A275,TradesEquity!$1:$1048576,31,FALSE))</f>
        <v>#NAME?</v>
      </c>
      <c r="BC275" s="352" t="e">
        <f ca="1">(VLOOKUP(A275,TradesEquity!$1:$1048576,32,FALSE))</f>
        <v>#NAME?</v>
      </c>
      <c r="BI275" s="352" t="e">
        <f ca="1">(VLOOKUP(A275,TradesEquity!$1:$1048576,38,FALSE))</f>
        <v>#NAME?</v>
      </c>
      <c r="BJ275" s="352" t="e">
        <f ca="1">(VLOOKUP(A275,TradesEquity!$1:$1048576,39,FALSE))</f>
        <v>#NAME?</v>
      </c>
      <c r="BK275" s="352" t="e">
        <f ca="1">(VLOOKUP(A275,TradesEquity!$1:$1048576,40,FALSE))</f>
        <v>#NAME?</v>
      </c>
    </row>
    <row r="276" spans="1:63">
      <c r="A276" s="909">
        <v>2019200568</v>
      </c>
      <c r="D276" s="342" t="s">
        <v>1957</v>
      </c>
      <c r="F276" s="343">
        <f>VLOOKUP(A276,TradesEquity!$1:$1048576,2,FALSE)</f>
        <v>44589</v>
      </c>
      <c r="H276" s="343">
        <f>VLOOKUP(A276,TradesEquity!$1:$1048576,21,FALSE)</f>
        <v>44593</v>
      </c>
      <c r="I276" s="344" t="str">
        <f>IF(VLOOKUP(A276,TradesEquity!$1:$1048576,3,FALSE)="BUY","B","S")</f>
        <v>S</v>
      </c>
      <c r="J276" s="344" t="e">
        <f ca="1">VLOOKUP(A276,TradesEquity!$1:$1048576,5,FALSE)</f>
        <v>#NAME?</v>
      </c>
      <c r="K276" s="342" t="s">
        <v>19</v>
      </c>
      <c r="L276" s="345" t="s">
        <v>1958</v>
      </c>
      <c r="AE276" s="346" t="e">
        <f ca="1">VLOOKUP(A276,TradesEquity!$1:$1048576,10,FALSE)</f>
        <v>#NAME?</v>
      </c>
      <c r="AF276" s="346" t="e">
        <f t="shared" ca="1" si="12"/>
        <v>#NAME?</v>
      </c>
      <c r="AG276" s="346" t="e">
        <f t="shared" ca="1" si="12"/>
        <v>#NAME?</v>
      </c>
      <c r="AH276" s="346" t="e">
        <f t="shared" ca="1" si="12"/>
        <v>#NAME?</v>
      </c>
      <c r="AI276" s="346">
        <f>ABS(VLOOKUP(A276,TradesEquity!$1:$1048576,13,FALSE))</f>
        <v>110000</v>
      </c>
      <c r="AJ276" s="347">
        <v>0</v>
      </c>
      <c r="AK276" s="347">
        <v>1</v>
      </c>
      <c r="AL276" s="346">
        <f>VLOOKUP(A276,TradesEquity!$1:$1048576,11,FALSE)</f>
        <v>3.4416289999999998</v>
      </c>
      <c r="AM276" s="347">
        <v>1</v>
      </c>
      <c r="AN276" s="346">
        <f>ABS(VLOOKUP(A276,TradesEquity!$1:$1048576,14,FALSE))</f>
        <v>378579.19</v>
      </c>
      <c r="AO276" s="346">
        <f>ABS(VLOOKUP(A276,TradesEquity!$1:$1048576,15,FALSE))</f>
        <v>227.15</v>
      </c>
      <c r="AP276" s="348">
        <f>ABS(VLOOKUP(A276,TradesEquity!$1:$1048576,16,FALSE))</f>
        <v>0</v>
      </c>
      <c r="AQ276" s="286">
        <v>0</v>
      </c>
      <c r="AR276" s="286">
        <v>0</v>
      </c>
      <c r="AS276" s="286">
        <v>0</v>
      </c>
      <c r="AT276" s="286">
        <v>0</v>
      </c>
      <c r="AU276" s="286">
        <v>0</v>
      </c>
      <c r="AV276" s="348">
        <f>ABS(VLOOKUP(A276,TradesEquity!$1:$1048576,18,FALSE))</f>
        <v>378352.04</v>
      </c>
      <c r="AW276" s="349">
        <v>0</v>
      </c>
      <c r="AX276" s="350">
        <v>4542</v>
      </c>
      <c r="AY276" s="351" t="s">
        <v>1959</v>
      </c>
      <c r="AZ276" s="352" t="e">
        <f ca="1">(VLOOKUP(A276,TradesEquity!$1:$1048576,29,FALSE))</f>
        <v>#NAME?</v>
      </c>
      <c r="BA276" s="352" t="e">
        <f ca="1">(VLOOKUP(A276,TradesEquity!$1:$1048576,30,FALSE))</f>
        <v>#NAME?</v>
      </c>
      <c r="BB276" s="352" t="e">
        <f ca="1">(VLOOKUP(A276,TradesEquity!$1:$1048576,31,FALSE))</f>
        <v>#NAME?</v>
      </c>
      <c r="BC276" s="352" t="e">
        <f ca="1">(VLOOKUP(A276,TradesEquity!$1:$1048576,32,FALSE))</f>
        <v>#NAME?</v>
      </c>
      <c r="BI276" s="352" t="e">
        <f ca="1">(VLOOKUP(A276,TradesEquity!$1:$1048576,38,FALSE))</f>
        <v>#NAME?</v>
      </c>
      <c r="BJ276" s="352" t="e">
        <f ca="1">(VLOOKUP(A276,TradesEquity!$1:$1048576,39,FALSE))</f>
        <v>#NAME?</v>
      </c>
      <c r="BK276" s="352" t="e">
        <f ca="1">(VLOOKUP(A276,TradesEquity!$1:$1048576,40,FALSE))</f>
        <v>#NAME?</v>
      </c>
    </row>
    <row r="277" spans="1:63">
      <c r="A277" s="909">
        <v>2019200569</v>
      </c>
      <c r="D277" s="342" t="s">
        <v>1957</v>
      </c>
      <c r="F277" s="343">
        <f>VLOOKUP(A277,TradesEquity!$1:$1048576,2,FALSE)</f>
        <v>44589</v>
      </c>
      <c r="H277" s="343">
        <f>VLOOKUP(A277,TradesEquity!$1:$1048576,21,FALSE)</f>
        <v>44593</v>
      </c>
      <c r="I277" s="344" t="str">
        <f>IF(VLOOKUP(A277,TradesEquity!$1:$1048576,3,FALSE)="BUY","B","S")</f>
        <v>B</v>
      </c>
      <c r="J277" s="344" t="e">
        <f ca="1">VLOOKUP(A277,TradesEquity!$1:$1048576,5,FALSE)</f>
        <v>#NAME?</v>
      </c>
      <c r="K277" s="342" t="s">
        <v>19</v>
      </c>
      <c r="L277" s="345" t="s">
        <v>1958</v>
      </c>
      <c r="AE277" s="346" t="e">
        <f ca="1">VLOOKUP(A277,TradesEquity!$1:$1048576,10,FALSE)</f>
        <v>#NAME?</v>
      </c>
      <c r="AF277" s="346" t="e">
        <f t="shared" ca="1" si="12"/>
        <v>#NAME?</v>
      </c>
      <c r="AG277" s="346" t="e">
        <f t="shared" ca="1" si="12"/>
        <v>#NAME?</v>
      </c>
      <c r="AH277" s="346" t="e">
        <f t="shared" ca="1" si="12"/>
        <v>#NAME?</v>
      </c>
      <c r="AI277" s="346">
        <f>ABS(VLOOKUP(A277,TradesEquity!$1:$1048576,13,FALSE))</f>
        <v>4300</v>
      </c>
      <c r="AJ277" s="347">
        <v>0</v>
      </c>
      <c r="AK277" s="347">
        <v>1</v>
      </c>
      <c r="AL277" s="346">
        <f>VLOOKUP(A277,TradesEquity!$1:$1048576,11,FALSE)</f>
        <v>3835</v>
      </c>
      <c r="AM277" s="347">
        <v>1</v>
      </c>
      <c r="AN277" s="346">
        <f>ABS(VLOOKUP(A277,TradesEquity!$1:$1048576,14,FALSE))</f>
        <v>16490500</v>
      </c>
      <c r="AO277" s="346">
        <f>ABS(VLOOKUP(A277,TradesEquity!$1:$1048576,15,FALSE))</f>
        <v>9894</v>
      </c>
      <c r="AP277" s="348">
        <f>ABS(VLOOKUP(A277,TradesEquity!$1:$1048576,16,FALSE))</f>
        <v>0</v>
      </c>
      <c r="AQ277" s="286">
        <v>0</v>
      </c>
      <c r="AR277" s="286">
        <v>0</v>
      </c>
      <c r="AS277" s="286">
        <v>0</v>
      </c>
      <c r="AT277" s="286">
        <v>0</v>
      </c>
      <c r="AU277" s="286">
        <v>0</v>
      </c>
      <c r="AV277" s="348">
        <f>ABS(VLOOKUP(A277,TradesEquity!$1:$1048576,18,FALSE))</f>
        <v>16500394</v>
      </c>
      <c r="AW277" s="349">
        <v>0</v>
      </c>
      <c r="AX277" s="350">
        <v>4542</v>
      </c>
      <c r="AY277" s="351" t="s">
        <v>1959</v>
      </c>
      <c r="AZ277" s="352" t="e">
        <f ca="1">(VLOOKUP(A277,TradesEquity!$1:$1048576,29,FALSE))</f>
        <v>#NAME?</v>
      </c>
      <c r="BA277" s="352" t="e">
        <f ca="1">(VLOOKUP(A277,TradesEquity!$1:$1048576,30,FALSE))</f>
        <v>#NAME?</v>
      </c>
      <c r="BB277" s="352" t="e">
        <f ca="1">(VLOOKUP(A277,TradesEquity!$1:$1048576,31,FALSE))</f>
        <v>#NAME?</v>
      </c>
      <c r="BC277" s="352" t="e">
        <f ca="1">(VLOOKUP(A277,TradesEquity!$1:$1048576,32,FALSE))</f>
        <v>#NAME?</v>
      </c>
      <c r="BI277" s="352" t="e">
        <f ca="1">(VLOOKUP(A277,TradesEquity!$1:$1048576,38,FALSE))</f>
        <v>#NAME?</v>
      </c>
      <c r="BJ277" s="352" t="e">
        <f ca="1">(VLOOKUP(A277,TradesEquity!$1:$1048576,39,FALSE))</f>
        <v>#NAME?</v>
      </c>
      <c r="BK277" s="352" t="e">
        <f ca="1">(VLOOKUP(A277,TradesEquity!$1:$1048576,40,FALSE))</f>
        <v>#NAME?</v>
      </c>
    </row>
    <row r="278" spans="1:63">
      <c r="A278" s="909">
        <v>2019200570</v>
      </c>
      <c r="D278" s="342" t="s">
        <v>1957</v>
      </c>
      <c r="F278" s="343">
        <f>VLOOKUP(A278,TradesEquity!$1:$1048576,2,FALSE)</f>
        <v>44589</v>
      </c>
      <c r="H278" s="343">
        <f>VLOOKUP(A278,TradesEquity!$1:$1048576,21,FALSE)</f>
        <v>44593</v>
      </c>
      <c r="I278" s="344" t="str">
        <f>IF(VLOOKUP(A278,TradesEquity!$1:$1048576,3,FALSE)="BUY","B","S")</f>
        <v>B</v>
      </c>
      <c r="J278" s="344" t="e">
        <f ca="1">VLOOKUP(A278,TradesEquity!$1:$1048576,5,FALSE)</f>
        <v>#NAME?</v>
      </c>
      <c r="K278" s="342" t="s">
        <v>19</v>
      </c>
      <c r="L278" s="345" t="s">
        <v>1958</v>
      </c>
      <c r="AE278" s="346" t="e">
        <f ca="1">VLOOKUP(A278,TradesEquity!$1:$1048576,10,FALSE)</f>
        <v>#NAME?</v>
      </c>
      <c r="AF278" s="346" t="e">
        <f t="shared" ca="1" si="12"/>
        <v>#NAME?</v>
      </c>
      <c r="AG278" s="346" t="e">
        <f t="shared" ca="1" si="12"/>
        <v>#NAME?</v>
      </c>
      <c r="AH278" s="346" t="e">
        <f t="shared" ca="1" si="12"/>
        <v>#NAME?</v>
      </c>
      <c r="AI278" s="346">
        <f>ABS(VLOOKUP(A278,TradesEquity!$1:$1048576,13,FALSE))</f>
        <v>5000</v>
      </c>
      <c r="AJ278" s="347">
        <v>0</v>
      </c>
      <c r="AK278" s="347">
        <v>1</v>
      </c>
      <c r="AL278" s="346">
        <f>VLOOKUP(A278,TradesEquity!$1:$1048576,11,FALSE)</f>
        <v>2562.6</v>
      </c>
      <c r="AM278" s="347">
        <v>1</v>
      </c>
      <c r="AN278" s="346">
        <f>ABS(VLOOKUP(A278,TradesEquity!$1:$1048576,14,FALSE))</f>
        <v>12813000</v>
      </c>
      <c r="AO278" s="346">
        <f>ABS(VLOOKUP(A278,TradesEquity!$1:$1048576,15,FALSE))</f>
        <v>7688</v>
      </c>
      <c r="AP278" s="348">
        <f>ABS(VLOOKUP(A278,TradesEquity!$1:$1048576,16,FALSE))</f>
        <v>0</v>
      </c>
      <c r="AQ278" s="286">
        <v>0</v>
      </c>
      <c r="AR278" s="286">
        <v>0</v>
      </c>
      <c r="AS278" s="286">
        <v>0</v>
      </c>
      <c r="AT278" s="286">
        <v>0</v>
      </c>
      <c r="AU278" s="286">
        <v>0</v>
      </c>
      <c r="AV278" s="348">
        <f>ABS(VLOOKUP(A278,TradesEquity!$1:$1048576,18,FALSE))</f>
        <v>12820688</v>
      </c>
      <c r="AW278" s="349">
        <v>0</v>
      </c>
      <c r="AX278" s="350">
        <v>4542</v>
      </c>
      <c r="AY278" s="351" t="s">
        <v>1959</v>
      </c>
      <c r="AZ278" s="352" t="e">
        <f ca="1">(VLOOKUP(A278,TradesEquity!$1:$1048576,29,FALSE))</f>
        <v>#NAME?</v>
      </c>
      <c r="BA278" s="352" t="e">
        <f ca="1">(VLOOKUP(A278,TradesEquity!$1:$1048576,30,FALSE))</f>
        <v>#NAME?</v>
      </c>
      <c r="BB278" s="352" t="e">
        <f ca="1">(VLOOKUP(A278,TradesEquity!$1:$1048576,31,FALSE))</f>
        <v>#NAME?</v>
      </c>
      <c r="BC278" s="352" t="e">
        <f ca="1">(VLOOKUP(A278,TradesEquity!$1:$1048576,32,FALSE))</f>
        <v>#NAME?</v>
      </c>
      <c r="BI278" s="352" t="e">
        <f ca="1">(VLOOKUP(A278,TradesEquity!$1:$1048576,38,FALSE))</f>
        <v>#NAME?</v>
      </c>
      <c r="BJ278" s="352" t="e">
        <f ca="1">(VLOOKUP(A278,TradesEquity!$1:$1048576,39,FALSE))</f>
        <v>#NAME?</v>
      </c>
      <c r="BK278" s="352" t="e">
        <f ca="1">(VLOOKUP(A278,TradesEquity!$1:$1048576,40,FALSE))</f>
        <v>#NAME?</v>
      </c>
    </row>
    <row r="279" spans="1:63">
      <c r="A279" s="909">
        <v>2019200571</v>
      </c>
      <c r="D279" s="342" t="s">
        <v>1957</v>
      </c>
      <c r="F279" s="343">
        <f>VLOOKUP(A279,TradesEquity!$1:$1048576,2,FALSE)</f>
        <v>44588</v>
      </c>
      <c r="H279" s="343">
        <f>VLOOKUP(A279,TradesEquity!$1:$1048576,21,FALSE)</f>
        <v>44592</v>
      </c>
      <c r="I279" s="344" t="str">
        <f>IF(VLOOKUP(A279,TradesEquity!$1:$1048576,3,FALSE)="BUY","B","S")</f>
        <v>S</v>
      </c>
      <c r="J279" s="344" t="e">
        <f ca="1">VLOOKUP(A279,TradesEquity!$1:$1048576,5,FALSE)</f>
        <v>#NAME?</v>
      </c>
      <c r="K279" s="342" t="s">
        <v>19</v>
      </c>
      <c r="L279" s="345" t="s">
        <v>1958</v>
      </c>
      <c r="AE279" s="346" t="e">
        <f ca="1">VLOOKUP(A279,TradesEquity!$1:$1048576,10,FALSE)</f>
        <v>#NAME?</v>
      </c>
      <c r="AF279" s="346" t="e">
        <f t="shared" ca="1" si="12"/>
        <v>#NAME?</v>
      </c>
      <c r="AG279" s="346" t="e">
        <f t="shared" ca="1" si="12"/>
        <v>#NAME?</v>
      </c>
      <c r="AH279" s="346" t="e">
        <f t="shared" ca="1" si="12"/>
        <v>#NAME?</v>
      </c>
      <c r="AI279" s="346">
        <f>ABS(VLOOKUP(A279,TradesEquity!$1:$1048576,13,FALSE))</f>
        <v>6900</v>
      </c>
      <c r="AJ279" s="347">
        <v>0</v>
      </c>
      <c r="AK279" s="347">
        <v>1</v>
      </c>
      <c r="AL279" s="346">
        <f>VLOOKUP(A279,TradesEquity!$1:$1048576,11,FALSE)</f>
        <v>36.64</v>
      </c>
      <c r="AM279" s="347">
        <v>1</v>
      </c>
      <c r="AN279" s="346">
        <f>ABS(VLOOKUP(A279,TradesEquity!$1:$1048576,14,FALSE))</f>
        <v>252816</v>
      </c>
      <c r="AO279" s="346">
        <f>ABS(VLOOKUP(A279,TradesEquity!$1:$1048576,15,FALSE))</f>
        <v>151.69</v>
      </c>
      <c r="AP279" s="348">
        <f>ABS(VLOOKUP(A279,TradesEquity!$1:$1048576,16,FALSE))</f>
        <v>0</v>
      </c>
      <c r="AQ279" s="286">
        <v>0</v>
      </c>
      <c r="AR279" s="286">
        <v>0</v>
      </c>
      <c r="AS279" s="286">
        <v>0</v>
      </c>
      <c r="AT279" s="286">
        <v>0</v>
      </c>
      <c r="AU279" s="286">
        <v>0</v>
      </c>
      <c r="AV279" s="348">
        <f>ABS(VLOOKUP(A279,TradesEquity!$1:$1048576,18,FALSE))</f>
        <v>252664.31</v>
      </c>
      <c r="AW279" s="349">
        <v>0</v>
      </c>
      <c r="AX279" s="350">
        <v>4542</v>
      </c>
      <c r="AY279" s="351" t="s">
        <v>1959</v>
      </c>
      <c r="AZ279" s="352" t="str">
        <f>(VLOOKUP(A279,TradesEquity!$1:$1048576,29,FALSE))</f>
        <v>EMSIITM1XXX</v>
      </c>
      <c r="BA279" s="352" t="str">
        <f>(VLOOKUP(A279,TradesEquity!$1:$1048576,30,FALSE))</f>
        <v>SICVFRPPXXX</v>
      </c>
      <c r="BB279" s="352" t="str">
        <f>(VLOOKUP(A279,TradesEquity!$1:$1048576,31,FALSE))</f>
        <v>SICVBCITITMMD00000L10</v>
      </c>
      <c r="BC279" s="352" t="str">
        <f>(VLOOKUP(A279,TradesEquity!$1:$1048576,32,FALSE))</f>
        <v>N</v>
      </c>
      <c r="BI279" s="352" t="str">
        <f>(VLOOKUP(A279,TradesEquity!$1:$1048576,38,FALSE))</f>
        <v xml:space="preserve">        </v>
      </c>
      <c r="BJ279" s="352" t="str">
        <f>(VLOOKUP(A279,TradesEquity!$1:$1048576,39,FALSE))</f>
        <v xml:space="preserve">        </v>
      </c>
      <c r="BK279" s="352" t="str">
        <f>(VLOOKUP(A279,TradesEquity!$1:$1048576,40,FALSE))</f>
        <v>BCITITMMD00</v>
      </c>
    </row>
    <row r="280" spans="1:63">
      <c r="A280" s="915">
        <v>2019200572</v>
      </c>
      <c r="D280" s="342" t="s">
        <v>1957</v>
      </c>
      <c r="F280" s="343">
        <f>VLOOKUP(A280,TradesEquity!$1:$1048576,2,FALSE)</f>
        <v>44594</v>
      </c>
      <c r="H280" s="343">
        <f>VLOOKUP(A280,TradesEquity!$1:$1048576,21,FALSE)</f>
        <v>44596</v>
      </c>
      <c r="I280" s="344" t="str">
        <f>IF(VLOOKUP(A280,TradesEquity!$1:$1048576,3,FALSE)="BUY","B","S")</f>
        <v>S</v>
      </c>
      <c r="J280" s="344" t="e">
        <f ca="1">VLOOKUP(A280,TradesEquity!$1:$1048576,5,FALSE)</f>
        <v>#NAME?</v>
      </c>
      <c r="K280" s="342" t="s">
        <v>19</v>
      </c>
      <c r="L280" s="345" t="s">
        <v>1958</v>
      </c>
      <c r="AE280" s="346" t="e">
        <f ca="1">VLOOKUP(A280,TradesEquity!$1:$1048576,10,FALSE)</f>
        <v>#NAME?</v>
      </c>
      <c r="AF280" s="346" t="e">
        <f t="shared" ca="1" si="12"/>
        <v>#NAME?</v>
      </c>
      <c r="AG280" s="346" t="e">
        <f t="shared" ca="1" si="12"/>
        <v>#NAME?</v>
      </c>
      <c r="AH280" s="346" t="e">
        <f t="shared" ca="1" si="12"/>
        <v>#NAME?</v>
      </c>
      <c r="AI280" s="346">
        <f>ABS(VLOOKUP(A280,TradesEquity!$1:$1048576,13,FALSE))</f>
        <v>500</v>
      </c>
      <c r="AJ280" s="347">
        <v>0</v>
      </c>
      <c r="AK280" s="347">
        <v>1</v>
      </c>
      <c r="AL280" s="346">
        <f>VLOOKUP(A280,TradesEquity!$1:$1048576,11,FALSE)</f>
        <v>11.3</v>
      </c>
      <c r="AM280" s="347">
        <v>1</v>
      </c>
      <c r="AN280" s="346">
        <f>ABS(VLOOKUP(A280,TradesEquity!$1:$1048576,14,FALSE))</f>
        <v>5650</v>
      </c>
      <c r="AO280" s="346">
        <f>ABS(VLOOKUP(A280,TradesEquity!$1:$1048576,15,FALSE))</f>
        <v>2.86</v>
      </c>
      <c r="AP280" s="348">
        <f>ABS(VLOOKUP(A280,TradesEquity!$1:$1048576,16,FALSE))</f>
        <v>0</v>
      </c>
      <c r="AQ280" s="286">
        <v>0</v>
      </c>
      <c r="AR280" s="286">
        <v>0</v>
      </c>
      <c r="AS280" s="286">
        <v>0</v>
      </c>
      <c r="AT280" s="286">
        <v>0</v>
      </c>
      <c r="AU280" s="286">
        <v>0</v>
      </c>
      <c r="AV280" s="348">
        <f>ABS(VLOOKUP(A280,TradesEquity!$1:$1048576,18,FALSE))</f>
        <v>5647.14</v>
      </c>
      <c r="AW280" s="349">
        <v>0</v>
      </c>
      <c r="AX280" s="350">
        <v>4542</v>
      </c>
      <c r="AY280" s="351" t="s">
        <v>1959</v>
      </c>
      <c r="AZ280" s="352" t="e">
        <f ca="1">(VLOOKUP(A280,TradesEquity!$1:$1048576,29,FALSE))</f>
        <v>#NAME?</v>
      </c>
      <c r="BA280" s="352" t="e">
        <f ca="1">(VLOOKUP(A280,TradesEquity!$1:$1048576,30,FALSE))</f>
        <v>#NAME?</v>
      </c>
      <c r="BB280" s="352" t="e">
        <f ca="1">(VLOOKUP(A280,TradesEquity!$1:$1048576,31,FALSE))</f>
        <v>#NAME?</v>
      </c>
      <c r="BC280" s="352" t="e">
        <f ca="1">(VLOOKUP(A280,TradesEquity!$1:$1048576,32,FALSE))</f>
        <v>#NAME?</v>
      </c>
      <c r="BI280" s="352" t="e">
        <f ca="1">(VLOOKUP(A280,TradesEquity!$1:$1048576,38,FALSE))</f>
        <v>#NAME?</v>
      </c>
      <c r="BJ280" s="352" t="e">
        <f ca="1">(VLOOKUP(A280,TradesEquity!$1:$1048576,39,FALSE))</f>
        <v>#NAME?</v>
      </c>
      <c r="BK280" s="352" t="e">
        <f ca="1">(VLOOKUP(A280,TradesEquity!$1:$1048576,40,FALSE))</f>
        <v>#NAME?</v>
      </c>
    </row>
    <row r="281" spans="1:63">
      <c r="A281" s="911">
        <f t="shared" ref="A281:A289" si="15">(A280+1)</f>
        <v>2019200573</v>
      </c>
      <c r="D281" s="342" t="s">
        <v>1957</v>
      </c>
      <c r="F281" s="343">
        <f>VLOOKUP(A281,TradesEquity!$1:$1048576,2,FALSE)</f>
        <v>44594</v>
      </c>
      <c r="H281" s="343">
        <f>VLOOKUP(A281,TradesEquity!$1:$1048576,21,FALSE)</f>
        <v>44596</v>
      </c>
      <c r="I281" s="344" t="str">
        <f>IF(VLOOKUP(A281,TradesEquity!$1:$1048576,3,FALSE)="BUY","B","S")</f>
        <v>B</v>
      </c>
      <c r="J281" s="344" t="e">
        <f ca="1">VLOOKUP(A281,TradesEquity!$1:$1048576,5,FALSE)</f>
        <v>#NAME?</v>
      </c>
      <c r="K281" s="342" t="s">
        <v>19</v>
      </c>
      <c r="L281" s="345" t="s">
        <v>1958</v>
      </c>
      <c r="AE281" s="346" t="e">
        <f ca="1">VLOOKUP(A281,TradesEquity!$1:$1048576,10,FALSE)</f>
        <v>#NAME?</v>
      </c>
      <c r="AF281" s="346" t="e">
        <f t="shared" ca="1" si="12"/>
        <v>#NAME?</v>
      </c>
      <c r="AG281" s="346" t="e">
        <f t="shared" ca="1" si="12"/>
        <v>#NAME?</v>
      </c>
      <c r="AH281" s="346" t="e">
        <f t="shared" ca="1" si="12"/>
        <v>#NAME?</v>
      </c>
      <c r="AI281" s="346">
        <f>ABS(VLOOKUP(A281,TradesEquity!$1:$1048576,13,FALSE))</f>
        <v>9830</v>
      </c>
      <c r="AJ281" s="347">
        <v>0</v>
      </c>
      <c r="AK281" s="347">
        <v>1</v>
      </c>
      <c r="AL281" s="346">
        <f>VLOOKUP(A281,TradesEquity!$1:$1048576,11,FALSE)</f>
        <v>28.422000000000001</v>
      </c>
      <c r="AM281" s="347">
        <v>1</v>
      </c>
      <c r="AN281" s="346">
        <f>ABS(VLOOKUP(A281,TradesEquity!$1:$1048576,14,FALSE))</f>
        <v>279388.26</v>
      </c>
      <c r="AO281" s="346">
        <f>ABS(VLOOKUP(A281,TradesEquity!$1:$1048576,15,FALSE))</f>
        <v>167.63</v>
      </c>
      <c r="AP281" s="348">
        <f>ABS(VLOOKUP(A281,TradesEquity!$1:$1048576,16,FALSE))</f>
        <v>0</v>
      </c>
      <c r="AQ281" s="286">
        <v>0</v>
      </c>
      <c r="AR281" s="286">
        <v>0</v>
      </c>
      <c r="AS281" s="286">
        <v>0</v>
      </c>
      <c r="AT281" s="286">
        <v>0</v>
      </c>
      <c r="AU281" s="286">
        <v>0</v>
      </c>
      <c r="AV281" s="348">
        <f>ABS(VLOOKUP(A281,TradesEquity!$1:$1048576,18,FALSE))</f>
        <v>279555.89</v>
      </c>
      <c r="AW281" s="349">
        <v>0</v>
      </c>
      <c r="AX281" s="350">
        <v>4542</v>
      </c>
      <c r="AY281" s="351" t="s">
        <v>1959</v>
      </c>
      <c r="AZ281" s="352" t="e">
        <f>(VLOOKUP(A281,TradesEquity!$1:$1048576,29,FALSE))</f>
        <v>#N/A</v>
      </c>
      <c r="BA281" s="352" t="e">
        <f>(VLOOKUP(A281,TradesEquity!$1:$1048576,30,FALSE))</f>
        <v>#N/A</v>
      </c>
      <c r="BB281" s="352" t="e">
        <f>(VLOOKUP(A281,TradesEquity!$1:$1048576,31,FALSE))</f>
        <v>#N/A</v>
      </c>
      <c r="BC281" s="352" t="e">
        <f>(VLOOKUP(A281,TradesEquity!$1:$1048576,32,FALSE))</f>
        <v>#N/A</v>
      </c>
      <c r="BI281" s="352" t="e">
        <f>(VLOOKUP(A281,TradesEquity!$1:$1048576,38,FALSE))</f>
        <v>#N/A</v>
      </c>
      <c r="BJ281" s="352" t="e">
        <f>(VLOOKUP(A281,TradesEquity!$1:$1048576,39,FALSE))</f>
        <v>#N/A</v>
      </c>
      <c r="BK281" s="352" t="e">
        <f>(VLOOKUP(A281,TradesEquity!$1:$1048576,40,FALSE))</f>
        <v>#N/A</v>
      </c>
    </row>
    <row r="282" spans="1:63">
      <c r="A282" s="911">
        <f t="shared" si="15"/>
        <v>2019200574</v>
      </c>
      <c r="D282" s="342" t="s">
        <v>1957</v>
      </c>
      <c r="F282" s="343">
        <f>VLOOKUP(A282,TradesEquity!$1:$1048576,2,FALSE)</f>
        <v>44595</v>
      </c>
      <c r="H282" s="343">
        <f>VLOOKUP(A282,TradesEquity!$1:$1048576,21,FALSE)</f>
        <v>44599</v>
      </c>
      <c r="I282" s="344" t="str">
        <f>IF(VLOOKUP(A282,TradesEquity!$1:$1048576,3,FALSE)="BUY","B","S")</f>
        <v>S</v>
      </c>
      <c r="J282" s="344" t="e">
        <f ca="1">VLOOKUP(A282,TradesEquity!$1:$1048576,5,FALSE)</f>
        <v>#NAME?</v>
      </c>
      <c r="K282" s="342" t="s">
        <v>19</v>
      </c>
      <c r="L282" s="345" t="s">
        <v>1958</v>
      </c>
      <c r="AE282" s="346" t="e">
        <f ca="1">VLOOKUP(A282,TradesEquity!$1:$1048576,10,FALSE)</f>
        <v>#NAME?</v>
      </c>
      <c r="AF282" s="346" t="e">
        <f t="shared" ca="1" si="12"/>
        <v>#NAME?</v>
      </c>
      <c r="AG282" s="346" t="e">
        <f t="shared" ca="1" si="12"/>
        <v>#NAME?</v>
      </c>
      <c r="AH282" s="346" t="e">
        <f t="shared" ca="1" si="12"/>
        <v>#NAME?</v>
      </c>
      <c r="AI282" s="346">
        <f>ABS(VLOOKUP(A282,TradesEquity!$1:$1048576,13,FALSE))</f>
        <v>13900</v>
      </c>
      <c r="AJ282" s="347">
        <v>0</v>
      </c>
      <c r="AK282" s="347">
        <v>1</v>
      </c>
      <c r="AL282" s="346">
        <f>VLOOKUP(A282,TradesEquity!$1:$1048576,11,FALSE)</f>
        <v>11.440181000000001</v>
      </c>
      <c r="AM282" s="347">
        <v>1</v>
      </c>
      <c r="AN282" s="346">
        <f>ABS(VLOOKUP(A282,TradesEquity!$1:$1048576,14,FALSE))</f>
        <v>159018.5159</v>
      </c>
      <c r="AO282" s="346">
        <f>ABS(VLOOKUP(A282,TradesEquity!$1:$1048576,15,FALSE))</f>
        <v>79.510000000000005</v>
      </c>
      <c r="AP282" s="348">
        <f>ABS(VLOOKUP(A282,TradesEquity!$1:$1048576,16,FALSE))</f>
        <v>0.81</v>
      </c>
      <c r="AQ282" s="286">
        <v>0</v>
      </c>
      <c r="AR282" s="286">
        <v>0</v>
      </c>
      <c r="AS282" s="286">
        <v>0</v>
      </c>
      <c r="AT282" s="286">
        <v>0</v>
      </c>
      <c r="AU282" s="286">
        <v>0</v>
      </c>
      <c r="AV282" s="348">
        <f>ABS(VLOOKUP(A282,TradesEquity!$1:$1048576,18,FALSE))</f>
        <v>158938.19589999999</v>
      </c>
      <c r="AW282" s="349">
        <v>0</v>
      </c>
      <c r="AX282" s="350">
        <v>4542</v>
      </c>
      <c r="AY282" s="351" t="s">
        <v>1959</v>
      </c>
      <c r="AZ282" s="352" t="e">
        <f ca="1">(VLOOKUP(A282,TradesEquity!$1:$1048576,29,FALSE))</f>
        <v>#NAME?</v>
      </c>
      <c r="BA282" s="352" t="e">
        <f ca="1">(VLOOKUP(A282,TradesEquity!$1:$1048576,30,FALSE))</f>
        <v>#NAME?</v>
      </c>
      <c r="BB282" s="352" t="e">
        <f ca="1">(VLOOKUP(A282,TradesEquity!$1:$1048576,31,FALSE))</f>
        <v>#NAME?</v>
      </c>
      <c r="BC282" s="352" t="e">
        <f ca="1">(VLOOKUP(A282,TradesEquity!$1:$1048576,32,FALSE))</f>
        <v>#NAME?</v>
      </c>
      <c r="BI282" s="352" t="e">
        <f ca="1">(VLOOKUP(A282,TradesEquity!$1:$1048576,38,FALSE))</f>
        <v>#NAME?</v>
      </c>
      <c r="BJ282" s="352" t="e">
        <f ca="1">(VLOOKUP(A282,TradesEquity!$1:$1048576,39,FALSE))</f>
        <v>#NAME?</v>
      </c>
      <c r="BK282" s="352" t="e">
        <f ca="1">(VLOOKUP(A282,TradesEquity!$1:$1048576,40,FALSE))</f>
        <v>#NAME?</v>
      </c>
    </row>
    <row r="283" spans="1:63">
      <c r="A283" s="911">
        <f t="shared" si="15"/>
        <v>2019200575</v>
      </c>
      <c r="D283" s="342" t="s">
        <v>1957</v>
      </c>
      <c r="F283" s="343">
        <f>VLOOKUP(A283,TradesEquity!$1:$1048576,2,FALSE)</f>
        <v>44596</v>
      </c>
      <c r="H283" s="343">
        <f>VLOOKUP(A283,TradesEquity!$1:$1048576,21,FALSE)</f>
        <v>44600</v>
      </c>
      <c r="I283" s="344" t="str">
        <f>IF(VLOOKUP(A283,TradesEquity!$1:$1048576,3,FALSE)="BUY","B","S")</f>
        <v>B</v>
      </c>
      <c r="J283" s="344" t="e">
        <f ca="1">VLOOKUP(A283,TradesEquity!$1:$1048576,5,FALSE)</f>
        <v>#NAME?</v>
      </c>
      <c r="K283" s="342" t="s">
        <v>19</v>
      </c>
      <c r="L283" s="345" t="s">
        <v>1958</v>
      </c>
      <c r="AE283" s="346" t="e">
        <f ca="1">VLOOKUP(A283,TradesEquity!$1:$1048576,10,FALSE)</f>
        <v>#NAME?</v>
      </c>
      <c r="AF283" s="346" t="e">
        <f t="shared" ca="1" si="12"/>
        <v>#NAME?</v>
      </c>
      <c r="AG283" s="346" t="e">
        <f t="shared" ca="1" si="12"/>
        <v>#NAME?</v>
      </c>
      <c r="AH283" s="346" t="e">
        <f t="shared" ca="1" si="12"/>
        <v>#NAME?</v>
      </c>
      <c r="AI283" s="346">
        <f>ABS(VLOOKUP(A283,TradesEquity!$1:$1048576,13,FALSE))</f>
        <v>14000</v>
      </c>
      <c r="AJ283" s="347">
        <v>0</v>
      </c>
      <c r="AK283" s="347">
        <v>1</v>
      </c>
      <c r="AL283" s="346">
        <f>VLOOKUP(A283,TradesEquity!$1:$1048576,11,FALSE)</f>
        <v>10.107961</v>
      </c>
      <c r="AM283" s="347">
        <v>1</v>
      </c>
      <c r="AN283" s="346">
        <f>ABS(VLOOKUP(A283,TradesEquity!$1:$1048576,14,FALSE))</f>
        <v>141511.454</v>
      </c>
      <c r="AO283" s="346">
        <f>ABS(VLOOKUP(A283,TradesEquity!$1:$1048576,15,FALSE))</f>
        <v>70.760000000000005</v>
      </c>
      <c r="AP283" s="348">
        <f>ABS(VLOOKUP(A283,TradesEquity!$1:$1048576,16,FALSE))</f>
        <v>0</v>
      </c>
      <c r="AQ283" s="286">
        <v>0</v>
      </c>
      <c r="AR283" s="286">
        <v>0</v>
      </c>
      <c r="AS283" s="286">
        <v>0</v>
      </c>
      <c r="AT283" s="286">
        <v>0</v>
      </c>
      <c r="AU283" s="286">
        <v>0</v>
      </c>
      <c r="AV283" s="348">
        <f>ABS(VLOOKUP(A283,TradesEquity!$1:$1048576,18,FALSE))</f>
        <v>141582.21400000001</v>
      </c>
      <c r="AW283" s="349">
        <v>0</v>
      </c>
      <c r="AX283" s="350">
        <v>4542</v>
      </c>
      <c r="AY283" s="351" t="s">
        <v>1959</v>
      </c>
      <c r="AZ283" s="352" t="e">
        <f ca="1">(VLOOKUP(A283,TradesEquity!$1:$1048576,29,FALSE))</f>
        <v>#NAME?</v>
      </c>
      <c r="BA283" s="352" t="e">
        <f ca="1">(VLOOKUP(A283,TradesEquity!$1:$1048576,30,FALSE))</f>
        <v>#NAME?</v>
      </c>
      <c r="BB283" s="352" t="e">
        <f ca="1">(VLOOKUP(A283,TradesEquity!$1:$1048576,31,FALSE))</f>
        <v>#NAME?</v>
      </c>
      <c r="BC283" s="352" t="e">
        <f ca="1">(VLOOKUP(A283,TradesEquity!$1:$1048576,32,FALSE))</f>
        <v>#NAME?</v>
      </c>
      <c r="BI283" s="352" t="e">
        <f ca="1">(VLOOKUP(A283,TradesEquity!$1:$1048576,38,FALSE))</f>
        <v>#NAME?</v>
      </c>
      <c r="BJ283" s="352" t="e">
        <f ca="1">(VLOOKUP(A283,TradesEquity!$1:$1048576,39,FALSE))</f>
        <v>#NAME?</v>
      </c>
      <c r="BK283" s="352" t="e">
        <f ca="1">(VLOOKUP(A283,TradesEquity!$1:$1048576,40,FALSE))</f>
        <v>#NAME?</v>
      </c>
    </row>
    <row r="284" spans="1:63">
      <c r="A284" s="911">
        <f t="shared" si="15"/>
        <v>2019200576</v>
      </c>
      <c r="D284" s="342" t="s">
        <v>1957</v>
      </c>
      <c r="F284" s="343">
        <f>VLOOKUP(A284,TradesEquity!$1:$1048576,2,FALSE)</f>
        <v>44601</v>
      </c>
      <c r="H284" s="343">
        <f>VLOOKUP(A284,TradesEquity!$1:$1048576,21,FALSE)</f>
        <v>44603</v>
      </c>
      <c r="I284" s="344" t="str">
        <f>IF(VLOOKUP(A284,TradesEquity!$1:$1048576,3,FALSE)="BUY","B","S")</f>
        <v>S</v>
      </c>
      <c r="J284" s="344" t="e">
        <f ca="1">VLOOKUP(A284,TradesEquity!$1:$1048576,5,FALSE)</f>
        <v>#NAME?</v>
      </c>
      <c r="K284" s="342" t="s">
        <v>19</v>
      </c>
      <c r="L284" s="345" t="s">
        <v>1958</v>
      </c>
      <c r="AE284" s="346" t="e">
        <f ca="1">VLOOKUP(A284,TradesEquity!$1:$1048576,10,FALSE)</f>
        <v>#NAME?</v>
      </c>
      <c r="AF284" s="346" t="e">
        <f t="shared" ca="1" si="12"/>
        <v>#NAME?</v>
      </c>
      <c r="AG284" s="346" t="e">
        <f t="shared" ca="1" si="12"/>
        <v>#NAME?</v>
      </c>
      <c r="AH284" s="346" t="e">
        <f t="shared" ca="1" si="12"/>
        <v>#NAME?</v>
      </c>
      <c r="AI284" s="346">
        <f>ABS(VLOOKUP(A284,TradesEquity!$1:$1048576,13,FALSE))</f>
        <v>4100</v>
      </c>
      <c r="AJ284" s="347">
        <v>0</v>
      </c>
      <c r="AK284" s="347">
        <v>1</v>
      </c>
      <c r="AL284" s="346">
        <f>VLOOKUP(A284,TradesEquity!$1:$1048576,11,FALSE)</f>
        <v>36.2943</v>
      </c>
      <c r="AM284" s="347">
        <v>1</v>
      </c>
      <c r="AN284" s="346">
        <f>ABS(VLOOKUP(A284,TradesEquity!$1:$1048576,14,FALSE))</f>
        <v>148806.63</v>
      </c>
      <c r="AO284" s="346">
        <f>ABS(VLOOKUP(A284,TradesEquity!$1:$1048576,15,FALSE))</f>
        <v>89.28</v>
      </c>
      <c r="AP284" s="348">
        <f>ABS(VLOOKUP(A284,TradesEquity!$1:$1048576,16,FALSE))</f>
        <v>0</v>
      </c>
      <c r="AQ284" s="286">
        <v>0</v>
      </c>
      <c r="AR284" s="286">
        <v>0</v>
      </c>
      <c r="AS284" s="286">
        <v>0</v>
      </c>
      <c r="AT284" s="286">
        <v>0</v>
      </c>
      <c r="AU284" s="286">
        <v>0</v>
      </c>
      <c r="AV284" s="348">
        <f>ABS(VLOOKUP(A284,TradesEquity!$1:$1048576,18,FALSE))</f>
        <v>148717.35</v>
      </c>
      <c r="AW284" s="349">
        <v>0</v>
      </c>
      <c r="AX284" s="350">
        <v>4542</v>
      </c>
      <c r="AY284" s="351" t="s">
        <v>1959</v>
      </c>
      <c r="AZ284" s="352" t="str">
        <f>(VLOOKUP(A284,TradesEquity!$1:$1048576,29,FALSE))</f>
        <v>EMSIITM1XXX</v>
      </c>
      <c r="BA284" s="352" t="str">
        <f>(VLOOKUP(A284,TradesEquity!$1:$1048576,30,FALSE))</f>
        <v>SICVFRPPXXX</v>
      </c>
      <c r="BB284" s="352" t="str">
        <f>(VLOOKUP(A284,TradesEquity!$1:$1048576,31,FALSE))</f>
        <v>SICVBCITITMMD00000L10</v>
      </c>
      <c r="BC284" s="352" t="str">
        <f>(VLOOKUP(A284,TradesEquity!$1:$1048576,32,FALSE))</f>
        <v>N</v>
      </c>
      <c r="BI284" s="352" t="str">
        <f>(VLOOKUP(A284,TradesEquity!$1:$1048576,38,FALSE))</f>
        <v xml:space="preserve">        </v>
      </c>
      <c r="BJ284" s="352" t="str">
        <f>(VLOOKUP(A284,TradesEquity!$1:$1048576,39,FALSE))</f>
        <v xml:space="preserve">        </v>
      </c>
      <c r="BK284" s="352" t="str">
        <f>(VLOOKUP(A284,TradesEquity!$1:$1048576,40,FALSE))</f>
        <v>BCITITMMD00</v>
      </c>
    </row>
    <row r="285" spans="1:63">
      <c r="A285" s="911">
        <f t="shared" si="15"/>
        <v>2019200577</v>
      </c>
      <c r="D285" s="342" t="s">
        <v>1957</v>
      </c>
      <c r="F285" s="343">
        <f>VLOOKUP(A285,TradesEquity!$1:$1048576,2,FALSE)</f>
        <v>44606</v>
      </c>
      <c r="H285" s="343">
        <f>VLOOKUP(A285,TradesEquity!$1:$1048576,21,FALSE)</f>
        <v>44608</v>
      </c>
      <c r="I285" s="344" t="str">
        <f>IF(VLOOKUP(A285,TradesEquity!$1:$1048576,3,FALSE)="BUY","B","S")</f>
        <v>S</v>
      </c>
      <c r="J285" s="344" t="e">
        <f ca="1">VLOOKUP(A285,TradesEquity!$1:$1048576,5,FALSE)</f>
        <v>#NAME?</v>
      </c>
      <c r="K285" s="342" t="s">
        <v>19</v>
      </c>
      <c r="L285" s="345" t="s">
        <v>1958</v>
      </c>
      <c r="AE285" s="346" t="e">
        <f ca="1">VLOOKUP(A285,TradesEquity!$1:$1048576,10,FALSE)</f>
        <v>#NAME?</v>
      </c>
      <c r="AF285" s="346" t="e">
        <f t="shared" ca="1" si="12"/>
        <v>#NAME?</v>
      </c>
      <c r="AG285" s="346" t="e">
        <f t="shared" ca="1" si="12"/>
        <v>#NAME?</v>
      </c>
      <c r="AH285" s="346" t="e">
        <f t="shared" ca="1" si="12"/>
        <v>#NAME?</v>
      </c>
      <c r="AI285" s="346">
        <f>ABS(VLOOKUP(A285,TradesEquity!$1:$1048576,13,FALSE))</f>
        <v>6400</v>
      </c>
      <c r="AJ285" s="347">
        <v>0</v>
      </c>
      <c r="AK285" s="347">
        <v>1</v>
      </c>
      <c r="AL285" s="346">
        <f>VLOOKUP(A285,TradesEquity!$1:$1048576,11,FALSE)</f>
        <v>1881.407031</v>
      </c>
      <c r="AM285" s="347">
        <v>1</v>
      </c>
      <c r="AN285" s="346">
        <f>ABS(VLOOKUP(A285,TradesEquity!$1:$1048576,14,FALSE))</f>
        <v>12041004.998399999</v>
      </c>
      <c r="AO285" s="346">
        <f>ABS(VLOOKUP(A285,TradesEquity!$1:$1048576,15,FALSE))</f>
        <v>7225</v>
      </c>
      <c r="AP285" s="348">
        <f>ABS(VLOOKUP(A285,TradesEquity!$1:$1048576,16,FALSE))</f>
        <v>0</v>
      </c>
      <c r="AQ285" s="286">
        <v>0</v>
      </c>
      <c r="AR285" s="286">
        <v>0</v>
      </c>
      <c r="AS285" s="286">
        <v>0</v>
      </c>
      <c r="AT285" s="286">
        <v>0</v>
      </c>
      <c r="AU285" s="286">
        <v>0</v>
      </c>
      <c r="AV285" s="348">
        <f>ABS(VLOOKUP(A285,TradesEquity!$1:$1048576,18,FALSE))</f>
        <v>12033779.998399999</v>
      </c>
      <c r="AW285" s="349">
        <v>0</v>
      </c>
      <c r="AX285" s="350">
        <v>4542</v>
      </c>
      <c r="AY285" s="351" t="s">
        <v>1959</v>
      </c>
      <c r="AZ285" s="352" t="e">
        <f ca="1">(VLOOKUP(A285,TradesEquity!$1:$1048576,29,FALSE))</f>
        <v>#NAME?</v>
      </c>
      <c r="BA285" s="352" t="e">
        <f ca="1">(VLOOKUP(A285,TradesEquity!$1:$1048576,30,FALSE))</f>
        <v>#NAME?</v>
      </c>
      <c r="BB285" s="352" t="e">
        <f ca="1">(VLOOKUP(A285,TradesEquity!$1:$1048576,31,FALSE))</f>
        <v>#NAME?</v>
      </c>
      <c r="BC285" s="352" t="e">
        <f ca="1">(VLOOKUP(A285,TradesEquity!$1:$1048576,32,FALSE))</f>
        <v>#NAME?</v>
      </c>
      <c r="BI285" s="352">
        <f>(VLOOKUP(A285,TradesEquity!$1:$1048576,38,FALSE))</f>
        <v>0</v>
      </c>
      <c r="BJ285" s="352">
        <f>(VLOOKUP(A285,TradesEquity!$1:$1048576,39,FALSE))</f>
        <v>0</v>
      </c>
      <c r="BK285" s="352" t="e">
        <f ca="1">(VLOOKUP(A285,TradesEquity!$1:$1048576,40,FALSE))</f>
        <v>#NAME?</v>
      </c>
    </row>
    <row r="286" spans="1:63">
      <c r="A286" s="911">
        <f t="shared" si="15"/>
        <v>2019200578</v>
      </c>
      <c r="D286" s="342" t="s">
        <v>1957</v>
      </c>
      <c r="F286" s="343">
        <f>VLOOKUP(A286,TradesEquity!$1:$1048576,2,FALSE)</f>
        <v>44606</v>
      </c>
      <c r="H286" s="343">
        <f>VLOOKUP(A286,TradesEquity!$1:$1048576,21,FALSE)</f>
        <v>44608</v>
      </c>
      <c r="I286" s="344" t="str">
        <f>IF(VLOOKUP(A286,TradesEquity!$1:$1048576,3,FALSE)="BUY","B","S")</f>
        <v>B</v>
      </c>
      <c r="J286" s="344" t="e">
        <f ca="1">VLOOKUP(A286,TradesEquity!$1:$1048576,5,FALSE)</f>
        <v>#NAME?</v>
      </c>
      <c r="K286" s="342" t="s">
        <v>19</v>
      </c>
      <c r="L286" s="345" t="s">
        <v>1958</v>
      </c>
      <c r="AE286" s="346" t="e">
        <f ca="1">VLOOKUP(A286,TradesEquity!$1:$1048576,10,FALSE)</f>
        <v>#NAME?</v>
      </c>
      <c r="AF286" s="346" t="e">
        <f t="shared" ca="1" si="12"/>
        <v>#NAME?</v>
      </c>
      <c r="AG286" s="346" t="e">
        <f t="shared" ca="1" si="12"/>
        <v>#NAME?</v>
      </c>
      <c r="AH286" s="346" t="e">
        <f t="shared" ca="1" si="12"/>
        <v>#NAME?</v>
      </c>
      <c r="AI286" s="346">
        <f>ABS(VLOOKUP(A286,TradesEquity!$1:$1048576,13,FALSE))</f>
        <v>67000</v>
      </c>
      <c r="AJ286" s="347">
        <v>0</v>
      </c>
      <c r="AK286" s="347">
        <v>1</v>
      </c>
      <c r="AL286" s="346">
        <f>VLOOKUP(A286,TradesEquity!$1:$1048576,11,FALSE)</f>
        <v>1.3957870000000001</v>
      </c>
      <c r="AM286" s="347">
        <v>1</v>
      </c>
      <c r="AN286" s="346">
        <f>ABS(VLOOKUP(A286,TradesEquity!$1:$1048576,14,FALSE))</f>
        <v>93517.729000000007</v>
      </c>
      <c r="AO286" s="346">
        <f>ABS(VLOOKUP(A286,TradesEquity!$1:$1048576,15,FALSE))</f>
        <v>56.11</v>
      </c>
      <c r="AP286" s="348">
        <f>ABS(VLOOKUP(A286,TradesEquity!$1:$1048576,16,FALSE))</f>
        <v>0</v>
      </c>
      <c r="AQ286" s="286">
        <v>0</v>
      </c>
      <c r="AR286" s="286">
        <v>0</v>
      </c>
      <c r="AS286" s="286">
        <v>0</v>
      </c>
      <c r="AT286" s="286">
        <v>0</v>
      </c>
      <c r="AU286" s="286">
        <v>0</v>
      </c>
      <c r="AV286" s="348">
        <f>ABS(VLOOKUP(A286,TradesEquity!$1:$1048576,18,FALSE))</f>
        <v>93573.839000000007</v>
      </c>
      <c r="AW286" s="349">
        <v>0</v>
      </c>
      <c r="AX286" s="350">
        <v>4542</v>
      </c>
      <c r="AY286" s="351" t="s">
        <v>1959</v>
      </c>
      <c r="AZ286" s="352" t="e">
        <f ca="1">(VLOOKUP(A286,TradesEquity!$1:$1048576,29,FALSE))</f>
        <v>#NAME?</v>
      </c>
      <c r="BA286" s="352" t="e">
        <f ca="1">(VLOOKUP(A286,TradesEquity!$1:$1048576,30,FALSE))</f>
        <v>#NAME?</v>
      </c>
      <c r="BB286" s="352" t="e">
        <f ca="1">(VLOOKUP(A286,TradesEquity!$1:$1048576,31,FALSE))</f>
        <v>#NAME?</v>
      </c>
      <c r="BC286" s="352" t="e">
        <f ca="1">(VLOOKUP(A286,TradesEquity!$1:$1048576,32,FALSE))</f>
        <v>#NAME?</v>
      </c>
      <c r="BI286" s="352">
        <f>(VLOOKUP(A286,TradesEquity!$1:$1048576,38,FALSE))</f>
        <v>0</v>
      </c>
      <c r="BJ286" s="352">
        <f>(VLOOKUP(A286,TradesEquity!$1:$1048576,39,FALSE))</f>
        <v>0</v>
      </c>
      <c r="BK286" s="352" t="e">
        <f ca="1">(VLOOKUP(A286,TradesEquity!$1:$1048576,40,FALSE))</f>
        <v>#NAME?</v>
      </c>
    </row>
    <row r="287" spans="1:63">
      <c r="A287" s="911">
        <f t="shared" si="15"/>
        <v>2019200579</v>
      </c>
      <c r="D287" s="342" t="s">
        <v>1957</v>
      </c>
      <c r="F287" s="343">
        <f>VLOOKUP(A287,TradesEquity!$1:$1048576,2,FALSE)</f>
        <v>44606</v>
      </c>
      <c r="H287" s="343">
        <f>VLOOKUP(A287,TradesEquity!$1:$1048576,21,FALSE)</f>
        <v>44608</v>
      </c>
      <c r="I287" s="344" t="str">
        <f>IF(VLOOKUP(A287,TradesEquity!$1:$1048576,3,FALSE)="BUY","B","S")</f>
        <v>B</v>
      </c>
      <c r="J287" s="344" t="e">
        <f ca="1">VLOOKUP(A287,TradesEquity!$1:$1048576,5,FALSE)</f>
        <v>#NAME?</v>
      </c>
      <c r="K287" s="342" t="s">
        <v>19</v>
      </c>
      <c r="L287" s="345" t="s">
        <v>1958</v>
      </c>
      <c r="AE287" s="346" t="e">
        <f ca="1">VLOOKUP(A287,TradesEquity!$1:$1048576,10,FALSE)</f>
        <v>#NAME?</v>
      </c>
      <c r="AF287" s="346" t="e">
        <f t="shared" ca="1" si="12"/>
        <v>#NAME?</v>
      </c>
      <c r="AG287" s="346" t="e">
        <f t="shared" ca="1" si="12"/>
        <v>#NAME?</v>
      </c>
      <c r="AH287" s="346" t="e">
        <f t="shared" ca="1" si="12"/>
        <v>#NAME?</v>
      </c>
      <c r="AI287" s="346">
        <f>ABS(VLOOKUP(A287,TradesEquity!$1:$1048576,13,FALSE))</f>
        <v>6900</v>
      </c>
      <c r="AJ287" s="347">
        <v>0</v>
      </c>
      <c r="AK287" s="347">
        <v>1</v>
      </c>
      <c r="AL287" s="346">
        <f>VLOOKUP(A287,TradesEquity!$1:$1048576,11,FALSE)</f>
        <v>2874.9101449999998</v>
      </c>
      <c r="AM287" s="347">
        <v>1</v>
      </c>
      <c r="AN287" s="346">
        <f>ABS(VLOOKUP(A287,TradesEquity!$1:$1048576,14,FALSE))</f>
        <v>19836880.000499997</v>
      </c>
      <c r="AO287" s="346">
        <f>ABS(VLOOKUP(A287,TradesEquity!$1:$1048576,15,FALSE))</f>
        <v>11902</v>
      </c>
      <c r="AP287" s="348">
        <f>ABS(VLOOKUP(A287,TradesEquity!$1:$1048576,16,FALSE))</f>
        <v>0</v>
      </c>
      <c r="AQ287" s="286">
        <v>0</v>
      </c>
      <c r="AR287" s="286">
        <v>0</v>
      </c>
      <c r="AS287" s="286">
        <v>0</v>
      </c>
      <c r="AT287" s="286">
        <v>0</v>
      </c>
      <c r="AU287" s="286">
        <v>0</v>
      </c>
      <c r="AV287" s="348">
        <f>ABS(VLOOKUP(A287,TradesEquity!$1:$1048576,18,FALSE))</f>
        <v>19848782.000499997</v>
      </c>
      <c r="AW287" s="349">
        <v>0</v>
      </c>
      <c r="AX287" s="350">
        <v>4542</v>
      </c>
      <c r="AY287" s="351" t="s">
        <v>1959</v>
      </c>
      <c r="AZ287" s="352" t="e">
        <f ca="1">(VLOOKUP(A287,TradesEquity!$1:$1048576,29,FALSE))</f>
        <v>#NAME?</v>
      </c>
      <c r="BA287" s="352" t="e">
        <f ca="1">(VLOOKUP(A287,TradesEquity!$1:$1048576,30,FALSE))</f>
        <v>#NAME?</v>
      </c>
      <c r="BB287" s="352" t="e">
        <f ca="1">(VLOOKUP(A287,TradesEquity!$1:$1048576,31,FALSE))</f>
        <v>#NAME?</v>
      </c>
      <c r="BC287" s="352" t="e">
        <f ca="1">(VLOOKUP(A287,TradesEquity!$1:$1048576,32,FALSE))</f>
        <v>#NAME?</v>
      </c>
      <c r="BI287" s="352">
        <f>(VLOOKUP(A287,TradesEquity!$1:$1048576,38,FALSE))</f>
        <v>0</v>
      </c>
      <c r="BJ287" s="352">
        <f>(VLOOKUP(A287,TradesEquity!$1:$1048576,39,FALSE))</f>
        <v>0</v>
      </c>
      <c r="BK287" s="352" t="e">
        <f ca="1">(VLOOKUP(A287,TradesEquity!$1:$1048576,40,FALSE))</f>
        <v>#NAME?</v>
      </c>
    </row>
    <row r="288" spans="1:63">
      <c r="A288" s="911">
        <f t="shared" si="15"/>
        <v>2019200580</v>
      </c>
      <c r="D288" s="342" t="s">
        <v>1957</v>
      </c>
      <c r="F288" s="343">
        <f>VLOOKUP(A288,TradesEquity!$1:$1048576,2,FALSE)</f>
        <v>44606</v>
      </c>
      <c r="H288" s="343">
        <f>VLOOKUP(A288,TradesEquity!$1:$1048576,21,FALSE)</f>
        <v>44608</v>
      </c>
      <c r="I288" s="344" t="str">
        <f>IF(VLOOKUP(A288,TradesEquity!$1:$1048576,3,FALSE)="BUY","B","S")</f>
        <v>B</v>
      </c>
      <c r="J288" s="344" t="e">
        <f ca="1">VLOOKUP(A288,TradesEquity!$1:$1048576,5,FALSE)</f>
        <v>#NAME?</v>
      </c>
      <c r="K288" s="342" t="s">
        <v>19</v>
      </c>
      <c r="L288" s="345" t="s">
        <v>1958</v>
      </c>
      <c r="AE288" s="346" t="e">
        <f ca="1">VLOOKUP(A288,TradesEquity!$1:$1048576,10,FALSE)</f>
        <v>#NAME?</v>
      </c>
      <c r="AF288" s="346" t="e">
        <f t="shared" ca="1" si="12"/>
        <v>#NAME?</v>
      </c>
      <c r="AG288" s="346" t="e">
        <f t="shared" ca="1" si="12"/>
        <v>#NAME?</v>
      </c>
      <c r="AH288" s="346" t="e">
        <f t="shared" ca="1" si="12"/>
        <v>#NAME?</v>
      </c>
      <c r="AI288" s="346">
        <f>ABS(VLOOKUP(A288,TradesEquity!$1:$1048576,13,FALSE))</f>
        <v>690</v>
      </c>
      <c r="AJ288" s="347">
        <v>0</v>
      </c>
      <c r="AK288" s="347">
        <v>1</v>
      </c>
      <c r="AL288" s="346">
        <f>VLOOKUP(A288,TradesEquity!$1:$1048576,11,FALSE)</f>
        <v>125256.5217</v>
      </c>
      <c r="AM288" s="347">
        <v>1</v>
      </c>
      <c r="AN288" s="346">
        <f>ABS(VLOOKUP(A288,TradesEquity!$1:$1048576,14,FALSE))</f>
        <v>86426999.973000005</v>
      </c>
      <c r="AO288" s="346">
        <f>ABS(VLOOKUP(A288,TradesEquity!$1:$1048576,15,FALSE))</f>
        <v>129641</v>
      </c>
      <c r="AP288" s="348">
        <f>ABS(VLOOKUP(A288,TradesEquity!$1:$1048576,16,FALSE))</f>
        <v>0</v>
      </c>
      <c r="AQ288" s="286">
        <v>0</v>
      </c>
      <c r="AR288" s="286">
        <v>0</v>
      </c>
      <c r="AS288" s="286">
        <v>0</v>
      </c>
      <c r="AT288" s="286">
        <v>0</v>
      </c>
      <c r="AU288" s="286">
        <v>0</v>
      </c>
      <c r="AV288" s="348">
        <f>ABS(VLOOKUP(A288,TradesEquity!$1:$1048576,18,FALSE))</f>
        <v>86556640.973000005</v>
      </c>
      <c r="AW288" s="349">
        <v>0</v>
      </c>
      <c r="AX288" s="350">
        <v>4542</v>
      </c>
      <c r="AY288" s="351" t="s">
        <v>1959</v>
      </c>
      <c r="AZ288" s="352" t="e">
        <f ca="1">(VLOOKUP(A288,TradesEquity!$1:$1048576,29,FALSE))</f>
        <v>#NAME?</v>
      </c>
      <c r="BA288" s="352" t="e">
        <f ca="1">(VLOOKUP(A288,TradesEquity!$1:$1048576,30,FALSE))</f>
        <v>#NAME?</v>
      </c>
      <c r="BB288" s="352" t="e">
        <f ca="1">(VLOOKUP(A288,TradesEquity!$1:$1048576,31,FALSE))</f>
        <v>#NAME?</v>
      </c>
      <c r="BC288" s="352" t="e">
        <f ca="1">(VLOOKUP(A288,TradesEquity!$1:$1048576,32,FALSE))</f>
        <v>#NAME?</v>
      </c>
      <c r="BI288" s="352">
        <f>(VLOOKUP(A288,TradesEquity!$1:$1048576,38,FALSE))</f>
        <v>0</v>
      </c>
      <c r="BJ288" s="352">
        <f>(VLOOKUP(A288,TradesEquity!$1:$1048576,39,FALSE))</f>
        <v>0</v>
      </c>
      <c r="BK288" s="352" t="e">
        <f ca="1">(VLOOKUP(A288,TradesEquity!$1:$1048576,40,FALSE))</f>
        <v>#NAME?</v>
      </c>
    </row>
    <row r="289" spans="1:63">
      <c r="A289" s="911">
        <f t="shared" si="15"/>
        <v>2019200581</v>
      </c>
      <c r="D289" s="342" t="s">
        <v>1957</v>
      </c>
      <c r="F289" s="343">
        <f>VLOOKUP(A289,TradesEquity!$1:$1048576,2,FALSE)</f>
        <v>44606</v>
      </c>
      <c r="H289" s="343">
        <f>VLOOKUP(A289,TradesEquity!$1:$1048576,21,FALSE)</f>
        <v>44608</v>
      </c>
      <c r="I289" s="344" t="str">
        <f>IF(VLOOKUP(A289,TradesEquity!$1:$1048576,3,FALSE)="BUY","B","S")</f>
        <v>B</v>
      </c>
      <c r="J289" s="344" t="e">
        <f ca="1">VLOOKUP(A289,TradesEquity!$1:$1048576,5,FALSE)</f>
        <v>#NAME?</v>
      </c>
      <c r="K289" s="342" t="s">
        <v>19</v>
      </c>
      <c r="L289" s="345" t="s">
        <v>1958</v>
      </c>
      <c r="AE289" s="346" t="e">
        <f ca="1">VLOOKUP(A289,TradesEquity!$1:$1048576,10,FALSE)</f>
        <v>#NAME?</v>
      </c>
      <c r="AF289" s="346" t="e">
        <f t="shared" ca="1" si="12"/>
        <v>#NAME?</v>
      </c>
      <c r="AG289" s="346" t="e">
        <f t="shared" ca="1" si="12"/>
        <v>#NAME?</v>
      </c>
      <c r="AH289" s="346" t="e">
        <f t="shared" ca="1" si="12"/>
        <v>#NAME?</v>
      </c>
      <c r="AI289" s="346">
        <f>ABS(VLOOKUP(A289,TradesEquity!$1:$1048576,13,FALSE))</f>
        <v>7000</v>
      </c>
      <c r="AJ289" s="347">
        <v>0</v>
      </c>
      <c r="AK289" s="347">
        <v>1</v>
      </c>
      <c r="AL289" s="346">
        <f>VLOOKUP(A289,TradesEquity!$1:$1048576,11,FALSE)</f>
        <v>1220.4007140000001</v>
      </c>
      <c r="AM289" s="347">
        <v>1</v>
      </c>
      <c r="AN289" s="346">
        <f>ABS(VLOOKUP(A289,TradesEquity!$1:$1048576,14,FALSE))</f>
        <v>8542804.9980000015</v>
      </c>
      <c r="AO289" s="346">
        <f>ABS(VLOOKUP(A289,TradesEquity!$1:$1048576,15,FALSE))</f>
        <v>5126</v>
      </c>
      <c r="AP289" s="348">
        <f>ABS(VLOOKUP(A289,TradesEquity!$1:$1048576,16,FALSE))</f>
        <v>0</v>
      </c>
      <c r="AQ289" s="286">
        <v>0</v>
      </c>
      <c r="AR289" s="286">
        <v>0</v>
      </c>
      <c r="AS289" s="286">
        <v>0</v>
      </c>
      <c r="AT289" s="286">
        <v>0</v>
      </c>
      <c r="AU289" s="286">
        <v>0</v>
      </c>
      <c r="AV289" s="348">
        <f>ABS(VLOOKUP(A289,TradesEquity!$1:$1048576,18,FALSE))</f>
        <v>8547930.9980000015</v>
      </c>
      <c r="AW289" s="349">
        <v>0</v>
      </c>
      <c r="AX289" s="350">
        <v>4542</v>
      </c>
      <c r="AY289" s="351" t="s">
        <v>1959</v>
      </c>
      <c r="AZ289" s="352" t="e">
        <f ca="1">(VLOOKUP(A289,TradesEquity!$1:$1048576,29,FALSE))</f>
        <v>#NAME?</v>
      </c>
      <c r="BA289" s="352" t="e">
        <f ca="1">(VLOOKUP(A289,TradesEquity!$1:$1048576,30,FALSE))</f>
        <v>#NAME?</v>
      </c>
      <c r="BB289" s="352" t="e">
        <f ca="1">(VLOOKUP(A289,TradesEquity!$1:$1048576,31,FALSE))</f>
        <v>#NAME?</v>
      </c>
      <c r="BC289" s="352" t="e">
        <f ca="1">(VLOOKUP(A289,TradesEquity!$1:$1048576,32,FALSE))</f>
        <v>#NAME?</v>
      </c>
      <c r="BI289" s="352">
        <f>(VLOOKUP(A289,TradesEquity!$1:$1048576,38,FALSE))</f>
        <v>0</v>
      </c>
      <c r="BJ289" s="352">
        <f>(VLOOKUP(A289,TradesEquity!$1:$1048576,39,FALSE))</f>
        <v>0</v>
      </c>
      <c r="BK289" s="352" t="e">
        <f ca="1">(VLOOKUP(A289,TradesEquity!$1:$1048576,40,FALSE))</f>
        <v>#NAME?</v>
      </c>
    </row>
    <row r="290" spans="1:63">
      <c r="A290" s="911">
        <v>2019200582</v>
      </c>
      <c r="D290" s="342" t="s">
        <v>1957</v>
      </c>
      <c r="F290" s="343">
        <f>VLOOKUP(A290,TradesEquity!$1:$1048576,2,FALSE)</f>
        <v>44607</v>
      </c>
      <c r="H290" s="343">
        <f>VLOOKUP(A290,TradesEquity!$1:$1048576,21,FALSE)</f>
        <v>44609</v>
      </c>
      <c r="I290" s="344" t="str">
        <f>IF(VLOOKUP(A290,TradesEquity!$1:$1048576,3,FALSE)="BUY","B","S")</f>
        <v>B</v>
      </c>
      <c r="J290" s="344" t="e">
        <f ca="1">VLOOKUP(A290,TradesEquity!$1:$1048576,5,FALSE)</f>
        <v>#NAME?</v>
      </c>
      <c r="K290" s="342" t="s">
        <v>19</v>
      </c>
      <c r="L290" s="345" t="s">
        <v>1958</v>
      </c>
      <c r="AE290" s="346" t="e">
        <f ca="1">VLOOKUP(A290,TradesEquity!$1:$1048576,10,FALSE)</f>
        <v>#NAME?</v>
      </c>
      <c r="AF290" s="346" t="e">
        <f t="shared" ca="1" si="12"/>
        <v>#NAME?</v>
      </c>
      <c r="AG290" s="346" t="e">
        <f t="shared" ca="1" si="12"/>
        <v>#NAME?</v>
      </c>
      <c r="AH290" s="346" t="e">
        <f t="shared" ca="1" si="12"/>
        <v>#NAME?</v>
      </c>
      <c r="AI290" s="346">
        <f>ABS(VLOOKUP(A290,TradesEquity!$1:$1048576,13,FALSE))</f>
        <v>3300</v>
      </c>
      <c r="AJ290" s="347">
        <v>0</v>
      </c>
      <c r="AK290" s="347">
        <v>1</v>
      </c>
      <c r="AL290" s="346">
        <f>VLOOKUP(A290,TradesEquity!$1:$1048576,11,FALSE)</f>
        <v>2774.19697</v>
      </c>
      <c r="AM290" s="347">
        <v>1</v>
      </c>
      <c r="AN290" s="346">
        <f>ABS(VLOOKUP(A290,TradesEquity!$1:$1048576,14,FALSE))</f>
        <v>9154850.0010000002</v>
      </c>
      <c r="AO290" s="346">
        <f>ABS(VLOOKUP(A290,TradesEquity!$1:$1048576,15,FALSE))</f>
        <v>5493</v>
      </c>
      <c r="AP290" s="348">
        <f>ABS(VLOOKUP(A290,TradesEquity!$1:$1048576,16,FALSE))</f>
        <v>0</v>
      </c>
      <c r="AQ290" s="286">
        <v>0</v>
      </c>
      <c r="AR290" s="286">
        <v>0</v>
      </c>
      <c r="AS290" s="286">
        <v>0</v>
      </c>
      <c r="AT290" s="286">
        <v>0</v>
      </c>
      <c r="AU290" s="286">
        <v>0</v>
      </c>
      <c r="AV290" s="348">
        <f>ABS(VLOOKUP(A290,TradesEquity!$1:$1048576,18,FALSE))</f>
        <v>9160343.0010000002</v>
      </c>
      <c r="AW290" s="349">
        <v>0</v>
      </c>
      <c r="AX290" s="350">
        <v>4542</v>
      </c>
      <c r="AY290" s="351" t="s">
        <v>1959</v>
      </c>
      <c r="AZ290" s="352" t="e">
        <f ca="1">(VLOOKUP(A290,TradesEquity!$1:$1048576,29,FALSE))</f>
        <v>#NAME?</v>
      </c>
      <c r="BA290" s="352" t="e">
        <f ca="1">(VLOOKUP(A290,TradesEquity!$1:$1048576,30,FALSE))</f>
        <v>#NAME?</v>
      </c>
      <c r="BB290" s="352" t="e">
        <f ca="1">(VLOOKUP(A290,TradesEquity!$1:$1048576,31,FALSE))</f>
        <v>#NAME?</v>
      </c>
      <c r="BC290" s="352" t="e">
        <f ca="1">(VLOOKUP(A290,TradesEquity!$1:$1048576,32,FALSE))</f>
        <v>#NAME?</v>
      </c>
      <c r="BI290" s="352">
        <f>(VLOOKUP(A290,TradesEquity!$1:$1048576,38,FALSE))</f>
        <v>0</v>
      </c>
      <c r="BJ290" s="352">
        <f>(VLOOKUP(A290,TradesEquity!$1:$1048576,39,FALSE))</f>
        <v>0</v>
      </c>
      <c r="BK290" s="352" t="e">
        <f ca="1">(VLOOKUP(A290,TradesEquity!$1:$1048576,40,FALSE))</f>
        <v>#NAME?</v>
      </c>
    </row>
    <row r="291" spans="1:63">
      <c r="A291" s="911">
        <v>2019200583</v>
      </c>
      <c r="D291" s="342" t="s">
        <v>1957</v>
      </c>
      <c r="F291" s="343">
        <f>VLOOKUP(A291,TradesEquity!$1:$1048576,2,FALSE)</f>
        <v>44607</v>
      </c>
      <c r="H291" s="343">
        <f>VLOOKUP(A291,TradesEquity!$1:$1048576,21,FALSE)</f>
        <v>44609</v>
      </c>
      <c r="I291" s="344" t="str">
        <f>IF(VLOOKUP(A291,TradesEquity!$1:$1048576,3,FALSE)="BUY","B","S")</f>
        <v>B</v>
      </c>
      <c r="J291" s="344" t="e">
        <f ca="1">VLOOKUP(A291,TradesEquity!$1:$1048576,5,FALSE)</f>
        <v>#NAME?</v>
      </c>
      <c r="K291" s="342" t="s">
        <v>19</v>
      </c>
      <c r="L291" s="345" t="s">
        <v>1958</v>
      </c>
      <c r="AE291" s="346" t="e">
        <f ca="1">VLOOKUP(A291,TradesEquity!$1:$1048576,10,FALSE)</f>
        <v>#NAME?</v>
      </c>
      <c r="AF291" s="346" t="e">
        <f t="shared" ca="1" si="12"/>
        <v>#NAME?</v>
      </c>
      <c r="AG291" s="346" t="e">
        <f t="shared" ca="1" si="12"/>
        <v>#NAME?</v>
      </c>
      <c r="AH291" s="346" t="e">
        <f t="shared" ca="1" si="12"/>
        <v>#NAME?</v>
      </c>
      <c r="AI291" s="346">
        <f>ABS(VLOOKUP(A291,TradesEquity!$1:$1048576,13,FALSE))</f>
        <v>500</v>
      </c>
      <c r="AJ291" s="347">
        <v>0</v>
      </c>
      <c r="AK291" s="347">
        <v>1</v>
      </c>
      <c r="AL291" s="346">
        <f>VLOOKUP(A291,TradesEquity!$1:$1048576,11,FALSE)</f>
        <v>123389</v>
      </c>
      <c r="AM291" s="347">
        <v>1</v>
      </c>
      <c r="AN291" s="346">
        <f>ABS(VLOOKUP(A291,TradesEquity!$1:$1048576,14,FALSE))</f>
        <v>61694500</v>
      </c>
      <c r="AO291" s="346">
        <f>ABS(VLOOKUP(A291,TradesEquity!$1:$1048576,15,FALSE))</f>
        <v>92542</v>
      </c>
      <c r="AP291" s="348">
        <f>ABS(VLOOKUP(A291,TradesEquity!$1:$1048576,16,FALSE))</f>
        <v>0</v>
      </c>
      <c r="AQ291" s="286">
        <v>0</v>
      </c>
      <c r="AR291" s="286">
        <v>0</v>
      </c>
      <c r="AS291" s="286">
        <v>0</v>
      </c>
      <c r="AT291" s="286">
        <v>0</v>
      </c>
      <c r="AU291" s="286">
        <v>0</v>
      </c>
      <c r="AV291" s="348">
        <f>ABS(VLOOKUP(A291,TradesEquity!$1:$1048576,18,FALSE))</f>
        <v>61787042</v>
      </c>
      <c r="AW291" s="349">
        <v>0</v>
      </c>
      <c r="AX291" s="350">
        <v>4542</v>
      </c>
      <c r="AY291" s="351" t="s">
        <v>1959</v>
      </c>
      <c r="AZ291" s="352" t="e">
        <f ca="1">(VLOOKUP(A291,TradesEquity!$1:$1048576,29,FALSE))</f>
        <v>#NAME?</v>
      </c>
      <c r="BA291" s="352" t="e">
        <f ca="1">(VLOOKUP(A291,TradesEquity!$1:$1048576,30,FALSE))</f>
        <v>#NAME?</v>
      </c>
      <c r="BB291" s="352" t="e">
        <f ca="1">(VLOOKUP(A291,TradesEquity!$1:$1048576,31,FALSE))</f>
        <v>#NAME?</v>
      </c>
      <c r="BC291" s="352" t="e">
        <f ca="1">(VLOOKUP(A291,TradesEquity!$1:$1048576,32,FALSE))</f>
        <v>#NAME?</v>
      </c>
      <c r="BI291" s="352">
        <f>(VLOOKUP(A291,TradesEquity!$1:$1048576,38,FALSE))</f>
        <v>0</v>
      </c>
      <c r="BJ291" s="352">
        <f>(VLOOKUP(A291,TradesEquity!$1:$1048576,39,FALSE))</f>
        <v>0</v>
      </c>
      <c r="BK291" s="352" t="e">
        <f ca="1">(VLOOKUP(A291,TradesEquity!$1:$1048576,40,FALSE))</f>
        <v>#NAME?</v>
      </c>
    </row>
    <row r="292" spans="1:63">
      <c r="A292" s="911">
        <f t="shared" ref="A292:A297" si="16">(A291+1)</f>
        <v>2019200584</v>
      </c>
      <c r="D292" s="342" t="s">
        <v>1957</v>
      </c>
      <c r="F292" s="343">
        <f>VLOOKUP(A292,TradesEquity!$1:$1048576,2,FALSE)</f>
        <v>44617</v>
      </c>
      <c r="H292" s="343">
        <f>VLOOKUP(A292,TradesEquity!$1:$1048576,21,FALSE)</f>
        <v>44621</v>
      </c>
      <c r="I292" s="344" t="str">
        <f>IF(VLOOKUP(A292,TradesEquity!$1:$1048576,3,FALSE)="BUY","B","S")</f>
        <v>S</v>
      </c>
      <c r="J292" s="344" t="e">
        <f ca="1">VLOOKUP(A292,TradesEquity!$1:$1048576,5,FALSE)</f>
        <v>#NAME?</v>
      </c>
      <c r="K292" s="342" t="s">
        <v>19</v>
      </c>
      <c r="L292" s="345" t="s">
        <v>1958</v>
      </c>
      <c r="AE292" s="346" t="e">
        <f ca="1">VLOOKUP(A292,TradesEquity!$1:$1048576,10,FALSE)</f>
        <v>#NAME?</v>
      </c>
      <c r="AF292" s="346" t="e">
        <f t="shared" ca="1" si="12"/>
        <v>#NAME?</v>
      </c>
      <c r="AG292" s="346" t="e">
        <f t="shared" ca="1" si="12"/>
        <v>#NAME?</v>
      </c>
      <c r="AH292" s="346" t="e">
        <f t="shared" ca="1" si="12"/>
        <v>#NAME?</v>
      </c>
      <c r="AI292" s="346">
        <f>ABS(VLOOKUP(A292,TradesEquity!$1:$1048576,13,FALSE))</f>
        <v>670</v>
      </c>
      <c r="AJ292" s="347">
        <v>0</v>
      </c>
      <c r="AK292" s="347">
        <v>1</v>
      </c>
      <c r="AL292" s="346">
        <f>VLOOKUP(A292,TradesEquity!$1:$1048576,11,FALSE)</f>
        <v>112.28</v>
      </c>
      <c r="AM292" s="347">
        <v>1</v>
      </c>
      <c r="AN292" s="346">
        <f>ABS(VLOOKUP(A292,TradesEquity!$1:$1048576,14,FALSE))</f>
        <v>75227.600000000006</v>
      </c>
      <c r="AO292" s="346">
        <f>ABS(VLOOKUP(A292,TradesEquity!$1:$1048576,15,FALSE))</f>
        <v>45.14</v>
      </c>
      <c r="AP292" s="348">
        <f>ABS(VLOOKUP(A292,TradesEquity!$1:$1048576,16,FALSE))</f>
        <v>0</v>
      </c>
      <c r="AQ292" s="286">
        <v>0</v>
      </c>
      <c r="AR292" s="286">
        <v>0</v>
      </c>
      <c r="AS292" s="286">
        <v>0</v>
      </c>
      <c r="AT292" s="286">
        <v>0</v>
      </c>
      <c r="AU292" s="286">
        <v>0</v>
      </c>
      <c r="AV292" s="348">
        <f>ABS(VLOOKUP(A292,TradesEquity!$1:$1048576,18,FALSE))</f>
        <v>75182.460000000006</v>
      </c>
      <c r="AW292" s="349">
        <v>0</v>
      </c>
      <c r="AX292" s="350">
        <v>4542</v>
      </c>
      <c r="AY292" s="351" t="s">
        <v>1959</v>
      </c>
      <c r="AZ292" s="352" t="str">
        <f>(VLOOKUP(A292,TradesEquity!$1:$1048576,29,FALSE))</f>
        <v>EMSIITM1XXX</v>
      </c>
      <c r="BA292" s="352" t="str">
        <f>(VLOOKUP(A292,TradesEquity!$1:$1048576,30,FALSE))</f>
        <v>SICVFRPPXXX</v>
      </c>
      <c r="BB292" s="352" t="str">
        <f>(VLOOKUP(A292,TradesEquity!$1:$1048576,31,FALSE))</f>
        <v>SICVBCITITMMD00000L10</v>
      </c>
      <c r="BC292" s="352" t="str">
        <f>(VLOOKUP(A292,TradesEquity!$1:$1048576,32,FALSE))</f>
        <v>N</v>
      </c>
      <c r="BI292" s="352">
        <f>(VLOOKUP(A292,TradesEquity!$1:$1048576,38,FALSE))</f>
        <v>0</v>
      </c>
      <c r="BJ292" s="352">
        <f>(VLOOKUP(A292,TradesEquity!$1:$1048576,39,FALSE))</f>
        <v>0</v>
      </c>
      <c r="BK292" s="352" t="str">
        <f>(VLOOKUP(A292,TradesEquity!$1:$1048576,40,FALSE))</f>
        <v>BCITITMMD00</v>
      </c>
    </row>
    <row r="293" spans="1:63">
      <c r="A293" s="911">
        <f t="shared" si="16"/>
        <v>2019200585</v>
      </c>
      <c r="D293" s="342" t="s">
        <v>1957</v>
      </c>
      <c r="F293" s="343">
        <f>VLOOKUP(A293,TradesEquity!$1:$1048576,2,FALSE)</f>
        <v>44623</v>
      </c>
      <c r="H293" s="343">
        <f>VLOOKUP(A293,TradesEquity!$1:$1048576,21,FALSE)</f>
        <v>44627</v>
      </c>
      <c r="I293" s="344" t="str">
        <f>IF(VLOOKUP(A293,TradesEquity!$1:$1048576,3,FALSE)="BUY","B","S")</f>
        <v>S</v>
      </c>
      <c r="J293" s="344" t="str">
        <f>VLOOKUP(A293,TradesEquity!$1:$1048576,5,FALSE)</f>
        <v>JP3402600005</v>
      </c>
      <c r="K293" s="342" t="s">
        <v>19</v>
      </c>
      <c r="L293" s="345" t="s">
        <v>1958</v>
      </c>
      <c r="AE293" s="346" t="str">
        <f>VLOOKUP(A293,TradesEquity!$1:$1048576,10,FALSE)</f>
        <v>JPY</v>
      </c>
      <c r="AF293" s="346" t="str">
        <f t="shared" si="12"/>
        <v>JPY</v>
      </c>
      <c r="AG293" s="346" t="str">
        <f t="shared" si="12"/>
        <v>JPY</v>
      </c>
      <c r="AH293" s="346" t="str">
        <f t="shared" si="12"/>
        <v>JPY</v>
      </c>
      <c r="AI293" s="346">
        <f>ABS(VLOOKUP(A293,TradesEquity!$1:$1048576,13,FALSE))</f>
        <v>5200</v>
      </c>
      <c r="AJ293" s="347">
        <v>0</v>
      </c>
      <c r="AK293" s="347">
        <v>1</v>
      </c>
      <c r="AL293" s="346">
        <f>VLOOKUP(A293,TradesEquity!$1:$1048576,11,FALSE)</f>
        <v>6082</v>
      </c>
      <c r="AM293" s="347">
        <v>1</v>
      </c>
      <c r="AN293" s="346">
        <f>ABS(VLOOKUP(A293,TradesEquity!$1:$1048576,14,FALSE))</f>
        <v>31626400</v>
      </c>
      <c r="AO293" s="346">
        <f>ABS(VLOOKUP(A293,TradesEquity!$1:$1048576,15,FALSE))</f>
        <v>18976</v>
      </c>
      <c r="AP293" s="348">
        <f>ABS(VLOOKUP(A293,TradesEquity!$1:$1048576,16,FALSE))</f>
        <v>0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348">
        <f>ABS(VLOOKUP(A293,TradesEquity!$1:$1048576,18,FALSE))</f>
        <v>31607424</v>
      </c>
      <c r="AW293" s="349">
        <v>0</v>
      </c>
      <c r="AX293" s="350">
        <v>4542</v>
      </c>
      <c r="AY293" s="351" t="s">
        <v>1959</v>
      </c>
      <c r="AZ293" s="352" t="e">
        <f>(VLOOKUP(A293,TradesEquity!$1:$1048576,29,FALSE))</f>
        <v>#N/A</v>
      </c>
      <c r="BA293" s="352" t="e">
        <f>(VLOOKUP(A293,TradesEquity!$1:$1048576,30,FALSE))</f>
        <v>#N/A</v>
      </c>
      <c r="BB293" s="352" t="e">
        <f>(VLOOKUP(A293,TradesEquity!$1:$1048576,31,FALSE))</f>
        <v>#N/A</v>
      </c>
      <c r="BC293" s="352" t="e">
        <f>(VLOOKUP(A293,TradesEquity!$1:$1048576,32,FALSE))</f>
        <v>#N/A</v>
      </c>
      <c r="BI293" s="352">
        <f>(VLOOKUP(A293,TradesEquity!$1:$1048576,38,FALSE))</f>
        <v>0</v>
      </c>
      <c r="BJ293" s="352">
        <f>(VLOOKUP(A293,TradesEquity!$1:$1048576,39,FALSE))</f>
        <v>0</v>
      </c>
      <c r="BK293" s="352" t="e">
        <f>(VLOOKUP(A293,TradesEquity!$1:$1048576,40,FALSE))</f>
        <v>#N/A</v>
      </c>
    </row>
    <row r="294" spans="1:63">
      <c r="A294" s="911">
        <f t="shared" si="16"/>
        <v>2019200586</v>
      </c>
      <c r="D294" s="342" t="s">
        <v>1957</v>
      </c>
      <c r="F294" s="343">
        <f>VLOOKUP(A294,TradesEquity!$1:$1048576,2,FALSE)</f>
        <v>44636</v>
      </c>
      <c r="H294" s="343">
        <f>VLOOKUP(A294,TradesEquity!$1:$1048576,21,FALSE)</f>
        <v>44638</v>
      </c>
      <c r="I294" s="344" t="str">
        <f>IF(VLOOKUP(A294,TradesEquity!$1:$1048576,3,FALSE)="BUY","B","S")</f>
        <v>B</v>
      </c>
      <c r="J294" s="344" t="e">
        <f ca="1">VLOOKUP(A294,TradesEquity!$1:$1048576,5,FALSE)</f>
        <v>#NAME?</v>
      </c>
      <c r="K294" s="342" t="s">
        <v>19</v>
      </c>
      <c r="L294" s="345" t="s">
        <v>1958</v>
      </c>
      <c r="AE294" s="346" t="e">
        <f ca="1">VLOOKUP(A294,TradesEquity!$1:$1048576,10,FALSE)</f>
        <v>#NAME?</v>
      </c>
      <c r="AF294" s="346" t="e">
        <f t="shared" ca="1" si="12"/>
        <v>#NAME?</v>
      </c>
      <c r="AG294" s="346" t="e">
        <f t="shared" ca="1" si="12"/>
        <v>#NAME?</v>
      </c>
      <c r="AH294" s="346" t="e">
        <f t="shared" ca="1" si="12"/>
        <v>#NAME?</v>
      </c>
      <c r="AI294" s="346">
        <f>ABS(VLOOKUP(A294,TradesEquity!$1:$1048576,13,FALSE))</f>
        <v>633</v>
      </c>
      <c r="AJ294" s="347">
        <v>0</v>
      </c>
      <c r="AK294" s="347">
        <v>1</v>
      </c>
      <c r="AL294" s="346">
        <f>VLOOKUP(A294,TradesEquity!$1:$1048576,11,FALSE)</f>
        <v>125067.1406</v>
      </c>
      <c r="AM294" s="347">
        <v>1</v>
      </c>
      <c r="AN294" s="346">
        <f>ABS(VLOOKUP(A294,TradesEquity!$1:$1048576,14,FALSE))</f>
        <v>79167499.999799997</v>
      </c>
      <c r="AO294" s="346">
        <f>ABS(VLOOKUP(A294,TradesEquity!$1:$1048576,15,FALSE))</f>
        <v>118751</v>
      </c>
      <c r="AP294" s="348">
        <f>ABS(VLOOKUP(A294,TradesEquity!$1:$1048576,16,FALSE))</f>
        <v>0</v>
      </c>
      <c r="AQ294" s="286">
        <v>0</v>
      </c>
      <c r="AR294" s="286">
        <v>0</v>
      </c>
      <c r="AS294" s="286">
        <v>0</v>
      </c>
      <c r="AT294" s="286">
        <v>0</v>
      </c>
      <c r="AU294" s="286">
        <v>0</v>
      </c>
      <c r="AV294" s="348">
        <f>ABS(VLOOKUP(A294,TradesEquity!$1:$1048576,18,FALSE))</f>
        <v>79286250.999799997</v>
      </c>
      <c r="AW294" s="349">
        <v>0</v>
      </c>
      <c r="AX294" s="350">
        <v>4542</v>
      </c>
      <c r="AY294" s="351" t="s">
        <v>1959</v>
      </c>
      <c r="AZ294" s="352" t="e">
        <f ca="1">(VLOOKUP(A294,TradesEquity!$1:$1048576,29,FALSE))</f>
        <v>#NAME?</v>
      </c>
      <c r="BA294" s="352" t="e">
        <f ca="1">(VLOOKUP(A294,TradesEquity!$1:$1048576,30,FALSE))</f>
        <v>#NAME?</v>
      </c>
      <c r="BB294" s="352" t="e">
        <f ca="1">(VLOOKUP(A294,TradesEquity!$1:$1048576,31,FALSE))</f>
        <v>#NAME?</v>
      </c>
      <c r="BC294" s="352" t="e">
        <f ca="1">(VLOOKUP(A294,TradesEquity!$1:$1048576,32,FALSE))</f>
        <v>#NAME?</v>
      </c>
      <c r="BI294" s="352">
        <f>(VLOOKUP(A294,TradesEquity!$1:$1048576,38,FALSE))</f>
        <v>0</v>
      </c>
      <c r="BJ294" s="352">
        <f>(VLOOKUP(A294,TradesEquity!$1:$1048576,39,FALSE))</f>
        <v>0</v>
      </c>
      <c r="BK294" s="352" t="e">
        <f ca="1">(VLOOKUP(A294,TradesEquity!$1:$1048576,40,FALSE))</f>
        <v>#NAME?</v>
      </c>
    </row>
    <row r="295" spans="1:63">
      <c r="A295" s="911">
        <f t="shared" si="16"/>
        <v>2019200587</v>
      </c>
      <c r="D295" s="342" t="s">
        <v>1957</v>
      </c>
      <c r="F295" s="343">
        <f>VLOOKUP(A295,TradesEquity!$1:$1048576,2,FALSE)</f>
        <v>44636</v>
      </c>
      <c r="H295" s="343">
        <f>VLOOKUP(A295,TradesEquity!$1:$1048576,21,FALSE)</f>
        <v>44638</v>
      </c>
      <c r="I295" s="344" t="str">
        <f>IF(VLOOKUP(A295,TradesEquity!$1:$1048576,3,FALSE)="BUY","B","S")</f>
        <v>S</v>
      </c>
      <c r="J295" s="344" t="e">
        <f ca="1">VLOOKUP(A295,TradesEquity!$1:$1048576,5,FALSE)</f>
        <v>#NAME?</v>
      </c>
      <c r="K295" s="342" t="s">
        <v>19</v>
      </c>
      <c r="L295" s="345" t="s">
        <v>1958</v>
      </c>
      <c r="AE295" s="346" t="e">
        <f ca="1">VLOOKUP(A295,TradesEquity!$1:$1048576,10,FALSE)</f>
        <v>#NAME?</v>
      </c>
      <c r="AF295" s="346" t="e">
        <f t="shared" ca="1" si="12"/>
        <v>#NAME?</v>
      </c>
      <c r="AG295" s="346" t="e">
        <f t="shared" ca="1" si="12"/>
        <v>#NAME?</v>
      </c>
      <c r="AH295" s="346" t="e">
        <f t="shared" ca="1" si="12"/>
        <v>#NAME?</v>
      </c>
      <c r="AI295" s="346">
        <f>ABS(VLOOKUP(A295,TradesEquity!$1:$1048576,13,FALSE))</f>
        <v>940</v>
      </c>
      <c r="AJ295" s="347">
        <v>0</v>
      </c>
      <c r="AK295" s="347">
        <v>1</v>
      </c>
      <c r="AL295" s="346">
        <f>VLOOKUP(A295,TradesEquity!$1:$1048576,11,FALSE)</f>
        <v>122.5317</v>
      </c>
      <c r="AM295" s="347">
        <v>1</v>
      </c>
      <c r="AN295" s="346">
        <f>ABS(VLOOKUP(A295,TradesEquity!$1:$1048576,14,FALSE))</f>
        <v>115179.798</v>
      </c>
      <c r="AO295" s="346">
        <f>ABS(VLOOKUP(A295,TradesEquity!$1:$1048576,15,FALSE))</f>
        <v>69.11</v>
      </c>
      <c r="AP295" s="348">
        <f>ABS(VLOOKUP(A295,TradesEquity!$1:$1048576,16,FALSE))</f>
        <v>0</v>
      </c>
      <c r="AQ295" s="286">
        <v>0</v>
      </c>
      <c r="AR295" s="286">
        <v>0</v>
      </c>
      <c r="AS295" s="286">
        <v>0</v>
      </c>
      <c r="AT295" s="286">
        <v>0</v>
      </c>
      <c r="AU295" s="286">
        <v>0</v>
      </c>
      <c r="AV295" s="348">
        <f>ABS(VLOOKUP(A295,TradesEquity!$1:$1048576,18,FALSE))</f>
        <v>115110.68799999999</v>
      </c>
      <c r="AW295" s="349">
        <v>0</v>
      </c>
      <c r="AX295" s="350">
        <v>4542</v>
      </c>
      <c r="AY295" s="351" t="s">
        <v>1959</v>
      </c>
      <c r="AZ295" s="352" t="str">
        <f>(VLOOKUP(A295,TradesEquity!$1:$1048576,29,FALSE))</f>
        <v>EMSIITM1XXX</v>
      </c>
      <c r="BA295" s="352" t="str">
        <f>(VLOOKUP(A295,TradesEquity!$1:$1048576,30,FALSE))</f>
        <v>SICVFRPPXXX</v>
      </c>
      <c r="BB295" s="352" t="str">
        <f>(VLOOKUP(A295,TradesEquity!$1:$1048576,31,FALSE))</f>
        <v>SICVBCITITMMD00000L10</v>
      </c>
      <c r="BC295" s="352" t="str">
        <f>(VLOOKUP(A295,TradesEquity!$1:$1048576,32,FALSE))</f>
        <v>N</v>
      </c>
      <c r="BI295" s="352">
        <f>(VLOOKUP(A295,TradesEquity!$1:$1048576,38,FALSE))</f>
        <v>0</v>
      </c>
      <c r="BJ295" s="352">
        <f>(VLOOKUP(A295,TradesEquity!$1:$1048576,39,FALSE))</f>
        <v>0</v>
      </c>
      <c r="BK295" s="352" t="str">
        <f>(VLOOKUP(A295,TradesEquity!$1:$1048576,40,FALSE))</f>
        <v>BCITITMMD00</v>
      </c>
    </row>
    <row r="296" spans="1:63">
      <c r="A296" s="911">
        <f t="shared" si="16"/>
        <v>2019200588</v>
      </c>
      <c r="D296" s="342" t="s">
        <v>1957</v>
      </c>
      <c r="F296" s="343">
        <f>VLOOKUP(A296,TradesEquity!$1:$1048576,2,FALSE)</f>
        <v>44637</v>
      </c>
      <c r="H296" s="343">
        <f>VLOOKUP(A296,TradesEquity!$1:$1048576,21,FALSE)</f>
        <v>44641</v>
      </c>
      <c r="I296" s="344" t="str">
        <f>IF(VLOOKUP(A296,TradesEquity!$1:$1048576,3,FALSE)="BUY","B","S")</f>
        <v>B</v>
      </c>
      <c r="J296" s="344" t="e">
        <f ca="1">VLOOKUP(A296,TradesEquity!$1:$1048576,5,FALSE)</f>
        <v>#NAME?</v>
      </c>
      <c r="K296" s="342" t="s">
        <v>19</v>
      </c>
      <c r="L296" s="345" t="s">
        <v>1958</v>
      </c>
      <c r="AE296" s="346" t="e">
        <f ca="1">VLOOKUP(A296,TradesEquity!$1:$1048576,10,FALSE)</f>
        <v>#NAME?</v>
      </c>
      <c r="AF296" s="346" t="e">
        <f t="shared" ca="1" si="12"/>
        <v>#NAME?</v>
      </c>
      <c r="AG296" s="346" t="e">
        <f t="shared" ca="1" si="12"/>
        <v>#NAME?</v>
      </c>
      <c r="AH296" s="346" t="e">
        <f t="shared" ca="1" si="12"/>
        <v>#NAME?</v>
      </c>
      <c r="AI296" s="346">
        <f>ABS(VLOOKUP(A296,TradesEquity!$1:$1048576,13,FALSE))</f>
        <v>1100</v>
      </c>
      <c r="AJ296" s="347">
        <v>0</v>
      </c>
      <c r="AK296" s="347">
        <v>1</v>
      </c>
      <c r="AL296" s="346">
        <f>VLOOKUP(A296,TradesEquity!$1:$1048576,11,FALSE)</f>
        <v>249527.2727</v>
      </c>
      <c r="AM296" s="347">
        <v>1</v>
      </c>
      <c r="AN296" s="346">
        <f>ABS(VLOOKUP(A296,TradesEquity!$1:$1048576,14,FALSE))</f>
        <v>274479999.97000003</v>
      </c>
      <c r="AO296" s="346">
        <f>ABS(VLOOKUP(A296,TradesEquity!$1:$1048576,15,FALSE))</f>
        <v>411720</v>
      </c>
      <c r="AP296" s="348">
        <f>ABS(VLOOKUP(A296,TradesEquity!$1:$1048576,16,FALSE))</f>
        <v>0</v>
      </c>
      <c r="AQ296" s="286">
        <v>0</v>
      </c>
      <c r="AR296" s="286">
        <v>0</v>
      </c>
      <c r="AS296" s="286">
        <v>0</v>
      </c>
      <c r="AT296" s="286">
        <v>0</v>
      </c>
      <c r="AU296" s="286">
        <v>0</v>
      </c>
      <c r="AV296" s="348">
        <f>ABS(VLOOKUP(A296,TradesEquity!$1:$1048576,18,FALSE))</f>
        <v>274891719.97000003</v>
      </c>
      <c r="AW296" s="349">
        <v>0</v>
      </c>
      <c r="AX296" s="350">
        <v>4542</v>
      </c>
      <c r="AY296" s="351" t="s">
        <v>1959</v>
      </c>
      <c r="AZ296" s="352" t="e">
        <f ca="1">(VLOOKUP(A296,TradesEquity!$1:$1048576,29,FALSE))</f>
        <v>#NAME?</v>
      </c>
      <c r="BA296" s="352" t="e">
        <f ca="1">(VLOOKUP(A296,TradesEquity!$1:$1048576,30,FALSE))</f>
        <v>#NAME?</v>
      </c>
      <c r="BB296" s="352" t="e">
        <f ca="1">(VLOOKUP(A296,TradesEquity!$1:$1048576,31,FALSE))</f>
        <v>#NAME?</v>
      </c>
      <c r="BC296" s="352" t="e">
        <f ca="1">(VLOOKUP(A296,TradesEquity!$1:$1048576,32,FALSE))</f>
        <v>#NAME?</v>
      </c>
      <c r="BI296" s="352">
        <f>(VLOOKUP(A296,TradesEquity!$1:$1048576,38,FALSE))</f>
        <v>0</v>
      </c>
      <c r="BJ296" s="352">
        <f>(VLOOKUP(A296,TradesEquity!$1:$1048576,39,FALSE))</f>
        <v>0</v>
      </c>
      <c r="BK296" s="352" t="e">
        <f ca="1">(VLOOKUP(A296,TradesEquity!$1:$1048576,40,FALSE))</f>
        <v>#NAME?</v>
      </c>
    </row>
    <row r="297" spans="1:63">
      <c r="A297" s="911">
        <f t="shared" si="16"/>
        <v>2019200589</v>
      </c>
      <c r="D297" s="342" t="s">
        <v>1957</v>
      </c>
      <c r="F297" s="343">
        <f>VLOOKUP(A297,TradesEquity!$1:$1048576,2,FALSE)</f>
        <v>44638</v>
      </c>
      <c r="H297" s="343">
        <f>VLOOKUP(A297,TradesEquity!$1:$1048576,21,FALSE)</f>
        <v>44643</v>
      </c>
      <c r="I297" s="344" t="str">
        <f>IF(VLOOKUP(A297,TradesEquity!$1:$1048576,3,FALSE)="BUY","B","S")</f>
        <v>S</v>
      </c>
      <c r="J297" s="344" t="e">
        <f ca="1">VLOOKUP(A297,TradesEquity!$1:$1048576,5,FALSE)</f>
        <v>#NAME?</v>
      </c>
      <c r="K297" s="342" t="s">
        <v>19</v>
      </c>
      <c r="L297" s="345" t="s">
        <v>1958</v>
      </c>
      <c r="AE297" s="346" t="e">
        <f ca="1">VLOOKUP(A297,TradesEquity!$1:$1048576,10,FALSE)</f>
        <v>#NAME?</v>
      </c>
      <c r="AF297" s="346" t="e">
        <f t="shared" ca="1" si="12"/>
        <v>#NAME?</v>
      </c>
      <c r="AG297" s="346" t="e">
        <f t="shared" ca="1" si="12"/>
        <v>#NAME?</v>
      </c>
      <c r="AH297" s="346" t="e">
        <f t="shared" ca="1" si="12"/>
        <v>#NAME?</v>
      </c>
      <c r="AI297" s="346">
        <f>ABS(VLOOKUP(A297,TradesEquity!$1:$1048576,13,FALSE))</f>
        <v>3800</v>
      </c>
      <c r="AJ297" s="347">
        <v>0</v>
      </c>
      <c r="AK297" s="347">
        <v>1</v>
      </c>
      <c r="AL297" s="346">
        <f>VLOOKUP(A297,TradesEquity!$1:$1048576,11,FALSE)</f>
        <v>6006.421053</v>
      </c>
      <c r="AM297" s="347">
        <v>1</v>
      </c>
      <c r="AN297" s="346">
        <f>ABS(VLOOKUP(A297,TradesEquity!$1:$1048576,14,FALSE))</f>
        <v>22824400.001400001</v>
      </c>
      <c r="AO297" s="346">
        <f>ABS(VLOOKUP(A297,TradesEquity!$1:$1048576,15,FALSE))</f>
        <v>13695</v>
      </c>
      <c r="AP297" s="348">
        <f>ABS(VLOOKUP(A297,TradesEquity!$1:$1048576,16,FALSE))</f>
        <v>0</v>
      </c>
      <c r="AQ297" s="286">
        <v>0</v>
      </c>
      <c r="AR297" s="286">
        <v>0</v>
      </c>
      <c r="AS297" s="286">
        <v>0</v>
      </c>
      <c r="AT297" s="286">
        <v>0</v>
      </c>
      <c r="AU297" s="286">
        <v>0</v>
      </c>
      <c r="AV297" s="348">
        <f>ABS(VLOOKUP(A297,TradesEquity!$1:$1048576,18,FALSE))</f>
        <v>22810705.001400001</v>
      </c>
      <c r="AW297" s="349">
        <v>0</v>
      </c>
      <c r="AX297" s="350">
        <v>4542</v>
      </c>
      <c r="AY297" s="351" t="s">
        <v>1959</v>
      </c>
      <c r="AZ297" s="352" t="e">
        <f ca="1">(VLOOKUP(A297,TradesEquity!$1:$1048576,29,FALSE))</f>
        <v>#NAME?</v>
      </c>
      <c r="BA297" s="352" t="e">
        <f ca="1">(VLOOKUP(A297,TradesEquity!$1:$1048576,30,FALSE))</f>
        <v>#NAME?</v>
      </c>
      <c r="BB297" s="352" t="e">
        <f ca="1">(VLOOKUP(A297,TradesEquity!$1:$1048576,31,FALSE))</f>
        <v>#NAME?</v>
      </c>
      <c r="BC297" s="352" t="e">
        <f ca="1">(VLOOKUP(A297,TradesEquity!$1:$1048576,32,FALSE))</f>
        <v>#NAME?</v>
      </c>
      <c r="BI297" s="352">
        <f>(VLOOKUP(A297,TradesEquity!$1:$1048576,38,FALSE))</f>
        <v>0</v>
      </c>
      <c r="BJ297" s="352">
        <f>(VLOOKUP(A297,TradesEquity!$1:$1048576,39,FALSE))</f>
        <v>0</v>
      </c>
      <c r="BK297" s="352" t="e">
        <f ca="1">(VLOOKUP(A297,TradesEquity!$1:$1048576,40,FALSE))</f>
        <v>#NAME?</v>
      </c>
    </row>
    <row r="298" spans="1:63">
      <c r="A298" s="911">
        <v>2019200605</v>
      </c>
      <c r="D298" s="342" t="s">
        <v>1957</v>
      </c>
      <c r="F298" s="343">
        <f>VLOOKUP(A298,TradesEquity!$1:$1048576,2,FALSE)</f>
        <v>44684</v>
      </c>
      <c r="H298" s="343">
        <f>VLOOKUP(A298,TradesEquity!$1:$1048576,21,FALSE)</f>
        <v>44686</v>
      </c>
      <c r="I298" s="344" t="str">
        <f>IF(VLOOKUP(A298,TradesEquity!$1:$1048576,3,FALSE)="BUY","B","S")</f>
        <v>S</v>
      </c>
      <c r="J298" s="344" t="e">
        <f ca="1">VLOOKUP(A298,TradesEquity!$1:$1048576,5,FALSE)</f>
        <v>#NAME?</v>
      </c>
      <c r="K298" s="342" t="s">
        <v>19</v>
      </c>
      <c r="L298" s="345" t="s">
        <v>1958</v>
      </c>
      <c r="AE298" s="346" t="e">
        <f ca="1">VLOOKUP(A298,TradesEquity!$1:$1048576,10,FALSE)</f>
        <v>#NAME?</v>
      </c>
      <c r="AF298" s="346" t="e">
        <f t="shared" ca="1" si="12"/>
        <v>#NAME?</v>
      </c>
      <c r="AG298" s="346" t="e">
        <f t="shared" ca="1" si="12"/>
        <v>#NAME?</v>
      </c>
      <c r="AH298" s="346" t="e">
        <f t="shared" ca="1" si="12"/>
        <v>#NAME?</v>
      </c>
      <c r="AI298" s="346">
        <f>ABS(VLOOKUP(A298,TradesEquity!$1:$1048576,13,FALSE))</f>
        <v>156680</v>
      </c>
      <c r="AJ298" s="347">
        <v>0</v>
      </c>
      <c r="AK298" s="347">
        <v>1</v>
      </c>
      <c r="AL298" s="346">
        <f>VLOOKUP(A298,TradesEquity!$1:$1048576,11,FALSE)</f>
        <v>1.8784639999999999</v>
      </c>
      <c r="AM298" s="347">
        <v>1</v>
      </c>
      <c r="AN298" s="346">
        <f>ABS(VLOOKUP(A298,TradesEquity!$1:$1048576,14,FALSE))</f>
        <v>294317.73952</v>
      </c>
      <c r="AO298" s="346">
        <f>ABS(VLOOKUP(A298,TradesEquity!$1:$1048576,15,FALSE))</f>
        <v>176.59</v>
      </c>
      <c r="AP298" s="348">
        <f>ABS(VLOOKUP(A298,TradesEquity!$1:$1048576,16,FALSE))</f>
        <v>0</v>
      </c>
      <c r="AQ298" s="286">
        <v>0</v>
      </c>
      <c r="AR298" s="286">
        <v>0</v>
      </c>
      <c r="AS298" s="286">
        <v>0</v>
      </c>
      <c r="AT298" s="286">
        <v>0</v>
      </c>
      <c r="AU298" s="286">
        <v>0</v>
      </c>
      <c r="AV298" s="348">
        <f>ABS(VLOOKUP(A298,TradesEquity!$1:$1048576,18,FALSE))</f>
        <v>294141.14951999998</v>
      </c>
      <c r="AW298" s="349">
        <v>0</v>
      </c>
      <c r="AX298" s="350">
        <v>4542</v>
      </c>
      <c r="AY298" s="351" t="s">
        <v>1959</v>
      </c>
      <c r="AZ298" s="352" t="e">
        <f ca="1">(VLOOKUP(A298,TradesEquity!$1:$1048576,29,FALSE))</f>
        <v>#NAME?</v>
      </c>
      <c r="BA298" s="352" t="e">
        <f ca="1">(VLOOKUP(A298,TradesEquity!$1:$1048576,30,FALSE))</f>
        <v>#NAME?</v>
      </c>
      <c r="BB298" s="352" t="e">
        <f ca="1">(VLOOKUP(A298,TradesEquity!$1:$1048576,31,FALSE))</f>
        <v>#NAME?</v>
      </c>
      <c r="BC298" s="352" t="e">
        <f ca="1">(VLOOKUP(A298,TradesEquity!$1:$1048576,32,FALSE))</f>
        <v>#NAME?</v>
      </c>
      <c r="BI298" s="352"/>
      <c r="BJ298" s="352"/>
      <c r="BK298" s="352" t="e">
        <f ca="1">(VLOOKUP(A298,TradesEquity!$1:$1048576,40,FALSE))</f>
        <v>#NAME?</v>
      </c>
    </row>
    <row r="299" spans="1:63">
      <c r="A299" s="911">
        <v>2019200606</v>
      </c>
      <c r="D299" s="342" t="s">
        <v>1957</v>
      </c>
      <c r="F299" s="343">
        <f>VLOOKUP(A299,TradesEquity!$1:$1048576,2,FALSE)</f>
        <v>44684</v>
      </c>
      <c r="H299" s="343">
        <f>VLOOKUP(A299,TradesEquity!$1:$1048576,21,FALSE)</f>
        <v>44687</v>
      </c>
      <c r="I299" s="344" t="str">
        <f>IF(VLOOKUP(A299,TradesEquity!$1:$1048576,3,FALSE)="BUY","B","S")</f>
        <v>S</v>
      </c>
      <c r="J299" s="344" t="e">
        <f ca="1">VLOOKUP(A299,TradesEquity!$1:$1048576,5,FALSE)</f>
        <v>#NAME?</v>
      </c>
      <c r="K299" s="342" t="s">
        <v>19</v>
      </c>
      <c r="L299" s="345" t="s">
        <v>1958</v>
      </c>
      <c r="AE299" s="346" t="e">
        <f ca="1">VLOOKUP(A299,TradesEquity!$1:$1048576,10,FALSE)</f>
        <v>#NAME?</v>
      </c>
      <c r="AF299" s="346" t="e">
        <f t="shared" ref="AF299:AF303" ca="1" si="17">AE299</f>
        <v>#NAME?</v>
      </c>
      <c r="AG299" s="346" t="e">
        <f t="shared" ref="AG299:AG303" ca="1" si="18">AF299</f>
        <v>#NAME?</v>
      </c>
      <c r="AH299" s="346" t="e">
        <f t="shared" ref="AH299:AH303" ca="1" si="19">AG299</f>
        <v>#NAME?</v>
      </c>
      <c r="AI299" s="346">
        <f>ABS(VLOOKUP(A299,TradesEquity!$1:$1048576,13,FALSE))</f>
        <v>6100</v>
      </c>
      <c r="AJ299" s="347">
        <v>0</v>
      </c>
      <c r="AK299" s="347">
        <v>1</v>
      </c>
      <c r="AL299" s="346">
        <f>VLOOKUP(A299,TradesEquity!$1:$1048576,11,FALSE)</f>
        <v>39576.082000000002</v>
      </c>
      <c r="AM299" s="347">
        <v>1</v>
      </c>
      <c r="AN299" s="346">
        <f>ABS(VLOOKUP(A299,TradesEquity!$1:$1048576,14,FALSE))</f>
        <v>241414100.20000002</v>
      </c>
      <c r="AO299" s="346">
        <f>ABS(VLOOKUP(A299,TradesEquity!$1:$1048576,15,FALSE))</f>
        <v>362121</v>
      </c>
      <c r="AP299" s="348">
        <f>ABS(VLOOKUP(A299,TradesEquity!$1:$1048576,16,FALSE))</f>
        <v>555200</v>
      </c>
      <c r="AQ299" s="286">
        <v>0</v>
      </c>
      <c r="AR299" s="286">
        <v>0</v>
      </c>
      <c r="AS299" s="286">
        <v>0</v>
      </c>
      <c r="AT299" s="286">
        <v>0</v>
      </c>
      <c r="AU299" s="286">
        <v>0</v>
      </c>
      <c r="AV299" s="348">
        <f>ABS(VLOOKUP(A299,TradesEquity!$1:$1048576,18,FALSE))</f>
        <v>240496779.20000002</v>
      </c>
      <c r="AW299" s="349">
        <v>0</v>
      </c>
      <c r="AX299" s="350">
        <v>4542</v>
      </c>
      <c r="AY299" s="351" t="s">
        <v>1959</v>
      </c>
      <c r="AZ299" s="352" t="e">
        <f ca="1">(VLOOKUP(A299,TradesEquity!$1:$1048576,29,FALSE))</f>
        <v>#NAME?</v>
      </c>
      <c r="BA299" s="352" t="e">
        <f ca="1">(VLOOKUP(A299,TradesEquity!$1:$1048576,30,FALSE))</f>
        <v>#NAME?</v>
      </c>
      <c r="BB299" s="352" t="e">
        <f ca="1">(VLOOKUP(A299,TradesEquity!$1:$1048576,31,FALSE))</f>
        <v>#NAME?</v>
      </c>
      <c r="BC299" s="352" t="e">
        <f ca="1">(VLOOKUP(A299,TradesEquity!$1:$1048576,32,FALSE))</f>
        <v>#NAME?</v>
      </c>
      <c r="BI299" s="352"/>
      <c r="BJ299" s="352"/>
      <c r="BK299" s="352" t="e">
        <f ca="1">(VLOOKUP(A299,TradesEquity!$1:$1048576,40,FALSE))</f>
        <v>#NAME?</v>
      </c>
    </row>
    <row r="300" spans="1:63">
      <c r="A300" s="911">
        <v>2019200607</v>
      </c>
      <c r="D300" s="342" t="s">
        <v>1957</v>
      </c>
      <c r="F300" s="343">
        <f>VLOOKUP(A300,TradesEquity!$1:$1048576,2,FALSE)</f>
        <v>44684</v>
      </c>
      <c r="H300" s="343">
        <f>VLOOKUP(A300,TradesEquity!$1:$1048576,21,FALSE)</f>
        <v>44687</v>
      </c>
      <c r="I300" s="344" t="str">
        <f>IF(VLOOKUP(A300,TradesEquity!$1:$1048576,3,FALSE)="BUY","B","S")</f>
        <v>S</v>
      </c>
      <c r="J300" s="344" t="e">
        <f ca="1">VLOOKUP(A300,TradesEquity!$1:$1048576,5,FALSE)</f>
        <v>#NAME?</v>
      </c>
      <c r="K300" s="342" t="s">
        <v>19</v>
      </c>
      <c r="L300" s="345" t="s">
        <v>1958</v>
      </c>
      <c r="AE300" s="346" t="e">
        <f ca="1">VLOOKUP(A300,TradesEquity!$1:$1048576,10,FALSE)</f>
        <v>#NAME?</v>
      </c>
      <c r="AF300" s="346" t="e">
        <f t="shared" ca="1" si="17"/>
        <v>#NAME?</v>
      </c>
      <c r="AG300" s="346" t="e">
        <f t="shared" ca="1" si="18"/>
        <v>#NAME?</v>
      </c>
      <c r="AH300" s="346" t="e">
        <f t="shared" ca="1" si="19"/>
        <v>#NAME?</v>
      </c>
      <c r="AI300" s="346">
        <f>ABS(VLOOKUP(A300,TradesEquity!$1:$1048576,13,FALSE))</f>
        <v>2000</v>
      </c>
      <c r="AJ300" s="347">
        <v>0</v>
      </c>
      <c r="AK300" s="347">
        <v>1</v>
      </c>
      <c r="AL300" s="346">
        <f>VLOOKUP(A300,TradesEquity!$1:$1048576,11,FALSE)</f>
        <v>48885.7</v>
      </c>
      <c r="AM300" s="347">
        <v>1</v>
      </c>
      <c r="AN300" s="346">
        <f>ABS(VLOOKUP(A300,TradesEquity!$1:$1048576,14,FALSE))</f>
        <v>97771400</v>
      </c>
      <c r="AO300" s="346">
        <f>ABS(VLOOKUP(A300,TradesEquity!$1:$1048576,15,FALSE))</f>
        <v>146657</v>
      </c>
      <c r="AP300" s="348">
        <f>ABS(VLOOKUP(A300,TradesEquity!$1:$1048576,16,FALSE))</f>
        <v>224801</v>
      </c>
      <c r="AQ300" s="286">
        <v>0</v>
      </c>
      <c r="AR300" s="286">
        <v>0</v>
      </c>
      <c r="AS300" s="286">
        <v>0</v>
      </c>
      <c r="AT300" s="286">
        <v>0</v>
      </c>
      <c r="AU300" s="286">
        <v>0</v>
      </c>
      <c r="AV300" s="348">
        <f>ABS(VLOOKUP(A300,TradesEquity!$1:$1048576,18,FALSE))</f>
        <v>97399942</v>
      </c>
      <c r="AW300" s="349">
        <v>0</v>
      </c>
      <c r="AX300" s="350">
        <v>4542</v>
      </c>
      <c r="AY300" s="351" t="s">
        <v>1959</v>
      </c>
      <c r="AZ300" s="352" t="e">
        <f ca="1">(VLOOKUP(A300,TradesEquity!$1:$1048576,29,FALSE))</f>
        <v>#NAME?</v>
      </c>
      <c r="BA300" s="352" t="e">
        <f ca="1">(VLOOKUP(A300,TradesEquity!$1:$1048576,30,FALSE))</f>
        <v>#NAME?</v>
      </c>
      <c r="BB300" s="352" t="e">
        <f ca="1">(VLOOKUP(A300,TradesEquity!$1:$1048576,31,FALSE))</f>
        <v>#NAME?</v>
      </c>
      <c r="BC300" s="352" t="e">
        <f ca="1">(VLOOKUP(A300,TradesEquity!$1:$1048576,32,FALSE))</f>
        <v>#NAME?</v>
      </c>
      <c r="BI300" s="352"/>
      <c r="BJ300" s="352"/>
      <c r="BK300" s="352" t="e">
        <f ca="1">(VLOOKUP(A300,TradesEquity!$1:$1048576,40,FALSE))</f>
        <v>#NAME?</v>
      </c>
    </row>
    <row r="301" spans="1:63">
      <c r="A301" s="911">
        <v>2019200609</v>
      </c>
      <c r="D301" s="342" t="s">
        <v>1957</v>
      </c>
      <c r="F301" s="343">
        <f>VLOOKUP(A301,TradesEquity!$1:$1048576,2,FALSE)</f>
        <v>44685</v>
      </c>
      <c r="H301" s="343">
        <f>VLOOKUP(A301,TradesEquity!$1:$1048576,21,FALSE)</f>
        <v>44687</v>
      </c>
      <c r="I301" s="344" t="str">
        <f>IF(VLOOKUP(A301,TradesEquity!$1:$1048576,3,FALSE)="BUY","B","S")</f>
        <v>S</v>
      </c>
      <c r="J301" s="344" t="e">
        <f ca="1">VLOOKUP(A301,TradesEquity!$1:$1048576,5,FALSE)</f>
        <v>#NAME?</v>
      </c>
      <c r="K301" s="342" t="s">
        <v>19</v>
      </c>
      <c r="L301" s="345" t="s">
        <v>1958</v>
      </c>
      <c r="AE301" s="346" t="e">
        <f ca="1">VLOOKUP(A301,TradesEquity!$1:$1048576,10,FALSE)</f>
        <v>#NAME?</v>
      </c>
      <c r="AF301" s="346" t="e">
        <f t="shared" ca="1" si="17"/>
        <v>#NAME?</v>
      </c>
      <c r="AG301" s="346" t="e">
        <f t="shared" ca="1" si="18"/>
        <v>#NAME?</v>
      </c>
      <c r="AH301" s="346" t="e">
        <f t="shared" ca="1" si="19"/>
        <v>#NAME?</v>
      </c>
      <c r="AI301" s="346">
        <f>ABS(VLOOKUP(A301,TradesEquity!$1:$1048576,13,FALSE))</f>
        <v>580000</v>
      </c>
      <c r="AJ301" s="347">
        <v>0</v>
      </c>
      <c r="AK301" s="347">
        <v>1</v>
      </c>
      <c r="AL301" s="346">
        <f>VLOOKUP(A301,TradesEquity!$1:$1048576,11,FALSE)</f>
        <v>2.4267500000000002</v>
      </c>
      <c r="AM301" s="347">
        <v>1</v>
      </c>
      <c r="AN301" s="346">
        <f>ABS(VLOOKUP(A301,TradesEquity!$1:$1048576,14,FALSE))</f>
        <v>1407515</v>
      </c>
      <c r="AO301" s="346">
        <f>ABS(VLOOKUP(A301,TradesEquity!$1:$1048576,15,FALSE))</f>
        <v>844.51</v>
      </c>
      <c r="AP301" s="348">
        <f>ABS(VLOOKUP(A301,TradesEquity!$1:$1048576,16,FALSE))</f>
        <v>1940.26</v>
      </c>
      <c r="AQ301" s="286">
        <v>0</v>
      </c>
      <c r="AR301" s="286">
        <v>0</v>
      </c>
      <c r="AS301" s="286">
        <v>0</v>
      </c>
      <c r="AT301" s="286">
        <v>0</v>
      </c>
      <c r="AU301" s="286">
        <v>0</v>
      </c>
      <c r="AV301" s="348">
        <f>ABS(VLOOKUP(A301,TradesEquity!$1:$1048576,18,FALSE))</f>
        <v>1404730.23</v>
      </c>
      <c r="AW301" s="349">
        <v>0</v>
      </c>
      <c r="AX301" s="350">
        <v>4542</v>
      </c>
      <c r="AY301" s="351" t="s">
        <v>1959</v>
      </c>
      <c r="AZ301" s="352" t="str">
        <f>(VLOOKUP(A301,TradesEquity!$1:$1048576,29,FALSE))</f>
        <v>GSILGB2XXXX</v>
      </c>
      <c r="BA301" s="352" t="str">
        <f>(VLOOKUP(A301,TradesEquity!$1:$1048576,30,FALSE))</f>
        <v>XHKCHKH1XXX</v>
      </c>
      <c r="BB301" s="352" t="str">
        <f>(VLOOKUP(A301,TradesEquity!$1:$1048576,31,FALSE))</f>
        <v xml:space="preserve">        </v>
      </c>
      <c r="BC301" s="352" t="str">
        <f>(VLOOKUP(A301,TradesEquity!$1:$1048576,32,FALSE))</f>
        <v>N</v>
      </c>
      <c r="BI301" s="352">
        <f>(VLOOKUP(A301,TradesEquity!$1:$1048576,38,FALSE))</f>
        <v>0</v>
      </c>
      <c r="BJ301" s="352">
        <f>(VLOOKUP(A301,TradesEquity!$1:$1048576,39,FALSE))</f>
        <v>0</v>
      </c>
      <c r="BK301" s="352" t="str">
        <f>(VLOOKUP(A301,TradesEquity!$1:$1048576,40,FALSE))</f>
        <v>GSASHKH1XX</v>
      </c>
    </row>
    <row r="302" spans="1:63">
      <c r="A302" s="911">
        <v>2019200610</v>
      </c>
      <c r="D302" s="342" t="s">
        <v>1957</v>
      </c>
      <c r="F302" s="343">
        <f>VLOOKUP(A302,TradesEquity!$1:$1048576,2,FALSE)</f>
        <v>44685</v>
      </c>
      <c r="H302" s="343">
        <f>VLOOKUP(A302,TradesEquity!$1:$1048576,21,FALSE)</f>
        <v>44690</v>
      </c>
      <c r="I302" s="344" t="str">
        <f>IF(VLOOKUP(A302,TradesEquity!$1:$1048576,3,FALSE)="BUY","B","S")</f>
        <v>S</v>
      </c>
      <c r="J302" s="344" t="e">
        <f ca="1">VLOOKUP(A302,TradesEquity!$1:$1048576,5,FALSE)</f>
        <v>#NAME?</v>
      </c>
      <c r="K302" s="342" t="s">
        <v>19</v>
      </c>
      <c r="L302" s="345" t="s">
        <v>1958</v>
      </c>
      <c r="AE302" s="346" t="e">
        <f ca="1">VLOOKUP(A302,TradesEquity!$1:$1048576,10,FALSE)</f>
        <v>#NAME?</v>
      </c>
      <c r="AF302" s="346" t="e">
        <f t="shared" ca="1" si="17"/>
        <v>#NAME?</v>
      </c>
      <c r="AG302" s="346" t="e">
        <f t="shared" ca="1" si="18"/>
        <v>#NAME?</v>
      </c>
      <c r="AH302" s="346" t="e">
        <f t="shared" ca="1" si="19"/>
        <v>#NAME?</v>
      </c>
      <c r="AI302" s="346">
        <f>ABS(VLOOKUP(A302,TradesEquity!$1:$1048576,13,FALSE))</f>
        <v>18715</v>
      </c>
      <c r="AJ302" s="347">
        <v>0</v>
      </c>
      <c r="AK302" s="347">
        <v>1</v>
      </c>
      <c r="AL302" s="346">
        <f>VLOOKUP(A302,TradesEquity!$1:$1048576,11,FALSE)</f>
        <v>39282.527399999999</v>
      </c>
      <c r="AM302" s="347">
        <v>1</v>
      </c>
      <c r="AN302" s="346">
        <f>ABS(VLOOKUP(A302,TradesEquity!$1:$1048576,14,FALSE))</f>
        <v>735172500.29100001</v>
      </c>
      <c r="AO302" s="346">
        <f>ABS(VLOOKUP(A302,TradesEquity!$1:$1048576,15,FALSE))</f>
        <v>1102759</v>
      </c>
      <c r="AP302" s="348">
        <f>ABS(VLOOKUP(A302,TradesEquity!$1:$1048576,16,FALSE))</f>
        <v>1690687</v>
      </c>
      <c r="AQ302" s="286">
        <v>0</v>
      </c>
      <c r="AR302" s="286">
        <v>0</v>
      </c>
      <c r="AS302" s="286">
        <v>0</v>
      </c>
      <c r="AT302" s="286">
        <v>0</v>
      </c>
      <c r="AU302" s="286">
        <v>0</v>
      </c>
      <c r="AV302" s="348">
        <f>ABS(VLOOKUP(A302,TradesEquity!$1:$1048576,18,FALSE))</f>
        <v>732379054.29100001</v>
      </c>
      <c r="AW302" s="349">
        <v>0</v>
      </c>
      <c r="AX302" s="350">
        <v>4542</v>
      </c>
      <c r="AY302" s="351" t="s">
        <v>1959</v>
      </c>
      <c r="AZ302" s="352" t="e">
        <f ca="1">(VLOOKUP(A302,TradesEquity!$1:$1048576,29,FALSE))</f>
        <v>#NAME?</v>
      </c>
      <c r="BA302" s="352" t="e">
        <f ca="1">(VLOOKUP(A302,TradesEquity!$1:$1048576,30,FALSE))</f>
        <v>#NAME?</v>
      </c>
      <c r="BB302" s="352" t="e">
        <f ca="1">(VLOOKUP(A302,TradesEquity!$1:$1048576,31,FALSE))</f>
        <v>#NAME?</v>
      </c>
      <c r="BC302" s="352" t="e">
        <f ca="1">(VLOOKUP(A302,TradesEquity!$1:$1048576,32,FALSE))</f>
        <v>#NAME?</v>
      </c>
      <c r="BI302" s="352">
        <f>(VLOOKUP(A302,TradesEquity!$1:$1048576,38,FALSE))</f>
        <v>0</v>
      </c>
      <c r="BJ302" s="352">
        <f>(VLOOKUP(A302,TradesEquity!$1:$1048576,39,FALSE))</f>
        <v>0</v>
      </c>
      <c r="BK302" s="352" t="e">
        <f ca="1">(VLOOKUP(A302,TradesEquity!$1:$1048576,40,FALSE))</f>
        <v>#NAME?</v>
      </c>
    </row>
    <row r="303" spans="1:63">
      <c r="D303" s="342" t="s">
        <v>1957</v>
      </c>
      <c r="F303" s="343" t="e">
        <f>VLOOKUP(A303,TradesEquity!$1:$1048576,2,FALSE)</f>
        <v>#N/A</v>
      </c>
      <c r="H303" s="343" t="e">
        <f>VLOOKUP(A303,TradesEquity!$1:$1048576,21,FALSE)</f>
        <v>#N/A</v>
      </c>
      <c r="I303" s="344" t="e">
        <f>IF(VLOOKUP(A303,TradesEquity!$1:$1048576,3,FALSE)="BUY","B","S")</f>
        <v>#N/A</v>
      </c>
      <c r="J303" s="344" t="e">
        <f>VLOOKUP(A303,TradesEquity!$1:$1048576,5,FALSE)</f>
        <v>#N/A</v>
      </c>
      <c r="K303" s="342" t="s">
        <v>19</v>
      </c>
      <c r="L303" s="345" t="s">
        <v>1958</v>
      </c>
      <c r="AE303" s="346" t="e">
        <f>VLOOKUP(A303,TradesEquity!$1:$1048576,10,FALSE)</f>
        <v>#N/A</v>
      </c>
      <c r="AF303" s="346" t="e">
        <f t="shared" si="17"/>
        <v>#N/A</v>
      </c>
      <c r="AG303" s="346" t="e">
        <f t="shared" si="18"/>
        <v>#N/A</v>
      </c>
      <c r="AH303" s="346" t="e">
        <f t="shared" si="19"/>
        <v>#N/A</v>
      </c>
      <c r="AI303" s="346" t="e">
        <f>ABS(VLOOKUP(A303,TradesEquity!$1:$1048576,13,FALSE))</f>
        <v>#N/A</v>
      </c>
      <c r="AJ303" s="347">
        <v>0</v>
      </c>
      <c r="AK303" s="347">
        <v>1</v>
      </c>
      <c r="AL303" s="346" t="e">
        <f>VLOOKUP(A303,TradesEquity!$1:$1048576,11,FALSE)</f>
        <v>#N/A</v>
      </c>
      <c r="AM303" s="347">
        <v>1</v>
      </c>
      <c r="AN303" s="346" t="e">
        <f>ABS(VLOOKUP(A303,TradesEquity!$1:$1048576,14,FALSE))</f>
        <v>#N/A</v>
      </c>
      <c r="AO303" s="346" t="e">
        <f>ABS(VLOOKUP(A303,TradesEquity!$1:$1048576,15,FALSE))</f>
        <v>#N/A</v>
      </c>
      <c r="AP303" s="348" t="e">
        <f>ABS(VLOOKUP(A303,TradesEquity!$1:$1048576,16,FALSE))</f>
        <v>#N/A</v>
      </c>
      <c r="AQ303" s="286">
        <v>0</v>
      </c>
      <c r="AR303" s="286">
        <v>0</v>
      </c>
      <c r="AS303" s="286">
        <v>0</v>
      </c>
      <c r="AT303" s="286">
        <v>0</v>
      </c>
      <c r="AU303" s="286">
        <v>0</v>
      </c>
      <c r="AV303" s="348" t="e">
        <f>ABS(VLOOKUP(A303,TradesEquity!$1:$1048576,18,FALSE))</f>
        <v>#N/A</v>
      </c>
      <c r="AW303" s="349">
        <v>0</v>
      </c>
      <c r="AX303" s="350">
        <v>4542</v>
      </c>
      <c r="AY303" s="351" t="s">
        <v>1959</v>
      </c>
      <c r="AZ303" s="352" t="e">
        <f>(VLOOKUP(A303,TradesEquity!$1:$1048576,29,FALSE))</f>
        <v>#N/A</v>
      </c>
      <c r="BA303" s="352" t="e">
        <f>(VLOOKUP(A303,TradesEquity!$1:$1048576,30,FALSE))</f>
        <v>#N/A</v>
      </c>
      <c r="BB303" s="352" t="e">
        <f>(VLOOKUP(A303,TradesEquity!$1:$1048576,31,FALSE))</f>
        <v>#N/A</v>
      </c>
      <c r="BC303" s="352" t="e">
        <f>(VLOOKUP(A303,TradesEquity!$1:$1048576,32,FALSE))</f>
        <v>#N/A</v>
      </c>
      <c r="BI303" s="352" t="e">
        <f>(VLOOKUP(A303,TradesEquity!$1:$1048576,38,FALSE))</f>
        <v>#N/A</v>
      </c>
      <c r="BJ303" s="352" t="e">
        <f>(VLOOKUP(A303,TradesEquity!$1:$1048576,39,FALSE))</f>
        <v>#N/A</v>
      </c>
      <c r="BK303" s="352" t="e">
        <f>(VLOOKUP(A303,TradesEquity!$1:$1048576,40,FALSE))</f>
        <v>#N/A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22A17-8184-45BC-B020-634B680CEE5F}">
  <sheetPr codeName="Sheet5">
    <tabColor rgb="FF7030A0"/>
  </sheetPr>
  <dimension ref="B3:L53"/>
  <sheetViews>
    <sheetView workbookViewId="0">
      <selection activeCell="H22" sqref="H22"/>
    </sheetView>
  </sheetViews>
  <sheetFormatPr defaultRowHeight="14.5"/>
  <cols>
    <col min="2" max="2" width="21" bestFit="1" customWidth="1"/>
    <col min="3" max="3" width="13.1796875" customWidth="1"/>
    <col min="9" max="9" width="17" bestFit="1" customWidth="1"/>
    <col min="12" max="12" width="50.453125" bestFit="1" customWidth="1"/>
  </cols>
  <sheetData>
    <row r="3" spans="2:12" ht="18.5">
      <c r="B3" s="1212" t="s">
        <v>12793</v>
      </c>
      <c r="C3" s="1212"/>
      <c r="D3" s="1212"/>
    </row>
    <row r="4" spans="2:12">
      <c r="C4" s="275"/>
    </row>
    <row r="5" spans="2:12" ht="15" thickBot="1">
      <c r="B5" s="480" t="s">
        <v>1698</v>
      </c>
      <c r="C5" s="480" t="s">
        <v>12794</v>
      </c>
    </row>
    <row r="6" spans="2:12">
      <c r="B6" s="481" t="s">
        <v>12810</v>
      </c>
      <c r="C6" s="483">
        <v>2</v>
      </c>
      <c r="I6" s="487" t="s">
        <v>12795</v>
      </c>
      <c r="J6" s="488">
        <v>4</v>
      </c>
      <c r="K6" s="489">
        <v>4</v>
      </c>
      <c r="L6" s="490" t="s">
        <v>12796</v>
      </c>
    </row>
    <row r="7" spans="2:12">
      <c r="B7" s="481" t="s">
        <v>12811</v>
      </c>
      <c r="C7" s="483">
        <v>2</v>
      </c>
      <c r="I7" s="491" t="s">
        <v>12797</v>
      </c>
      <c r="J7" s="485">
        <v>3</v>
      </c>
      <c r="K7" s="484">
        <v>3</v>
      </c>
      <c r="L7" s="492" t="s">
        <v>12798</v>
      </c>
    </row>
    <row r="8" spans="2:12">
      <c r="B8" s="481" t="s">
        <v>12812</v>
      </c>
      <c r="C8" s="483">
        <v>2</v>
      </c>
      <c r="I8" s="493" t="s">
        <v>12799</v>
      </c>
      <c r="J8" s="486">
        <v>2</v>
      </c>
      <c r="K8" s="483">
        <v>2</v>
      </c>
      <c r="L8" s="492" t="s">
        <v>12800</v>
      </c>
    </row>
    <row r="9" spans="2:12" ht="15" thickBot="1">
      <c r="B9" s="481" t="s">
        <v>12813</v>
      </c>
      <c r="C9" s="483">
        <v>2</v>
      </c>
      <c r="I9" s="494" t="s">
        <v>12801</v>
      </c>
      <c r="J9" s="495">
        <v>1</v>
      </c>
      <c r="K9" s="496">
        <v>1</v>
      </c>
      <c r="L9" s="497" t="s">
        <v>12802</v>
      </c>
    </row>
    <row r="10" spans="2:12">
      <c r="B10" s="481" t="s">
        <v>12814</v>
      </c>
      <c r="C10" s="484">
        <v>3</v>
      </c>
    </row>
    <row r="11" spans="2:12">
      <c r="B11" s="481" t="s">
        <v>12815</v>
      </c>
      <c r="C11" s="483">
        <v>2</v>
      </c>
    </row>
    <row r="12" spans="2:12">
      <c r="B12" s="481" t="s">
        <v>12816</v>
      </c>
      <c r="C12" s="483">
        <v>2</v>
      </c>
    </row>
    <row r="13" spans="2:12">
      <c r="B13" s="481" t="s">
        <v>12817</v>
      </c>
      <c r="C13" s="483">
        <v>2</v>
      </c>
    </row>
    <row r="14" spans="2:12">
      <c r="B14" s="481" t="s">
        <v>12818</v>
      </c>
      <c r="C14" s="483">
        <v>2</v>
      </c>
    </row>
    <row r="15" spans="2:12">
      <c r="B15" s="481" t="s">
        <v>12819</v>
      </c>
      <c r="C15" s="483">
        <v>2</v>
      </c>
    </row>
    <row r="16" spans="2:12">
      <c r="B16" s="481" t="s">
        <v>12820</v>
      </c>
      <c r="C16" s="483">
        <v>2</v>
      </c>
    </row>
    <row r="17" spans="2:3">
      <c r="B17" s="481" t="s">
        <v>12821</v>
      </c>
      <c r="C17" s="482">
        <v>1</v>
      </c>
    </row>
    <row r="18" spans="2:3">
      <c r="B18" s="481" t="s">
        <v>12822</v>
      </c>
      <c r="C18" s="482">
        <v>1</v>
      </c>
    </row>
    <row r="19" spans="2:3">
      <c r="B19" s="481" t="s">
        <v>12823</v>
      </c>
      <c r="C19" s="483">
        <v>2</v>
      </c>
    </row>
    <row r="20" spans="2:3">
      <c r="B20" s="481" t="s">
        <v>12824</v>
      </c>
      <c r="C20" s="483">
        <v>2</v>
      </c>
    </row>
    <row r="21" spans="2:3">
      <c r="B21" s="481" t="s">
        <v>12825</v>
      </c>
      <c r="C21" s="483">
        <v>2</v>
      </c>
    </row>
    <row r="22" spans="2:3">
      <c r="B22" s="481" t="s">
        <v>12826</v>
      </c>
      <c r="C22" s="483">
        <v>2</v>
      </c>
    </row>
    <row r="23" spans="2:3">
      <c r="B23" s="481" t="s">
        <v>12827</v>
      </c>
      <c r="C23" s="483">
        <v>2</v>
      </c>
    </row>
    <row r="24" spans="2:3">
      <c r="B24" s="481" t="s">
        <v>12828</v>
      </c>
      <c r="C24" s="483">
        <v>2</v>
      </c>
    </row>
    <row r="25" spans="2:3">
      <c r="B25" s="481" t="s">
        <v>12829</v>
      </c>
      <c r="C25" s="483">
        <v>2</v>
      </c>
    </row>
    <row r="26" spans="2:3">
      <c r="B26" s="481" t="s">
        <v>12830</v>
      </c>
      <c r="C26" s="483">
        <v>2</v>
      </c>
    </row>
    <row r="27" spans="2:3">
      <c r="B27" s="481" t="s">
        <v>12831</v>
      </c>
      <c r="C27" s="482">
        <v>1</v>
      </c>
    </row>
    <row r="28" spans="2:3">
      <c r="B28" s="481" t="s">
        <v>12832</v>
      </c>
      <c r="C28" s="483">
        <v>2</v>
      </c>
    </row>
    <row r="29" spans="2:3">
      <c r="B29" s="481" t="s">
        <v>12833</v>
      </c>
      <c r="C29" s="482">
        <v>1</v>
      </c>
    </row>
    <row r="30" spans="2:3">
      <c r="B30" s="481" t="s">
        <v>12834</v>
      </c>
      <c r="C30" s="483">
        <v>2</v>
      </c>
    </row>
    <row r="31" spans="2:3">
      <c r="B31" s="481" t="s">
        <v>12808</v>
      </c>
      <c r="C31" s="483">
        <v>2</v>
      </c>
    </row>
    <row r="32" spans="2:3">
      <c r="B32" s="481" t="s">
        <v>12835</v>
      </c>
      <c r="C32" s="482">
        <v>1</v>
      </c>
    </row>
    <row r="33" spans="2:3">
      <c r="B33" s="481" t="s">
        <v>12836</v>
      </c>
      <c r="C33" s="483">
        <v>2</v>
      </c>
    </row>
    <row r="34" spans="2:3">
      <c r="B34" s="481" t="s">
        <v>12837</v>
      </c>
      <c r="C34" s="483">
        <v>2</v>
      </c>
    </row>
    <row r="35" spans="2:3">
      <c r="B35" s="481" t="s">
        <v>12838</v>
      </c>
      <c r="C35" s="483">
        <v>2</v>
      </c>
    </row>
    <row r="36" spans="2:3">
      <c r="B36" s="481" t="s">
        <v>12839</v>
      </c>
      <c r="C36" s="482">
        <v>1</v>
      </c>
    </row>
    <row r="37" spans="2:3">
      <c r="B37" s="481" t="s">
        <v>12840</v>
      </c>
      <c r="C37" s="483">
        <v>2</v>
      </c>
    </row>
    <row r="38" spans="2:3">
      <c r="B38" s="481" t="s">
        <v>12841</v>
      </c>
      <c r="C38" s="484">
        <v>3</v>
      </c>
    </row>
    <row r="39" spans="2:3">
      <c r="B39" s="481" t="s">
        <v>12842</v>
      </c>
      <c r="C39" s="483">
        <v>2</v>
      </c>
    </row>
    <row r="40" spans="2:3">
      <c r="B40" s="481" t="s">
        <v>12843</v>
      </c>
      <c r="C40" s="484">
        <v>3</v>
      </c>
    </row>
    <row r="41" spans="2:3">
      <c r="B41" s="481" t="s">
        <v>12844</v>
      </c>
      <c r="C41" s="483">
        <v>2</v>
      </c>
    </row>
    <row r="42" spans="2:3">
      <c r="B42" s="481" t="s">
        <v>12845</v>
      </c>
      <c r="C42" s="482">
        <v>1</v>
      </c>
    </row>
    <row r="43" spans="2:3">
      <c r="B43" s="481" t="s">
        <v>12846</v>
      </c>
      <c r="C43" s="483">
        <v>2</v>
      </c>
    </row>
    <row r="44" spans="2:3">
      <c r="B44" s="481" t="s">
        <v>12847</v>
      </c>
      <c r="C44" s="483">
        <v>2</v>
      </c>
    </row>
    <row r="45" spans="2:3">
      <c r="B45" s="481" t="s">
        <v>12848</v>
      </c>
      <c r="C45" s="483">
        <v>2</v>
      </c>
    </row>
    <row r="46" spans="2:3">
      <c r="B46" s="481" t="s">
        <v>12849</v>
      </c>
      <c r="C46" s="482">
        <v>1</v>
      </c>
    </row>
    <row r="47" spans="2:3">
      <c r="B47" s="481" t="s">
        <v>12850</v>
      </c>
      <c r="C47" s="483">
        <v>2</v>
      </c>
    </row>
    <row r="48" spans="2:3">
      <c r="B48" s="481" t="s">
        <v>12851</v>
      </c>
      <c r="C48" s="483">
        <v>2</v>
      </c>
    </row>
    <row r="49" spans="2:3">
      <c r="B49" s="481" t="s">
        <v>12852</v>
      </c>
      <c r="C49" s="484">
        <v>3</v>
      </c>
    </row>
    <row r="50" spans="2:3">
      <c r="B50" s="481" t="s">
        <v>12853</v>
      </c>
      <c r="C50" s="484">
        <v>3</v>
      </c>
    </row>
    <row r="51" spans="2:3">
      <c r="B51" s="481" t="s">
        <v>12854</v>
      </c>
      <c r="C51" s="483">
        <v>2</v>
      </c>
    </row>
    <row r="52" spans="2:3">
      <c r="B52" s="481" t="s">
        <v>12809</v>
      </c>
      <c r="C52" s="483">
        <v>2</v>
      </c>
    </row>
    <row r="53" spans="2:3">
      <c r="B53" s="479"/>
      <c r="C53" s="479"/>
    </row>
  </sheetData>
  <mergeCells count="1">
    <mergeCell ref="B3:D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34313-C66C-42DD-BAEA-F0A66496E5C7}">
  <sheetPr codeName="Foglio22"/>
  <dimension ref="A1:Q155"/>
  <sheetViews>
    <sheetView topLeftCell="A130" workbookViewId="0">
      <selection activeCell="G137" sqref="G137"/>
    </sheetView>
  </sheetViews>
  <sheetFormatPr defaultRowHeight="14.5"/>
  <cols>
    <col min="1" max="1" width="15.54296875" bestFit="1" customWidth="1"/>
    <col min="2" max="2" width="16.26953125" bestFit="1" customWidth="1"/>
    <col min="3" max="3" width="24.453125" customWidth="1"/>
    <col min="4" max="4" width="36.54296875" bestFit="1" customWidth="1"/>
    <col min="5" max="5" width="7.26953125" bestFit="1" customWidth="1"/>
    <col min="6" max="7" width="25.54296875" bestFit="1" customWidth="1"/>
    <col min="8" max="8" width="28" bestFit="1" customWidth="1"/>
    <col min="9" max="9" width="22.54296875" bestFit="1" customWidth="1"/>
    <col min="10" max="10" width="19.26953125" bestFit="1" customWidth="1"/>
    <col min="11" max="11" width="17.26953125" style="100" bestFit="1" customWidth="1"/>
    <col min="12" max="12" width="17.7265625" style="100" bestFit="1" customWidth="1"/>
    <col min="13" max="13" width="12.81640625" bestFit="1" customWidth="1"/>
    <col min="14" max="14" width="8.26953125" bestFit="1" customWidth="1"/>
    <col min="15" max="15" width="11.54296875" bestFit="1" customWidth="1"/>
  </cols>
  <sheetData>
    <row r="1" spans="1:17">
      <c r="B1" s="331" t="s">
        <v>1779</v>
      </c>
      <c r="C1" s="331" t="s">
        <v>1697</v>
      </c>
      <c r="D1" s="331" t="s">
        <v>1780</v>
      </c>
      <c r="E1" s="331" t="s">
        <v>1781</v>
      </c>
      <c r="F1" s="331" t="s">
        <v>1782</v>
      </c>
      <c r="G1" s="331" t="s">
        <v>1783</v>
      </c>
      <c r="H1" s="331" t="s">
        <v>1784</v>
      </c>
      <c r="I1" s="331" t="s">
        <v>1785</v>
      </c>
      <c r="J1" s="331" t="s">
        <v>1786</v>
      </c>
      <c r="K1" s="369" t="s">
        <v>1787</v>
      </c>
      <c r="L1" s="369" t="s">
        <v>1788</v>
      </c>
      <c r="M1" s="331" t="s">
        <v>1789</v>
      </c>
      <c r="N1" s="331"/>
      <c r="O1" s="331" t="s">
        <v>1791</v>
      </c>
    </row>
    <row r="2" spans="1:17">
      <c r="A2" s="332" t="s">
        <v>1792</v>
      </c>
      <c r="B2" s="355" t="s">
        <v>1691</v>
      </c>
      <c r="C2" s="355" t="s">
        <v>1711</v>
      </c>
      <c r="D2" s="355" t="s">
        <v>1793</v>
      </c>
      <c r="E2" s="355" t="s">
        <v>1794</v>
      </c>
      <c r="F2" t="s">
        <v>12596</v>
      </c>
      <c r="G2" t="s">
        <v>12596</v>
      </c>
      <c r="H2" t="s">
        <v>12596</v>
      </c>
      <c r="I2" t="s">
        <v>12596</v>
      </c>
      <c r="J2" t="s">
        <v>12596</v>
      </c>
      <c r="K2" t="s">
        <v>12596</v>
      </c>
      <c r="L2" t="s">
        <v>12596</v>
      </c>
      <c r="M2" s="355" t="s">
        <v>1795</v>
      </c>
      <c r="O2" t="s">
        <v>12596</v>
      </c>
    </row>
    <row r="3" spans="1:17">
      <c r="A3" s="332" t="s">
        <v>1796</v>
      </c>
      <c r="B3" s="355" t="s">
        <v>1691</v>
      </c>
      <c r="C3" s="356" t="s">
        <v>1720</v>
      </c>
      <c r="D3" s="356" t="s">
        <v>1797</v>
      </c>
      <c r="E3" s="355" t="s">
        <v>1794</v>
      </c>
      <c r="F3" t="s">
        <v>12596</v>
      </c>
      <c r="G3" t="s">
        <v>12596</v>
      </c>
      <c r="H3" t="s">
        <v>12596</v>
      </c>
      <c r="I3" t="s">
        <v>12596</v>
      </c>
      <c r="J3" t="s">
        <v>12596</v>
      </c>
      <c r="K3" t="s">
        <v>12596</v>
      </c>
      <c r="L3" t="s">
        <v>12596</v>
      </c>
      <c r="M3" s="356" t="s">
        <v>1798</v>
      </c>
      <c r="O3" t="s">
        <v>12596</v>
      </c>
    </row>
    <row r="4" spans="1:17">
      <c r="A4" s="333" t="s">
        <v>1799</v>
      </c>
      <c r="B4" s="355" t="s">
        <v>1800</v>
      </c>
      <c r="C4" s="356" t="s">
        <v>1731</v>
      </c>
      <c r="D4" s="355" t="s">
        <v>1801</v>
      </c>
      <c r="E4" s="355" t="s">
        <v>1794</v>
      </c>
      <c r="F4" t="s">
        <v>12596</v>
      </c>
      <c r="G4" t="s">
        <v>12596</v>
      </c>
      <c r="H4" t="s">
        <v>12596</v>
      </c>
      <c r="I4" t="s">
        <v>12596</v>
      </c>
      <c r="J4" t="s">
        <v>12596</v>
      </c>
      <c r="K4" t="s">
        <v>12596</v>
      </c>
      <c r="L4" t="s">
        <v>12596</v>
      </c>
      <c r="M4" s="355" t="s">
        <v>1802</v>
      </c>
      <c r="O4" t="s">
        <v>12596</v>
      </c>
    </row>
    <row r="5" spans="1:17">
      <c r="A5" s="332" t="s">
        <v>1803</v>
      </c>
      <c r="B5" s="355" t="s">
        <v>1800</v>
      </c>
      <c r="C5" s="356" t="s">
        <v>1700</v>
      </c>
      <c r="D5" s="355" t="s">
        <v>1804</v>
      </c>
      <c r="E5" s="355" t="s">
        <v>1794</v>
      </c>
      <c r="F5" t="s">
        <v>12596</v>
      </c>
      <c r="G5" t="s">
        <v>12596</v>
      </c>
      <c r="H5" t="s">
        <v>12596</v>
      </c>
      <c r="I5" t="s">
        <v>12596</v>
      </c>
      <c r="J5" t="s">
        <v>12596</v>
      </c>
      <c r="K5" t="s">
        <v>12596</v>
      </c>
      <c r="L5" t="s">
        <v>12596</v>
      </c>
      <c r="M5" s="355" t="s">
        <v>1805</v>
      </c>
      <c r="O5" t="s">
        <v>12596</v>
      </c>
    </row>
    <row r="6" spans="1:17">
      <c r="A6" s="332" t="s">
        <v>1806</v>
      </c>
      <c r="B6" s="355" t="s">
        <v>1691</v>
      </c>
      <c r="C6" s="356" t="s">
        <v>1756</v>
      </c>
      <c r="D6" s="355" t="s">
        <v>1807</v>
      </c>
      <c r="E6" s="355" t="s">
        <v>1794</v>
      </c>
      <c r="F6" t="s">
        <v>12596</v>
      </c>
      <c r="G6" t="s">
        <v>12596</v>
      </c>
      <c r="H6" t="s">
        <v>12596</v>
      </c>
      <c r="I6" t="s">
        <v>12596</v>
      </c>
      <c r="J6" t="s">
        <v>12596</v>
      </c>
      <c r="K6" t="s">
        <v>12596</v>
      </c>
      <c r="L6" t="s">
        <v>12596</v>
      </c>
      <c r="M6" s="355" t="s">
        <v>1795</v>
      </c>
      <c r="O6" t="s">
        <v>12596</v>
      </c>
    </row>
    <row r="7" spans="1:17">
      <c r="A7" s="332" t="s">
        <v>1808</v>
      </c>
      <c r="B7" s="355" t="s">
        <v>1691</v>
      </c>
      <c r="C7" s="356" t="s">
        <v>1744</v>
      </c>
      <c r="D7" s="356" t="s">
        <v>1809</v>
      </c>
      <c r="E7" s="355" t="s">
        <v>1794</v>
      </c>
      <c r="F7" t="s">
        <v>12596</v>
      </c>
      <c r="G7" t="s">
        <v>12596</v>
      </c>
      <c r="H7" t="s">
        <v>12596</v>
      </c>
      <c r="I7" t="s">
        <v>12596</v>
      </c>
      <c r="J7" t="s">
        <v>12596</v>
      </c>
      <c r="K7" t="s">
        <v>12596</v>
      </c>
      <c r="L7" t="s">
        <v>12596</v>
      </c>
      <c r="M7" s="355" t="s">
        <v>1810</v>
      </c>
      <c r="O7" t="s">
        <v>12596</v>
      </c>
    </row>
    <row r="8" spans="1:17">
      <c r="A8" s="332" t="s">
        <v>1811</v>
      </c>
      <c r="B8" s="355" t="s">
        <v>1691</v>
      </c>
      <c r="C8" s="355" t="s">
        <v>1747</v>
      </c>
      <c r="D8" s="356" t="s">
        <v>1812</v>
      </c>
      <c r="E8" s="355" t="s">
        <v>1794</v>
      </c>
      <c r="F8" t="s">
        <v>12596</v>
      </c>
      <c r="G8" t="s">
        <v>12596</v>
      </c>
      <c r="H8" t="s">
        <v>12596</v>
      </c>
      <c r="I8" t="s">
        <v>12596</v>
      </c>
      <c r="J8" t="s">
        <v>12596</v>
      </c>
      <c r="K8" t="s">
        <v>12596</v>
      </c>
      <c r="L8" t="s">
        <v>12596</v>
      </c>
      <c r="M8" s="355" t="s">
        <v>1795</v>
      </c>
      <c r="O8" t="s">
        <v>12596</v>
      </c>
      <c r="Q8" t="s">
        <v>12596</v>
      </c>
    </row>
    <row r="9" spans="1:17">
      <c r="A9" s="334" t="s">
        <v>1813</v>
      </c>
      <c r="B9" s="355" t="s">
        <v>1800</v>
      </c>
      <c r="C9" s="356" t="s">
        <v>1736</v>
      </c>
      <c r="D9" s="356">
        <v>100502629</v>
      </c>
      <c r="E9" s="355" t="s">
        <v>1794</v>
      </c>
      <c r="F9" t="s">
        <v>12596</v>
      </c>
      <c r="G9" t="s">
        <v>12596</v>
      </c>
      <c r="H9" t="s">
        <v>12596</v>
      </c>
      <c r="I9" t="s">
        <v>12596</v>
      </c>
      <c r="J9" t="s">
        <v>12596</v>
      </c>
      <c r="K9" t="s">
        <v>12596</v>
      </c>
      <c r="L9" t="s">
        <v>12596</v>
      </c>
      <c r="M9" s="356" t="s">
        <v>1814</v>
      </c>
      <c r="O9" t="s">
        <v>12596</v>
      </c>
    </row>
    <row r="10" spans="1:17">
      <c r="A10" s="332" t="s">
        <v>1815</v>
      </c>
      <c r="B10" s="355" t="s">
        <v>1800</v>
      </c>
      <c r="C10" s="355" t="s">
        <v>1728</v>
      </c>
      <c r="D10" s="356">
        <v>27221501</v>
      </c>
      <c r="E10" s="355" t="s">
        <v>1794</v>
      </c>
      <c r="F10" t="s">
        <v>12596</v>
      </c>
      <c r="G10" t="s">
        <v>12596</v>
      </c>
      <c r="H10" t="s">
        <v>12596</v>
      </c>
      <c r="I10" t="s">
        <v>12596</v>
      </c>
      <c r="J10" t="s">
        <v>12596</v>
      </c>
      <c r="K10" t="s">
        <v>12596</v>
      </c>
      <c r="L10" t="s">
        <v>12596</v>
      </c>
      <c r="M10" s="355" t="s">
        <v>1816</v>
      </c>
      <c r="O10" t="s">
        <v>12596</v>
      </c>
    </row>
    <row r="11" spans="1:17">
      <c r="A11" s="332" t="s">
        <v>1817</v>
      </c>
      <c r="B11" s="355" t="s">
        <v>1800</v>
      </c>
      <c r="C11" s="355" t="s">
        <v>1763</v>
      </c>
      <c r="D11" s="356" t="s">
        <v>1818</v>
      </c>
      <c r="E11" s="355" t="s">
        <v>1794</v>
      </c>
      <c r="F11" t="s">
        <v>12596</v>
      </c>
      <c r="G11" t="s">
        <v>12596</v>
      </c>
      <c r="H11" t="s">
        <v>12596</v>
      </c>
      <c r="I11" t="s">
        <v>12596</v>
      </c>
      <c r="J11" t="s">
        <v>12596</v>
      </c>
      <c r="K11" t="s">
        <v>12596</v>
      </c>
      <c r="L11" t="s">
        <v>12596</v>
      </c>
      <c r="M11" s="355" t="s">
        <v>1819</v>
      </c>
      <c r="O11" t="s">
        <v>12596</v>
      </c>
    </row>
    <row r="12" spans="1:17">
      <c r="A12" s="332" t="s">
        <v>1820</v>
      </c>
      <c r="B12" s="355" t="s">
        <v>1800</v>
      </c>
      <c r="C12" s="355" t="s">
        <v>1821</v>
      </c>
      <c r="D12" s="355">
        <v>60040160313</v>
      </c>
      <c r="E12" s="355" t="s">
        <v>1794</v>
      </c>
      <c r="F12" t="s">
        <v>12596</v>
      </c>
      <c r="G12" t="s">
        <v>12596</v>
      </c>
      <c r="H12" t="s">
        <v>12596</v>
      </c>
      <c r="I12" t="s">
        <v>12596</v>
      </c>
      <c r="J12" t="s">
        <v>12596</v>
      </c>
      <c r="K12" t="s">
        <v>12596</v>
      </c>
      <c r="L12" t="s">
        <v>12596</v>
      </c>
      <c r="M12" s="355" t="s">
        <v>1822</v>
      </c>
      <c r="O12" t="s">
        <v>12596</v>
      </c>
    </row>
    <row r="13" spans="1:17">
      <c r="A13" s="332" t="s">
        <v>1823</v>
      </c>
      <c r="B13" s="355" t="s">
        <v>1800</v>
      </c>
      <c r="C13" s="355" t="s">
        <v>1708</v>
      </c>
      <c r="D13" s="355">
        <v>6212721697</v>
      </c>
      <c r="E13" s="355" t="s">
        <v>1794</v>
      </c>
      <c r="F13" t="s">
        <v>12596</v>
      </c>
      <c r="G13" t="s">
        <v>12596</v>
      </c>
      <c r="H13" t="s">
        <v>12596</v>
      </c>
      <c r="I13" t="s">
        <v>12596</v>
      </c>
      <c r="J13" t="s">
        <v>12596</v>
      </c>
      <c r="K13" s="366" t="s">
        <v>1824</v>
      </c>
      <c r="L13" s="366" t="s">
        <v>1825</v>
      </c>
      <c r="M13" t="s">
        <v>12596</v>
      </c>
      <c r="O13" t="s">
        <v>12596</v>
      </c>
    </row>
    <row r="14" spans="1:17">
      <c r="A14" s="332" t="s">
        <v>1826</v>
      </c>
      <c r="B14" s="355" t="s">
        <v>1800</v>
      </c>
      <c r="C14" s="355" t="s">
        <v>1733</v>
      </c>
      <c r="D14" s="355" t="s">
        <v>1827</v>
      </c>
      <c r="E14" s="355" t="s">
        <v>1794</v>
      </c>
      <c r="F14" t="s">
        <v>12596</v>
      </c>
      <c r="G14" t="s">
        <v>12596</v>
      </c>
      <c r="H14" t="s">
        <v>12596</v>
      </c>
      <c r="I14" t="s">
        <v>12596</v>
      </c>
      <c r="J14" t="s">
        <v>12596</v>
      </c>
      <c r="K14" t="s">
        <v>12596</v>
      </c>
      <c r="L14" t="s">
        <v>12596</v>
      </c>
      <c r="M14" s="355" t="s">
        <v>1828</v>
      </c>
      <c r="O14" t="s">
        <v>12596</v>
      </c>
    </row>
    <row r="15" spans="1:17">
      <c r="A15" s="332" t="s">
        <v>1829</v>
      </c>
      <c r="B15" s="355" t="s">
        <v>1800</v>
      </c>
      <c r="C15" s="355" t="s">
        <v>1703</v>
      </c>
      <c r="D15" s="355">
        <v>2099100983</v>
      </c>
      <c r="E15" s="355" t="s">
        <v>1794</v>
      </c>
      <c r="F15" t="s">
        <v>12596</v>
      </c>
      <c r="G15" t="s">
        <v>12596</v>
      </c>
      <c r="H15" t="s">
        <v>12596</v>
      </c>
      <c r="I15" t="s">
        <v>12596</v>
      </c>
      <c r="J15" t="s">
        <v>12596</v>
      </c>
      <c r="K15" t="s">
        <v>12596</v>
      </c>
      <c r="L15" t="s">
        <v>12596</v>
      </c>
      <c r="M15" s="355" t="s">
        <v>1830</v>
      </c>
      <c r="O15" t="s">
        <v>12596</v>
      </c>
    </row>
    <row r="16" spans="1:17">
      <c r="A16" s="332" t="s">
        <v>1831</v>
      </c>
      <c r="B16" s="355" t="s">
        <v>1800</v>
      </c>
      <c r="C16" s="356" t="s">
        <v>1722</v>
      </c>
      <c r="D16" s="355">
        <v>236707</v>
      </c>
      <c r="E16" s="355" t="s">
        <v>1794</v>
      </c>
      <c r="F16" t="s">
        <v>12596</v>
      </c>
      <c r="G16" t="s">
        <v>12596</v>
      </c>
      <c r="H16" t="s">
        <v>12596</v>
      </c>
      <c r="I16" t="s">
        <v>12596</v>
      </c>
      <c r="J16" t="s">
        <v>12596</v>
      </c>
      <c r="K16" s="372" t="s">
        <v>1832</v>
      </c>
      <c r="L16" s="366">
        <v>908</v>
      </c>
      <c r="M16" t="s">
        <v>12596</v>
      </c>
      <c r="O16" t="s">
        <v>12596</v>
      </c>
    </row>
    <row r="17" spans="1:15">
      <c r="A17" s="332" t="s">
        <v>1833</v>
      </c>
      <c r="B17" s="355" t="s">
        <v>1800</v>
      </c>
      <c r="C17" s="355" t="s">
        <v>1714</v>
      </c>
      <c r="D17" s="355">
        <v>862872</v>
      </c>
      <c r="E17" s="355" t="s">
        <v>1794</v>
      </c>
      <c r="F17" t="s">
        <v>12596</v>
      </c>
      <c r="G17" t="s">
        <v>12596</v>
      </c>
      <c r="H17" t="s">
        <v>12596</v>
      </c>
      <c r="I17" t="s">
        <v>12596</v>
      </c>
      <c r="J17" t="s">
        <v>12596</v>
      </c>
      <c r="K17" s="366" t="s">
        <v>1834</v>
      </c>
      <c r="L17" s="366" t="s">
        <v>1835</v>
      </c>
      <c r="M17" t="s">
        <v>12596</v>
      </c>
      <c r="O17" t="s">
        <v>12596</v>
      </c>
    </row>
    <row r="18" spans="1:15">
      <c r="A18" s="332" t="s">
        <v>1833</v>
      </c>
      <c r="B18" s="355" t="s">
        <v>1800</v>
      </c>
      <c r="C18" s="355" t="s">
        <v>1714</v>
      </c>
      <c r="D18" s="355">
        <v>862872</v>
      </c>
      <c r="E18" s="355" t="s">
        <v>1794</v>
      </c>
      <c r="F18" t="s">
        <v>12596</v>
      </c>
      <c r="G18" t="s">
        <v>12596</v>
      </c>
      <c r="H18" t="s">
        <v>12596</v>
      </c>
      <c r="I18" t="s">
        <v>12596</v>
      </c>
      <c r="J18" t="s">
        <v>12596</v>
      </c>
      <c r="K18" s="366" t="s">
        <v>1834</v>
      </c>
      <c r="L18" s="366" t="s">
        <v>1835</v>
      </c>
      <c r="M18" t="s">
        <v>12596</v>
      </c>
      <c r="O18" t="s">
        <v>12596</v>
      </c>
    </row>
    <row r="19" spans="1:15" ht="15" thickBot="1">
      <c r="A19" s="335" t="s">
        <v>1183</v>
      </c>
      <c r="B19" s="358" t="s">
        <v>1800</v>
      </c>
      <c r="C19" s="358" t="s">
        <v>1714</v>
      </c>
      <c r="D19" s="358">
        <v>862872</v>
      </c>
      <c r="E19" s="358" t="s">
        <v>1794</v>
      </c>
      <c r="F19" t="s">
        <v>12596</v>
      </c>
      <c r="G19" t="s">
        <v>12596</v>
      </c>
      <c r="H19" t="s">
        <v>12596</v>
      </c>
      <c r="I19" t="s">
        <v>12596</v>
      </c>
      <c r="J19" t="s">
        <v>12596</v>
      </c>
      <c r="K19" s="371" t="s">
        <v>1834</v>
      </c>
      <c r="L19" s="371" t="s">
        <v>1835</v>
      </c>
      <c r="M19" t="s">
        <v>12596</v>
      </c>
      <c r="O19" t="s">
        <v>12596</v>
      </c>
    </row>
    <row r="20" spans="1:15">
      <c r="A20" s="332" t="s">
        <v>1960</v>
      </c>
      <c r="B20" s="355" t="s">
        <v>1836</v>
      </c>
      <c r="C20" s="355" t="s">
        <v>1711</v>
      </c>
      <c r="D20" s="355" t="s">
        <v>1837</v>
      </c>
      <c r="E20" s="355" t="s">
        <v>1794</v>
      </c>
      <c r="F20" t="s">
        <v>12596</v>
      </c>
      <c r="G20" t="s">
        <v>12596</v>
      </c>
      <c r="H20" t="s">
        <v>12596</v>
      </c>
      <c r="I20" t="s">
        <v>12596</v>
      </c>
      <c r="J20" t="s">
        <v>12596</v>
      </c>
      <c r="K20" t="s">
        <v>12596</v>
      </c>
      <c r="L20" t="s">
        <v>12596</v>
      </c>
      <c r="M20" s="355" t="s">
        <v>1838</v>
      </c>
      <c r="O20" t="s">
        <v>12596</v>
      </c>
    </row>
    <row r="21" spans="1:15">
      <c r="A21" s="332" t="s">
        <v>1961</v>
      </c>
      <c r="B21" s="355" t="s">
        <v>1836</v>
      </c>
      <c r="C21" s="355" t="s">
        <v>1720</v>
      </c>
      <c r="D21" s="355" t="s">
        <v>1839</v>
      </c>
      <c r="E21" s="355" t="s">
        <v>1794</v>
      </c>
      <c r="F21" t="s">
        <v>12596</v>
      </c>
      <c r="G21" t="s">
        <v>12596</v>
      </c>
      <c r="H21" t="s">
        <v>12596</v>
      </c>
      <c r="I21" t="s">
        <v>12596</v>
      </c>
      <c r="J21" t="s">
        <v>12596</v>
      </c>
      <c r="K21" t="s">
        <v>12596</v>
      </c>
      <c r="L21" t="s">
        <v>12596</v>
      </c>
      <c r="M21" s="355" t="s">
        <v>1840</v>
      </c>
      <c r="O21" t="s">
        <v>12596</v>
      </c>
    </row>
    <row r="22" spans="1:15">
      <c r="A22" s="332" t="s">
        <v>1962</v>
      </c>
      <c r="B22" s="355" t="s">
        <v>1836</v>
      </c>
      <c r="C22" s="355" t="s">
        <v>1731</v>
      </c>
      <c r="D22" s="355" t="s">
        <v>1841</v>
      </c>
      <c r="E22" s="355" t="s">
        <v>1794</v>
      </c>
      <c r="F22" t="s">
        <v>12596</v>
      </c>
      <c r="G22" t="s">
        <v>12596</v>
      </c>
      <c r="H22" t="s">
        <v>12596</v>
      </c>
      <c r="I22" t="s">
        <v>12596</v>
      </c>
      <c r="J22" t="s">
        <v>12596</v>
      </c>
      <c r="K22" t="s">
        <v>12596</v>
      </c>
      <c r="L22" t="s">
        <v>12596</v>
      </c>
      <c r="M22" s="355" t="s">
        <v>1842</v>
      </c>
      <c r="O22" t="s">
        <v>12596</v>
      </c>
    </row>
    <row r="23" spans="1:15">
      <c r="A23" s="332" t="s">
        <v>1963</v>
      </c>
      <c r="B23" s="355" t="s">
        <v>1836</v>
      </c>
      <c r="C23" s="355" t="s">
        <v>1700</v>
      </c>
      <c r="D23" s="355">
        <v>10100030360</v>
      </c>
      <c r="E23" s="355" t="s">
        <v>1794</v>
      </c>
      <c r="F23" t="s">
        <v>12596</v>
      </c>
      <c r="G23" t="s">
        <v>12596</v>
      </c>
      <c r="H23" t="s">
        <v>12596</v>
      </c>
      <c r="I23" t="s">
        <v>12596</v>
      </c>
      <c r="J23" t="s">
        <v>12596</v>
      </c>
      <c r="K23" t="s">
        <v>12596</v>
      </c>
      <c r="L23" t="s">
        <v>12596</v>
      </c>
      <c r="M23" s="355" t="s">
        <v>1843</v>
      </c>
      <c r="O23" t="s">
        <v>12596</v>
      </c>
    </row>
    <row r="24" spans="1:15">
      <c r="A24" s="332" t="s">
        <v>1964</v>
      </c>
      <c r="B24" s="355" t="s">
        <v>1836</v>
      </c>
      <c r="C24" s="355" t="s">
        <v>1756</v>
      </c>
      <c r="D24" s="355" t="s">
        <v>1844</v>
      </c>
      <c r="E24" s="355" t="s">
        <v>1794</v>
      </c>
      <c r="F24" t="s">
        <v>12596</v>
      </c>
      <c r="G24" t="s">
        <v>12596</v>
      </c>
      <c r="H24" t="s">
        <v>12596</v>
      </c>
      <c r="I24" t="s">
        <v>12596</v>
      </c>
      <c r="J24" t="s">
        <v>12596</v>
      </c>
      <c r="K24" t="s">
        <v>12596</v>
      </c>
      <c r="L24" t="s">
        <v>12596</v>
      </c>
      <c r="M24" s="355" t="s">
        <v>1838</v>
      </c>
      <c r="O24" t="s">
        <v>12596</v>
      </c>
    </row>
    <row r="25" spans="1:15">
      <c r="A25" s="332" t="s">
        <v>1965</v>
      </c>
      <c r="B25" s="355" t="s">
        <v>1836</v>
      </c>
      <c r="C25" s="355" t="s">
        <v>1744</v>
      </c>
      <c r="D25" s="355" t="s">
        <v>1845</v>
      </c>
      <c r="E25" s="355" t="s">
        <v>1794</v>
      </c>
      <c r="F25" t="s">
        <v>12596</v>
      </c>
      <c r="G25" t="s">
        <v>12596</v>
      </c>
      <c r="H25" t="s">
        <v>12596</v>
      </c>
      <c r="I25" t="s">
        <v>12596</v>
      </c>
      <c r="J25" t="s">
        <v>12596</v>
      </c>
      <c r="K25" t="s">
        <v>12596</v>
      </c>
      <c r="L25" t="s">
        <v>12596</v>
      </c>
      <c r="M25" s="355" t="s">
        <v>1846</v>
      </c>
      <c r="O25" t="s">
        <v>12596</v>
      </c>
    </row>
    <row r="26" spans="1:15">
      <c r="A26" s="332" t="s">
        <v>1966</v>
      </c>
      <c r="B26" s="355" t="s">
        <v>1836</v>
      </c>
      <c r="C26" s="355" t="s">
        <v>1747</v>
      </c>
      <c r="D26" s="355" t="s">
        <v>1847</v>
      </c>
      <c r="E26" s="355" t="s">
        <v>1794</v>
      </c>
      <c r="F26" t="s">
        <v>12596</v>
      </c>
      <c r="G26" t="s">
        <v>12596</v>
      </c>
      <c r="H26" t="s">
        <v>12596</v>
      </c>
      <c r="I26" t="s">
        <v>12596</v>
      </c>
      <c r="J26" t="s">
        <v>12596</v>
      </c>
      <c r="K26" t="s">
        <v>12596</v>
      </c>
      <c r="L26" t="s">
        <v>12596</v>
      </c>
      <c r="M26" s="355" t="s">
        <v>1848</v>
      </c>
      <c r="O26" t="s">
        <v>12596</v>
      </c>
    </row>
    <row r="27" spans="1:15">
      <c r="A27" s="332" t="s">
        <v>1967</v>
      </c>
      <c r="B27" s="355" t="s">
        <v>1836</v>
      </c>
      <c r="C27" s="355" t="s">
        <v>1736</v>
      </c>
      <c r="D27" s="355">
        <v>6530490016</v>
      </c>
      <c r="E27" s="355" t="s">
        <v>1794</v>
      </c>
      <c r="F27" t="s">
        <v>12596</v>
      </c>
      <c r="G27" t="s">
        <v>12596</v>
      </c>
      <c r="H27" t="s">
        <v>12596</v>
      </c>
      <c r="I27" t="s">
        <v>12596</v>
      </c>
      <c r="J27" t="s">
        <v>12596</v>
      </c>
      <c r="K27" t="s">
        <v>12785</v>
      </c>
      <c r="L27" t="s">
        <v>12786</v>
      </c>
      <c r="M27" s="355" t="s">
        <v>1849</v>
      </c>
      <c r="O27" t="s">
        <v>12596</v>
      </c>
    </row>
    <row r="28" spans="1:15">
      <c r="A28" s="332" t="s">
        <v>1968</v>
      </c>
      <c r="B28" s="355" t="s">
        <v>1836</v>
      </c>
      <c r="C28" s="355" t="s">
        <v>1705</v>
      </c>
      <c r="D28" s="355" t="s">
        <v>1850</v>
      </c>
      <c r="E28" s="355" t="s">
        <v>1794</v>
      </c>
      <c r="F28" t="s">
        <v>12596</v>
      </c>
      <c r="G28" t="s">
        <v>12596</v>
      </c>
      <c r="H28" t="s">
        <v>12596</v>
      </c>
      <c r="I28" t="s">
        <v>12596</v>
      </c>
      <c r="J28" t="s">
        <v>12596</v>
      </c>
      <c r="K28" t="s">
        <v>12596</v>
      </c>
      <c r="L28" t="s">
        <v>12596</v>
      </c>
      <c r="M28" s="355" t="s">
        <v>1851</v>
      </c>
      <c r="O28" t="s">
        <v>12596</v>
      </c>
    </row>
    <row r="29" spans="1:15">
      <c r="A29" s="332" t="s">
        <v>1969</v>
      </c>
      <c r="B29" s="355" t="s">
        <v>1836</v>
      </c>
      <c r="C29" s="355" t="s">
        <v>1852</v>
      </c>
      <c r="D29" s="355" t="s">
        <v>1853</v>
      </c>
      <c r="E29" s="355" t="s">
        <v>1794</v>
      </c>
      <c r="F29" t="s">
        <v>12596</v>
      </c>
      <c r="G29" t="s">
        <v>12596</v>
      </c>
      <c r="H29" t="s">
        <v>12596</v>
      </c>
      <c r="I29" t="s">
        <v>12596</v>
      </c>
      <c r="J29" t="s">
        <v>12596</v>
      </c>
      <c r="K29" t="s">
        <v>12596</v>
      </c>
      <c r="L29" t="s">
        <v>12596</v>
      </c>
      <c r="M29" s="355" t="s">
        <v>1854</v>
      </c>
      <c r="O29" t="s">
        <v>12596</v>
      </c>
    </row>
    <row r="30" spans="1:15">
      <c r="A30" s="332" t="s">
        <v>1970</v>
      </c>
      <c r="B30" s="355" t="s">
        <v>1836</v>
      </c>
      <c r="C30" s="355" t="s">
        <v>1725</v>
      </c>
      <c r="D30" s="355" t="s">
        <v>1855</v>
      </c>
      <c r="E30" s="355" t="s">
        <v>1794</v>
      </c>
      <c r="F30" t="s">
        <v>12596</v>
      </c>
      <c r="G30" t="s">
        <v>12596</v>
      </c>
      <c r="H30" t="s">
        <v>12596</v>
      </c>
      <c r="I30" t="s">
        <v>12596</v>
      </c>
      <c r="J30" t="s">
        <v>12596</v>
      </c>
      <c r="K30" t="s">
        <v>12596</v>
      </c>
      <c r="L30" t="s">
        <v>12596</v>
      </c>
      <c r="M30" s="355" t="s">
        <v>1856</v>
      </c>
      <c r="O30" t="s">
        <v>12596</v>
      </c>
    </row>
    <row r="31" spans="1:15">
      <c r="A31" s="332" t="s">
        <v>1971</v>
      </c>
      <c r="B31" s="355" t="s">
        <v>1836</v>
      </c>
      <c r="C31" s="355" t="s">
        <v>1770</v>
      </c>
      <c r="D31" t="s">
        <v>12596</v>
      </c>
      <c r="E31" s="355" t="s">
        <v>1794</v>
      </c>
      <c r="F31" t="s">
        <v>12596</v>
      </c>
      <c r="G31" t="s">
        <v>12596</v>
      </c>
      <c r="H31" t="s">
        <v>12596</v>
      </c>
      <c r="I31" t="s">
        <v>12596</v>
      </c>
      <c r="J31" t="s">
        <v>12596</v>
      </c>
      <c r="K31" s="366" t="s">
        <v>1857</v>
      </c>
      <c r="L31" s="366" t="s">
        <v>1858</v>
      </c>
      <c r="M31" s="355" t="s">
        <v>1859</v>
      </c>
      <c r="O31" t="s">
        <v>12596</v>
      </c>
    </row>
    <row r="32" spans="1:15">
      <c r="A32" s="332" t="s">
        <v>1972</v>
      </c>
      <c r="B32" s="355" t="s">
        <v>1836</v>
      </c>
      <c r="C32" s="355" t="s">
        <v>1728</v>
      </c>
      <c r="D32" s="355" t="s">
        <v>1860</v>
      </c>
      <c r="E32" s="355" t="s">
        <v>1794</v>
      </c>
      <c r="F32" t="s">
        <v>12596</v>
      </c>
      <c r="G32" t="s">
        <v>12596</v>
      </c>
      <c r="H32" t="s">
        <v>12596</v>
      </c>
      <c r="I32" t="s">
        <v>12596</v>
      </c>
      <c r="J32" t="s">
        <v>12596</v>
      </c>
      <c r="K32" t="s">
        <v>12596</v>
      </c>
      <c r="L32" t="s">
        <v>12596</v>
      </c>
      <c r="M32" s="355" t="s">
        <v>1861</v>
      </c>
      <c r="O32" t="s">
        <v>12596</v>
      </c>
    </row>
    <row r="33" spans="1:15">
      <c r="A33" s="332" t="s">
        <v>1973</v>
      </c>
      <c r="B33" s="355" t="s">
        <v>1836</v>
      </c>
      <c r="C33" s="355" t="s">
        <v>1862</v>
      </c>
      <c r="D33" s="355">
        <v>1002864992</v>
      </c>
      <c r="E33" s="355" t="s">
        <v>1794</v>
      </c>
      <c r="F33" t="s">
        <v>12596</v>
      </c>
      <c r="G33" t="s">
        <v>12596</v>
      </c>
      <c r="H33" t="s">
        <v>12596</v>
      </c>
      <c r="I33" t="s">
        <v>12596</v>
      </c>
      <c r="J33" t="s">
        <v>12596</v>
      </c>
      <c r="K33" t="s">
        <v>12596</v>
      </c>
      <c r="L33" t="s">
        <v>12596</v>
      </c>
      <c r="M33" s="355" t="s">
        <v>1819</v>
      </c>
      <c r="O33" t="s">
        <v>12596</v>
      </c>
    </row>
    <row r="34" spans="1:15">
      <c r="A34" s="332" t="s">
        <v>1974</v>
      </c>
      <c r="B34" s="355" t="s">
        <v>1836</v>
      </c>
      <c r="C34" s="355" t="s">
        <v>1863</v>
      </c>
      <c r="D34" s="355">
        <v>123101490089</v>
      </c>
      <c r="E34" s="355" t="s">
        <v>1794</v>
      </c>
      <c r="F34" t="s">
        <v>12596</v>
      </c>
      <c r="G34" t="s">
        <v>12596</v>
      </c>
      <c r="H34" t="s">
        <v>12596</v>
      </c>
      <c r="I34" t="s">
        <v>12596</v>
      </c>
      <c r="J34" t="s">
        <v>12596</v>
      </c>
      <c r="K34" t="s">
        <v>12596</v>
      </c>
      <c r="L34" t="s">
        <v>12596</v>
      </c>
      <c r="M34" s="355" t="s">
        <v>1836</v>
      </c>
      <c r="O34" t="s">
        <v>12596</v>
      </c>
    </row>
    <row r="35" spans="1:15">
      <c r="A35" s="332" t="s">
        <v>1975</v>
      </c>
      <c r="B35" s="355" t="s">
        <v>1836</v>
      </c>
      <c r="C35" s="355" t="s">
        <v>1864</v>
      </c>
      <c r="D35" t="s">
        <v>12596</v>
      </c>
      <c r="E35" s="355" t="s">
        <v>1794</v>
      </c>
      <c r="F35" t="s">
        <v>12596</v>
      </c>
      <c r="G35" t="s">
        <v>12596</v>
      </c>
      <c r="H35" t="s">
        <v>12596</v>
      </c>
      <c r="I35" t="s">
        <v>12596</v>
      </c>
      <c r="J35" t="s">
        <v>12596</v>
      </c>
      <c r="K35" s="366" t="s">
        <v>1824</v>
      </c>
      <c r="L35" s="366" t="s">
        <v>1865</v>
      </c>
      <c r="M35" t="s">
        <v>12596</v>
      </c>
      <c r="O35" t="s">
        <v>12596</v>
      </c>
    </row>
    <row r="36" spans="1:15">
      <c r="A36" s="332" t="s">
        <v>1976</v>
      </c>
      <c r="B36" s="355" t="s">
        <v>1836</v>
      </c>
      <c r="C36" s="355" t="s">
        <v>1866</v>
      </c>
      <c r="D36" s="355">
        <v>20319455</v>
      </c>
      <c r="E36" s="355" t="s">
        <v>1794</v>
      </c>
      <c r="F36" t="s">
        <v>12596</v>
      </c>
      <c r="G36" t="s">
        <v>12596</v>
      </c>
      <c r="H36" t="s">
        <v>12596</v>
      </c>
      <c r="I36" t="s">
        <v>12596</v>
      </c>
      <c r="J36" t="s">
        <v>12596</v>
      </c>
      <c r="K36" s="366" t="s">
        <v>1867</v>
      </c>
      <c r="L36" s="366" t="s">
        <v>1868</v>
      </c>
      <c r="M36" s="355" t="s">
        <v>1836</v>
      </c>
      <c r="O36" t="s">
        <v>12596</v>
      </c>
    </row>
    <row r="37" spans="1:15">
      <c r="A37" s="332" t="s">
        <v>1977</v>
      </c>
      <c r="B37" s="355" t="s">
        <v>1836</v>
      </c>
      <c r="C37" s="355" t="s">
        <v>1869</v>
      </c>
      <c r="D37" s="355" t="s">
        <v>1870</v>
      </c>
      <c r="E37" s="355" t="s">
        <v>1794</v>
      </c>
      <c r="F37" t="s">
        <v>12596</v>
      </c>
      <c r="G37" t="s">
        <v>12596</v>
      </c>
      <c r="H37" t="s">
        <v>12596</v>
      </c>
      <c r="I37" t="s">
        <v>12596</v>
      </c>
      <c r="J37" t="s">
        <v>12596</v>
      </c>
      <c r="K37" t="s">
        <v>12596</v>
      </c>
      <c r="L37" t="s">
        <v>12596</v>
      </c>
      <c r="M37" s="355" t="s">
        <v>1871</v>
      </c>
      <c r="O37" t="s">
        <v>12596</v>
      </c>
    </row>
    <row r="38" spans="1:15">
      <c r="A38" s="332" t="s">
        <v>1978</v>
      </c>
      <c r="B38" s="355" t="s">
        <v>1836</v>
      </c>
      <c r="C38" s="355" t="s">
        <v>1872</v>
      </c>
      <c r="D38" t="s">
        <v>12596</v>
      </c>
      <c r="E38" s="355" t="s">
        <v>1794</v>
      </c>
      <c r="F38" t="s">
        <v>12596</v>
      </c>
      <c r="G38" t="s">
        <v>12596</v>
      </c>
      <c r="H38" t="s">
        <v>12596</v>
      </c>
      <c r="I38" t="s">
        <v>12596</v>
      </c>
      <c r="J38" t="s">
        <v>12596</v>
      </c>
      <c r="K38" s="372" t="s">
        <v>1832</v>
      </c>
      <c r="L38" s="366">
        <v>5208</v>
      </c>
      <c r="M38" t="s">
        <v>12596</v>
      </c>
      <c r="O38" t="s">
        <v>12596</v>
      </c>
    </row>
    <row r="39" spans="1:15">
      <c r="A39" s="332" t="s">
        <v>1979</v>
      </c>
      <c r="B39" s="355" t="s">
        <v>1836</v>
      </c>
      <c r="C39" s="355" t="s">
        <v>1873</v>
      </c>
      <c r="D39" t="s">
        <v>12596</v>
      </c>
      <c r="E39" s="355" t="s">
        <v>1794</v>
      </c>
      <c r="F39" t="s">
        <v>12596</v>
      </c>
      <c r="G39" t="s">
        <v>12596</v>
      </c>
      <c r="H39" t="s">
        <v>12596</v>
      </c>
      <c r="I39" t="s">
        <v>12596</v>
      </c>
      <c r="J39" t="s">
        <v>12596</v>
      </c>
      <c r="K39" s="366" t="s">
        <v>1834</v>
      </c>
      <c r="L39" s="366">
        <v>303</v>
      </c>
      <c r="M39" s="355" t="s">
        <v>1836</v>
      </c>
      <c r="O39" t="s">
        <v>12596</v>
      </c>
    </row>
    <row r="40" spans="1:15" ht="15" thickBot="1">
      <c r="A40" s="335" t="s">
        <v>2030</v>
      </c>
      <c r="B40" s="358" t="s">
        <v>1836</v>
      </c>
      <c r="C40" s="358" t="s">
        <v>1873</v>
      </c>
      <c r="D40" t="s">
        <v>12596</v>
      </c>
      <c r="E40" s="358" t="s">
        <v>1794</v>
      </c>
      <c r="F40" t="s">
        <v>12596</v>
      </c>
      <c r="G40" t="s">
        <v>12596</v>
      </c>
      <c r="H40" t="s">
        <v>12596</v>
      </c>
      <c r="I40" t="s">
        <v>12596</v>
      </c>
      <c r="J40" t="s">
        <v>12596</v>
      </c>
      <c r="K40" s="371" t="s">
        <v>1834</v>
      </c>
      <c r="L40" s="371">
        <v>303</v>
      </c>
      <c r="M40" s="358" t="s">
        <v>1836</v>
      </c>
      <c r="O40" t="s">
        <v>12596</v>
      </c>
    </row>
    <row r="41" spans="1:15">
      <c r="A41" s="334" t="s">
        <v>1874</v>
      </c>
      <c r="B41" s="355" t="s">
        <v>1875</v>
      </c>
      <c r="C41" s="356" t="s">
        <v>1736</v>
      </c>
      <c r="D41" s="356">
        <v>222446</v>
      </c>
      <c r="E41" s="355" t="s">
        <v>1794</v>
      </c>
      <c r="F41" t="s">
        <v>12596</v>
      </c>
      <c r="G41" t="s">
        <v>12596</v>
      </c>
      <c r="H41" t="s">
        <v>12596</v>
      </c>
      <c r="I41" t="s">
        <v>12596</v>
      </c>
      <c r="J41" t="s">
        <v>12596</v>
      </c>
      <c r="K41" t="s">
        <v>12596</v>
      </c>
      <c r="L41" t="s">
        <v>12596</v>
      </c>
      <c r="M41" s="356" t="s">
        <v>1876</v>
      </c>
      <c r="O41" t="s">
        <v>12596</v>
      </c>
    </row>
    <row r="42" spans="1:15">
      <c r="A42" s="334" t="s">
        <v>1877</v>
      </c>
      <c r="B42" s="356" t="s">
        <v>1875</v>
      </c>
      <c r="C42" s="356" t="s">
        <v>1722</v>
      </c>
      <c r="D42" s="356">
        <v>7027337</v>
      </c>
      <c r="E42" s="355" t="s">
        <v>1794</v>
      </c>
      <c r="F42" t="s">
        <v>12596</v>
      </c>
      <c r="G42" t="s">
        <v>12596</v>
      </c>
      <c r="H42" t="s">
        <v>12596</v>
      </c>
      <c r="I42" t="s">
        <v>12596</v>
      </c>
      <c r="J42" t="s">
        <v>12596</v>
      </c>
      <c r="K42" s="372" t="s">
        <v>1832</v>
      </c>
      <c r="L42" s="441" t="s">
        <v>2111</v>
      </c>
      <c r="M42" t="s">
        <v>12596</v>
      </c>
      <c r="O42" t="s">
        <v>12596</v>
      </c>
    </row>
    <row r="43" spans="1:15">
      <c r="A43" s="334" t="s">
        <v>1878</v>
      </c>
      <c r="B43" s="356" t="s">
        <v>1693</v>
      </c>
      <c r="C43" s="356" t="s">
        <v>1756</v>
      </c>
      <c r="D43" s="357" t="s">
        <v>1879</v>
      </c>
      <c r="E43" s="355" t="s">
        <v>1794</v>
      </c>
      <c r="F43" t="s">
        <v>12596</v>
      </c>
      <c r="G43" t="s">
        <v>12596</v>
      </c>
      <c r="H43" t="s">
        <v>12596</v>
      </c>
      <c r="I43" t="s">
        <v>12596</v>
      </c>
      <c r="J43" t="s">
        <v>12596</v>
      </c>
      <c r="K43" t="s">
        <v>12596</v>
      </c>
      <c r="L43" t="s">
        <v>12596</v>
      </c>
      <c r="M43" s="357" t="s">
        <v>1880</v>
      </c>
      <c r="O43" t="s">
        <v>12596</v>
      </c>
    </row>
    <row r="44" spans="1:15">
      <c r="A44" s="334" t="s">
        <v>1881</v>
      </c>
      <c r="B44" s="356" t="s">
        <v>1882</v>
      </c>
      <c r="C44" s="356" t="s">
        <v>1720</v>
      </c>
      <c r="D44" s="357" t="s">
        <v>1883</v>
      </c>
      <c r="E44" s="355" t="s">
        <v>1794</v>
      </c>
      <c r="F44" t="s">
        <v>12596</v>
      </c>
      <c r="G44" t="s">
        <v>12596</v>
      </c>
      <c r="H44" t="s">
        <v>12596</v>
      </c>
      <c r="I44" t="s">
        <v>12596</v>
      </c>
      <c r="J44" t="s">
        <v>12596</v>
      </c>
      <c r="K44" t="s">
        <v>12596</v>
      </c>
      <c r="L44" t="s">
        <v>12596</v>
      </c>
      <c r="M44" s="357" t="s">
        <v>1884</v>
      </c>
      <c r="O44" t="s">
        <v>12596</v>
      </c>
    </row>
    <row r="45" spans="1:15">
      <c r="A45" s="334" t="s">
        <v>1885</v>
      </c>
      <c r="B45" s="359" t="s">
        <v>1882</v>
      </c>
      <c r="C45" s="359" t="s">
        <v>1700</v>
      </c>
      <c r="D45" s="360" t="s">
        <v>1886</v>
      </c>
      <c r="E45" s="361" t="s">
        <v>1794</v>
      </c>
      <c r="F45" t="s">
        <v>12596</v>
      </c>
      <c r="G45" t="s">
        <v>12596</v>
      </c>
      <c r="H45" t="s">
        <v>12596</v>
      </c>
      <c r="I45" t="s">
        <v>12596</v>
      </c>
      <c r="J45" t="s">
        <v>12596</v>
      </c>
      <c r="K45" t="s">
        <v>12596</v>
      </c>
      <c r="L45" t="s">
        <v>12596</v>
      </c>
      <c r="M45" s="357" t="s">
        <v>1805</v>
      </c>
      <c r="O45" t="s">
        <v>12596</v>
      </c>
    </row>
    <row r="46" spans="1:15">
      <c r="A46" s="334" t="s">
        <v>1887</v>
      </c>
      <c r="B46" s="359" t="s">
        <v>1693</v>
      </c>
      <c r="C46" s="359" t="s">
        <v>1711</v>
      </c>
      <c r="D46" s="360" t="s">
        <v>1888</v>
      </c>
      <c r="E46" s="361" t="s">
        <v>1794</v>
      </c>
      <c r="F46" t="s">
        <v>12596</v>
      </c>
      <c r="G46" t="s">
        <v>12596</v>
      </c>
      <c r="H46" t="s">
        <v>12596</v>
      </c>
      <c r="I46" t="s">
        <v>12596</v>
      </c>
      <c r="J46" t="s">
        <v>12596</v>
      </c>
      <c r="K46" t="s">
        <v>12596</v>
      </c>
      <c r="L46" t="s">
        <v>12596</v>
      </c>
      <c r="M46" s="357" t="s">
        <v>1880</v>
      </c>
      <c r="O46" t="s">
        <v>12596</v>
      </c>
    </row>
    <row r="47" spans="1:15">
      <c r="A47" s="334" t="s">
        <v>1889</v>
      </c>
      <c r="B47" s="355" t="s">
        <v>1693</v>
      </c>
      <c r="C47" s="356" t="s">
        <v>1714</v>
      </c>
      <c r="D47" t="s">
        <v>12596</v>
      </c>
      <c r="E47" s="361" t="s">
        <v>1794</v>
      </c>
      <c r="F47" t="s">
        <v>12596</v>
      </c>
      <c r="G47" t="s">
        <v>12596</v>
      </c>
      <c r="H47" t="s">
        <v>12596</v>
      </c>
      <c r="I47" t="s">
        <v>12596</v>
      </c>
      <c r="J47" t="s">
        <v>12596</v>
      </c>
      <c r="K47" s="370" t="s">
        <v>1834</v>
      </c>
      <c r="L47" s="370" t="s">
        <v>1890</v>
      </c>
      <c r="M47" t="s">
        <v>12596</v>
      </c>
      <c r="O47" t="s">
        <v>12596</v>
      </c>
    </row>
    <row r="48" spans="1:15">
      <c r="A48" s="334" t="s">
        <v>1891</v>
      </c>
      <c r="B48" s="355" t="s">
        <v>1882</v>
      </c>
      <c r="C48" s="356" t="s">
        <v>1744</v>
      </c>
      <c r="D48" s="356" t="s">
        <v>1892</v>
      </c>
      <c r="E48" s="355" t="s">
        <v>1794</v>
      </c>
      <c r="F48" t="s">
        <v>12596</v>
      </c>
      <c r="G48" t="s">
        <v>12596</v>
      </c>
      <c r="H48" t="s">
        <v>12596</v>
      </c>
      <c r="I48" t="s">
        <v>12596</v>
      </c>
      <c r="J48" t="s">
        <v>12596</v>
      </c>
      <c r="K48" t="s">
        <v>12596</v>
      </c>
      <c r="L48" t="s">
        <v>12596</v>
      </c>
      <c r="M48" s="356" t="s">
        <v>1893</v>
      </c>
      <c r="O48" t="s">
        <v>12596</v>
      </c>
    </row>
    <row r="49" spans="1:15">
      <c r="A49" s="334" t="s">
        <v>1894</v>
      </c>
      <c r="B49" s="355" t="s">
        <v>1875</v>
      </c>
      <c r="C49" s="355" t="s">
        <v>1869</v>
      </c>
      <c r="D49" s="355">
        <v>2063630000</v>
      </c>
      <c r="E49" s="355" t="s">
        <v>1794</v>
      </c>
      <c r="F49" t="s">
        <v>12596</v>
      </c>
      <c r="G49" t="s">
        <v>12596</v>
      </c>
      <c r="H49" t="s">
        <v>12596</v>
      </c>
      <c r="I49" t="s">
        <v>12596</v>
      </c>
      <c r="J49" t="s">
        <v>12596</v>
      </c>
      <c r="K49" t="s">
        <v>12596</v>
      </c>
      <c r="L49" t="s">
        <v>12596</v>
      </c>
      <c r="M49" s="355" t="s">
        <v>1830</v>
      </c>
      <c r="O49" t="s">
        <v>12596</v>
      </c>
    </row>
    <row r="50" spans="1:15" ht="15" thickBot="1">
      <c r="A50" s="336" t="s">
        <v>1895</v>
      </c>
      <c r="B50" s="358" t="s">
        <v>1875</v>
      </c>
      <c r="C50" s="358" t="s">
        <v>1864</v>
      </c>
      <c r="D50" s="362">
        <v>120029880019</v>
      </c>
      <c r="E50" s="358" t="s">
        <v>1794</v>
      </c>
      <c r="F50" t="s">
        <v>12596</v>
      </c>
      <c r="G50" t="s">
        <v>12596</v>
      </c>
      <c r="H50" t="s">
        <v>12596</v>
      </c>
      <c r="I50" t="s">
        <v>12596</v>
      </c>
      <c r="J50" t="s">
        <v>12596</v>
      </c>
      <c r="K50" s="371" t="s">
        <v>1824</v>
      </c>
      <c r="L50" s="371" t="s">
        <v>1896</v>
      </c>
      <c r="M50" t="s">
        <v>12596</v>
      </c>
      <c r="O50" t="s">
        <v>12596</v>
      </c>
    </row>
    <row r="51" spans="1:15">
      <c r="A51" s="451" t="s">
        <v>2119</v>
      </c>
      <c r="B51" s="456" t="s">
        <v>1901</v>
      </c>
      <c r="C51" s="452" t="s">
        <v>1897</v>
      </c>
      <c r="D51" t="s">
        <v>12596</v>
      </c>
      <c r="E51" s="452" t="s">
        <v>1794</v>
      </c>
      <c r="F51" t="s">
        <v>12596</v>
      </c>
      <c r="G51" t="s">
        <v>12596</v>
      </c>
      <c r="H51" t="s">
        <v>12596</v>
      </c>
      <c r="I51" t="s">
        <v>12596</v>
      </c>
      <c r="J51" t="s">
        <v>12596</v>
      </c>
      <c r="K51" t="s">
        <v>12596</v>
      </c>
      <c r="L51" t="s">
        <v>12596</v>
      </c>
      <c r="M51" s="452" t="s">
        <v>2120</v>
      </c>
      <c r="O51" t="s">
        <v>12596</v>
      </c>
    </row>
    <row r="52" spans="1:15">
      <c r="A52" s="451" t="s">
        <v>2121</v>
      </c>
      <c r="B52" s="456" t="s">
        <v>1901</v>
      </c>
      <c r="C52" s="452" t="s">
        <v>1741</v>
      </c>
      <c r="D52" t="s">
        <v>12596</v>
      </c>
      <c r="E52" s="452" t="s">
        <v>1794</v>
      </c>
      <c r="F52" t="s">
        <v>12596</v>
      </c>
      <c r="G52" t="s">
        <v>12596</v>
      </c>
      <c r="H52" t="s">
        <v>12596</v>
      </c>
      <c r="I52" t="s">
        <v>12596</v>
      </c>
      <c r="J52" t="s">
        <v>12596</v>
      </c>
      <c r="K52" t="s">
        <v>12596</v>
      </c>
      <c r="L52" t="s">
        <v>12596</v>
      </c>
      <c r="M52" s="452" t="s">
        <v>1899</v>
      </c>
      <c r="O52" t="s">
        <v>12596</v>
      </c>
    </row>
    <row r="53" spans="1:15">
      <c r="A53" s="451" t="s">
        <v>2122</v>
      </c>
      <c r="B53" s="452" t="s">
        <v>1694</v>
      </c>
      <c r="C53" s="452" t="s">
        <v>1770</v>
      </c>
      <c r="D53" t="s">
        <v>12596</v>
      </c>
      <c r="E53" s="452" t="s">
        <v>1794</v>
      </c>
      <c r="F53" t="s">
        <v>12596</v>
      </c>
      <c r="G53" t="s">
        <v>12596</v>
      </c>
      <c r="H53" t="s">
        <v>12596</v>
      </c>
      <c r="I53" t="s">
        <v>12596</v>
      </c>
      <c r="J53" t="s">
        <v>12596</v>
      </c>
      <c r="K53" s="452" t="s">
        <v>1857</v>
      </c>
      <c r="L53" s="452" t="s">
        <v>1900</v>
      </c>
      <c r="M53" t="s">
        <v>12596</v>
      </c>
      <c r="O53" t="s">
        <v>12596</v>
      </c>
    </row>
    <row r="54" spans="1:15">
      <c r="A54" s="451" t="s">
        <v>2123</v>
      </c>
      <c r="B54" s="456" t="s">
        <v>1901</v>
      </c>
      <c r="C54" s="453" t="s">
        <v>1897</v>
      </c>
      <c r="D54" t="s">
        <v>12596</v>
      </c>
      <c r="E54" s="453" t="s">
        <v>1794</v>
      </c>
      <c r="F54" t="s">
        <v>12596</v>
      </c>
      <c r="G54" t="s">
        <v>12596</v>
      </c>
      <c r="H54" t="s">
        <v>12596</v>
      </c>
      <c r="I54" t="s">
        <v>12596</v>
      </c>
      <c r="J54" t="s">
        <v>12596</v>
      </c>
      <c r="K54" t="s">
        <v>12596</v>
      </c>
      <c r="L54" t="s">
        <v>12596</v>
      </c>
      <c r="M54" s="453" t="s">
        <v>1898</v>
      </c>
      <c r="O54" t="s">
        <v>12596</v>
      </c>
    </row>
    <row r="55" spans="1:15">
      <c r="A55" s="455" t="s">
        <v>2124</v>
      </c>
      <c r="B55" s="456" t="s">
        <v>1901</v>
      </c>
      <c r="C55" s="456" t="s">
        <v>1705</v>
      </c>
      <c r="D55" t="s">
        <v>12596</v>
      </c>
      <c r="E55" s="456" t="s">
        <v>1794</v>
      </c>
      <c r="F55" t="s">
        <v>12596</v>
      </c>
      <c r="G55" t="s">
        <v>12596</v>
      </c>
      <c r="H55" t="s">
        <v>12596</v>
      </c>
      <c r="I55" t="s">
        <v>12596</v>
      </c>
      <c r="J55" t="s">
        <v>12596</v>
      </c>
      <c r="K55" t="s">
        <v>12596</v>
      </c>
      <c r="L55" t="s">
        <v>12596</v>
      </c>
      <c r="M55" s="456" t="s">
        <v>1901</v>
      </c>
      <c r="O55" t="s">
        <v>12596</v>
      </c>
    </row>
    <row r="56" spans="1:15">
      <c r="A56" s="455" t="s">
        <v>2125</v>
      </c>
      <c r="B56" s="456" t="s">
        <v>1901</v>
      </c>
      <c r="C56" s="456" t="s">
        <v>1759</v>
      </c>
      <c r="D56" t="s">
        <v>12596</v>
      </c>
      <c r="E56" s="456" t="s">
        <v>1794</v>
      </c>
      <c r="F56" t="s">
        <v>12596</v>
      </c>
      <c r="G56" t="s">
        <v>12596</v>
      </c>
      <c r="H56" t="s">
        <v>12596</v>
      </c>
      <c r="I56" t="s">
        <v>12596</v>
      </c>
      <c r="J56" t="s">
        <v>12596</v>
      </c>
      <c r="K56" t="s">
        <v>12596</v>
      </c>
      <c r="L56" t="s">
        <v>12596</v>
      </c>
      <c r="M56" s="456" t="s">
        <v>2126</v>
      </c>
      <c r="O56" t="s">
        <v>12596</v>
      </c>
    </row>
    <row r="57" spans="1:15" ht="15" thickBot="1">
      <c r="A57" s="455" t="s">
        <v>2127</v>
      </c>
      <c r="B57" s="456" t="s">
        <v>1901</v>
      </c>
      <c r="C57" s="454" t="s">
        <v>2095</v>
      </c>
      <c r="D57" t="s">
        <v>12596</v>
      </c>
      <c r="E57" s="456" t="s">
        <v>1794</v>
      </c>
      <c r="F57" t="s">
        <v>12596</v>
      </c>
      <c r="G57" t="s">
        <v>12596</v>
      </c>
      <c r="H57" t="s">
        <v>12596</v>
      </c>
      <c r="I57" t="s">
        <v>12596</v>
      </c>
      <c r="J57" t="s">
        <v>12596</v>
      </c>
      <c r="K57" t="s">
        <v>12596</v>
      </c>
      <c r="L57" t="s">
        <v>12596</v>
      </c>
      <c r="M57" s="456" t="s">
        <v>2128</v>
      </c>
      <c r="O57" t="s">
        <v>12596</v>
      </c>
    </row>
    <row r="58" spans="1:15" ht="15" thickBot="1">
      <c r="A58" s="337" t="s">
        <v>12633</v>
      </c>
      <c r="B58" s="363" t="s">
        <v>1695</v>
      </c>
      <c r="C58" s="363" t="s">
        <v>1738</v>
      </c>
      <c r="D58" s="364" t="s">
        <v>1903</v>
      </c>
      <c r="E58" s="363" t="s">
        <v>1794</v>
      </c>
      <c r="F58" t="s">
        <v>12596</v>
      </c>
      <c r="G58" t="s">
        <v>12596</v>
      </c>
      <c r="H58" t="s">
        <v>12596</v>
      </c>
      <c r="I58" t="s">
        <v>12596</v>
      </c>
      <c r="J58" t="s">
        <v>12596</v>
      </c>
      <c r="K58" t="s">
        <v>12596</v>
      </c>
      <c r="L58" t="s">
        <v>12596</v>
      </c>
      <c r="M58" s="363" t="s">
        <v>1695</v>
      </c>
      <c r="O58" t="s">
        <v>12596</v>
      </c>
    </row>
    <row r="59" spans="1:15">
      <c r="A59" s="332" t="s">
        <v>2004</v>
      </c>
      <c r="B59" s="365" t="s">
        <v>1980</v>
      </c>
      <c r="C59" s="365" t="s">
        <v>1711</v>
      </c>
      <c r="D59" t="s">
        <v>12596</v>
      </c>
      <c r="E59" s="365" t="s">
        <v>1794</v>
      </c>
      <c r="F59" t="s">
        <v>12596</v>
      </c>
      <c r="G59" t="s">
        <v>12596</v>
      </c>
      <c r="H59" t="s">
        <v>12596</v>
      </c>
      <c r="I59" t="s">
        <v>12596</v>
      </c>
      <c r="J59" t="s">
        <v>12596</v>
      </c>
      <c r="K59" t="s">
        <v>12596</v>
      </c>
      <c r="L59" t="s">
        <v>12596</v>
      </c>
      <c r="M59" s="365" t="s">
        <v>1795</v>
      </c>
      <c r="O59" t="s">
        <v>12596</v>
      </c>
    </row>
    <row r="60" spans="1:15">
      <c r="A60" s="354" t="s">
        <v>2005</v>
      </c>
      <c r="B60" s="365" t="s">
        <v>1800</v>
      </c>
      <c r="C60" s="356" t="s">
        <v>1765</v>
      </c>
      <c r="D60" s="366">
        <v>5295009863</v>
      </c>
      <c r="E60" s="365" t="s">
        <v>1794</v>
      </c>
      <c r="F60" t="s">
        <v>12596</v>
      </c>
      <c r="G60" t="s">
        <v>12596</v>
      </c>
      <c r="H60" t="s">
        <v>12596</v>
      </c>
      <c r="I60" t="s">
        <v>12596</v>
      </c>
      <c r="J60" t="s">
        <v>12596</v>
      </c>
      <c r="K60" t="s">
        <v>12596</v>
      </c>
      <c r="L60" t="s">
        <v>12596</v>
      </c>
      <c r="M60" s="365" t="s">
        <v>1981</v>
      </c>
      <c r="O60" t="s">
        <v>12596</v>
      </c>
    </row>
    <row r="61" spans="1:15">
      <c r="A61" s="354" t="s">
        <v>2006</v>
      </c>
      <c r="B61" s="365" t="s">
        <v>1800</v>
      </c>
      <c r="C61" s="356" t="s">
        <v>1700</v>
      </c>
      <c r="D61" s="366" t="s">
        <v>1982</v>
      </c>
      <c r="E61" s="365" t="s">
        <v>1794</v>
      </c>
      <c r="F61" t="s">
        <v>12596</v>
      </c>
      <c r="G61" t="s">
        <v>12596</v>
      </c>
      <c r="H61" t="s">
        <v>12596</v>
      </c>
      <c r="I61" t="s">
        <v>12596</v>
      </c>
      <c r="J61" t="s">
        <v>12596</v>
      </c>
      <c r="K61" t="s">
        <v>12596</v>
      </c>
      <c r="L61" t="s">
        <v>12596</v>
      </c>
      <c r="M61" s="365" t="s">
        <v>1805</v>
      </c>
      <c r="O61" t="s">
        <v>12596</v>
      </c>
    </row>
    <row r="62" spans="1:15">
      <c r="A62" s="354" t="s">
        <v>2007</v>
      </c>
      <c r="B62" s="365" t="s">
        <v>1800</v>
      </c>
      <c r="C62" s="365" t="s">
        <v>1756</v>
      </c>
      <c r="D62" t="s">
        <v>12596</v>
      </c>
      <c r="E62" s="365" t="s">
        <v>1794</v>
      </c>
      <c r="F62" t="s">
        <v>12596</v>
      </c>
      <c r="G62" t="s">
        <v>12596</v>
      </c>
      <c r="H62" t="s">
        <v>12596</v>
      </c>
      <c r="I62" t="s">
        <v>12596</v>
      </c>
      <c r="J62" t="s">
        <v>12596</v>
      </c>
      <c r="K62" t="s">
        <v>12596</v>
      </c>
      <c r="L62" t="s">
        <v>12596</v>
      </c>
      <c r="M62" s="365" t="s">
        <v>1795</v>
      </c>
      <c r="O62" t="s">
        <v>12596</v>
      </c>
    </row>
    <row r="63" spans="1:15">
      <c r="A63" s="354" t="s">
        <v>2008</v>
      </c>
      <c r="B63" s="365" t="s">
        <v>1980</v>
      </c>
      <c r="C63" s="365" t="s">
        <v>1720</v>
      </c>
      <c r="D63" s="367" t="s">
        <v>1983</v>
      </c>
      <c r="E63" s="365" t="s">
        <v>1794</v>
      </c>
      <c r="F63" t="s">
        <v>12596</v>
      </c>
      <c r="G63" t="s">
        <v>12596</v>
      </c>
      <c r="H63" t="s">
        <v>12596</v>
      </c>
      <c r="I63" t="s">
        <v>12596</v>
      </c>
      <c r="J63" t="s">
        <v>12596</v>
      </c>
      <c r="K63" t="s">
        <v>12596</v>
      </c>
      <c r="L63" t="s">
        <v>12596</v>
      </c>
      <c r="M63" s="365" t="s">
        <v>1795</v>
      </c>
      <c r="O63" t="s">
        <v>12596</v>
      </c>
    </row>
    <row r="64" spans="1:15">
      <c r="A64" s="354" t="s">
        <v>2009</v>
      </c>
      <c r="B64" s="365" t="s">
        <v>1980</v>
      </c>
      <c r="C64" s="365" t="s">
        <v>1747</v>
      </c>
      <c r="D64" t="s">
        <v>12596</v>
      </c>
      <c r="E64" s="365" t="s">
        <v>1794</v>
      </c>
      <c r="F64" t="s">
        <v>12596</v>
      </c>
      <c r="G64" t="s">
        <v>12596</v>
      </c>
      <c r="H64" t="s">
        <v>12596</v>
      </c>
      <c r="I64" t="s">
        <v>12596</v>
      </c>
      <c r="J64" t="s">
        <v>12596</v>
      </c>
      <c r="K64" t="s">
        <v>12596</v>
      </c>
      <c r="L64" t="s">
        <v>12596</v>
      </c>
      <c r="M64" s="365" t="s">
        <v>1795</v>
      </c>
      <c r="O64" t="s">
        <v>12596</v>
      </c>
    </row>
    <row r="65" spans="1:15">
      <c r="A65" s="354" t="s">
        <v>2010</v>
      </c>
      <c r="B65" s="365" t="s">
        <v>1800</v>
      </c>
      <c r="C65" s="365" t="s">
        <v>1767</v>
      </c>
      <c r="D65" s="366">
        <v>60040076865</v>
      </c>
      <c r="E65" s="365" t="s">
        <v>1794</v>
      </c>
      <c r="F65" t="s">
        <v>12596</v>
      </c>
      <c r="G65" t="s">
        <v>12596</v>
      </c>
      <c r="H65" t="s">
        <v>12596</v>
      </c>
      <c r="I65" t="s">
        <v>12596</v>
      </c>
      <c r="J65" t="s">
        <v>12596</v>
      </c>
      <c r="K65" t="s">
        <v>12596</v>
      </c>
      <c r="L65" t="s">
        <v>12596</v>
      </c>
      <c r="M65" s="365" t="s">
        <v>1822</v>
      </c>
      <c r="O65" t="s">
        <v>12596</v>
      </c>
    </row>
    <row r="66" spans="1:15">
      <c r="A66" s="354" t="s">
        <v>2011</v>
      </c>
      <c r="B66" s="365" t="s">
        <v>1800</v>
      </c>
      <c r="C66" s="356" t="s">
        <v>1984</v>
      </c>
      <c r="D66" s="367" t="s">
        <v>1985</v>
      </c>
      <c r="E66" s="365" t="s">
        <v>1794</v>
      </c>
      <c r="F66" t="s">
        <v>12596</v>
      </c>
      <c r="G66" t="s">
        <v>12596</v>
      </c>
      <c r="H66" t="s">
        <v>12596</v>
      </c>
      <c r="I66" t="s">
        <v>12596</v>
      </c>
      <c r="J66" t="s">
        <v>12596</v>
      </c>
      <c r="K66" t="s">
        <v>12596</v>
      </c>
      <c r="L66" t="s">
        <v>12596</v>
      </c>
      <c r="M66" s="365" t="s">
        <v>1986</v>
      </c>
      <c r="O66" t="s">
        <v>12596</v>
      </c>
    </row>
    <row r="67" spans="1:15">
      <c r="A67" s="354" t="s">
        <v>2012</v>
      </c>
      <c r="B67" s="365" t="s">
        <v>1800</v>
      </c>
      <c r="C67" s="365" t="s">
        <v>1728</v>
      </c>
      <c r="D67" s="366">
        <v>28278901</v>
      </c>
      <c r="E67" s="365" t="s">
        <v>1794</v>
      </c>
      <c r="F67" t="s">
        <v>12596</v>
      </c>
      <c r="G67" t="s">
        <v>12596</v>
      </c>
      <c r="H67" t="s">
        <v>12596</v>
      </c>
      <c r="I67" t="s">
        <v>12596</v>
      </c>
      <c r="J67" t="s">
        <v>12596</v>
      </c>
      <c r="K67" t="s">
        <v>12596</v>
      </c>
      <c r="L67" t="s">
        <v>12596</v>
      </c>
      <c r="M67" s="365" t="s">
        <v>1816</v>
      </c>
      <c r="O67" t="s">
        <v>12596</v>
      </c>
    </row>
    <row r="68" spans="1:15">
      <c r="A68" s="354" t="s">
        <v>2013</v>
      </c>
      <c r="B68" s="365" t="s">
        <v>1800</v>
      </c>
      <c r="C68" s="365" t="s">
        <v>1731</v>
      </c>
      <c r="D68" s="367" t="s">
        <v>1987</v>
      </c>
      <c r="E68" s="365" t="s">
        <v>1794</v>
      </c>
      <c r="F68" t="s">
        <v>12596</v>
      </c>
      <c r="G68" t="s">
        <v>12596</v>
      </c>
      <c r="H68" t="s">
        <v>12596</v>
      </c>
      <c r="I68" t="s">
        <v>12596</v>
      </c>
      <c r="J68" t="s">
        <v>12596</v>
      </c>
      <c r="K68" t="s">
        <v>12596</v>
      </c>
      <c r="L68" t="s">
        <v>12596</v>
      </c>
      <c r="M68" s="365" t="s">
        <v>1802</v>
      </c>
      <c r="O68" t="s">
        <v>12596</v>
      </c>
    </row>
    <row r="69" spans="1:15">
      <c r="A69" s="354" t="s">
        <v>2014</v>
      </c>
      <c r="B69" s="365" t="s">
        <v>1800</v>
      </c>
      <c r="C69" s="365" t="s">
        <v>1763</v>
      </c>
      <c r="D69" s="367" t="s">
        <v>1988</v>
      </c>
      <c r="E69" s="365" t="s">
        <v>1794</v>
      </c>
      <c r="F69" t="s">
        <v>12596</v>
      </c>
      <c r="G69" t="s">
        <v>12596</v>
      </c>
      <c r="H69" t="s">
        <v>12596</v>
      </c>
      <c r="I69" t="s">
        <v>12596</v>
      </c>
      <c r="J69" t="s">
        <v>12596</v>
      </c>
      <c r="K69" t="s">
        <v>12596</v>
      </c>
      <c r="L69" t="s">
        <v>12596</v>
      </c>
      <c r="M69" s="365" t="s">
        <v>1819</v>
      </c>
      <c r="O69" t="s">
        <v>12596</v>
      </c>
    </row>
    <row r="70" spans="1:15">
      <c r="A70" s="354" t="s">
        <v>2015</v>
      </c>
      <c r="B70" s="365" t="s">
        <v>1800</v>
      </c>
      <c r="C70" s="365" t="s">
        <v>1733</v>
      </c>
      <c r="D70" s="367" t="s">
        <v>1989</v>
      </c>
      <c r="E70" s="365" t="s">
        <v>1794</v>
      </c>
      <c r="F70" t="s">
        <v>12596</v>
      </c>
      <c r="G70" t="s">
        <v>12596</v>
      </c>
      <c r="H70" t="s">
        <v>12596</v>
      </c>
      <c r="I70" t="s">
        <v>12596</v>
      </c>
      <c r="J70" t="s">
        <v>12596</v>
      </c>
      <c r="K70" s="367" t="s">
        <v>1867</v>
      </c>
      <c r="L70" s="367" t="s">
        <v>1990</v>
      </c>
      <c r="M70" s="365" t="s">
        <v>1828</v>
      </c>
      <c r="O70" t="s">
        <v>12596</v>
      </c>
    </row>
    <row r="71" spans="1:15">
      <c r="A71" s="354" t="s">
        <v>2016</v>
      </c>
      <c r="B71" s="365" t="s">
        <v>1800</v>
      </c>
      <c r="C71" s="356" t="s">
        <v>1714</v>
      </c>
      <c r="D71" s="366">
        <v>748086</v>
      </c>
      <c r="E71" s="365" t="s">
        <v>1794</v>
      </c>
      <c r="F71" t="s">
        <v>12596</v>
      </c>
      <c r="G71" t="s">
        <v>12596</v>
      </c>
      <c r="H71" t="s">
        <v>12596</v>
      </c>
      <c r="I71" t="s">
        <v>12596</v>
      </c>
      <c r="J71" t="s">
        <v>12596</v>
      </c>
      <c r="K71" s="373" t="s">
        <v>1834</v>
      </c>
      <c r="L71" s="367" t="s">
        <v>1835</v>
      </c>
      <c r="M71" s="365" t="s">
        <v>1991</v>
      </c>
      <c r="O71" t="s">
        <v>12596</v>
      </c>
    </row>
    <row r="72" spans="1:15">
      <c r="A72" s="354" t="s">
        <v>2017</v>
      </c>
      <c r="B72" s="365" t="s">
        <v>1980</v>
      </c>
      <c r="C72" s="356" t="s">
        <v>1744</v>
      </c>
      <c r="D72" t="s">
        <v>12596</v>
      </c>
      <c r="E72" s="365" t="s">
        <v>1794</v>
      </c>
      <c r="F72" t="s">
        <v>12596</v>
      </c>
      <c r="G72" t="s">
        <v>12596</v>
      </c>
      <c r="H72" t="s">
        <v>12596</v>
      </c>
      <c r="I72" t="s">
        <v>12596</v>
      </c>
      <c r="J72" t="s">
        <v>12596</v>
      </c>
      <c r="K72" t="s">
        <v>12596</v>
      </c>
      <c r="L72" t="s">
        <v>12596</v>
      </c>
      <c r="M72" s="365" t="s">
        <v>1992</v>
      </c>
      <c r="O72" t="s">
        <v>12596</v>
      </c>
    </row>
    <row r="73" spans="1:15">
      <c r="A73" s="354" t="s">
        <v>2018</v>
      </c>
      <c r="B73" s="365" t="s">
        <v>1800</v>
      </c>
      <c r="C73" s="365" t="s">
        <v>1750</v>
      </c>
      <c r="D73" s="367" t="s">
        <v>1993</v>
      </c>
      <c r="E73" s="365" t="s">
        <v>1794</v>
      </c>
      <c r="F73" t="s">
        <v>12596</v>
      </c>
      <c r="G73" t="s">
        <v>12596</v>
      </c>
      <c r="H73" t="s">
        <v>12596</v>
      </c>
      <c r="I73" t="s">
        <v>12596</v>
      </c>
      <c r="J73" t="s">
        <v>12596</v>
      </c>
      <c r="K73" t="s">
        <v>12596</v>
      </c>
      <c r="L73" t="s">
        <v>12596</v>
      </c>
      <c r="M73" s="365" t="s">
        <v>1994</v>
      </c>
      <c r="O73" t="s">
        <v>12596</v>
      </c>
    </row>
    <row r="74" spans="1:15">
      <c r="A74" s="354" t="s">
        <v>2019</v>
      </c>
      <c r="B74" s="365" t="s">
        <v>1800</v>
      </c>
      <c r="C74" s="365" t="s">
        <v>1770</v>
      </c>
      <c r="D74" s="367" t="s">
        <v>1995</v>
      </c>
      <c r="E74" s="365" t="s">
        <v>1794</v>
      </c>
      <c r="F74" t="s">
        <v>12596</v>
      </c>
      <c r="G74" t="s">
        <v>12596</v>
      </c>
      <c r="H74" t="s">
        <v>12596</v>
      </c>
      <c r="I74" t="s">
        <v>12596</v>
      </c>
      <c r="J74" t="s">
        <v>12596</v>
      </c>
      <c r="K74" s="367" t="s">
        <v>1857</v>
      </c>
      <c r="L74" s="367" t="s">
        <v>1996</v>
      </c>
      <c r="M74" s="365" t="s">
        <v>1997</v>
      </c>
      <c r="O74" t="s">
        <v>12596</v>
      </c>
    </row>
    <row r="75" spans="1:15">
      <c r="A75" s="354" t="s">
        <v>2020</v>
      </c>
      <c r="B75" s="365" t="s">
        <v>1800</v>
      </c>
      <c r="C75" s="356" t="s">
        <v>1736</v>
      </c>
      <c r="D75" s="367">
        <v>100502601</v>
      </c>
      <c r="E75" s="365" t="s">
        <v>1794</v>
      </c>
      <c r="F75" t="s">
        <v>12596</v>
      </c>
      <c r="G75" t="s">
        <v>12596</v>
      </c>
      <c r="H75" t="s">
        <v>12596</v>
      </c>
      <c r="I75" t="s">
        <v>12596</v>
      </c>
      <c r="J75" t="s">
        <v>12596</v>
      </c>
      <c r="K75" t="s">
        <v>12596</v>
      </c>
      <c r="L75" t="s">
        <v>12596</v>
      </c>
      <c r="M75" s="365" t="s">
        <v>1814</v>
      </c>
      <c r="O75" t="s">
        <v>12596</v>
      </c>
    </row>
    <row r="76" spans="1:15">
      <c r="A76" s="354" t="s">
        <v>2021</v>
      </c>
      <c r="B76" s="365" t="s">
        <v>1800</v>
      </c>
      <c r="C76" s="365" t="s">
        <v>1741</v>
      </c>
      <c r="D76" s="367" t="s">
        <v>1998</v>
      </c>
      <c r="E76" s="365" t="s">
        <v>1794</v>
      </c>
      <c r="F76" t="s">
        <v>12596</v>
      </c>
      <c r="G76" t="s">
        <v>12596</v>
      </c>
      <c r="H76" t="s">
        <v>12596</v>
      </c>
      <c r="I76" t="s">
        <v>12596</v>
      </c>
      <c r="J76" t="s">
        <v>12596</v>
      </c>
      <c r="K76" t="s">
        <v>12596</v>
      </c>
      <c r="L76" t="s">
        <v>12596</v>
      </c>
      <c r="M76" s="365" t="s">
        <v>1999</v>
      </c>
      <c r="O76" t="s">
        <v>12596</v>
      </c>
    </row>
    <row r="77" spans="1:15">
      <c r="A77" s="354" t="s">
        <v>2022</v>
      </c>
      <c r="B77" s="365" t="s">
        <v>1800</v>
      </c>
      <c r="C77" s="365" t="s">
        <v>1705</v>
      </c>
      <c r="D77" s="367" t="s">
        <v>2000</v>
      </c>
      <c r="E77" s="365" t="s">
        <v>1794</v>
      </c>
      <c r="F77" t="s">
        <v>12596</v>
      </c>
      <c r="G77" t="s">
        <v>12596</v>
      </c>
      <c r="H77" t="s">
        <v>12596</v>
      </c>
      <c r="I77" t="s">
        <v>12596</v>
      </c>
      <c r="J77" t="s">
        <v>12596</v>
      </c>
      <c r="K77" t="s">
        <v>12596</v>
      </c>
      <c r="L77" t="s">
        <v>12596</v>
      </c>
      <c r="M77" s="365" t="s">
        <v>2001</v>
      </c>
      <c r="O77" t="s">
        <v>12596</v>
      </c>
    </row>
    <row r="78" spans="1:15">
      <c r="A78" s="354" t="s">
        <v>2023</v>
      </c>
      <c r="B78" s="368" t="s">
        <v>2002</v>
      </c>
      <c r="C78" s="365" t="s">
        <v>1703</v>
      </c>
      <c r="D78" s="367">
        <v>2099100982</v>
      </c>
      <c r="E78" s="365" t="s">
        <v>1794</v>
      </c>
      <c r="F78" t="s">
        <v>12596</v>
      </c>
      <c r="G78" t="s">
        <v>12596</v>
      </c>
      <c r="H78" t="s">
        <v>12596</v>
      </c>
      <c r="I78" t="s">
        <v>12596</v>
      </c>
      <c r="J78" t="s">
        <v>12596</v>
      </c>
      <c r="K78" t="s">
        <v>12596</v>
      </c>
      <c r="L78" t="s">
        <v>12596</v>
      </c>
      <c r="M78" s="365" t="s">
        <v>1830</v>
      </c>
      <c r="O78" t="s">
        <v>12596</v>
      </c>
    </row>
    <row r="79" spans="1:15">
      <c r="A79" s="354" t="s">
        <v>2024</v>
      </c>
      <c r="B79" s="368" t="s">
        <v>2002</v>
      </c>
      <c r="C79" s="365" t="s">
        <v>1708</v>
      </c>
      <c r="D79" s="367">
        <v>6212721696</v>
      </c>
      <c r="E79" s="365" t="s">
        <v>1794</v>
      </c>
      <c r="F79" t="s">
        <v>12596</v>
      </c>
      <c r="G79" t="s">
        <v>12596</v>
      </c>
      <c r="H79" t="s">
        <v>12596</v>
      </c>
      <c r="I79" t="s">
        <v>12596</v>
      </c>
      <c r="J79" t="s">
        <v>12596</v>
      </c>
      <c r="K79" s="367" t="s">
        <v>1824</v>
      </c>
      <c r="L79" s="367" t="s">
        <v>1825</v>
      </c>
      <c r="M79" s="365" t="s">
        <v>2003</v>
      </c>
      <c r="O79" t="s">
        <v>12596</v>
      </c>
    </row>
    <row r="80" spans="1:15" s="425" customFormat="1">
      <c r="A80" s="420" t="s">
        <v>2025</v>
      </c>
      <c r="B80" s="421" t="s">
        <v>1800</v>
      </c>
      <c r="C80" s="422" t="s">
        <v>1722</v>
      </c>
      <c r="D80" s="423">
        <v>236706</v>
      </c>
      <c r="E80" s="421" t="s">
        <v>1794</v>
      </c>
      <c r="F80" t="s">
        <v>12596</v>
      </c>
      <c r="G80" t="s">
        <v>12596</v>
      </c>
      <c r="H80" t="s">
        <v>12596</v>
      </c>
      <c r="I80" t="s">
        <v>12596</v>
      </c>
      <c r="J80" t="s">
        <v>12596</v>
      </c>
      <c r="K80" s="424" t="s">
        <v>1832</v>
      </c>
      <c r="L80" s="423">
        <v>908</v>
      </c>
      <c r="M80" t="s">
        <v>12596</v>
      </c>
      <c r="N80"/>
      <c r="O80" t="s">
        <v>12596</v>
      </c>
    </row>
    <row r="81" spans="1:15">
      <c r="A81" s="413" t="s">
        <v>2068</v>
      </c>
      <c r="B81" s="352" t="s">
        <v>2069</v>
      </c>
      <c r="C81" s="352" t="s">
        <v>1711</v>
      </c>
      <c r="D81" s="352">
        <v>92835</v>
      </c>
      <c r="E81" s="352" t="s">
        <v>1794</v>
      </c>
      <c r="F81" t="s">
        <v>12596</v>
      </c>
      <c r="G81" t="s">
        <v>12596</v>
      </c>
      <c r="H81" t="s">
        <v>12596</v>
      </c>
      <c r="I81" t="s">
        <v>12596</v>
      </c>
      <c r="J81" t="s">
        <v>12596</v>
      </c>
      <c r="K81" t="s">
        <v>12596</v>
      </c>
      <c r="L81" t="s">
        <v>12596</v>
      </c>
      <c r="M81" s="352" t="s">
        <v>2070</v>
      </c>
      <c r="O81" t="s">
        <v>12596</v>
      </c>
    </row>
    <row r="82" spans="1:15">
      <c r="A82" s="413" t="s">
        <v>2068</v>
      </c>
      <c r="B82" s="352" t="s">
        <v>2069</v>
      </c>
      <c r="C82" s="414" t="s">
        <v>1765</v>
      </c>
      <c r="D82" s="415" t="s">
        <v>2071</v>
      </c>
      <c r="E82" s="352" t="s">
        <v>1794</v>
      </c>
      <c r="F82" t="s">
        <v>12596</v>
      </c>
      <c r="G82" t="s">
        <v>12596</v>
      </c>
      <c r="H82" t="s">
        <v>12596</v>
      </c>
      <c r="I82" t="s">
        <v>12596</v>
      </c>
      <c r="J82" t="s">
        <v>12596</v>
      </c>
      <c r="K82" t="s">
        <v>12596</v>
      </c>
      <c r="L82" t="s">
        <v>12596</v>
      </c>
      <c r="M82" s="352" t="s">
        <v>2069</v>
      </c>
      <c r="O82" t="s">
        <v>12596</v>
      </c>
    </row>
    <row r="83" spans="1:15">
      <c r="A83" s="413" t="s">
        <v>2068</v>
      </c>
      <c r="B83" s="352" t="s">
        <v>2069</v>
      </c>
      <c r="C83" s="414" t="s">
        <v>1700</v>
      </c>
      <c r="D83" t="s">
        <v>12596</v>
      </c>
      <c r="E83" s="352" t="s">
        <v>1794</v>
      </c>
      <c r="F83" t="s">
        <v>12596</v>
      </c>
      <c r="G83" t="s">
        <v>12596</v>
      </c>
      <c r="H83" t="s">
        <v>12596</v>
      </c>
      <c r="I83" t="s">
        <v>12596</v>
      </c>
      <c r="J83" t="s">
        <v>12596</v>
      </c>
      <c r="K83" t="s">
        <v>12596</v>
      </c>
      <c r="L83" t="s">
        <v>12596</v>
      </c>
      <c r="M83" s="352" t="s">
        <v>1843</v>
      </c>
      <c r="O83" t="s">
        <v>12596</v>
      </c>
    </row>
    <row r="84" spans="1:15">
      <c r="A84" s="413" t="s">
        <v>2068</v>
      </c>
      <c r="B84" s="352" t="s">
        <v>2069</v>
      </c>
      <c r="C84" s="352" t="s">
        <v>1756</v>
      </c>
      <c r="D84" s="352">
        <v>92835</v>
      </c>
      <c r="E84" s="352" t="s">
        <v>1794</v>
      </c>
      <c r="F84" t="s">
        <v>12596</v>
      </c>
      <c r="G84" t="s">
        <v>12596</v>
      </c>
      <c r="H84" t="s">
        <v>12596</v>
      </c>
      <c r="I84" t="s">
        <v>12596</v>
      </c>
      <c r="J84" t="s">
        <v>12596</v>
      </c>
      <c r="K84" t="s">
        <v>12596</v>
      </c>
      <c r="L84" t="s">
        <v>12596</v>
      </c>
      <c r="M84" s="352" t="s">
        <v>2070</v>
      </c>
      <c r="O84" t="s">
        <v>12596</v>
      </c>
    </row>
    <row r="85" spans="1:15">
      <c r="A85" s="413" t="s">
        <v>2068</v>
      </c>
      <c r="B85" s="352" t="s">
        <v>2069</v>
      </c>
      <c r="C85" s="352" t="s">
        <v>1720</v>
      </c>
      <c r="D85" s="352">
        <v>6500440000</v>
      </c>
      <c r="E85" s="352" t="s">
        <v>1794</v>
      </c>
      <c r="F85" t="s">
        <v>12596</v>
      </c>
      <c r="G85" t="s">
        <v>12596</v>
      </c>
      <c r="H85" t="s">
        <v>12596</v>
      </c>
      <c r="I85" t="s">
        <v>12596</v>
      </c>
      <c r="J85" t="s">
        <v>12596</v>
      </c>
      <c r="K85" t="s">
        <v>12596</v>
      </c>
      <c r="L85" t="s">
        <v>12596</v>
      </c>
      <c r="M85" s="352" t="s">
        <v>2072</v>
      </c>
      <c r="O85" t="s">
        <v>12596</v>
      </c>
    </row>
    <row r="86" spans="1:15">
      <c r="A86" s="413" t="s">
        <v>2068</v>
      </c>
      <c r="B86" s="352" t="s">
        <v>2069</v>
      </c>
      <c r="C86" s="352" t="s">
        <v>1747</v>
      </c>
      <c r="D86" s="352">
        <v>92835</v>
      </c>
      <c r="E86" s="352" t="s">
        <v>1794</v>
      </c>
      <c r="F86" t="s">
        <v>12596</v>
      </c>
      <c r="G86" t="s">
        <v>12596</v>
      </c>
      <c r="H86" t="s">
        <v>12596</v>
      </c>
      <c r="I86" t="s">
        <v>12596</v>
      </c>
      <c r="J86" t="s">
        <v>12596</v>
      </c>
      <c r="K86" t="s">
        <v>12596</v>
      </c>
      <c r="L86" t="s">
        <v>12596</v>
      </c>
      <c r="M86" s="352" t="s">
        <v>2070</v>
      </c>
      <c r="O86" t="s">
        <v>12596</v>
      </c>
    </row>
    <row r="87" spans="1:15">
      <c r="A87" s="413" t="s">
        <v>2068</v>
      </c>
      <c r="B87" s="352" t="s">
        <v>2069</v>
      </c>
      <c r="C87" s="352" t="s">
        <v>1767</v>
      </c>
      <c r="D87" s="352">
        <v>60040131231</v>
      </c>
      <c r="E87" s="352" t="s">
        <v>1794</v>
      </c>
      <c r="F87" t="s">
        <v>12596</v>
      </c>
      <c r="G87" t="s">
        <v>12596</v>
      </c>
      <c r="H87" t="s">
        <v>12596</v>
      </c>
      <c r="I87" t="s">
        <v>12596</v>
      </c>
      <c r="J87" t="s">
        <v>12596</v>
      </c>
      <c r="K87" t="s">
        <v>12596</v>
      </c>
      <c r="L87" t="s">
        <v>12596</v>
      </c>
      <c r="M87" s="352" t="s">
        <v>2073</v>
      </c>
      <c r="O87" t="s">
        <v>12596</v>
      </c>
    </row>
    <row r="88" spans="1:15">
      <c r="A88" s="413" t="s">
        <v>2068</v>
      </c>
      <c r="B88" s="352" t="s">
        <v>2069</v>
      </c>
      <c r="C88" s="414" t="s">
        <v>1984</v>
      </c>
      <c r="D88" s="352">
        <v>6400000</v>
      </c>
      <c r="E88" s="352" t="s">
        <v>1794</v>
      </c>
      <c r="F88" t="s">
        <v>12596</v>
      </c>
      <c r="G88" t="s">
        <v>12596</v>
      </c>
      <c r="H88" t="s">
        <v>12596</v>
      </c>
      <c r="I88" t="s">
        <v>12596</v>
      </c>
      <c r="J88" t="s">
        <v>12596</v>
      </c>
      <c r="K88" t="s">
        <v>12596</v>
      </c>
      <c r="L88" t="s">
        <v>12596</v>
      </c>
      <c r="M88" s="352" t="s">
        <v>2074</v>
      </c>
      <c r="O88" t="s">
        <v>12596</v>
      </c>
    </row>
    <row r="89" spans="1:15">
      <c r="A89" s="413" t="s">
        <v>2068</v>
      </c>
      <c r="B89" s="352" t="s">
        <v>2069</v>
      </c>
      <c r="C89" s="352" t="s">
        <v>1728</v>
      </c>
      <c r="D89" s="352" t="s">
        <v>2075</v>
      </c>
      <c r="E89" s="352" t="s">
        <v>1794</v>
      </c>
      <c r="F89" t="s">
        <v>12596</v>
      </c>
      <c r="G89" t="s">
        <v>12596</v>
      </c>
      <c r="H89" t="s">
        <v>12596</v>
      </c>
      <c r="I89" t="s">
        <v>12596</v>
      </c>
      <c r="J89" t="s">
        <v>12596</v>
      </c>
      <c r="K89" t="s">
        <v>12596</v>
      </c>
      <c r="L89" t="s">
        <v>12596</v>
      </c>
      <c r="M89" s="352" t="s">
        <v>1838</v>
      </c>
      <c r="O89" t="s">
        <v>12596</v>
      </c>
    </row>
    <row r="90" spans="1:15">
      <c r="A90" s="413" t="s">
        <v>2068</v>
      </c>
      <c r="B90" s="352" t="s">
        <v>2069</v>
      </c>
      <c r="C90" s="352" t="s">
        <v>1731</v>
      </c>
      <c r="D90" s="352" t="s">
        <v>2076</v>
      </c>
      <c r="E90" s="352" t="s">
        <v>1794</v>
      </c>
      <c r="F90" t="s">
        <v>12596</v>
      </c>
      <c r="G90" t="s">
        <v>12596</v>
      </c>
      <c r="H90" t="s">
        <v>12596</v>
      </c>
      <c r="I90" t="s">
        <v>12596</v>
      </c>
      <c r="J90" t="s">
        <v>12596</v>
      </c>
      <c r="K90" t="s">
        <v>12596</v>
      </c>
      <c r="L90" t="s">
        <v>12596</v>
      </c>
      <c r="M90" s="352" t="s">
        <v>2077</v>
      </c>
      <c r="O90" t="s">
        <v>12596</v>
      </c>
    </row>
    <row r="91" spans="1:15">
      <c r="A91" s="413" t="s">
        <v>2068</v>
      </c>
      <c r="B91" s="352" t="s">
        <v>2069</v>
      </c>
      <c r="C91" s="352" t="s">
        <v>1763</v>
      </c>
      <c r="D91" s="352">
        <v>9298827</v>
      </c>
      <c r="E91" s="352" t="s">
        <v>1794</v>
      </c>
      <c r="F91" t="s">
        <v>12596</v>
      </c>
      <c r="G91" t="s">
        <v>12596</v>
      </c>
      <c r="H91" t="s">
        <v>12596</v>
      </c>
      <c r="I91" t="s">
        <v>12596</v>
      </c>
      <c r="J91" t="s">
        <v>12596</v>
      </c>
      <c r="K91" t="s">
        <v>12596</v>
      </c>
      <c r="L91" t="s">
        <v>12596</v>
      </c>
      <c r="M91" s="352" t="s">
        <v>2078</v>
      </c>
      <c r="O91" t="s">
        <v>12596</v>
      </c>
    </row>
    <row r="92" spans="1:15">
      <c r="A92" s="413" t="s">
        <v>2068</v>
      </c>
      <c r="B92" s="352" t="s">
        <v>2069</v>
      </c>
      <c r="C92" s="352" t="s">
        <v>1733</v>
      </c>
      <c r="D92" t="s">
        <v>12596</v>
      </c>
      <c r="E92" s="352" t="s">
        <v>1794</v>
      </c>
      <c r="F92" t="s">
        <v>12596</v>
      </c>
      <c r="G92" t="s">
        <v>12596</v>
      </c>
      <c r="H92" t="s">
        <v>12596</v>
      </c>
      <c r="I92" t="s">
        <v>12596</v>
      </c>
      <c r="J92" t="s">
        <v>12596</v>
      </c>
      <c r="K92" s="352" t="s">
        <v>1867</v>
      </c>
      <c r="L92" s="352" t="s">
        <v>2079</v>
      </c>
      <c r="M92" s="352" t="s">
        <v>2069</v>
      </c>
      <c r="O92" t="s">
        <v>12596</v>
      </c>
    </row>
    <row r="93" spans="1:15">
      <c r="A93" s="413" t="s">
        <v>2068</v>
      </c>
      <c r="B93" s="352" t="s">
        <v>2069</v>
      </c>
      <c r="C93" s="414" t="s">
        <v>1714</v>
      </c>
      <c r="D93" t="s">
        <v>12596</v>
      </c>
      <c r="E93" s="352" t="s">
        <v>1794</v>
      </c>
      <c r="F93" t="s">
        <v>12596</v>
      </c>
      <c r="G93" t="s">
        <v>12596</v>
      </c>
      <c r="H93" t="s">
        <v>12596</v>
      </c>
      <c r="I93" t="s">
        <v>12596</v>
      </c>
      <c r="J93" t="s">
        <v>12596</v>
      </c>
      <c r="K93" s="416" t="s">
        <v>1834</v>
      </c>
      <c r="L93" s="352">
        <v>686</v>
      </c>
      <c r="M93" s="352" t="s">
        <v>2069</v>
      </c>
      <c r="O93" t="s">
        <v>12596</v>
      </c>
    </row>
    <row r="94" spans="1:15">
      <c r="A94" s="413" t="s">
        <v>2068</v>
      </c>
      <c r="B94" s="352" t="s">
        <v>2069</v>
      </c>
      <c r="C94" s="414" t="s">
        <v>1744</v>
      </c>
      <c r="D94" s="352">
        <v>661800</v>
      </c>
      <c r="E94" s="352" t="s">
        <v>1794</v>
      </c>
      <c r="F94" t="s">
        <v>12596</v>
      </c>
      <c r="G94" t="s">
        <v>12596</v>
      </c>
      <c r="H94" t="s">
        <v>12596</v>
      </c>
      <c r="I94" t="s">
        <v>12596</v>
      </c>
      <c r="J94" t="s">
        <v>12596</v>
      </c>
      <c r="K94" t="s">
        <v>12596</v>
      </c>
      <c r="L94" t="s">
        <v>12596</v>
      </c>
      <c r="M94" s="352" t="s">
        <v>2080</v>
      </c>
      <c r="O94" t="s">
        <v>12596</v>
      </c>
    </row>
    <row r="95" spans="1:15">
      <c r="A95" s="413" t="s">
        <v>2068</v>
      </c>
      <c r="B95" s="352" t="s">
        <v>2069</v>
      </c>
      <c r="C95" s="352" t="s">
        <v>1750</v>
      </c>
      <c r="D95" s="352">
        <v>6500440095</v>
      </c>
      <c r="E95" s="352" t="s">
        <v>1794</v>
      </c>
      <c r="F95" t="s">
        <v>12596</v>
      </c>
      <c r="G95" t="s">
        <v>12596</v>
      </c>
      <c r="H95" t="s">
        <v>12596</v>
      </c>
      <c r="I95" t="s">
        <v>12596</v>
      </c>
      <c r="J95" t="s">
        <v>12596</v>
      </c>
      <c r="K95" t="s">
        <v>12596</v>
      </c>
      <c r="L95" t="s">
        <v>12596</v>
      </c>
      <c r="M95" s="352" t="s">
        <v>2072</v>
      </c>
      <c r="O95" t="s">
        <v>12596</v>
      </c>
    </row>
    <row r="96" spans="1:15">
      <c r="A96" s="413" t="s">
        <v>2068</v>
      </c>
      <c r="B96" s="352" t="s">
        <v>2069</v>
      </c>
      <c r="C96" s="414" t="s">
        <v>1736</v>
      </c>
      <c r="D96" s="352" t="s">
        <v>2081</v>
      </c>
      <c r="E96" s="352" t="s">
        <v>1794</v>
      </c>
      <c r="F96" t="s">
        <v>12596</v>
      </c>
      <c r="G96" t="s">
        <v>12596</v>
      </c>
      <c r="H96" t="s">
        <v>12596</v>
      </c>
      <c r="I96" t="s">
        <v>12596</v>
      </c>
      <c r="J96" t="s">
        <v>12596</v>
      </c>
      <c r="K96" t="s">
        <v>12596</v>
      </c>
      <c r="L96" t="s">
        <v>12596</v>
      </c>
      <c r="M96" s="352" t="s">
        <v>2082</v>
      </c>
      <c r="O96" t="s">
        <v>12596</v>
      </c>
    </row>
    <row r="97" spans="1:15">
      <c r="A97" s="413" t="s">
        <v>2068</v>
      </c>
      <c r="B97" s="352" t="s">
        <v>2069</v>
      </c>
      <c r="C97" s="352" t="s">
        <v>1703</v>
      </c>
      <c r="D97" s="352" t="s">
        <v>2083</v>
      </c>
      <c r="E97" s="352" t="s">
        <v>1794</v>
      </c>
      <c r="F97" t="s">
        <v>12596</v>
      </c>
      <c r="G97" t="s">
        <v>12596</v>
      </c>
      <c r="H97" t="s">
        <v>12596</v>
      </c>
      <c r="I97" t="s">
        <v>12596</v>
      </c>
      <c r="J97" t="s">
        <v>12596</v>
      </c>
      <c r="K97" t="s">
        <v>12596</v>
      </c>
      <c r="L97" t="s">
        <v>12596</v>
      </c>
      <c r="M97" s="352" t="s">
        <v>2084</v>
      </c>
      <c r="O97" t="s">
        <v>12596</v>
      </c>
    </row>
    <row r="98" spans="1:15">
      <c r="A98" s="413" t="s">
        <v>2068</v>
      </c>
      <c r="B98" s="352" t="s">
        <v>2069</v>
      </c>
      <c r="C98" s="352" t="s">
        <v>1708</v>
      </c>
      <c r="D98" t="s">
        <v>12596</v>
      </c>
      <c r="E98" s="352" t="s">
        <v>1794</v>
      </c>
      <c r="F98" t="s">
        <v>12596</v>
      </c>
      <c r="G98" t="s">
        <v>12596</v>
      </c>
      <c r="H98" t="s">
        <v>12596</v>
      </c>
      <c r="I98" t="s">
        <v>12596</v>
      </c>
      <c r="J98" t="s">
        <v>12596</v>
      </c>
      <c r="K98" s="352" t="s">
        <v>1824</v>
      </c>
      <c r="L98" t="s">
        <v>12596</v>
      </c>
      <c r="M98" t="s">
        <v>12596</v>
      </c>
      <c r="O98" t="s">
        <v>12596</v>
      </c>
    </row>
    <row r="99" spans="1:15">
      <c r="A99" s="413" t="s">
        <v>2068</v>
      </c>
      <c r="B99" s="352" t="s">
        <v>2069</v>
      </c>
      <c r="C99" s="414" t="s">
        <v>1722</v>
      </c>
      <c r="D99" t="s">
        <v>12596</v>
      </c>
      <c r="E99" s="352" t="s">
        <v>1794</v>
      </c>
      <c r="F99" t="s">
        <v>12596</v>
      </c>
      <c r="G99" t="s">
        <v>12596</v>
      </c>
      <c r="H99" t="s">
        <v>12596</v>
      </c>
      <c r="I99" t="s">
        <v>12596</v>
      </c>
      <c r="J99" t="s">
        <v>12596</v>
      </c>
      <c r="K99" s="414" t="s">
        <v>1832</v>
      </c>
      <c r="L99" t="s">
        <v>12596</v>
      </c>
      <c r="M99" s="352" t="s">
        <v>2085</v>
      </c>
      <c r="O99" t="s">
        <v>12596</v>
      </c>
    </row>
    <row r="100" spans="1:15">
      <c r="A100" s="413" t="s">
        <v>2068</v>
      </c>
      <c r="B100" s="352" t="s">
        <v>2069</v>
      </c>
      <c r="C100" s="352" t="s">
        <v>1897</v>
      </c>
      <c r="D100" s="352" t="s">
        <v>2086</v>
      </c>
      <c r="E100" s="352" t="s">
        <v>1794</v>
      </c>
      <c r="F100" t="s">
        <v>12596</v>
      </c>
      <c r="G100" t="s">
        <v>12596</v>
      </c>
      <c r="H100" t="s">
        <v>12596</v>
      </c>
      <c r="I100" t="s">
        <v>12596</v>
      </c>
      <c r="J100" t="s">
        <v>12596</v>
      </c>
      <c r="K100" t="s">
        <v>12596</v>
      </c>
      <c r="L100" t="s">
        <v>12596</v>
      </c>
      <c r="M100" s="352" t="s">
        <v>2087</v>
      </c>
      <c r="O100" t="s">
        <v>12596</v>
      </c>
    </row>
    <row r="101" spans="1:15">
      <c r="A101" s="413" t="s">
        <v>2068</v>
      </c>
      <c r="B101" s="352" t="s">
        <v>2069</v>
      </c>
      <c r="C101" s="352" t="s">
        <v>1741</v>
      </c>
      <c r="D101" s="417" t="s">
        <v>2088</v>
      </c>
      <c r="E101" s="352" t="s">
        <v>1794</v>
      </c>
      <c r="F101" t="s">
        <v>12596</v>
      </c>
      <c r="G101" t="s">
        <v>12596</v>
      </c>
      <c r="H101" t="s">
        <v>12596</v>
      </c>
      <c r="I101" t="s">
        <v>12596</v>
      </c>
      <c r="J101" t="s">
        <v>12596</v>
      </c>
      <c r="K101" t="s">
        <v>12596</v>
      </c>
      <c r="L101" t="s">
        <v>12596</v>
      </c>
      <c r="M101" s="352" t="s">
        <v>2089</v>
      </c>
      <c r="O101" t="s">
        <v>12596</v>
      </c>
    </row>
    <row r="102" spans="1:15">
      <c r="A102" s="413" t="s">
        <v>2068</v>
      </c>
      <c r="B102" s="352" t="s">
        <v>2069</v>
      </c>
      <c r="C102" s="352" t="s">
        <v>1770</v>
      </c>
      <c r="D102" s="415" t="s">
        <v>2090</v>
      </c>
      <c r="E102" s="352" t="s">
        <v>1794</v>
      </c>
      <c r="F102" t="s">
        <v>12596</v>
      </c>
      <c r="G102" t="s">
        <v>12596</v>
      </c>
      <c r="H102" t="s">
        <v>12596</v>
      </c>
      <c r="I102" t="s">
        <v>12596</v>
      </c>
      <c r="J102" t="s">
        <v>12596</v>
      </c>
      <c r="K102" s="352" t="s">
        <v>1857</v>
      </c>
      <c r="L102" s="352" t="s">
        <v>2091</v>
      </c>
      <c r="M102" s="352" t="s">
        <v>2092</v>
      </c>
      <c r="O102" t="s">
        <v>12596</v>
      </c>
    </row>
    <row r="103" spans="1:15">
      <c r="A103" s="413" t="s">
        <v>2068</v>
      </c>
      <c r="B103" s="352" t="s">
        <v>2069</v>
      </c>
      <c r="C103" s="352" t="s">
        <v>1705</v>
      </c>
      <c r="D103" s="352">
        <v>1001065</v>
      </c>
      <c r="E103" s="352" t="s">
        <v>1794</v>
      </c>
      <c r="F103" t="s">
        <v>12596</v>
      </c>
      <c r="G103" t="s">
        <v>12596</v>
      </c>
      <c r="H103" t="s">
        <v>12596</v>
      </c>
      <c r="I103" t="s">
        <v>12596</v>
      </c>
      <c r="J103" t="s">
        <v>12596</v>
      </c>
      <c r="K103" t="s">
        <v>12596</v>
      </c>
      <c r="L103" t="s">
        <v>12596</v>
      </c>
      <c r="M103" s="352" t="s">
        <v>2093</v>
      </c>
      <c r="O103" t="s">
        <v>12596</v>
      </c>
    </row>
    <row r="104" spans="1:15">
      <c r="A104" s="413" t="s">
        <v>2068</v>
      </c>
      <c r="B104" s="352" t="s">
        <v>2069</v>
      </c>
      <c r="C104" s="414" t="s">
        <v>1738</v>
      </c>
      <c r="D104" t="s">
        <v>12596</v>
      </c>
      <c r="E104" s="352" t="s">
        <v>1794</v>
      </c>
      <c r="F104" t="s">
        <v>12596</v>
      </c>
      <c r="G104" t="s">
        <v>12596</v>
      </c>
      <c r="H104" t="s">
        <v>12596</v>
      </c>
      <c r="I104" t="s">
        <v>12596</v>
      </c>
      <c r="J104" t="s">
        <v>12596</v>
      </c>
      <c r="K104" t="s">
        <v>12596</v>
      </c>
      <c r="L104" t="s">
        <v>12596</v>
      </c>
      <c r="M104" s="352" t="s">
        <v>2094</v>
      </c>
      <c r="O104" t="s">
        <v>12596</v>
      </c>
    </row>
    <row r="105" spans="1:15" ht="15" thickBot="1">
      <c r="A105" s="418" t="s">
        <v>2068</v>
      </c>
      <c r="B105" s="419" t="s">
        <v>2069</v>
      </c>
      <c r="C105" s="419" t="s">
        <v>2095</v>
      </c>
      <c r="D105" s="419">
        <v>1100200009</v>
      </c>
      <c r="E105" s="419" t="s">
        <v>1794</v>
      </c>
      <c r="F105" t="s">
        <v>12596</v>
      </c>
      <c r="G105" t="s">
        <v>12596</v>
      </c>
      <c r="H105" t="s">
        <v>12596</v>
      </c>
      <c r="I105" t="s">
        <v>12596</v>
      </c>
      <c r="J105" t="s">
        <v>12596</v>
      </c>
      <c r="K105" t="s">
        <v>12596</v>
      </c>
      <c r="L105" t="s">
        <v>12596</v>
      </c>
      <c r="M105" s="419" t="s">
        <v>2096</v>
      </c>
      <c r="O105" t="s">
        <v>12596</v>
      </c>
    </row>
    <row r="106" spans="1:15">
      <c r="A106" s="476" t="s">
        <v>12634</v>
      </c>
      <c r="B106" s="327" t="s">
        <v>12635</v>
      </c>
      <c r="C106" s="329" t="s">
        <v>1703</v>
      </c>
      <c r="D106" s="352">
        <v>2099100984</v>
      </c>
      <c r="E106" s="327" t="s">
        <v>1794</v>
      </c>
      <c r="K106"/>
      <c r="L106" s="327"/>
      <c r="M106" s="327" t="s">
        <v>1830</v>
      </c>
      <c r="N106" s="470"/>
    </row>
    <row r="107" spans="1:15">
      <c r="A107" s="476" t="s">
        <v>12636</v>
      </c>
      <c r="B107" s="327" t="s">
        <v>1800</v>
      </c>
      <c r="C107" s="329" t="s">
        <v>1750</v>
      </c>
      <c r="D107" s="352" t="s">
        <v>1993</v>
      </c>
      <c r="E107" s="327" t="s">
        <v>1794</v>
      </c>
      <c r="K107"/>
      <c r="L107" s="327"/>
      <c r="M107" s="327" t="s">
        <v>1994</v>
      </c>
      <c r="N107" s="470"/>
    </row>
    <row r="108" spans="1:15">
      <c r="A108" s="476" t="s">
        <v>12637</v>
      </c>
      <c r="B108" s="327" t="s">
        <v>1800</v>
      </c>
      <c r="C108" s="329" t="s">
        <v>1711</v>
      </c>
      <c r="D108" s="352" t="s">
        <v>12768</v>
      </c>
      <c r="E108" s="327" t="s">
        <v>1794</v>
      </c>
      <c r="K108"/>
      <c r="L108" s="327"/>
      <c r="M108" s="327" t="s">
        <v>12769</v>
      </c>
      <c r="N108" s="470"/>
    </row>
    <row r="109" spans="1:15">
      <c r="A109" s="476" t="s">
        <v>12638</v>
      </c>
      <c r="B109" s="327" t="s">
        <v>12635</v>
      </c>
      <c r="C109" s="329" t="s">
        <v>1708</v>
      </c>
      <c r="D109" s="352">
        <v>6212721698</v>
      </c>
      <c r="E109" s="327" t="s">
        <v>1794</v>
      </c>
      <c r="K109" s="327" t="s">
        <v>1824</v>
      </c>
      <c r="L109" s="327" t="s">
        <v>1825</v>
      </c>
      <c r="M109" s="327" t="s">
        <v>2003</v>
      </c>
      <c r="N109" s="470"/>
    </row>
    <row r="110" spans="1:15">
      <c r="A110" s="476" t="s">
        <v>12639</v>
      </c>
      <c r="B110" s="327" t="s">
        <v>1800</v>
      </c>
      <c r="C110" s="329" t="s">
        <v>12640</v>
      </c>
      <c r="D110" s="352" t="s">
        <v>12641</v>
      </c>
      <c r="E110" s="327" t="s">
        <v>1794</v>
      </c>
      <c r="K110"/>
      <c r="L110" s="327"/>
      <c r="M110" s="327" t="s">
        <v>1994</v>
      </c>
      <c r="N110" s="470"/>
    </row>
    <row r="111" spans="1:15">
      <c r="A111" s="476" t="s">
        <v>12642</v>
      </c>
      <c r="B111" s="327" t="s">
        <v>1800</v>
      </c>
      <c r="C111" s="329" t="s">
        <v>1765</v>
      </c>
      <c r="D111" s="352">
        <v>5295182662</v>
      </c>
      <c r="E111" s="327" t="s">
        <v>1794</v>
      </c>
      <c r="K111"/>
      <c r="L111" s="327"/>
      <c r="M111" s="327" t="s">
        <v>1981</v>
      </c>
      <c r="N111" s="470"/>
    </row>
    <row r="112" spans="1:15">
      <c r="A112" s="476" t="s">
        <v>12643</v>
      </c>
      <c r="B112" s="327" t="s">
        <v>1800</v>
      </c>
      <c r="C112" s="329" t="s">
        <v>1700</v>
      </c>
      <c r="D112" s="352" t="s">
        <v>12770</v>
      </c>
      <c r="E112" s="327" t="s">
        <v>1794</v>
      </c>
      <c r="K112"/>
      <c r="L112" s="327"/>
      <c r="M112" s="327" t="s">
        <v>1805</v>
      </c>
      <c r="N112" s="470"/>
    </row>
    <row r="113" spans="1:14">
      <c r="A113" s="476" t="s">
        <v>12644</v>
      </c>
      <c r="B113" s="327" t="s">
        <v>1800</v>
      </c>
      <c r="C113" s="329" t="s">
        <v>1756</v>
      </c>
      <c r="D113" s="352" t="s">
        <v>12771</v>
      </c>
      <c r="E113" s="327" t="s">
        <v>1794</v>
      </c>
      <c r="K113"/>
      <c r="L113" s="327"/>
      <c r="M113" s="327" t="s">
        <v>12769</v>
      </c>
      <c r="N113" s="470"/>
    </row>
    <row r="114" spans="1:14">
      <c r="A114" s="476" t="s">
        <v>12645</v>
      </c>
      <c r="B114" s="327" t="s">
        <v>1800</v>
      </c>
      <c r="C114" s="329" t="s">
        <v>1720</v>
      </c>
      <c r="D114" s="352" t="s">
        <v>12772</v>
      </c>
      <c r="E114" s="327" t="s">
        <v>1794</v>
      </c>
      <c r="K114"/>
      <c r="L114" s="327"/>
      <c r="M114" s="327" t="s">
        <v>12769</v>
      </c>
      <c r="N114" s="470"/>
    </row>
    <row r="115" spans="1:14">
      <c r="A115" s="476" t="s">
        <v>12646</v>
      </c>
      <c r="B115" s="327" t="s">
        <v>1800</v>
      </c>
      <c r="C115" s="329" t="s">
        <v>12647</v>
      </c>
      <c r="D115" s="352">
        <v>41142</v>
      </c>
      <c r="E115" s="327" t="s">
        <v>1794</v>
      </c>
      <c r="K115"/>
      <c r="L115" s="327"/>
      <c r="M115" s="327" t="s">
        <v>12648</v>
      </c>
      <c r="N115" s="470"/>
    </row>
    <row r="116" spans="1:14">
      <c r="A116" s="476" t="s">
        <v>12649</v>
      </c>
      <c r="B116" s="327" t="s">
        <v>1800</v>
      </c>
      <c r="C116" s="329" t="s">
        <v>1770</v>
      </c>
      <c r="D116" s="352" t="s">
        <v>12773</v>
      </c>
      <c r="E116" s="327" t="s">
        <v>1794</v>
      </c>
      <c r="K116" s="327" t="s">
        <v>1857</v>
      </c>
      <c r="L116" s="327" t="s">
        <v>1996</v>
      </c>
      <c r="M116" s="327" t="s">
        <v>12650</v>
      </c>
      <c r="N116" s="470"/>
    </row>
    <row r="117" spans="1:14">
      <c r="A117" s="476" t="s">
        <v>12651</v>
      </c>
      <c r="B117" s="327" t="s">
        <v>1800</v>
      </c>
      <c r="C117" s="329" t="s">
        <v>1714</v>
      </c>
      <c r="D117" s="352">
        <v>721213</v>
      </c>
      <c r="E117" s="327" t="s">
        <v>1794</v>
      </c>
      <c r="K117" s="330" t="s">
        <v>1834</v>
      </c>
      <c r="L117" s="327" t="s">
        <v>12774</v>
      </c>
      <c r="M117" s="327" t="s">
        <v>1991</v>
      </c>
      <c r="N117" s="470"/>
    </row>
    <row r="118" spans="1:14">
      <c r="A118" s="476" t="s">
        <v>12652</v>
      </c>
      <c r="B118" s="327" t="s">
        <v>1800</v>
      </c>
      <c r="C118" s="329" t="s">
        <v>1744</v>
      </c>
      <c r="D118" s="352" t="s">
        <v>12775</v>
      </c>
      <c r="E118" s="327" t="s">
        <v>1794</v>
      </c>
      <c r="K118"/>
      <c r="L118" s="327"/>
      <c r="M118" s="327" t="s">
        <v>12776</v>
      </c>
      <c r="N118" s="470"/>
    </row>
    <row r="119" spans="1:14">
      <c r="A119" s="476" t="s">
        <v>12653</v>
      </c>
      <c r="B119" s="327" t="s">
        <v>1800</v>
      </c>
      <c r="C119" s="329" t="s">
        <v>1736</v>
      </c>
      <c r="D119" s="352" t="s">
        <v>12777</v>
      </c>
      <c r="E119" s="327" t="s">
        <v>1794</v>
      </c>
      <c r="K119"/>
      <c r="L119" s="327"/>
      <c r="M119" s="327" t="s">
        <v>1814</v>
      </c>
      <c r="N119" s="470"/>
    </row>
    <row r="120" spans="1:14">
      <c r="A120" s="476" t="s">
        <v>12654</v>
      </c>
      <c r="B120" s="327" t="s">
        <v>1800</v>
      </c>
      <c r="C120" s="329" t="s">
        <v>1747</v>
      </c>
      <c r="D120" s="352" t="s">
        <v>12778</v>
      </c>
      <c r="E120" s="327" t="s">
        <v>1794</v>
      </c>
      <c r="K120"/>
      <c r="L120" s="327"/>
      <c r="M120" s="327" t="s">
        <v>12769</v>
      </c>
      <c r="N120" s="470"/>
    </row>
    <row r="121" spans="1:14">
      <c r="A121" s="476" t="s">
        <v>12655</v>
      </c>
      <c r="B121" s="327" t="s">
        <v>12635</v>
      </c>
      <c r="C121" s="329" t="s">
        <v>12656</v>
      </c>
      <c r="D121" s="352">
        <v>60508753</v>
      </c>
      <c r="E121" s="327" t="s">
        <v>1794</v>
      </c>
      <c r="K121"/>
      <c r="L121" s="327"/>
      <c r="M121" s="327" t="s">
        <v>12657</v>
      </c>
      <c r="N121" s="470"/>
    </row>
    <row r="122" spans="1:14">
      <c r="A122" s="476" t="s">
        <v>12658</v>
      </c>
      <c r="B122" s="327" t="s">
        <v>1800</v>
      </c>
      <c r="C122" s="329" t="s">
        <v>1767</v>
      </c>
      <c r="D122" s="352">
        <v>60040149068</v>
      </c>
      <c r="E122" s="327" t="s">
        <v>1794</v>
      </c>
      <c r="K122"/>
      <c r="L122" s="327"/>
      <c r="M122" s="327" t="s">
        <v>1822</v>
      </c>
      <c r="N122" s="470"/>
    </row>
    <row r="123" spans="1:14">
      <c r="A123" s="476" t="s">
        <v>12659</v>
      </c>
      <c r="B123" s="327" t="s">
        <v>1800</v>
      </c>
      <c r="C123" s="329" t="s">
        <v>1984</v>
      </c>
      <c r="D123" s="352" t="s">
        <v>12779</v>
      </c>
      <c r="E123" s="327" t="s">
        <v>1794</v>
      </c>
      <c r="K123"/>
      <c r="L123" s="327"/>
      <c r="M123" s="327" t="s">
        <v>1994</v>
      </c>
      <c r="N123" s="470"/>
    </row>
    <row r="124" spans="1:14">
      <c r="A124" s="476" t="s">
        <v>12660</v>
      </c>
      <c r="B124" s="327" t="s">
        <v>1800</v>
      </c>
      <c r="C124" s="329" t="s">
        <v>1728</v>
      </c>
      <c r="D124" s="352" t="s">
        <v>12780</v>
      </c>
      <c r="E124" s="327" t="s">
        <v>1794</v>
      </c>
      <c r="K124"/>
      <c r="L124" s="327"/>
      <c r="M124" s="327" t="s">
        <v>1816</v>
      </c>
      <c r="N124" s="470"/>
    </row>
    <row r="125" spans="1:14">
      <c r="A125" s="476" t="s">
        <v>12661</v>
      </c>
      <c r="B125" s="327" t="s">
        <v>1800</v>
      </c>
      <c r="C125" s="329" t="s">
        <v>12662</v>
      </c>
      <c r="D125" s="352"/>
      <c r="E125" s="327" t="s">
        <v>1794</v>
      </c>
      <c r="K125"/>
      <c r="L125" s="327"/>
      <c r="M125" s="327" t="s">
        <v>1802</v>
      </c>
      <c r="N125" s="470"/>
    </row>
    <row r="126" spans="1:14">
      <c r="A126" s="476" t="s">
        <v>12663</v>
      </c>
      <c r="B126" s="327" t="s">
        <v>1800</v>
      </c>
      <c r="C126" s="329" t="s">
        <v>1763</v>
      </c>
      <c r="D126" s="352" t="s">
        <v>12781</v>
      </c>
      <c r="E126" s="327" t="s">
        <v>1794</v>
      </c>
      <c r="K126"/>
      <c r="L126" s="327"/>
      <c r="M126" s="327" t="s">
        <v>1819</v>
      </c>
      <c r="N126" s="470"/>
    </row>
    <row r="127" spans="1:14">
      <c r="A127" s="476" t="s">
        <v>12664</v>
      </c>
      <c r="B127" s="327" t="s">
        <v>1800</v>
      </c>
      <c r="C127" s="329" t="s">
        <v>1733</v>
      </c>
      <c r="D127" s="352" t="s">
        <v>12782</v>
      </c>
      <c r="E127" s="327" t="s">
        <v>1794</v>
      </c>
      <c r="K127" s="327" t="s">
        <v>1867</v>
      </c>
      <c r="L127" s="327" t="s">
        <v>1990</v>
      </c>
      <c r="M127" s="327" t="s">
        <v>1828</v>
      </c>
      <c r="N127" s="470"/>
    </row>
    <row r="128" spans="1:14">
      <c r="A128" s="476" t="s">
        <v>12665</v>
      </c>
      <c r="B128" s="327" t="s">
        <v>1800</v>
      </c>
      <c r="C128" s="329" t="s">
        <v>1714</v>
      </c>
      <c r="D128" s="352">
        <v>721213</v>
      </c>
      <c r="E128" s="327" t="s">
        <v>1794</v>
      </c>
      <c r="K128" s="330" t="s">
        <v>1834</v>
      </c>
      <c r="L128" s="327" t="s">
        <v>12774</v>
      </c>
      <c r="M128" s="327" t="s">
        <v>1991</v>
      </c>
      <c r="N128" s="470"/>
    </row>
    <row r="129" spans="1:15">
      <c r="A129" s="476" t="s">
        <v>12666</v>
      </c>
      <c r="B129" s="327" t="s">
        <v>1800</v>
      </c>
      <c r="C129" s="329" t="s">
        <v>1722</v>
      </c>
      <c r="D129" s="352">
        <v>236708</v>
      </c>
      <c r="E129" s="327" t="s">
        <v>1794</v>
      </c>
      <c r="K129" s="327" t="s">
        <v>1832</v>
      </c>
      <c r="L129" s="352">
        <v>908</v>
      </c>
      <c r="M129" s="327" t="s">
        <v>12635</v>
      </c>
      <c r="N129" s="470"/>
    </row>
    <row r="130" spans="1:15">
      <c r="A130" s="476" t="s">
        <v>12667</v>
      </c>
      <c r="B130" s="327" t="s">
        <v>1800</v>
      </c>
      <c r="C130" s="327" t="s">
        <v>12783</v>
      </c>
      <c r="D130" s="352"/>
      <c r="E130" s="327" t="s">
        <v>1794</v>
      </c>
      <c r="K130" s="477" t="s">
        <v>12784</v>
      </c>
      <c r="L130" s="477">
        <v>22453</v>
      </c>
      <c r="M130" s="327"/>
      <c r="N130" s="470"/>
    </row>
    <row r="131" spans="1:15">
      <c r="A131" s="1139" t="s">
        <v>12952</v>
      </c>
      <c r="B131" s="452" t="s">
        <v>12953</v>
      </c>
      <c r="C131" s="452" t="s">
        <v>1711</v>
      </c>
      <c r="D131" t="s">
        <v>12954</v>
      </c>
      <c r="E131" s="1140" t="s">
        <v>1794</v>
      </c>
      <c r="F131" t="s">
        <v>12954</v>
      </c>
      <c r="G131" t="s">
        <v>12954</v>
      </c>
      <c r="H131" t="s">
        <v>12954</v>
      </c>
      <c r="I131" s="1140" t="s">
        <v>12955</v>
      </c>
      <c r="J131" t="s">
        <v>12954</v>
      </c>
      <c r="K131" t="s">
        <v>12954</v>
      </c>
      <c r="L131" t="s">
        <v>12954</v>
      </c>
      <c r="M131" s="452" t="s">
        <v>12956</v>
      </c>
      <c r="N131" t="s">
        <v>12954</v>
      </c>
      <c r="O131" s="1140"/>
    </row>
    <row r="132" spans="1:15">
      <c r="A132" s="1139" t="s">
        <v>12957</v>
      </c>
      <c r="B132" t="s">
        <v>12954</v>
      </c>
      <c r="C132" s="1141" t="s">
        <v>1765</v>
      </c>
      <c r="D132" t="s">
        <v>12954</v>
      </c>
      <c r="E132" s="1140" t="s">
        <v>1794</v>
      </c>
      <c r="F132" t="s">
        <v>12954</v>
      </c>
      <c r="G132" t="s">
        <v>12954</v>
      </c>
      <c r="H132" t="s">
        <v>12954</v>
      </c>
      <c r="I132" t="s">
        <v>12954</v>
      </c>
      <c r="J132" t="s">
        <v>12954</v>
      </c>
      <c r="K132" t="s">
        <v>12954</v>
      </c>
      <c r="L132" t="s">
        <v>12954</v>
      </c>
      <c r="M132" t="s">
        <v>12954</v>
      </c>
      <c r="N132" t="s">
        <v>12954</v>
      </c>
      <c r="O132" s="1140"/>
    </row>
    <row r="133" spans="1:15">
      <c r="A133" s="1139" t="s">
        <v>12958</v>
      </c>
      <c r="B133" s="452" t="s">
        <v>12953</v>
      </c>
      <c r="C133" s="329" t="s">
        <v>1700</v>
      </c>
      <c r="D133" s="1140">
        <v>20297612</v>
      </c>
      <c r="E133" s="1140" t="s">
        <v>1794</v>
      </c>
      <c r="F133" t="s">
        <v>12954</v>
      </c>
      <c r="G133" t="s">
        <v>12954</v>
      </c>
      <c r="H133" t="s">
        <v>12954</v>
      </c>
      <c r="I133" s="1140" t="s">
        <v>1733</v>
      </c>
      <c r="J133" t="s">
        <v>12954</v>
      </c>
      <c r="K133" t="s">
        <v>12954</v>
      </c>
      <c r="L133" t="s">
        <v>12954</v>
      </c>
      <c r="M133" s="327" t="s">
        <v>1805</v>
      </c>
      <c r="N133" t="s">
        <v>12954</v>
      </c>
      <c r="O133" s="1140"/>
    </row>
    <row r="134" spans="1:15">
      <c r="A134" s="1139" t="s">
        <v>12959</v>
      </c>
      <c r="B134" s="452" t="s">
        <v>12953</v>
      </c>
      <c r="C134" s="452" t="s">
        <v>1756</v>
      </c>
      <c r="D134" s="1140">
        <v>20297612</v>
      </c>
      <c r="E134" s="1140" t="s">
        <v>1794</v>
      </c>
      <c r="F134" t="s">
        <v>12954</v>
      </c>
      <c r="G134" t="s">
        <v>12954</v>
      </c>
      <c r="H134" t="s">
        <v>12954</v>
      </c>
      <c r="I134" s="1140" t="s">
        <v>12955</v>
      </c>
      <c r="J134" t="s">
        <v>12954</v>
      </c>
      <c r="K134" t="s">
        <v>12954</v>
      </c>
      <c r="L134" t="s">
        <v>12954</v>
      </c>
      <c r="M134" s="452" t="s">
        <v>1838</v>
      </c>
      <c r="N134" t="s">
        <v>12954</v>
      </c>
      <c r="O134" s="1140"/>
    </row>
    <row r="135" spans="1:15">
      <c r="A135" s="1139" t="s">
        <v>12960</v>
      </c>
      <c r="B135" s="452" t="s">
        <v>12953</v>
      </c>
      <c r="C135" s="452" t="s">
        <v>1720</v>
      </c>
      <c r="D135" s="1140">
        <v>20297612</v>
      </c>
      <c r="E135" s="1140" t="s">
        <v>1794</v>
      </c>
      <c r="F135" t="s">
        <v>12954</v>
      </c>
      <c r="G135" t="s">
        <v>12954</v>
      </c>
      <c r="H135" t="s">
        <v>12954</v>
      </c>
      <c r="I135" s="1140" t="s">
        <v>1733</v>
      </c>
      <c r="J135" t="s">
        <v>12954</v>
      </c>
      <c r="K135" t="s">
        <v>12954</v>
      </c>
      <c r="L135" t="s">
        <v>12954</v>
      </c>
      <c r="M135" s="452" t="s">
        <v>12961</v>
      </c>
      <c r="N135" t="s">
        <v>12954</v>
      </c>
      <c r="O135" s="1140"/>
    </row>
    <row r="136" spans="1:15">
      <c r="A136" s="1139" t="s">
        <v>12962</v>
      </c>
      <c r="B136" s="452" t="s">
        <v>12953</v>
      </c>
      <c r="C136" s="452" t="s">
        <v>12963</v>
      </c>
      <c r="D136" s="1140">
        <v>20297612</v>
      </c>
      <c r="E136" s="1140" t="s">
        <v>1794</v>
      </c>
      <c r="F136" t="s">
        <v>12954</v>
      </c>
      <c r="G136" t="s">
        <v>12954</v>
      </c>
      <c r="H136" t="s">
        <v>12954</v>
      </c>
      <c r="I136" t="s">
        <v>12954</v>
      </c>
      <c r="J136" t="s">
        <v>12954</v>
      </c>
      <c r="K136" t="s">
        <v>12954</v>
      </c>
      <c r="L136" t="s">
        <v>12954</v>
      </c>
      <c r="M136" s="452" t="s">
        <v>12955</v>
      </c>
      <c r="N136" t="s">
        <v>12954</v>
      </c>
      <c r="O136" s="1140"/>
    </row>
    <row r="137" spans="1:15">
      <c r="A137" s="1139" t="s">
        <v>12964</v>
      </c>
      <c r="B137" t="s">
        <v>12954</v>
      </c>
      <c r="C137" s="1142" t="s">
        <v>1821</v>
      </c>
      <c r="D137" t="s">
        <v>12954</v>
      </c>
      <c r="E137" s="1140" t="s">
        <v>1794</v>
      </c>
      <c r="F137" t="s">
        <v>12954</v>
      </c>
      <c r="G137" t="s">
        <v>12954</v>
      </c>
      <c r="H137" t="s">
        <v>12954</v>
      </c>
      <c r="I137" t="s">
        <v>12954</v>
      </c>
      <c r="J137" t="s">
        <v>12954</v>
      </c>
      <c r="K137" t="s">
        <v>12954</v>
      </c>
      <c r="L137" t="s">
        <v>12954</v>
      </c>
      <c r="M137" t="s">
        <v>12954</v>
      </c>
      <c r="N137" t="s">
        <v>12954</v>
      </c>
      <c r="O137" s="1140"/>
    </row>
    <row r="138" spans="1:15">
      <c r="A138" s="1139" t="s">
        <v>12965</v>
      </c>
      <c r="B138" t="s">
        <v>12954</v>
      </c>
      <c r="C138" s="1141" t="s">
        <v>1984</v>
      </c>
      <c r="D138" t="s">
        <v>12954</v>
      </c>
      <c r="E138" s="1140" t="s">
        <v>1794</v>
      </c>
      <c r="F138" t="s">
        <v>12954</v>
      </c>
      <c r="G138" t="s">
        <v>12954</v>
      </c>
      <c r="H138" t="s">
        <v>12954</v>
      </c>
      <c r="I138" t="s">
        <v>12954</v>
      </c>
      <c r="J138" t="s">
        <v>12954</v>
      </c>
      <c r="K138" t="s">
        <v>12954</v>
      </c>
      <c r="L138" t="s">
        <v>12954</v>
      </c>
      <c r="M138" t="s">
        <v>12954</v>
      </c>
      <c r="N138" t="s">
        <v>12954</v>
      </c>
      <c r="O138" s="1140"/>
    </row>
    <row r="139" spans="1:15">
      <c r="A139" s="1139" t="s">
        <v>12966</v>
      </c>
      <c r="B139" t="s">
        <v>12954</v>
      </c>
      <c r="C139" s="1142" t="s">
        <v>1728</v>
      </c>
      <c r="D139" t="s">
        <v>12954</v>
      </c>
      <c r="E139" s="1140" t="s">
        <v>1794</v>
      </c>
      <c r="F139" t="s">
        <v>12954</v>
      </c>
      <c r="G139" t="s">
        <v>12954</v>
      </c>
      <c r="H139" t="s">
        <v>12954</v>
      </c>
      <c r="I139" t="s">
        <v>12954</v>
      </c>
      <c r="J139" t="s">
        <v>12954</v>
      </c>
      <c r="K139" t="s">
        <v>12954</v>
      </c>
      <c r="L139" t="s">
        <v>12954</v>
      </c>
      <c r="M139" t="s">
        <v>12954</v>
      </c>
      <c r="N139" t="s">
        <v>12954</v>
      </c>
      <c r="O139" s="1140"/>
    </row>
    <row r="140" spans="1:15">
      <c r="A140" s="1139" t="s">
        <v>12967</v>
      </c>
      <c r="B140" t="s">
        <v>12954</v>
      </c>
      <c r="C140" s="1141" t="s">
        <v>1731</v>
      </c>
      <c r="D140" t="s">
        <v>12954</v>
      </c>
      <c r="E140" s="1140" t="s">
        <v>1794</v>
      </c>
      <c r="F140" t="s">
        <v>12954</v>
      </c>
      <c r="G140" t="s">
        <v>12954</v>
      </c>
      <c r="H140" t="s">
        <v>12954</v>
      </c>
      <c r="I140" t="s">
        <v>12954</v>
      </c>
      <c r="J140" t="s">
        <v>12954</v>
      </c>
      <c r="K140" t="s">
        <v>12954</v>
      </c>
      <c r="L140" t="s">
        <v>12954</v>
      </c>
      <c r="M140" t="s">
        <v>12954</v>
      </c>
      <c r="N140" t="s">
        <v>12954</v>
      </c>
      <c r="O140" s="1140"/>
    </row>
    <row r="141" spans="1:15">
      <c r="A141" s="1139" t="s">
        <v>12968</v>
      </c>
      <c r="B141" s="452" t="s">
        <v>12783</v>
      </c>
      <c r="C141" s="1142" t="s">
        <v>1763</v>
      </c>
      <c r="D141" s="1140">
        <v>86585649</v>
      </c>
      <c r="E141" s="1140" t="s">
        <v>1794</v>
      </c>
      <c r="F141" t="s">
        <v>12954</v>
      </c>
      <c r="G141" t="s">
        <v>12954</v>
      </c>
      <c r="H141" t="s">
        <v>12954</v>
      </c>
      <c r="I141" t="s">
        <v>12954</v>
      </c>
      <c r="J141" t="s">
        <v>12954</v>
      </c>
      <c r="K141" t="s">
        <v>12954</v>
      </c>
      <c r="L141" t="s">
        <v>12954</v>
      </c>
      <c r="M141" s="452" t="s">
        <v>12969</v>
      </c>
      <c r="N141" t="s">
        <v>12954</v>
      </c>
      <c r="O141" s="1140"/>
    </row>
    <row r="142" spans="1:15">
      <c r="A142" s="1139" t="s">
        <v>12970</v>
      </c>
      <c r="B142" s="452" t="s">
        <v>12783</v>
      </c>
      <c r="C142" s="1142" t="s">
        <v>1733</v>
      </c>
      <c r="D142" t="s">
        <v>12954</v>
      </c>
      <c r="E142" s="1140" t="s">
        <v>1794</v>
      </c>
      <c r="F142" t="s">
        <v>12954</v>
      </c>
      <c r="G142" t="s">
        <v>12954</v>
      </c>
      <c r="H142" t="s">
        <v>12954</v>
      </c>
      <c r="I142" t="s">
        <v>12954</v>
      </c>
      <c r="J142" t="s">
        <v>12954</v>
      </c>
      <c r="K142" s="452" t="s">
        <v>1867</v>
      </c>
      <c r="L142" s="1140" t="s">
        <v>12971</v>
      </c>
      <c r="M142" s="452" t="s">
        <v>12972</v>
      </c>
      <c r="N142" t="s">
        <v>12954</v>
      </c>
      <c r="O142" s="1140"/>
    </row>
    <row r="143" spans="1:15">
      <c r="A143" s="1139" t="s">
        <v>12973</v>
      </c>
      <c r="B143" s="452" t="s">
        <v>12953</v>
      </c>
      <c r="C143" s="452" t="s">
        <v>1714</v>
      </c>
      <c r="D143" t="s">
        <v>12954</v>
      </c>
      <c r="E143" s="1140" t="s">
        <v>1794</v>
      </c>
      <c r="F143" t="s">
        <v>12954</v>
      </c>
      <c r="G143" t="s">
        <v>12954</v>
      </c>
      <c r="H143" t="s">
        <v>12954</v>
      </c>
      <c r="I143" s="1140" t="s">
        <v>1733</v>
      </c>
      <c r="J143" t="s">
        <v>12954</v>
      </c>
      <c r="K143" s="1140" t="s">
        <v>1834</v>
      </c>
      <c r="L143" s="1140" t="s">
        <v>12974</v>
      </c>
      <c r="M143" s="452" t="s">
        <v>12975</v>
      </c>
      <c r="N143" t="s">
        <v>12954</v>
      </c>
      <c r="O143" s="1140"/>
    </row>
    <row r="144" spans="1:15">
      <c r="A144" s="1139" t="s">
        <v>12976</v>
      </c>
      <c r="B144" s="452" t="s">
        <v>12953</v>
      </c>
      <c r="C144" s="452" t="s">
        <v>1744</v>
      </c>
      <c r="D144" s="1140" t="s">
        <v>12977</v>
      </c>
      <c r="E144" s="1140" t="s">
        <v>1794</v>
      </c>
      <c r="F144" t="s">
        <v>12954</v>
      </c>
      <c r="G144" t="s">
        <v>12954</v>
      </c>
      <c r="H144" t="s">
        <v>12954</v>
      </c>
      <c r="I144" t="s">
        <v>12954</v>
      </c>
      <c r="J144" t="s">
        <v>12954</v>
      </c>
      <c r="K144" t="s">
        <v>12954</v>
      </c>
      <c r="L144" t="s">
        <v>12954</v>
      </c>
      <c r="M144" s="452" t="s">
        <v>12978</v>
      </c>
      <c r="N144" t="s">
        <v>12954</v>
      </c>
      <c r="O144" s="1140"/>
    </row>
    <row r="145" spans="1:15">
      <c r="A145" s="1139" t="s">
        <v>12979</v>
      </c>
      <c r="B145" s="452" t="s">
        <v>12980</v>
      </c>
      <c r="C145" s="1142" t="s">
        <v>1750</v>
      </c>
      <c r="D145" s="1140" t="s">
        <v>12981</v>
      </c>
      <c r="E145" s="1140" t="s">
        <v>1794</v>
      </c>
      <c r="F145" t="s">
        <v>12954</v>
      </c>
      <c r="G145" t="s">
        <v>12954</v>
      </c>
      <c r="H145" t="s">
        <v>12954</v>
      </c>
      <c r="I145" t="s">
        <v>12954</v>
      </c>
      <c r="J145" t="s">
        <v>12954</v>
      </c>
      <c r="K145" t="s">
        <v>12954</v>
      </c>
      <c r="L145" t="s">
        <v>12954</v>
      </c>
      <c r="M145" s="452" t="s">
        <v>12783</v>
      </c>
      <c r="N145" t="s">
        <v>12954</v>
      </c>
      <c r="O145" s="1140"/>
    </row>
    <row r="146" spans="1:15">
      <c r="A146" s="1139" t="s">
        <v>12982</v>
      </c>
      <c r="B146" s="452" t="s">
        <v>12783</v>
      </c>
      <c r="C146" s="1142" t="s">
        <v>1736</v>
      </c>
      <c r="D146" s="1140">
        <v>19484</v>
      </c>
      <c r="E146" s="1140" t="s">
        <v>1794</v>
      </c>
      <c r="F146" t="s">
        <v>12954</v>
      </c>
      <c r="G146" t="s">
        <v>12954</v>
      </c>
      <c r="H146" t="s">
        <v>12954</v>
      </c>
      <c r="I146" t="s">
        <v>12954</v>
      </c>
      <c r="J146" t="s">
        <v>12954</v>
      </c>
      <c r="K146" t="s">
        <v>12954</v>
      </c>
      <c r="L146" t="s">
        <v>12954</v>
      </c>
      <c r="M146" s="452" t="s">
        <v>12983</v>
      </c>
      <c r="N146" t="s">
        <v>12954</v>
      </c>
      <c r="O146" s="1140"/>
    </row>
    <row r="147" spans="1:15">
      <c r="A147" s="1139" t="s">
        <v>12984</v>
      </c>
      <c r="B147" s="452" t="s">
        <v>12783</v>
      </c>
      <c r="C147" s="1142" t="s">
        <v>1703</v>
      </c>
      <c r="D147" s="1140" t="s">
        <v>12985</v>
      </c>
      <c r="E147" s="1140" t="s">
        <v>1794</v>
      </c>
      <c r="F147" t="s">
        <v>12954</v>
      </c>
      <c r="G147" t="s">
        <v>12954</v>
      </c>
      <c r="H147" t="s">
        <v>12954</v>
      </c>
      <c r="I147" t="s">
        <v>12954</v>
      </c>
      <c r="J147" t="s">
        <v>12954</v>
      </c>
      <c r="K147" t="s">
        <v>12954</v>
      </c>
      <c r="L147" t="s">
        <v>12954</v>
      </c>
      <c r="M147" s="452" t="s">
        <v>12986</v>
      </c>
      <c r="N147" t="s">
        <v>12954</v>
      </c>
      <c r="O147" s="1140"/>
    </row>
    <row r="148" spans="1:15">
      <c r="A148" s="1139" t="s">
        <v>12987</v>
      </c>
      <c r="B148" s="452" t="s">
        <v>12953</v>
      </c>
      <c r="C148" s="1142" t="s">
        <v>1708</v>
      </c>
      <c r="D148" s="1140" t="s">
        <v>12988</v>
      </c>
      <c r="E148" s="1140" t="s">
        <v>1794</v>
      </c>
      <c r="F148" t="s">
        <v>12954</v>
      </c>
      <c r="G148" t="s">
        <v>12954</v>
      </c>
      <c r="H148" t="s">
        <v>12954</v>
      </c>
      <c r="I148" t="s">
        <v>12954</v>
      </c>
      <c r="J148" t="s">
        <v>12954</v>
      </c>
      <c r="K148" s="1140" t="s">
        <v>1824</v>
      </c>
      <c r="L148" s="1140" t="s">
        <v>12989</v>
      </c>
      <c r="M148" s="452" t="s">
        <v>12990</v>
      </c>
      <c r="N148" t="s">
        <v>12954</v>
      </c>
      <c r="O148" s="1140"/>
    </row>
    <row r="149" spans="1:15">
      <c r="A149" s="1139" t="s">
        <v>12991</v>
      </c>
      <c r="B149" s="452" t="s">
        <v>12953</v>
      </c>
      <c r="C149" s="452" t="s">
        <v>1722</v>
      </c>
      <c r="D149" s="1140">
        <v>217217</v>
      </c>
      <c r="E149" s="1140" t="s">
        <v>1794</v>
      </c>
      <c r="F149" t="s">
        <v>12954</v>
      </c>
      <c r="G149" t="s">
        <v>12954</v>
      </c>
      <c r="H149" t="s">
        <v>12954</v>
      </c>
      <c r="I149" s="1140" t="s">
        <v>1733</v>
      </c>
      <c r="J149" t="s">
        <v>12954</v>
      </c>
      <c r="K149" s="1140" t="s">
        <v>1832</v>
      </c>
      <c r="L149" s="1140">
        <v>908</v>
      </c>
      <c r="M149" s="452" t="s">
        <v>12992</v>
      </c>
      <c r="N149" t="s">
        <v>12954</v>
      </c>
      <c r="O149" s="1140"/>
    </row>
    <row r="150" spans="1:15">
      <c r="A150" s="1139" t="s">
        <v>12993</v>
      </c>
      <c r="B150" t="s">
        <v>12954</v>
      </c>
      <c r="C150" s="1142" t="s">
        <v>1897</v>
      </c>
      <c r="D150" t="s">
        <v>12954</v>
      </c>
      <c r="E150" s="1140" t="s">
        <v>1794</v>
      </c>
      <c r="F150" t="s">
        <v>12954</v>
      </c>
      <c r="G150" t="s">
        <v>12954</v>
      </c>
      <c r="H150" t="s">
        <v>12954</v>
      </c>
      <c r="I150" t="s">
        <v>12954</v>
      </c>
      <c r="J150" t="s">
        <v>12954</v>
      </c>
      <c r="K150" t="s">
        <v>12954</v>
      </c>
      <c r="L150" t="s">
        <v>12954</v>
      </c>
      <c r="M150" t="s">
        <v>12954</v>
      </c>
      <c r="N150" t="s">
        <v>12954</v>
      </c>
      <c r="O150" s="1140"/>
    </row>
    <row r="151" spans="1:15">
      <c r="A151" s="1139" t="s">
        <v>12994</v>
      </c>
      <c r="B151" t="s">
        <v>12954</v>
      </c>
      <c r="C151" s="1142" t="s">
        <v>1741</v>
      </c>
      <c r="D151" t="s">
        <v>12954</v>
      </c>
      <c r="E151" s="1140" t="s">
        <v>1794</v>
      </c>
      <c r="F151" t="s">
        <v>12954</v>
      </c>
      <c r="G151" t="s">
        <v>12954</v>
      </c>
      <c r="H151" t="s">
        <v>12954</v>
      </c>
      <c r="I151" t="s">
        <v>12954</v>
      </c>
      <c r="J151" t="s">
        <v>12954</v>
      </c>
      <c r="K151" t="s">
        <v>12954</v>
      </c>
      <c r="L151" t="s">
        <v>12954</v>
      </c>
      <c r="M151" t="s">
        <v>12954</v>
      </c>
      <c r="N151" t="s">
        <v>12954</v>
      </c>
      <c r="O151" s="1140"/>
    </row>
    <row r="152" spans="1:15">
      <c r="A152" s="1139" t="s">
        <v>12995</v>
      </c>
      <c r="B152" s="452" t="s">
        <v>12953</v>
      </c>
      <c r="C152" s="1142" t="s">
        <v>1770</v>
      </c>
      <c r="D152" s="1140" t="s">
        <v>12996</v>
      </c>
      <c r="E152" s="1140" t="s">
        <v>1794</v>
      </c>
      <c r="F152" t="s">
        <v>12954</v>
      </c>
      <c r="G152" t="s">
        <v>12954</v>
      </c>
      <c r="H152" t="s">
        <v>12954</v>
      </c>
      <c r="I152" s="1140" t="s">
        <v>1733</v>
      </c>
      <c r="J152" t="s">
        <v>12954</v>
      </c>
      <c r="K152" s="327" t="s">
        <v>1857</v>
      </c>
      <c r="L152" s="1140" t="s">
        <v>1996</v>
      </c>
      <c r="M152" s="452" t="s">
        <v>12650</v>
      </c>
      <c r="N152" t="s">
        <v>12954</v>
      </c>
      <c r="O152" s="1140"/>
    </row>
    <row r="153" spans="1:15">
      <c r="A153" s="1139" t="s">
        <v>12997</v>
      </c>
      <c r="B153" t="s">
        <v>12954</v>
      </c>
      <c r="C153" s="1142" t="s">
        <v>1705</v>
      </c>
      <c r="D153" t="s">
        <v>12954</v>
      </c>
      <c r="E153" s="1140" t="s">
        <v>1794</v>
      </c>
      <c r="F153" t="s">
        <v>12954</v>
      </c>
      <c r="G153" t="s">
        <v>12954</v>
      </c>
      <c r="H153" t="s">
        <v>12954</v>
      </c>
      <c r="I153" t="s">
        <v>12954</v>
      </c>
      <c r="J153" t="s">
        <v>12954</v>
      </c>
      <c r="K153" t="s">
        <v>12954</v>
      </c>
      <c r="L153" t="s">
        <v>12954</v>
      </c>
      <c r="M153" t="s">
        <v>12954</v>
      </c>
      <c r="N153" t="s">
        <v>12954</v>
      </c>
      <c r="O153" s="1140"/>
    </row>
    <row r="154" spans="1:15">
      <c r="A154" s="1139" t="s">
        <v>12998</v>
      </c>
      <c r="B154" t="s">
        <v>12954</v>
      </c>
      <c r="C154" s="1142" t="s">
        <v>1738</v>
      </c>
      <c r="D154" t="s">
        <v>12954</v>
      </c>
      <c r="E154" s="1140" t="s">
        <v>1794</v>
      </c>
      <c r="F154" t="s">
        <v>12954</v>
      </c>
      <c r="G154" t="s">
        <v>12954</v>
      </c>
      <c r="H154" t="s">
        <v>12954</v>
      </c>
      <c r="I154" t="s">
        <v>12954</v>
      </c>
      <c r="J154" t="s">
        <v>12954</v>
      </c>
      <c r="K154" t="s">
        <v>12954</v>
      </c>
      <c r="L154" t="s">
        <v>12954</v>
      </c>
      <c r="M154" t="s">
        <v>12954</v>
      </c>
      <c r="N154" t="s">
        <v>12954</v>
      </c>
      <c r="O154" s="1140"/>
    </row>
    <row r="155" spans="1:15" ht="15" thickBot="1">
      <c r="A155" s="1143" t="s">
        <v>12999</v>
      </c>
      <c r="B155" s="1144" t="s">
        <v>12954</v>
      </c>
      <c r="C155" s="1145" t="s">
        <v>2095</v>
      </c>
      <c r="D155" s="1144" t="s">
        <v>12954</v>
      </c>
      <c r="E155" s="1146" t="s">
        <v>1794</v>
      </c>
      <c r="F155" t="s">
        <v>12954</v>
      </c>
      <c r="G155" t="s">
        <v>12954</v>
      </c>
      <c r="H155" t="s">
        <v>12954</v>
      </c>
      <c r="I155" t="s">
        <v>12954</v>
      </c>
      <c r="J155" t="s">
        <v>12954</v>
      </c>
      <c r="K155" t="s">
        <v>12954</v>
      </c>
      <c r="L155" t="s">
        <v>12954</v>
      </c>
      <c r="M155" t="s">
        <v>12954</v>
      </c>
      <c r="N155" t="s">
        <v>12954</v>
      </c>
      <c r="O155" s="1140"/>
    </row>
  </sheetData>
  <pageMargins left="0.7" right="0.7" top="0.75" bottom="0.75" header="0.3" footer="0.3"/>
  <pageSetup paperSize="9" orientation="portrait" r:id="rId1"/>
  <ignoredErrors>
    <ignoredError sqref="D48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1FF4651CAC1F41A04B930243A3B1D1" ma:contentTypeVersion="13" ma:contentTypeDescription="Create a new document." ma:contentTypeScope="" ma:versionID="5a6851004df3ea25befe2c646dc6f052">
  <xsd:schema xmlns:xsd="http://www.w3.org/2001/XMLSchema" xmlns:xs="http://www.w3.org/2001/XMLSchema" xmlns:p="http://schemas.microsoft.com/office/2006/metadata/properties" xmlns:ns3="82f68e52-6658-4839-ae49-09bf77bd9ca8" xmlns:ns4="927f9032-2b88-4208-8987-9521d4fe8bd1" targetNamespace="http://schemas.microsoft.com/office/2006/metadata/properties" ma:root="true" ma:fieldsID="968b6e27ee78fafc2482285a67de9e1a" ns3:_="" ns4:_="">
    <xsd:import namespace="82f68e52-6658-4839-ae49-09bf77bd9ca8"/>
    <xsd:import namespace="927f9032-2b88-4208-8987-9521d4fe8bd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68e52-6658-4839-ae49-09bf77bd9c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7f9032-2b88-4208-8987-9521d4fe8bd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B97C9E4-C747-4427-8F33-8381BB2125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f68e52-6658-4839-ae49-09bf77bd9ca8"/>
    <ds:schemaRef ds:uri="927f9032-2b88-4208-8987-9521d4fe8b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EC85BA-229B-475F-B803-F90C387B2A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7A8D56-D162-4B76-8EF7-D45046332721}">
  <ds:schemaRefs>
    <ds:schemaRef ds:uri="82f68e52-6658-4839-ae49-09bf77bd9ca8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927f9032-2b88-4208-8987-9521d4fe8bd1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28</vt:i4>
      </vt:variant>
      <vt:variant>
        <vt:lpstr>Intervalli denominati</vt:lpstr>
      </vt:variant>
      <vt:variant>
        <vt:i4>20</vt:i4>
      </vt:variant>
    </vt:vector>
  </HeadingPairs>
  <TitlesOfParts>
    <vt:vector size="48" baseType="lpstr">
      <vt:lpstr>Sanctioned_List</vt:lpstr>
      <vt:lpstr>Broker_List</vt:lpstr>
      <vt:lpstr>Pre-Check BUY</vt:lpstr>
      <vt:lpstr>Pre-check SELL</vt:lpstr>
      <vt:lpstr>TradesBond</vt:lpstr>
      <vt:lpstr>TradesEquity</vt:lpstr>
      <vt:lpstr>TradesFundETF</vt:lpstr>
      <vt:lpstr>Order_template</vt:lpstr>
      <vt:lpstr>MIFID</vt:lpstr>
      <vt:lpstr>PosAggregate</vt:lpstr>
      <vt:lpstr>Sub-Red</vt:lpstr>
      <vt:lpstr>CashFlow</vt:lpstr>
      <vt:lpstr>Cash Mgmt</vt:lpstr>
      <vt:lpstr>NAV</vt:lpstr>
      <vt:lpstr>POSIMS</vt:lpstr>
      <vt:lpstr>POSNAV</vt:lpstr>
      <vt:lpstr>Curr</vt:lpstr>
      <vt:lpstr>Dvd</vt:lpstr>
      <vt:lpstr>Forward</vt:lpstr>
      <vt:lpstr>ShrsOrdReg</vt:lpstr>
      <vt:lpstr>BondOrdReg</vt:lpstr>
      <vt:lpstr>FundOrdReg</vt:lpstr>
      <vt:lpstr>bic broker</vt:lpstr>
      <vt:lpstr>place of settlement</vt:lpstr>
      <vt:lpstr>DEPOSITARY</vt:lpstr>
      <vt:lpstr>DEPO</vt:lpstr>
      <vt:lpstr>Geographical risk matrix</vt:lpstr>
      <vt:lpstr>sample</vt:lpstr>
      <vt:lpstr>PosAggregate!AsiaExposure</vt:lpstr>
      <vt:lpstr>'Pre-Check BUY'!curr_Date</vt:lpstr>
      <vt:lpstr>'Pre-Check BUY'!curr_time</vt:lpstr>
      <vt:lpstr>'Pre-Check BUY'!eqt_brokerCheck</vt:lpstr>
      <vt:lpstr>'Pre-Check BUY'!eqt_cashOut</vt:lpstr>
      <vt:lpstr>'Pre-Check BUY'!eqt_crossRate</vt:lpstr>
      <vt:lpstr>'Pre-Check BUY'!eqt_fnd_postExposure</vt:lpstr>
      <vt:lpstr>'Pre-Check BUY'!eqt_percShareOS</vt:lpstr>
      <vt:lpstr>'Pre-Check BUY'!eqt_postTrade</vt:lpstr>
      <vt:lpstr>'Pre-Check BUY'!eqt_priceLocal</vt:lpstr>
      <vt:lpstr>'Pre-Check BUY'!eqt_psn_percNAV</vt:lpstr>
      <vt:lpstr>'Pre-Check BUY'!eqt_psn_postExposure</vt:lpstr>
      <vt:lpstr>'Pre-Check BUY'!eqt_Quantity</vt:lpstr>
      <vt:lpstr>'Pre-Check BUY'!eqt_regionCheck</vt:lpstr>
      <vt:lpstr>'Pre-Check BUY'!eqt_sanctionList</vt:lpstr>
      <vt:lpstr>'Pre-Check BUY'!eqt_Ticker</vt:lpstr>
      <vt:lpstr>PosAggregate!EquityExposure</vt:lpstr>
      <vt:lpstr>'Pre-Check BUY'!fundMktVal</vt:lpstr>
      <vt:lpstr>FX_Rates</vt:lpstr>
      <vt:lpstr>'Pre-Check BUY'!trade_Type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lzweig</dc:creator>
  <cp:lastModifiedBy>MANIGRASSO FEDERICO</cp:lastModifiedBy>
  <cp:lastPrinted>2018-03-24T22:04:59Z</cp:lastPrinted>
  <dcterms:created xsi:type="dcterms:W3CDTF">2013-04-03T15:49:21Z</dcterms:created>
  <dcterms:modified xsi:type="dcterms:W3CDTF">2022-11-29T15:33:40Z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eef2632b-f394-4d0d-9ed2-5cb1c537d4fe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ContentTypeId">
    <vt:lpwstr>0x0101002C1FF4651CAC1F41A04B930243A3B1D1</vt:lpwstr>
  </property>
</Properties>
</file>